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5.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1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d.docs.live.net/02874402b22fbb6c/"/>
    </mc:Choice>
  </mc:AlternateContent>
  <xr:revisionPtr revIDLastSave="21" documentId="13_ncr:1_{6342DF24-FBD0-41F6-B945-9588FF3E6C48}" xr6:coauthVersionLast="47" xr6:coauthVersionMax="47" xr10:uidLastSave="{03887858-C133-4533-AAAC-07B5216F9073}"/>
  <bookViews>
    <workbookView xWindow="-108" yWindow="-108" windowWidth="41496" windowHeight="16776" tabRatio="734" xr2:uid="{C7FF833F-EA8C-412B-BCA8-81F105F6FA7E}"/>
  </bookViews>
  <sheets>
    <sheet name="開始" sheetId="39" r:id="rId1"/>
    <sheet name="主頁" sheetId="1" r:id="rId2"/>
    <sheet name="A123" sheetId="17" state="hidden" r:id="rId3"/>
    <sheet name="All in One" sheetId="34" r:id="rId4"/>
    <sheet name="CityU" sheetId="12" r:id="rId5"/>
    <sheet name="HKBU" sheetId="16" r:id="rId6"/>
    <sheet name="PolyU" sheetId="9" r:id="rId7"/>
    <sheet name="CUHK" sheetId="21" r:id="rId8"/>
    <sheet name="HKUST" sheetId="10" r:id="rId9"/>
    <sheet name="HKU" sheetId="8" r:id="rId10"/>
    <sheet name="LingU" sheetId="15" r:id="rId11"/>
    <sheet name="EdUHK" sheetId="14" r:id="rId12"/>
    <sheet name="HKMU" sheetId="19" r:id="rId13"/>
    <sheet name="SSSDP" sheetId="20" r:id="rId14"/>
    <sheet name="計分版" sheetId="2" state="hidden" r:id="rId15"/>
    <sheet name="Reference Score Calculation" sheetId="33" r:id="rId16"/>
    <sheet name="入學要求" sheetId="6" state="hidden" r:id="rId17"/>
    <sheet name="Programme List (2024 &amp; 2025)" sheetId="22" state="hidden" r:id="rId18"/>
    <sheet name="Offer Statistics" sheetId="26" state="hidden" r:id="rId19"/>
    <sheet name="Retake 扣分" sheetId="28" r:id="rId20"/>
    <sheet name="CUHK Ref Soc Conversion" sheetId="41" state="hidden" r:id="rId21"/>
    <sheet name="選單" sheetId="3" state="hidden" r:id="rId22"/>
  </sheets>
  <definedNames>
    <definedName name="_xlnm._FilterDatabase" localSheetId="20" hidden="1">'CUHK Ref Soc Conversion'!$A$1:$L$232</definedName>
    <definedName name="_xlnm._FilterDatabase" localSheetId="18" hidden="1">'Offer Statistics'!$B$1:$Q$151</definedName>
    <definedName name="_xlnm._FilterDatabase" localSheetId="15" hidden="1">'Reference Score Calculation'!$B$12:$T$12</definedName>
    <definedName name="all_in_one">'All in One'!$A$1:$Z$77</definedName>
    <definedName name="cal_main">主頁!$A$1:$W$46</definedName>
    <definedName name="公社科">選單!$I$2:$I$4</definedName>
    <definedName name="丙類科目等級">選單!$H$2:$H$8</definedName>
    <definedName name="丙類選修科">選單!$G$2:$G$8</definedName>
    <definedName name="是否">選單!$L$2:$L$3</definedName>
    <definedName name="差">選單!$F$7:$F$9</definedName>
    <definedName name="差距ULM">選單!$F$7:$F$9</definedName>
    <definedName name="差距UML">選單!$F$7:$F$9</definedName>
    <definedName name="第一選修科">選單!#REF!</definedName>
    <definedName name="第二選修科">選單!$D$2:$D$25</definedName>
    <definedName name="第三選修科">選單!$E$2:$E$25</definedName>
    <definedName name="第四選修科">選單!$F$2:$F$6</definedName>
    <definedName name="等級">選單!$A$2:$A$10</definedName>
    <definedName name="數學延伸部份" localSheetId="18">選單!#REF!</definedName>
    <definedName name="數學延伸部份">選單!#REF!</definedName>
    <definedName name="選修科">選單!#REF!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19" i="33" l="1" a="1"/>
  <c r="V219" i="33" s="1"/>
  <c r="W219" i="33" a="1"/>
  <c r="W219" i="33" s="1"/>
  <c r="Y219" i="33" s="1"/>
  <c r="X219" i="33" a="1"/>
  <c r="X219" i="33"/>
  <c r="AA219" i="33"/>
  <c r="AB219" i="33"/>
  <c r="V220" i="33" a="1"/>
  <c r="V220" i="33" s="1"/>
  <c r="W220" i="33" a="1"/>
  <c r="W220" i="33" s="1"/>
  <c r="X220" i="33" a="1"/>
  <c r="X220" i="33" s="1"/>
  <c r="AA220" i="33"/>
  <c r="AB220" i="33"/>
  <c r="V221" i="33" a="1"/>
  <c r="V221" i="33"/>
  <c r="W221" i="33" a="1"/>
  <c r="W221" i="33"/>
  <c r="X221" i="33" a="1"/>
  <c r="X221" i="33"/>
  <c r="Y221" i="33"/>
  <c r="AA221" i="33"/>
  <c r="AB221" i="33"/>
  <c r="V222" i="33" a="1"/>
  <c r="V222" i="33" s="1"/>
  <c r="W222" i="33" a="1"/>
  <c r="W222" i="33" s="1"/>
  <c r="X222" i="33" a="1"/>
  <c r="X222" i="33" s="1"/>
  <c r="AA222" i="33"/>
  <c r="AB222" i="33"/>
  <c r="V223" i="33" a="1"/>
  <c r="V223" i="33" s="1"/>
  <c r="W223" i="33" a="1"/>
  <c r="W223" i="33" s="1"/>
  <c r="X223" i="33" a="1"/>
  <c r="X223" i="33" s="1"/>
  <c r="AA223" i="33"/>
  <c r="AB223" i="33"/>
  <c r="V224" i="33" a="1"/>
  <c r="V224" i="33" s="1"/>
  <c r="W224" i="33" a="1"/>
  <c r="W224" i="33" s="1"/>
  <c r="Y224" i="33" s="1"/>
  <c r="X224" i="33" a="1"/>
  <c r="X224" i="33"/>
  <c r="AA224" i="33"/>
  <c r="AB224" i="33"/>
  <c r="V225" i="33" a="1"/>
  <c r="V225" i="33" s="1"/>
  <c r="W225" i="33" a="1"/>
  <c r="W225" i="33" s="1"/>
  <c r="X225" i="33" a="1"/>
  <c r="X225" i="33" s="1"/>
  <c r="AA225" i="33"/>
  <c r="AB225" i="33"/>
  <c r="V226" i="33" a="1"/>
  <c r="V226" i="33" s="1"/>
  <c r="W226" i="33" a="1"/>
  <c r="W226" i="33"/>
  <c r="X226" i="33" a="1"/>
  <c r="X226" i="33"/>
  <c r="Y226" i="33"/>
  <c r="AA226" i="33"/>
  <c r="AB226" i="33"/>
  <c r="V227" i="33" a="1"/>
  <c r="V227" i="33" s="1"/>
  <c r="W227" i="33" a="1"/>
  <c r="W227" i="33" s="1"/>
  <c r="X227" i="33" a="1"/>
  <c r="X227" i="33" s="1"/>
  <c r="AA227" i="33"/>
  <c r="AB227" i="33"/>
  <c r="V228" i="33" a="1"/>
  <c r="V228" i="33"/>
  <c r="W228" i="33" a="1"/>
  <c r="W228" i="33"/>
  <c r="X228" i="33" a="1"/>
  <c r="X228" i="33"/>
  <c r="Y228" i="33"/>
  <c r="AA228" i="33"/>
  <c r="AB228" i="33"/>
  <c r="V229" i="33" a="1"/>
  <c r="V229" i="33" s="1"/>
  <c r="W229" i="33" a="1"/>
  <c r="W229" i="33" s="1"/>
  <c r="X229" i="33" a="1"/>
  <c r="X229" i="33" s="1"/>
  <c r="AA229" i="33"/>
  <c r="AB229" i="33"/>
  <c r="V230" i="33" a="1"/>
  <c r="V230" i="33"/>
  <c r="W230" i="33" a="1"/>
  <c r="W230" i="33" s="1"/>
  <c r="Y230" i="33" s="1"/>
  <c r="X230" i="33" a="1"/>
  <c r="X230" i="33"/>
  <c r="AA230" i="33"/>
  <c r="AB230" i="33"/>
  <c r="V231" i="33" a="1"/>
  <c r="V231" i="33" s="1"/>
  <c r="W231" i="33" a="1"/>
  <c r="W231" i="33" s="1"/>
  <c r="X231" i="33" a="1"/>
  <c r="X231" i="33" s="1"/>
  <c r="AA231" i="33"/>
  <c r="AB231" i="33"/>
  <c r="V232" i="33" a="1"/>
  <c r="V232" i="33" s="1"/>
  <c r="W232" i="33" a="1"/>
  <c r="W232" i="33" s="1"/>
  <c r="X232" i="33" a="1"/>
  <c r="X232" i="33" s="1"/>
  <c r="AA232" i="33"/>
  <c r="AB232" i="33"/>
  <c r="V233" i="33" a="1"/>
  <c r="V233" i="33" s="1"/>
  <c r="W233" i="33" a="1"/>
  <c r="W233" i="33" s="1"/>
  <c r="X233" i="33" a="1"/>
  <c r="X233" i="33" s="1"/>
  <c r="AA233" i="33"/>
  <c r="AB233" i="33"/>
  <c r="V234" i="33" a="1"/>
  <c r="V234" i="33"/>
  <c r="W234" i="33" a="1"/>
  <c r="W234" i="33"/>
  <c r="X234" i="33" a="1"/>
  <c r="X234" i="33" s="1"/>
  <c r="Y234" i="33" s="1"/>
  <c r="AA234" i="33"/>
  <c r="AB234" i="33"/>
  <c r="V235" i="33" a="1"/>
  <c r="V235" i="33" s="1"/>
  <c r="W235" i="33" a="1"/>
  <c r="W235" i="33"/>
  <c r="X235" i="33" a="1"/>
  <c r="X235" i="33"/>
  <c r="Y235" i="33" s="1"/>
  <c r="AA235" i="33"/>
  <c r="AB235" i="33"/>
  <c r="V236" i="33" a="1"/>
  <c r="V236" i="33" s="1"/>
  <c r="W236" i="33" a="1"/>
  <c r="W236" i="33" s="1"/>
  <c r="X236" i="33" a="1"/>
  <c r="X236" i="33" s="1"/>
  <c r="AA236" i="33"/>
  <c r="AB236" i="33"/>
  <c r="V237" i="33" a="1"/>
  <c r="V237" i="33"/>
  <c r="W237" i="33" a="1"/>
  <c r="W237" i="33" s="1"/>
  <c r="X237" i="33" a="1"/>
  <c r="X237" i="33" s="1"/>
  <c r="AA237" i="33"/>
  <c r="AB237" i="33"/>
  <c r="V238" i="33" a="1"/>
  <c r="V238" i="33" s="1"/>
  <c r="W238" i="33" a="1"/>
  <c r="W238" i="33" s="1"/>
  <c r="Y238" i="33" s="1"/>
  <c r="X238" i="33" a="1"/>
  <c r="X238" i="33"/>
  <c r="AA238" i="33"/>
  <c r="AB238" i="33"/>
  <c r="V239" i="33" a="1"/>
  <c r="V239" i="33" s="1"/>
  <c r="W239" i="33" a="1"/>
  <c r="W239" i="33" s="1"/>
  <c r="X239" i="33" a="1"/>
  <c r="X239" i="33" s="1"/>
  <c r="AA239" i="33"/>
  <c r="AB239" i="33"/>
  <c r="V240" i="33" a="1"/>
  <c r="V240" i="33" s="1"/>
  <c r="W240" i="33" a="1"/>
  <c r="W240" i="33" s="1"/>
  <c r="Y240" i="33" s="1"/>
  <c r="X240" i="33" a="1"/>
  <c r="X240" i="33"/>
  <c r="AA240" i="33"/>
  <c r="AB240" i="33"/>
  <c r="V241" i="33" a="1"/>
  <c r="V241" i="33" s="1"/>
  <c r="W241" i="33" a="1"/>
  <c r="W241" i="33" s="1"/>
  <c r="X241" i="33" a="1"/>
  <c r="X241" i="33" s="1"/>
  <c r="AA241" i="33"/>
  <c r="AB241" i="33"/>
  <c r="V242" i="33" a="1"/>
  <c r="V242" i="33"/>
  <c r="W242" i="33" a="1"/>
  <c r="W242" i="33"/>
  <c r="X242" i="33" a="1"/>
  <c r="X242" i="33"/>
  <c r="Y242" i="33"/>
  <c r="AA242" i="33"/>
  <c r="AB242" i="33"/>
  <c r="V243" i="33" a="1"/>
  <c r="V243" i="33" s="1"/>
  <c r="W243" i="33" a="1"/>
  <c r="W243" i="33" s="1"/>
  <c r="X243" i="33" a="1"/>
  <c r="X243" i="33" s="1"/>
  <c r="AA243" i="33"/>
  <c r="AB243" i="33"/>
  <c r="V244" i="33" a="1"/>
  <c r="V244" i="33"/>
  <c r="W244" i="33" a="1"/>
  <c r="W244" i="33" s="1"/>
  <c r="Y244" i="33" s="1"/>
  <c r="X244" i="33" a="1"/>
  <c r="X244" i="33"/>
  <c r="AA244" i="33"/>
  <c r="AB244" i="33"/>
  <c r="V245" i="33" a="1"/>
  <c r="V245" i="33" s="1"/>
  <c r="W245" i="33" a="1"/>
  <c r="W245" i="33" s="1"/>
  <c r="Y245" i="33" s="1"/>
  <c r="X245" i="33" a="1"/>
  <c r="X245" i="33" s="1"/>
  <c r="AA245" i="33"/>
  <c r="AB245" i="33"/>
  <c r="V246" i="33" a="1"/>
  <c r="V246" i="33"/>
  <c r="W246" i="33" a="1"/>
  <c r="W246" i="33" s="1"/>
  <c r="X246" i="33" a="1"/>
  <c r="X246" i="33" s="1"/>
  <c r="AA246" i="33"/>
  <c r="AB246" i="33"/>
  <c r="V247" i="33" a="1"/>
  <c r="V247" i="33" s="1"/>
  <c r="W247" i="33" a="1"/>
  <c r="W247" i="33" s="1"/>
  <c r="Y247" i="33" s="1"/>
  <c r="X247" i="33" a="1"/>
  <c r="X247" i="33"/>
  <c r="AA247" i="33"/>
  <c r="AB247" i="33"/>
  <c r="V248" i="33" a="1"/>
  <c r="V248" i="33" s="1"/>
  <c r="W248" i="33" a="1"/>
  <c r="W248" i="33"/>
  <c r="X248" i="33" a="1"/>
  <c r="X248" i="33" s="1"/>
  <c r="Y248" i="33" s="1"/>
  <c r="AA248" i="33"/>
  <c r="AB248" i="33"/>
  <c r="V249" i="33" a="1"/>
  <c r="V249" i="33" s="1"/>
  <c r="W249" i="33" a="1"/>
  <c r="W249" i="33" s="1"/>
  <c r="Y249" i="33" s="1"/>
  <c r="X249" i="33" a="1"/>
  <c r="X249" i="33"/>
  <c r="AA249" i="33"/>
  <c r="AB249" i="33"/>
  <c r="V250" i="33" a="1"/>
  <c r="V250" i="33" s="1"/>
  <c r="W250" i="33" a="1"/>
  <c r="W250" i="33" s="1"/>
  <c r="X250" i="33" a="1"/>
  <c r="X250" i="33" s="1"/>
  <c r="AA250" i="33"/>
  <c r="AB250" i="33"/>
  <c r="AI277" i="2"/>
  <c r="AI278" i="2"/>
  <c r="AI279" i="2"/>
  <c r="AI280" i="2"/>
  <c r="AI281" i="2"/>
  <c r="AO281" i="2"/>
  <c r="AI282" i="2"/>
  <c r="AI283" i="2"/>
  <c r="AO283" i="2"/>
  <c r="AI284" i="2"/>
  <c r="AI285" i="2"/>
  <c r="AI286" i="2"/>
  <c r="AI287" i="2"/>
  <c r="AI288" i="2"/>
  <c r="AI289" i="2"/>
  <c r="AI290" i="2"/>
  <c r="AI291" i="2"/>
  <c r="AI292" i="2"/>
  <c r="AI294" i="2"/>
  <c r="AI295" i="2"/>
  <c r="AI296" i="2"/>
  <c r="AI298" i="2"/>
  <c r="AI299" i="2"/>
  <c r="AI300" i="2"/>
  <c r="AI301" i="2"/>
  <c r="AI302" i="2"/>
  <c r="AI303" i="2"/>
  <c r="AI304" i="2"/>
  <c r="AI305" i="2"/>
  <c r="AI306" i="2"/>
  <c r="AI307" i="2"/>
  <c r="AI308" i="2"/>
  <c r="AI309" i="2"/>
  <c r="AI310" i="2"/>
  <c r="AI311" i="2"/>
  <c r="AI312" i="2"/>
  <c r="AI313" i="2"/>
  <c r="AI314" i="2"/>
  <c r="AI316" i="2"/>
  <c r="AI319" i="2"/>
  <c r="AI320" i="2"/>
  <c r="AI321" i="2"/>
  <c r="AI322" i="2"/>
  <c r="AI323" i="2"/>
  <c r="AI324" i="2"/>
  <c r="AI325" i="2"/>
  <c r="AI326" i="2"/>
  <c r="AI327" i="2"/>
  <c r="AI328" i="2"/>
  <c r="AI329" i="2"/>
  <c r="AI330" i="2"/>
  <c r="AI276" i="2"/>
  <c r="AI254" i="2"/>
  <c r="AI255" i="2"/>
  <c r="AI257" i="2"/>
  <c r="AI258" i="2"/>
  <c r="AI259" i="2"/>
  <c r="AI260" i="2"/>
  <c r="AI261" i="2"/>
  <c r="AI262" i="2"/>
  <c r="AI265" i="2"/>
  <c r="AI266" i="2"/>
  <c r="AI269" i="2"/>
  <c r="AI271" i="2"/>
  <c r="AI169" i="2"/>
  <c r="AI170" i="2"/>
  <c r="AI171" i="2"/>
  <c r="AI172" i="2"/>
  <c r="AI173" i="2"/>
  <c r="AI174" i="2"/>
  <c r="AI175" i="2"/>
  <c r="AI176" i="2"/>
  <c r="AI177" i="2"/>
  <c r="AI178" i="2"/>
  <c r="AI179" i="2"/>
  <c r="AI180" i="2"/>
  <c r="AI181" i="2"/>
  <c r="AI182" i="2"/>
  <c r="AI183" i="2"/>
  <c r="AI184"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168"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21" i="2"/>
  <c r="AI98" i="2"/>
  <c r="AI99" i="2"/>
  <c r="AI100" i="2"/>
  <c r="AI101" i="2"/>
  <c r="AI102" i="2"/>
  <c r="AI103" i="2"/>
  <c r="AI104" i="2"/>
  <c r="AI105" i="2"/>
  <c r="AI106" i="2"/>
  <c r="AI107" i="2"/>
  <c r="AI108" i="2"/>
  <c r="AI109" i="2"/>
  <c r="AI110" i="2"/>
  <c r="AI111" i="2"/>
  <c r="AI112" i="2"/>
  <c r="AI113" i="2"/>
  <c r="AI114" i="2"/>
  <c r="AI115" i="2"/>
  <c r="AI116" i="2"/>
  <c r="AI117" i="2"/>
  <c r="AI118" i="2"/>
  <c r="AI97"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6" i="2"/>
  <c r="AI87" i="2"/>
  <c r="AI88" i="2"/>
  <c r="AI89" i="2"/>
  <c r="AI90" i="2"/>
  <c r="AI92" i="2"/>
  <c r="AI93" i="2"/>
  <c r="AI94" i="2"/>
  <c r="AI36" i="2"/>
  <c r="Y250" i="33" l="1"/>
  <c r="Y223" i="33"/>
  <c r="Y222" i="33"/>
  <c r="L230" i="17" s="1"/>
  <c r="Y243" i="33"/>
  <c r="Y236" i="33"/>
  <c r="Y220" i="33"/>
  <c r="Y239" i="33"/>
  <c r="Y227" i="33"/>
  <c r="Y241" i="33"/>
  <c r="Y233" i="33"/>
  <c r="Y232" i="33"/>
  <c r="Y237" i="33"/>
  <c r="L245" i="17" s="1"/>
  <c r="Y231" i="33"/>
  <c r="Y246" i="33"/>
  <c r="L254" i="17" s="1"/>
  <c r="Y225" i="33"/>
  <c r="L233" i="17" s="1"/>
  <c r="Y229" i="33"/>
  <c r="L258" i="17"/>
  <c r="L242" i="17"/>
  <c r="L227" i="17"/>
  <c r="L239" i="17"/>
  <c r="L256" i="17"/>
  <c r="L232" i="17"/>
  <c r="L231" i="17"/>
  <c r="L244" i="17"/>
  <c r="L234" i="17"/>
  <c r="L228" i="17"/>
  <c r="L253" i="17"/>
  <c r="L238" i="17"/>
  <c r="BQ241" i="2"/>
  <c r="B215" i="2"/>
  <c r="A453" i="17"/>
  <c r="B453" i="17"/>
  <c r="C453" i="17"/>
  <c r="D453" i="17"/>
  <c r="E453" i="17"/>
  <c r="F453" i="17"/>
  <c r="G453" i="17"/>
  <c r="H453" i="17"/>
  <c r="J453" i="17"/>
  <c r="K453" i="17"/>
  <c r="L453" i="17"/>
  <c r="A454" i="17"/>
  <c r="B454" i="17"/>
  <c r="C454" i="17"/>
  <c r="D454" i="17"/>
  <c r="E454" i="17"/>
  <c r="F454" i="17"/>
  <c r="G454" i="17"/>
  <c r="H454" i="17"/>
  <c r="J454" i="17"/>
  <c r="K454" i="17"/>
  <c r="L454" i="17"/>
  <c r="A455" i="17"/>
  <c r="B455" i="17"/>
  <c r="C455" i="17"/>
  <c r="D455" i="17"/>
  <c r="E455" i="17"/>
  <c r="F455" i="17"/>
  <c r="G455" i="17"/>
  <c r="H455" i="17"/>
  <c r="J455" i="17"/>
  <c r="K455" i="17"/>
  <c r="L455" i="17"/>
  <c r="A447" i="17"/>
  <c r="B447" i="17"/>
  <c r="C447" i="17"/>
  <c r="D447" i="17"/>
  <c r="E447" i="17"/>
  <c r="F447" i="17"/>
  <c r="G447" i="17"/>
  <c r="H447" i="17"/>
  <c r="J447" i="17"/>
  <c r="K447" i="17"/>
  <c r="L447" i="17"/>
  <c r="A448" i="17"/>
  <c r="B448" i="17"/>
  <c r="C448" i="17"/>
  <c r="D448" i="17"/>
  <c r="E448" i="17"/>
  <c r="F448" i="17"/>
  <c r="G448" i="17"/>
  <c r="H448" i="17"/>
  <c r="J448" i="17"/>
  <c r="K448" i="17"/>
  <c r="L448" i="17"/>
  <c r="A449" i="17"/>
  <c r="B449" i="17"/>
  <c r="C449" i="17"/>
  <c r="D449" i="17"/>
  <c r="E449" i="17"/>
  <c r="F449" i="17"/>
  <c r="G449" i="17"/>
  <c r="H449" i="17"/>
  <c r="J449" i="17"/>
  <c r="K449" i="17"/>
  <c r="L449" i="17"/>
  <c r="A450" i="17"/>
  <c r="B450" i="17"/>
  <c r="C450" i="17"/>
  <c r="D450" i="17"/>
  <c r="E450" i="17"/>
  <c r="F450" i="17"/>
  <c r="G450" i="17"/>
  <c r="H450" i="17"/>
  <c r="J450" i="17"/>
  <c r="K450" i="17"/>
  <c r="L450" i="17"/>
  <c r="A451" i="17"/>
  <c r="B451" i="17"/>
  <c r="C451" i="17"/>
  <c r="D451" i="17"/>
  <c r="E451" i="17"/>
  <c r="F451" i="17"/>
  <c r="G451" i="17"/>
  <c r="H451" i="17"/>
  <c r="J451" i="17"/>
  <c r="K451" i="17"/>
  <c r="L451" i="17"/>
  <c r="A452" i="17"/>
  <c r="B452" i="17"/>
  <c r="C452" i="17"/>
  <c r="D452" i="17"/>
  <c r="E452" i="17"/>
  <c r="F452" i="17"/>
  <c r="G452" i="17"/>
  <c r="H452" i="17"/>
  <c r="J452" i="17"/>
  <c r="K452" i="17"/>
  <c r="L452" i="17"/>
  <c r="A444" i="17"/>
  <c r="B444" i="17"/>
  <c r="C444" i="17"/>
  <c r="D444" i="17"/>
  <c r="E444" i="17"/>
  <c r="F444" i="17"/>
  <c r="G444" i="17"/>
  <c r="H444" i="17"/>
  <c r="J444" i="17"/>
  <c r="K444" i="17"/>
  <c r="L444" i="17"/>
  <c r="A445" i="17"/>
  <c r="B445" i="17"/>
  <c r="C445" i="17"/>
  <c r="D445" i="17"/>
  <c r="E445" i="17"/>
  <c r="F445" i="17"/>
  <c r="G445" i="17"/>
  <c r="H445" i="17"/>
  <c r="J445" i="17"/>
  <c r="K445" i="17"/>
  <c r="L445" i="17"/>
  <c r="A446" i="17"/>
  <c r="B446" i="17"/>
  <c r="C446" i="17"/>
  <c r="D446" i="17"/>
  <c r="E446" i="17"/>
  <c r="F446" i="17"/>
  <c r="G446" i="17"/>
  <c r="H446" i="17"/>
  <c r="J446" i="17"/>
  <c r="K446" i="17"/>
  <c r="L446" i="17"/>
  <c r="A440" i="17"/>
  <c r="B440" i="17"/>
  <c r="C440" i="17"/>
  <c r="D440" i="17"/>
  <c r="E440" i="17"/>
  <c r="F440" i="17"/>
  <c r="G440" i="17"/>
  <c r="H440" i="17"/>
  <c r="J440" i="17"/>
  <c r="K440" i="17"/>
  <c r="L440" i="17"/>
  <c r="A441" i="17"/>
  <c r="B441" i="17"/>
  <c r="C441" i="17"/>
  <c r="D441" i="17"/>
  <c r="E441" i="17"/>
  <c r="F441" i="17"/>
  <c r="G441" i="17"/>
  <c r="H441" i="17"/>
  <c r="J441" i="17"/>
  <c r="K441" i="17"/>
  <c r="L441" i="17"/>
  <c r="A442" i="17"/>
  <c r="B442" i="17"/>
  <c r="C442" i="17"/>
  <c r="D442" i="17"/>
  <c r="E442" i="17"/>
  <c r="F442" i="17"/>
  <c r="G442" i="17"/>
  <c r="H442" i="17"/>
  <c r="J442" i="17"/>
  <c r="K442" i="17"/>
  <c r="L442" i="17"/>
  <c r="A443" i="17"/>
  <c r="B443" i="17"/>
  <c r="C443" i="17"/>
  <c r="D443" i="17"/>
  <c r="E443" i="17"/>
  <c r="F443" i="17"/>
  <c r="G443" i="17"/>
  <c r="H443" i="17"/>
  <c r="J443" i="17"/>
  <c r="K443" i="17"/>
  <c r="L443" i="17"/>
  <c r="A427" i="17"/>
  <c r="B427" i="17"/>
  <c r="C427" i="17"/>
  <c r="D427" i="17"/>
  <c r="E427" i="17"/>
  <c r="F427" i="17"/>
  <c r="G427" i="17"/>
  <c r="H427" i="17"/>
  <c r="J427" i="17"/>
  <c r="K427" i="17"/>
  <c r="L427" i="17"/>
  <c r="A428" i="17"/>
  <c r="B428" i="17"/>
  <c r="C428" i="17"/>
  <c r="D428" i="17"/>
  <c r="E428" i="17"/>
  <c r="F428" i="17"/>
  <c r="G428" i="17"/>
  <c r="H428" i="17"/>
  <c r="J428" i="17"/>
  <c r="K428" i="17"/>
  <c r="L428" i="17"/>
  <c r="A429" i="17"/>
  <c r="B429" i="17"/>
  <c r="C429" i="17"/>
  <c r="D429" i="17"/>
  <c r="E429" i="17"/>
  <c r="F429" i="17"/>
  <c r="G429" i="17"/>
  <c r="H429" i="17"/>
  <c r="J429" i="17"/>
  <c r="K429" i="17"/>
  <c r="L429" i="17"/>
  <c r="A430" i="17"/>
  <c r="B430" i="17"/>
  <c r="C430" i="17"/>
  <c r="D430" i="17"/>
  <c r="E430" i="17"/>
  <c r="F430" i="17"/>
  <c r="G430" i="17"/>
  <c r="H430" i="17"/>
  <c r="J430" i="17"/>
  <c r="K430" i="17"/>
  <c r="L430" i="17"/>
  <c r="A431" i="17"/>
  <c r="B431" i="17"/>
  <c r="C431" i="17"/>
  <c r="D431" i="17"/>
  <c r="E431" i="17"/>
  <c r="F431" i="17"/>
  <c r="G431" i="17"/>
  <c r="H431" i="17"/>
  <c r="J431" i="17"/>
  <c r="K431" i="17"/>
  <c r="L431" i="17"/>
  <c r="A432" i="17"/>
  <c r="B432" i="17"/>
  <c r="C432" i="17"/>
  <c r="D432" i="17"/>
  <c r="E432" i="17"/>
  <c r="F432" i="17"/>
  <c r="G432" i="17"/>
  <c r="H432" i="17"/>
  <c r="J432" i="17"/>
  <c r="K432" i="17"/>
  <c r="L432" i="17"/>
  <c r="A433" i="17"/>
  <c r="B433" i="17"/>
  <c r="C433" i="17"/>
  <c r="D433" i="17"/>
  <c r="E433" i="17"/>
  <c r="F433" i="17"/>
  <c r="G433" i="17"/>
  <c r="H433" i="17"/>
  <c r="J433" i="17"/>
  <c r="K433" i="17"/>
  <c r="L433" i="17"/>
  <c r="A434" i="17"/>
  <c r="B434" i="17"/>
  <c r="C434" i="17"/>
  <c r="D434" i="17"/>
  <c r="E434" i="17"/>
  <c r="F434" i="17"/>
  <c r="G434" i="17"/>
  <c r="H434" i="17"/>
  <c r="J434" i="17"/>
  <c r="K434" i="17"/>
  <c r="L434" i="17"/>
  <c r="A435" i="17"/>
  <c r="B435" i="17"/>
  <c r="C435" i="17"/>
  <c r="D435" i="17"/>
  <c r="E435" i="17"/>
  <c r="F435" i="17"/>
  <c r="G435" i="17"/>
  <c r="H435" i="17"/>
  <c r="J435" i="17"/>
  <c r="K435" i="17"/>
  <c r="L435" i="17"/>
  <c r="A436" i="17"/>
  <c r="B436" i="17"/>
  <c r="C436" i="17"/>
  <c r="D436" i="17"/>
  <c r="E436" i="17"/>
  <c r="F436" i="17"/>
  <c r="G436" i="17"/>
  <c r="H436" i="17"/>
  <c r="J436" i="17"/>
  <c r="K436" i="17"/>
  <c r="L436" i="17"/>
  <c r="A437" i="17"/>
  <c r="B437" i="17"/>
  <c r="C437" i="17"/>
  <c r="D437" i="17"/>
  <c r="E437" i="17"/>
  <c r="F437" i="17"/>
  <c r="G437" i="17"/>
  <c r="H437" i="17"/>
  <c r="J437" i="17"/>
  <c r="K437" i="17"/>
  <c r="L437" i="17"/>
  <c r="A438" i="17"/>
  <c r="B438" i="17"/>
  <c r="C438" i="17"/>
  <c r="D438" i="17"/>
  <c r="E438" i="17"/>
  <c r="F438" i="17"/>
  <c r="G438" i="17"/>
  <c r="H438" i="17"/>
  <c r="J438" i="17"/>
  <c r="K438" i="17"/>
  <c r="L438" i="17"/>
  <c r="A439" i="17"/>
  <c r="B439" i="17"/>
  <c r="C439" i="17"/>
  <c r="D439" i="17"/>
  <c r="E439" i="17"/>
  <c r="F439" i="17"/>
  <c r="G439" i="17"/>
  <c r="H439" i="17"/>
  <c r="J439" i="17"/>
  <c r="K439" i="17"/>
  <c r="L439" i="17"/>
  <c r="A421" i="17"/>
  <c r="B421" i="17"/>
  <c r="C421" i="17"/>
  <c r="D421" i="17"/>
  <c r="E421" i="17"/>
  <c r="F421" i="17"/>
  <c r="G421" i="17"/>
  <c r="H421" i="17"/>
  <c r="J421" i="17"/>
  <c r="K421" i="17"/>
  <c r="L421" i="17"/>
  <c r="A422" i="17"/>
  <c r="B422" i="17"/>
  <c r="C422" i="17"/>
  <c r="D422" i="17"/>
  <c r="E422" i="17"/>
  <c r="F422" i="17"/>
  <c r="G422" i="17"/>
  <c r="H422" i="17"/>
  <c r="J422" i="17"/>
  <c r="K422" i="17"/>
  <c r="L422" i="17"/>
  <c r="A423" i="17"/>
  <c r="B423" i="17"/>
  <c r="C423" i="17"/>
  <c r="D423" i="17"/>
  <c r="E423" i="17"/>
  <c r="F423" i="17"/>
  <c r="G423" i="17"/>
  <c r="H423" i="17"/>
  <c r="J423" i="17"/>
  <c r="K423" i="17"/>
  <c r="L423" i="17"/>
  <c r="A424" i="17"/>
  <c r="B424" i="17"/>
  <c r="C424" i="17"/>
  <c r="D424" i="17"/>
  <c r="E424" i="17"/>
  <c r="F424" i="17"/>
  <c r="G424" i="17"/>
  <c r="H424" i="17"/>
  <c r="J424" i="17"/>
  <c r="K424" i="17"/>
  <c r="L424" i="17"/>
  <c r="A425" i="17"/>
  <c r="B425" i="17"/>
  <c r="C425" i="17"/>
  <c r="D425" i="17"/>
  <c r="E425" i="17"/>
  <c r="F425" i="17"/>
  <c r="G425" i="17"/>
  <c r="H425" i="17"/>
  <c r="J425" i="17"/>
  <c r="K425" i="17"/>
  <c r="L425" i="17"/>
  <c r="A426" i="17"/>
  <c r="B426" i="17"/>
  <c r="C426" i="17"/>
  <c r="D426" i="17"/>
  <c r="E426" i="17"/>
  <c r="F426" i="17"/>
  <c r="G426" i="17"/>
  <c r="H426" i="17"/>
  <c r="J426" i="17"/>
  <c r="K426" i="17"/>
  <c r="L426" i="17"/>
  <c r="A77" i="17"/>
  <c r="B77" i="17"/>
  <c r="C77" i="17"/>
  <c r="D77" i="17"/>
  <c r="E77" i="17"/>
  <c r="F77" i="17"/>
  <c r="G77" i="17"/>
  <c r="H77" i="17"/>
  <c r="J77" i="17"/>
  <c r="K77" i="17"/>
  <c r="L77" i="17"/>
  <c r="A78" i="17"/>
  <c r="B78" i="17"/>
  <c r="C78" i="17"/>
  <c r="D78" i="17"/>
  <c r="E78" i="17"/>
  <c r="F78" i="17"/>
  <c r="G78" i="17"/>
  <c r="H78" i="17"/>
  <c r="J78" i="17"/>
  <c r="K78" i="17"/>
  <c r="L78" i="17"/>
  <c r="A79" i="17"/>
  <c r="B79" i="17"/>
  <c r="C79" i="17"/>
  <c r="D79" i="17"/>
  <c r="E79" i="17"/>
  <c r="F79" i="17"/>
  <c r="G79" i="17"/>
  <c r="H79" i="17"/>
  <c r="J79" i="17"/>
  <c r="K79" i="17"/>
  <c r="L79" i="17"/>
  <c r="A82" i="17"/>
  <c r="B82" i="17"/>
  <c r="C82" i="17"/>
  <c r="D82" i="17"/>
  <c r="E82" i="17"/>
  <c r="F82" i="17"/>
  <c r="G82" i="17"/>
  <c r="H82" i="17"/>
  <c r="J82" i="17"/>
  <c r="K82" i="17"/>
  <c r="L82" i="17"/>
  <c r="A83" i="17"/>
  <c r="B83" i="17"/>
  <c r="C83" i="17"/>
  <c r="D83" i="17"/>
  <c r="E83" i="17"/>
  <c r="F83" i="17"/>
  <c r="G83" i="17"/>
  <c r="H83" i="17"/>
  <c r="J83" i="17"/>
  <c r="K83" i="17"/>
  <c r="L83" i="17"/>
  <c r="A84" i="17"/>
  <c r="B84" i="17"/>
  <c r="C84" i="17"/>
  <c r="D84" i="17"/>
  <c r="E84" i="17"/>
  <c r="F84" i="17"/>
  <c r="G84" i="17"/>
  <c r="H84" i="17"/>
  <c r="J84" i="17"/>
  <c r="K84" i="17"/>
  <c r="L84" i="17"/>
  <c r="A85" i="17"/>
  <c r="B85" i="17"/>
  <c r="C85" i="17"/>
  <c r="D85" i="17"/>
  <c r="E85" i="17"/>
  <c r="F85" i="17"/>
  <c r="G85" i="17"/>
  <c r="H85" i="17"/>
  <c r="J85" i="17"/>
  <c r="K85" i="17"/>
  <c r="L85" i="17"/>
  <c r="A86" i="17"/>
  <c r="B86" i="17"/>
  <c r="C86" i="17"/>
  <c r="D86" i="17"/>
  <c r="E86" i="17"/>
  <c r="F86" i="17"/>
  <c r="G86" i="17"/>
  <c r="H86" i="17"/>
  <c r="J86" i="17"/>
  <c r="K86" i="17"/>
  <c r="L86" i="17"/>
  <c r="A87" i="17"/>
  <c r="B87" i="17"/>
  <c r="C87" i="17"/>
  <c r="D87" i="17"/>
  <c r="E87" i="17"/>
  <c r="F87" i="17"/>
  <c r="G87" i="17"/>
  <c r="H87" i="17"/>
  <c r="J87" i="17"/>
  <c r="K87" i="17"/>
  <c r="L87" i="17"/>
  <c r="A88" i="17"/>
  <c r="B88" i="17"/>
  <c r="C88" i="17"/>
  <c r="D88" i="17"/>
  <c r="E88" i="17"/>
  <c r="F88" i="17"/>
  <c r="G88" i="17"/>
  <c r="H88" i="17"/>
  <c r="J88" i="17"/>
  <c r="K88" i="17"/>
  <c r="L88" i="17"/>
  <c r="A89" i="17"/>
  <c r="B89" i="17"/>
  <c r="C89" i="17"/>
  <c r="D89" i="17"/>
  <c r="E89" i="17"/>
  <c r="F89" i="17"/>
  <c r="G89" i="17"/>
  <c r="H89" i="17"/>
  <c r="J89" i="17"/>
  <c r="K89" i="17"/>
  <c r="L89" i="17"/>
  <c r="A90" i="17"/>
  <c r="B90" i="17"/>
  <c r="C90" i="17"/>
  <c r="D90" i="17"/>
  <c r="E90" i="17"/>
  <c r="F90" i="17"/>
  <c r="G90" i="17"/>
  <c r="H90" i="17"/>
  <c r="J90" i="17"/>
  <c r="K90" i="17"/>
  <c r="L90" i="17"/>
  <c r="A91" i="17"/>
  <c r="B91" i="17"/>
  <c r="C91" i="17"/>
  <c r="D91" i="17"/>
  <c r="E91" i="17"/>
  <c r="F91" i="17"/>
  <c r="G91" i="17"/>
  <c r="H91" i="17"/>
  <c r="J91" i="17"/>
  <c r="K91" i="17"/>
  <c r="L91" i="17"/>
  <c r="A92" i="17"/>
  <c r="B92" i="17"/>
  <c r="C92" i="17"/>
  <c r="D92" i="17"/>
  <c r="E92" i="17"/>
  <c r="F92" i="17"/>
  <c r="G92" i="17"/>
  <c r="H92" i="17"/>
  <c r="J92" i="17"/>
  <c r="K92" i="17"/>
  <c r="L92" i="17"/>
  <c r="A93" i="17"/>
  <c r="B93" i="17"/>
  <c r="C93" i="17"/>
  <c r="D93" i="17"/>
  <c r="E93" i="17"/>
  <c r="F93" i="17"/>
  <c r="G93" i="17"/>
  <c r="H93" i="17"/>
  <c r="J93" i="17"/>
  <c r="K93" i="17"/>
  <c r="L93" i="17"/>
  <c r="A94" i="17"/>
  <c r="B94" i="17"/>
  <c r="C94" i="17"/>
  <c r="D94" i="17"/>
  <c r="E94" i="17"/>
  <c r="F94" i="17"/>
  <c r="G94" i="17"/>
  <c r="H94" i="17"/>
  <c r="J94" i="17"/>
  <c r="K94" i="17"/>
  <c r="L94" i="17"/>
  <c r="A95" i="17"/>
  <c r="B95" i="17"/>
  <c r="C95" i="17"/>
  <c r="D95" i="17"/>
  <c r="E95" i="17"/>
  <c r="F95" i="17"/>
  <c r="G95" i="17"/>
  <c r="H95" i="17"/>
  <c r="J95" i="17"/>
  <c r="K95" i="17"/>
  <c r="L95" i="17"/>
  <c r="A96" i="17"/>
  <c r="B96" i="17"/>
  <c r="C96" i="17"/>
  <c r="D96" i="17"/>
  <c r="E96" i="17"/>
  <c r="F96" i="17"/>
  <c r="G96" i="17"/>
  <c r="H96" i="17"/>
  <c r="J96" i="17"/>
  <c r="K96" i="17"/>
  <c r="L96" i="17"/>
  <c r="A97" i="17"/>
  <c r="B97" i="17"/>
  <c r="C97" i="17"/>
  <c r="D97" i="17"/>
  <c r="E97" i="17"/>
  <c r="F97" i="17"/>
  <c r="G97" i="17"/>
  <c r="H97" i="17"/>
  <c r="J97" i="17"/>
  <c r="K97" i="17"/>
  <c r="L97" i="17"/>
  <c r="A98" i="17"/>
  <c r="B98" i="17"/>
  <c r="C98" i="17"/>
  <c r="D98" i="17"/>
  <c r="E98" i="17"/>
  <c r="F98" i="17"/>
  <c r="G98" i="17"/>
  <c r="H98" i="17"/>
  <c r="J98" i="17"/>
  <c r="K98" i="17"/>
  <c r="L98" i="17"/>
  <c r="A99" i="17"/>
  <c r="B99" i="17"/>
  <c r="C99" i="17"/>
  <c r="D99" i="17"/>
  <c r="E99" i="17"/>
  <c r="F99" i="17"/>
  <c r="G99" i="17"/>
  <c r="H99" i="17"/>
  <c r="J99" i="17"/>
  <c r="K99" i="17"/>
  <c r="L99" i="17"/>
  <c r="A100" i="17"/>
  <c r="B100" i="17"/>
  <c r="C100" i="17"/>
  <c r="D100" i="17"/>
  <c r="E100" i="17"/>
  <c r="F100" i="17"/>
  <c r="G100" i="17"/>
  <c r="H100" i="17"/>
  <c r="J100" i="17"/>
  <c r="K100" i="17"/>
  <c r="L100" i="17"/>
  <c r="A101" i="17"/>
  <c r="B101" i="17"/>
  <c r="C101" i="17"/>
  <c r="D101" i="17"/>
  <c r="E101" i="17"/>
  <c r="F101" i="17"/>
  <c r="G101" i="17"/>
  <c r="H101" i="17"/>
  <c r="J101" i="17"/>
  <c r="K101" i="17"/>
  <c r="L101" i="17"/>
  <c r="A102" i="17"/>
  <c r="B102" i="17"/>
  <c r="C102" i="17"/>
  <c r="D102" i="17"/>
  <c r="E102" i="17"/>
  <c r="F102" i="17"/>
  <c r="G102" i="17"/>
  <c r="H102" i="17"/>
  <c r="J102" i="17"/>
  <c r="K102" i="17"/>
  <c r="L102" i="17"/>
  <c r="A103" i="17"/>
  <c r="B103" i="17"/>
  <c r="C103" i="17"/>
  <c r="D103" i="17"/>
  <c r="E103" i="17"/>
  <c r="F103" i="17"/>
  <c r="G103" i="17"/>
  <c r="H103" i="17"/>
  <c r="J103" i="17"/>
  <c r="K103" i="17"/>
  <c r="L103" i="17"/>
  <c r="A106" i="17"/>
  <c r="B106" i="17"/>
  <c r="C106" i="17"/>
  <c r="D106" i="17"/>
  <c r="E106" i="17"/>
  <c r="F106" i="17"/>
  <c r="G106" i="17"/>
  <c r="H106" i="17"/>
  <c r="J106" i="17"/>
  <c r="K106" i="17"/>
  <c r="L106" i="17"/>
  <c r="A107" i="17"/>
  <c r="B107" i="17"/>
  <c r="C107" i="17"/>
  <c r="D107" i="17"/>
  <c r="E107" i="17"/>
  <c r="F107" i="17"/>
  <c r="G107" i="17"/>
  <c r="H107" i="17"/>
  <c r="J107" i="17"/>
  <c r="K107" i="17"/>
  <c r="L107" i="17"/>
  <c r="A108" i="17"/>
  <c r="B108" i="17"/>
  <c r="C108" i="17"/>
  <c r="D108" i="17"/>
  <c r="E108" i="17"/>
  <c r="F108" i="17"/>
  <c r="G108" i="17"/>
  <c r="H108" i="17"/>
  <c r="J108" i="17"/>
  <c r="K108" i="17"/>
  <c r="L108" i="17"/>
  <c r="A109" i="17"/>
  <c r="B109" i="17"/>
  <c r="C109" i="17"/>
  <c r="D109" i="17"/>
  <c r="E109" i="17"/>
  <c r="F109" i="17"/>
  <c r="G109" i="17"/>
  <c r="H109" i="17"/>
  <c r="J109" i="17"/>
  <c r="K109" i="17"/>
  <c r="L109" i="17"/>
  <c r="A110" i="17"/>
  <c r="B110" i="17"/>
  <c r="C110" i="17"/>
  <c r="D110" i="17"/>
  <c r="E110" i="17"/>
  <c r="F110" i="17"/>
  <c r="G110" i="17"/>
  <c r="H110" i="17"/>
  <c r="J110" i="17"/>
  <c r="K110" i="17"/>
  <c r="L110" i="17"/>
  <c r="A111" i="17"/>
  <c r="B111" i="17"/>
  <c r="C111" i="17"/>
  <c r="D111" i="17"/>
  <c r="E111" i="17"/>
  <c r="F111" i="17"/>
  <c r="G111" i="17"/>
  <c r="H111" i="17"/>
  <c r="J111" i="17"/>
  <c r="K111" i="17"/>
  <c r="L111" i="17"/>
  <c r="A112" i="17"/>
  <c r="B112" i="17"/>
  <c r="C112" i="17"/>
  <c r="D112" i="17"/>
  <c r="E112" i="17"/>
  <c r="F112" i="17"/>
  <c r="G112" i="17"/>
  <c r="H112" i="17"/>
  <c r="J112" i="17"/>
  <c r="K112" i="17"/>
  <c r="L112" i="17"/>
  <c r="A113" i="17"/>
  <c r="B113" i="17"/>
  <c r="C113" i="17"/>
  <c r="D113" i="17"/>
  <c r="E113" i="17"/>
  <c r="F113" i="17"/>
  <c r="G113" i="17"/>
  <c r="H113" i="17"/>
  <c r="J113" i="17"/>
  <c r="K113" i="17"/>
  <c r="L113" i="17"/>
  <c r="A114" i="17"/>
  <c r="B114" i="17"/>
  <c r="C114" i="17"/>
  <c r="D114" i="17"/>
  <c r="E114" i="17"/>
  <c r="F114" i="17"/>
  <c r="G114" i="17"/>
  <c r="H114" i="17"/>
  <c r="J114" i="17"/>
  <c r="K114" i="17"/>
  <c r="L114" i="17"/>
  <c r="A115" i="17"/>
  <c r="B115" i="17"/>
  <c r="C115" i="17"/>
  <c r="D115" i="17"/>
  <c r="E115" i="17"/>
  <c r="F115" i="17"/>
  <c r="G115" i="17"/>
  <c r="H115" i="17"/>
  <c r="J115" i="17"/>
  <c r="K115" i="17"/>
  <c r="L115" i="17"/>
  <c r="A116" i="17"/>
  <c r="B116" i="17"/>
  <c r="C116" i="17"/>
  <c r="D116" i="17"/>
  <c r="E116" i="17"/>
  <c r="F116" i="17"/>
  <c r="G116" i="17"/>
  <c r="H116" i="17"/>
  <c r="J116" i="17"/>
  <c r="K116" i="17"/>
  <c r="L116" i="17"/>
  <c r="A117" i="17"/>
  <c r="B117" i="17"/>
  <c r="C117" i="17"/>
  <c r="D117" i="17"/>
  <c r="E117" i="17"/>
  <c r="F117" i="17"/>
  <c r="G117" i="17"/>
  <c r="H117" i="17"/>
  <c r="J117" i="17"/>
  <c r="K117" i="17"/>
  <c r="L117" i="17"/>
  <c r="A118" i="17"/>
  <c r="B118" i="17"/>
  <c r="C118" i="17"/>
  <c r="D118" i="17"/>
  <c r="E118" i="17"/>
  <c r="F118" i="17"/>
  <c r="G118" i="17"/>
  <c r="H118" i="17"/>
  <c r="J118" i="17"/>
  <c r="K118" i="17"/>
  <c r="L118" i="17"/>
  <c r="A119" i="17"/>
  <c r="B119" i="17"/>
  <c r="C119" i="17"/>
  <c r="D119" i="17"/>
  <c r="E119" i="17"/>
  <c r="F119" i="17"/>
  <c r="G119" i="17"/>
  <c r="H119" i="17"/>
  <c r="J119" i="17"/>
  <c r="K119" i="17"/>
  <c r="L119" i="17"/>
  <c r="A120" i="17"/>
  <c r="B120" i="17"/>
  <c r="C120" i="17"/>
  <c r="D120" i="17"/>
  <c r="E120" i="17"/>
  <c r="F120" i="17"/>
  <c r="G120" i="17"/>
  <c r="H120" i="17"/>
  <c r="J120" i="17"/>
  <c r="K120" i="17"/>
  <c r="L120" i="17"/>
  <c r="A121" i="17"/>
  <c r="B121" i="17"/>
  <c r="C121" i="17"/>
  <c r="D121" i="17"/>
  <c r="E121" i="17"/>
  <c r="F121" i="17"/>
  <c r="G121" i="17"/>
  <c r="H121" i="17"/>
  <c r="J121" i="17"/>
  <c r="K121" i="17"/>
  <c r="L121" i="17"/>
  <c r="A122" i="17"/>
  <c r="B122" i="17"/>
  <c r="C122" i="17"/>
  <c r="D122" i="17"/>
  <c r="E122" i="17"/>
  <c r="F122" i="17"/>
  <c r="G122" i="17"/>
  <c r="H122" i="17"/>
  <c r="J122" i="17"/>
  <c r="K122" i="17"/>
  <c r="L122" i="17"/>
  <c r="A123" i="17"/>
  <c r="B123" i="17"/>
  <c r="C123" i="17"/>
  <c r="D123" i="17"/>
  <c r="E123" i="17"/>
  <c r="F123" i="17"/>
  <c r="G123" i="17"/>
  <c r="H123" i="17"/>
  <c r="J123" i="17"/>
  <c r="K123" i="17"/>
  <c r="L123" i="17"/>
  <c r="A124" i="17"/>
  <c r="B124" i="17"/>
  <c r="C124" i="17"/>
  <c r="D124" i="17"/>
  <c r="E124" i="17"/>
  <c r="F124" i="17"/>
  <c r="G124" i="17"/>
  <c r="H124" i="17"/>
  <c r="J124" i="17"/>
  <c r="K124" i="17"/>
  <c r="L124" i="17"/>
  <c r="A125" i="17"/>
  <c r="B125" i="17"/>
  <c r="C125" i="17"/>
  <c r="D125" i="17"/>
  <c r="E125" i="17"/>
  <c r="F125" i="17"/>
  <c r="G125" i="17"/>
  <c r="H125" i="17"/>
  <c r="J125" i="17"/>
  <c r="K125" i="17"/>
  <c r="L125" i="17"/>
  <c r="A126" i="17"/>
  <c r="B126" i="17"/>
  <c r="C126" i="17"/>
  <c r="D126" i="17"/>
  <c r="E126" i="17"/>
  <c r="F126" i="17"/>
  <c r="G126" i="17"/>
  <c r="H126" i="17"/>
  <c r="J126" i="17"/>
  <c r="K126" i="17"/>
  <c r="L126" i="17"/>
  <c r="A127" i="17"/>
  <c r="B127" i="17"/>
  <c r="C127" i="17"/>
  <c r="D127" i="17"/>
  <c r="E127" i="17"/>
  <c r="F127" i="17"/>
  <c r="G127" i="17"/>
  <c r="H127" i="17"/>
  <c r="J127" i="17"/>
  <c r="K127" i="17"/>
  <c r="L127" i="17"/>
  <c r="A128" i="17"/>
  <c r="B128" i="17"/>
  <c r="C128" i="17"/>
  <c r="D128" i="17"/>
  <c r="E128" i="17"/>
  <c r="F128" i="17"/>
  <c r="G128" i="17"/>
  <c r="H128" i="17"/>
  <c r="J128" i="17"/>
  <c r="K128" i="17"/>
  <c r="L128" i="17"/>
  <c r="A129" i="17"/>
  <c r="B129" i="17"/>
  <c r="C129" i="17"/>
  <c r="D129" i="17"/>
  <c r="E129" i="17"/>
  <c r="F129" i="17"/>
  <c r="G129" i="17"/>
  <c r="H129" i="17"/>
  <c r="J129" i="17"/>
  <c r="K129" i="17"/>
  <c r="L129" i="17"/>
  <c r="A130" i="17"/>
  <c r="B130" i="17"/>
  <c r="C130" i="17"/>
  <c r="D130" i="17"/>
  <c r="E130" i="17"/>
  <c r="F130" i="17"/>
  <c r="G130" i="17"/>
  <c r="H130" i="17"/>
  <c r="J130" i="17"/>
  <c r="K130" i="17"/>
  <c r="L130" i="17"/>
  <c r="A131" i="17"/>
  <c r="B131" i="17"/>
  <c r="C131" i="17"/>
  <c r="D131" i="17"/>
  <c r="E131" i="17"/>
  <c r="F131" i="17"/>
  <c r="G131" i="17"/>
  <c r="H131" i="17"/>
  <c r="J131" i="17"/>
  <c r="K131" i="17"/>
  <c r="L131" i="17"/>
  <c r="A132" i="17"/>
  <c r="B132" i="17"/>
  <c r="C132" i="17"/>
  <c r="D132" i="17"/>
  <c r="E132" i="17"/>
  <c r="F132" i="17"/>
  <c r="G132" i="17"/>
  <c r="H132" i="17"/>
  <c r="J132" i="17"/>
  <c r="K132" i="17"/>
  <c r="L132" i="17"/>
  <c r="A133" i="17"/>
  <c r="B133" i="17"/>
  <c r="C133" i="17"/>
  <c r="D133" i="17"/>
  <c r="E133" i="17"/>
  <c r="F133" i="17"/>
  <c r="G133" i="17"/>
  <c r="H133" i="17"/>
  <c r="J133" i="17"/>
  <c r="K133" i="17"/>
  <c r="L133" i="17"/>
  <c r="A134" i="17"/>
  <c r="B134" i="17"/>
  <c r="C134" i="17"/>
  <c r="D134" i="17"/>
  <c r="E134" i="17"/>
  <c r="F134" i="17"/>
  <c r="G134" i="17"/>
  <c r="H134" i="17"/>
  <c r="J134" i="17"/>
  <c r="K134" i="17"/>
  <c r="L134" i="17"/>
  <c r="A135" i="17"/>
  <c r="B135" i="17"/>
  <c r="C135" i="17"/>
  <c r="D135" i="17"/>
  <c r="E135" i="17"/>
  <c r="F135" i="17"/>
  <c r="G135" i="17"/>
  <c r="H135" i="17"/>
  <c r="J135" i="17"/>
  <c r="K135" i="17"/>
  <c r="L135" i="17"/>
  <c r="A136" i="17"/>
  <c r="B136" i="17"/>
  <c r="C136" i="17"/>
  <c r="D136" i="17"/>
  <c r="E136" i="17"/>
  <c r="F136" i="17"/>
  <c r="G136" i="17"/>
  <c r="H136" i="17"/>
  <c r="J136" i="17"/>
  <c r="K136" i="17"/>
  <c r="L136" i="17"/>
  <c r="A137" i="17"/>
  <c r="B137" i="17"/>
  <c r="C137" i="17"/>
  <c r="D137" i="17"/>
  <c r="E137" i="17"/>
  <c r="F137" i="17"/>
  <c r="G137" i="17"/>
  <c r="H137" i="17"/>
  <c r="J137" i="17"/>
  <c r="K137" i="17"/>
  <c r="L137" i="17"/>
  <c r="A138" i="17"/>
  <c r="B138" i="17"/>
  <c r="C138" i="17"/>
  <c r="D138" i="17"/>
  <c r="E138" i="17"/>
  <c r="F138" i="17"/>
  <c r="G138" i="17"/>
  <c r="H138" i="17"/>
  <c r="J138" i="17"/>
  <c r="K138" i="17"/>
  <c r="L138" i="17"/>
  <c r="A139" i="17"/>
  <c r="B139" i="17"/>
  <c r="C139" i="17"/>
  <c r="D139" i="17"/>
  <c r="E139" i="17"/>
  <c r="F139" i="17"/>
  <c r="G139" i="17"/>
  <c r="H139" i="17"/>
  <c r="J139" i="17"/>
  <c r="K139" i="17"/>
  <c r="L139" i="17"/>
  <c r="A140" i="17"/>
  <c r="B140" i="17"/>
  <c r="C140" i="17"/>
  <c r="D140" i="17"/>
  <c r="E140" i="17"/>
  <c r="F140" i="17"/>
  <c r="G140" i="17"/>
  <c r="H140" i="17"/>
  <c r="J140" i="17"/>
  <c r="K140" i="17"/>
  <c r="L140" i="17"/>
  <c r="A141" i="17"/>
  <c r="B141" i="17"/>
  <c r="C141" i="17"/>
  <c r="D141" i="17"/>
  <c r="E141" i="17"/>
  <c r="F141" i="17"/>
  <c r="G141" i="17"/>
  <c r="H141" i="17"/>
  <c r="J141" i="17"/>
  <c r="K141" i="17"/>
  <c r="L141" i="17"/>
  <c r="A142" i="17"/>
  <c r="B142" i="17"/>
  <c r="C142" i="17"/>
  <c r="D142" i="17"/>
  <c r="E142" i="17"/>
  <c r="F142" i="17"/>
  <c r="G142" i="17"/>
  <c r="H142" i="17"/>
  <c r="J142" i="17"/>
  <c r="K142" i="17"/>
  <c r="L142" i="17"/>
  <c r="A143" i="17"/>
  <c r="B143" i="17"/>
  <c r="C143" i="17"/>
  <c r="D143" i="17"/>
  <c r="E143" i="17"/>
  <c r="F143" i="17"/>
  <c r="G143" i="17"/>
  <c r="H143" i="17"/>
  <c r="J143" i="17"/>
  <c r="K143" i="17"/>
  <c r="L143" i="17"/>
  <c r="A144" i="17"/>
  <c r="B144" i="17"/>
  <c r="C144" i="17"/>
  <c r="D144" i="17"/>
  <c r="E144" i="17"/>
  <c r="F144" i="17"/>
  <c r="G144" i="17"/>
  <c r="H144" i="17"/>
  <c r="J144" i="17"/>
  <c r="K144" i="17"/>
  <c r="L144" i="17"/>
  <c r="A145" i="17"/>
  <c r="B145" i="17"/>
  <c r="C145" i="17"/>
  <c r="D145" i="17"/>
  <c r="E145" i="17"/>
  <c r="F145" i="17"/>
  <c r="G145" i="17"/>
  <c r="H145" i="17"/>
  <c r="J145" i="17"/>
  <c r="K145" i="17"/>
  <c r="L145" i="17"/>
  <c r="A146" i="17"/>
  <c r="B146" i="17"/>
  <c r="C146" i="17"/>
  <c r="D146" i="17"/>
  <c r="E146" i="17"/>
  <c r="F146" i="17"/>
  <c r="G146" i="17"/>
  <c r="H146" i="17"/>
  <c r="J146" i="17"/>
  <c r="K146" i="17"/>
  <c r="L146" i="17"/>
  <c r="A147" i="17"/>
  <c r="B147" i="17"/>
  <c r="C147" i="17"/>
  <c r="D147" i="17"/>
  <c r="E147" i="17"/>
  <c r="F147" i="17"/>
  <c r="G147" i="17"/>
  <c r="H147" i="17"/>
  <c r="J147" i="17"/>
  <c r="K147" i="17"/>
  <c r="L147" i="17"/>
  <c r="A148" i="17"/>
  <c r="B148" i="17"/>
  <c r="C148" i="17"/>
  <c r="D148" i="17"/>
  <c r="E148" i="17"/>
  <c r="F148" i="17"/>
  <c r="G148" i="17"/>
  <c r="H148" i="17"/>
  <c r="J148" i="17"/>
  <c r="K148" i="17"/>
  <c r="L148" i="17"/>
  <c r="A149" i="17"/>
  <c r="B149" i="17"/>
  <c r="C149" i="17"/>
  <c r="D149" i="17"/>
  <c r="E149" i="17"/>
  <c r="F149" i="17"/>
  <c r="G149" i="17"/>
  <c r="H149" i="17"/>
  <c r="J149" i="17"/>
  <c r="K149" i="17"/>
  <c r="L149" i="17"/>
  <c r="A150" i="17"/>
  <c r="B150" i="17"/>
  <c r="C150" i="17"/>
  <c r="D150" i="17"/>
  <c r="E150" i="17"/>
  <c r="F150" i="17"/>
  <c r="G150" i="17"/>
  <c r="H150" i="17"/>
  <c r="J150" i="17"/>
  <c r="K150" i="17"/>
  <c r="L150" i="17"/>
  <c r="A153" i="17"/>
  <c r="B153" i="17"/>
  <c r="C153" i="17"/>
  <c r="D153" i="17"/>
  <c r="E153" i="17"/>
  <c r="F153" i="17"/>
  <c r="G153" i="17"/>
  <c r="H153" i="17"/>
  <c r="J153" i="17"/>
  <c r="K153" i="17"/>
  <c r="L153" i="17"/>
  <c r="A154" i="17"/>
  <c r="B154" i="17"/>
  <c r="C154" i="17"/>
  <c r="D154" i="17"/>
  <c r="E154" i="17"/>
  <c r="F154" i="17"/>
  <c r="G154" i="17"/>
  <c r="H154" i="17"/>
  <c r="J154" i="17"/>
  <c r="K154" i="17"/>
  <c r="L154" i="17"/>
  <c r="A155" i="17"/>
  <c r="B155" i="17"/>
  <c r="C155" i="17"/>
  <c r="D155" i="17"/>
  <c r="E155" i="17"/>
  <c r="F155" i="17"/>
  <c r="G155" i="17"/>
  <c r="H155" i="17"/>
  <c r="J155" i="17"/>
  <c r="K155" i="17"/>
  <c r="L155" i="17"/>
  <c r="A156" i="17"/>
  <c r="B156" i="17"/>
  <c r="C156" i="17"/>
  <c r="D156" i="17"/>
  <c r="E156" i="17"/>
  <c r="F156" i="17"/>
  <c r="G156" i="17"/>
  <c r="H156" i="17"/>
  <c r="J156" i="17"/>
  <c r="K156" i="17"/>
  <c r="L156" i="17"/>
  <c r="A157" i="17"/>
  <c r="B157" i="17"/>
  <c r="C157" i="17"/>
  <c r="D157" i="17"/>
  <c r="E157" i="17"/>
  <c r="F157" i="17"/>
  <c r="G157" i="17"/>
  <c r="H157" i="17"/>
  <c r="J157" i="17"/>
  <c r="K157" i="17"/>
  <c r="L157" i="17"/>
  <c r="A158" i="17"/>
  <c r="B158" i="17"/>
  <c r="C158" i="17"/>
  <c r="D158" i="17"/>
  <c r="E158" i="17"/>
  <c r="F158" i="17"/>
  <c r="G158" i="17"/>
  <c r="H158" i="17"/>
  <c r="J158" i="17"/>
  <c r="K158" i="17"/>
  <c r="L158" i="17"/>
  <c r="A159" i="17"/>
  <c r="B159" i="17"/>
  <c r="C159" i="17"/>
  <c r="D159" i="17"/>
  <c r="E159" i="17"/>
  <c r="F159" i="17"/>
  <c r="G159" i="17"/>
  <c r="H159" i="17"/>
  <c r="J159" i="17"/>
  <c r="K159" i="17"/>
  <c r="L159" i="17"/>
  <c r="A160" i="17"/>
  <c r="B160" i="17"/>
  <c r="C160" i="17"/>
  <c r="D160" i="17"/>
  <c r="E160" i="17"/>
  <c r="F160" i="17"/>
  <c r="G160" i="17"/>
  <c r="H160" i="17"/>
  <c r="J160" i="17"/>
  <c r="K160" i="17"/>
  <c r="L160" i="17"/>
  <c r="A161" i="17"/>
  <c r="B161" i="17"/>
  <c r="C161" i="17"/>
  <c r="D161" i="17"/>
  <c r="E161" i="17"/>
  <c r="F161" i="17"/>
  <c r="G161" i="17"/>
  <c r="H161" i="17"/>
  <c r="J161" i="17"/>
  <c r="K161" i="17"/>
  <c r="L161" i="17"/>
  <c r="A162" i="17"/>
  <c r="B162" i="17"/>
  <c r="C162" i="17"/>
  <c r="D162" i="17"/>
  <c r="E162" i="17"/>
  <c r="F162" i="17"/>
  <c r="G162" i="17"/>
  <c r="H162" i="17"/>
  <c r="J162" i="17"/>
  <c r="K162" i="17"/>
  <c r="L162" i="17"/>
  <c r="A163" i="17"/>
  <c r="B163" i="17"/>
  <c r="C163" i="17"/>
  <c r="D163" i="17"/>
  <c r="E163" i="17"/>
  <c r="F163" i="17"/>
  <c r="G163" i="17"/>
  <c r="H163" i="17"/>
  <c r="J163" i="17"/>
  <c r="K163" i="17"/>
  <c r="L163" i="17"/>
  <c r="A164" i="17"/>
  <c r="B164" i="17"/>
  <c r="C164" i="17"/>
  <c r="D164" i="17"/>
  <c r="E164" i="17"/>
  <c r="F164" i="17"/>
  <c r="G164" i="17"/>
  <c r="H164" i="17"/>
  <c r="I164" i="17"/>
  <c r="J164" i="17"/>
  <c r="K164" i="17"/>
  <c r="L164" i="17"/>
  <c r="A165" i="17"/>
  <c r="B165" i="17"/>
  <c r="C165" i="17"/>
  <c r="D165" i="17"/>
  <c r="E165" i="17"/>
  <c r="F165" i="17"/>
  <c r="G165" i="17"/>
  <c r="H165" i="17"/>
  <c r="J165" i="17"/>
  <c r="K165" i="17"/>
  <c r="L165" i="17"/>
  <c r="A166" i="17"/>
  <c r="B166" i="17"/>
  <c r="C166" i="17"/>
  <c r="D166" i="17"/>
  <c r="E166" i="17"/>
  <c r="F166" i="17"/>
  <c r="G166" i="17"/>
  <c r="H166" i="17"/>
  <c r="J166" i="17"/>
  <c r="K166" i="17"/>
  <c r="L166" i="17"/>
  <c r="A167" i="17"/>
  <c r="B167" i="17"/>
  <c r="C167" i="17"/>
  <c r="D167" i="17"/>
  <c r="E167" i="17"/>
  <c r="F167" i="17"/>
  <c r="G167" i="17"/>
  <c r="H167" i="17"/>
  <c r="J167" i="17"/>
  <c r="K167" i="17"/>
  <c r="L167" i="17"/>
  <c r="A168" i="17"/>
  <c r="B168" i="17"/>
  <c r="C168" i="17"/>
  <c r="D168" i="17"/>
  <c r="E168" i="17"/>
  <c r="F168" i="17"/>
  <c r="G168" i="17"/>
  <c r="H168" i="17"/>
  <c r="J168" i="17"/>
  <c r="K168" i="17"/>
  <c r="L168" i="17"/>
  <c r="A169" i="17"/>
  <c r="B169" i="17"/>
  <c r="C169" i="17"/>
  <c r="D169" i="17"/>
  <c r="E169" i="17"/>
  <c r="F169" i="17"/>
  <c r="G169" i="17"/>
  <c r="H169" i="17"/>
  <c r="J169" i="17"/>
  <c r="K169" i="17"/>
  <c r="L169" i="17"/>
  <c r="A170" i="17"/>
  <c r="B170" i="17"/>
  <c r="C170" i="17"/>
  <c r="D170" i="17"/>
  <c r="E170" i="17"/>
  <c r="F170" i="17"/>
  <c r="G170" i="17"/>
  <c r="H170" i="17"/>
  <c r="J170" i="17"/>
  <c r="K170" i="17"/>
  <c r="L170" i="17"/>
  <c r="A171" i="17"/>
  <c r="B171" i="17"/>
  <c r="C171" i="17"/>
  <c r="D171" i="17"/>
  <c r="E171" i="17"/>
  <c r="F171" i="17"/>
  <c r="G171" i="17"/>
  <c r="H171" i="17"/>
  <c r="J171" i="17"/>
  <c r="K171" i="17"/>
  <c r="L171" i="17"/>
  <c r="A172" i="17"/>
  <c r="B172" i="17"/>
  <c r="C172" i="17"/>
  <c r="D172" i="17"/>
  <c r="E172" i="17"/>
  <c r="F172" i="17"/>
  <c r="G172" i="17"/>
  <c r="H172" i="17"/>
  <c r="J172" i="17"/>
  <c r="K172" i="17"/>
  <c r="L172" i="17"/>
  <c r="A173" i="17"/>
  <c r="B173" i="17"/>
  <c r="C173" i="17"/>
  <c r="D173" i="17"/>
  <c r="E173" i="17"/>
  <c r="F173" i="17"/>
  <c r="G173" i="17"/>
  <c r="H173" i="17"/>
  <c r="J173" i="17"/>
  <c r="K173" i="17"/>
  <c r="L173" i="17"/>
  <c r="A174" i="17"/>
  <c r="B174" i="17"/>
  <c r="C174" i="17"/>
  <c r="D174" i="17"/>
  <c r="E174" i="17"/>
  <c r="F174" i="17"/>
  <c r="G174" i="17"/>
  <c r="H174" i="17"/>
  <c r="J174" i="17"/>
  <c r="K174" i="17"/>
  <c r="L174" i="17"/>
  <c r="A175" i="17"/>
  <c r="B175" i="17"/>
  <c r="C175" i="17"/>
  <c r="D175" i="17"/>
  <c r="E175" i="17"/>
  <c r="F175" i="17"/>
  <c r="G175" i="17"/>
  <c r="H175" i="17"/>
  <c r="J175" i="17"/>
  <c r="K175" i="17"/>
  <c r="L175" i="17"/>
  <c r="A176" i="17"/>
  <c r="B176" i="17"/>
  <c r="C176" i="17"/>
  <c r="D176" i="17"/>
  <c r="E176" i="17"/>
  <c r="F176" i="17"/>
  <c r="G176" i="17"/>
  <c r="H176" i="17"/>
  <c r="I176" i="17"/>
  <c r="J176" i="17"/>
  <c r="K176" i="17"/>
  <c r="L176" i="17"/>
  <c r="A177" i="17"/>
  <c r="B177" i="17"/>
  <c r="C177" i="17"/>
  <c r="D177" i="17"/>
  <c r="E177" i="17"/>
  <c r="F177" i="17"/>
  <c r="G177" i="17"/>
  <c r="H177" i="17"/>
  <c r="J177" i="17"/>
  <c r="K177" i="17"/>
  <c r="L177" i="17"/>
  <c r="A178" i="17"/>
  <c r="B178" i="17"/>
  <c r="C178" i="17"/>
  <c r="D178" i="17"/>
  <c r="E178" i="17"/>
  <c r="F178" i="17"/>
  <c r="G178" i="17"/>
  <c r="H178" i="17"/>
  <c r="J178" i="17"/>
  <c r="K178" i="17"/>
  <c r="L178" i="17"/>
  <c r="A179" i="17"/>
  <c r="B179" i="17"/>
  <c r="C179" i="17"/>
  <c r="D179" i="17"/>
  <c r="E179" i="17"/>
  <c r="F179" i="17"/>
  <c r="G179" i="17"/>
  <c r="H179" i="17"/>
  <c r="J179" i="17"/>
  <c r="K179" i="17"/>
  <c r="L179" i="17"/>
  <c r="A180" i="17"/>
  <c r="B180" i="17"/>
  <c r="C180" i="17"/>
  <c r="D180" i="17"/>
  <c r="E180" i="17"/>
  <c r="F180" i="17"/>
  <c r="G180" i="17"/>
  <c r="H180" i="17"/>
  <c r="J180" i="17"/>
  <c r="K180" i="17"/>
  <c r="L180" i="17"/>
  <c r="A181" i="17"/>
  <c r="B181" i="17"/>
  <c r="C181" i="17"/>
  <c r="D181" i="17"/>
  <c r="E181" i="17"/>
  <c r="F181" i="17"/>
  <c r="G181" i="17"/>
  <c r="H181" i="17"/>
  <c r="J181" i="17"/>
  <c r="K181" i="17"/>
  <c r="L181" i="17"/>
  <c r="A182" i="17"/>
  <c r="B182" i="17"/>
  <c r="C182" i="17"/>
  <c r="D182" i="17"/>
  <c r="E182" i="17"/>
  <c r="F182" i="17"/>
  <c r="G182" i="17"/>
  <c r="H182" i="17"/>
  <c r="J182" i="17"/>
  <c r="K182" i="17"/>
  <c r="L182" i="17"/>
  <c r="A183" i="17"/>
  <c r="B183" i="17"/>
  <c r="C183" i="17"/>
  <c r="D183" i="17"/>
  <c r="E183" i="17"/>
  <c r="F183" i="17"/>
  <c r="G183" i="17"/>
  <c r="H183" i="17"/>
  <c r="J183" i="17"/>
  <c r="K183" i="17"/>
  <c r="L183" i="17"/>
  <c r="A184" i="17"/>
  <c r="B184" i="17"/>
  <c r="C184" i="17"/>
  <c r="D184" i="17"/>
  <c r="E184" i="17"/>
  <c r="F184" i="17"/>
  <c r="G184" i="17"/>
  <c r="H184" i="17"/>
  <c r="J184" i="17"/>
  <c r="K184" i="17"/>
  <c r="L184" i="17"/>
  <c r="A185" i="17"/>
  <c r="B185" i="17"/>
  <c r="C185" i="17"/>
  <c r="D185" i="17"/>
  <c r="E185" i="17"/>
  <c r="F185" i="17"/>
  <c r="G185" i="17"/>
  <c r="H185" i="17"/>
  <c r="J185" i="17"/>
  <c r="K185" i="17"/>
  <c r="L185" i="17"/>
  <c r="A186" i="17"/>
  <c r="B186" i="17"/>
  <c r="C186" i="17"/>
  <c r="D186" i="17"/>
  <c r="E186" i="17"/>
  <c r="F186" i="17"/>
  <c r="G186" i="17"/>
  <c r="H186" i="17"/>
  <c r="J186" i="17"/>
  <c r="K186" i="17"/>
  <c r="L186" i="17"/>
  <c r="A187" i="17"/>
  <c r="B187" i="17"/>
  <c r="C187" i="17"/>
  <c r="D187" i="17"/>
  <c r="E187" i="17"/>
  <c r="F187" i="17"/>
  <c r="G187" i="17"/>
  <c r="H187" i="17"/>
  <c r="J187" i="17"/>
  <c r="K187" i="17"/>
  <c r="L187" i="17"/>
  <c r="A188" i="17"/>
  <c r="B188" i="17"/>
  <c r="C188" i="17"/>
  <c r="D188" i="17"/>
  <c r="E188" i="17"/>
  <c r="F188" i="17"/>
  <c r="G188" i="17"/>
  <c r="H188" i="17"/>
  <c r="J188" i="17"/>
  <c r="K188" i="17"/>
  <c r="L188" i="17"/>
  <c r="A189" i="17"/>
  <c r="B189" i="17"/>
  <c r="C189" i="17"/>
  <c r="D189" i="17"/>
  <c r="E189" i="17"/>
  <c r="F189" i="17"/>
  <c r="G189" i="17"/>
  <c r="H189" i="17"/>
  <c r="J189" i="17"/>
  <c r="K189" i="17"/>
  <c r="L189" i="17"/>
  <c r="A190" i="17"/>
  <c r="B190" i="17"/>
  <c r="C190" i="17"/>
  <c r="D190" i="17"/>
  <c r="E190" i="17"/>
  <c r="F190" i="17"/>
  <c r="G190" i="17"/>
  <c r="H190" i="17"/>
  <c r="J190" i="17"/>
  <c r="K190" i="17"/>
  <c r="L190" i="17"/>
  <c r="A191" i="17"/>
  <c r="B191" i="17"/>
  <c r="C191" i="17"/>
  <c r="D191" i="17"/>
  <c r="E191" i="17"/>
  <c r="F191" i="17"/>
  <c r="G191" i="17"/>
  <c r="H191" i="17"/>
  <c r="J191" i="17"/>
  <c r="K191" i="17"/>
  <c r="L191" i="17"/>
  <c r="A192" i="17"/>
  <c r="B192" i="17"/>
  <c r="C192" i="17"/>
  <c r="D192" i="17"/>
  <c r="E192" i="17"/>
  <c r="F192" i="17"/>
  <c r="G192" i="17"/>
  <c r="H192" i="17"/>
  <c r="J192" i="17"/>
  <c r="K192" i="17"/>
  <c r="L192" i="17"/>
  <c r="A193" i="17"/>
  <c r="B193" i="17"/>
  <c r="C193" i="17"/>
  <c r="D193" i="17"/>
  <c r="E193" i="17"/>
  <c r="F193" i="17"/>
  <c r="G193" i="17"/>
  <c r="H193" i="17"/>
  <c r="I193" i="17"/>
  <c r="J193" i="17"/>
  <c r="K193" i="17"/>
  <c r="L193" i="17"/>
  <c r="A194" i="17"/>
  <c r="B194" i="17"/>
  <c r="C194" i="17"/>
  <c r="D194" i="17"/>
  <c r="E194" i="17"/>
  <c r="F194" i="17"/>
  <c r="G194" i="17"/>
  <c r="H194" i="17"/>
  <c r="J194" i="17"/>
  <c r="K194" i="17"/>
  <c r="L194" i="17"/>
  <c r="A195" i="17"/>
  <c r="B195" i="17"/>
  <c r="C195" i="17"/>
  <c r="D195" i="17"/>
  <c r="E195" i="17"/>
  <c r="F195" i="17"/>
  <c r="G195" i="17"/>
  <c r="H195" i="17"/>
  <c r="J195" i="17"/>
  <c r="K195" i="17"/>
  <c r="L195" i="17"/>
  <c r="A196" i="17"/>
  <c r="B196" i="17"/>
  <c r="C196" i="17"/>
  <c r="D196" i="17"/>
  <c r="E196" i="17"/>
  <c r="F196" i="17"/>
  <c r="G196" i="17"/>
  <c r="H196" i="17"/>
  <c r="J196" i="17"/>
  <c r="K196" i="17"/>
  <c r="L196" i="17"/>
  <c r="A197" i="17"/>
  <c r="B197" i="17"/>
  <c r="C197" i="17"/>
  <c r="D197" i="17"/>
  <c r="E197" i="17"/>
  <c r="F197" i="17"/>
  <c r="G197" i="17"/>
  <c r="H197" i="17"/>
  <c r="J197" i="17"/>
  <c r="K197" i="17"/>
  <c r="L197" i="17"/>
  <c r="A198" i="17"/>
  <c r="B198" i="17"/>
  <c r="C198" i="17"/>
  <c r="D198" i="17"/>
  <c r="E198" i="17"/>
  <c r="F198" i="17"/>
  <c r="G198" i="17"/>
  <c r="H198" i="17"/>
  <c r="J198" i="17"/>
  <c r="K198" i="17"/>
  <c r="L198" i="17"/>
  <c r="A199" i="17"/>
  <c r="B199" i="17"/>
  <c r="C199" i="17"/>
  <c r="D199" i="17"/>
  <c r="E199" i="17"/>
  <c r="F199" i="17"/>
  <c r="G199" i="17"/>
  <c r="H199" i="17"/>
  <c r="J199" i="17"/>
  <c r="K199" i="17"/>
  <c r="L199" i="17"/>
  <c r="A200" i="17"/>
  <c r="B200" i="17"/>
  <c r="C200" i="17"/>
  <c r="D200" i="17"/>
  <c r="E200" i="17"/>
  <c r="F200" i="17"/>
  <c r="G200" i="17"/>
  <c r="H200" i="17"/>
  <c r="J200" i="17"/>
  <c r="K200" i="17"/>
  <c r="L200" i="17"/>
  <c r="A201" i="17"/>
  <c r="B201" i="17"/>
  <c r="C201" i="17"/>
  <c r="D201" i="17"/>
  <c r="E201" i="17"/>
  <c r="F201" i="17"/>
  <c r="G201" i="17"/>
  <c r="H201" i="17"/>
  <c r="J201" i="17"/>
  <c r="K201" i="17"/>
  <c r="L201" i="17"/>
  <c r="A202" i="17"/>
  <c r="B202" i="17"/>
  <c r="C202" i="17"/>
  <c r="D202" i="17"/>
  <c r="E202" i="17"/>
  <c r="F202" i="17"/>
  <c r="G202" i="17"/>
  <c r="H202" i="17"/>
  <c r="J202" i="17"/>
  <c r="K202" i="17"/>
  <c r="L202" i="17"/>
  <c r="A203" i="17"/>
  <c r="B203" i="17"/>
  <c r="C203" i="17"/>
  <c r="D203" i="17"/>
  <c r="E203" i="17"/>
  <c r="F203" i="17"/>
  <c r="G203" i="17"/>
  <c r="H203" i="17"/>
  <c r="J203" i="17"/>
  <c r="K203" i="17"/>
  <c r="L203" i="17"/>
  <c r="A204" i="17"/>
  <c r="B204" i="17"/>
  <c r="C204" i="17"/>
  <c r="D204" i="17"/>
  <c r="E204" i="17"/>
  <c r="F204" i="17"/>
  <c r="G204" i="17"/>
  <c r="H204" i="17"/>
  <c r="J204" i="17"/>
  <c r="K204" i="17"/>
  <c r="L204" i="17"/>
  <c r="A205" i="17"/>
  <c r="B205" i="17"/>
  <c r="C205" i="17"/>
  <c r="D205" i="17"/>
  <c r="E205" i="17"/>
  <c r="F205" i="17"/>
  <c r="G205" i="17"/>
  <c r="H205" i="17"/>
  <c r="J205" i="17"/>
  <c r="K205" i="17"/>
  <c r="L205" i="17"/>
  <c r="A206" i="17"/>
  <c r="B206" i="17"/>
  <c r="C206" i="17"/>
  <c r="D206" i="17"/>
  <c r="E206" i="17"/>
  <c r="F206" i="17"/>
  <c r="G206" i="17"/>
  <c r="H206" i="17"/>
  <c r="J206" i="17"/>
  <c r="K206" i="17"/>
  <c r="L206" i="17"/>
  <c r="A207" i="17"/>
  <c r="B207" i="17"/>
  <c r="C207" i="17"/>
  <c r="D207" i="17"/>
  <c r="E207" i="17"/>
  <c r="F207" i="17"/>
  <c r="G207" i="17"/>
  <c r="H207" i="17"/>
  <c r="J207" i="17"/>
  <c r="K207" i="17"/>
  <c r="L207" i="17"/>
  <c r="A208" i="17"/>
  <c r="B208" i="17"/>
  <c r="C208" i="17"/>
  <c r="D208" i="17"/>
  <c r="E208" i="17"/>
  <c r="F208" i="17"/>
  <c r="G208" i="17"/>
  <c r="H208" i="17"/>
  <c r="J208" i="17"/>
  <c r="K208" i="17"/>
  <c r="L208" i="17"/>
  <c r="A209" i="17"/>
  <c r="B209" i="17"/>
  <c r="C209" i="17"/>
  <c r="D209" i="17"/>
  <c r="E209" i="17"/>
  <c r="F209" i="17"/>
  <c r="G209" i="17"/>
  <c r="H209" i="17"/>
  <c r="J209" i="17"/>
  <c r="K209" i="17"/>
  <c r="L209" i="17"/>
  <c r="A210" i="17"/>
  <c r="B210" i="17"/>
  <c r="C210" i="17"/>
  <c r="D210" i="17"/>
  <c r="E210" i="17"/>
  <c r="F210" i="17"/>
  <c r="G210" i="17"/>
  <c r="H210" i="17"/>
  <c r="J210" i="17"/>
  <c r="K210" i="17"/>
  <c r="L210" i="17"/>
  <c r="A211" i="17"/>
  <c r="B211" i="17"/>
  <c r="C211" i="17"/>
  <c r="D211" i="17"/>
  <c r="E211" i="17"/>
  <c r="F211" i="17"/>
  <c r="G211" i="17"/>
  <c r="H211" i="17"/>
  <c r="J211" i="17"/>
  <c r="K211" i="17"/>
  <c r="L211" i="17"/>
  <c r="A212" i="17"/>
  <c r="B212" i="17"/>
  <c r="C212" i="17"/>
  <c r="D212" i="17"/>
  <c r="E212" i="17"/>
  <c r="F212" i="17"/>
  <c r="G212" i="17"/>
  <c r="H212" i="17"/>
  <c r="J212" i="17"/>
  <c r="K212" i="17"/>
  <c r="L212" i="17"/>
  <c r="A213" i="17"/>
  <c r="B213" i="17"/>
  <c r="C213" i="17"/>
  <c r="D213" i="17"/>
  <c r="E213" i="17"/>
  <c r="F213" i="17"/>
  <c r="G213" i="17"/>
  <c r="H213" i="17"/>
  <c r="J213" i="17"/>
  <c r="K213" i="17"/>
  <c r="L213" i="17"/>
  <c r="A214" i="17"/>
  <c r="B214" i="17"/>
  <c r="C214" i="17"/>
  <c r="D214" i="17"/>
  <c r="E214" i="17"/>
  <c r="F214" i="17"/>
  <c r="G214" i="17"/>
  <c r="H214" i="17"/>
  <c r="J214" i="17"/>
  <c r="K214" i="17"/>
  <c r="L214" i="17"/>
  <c r="A215" i="17"/>
  <c r="B215" i="17"/>
  <c r="C215" i="17"/>
  <c r="D215" i="17"/>
  <c r="E215" i="17"/>
  <c r="F215" i="17"/>
  <c r="G215" i="17"/>
  <c r="H215" i="17"/>
  <c r="J215" i="17"/>
  <c r="K215" i="17"/>
  <c r="L215" i="17"/>
  <c r="A216" i="17"/>
  <c r="B216" i="17"/>
  <c r="C216" i="17"/>
  <c r="D216" i="17"/>
  <c r="E216" i="17"/>
  <c r="F216" i="17"/>
  <c r="G216" i="17"/>
  <c r="H216" i="17"/>
  <c r="J216" i="17"/>
  <c r="K216" i="17"/>
  <c r="L216" i="17"/>
  <c r="A217" i="17"/>
  <c r="B217" i="17"/>
  <c r="C217" i="17"/>
  <c r="D217" i="17"/>
  <c r="E217" i="17"/>
  <c r="F217" i="17"/>
  <c r="G217" i="17"/>
  <c r="H217" i="17"/>
  <c r="I217" i="17"/>
  <c r="J217" i="17"/>
  <c r="K217" i="17"/>
  <c r="L217" i="17"/>
  <c r="A218" i="17"/>
  <c r="B218" i="17"/>
  <c r="C218" i="17"/>
  <c r="D218" i="17"/>
  <c r="E218" i="17"/>
  <c r="F218" i="17"/>
  <c r="G218" i="17"/>
  <c r="H218" i="17"/>
  <c r="J218" i="17"/>
  <c r="K218" i="17"/>
  <c r="L218" i="17"/>
  <c r="A219" i="17"/>
  <c r="B219" i="17"/>
  <c r="C219" i="17"/>
  <c r="D219" i="17"/>
  <c r="E219" i="17"/>
  <c r="F219" i="17"/>
  <c r="G219" i="17"/>
  <c r="H219" i="17"/>
  <c r="J219" i="17"/>
  <c r="K219" i="17"/>
  <c r="L219" i="17"/>
  <c r="A220" i="17"/>
  <c r="B220" i="17"/>
  <c r="C220" i="17"/>
  <c r="D220" i="17"/>
  <c r="E220" i="17"/>
  <c r="F220" i="17"/>
  <c r="G220" i="17"/>
  <c r="H220" i="17"/>
  <c r="J220" i="17"/>
  <c r="K220" i="17"/>
  <c r="L220" i="17"/>
  <c r="A221" i="17"/>
  <c r="B221" i="17"/>
  <c r="C221" i="17"/>
  <c r="D221" i="17"/>
  <c r="E221" i="17"/>
  <c r="F221" i="17"/>
  <c r="G221" i="17"/>
  <c r="H221" i="17"/>
  <c r="J221" i="17"/>
  <c r="K221" i="17"/>
  <c r="L221" i="17"/>
  <c r="A222" i="17"/>
  <c r="B222" i="17"/>
  <c r="C222" i="17"/>
  <c r="D222" i="17"/>
  <c r="E222" i="17"/>
  <c r="F222" i="17"/>
  <c r="G222" i="17"/>
  <c r="H222" i="17"/>
  <c r="J222" i="17"/>
  <c r="K222" i="17"/>
  <c r="L222" i="17"/>
  <c r="A223" i="17"/>
  <c r="B223" i="17"/>
  <c r="C223" i="17"/>
  <c r="D223" i="17"/>
  <c r="E223" i="17"/>
  <c r="F223" i="17"/>
  <c r="G223" i="17"/>
  <c r="H223" i="17"/>
  <c r="J223" i="17"/>
  <c r="K223" i="17"/>
  <c r="L223" i="17"/>
  <c r="A226" i="17"/>
  <c r="B226" i="17"/>
  <c r="C226" i="17"/>
  <c r="D226" i="17"/>
  <c r="E226" i="17"/>
  <c r="F226" i="17"/>
  <c r="G226" i="17"/>
  <c r="H226" i="17"/>
  <c r="J226" i="17"/>
  <c r="K226" i="17"/>
  <c r="L226" i="17"/>
  <c r="A227" i="17"/>
  <c r="B227" i="17"/>
  <c r="C227" i="17"/>
  <c r="D227" i="17"/>
  <c r="E227" i="17"/>
  <c r="F227" i="17"/>
  <c r="G227" i="17"/>
  <c r="H227" i="17"/>
  <c r="J227" i="17"/>
  <c r="K227" i="17"/>
  <c r="A228" i="17"/>
  <c r="B228" i="17"/>
  <c r="C228" i="17"/>
  <c r="D228" i="17"/>
  <c r="E228" i="17"/>
  <c r="F228" i="17"/>
  <c r="G228" i="17"/>
  <c r="H228" i="17"/>
  <c r="J228" i="17"/>
  <c r="K228" i="17"/>
  <c r="A229" i="17"/>
  <c r="B229" i="17"/>
  <c r="C229" i="17"/>
  <c r="D229" i="17"/>
  <c r="E229" i="17"/>
  <c r="F229" i="17"/>
  <c r="G229" i="17"/>
  <c r="H229" i="17"/>
  <c r="J229" i="17"/>
  <c r="K229" i="17"/>
  <c r="L229" i="17"/>
  <c r="A230" i="17"/>
  <c r="B230" i="17"/>
  <c r="C230" i="17"/>
  <c r="D230" i="17"/>
  <c r="E230" i="17"/>
  <c r="F230" i="17"/>
  <c r="G230" i="17"/>
  <c r="H230" i="17"/>
  <c r="J230" i="17"/>
  <c r="K230" i="17"/>
  <c r="A231" i="17"/>
  <c r="B231" i="17"/>
  <c r="C231" i="17"/>
  <c r="D231" i="17"/>
  <c r="E231" i="17"/>
  <c r="F231" i="17"/>
  <c r="G231" i="17"/>
  <c r="H231" i="17"/>
  <c r="J231" i="17"/>
  <c r="K231" i="17"/>
  <c r="A232" i="17"/>
  <c r="B232" i="17"/>
  <c r="C232" i="17"/>
  <c r="D232" i="17"/>
  <c r="E232" i="17"/>
  <c r="F232" i="17"/>
  <c r="G232" i="17"/>
  <c r="H232" i="17"/>
  <c r="J232" i="17"/>
  <c r="K232" i="17"/>
  <c r="A233" i="17"/>
  <c r="B233" i="17"/>
  <c r="C233" i="17"/>
  <c r="D233" i="17"/>
  <c r="E233" i="17"/>
  <c r="F233" i="17"/>
  <c r="G233" i="17"/>
  <c r="H233" i="17"/>
  <c r="J233" i="17"/>
  <c r="K233" i="17"/>
  <c r="A234" i="17"/>
  <c r="B234" i="17"/>
  <c r="C234" i="17"/>
  <c r="D234" i="17"/>
  <c r="E234" i="17"/>
  <c r="F234" i="17"/>
  <c r="G234" i="17"/>
  <c r="H234" i="17"/>
  <c r="J234" i="17"/>
  <c r="K234" i="17"/>
  <c r="A235" i="17"/>
  <c r="B235" i="17"/>
  <c r="C235" i="17"/>
  <c r="D235" i="17"/>
  <c r="E235" i="17"/>
  <c r="F235" i="17"/>
  <c r="G235" i="17"/>
  <c r="H235" i="17"/>
  <c r="J235" i="17"/>
  <c r="K235" i="17"/>
  <c r="L235" i="17"/>
  <c r="A236" i="17"/>
  <c r="B236" i="17"/>
  <c r="C236" i="17"/>
  <c r="D236" i="17"/>
  <c r="E236" i="17"/>
  <c r="F236" i="17"/>
  <c r="G236" i="17"/>
  <c r="H236" i="17"/>
  <c r="J236" i="17"/>
  <c r="K236" i="17"/>
  <c r="L236" i="17"/>
  <c r="A237" i="17"/>
  <c r="B237" i="17"/>
  <c r="C237" i="17"/>
  <c r="D237" i="17"/>
  <c r="E237" i="17"/>
  <c r="F237" i="17"/>
  <c r="G237" i="17"/>
  <c r="H237" i="17"/>
  <c r="J237" i="17"/>
  <c r="K237" i="17"/>
  <c r="L237" i="17"/>
  <c r="A238" i="17"/>
  <c r="B238" i="17"/>
  <c r="C238" i="17"/>
  <c r="D238" i="17"/>
  <c r="E238" i="17"/>
  <c r="F238" i="17"/>
  <c r="G238" i="17"/>
  <c r="H238" i="17"/>
  <c r="J238" i="17"/>
  <c r="K238" i="17"/>
  <c r="A239" i="17"/>
  <c r="B239" i="17"/>
  <c r="C239" i="17"/>
  <c r="D239" i="17"/>
  <c r="E239" i="17"/>
  <c r="F239" i="17"/>
  <c r="G239" i="17"/>
  <c r="H239" i="17"/>
  <c r="J239" i="17"/>
  <c r="K239" i="17"/>
  <c r="A240" i="17"/>
  <c r="B240" i="17"/>
  <c r="C240" i="17"/>
  <c r="D240" i="17"/>
  <c r="E240" i="17"/>
  <c r="F240" i="17"/>
  <c r="G240" i="17"/>
  <c r="H240" i="17"/>
  <c r="J240" i="17"/>
  <c r="K240" i="17"/>
  <c r="L240" i="17"/>
  <c r="A241" i="17"/>
  <c r="B241" i="17"/>
  <c r="C241" i="17"/>
  <c r="D241" i="17"/>
  <c r="E241" i="17"/>
  <c r="F241" i="17"/>
  <c r="G241" i="17"/>
  <c r="H241" i="17"/>
  <c r="J241" i="17"/>
  <c r="K241" i="17"/>
  <c r="L241" i="17"/>
  <c r="A242" i="17"/>
  <c r="B242" i="17"/>
  <c r="C242" i="17"/>
  <c r="D242" i="17"/>
  <c r="E242" i="17"/>
  <c r="F242" i="17"/>
  <c r="G242" i="17"/>
  <c r="H242" i="17"/>
  <c r="J242" i="17"/>
  <c r="K242" i="17"/>
  <c r="A243" i="17"/>
  <c r="B243" i="17"/>
  <c r="C243" i="17"/>
  <c r="D243" i="17"/>
  <c r="E243" i="17"/>
  <c r="F243" i="17"/>
  <c r="G243" i="17"/>
  <c r="H243" i="17"/>
  <c r="J243" i="17"/>
  <c r="K243" i="17"/>
  <c r="L243" i="17"/>
  <c r="A244" i="17"/>
  <c r="B244" i="17"/>
  <c r="C244" i="17"/>
  <c r="D244" i="17"/>
  <c r="E244" i="17"/>
  <c r="F244" i="17"/>
  <c r="G244" i="17"/>
  <c r="H244" i="17"/>
  <c r="J244" i="17"/>
  <c r="K244" i="17"/>
  <c r="A245" i="17"/>
  <c r="B245" i="17"/>
  <c r="C245" i="17"/>
  <c r="D245" i="17"/>
  <c r="E245" i="17"/>
  <c r="F245" i="17"/>
  <c r="G245" i="17"/>
  <c r="H245" i="17"/>
  <c r="J245" i="17"/>
  <c r="K245" i="17"/>
  <c r="A246" i="17"/>
  <c r="B246" i="17"/>
  <c r="C246" i="17"/>
  <c r="D246" i="17"/>
  <c r="E246" i="17"/>
  <c r="F246" i="17"/>
  <c r="G246" i="17"/>
  <c r="H246" i="17"/>
  <c r="J246" i="17"/>
  <c r="K246" i="17"/>
  <c r="L246" i="17"/>
  <c r="A247" i="17"/>
  <c r="B247" i="17"/>
  <c r="C247" i="17"/>
  <c r="D247" i="17"/>
  <c r="E247" i="17"/>
  <c r="F247" i="17"/>
  <c r="G247" i="17"/>
  <c r="H247" i="17"/>
  <c r="J247" i="17"/>
  <c r="K247" i="17"/>
  <c r="L247" i="17"/>
  <c r="A248" i="17"/>
  <c r="B248" i="17"/>
  <c r="C248" i="17"/>
  <c r="D248" i="17"/>
  <c r="E248" i="17"/>
  <c r="F248" i="17"/>
  <c r="G248" i="17"/>
  <c r="H248" i="17"/>
  <c r="J248" i="17"/>
  <c r="K248" i="17"/>
  <c r="L248" i="17"/>
  <c r="A249" i="17"/>
  <c r="B249" i="17"/>
  <c r="C249" i="17"/>
  <c r="D249" i="17"/>
  <c r="E249" i="17"/>
  <c r="F249" i="17"/>
  <c r="G249" i="17"/>
  <c r="H249" i="17"/>
  <c r="J249" i="17"/>
  <c r="K249" i="17"/>
  <c r="L249" i="17"/>
  <c r="A250" i="17"/>
  <c r="B250" i="17"/>
  <c r="C250" i="17"/>
  <c r="D250" i="17"/>
  <c r="E250" i="17"/>
  <c r="F250" i="17"/>
  <c r="G250" i="17"/>
  <c r="H250" i="17"/>
  <c r="J250" i="17"/>
  <c r="K250" i="17"/>
  <c r="L250" i="17"/>
  <c r="A251" i="17"/>
  <c r="B251" i="17"/>
  <c r="C251" i="17"/>
  <c r="D251" i="17"/>
  <c r="E251" i="17"/>
  <c r="F251" i="17"/>
  <c r="G251" i="17"/>
  <c r="H251" i="17"/>
  <c r="J251" i="17"/>
  <c r="K251" i="17"/>
  <c r="L251" i="17"/>
  <c r="A252" i="17"/>
  <c r="B252" i="17"/>
  <c r="C252" i="17"/>
  <c r="D252" i="17"/>
  <c r="E252" i="17"/>
  <c r="F252" i="17"/>
  <c r="G252" i="17"/>
  <c r="H252" i="17"/>
  <c r="J252" i="17"/>
  <c r="K252" i="17"/>
  <c r="L252" i="17"/>
  <c r="A253" i="17"/>
  <c r="B253" i="17"/>
  <c r="C253" i="17"/>
  <c r="D253" i="17"/>
  <c r="E253" i="17"/>
  <c r="F253" i="17"/>
  <c r="G253" i="17"/>
  <c r="H253" i="17"/>
  <c r="J253" i="17"/>
  <c r="K253" i="17"/>
  <c r="A254" i="17"/>
  <c r="B254" i="17"/>
  <c r="C254" i="17"/>
  <c r="D254" i="17"/>
  <c r="E254" i="17"/>
  <c r="F254" i="17"/>
  <c r="G254" i="17"/>
  <c r="H254" i="17"/>
  <c r="J254" i="17"/>
  <c r="K254" i="17"/>
  <c r="A255" i="17"/>
  <c r="B255" i="17"/>
  <c r="C255" i="17"/>
  <c r="D255" i="17"/>
  <c r="E255" i="17"/>
  <c r="F255" i="17"/>
  <c r="G255" i="17"/>
  <c r="H255" i="17"/>
  <c r="J255" i="17"/>
  <c r="K255" i="17"/>
  <c r="L255" i="17"/>
  <c r="A256" i="17"/>
  <c r="B256" i="17"/>
  <c r="C256" i="17"/>
  <c r="D256" i="17"/>
  <c r="E256" i="17"/>
  <c r="F256" i="17"/>
  <c r="G256" i="17"/>
  <c r="H256" i="17"/>
  <c r="J256" i="17"/>
  <c r="K256" i="17"/>
  <c r="A257" i="17"/>
  <c r="B257" i="17"/>
  <c r="C257" i="17"/>
  <c r="D257" i="17"/>
  <c r="E257" i="17"/>
  <c r="F257" i="17"/>
  <c r="G257" i="17"/>
  <c r="H257" i="17"/>
  <c r="J257" i="17"/>
  <c r="K257" i="17"/>
  <c r="L257" i="17"/>
  <c r="A258" i="17"/>
  <c r="B258" i="17"/>
  <c r="C258" i="17"/>
  <c r="D258" i="17"/>
  <c r="E258" i="17"/>
  <c r="F258" i="17"/>
  <c r="G258" i="17"/>
  <c r="H258" i="17"/>
  <c r="J258" i="17"/>
  <c r="K258" i="17"/>
  <c r="A261" i="17"/>
  <c r="B261" i="17"/>
  <c r="C261" i="17"/>
  <c r="D261" i="17"/>
  <c r="E261" i="17"/>
  <c r="F261" i="17"/>
  <c r="G261" i="17"/>
  <c r="H261" i="17"/>
  <c r="J261" i="17"/>
  <c r="K261" i="17"/>
  <c r="L261" i="17"/>
  <c r="A262" i="17"/>
  <c r="B262" i="17"/>
  <c r="C262" i="17"/>
  <c r="D262" i="17"/>
  <c r="E262" i="17"/>
  <c r="F262" i="17"/>
  <c r="G262" i="17"/>
  <c r="H262" i="17"/>
  <c r="J262" i="17"/>
  <c r="K262" i="17"/>
  <c r="L262" i="17"/>
  <c r="A263" i="17"/>
  <c r="B263" i="17"/>
  <c r="C263" i="17"/>
  <c r="D263" i="17"/>
  <c r="E263" i="17"/>
  <c r="F263" i="17"/>
  <c r="G263" i="17"/>
  <c r="H263" i="17"/>
  <c r="J263" i="17"/>
  <c r="K263" i="17"/>
  <c r="L263" i="17"/>
  <c r="A264" i="17"/>
  <c r="B264" i="17"/>
  <c r="C264" i="17"/>
  <c r="D264" i="17"/>
  <c r="E264" i="17"/>
  <c r="F264" i="17"/>
  <c r="G264" i="17"/>
  <c r="H264" i="17"/>
  <c r="J264" i="17"/>
  <c r="K264" i="17"/>
  <c r="L264" i="17"/>
  <c r="A265" i="17"/>
  <c r="B265" i="17"/>
  <c r="C265" i="17"/>
  <c r="D265" i="17"/>
  <c r="E265" i="17"/>
  <c r="F265" i="17"/>
  <c r="G265" i="17"/>
  <c r="H265" i="17"/>
  <c r="J265" i="17"/>
  <c r="K265" i="17"/>
  <c r="L265" i="17"/>
  <c r="A266" i="17"/>
  <c r="B266" i="17"/>
  <c r="C266" i="17"/>
  <c r="D266" i="17"/>
  <c r="E266" i="17"/>
  <c r="F266" i="17"/>
  <c r="G266" i="17"/>
  <c r="H266" i="17"/>
  <c r="J266" i="17"/>
  <c r="K266" i="17"/>
  <c r="L266" i="17"/>
  <c r="A267" i="17"/>
  <c r="B267" i="17"/>
  <c r="C267" i="17"/>
  <c r="D267" i="17"/>
  <c r="E267" i="17"/>
  <c r="F267" i="17"/>
  <c r="G267" i="17"/>
  <c r="H267" i="17"/>
  <c r="J267" i="17"/>
  <c r="K267" i="17"/>
  <c r="L267" i="17"/>
  <c r="A268" i="17"/>
  <c r="B268" i="17"/>
  <c r="C268" i="17"/>
  <c r="D268" i="17"/>
  <c r="E268" i="17"/>
  <c r="F268" i="17"/>
  <c r="G268" i="17"/>
  <c r="H268" i="17"/>
  <c r="J268" i="17"/>
  <c r="K268" i="17"/>
  <c r="L268" i="17"/>
  <c r="A269" i="17"/>
  <c r="B269" i="17"/>
  <c r="C269" i="17"/>
  <c r="D269" i="17"/>
  <c r="E269" i="17"/>
  <c r="F269" i="17"/>
  <c r="G269" i="17"/>
  <c r="H269" i="17"/>
  <c r="J269" i="17"/>
  <c r="K269" i="17"/>
  <c r="L269" i="17"/>
  <c r="A270" i="17"/>
  <c r="B270" i="17"/>
  <c r="C270" i="17"/>
  <c r="D270" i="17"/>
  <c r="E270" i="17"/>
  <c r="F270" i="17"/>
  <c r="G270" i="17"/>
  <c r="H270" i="17"/>
  <c r="J270" i="17"/>
  <c r="K270" i="17"/>
  <c r="L270" i="17"/>
  <c r="A271" i="17"/>
  <c r="B271" i="17"/>
  <c r="C271" i="17"/>
  <c r="D271" i="17"/>
  <c r="E271" i="17"/>
  <c r="F271" i="17"/>
  <c r="G271" i="17"/>
  <c r="H271" i="17"/>
  <c r="J271" i="17"/>
  <c r="K271" i="17"/>
  <c r="L271" i="17"/>
  <c r="A272" i="17"/>
  <c r="B272" i="17"/>
  <c r="C272" i="17"/>
  <c r="D272" i="17"/>
  <c r="E272" i="17"/>
  <c r="F272" i="17"/>
  <c r="G272" i="17"/>
  <c r="H272" i="17"/>
  <c r="J272" i="17"/>
  <c r="K272" i="17"/>
  <c r="L272" i="17"/>
  <c r="A273" i="17"/>
  <c r="B273" i="17"/>
  <c r="C273" i="17"/>
  <c r="D273" i="17"/>
  <c r="E273" i="17"/>
  <c r="F273" i="17"/>
  <c r="G273" i="17"/>
  <c r="H273" i="17"/>
  <c r="J273" i="17"/>
  <c r="K273" i="17"/>
  <c r="L273" i="17"/>
  <c r="A274" i="17"/>
  <c r="B274" i="17"/>
  <c r="C274" i="17"/>
  <c r="D274" i="17"/>
  <c r="E274" i="17"/>
  <c r="F274" i="17"/>
  <c r="G274" i="17"/>
  <c r="H274" i="17"/>
  <c r="J274" i="17"/>
  <c r="K274" i="17"/>
  <c r="L274" i="17"/>
  <c r="A275" i="17"/>
  <c r="B275" i="17"/>
  <c r="C275" i="17"/>
  <c r="D275" i="17"/>
  <c r="E275" i="17"/>
  <c r="F275" i="17"/>
  <c r="G275" i="17"/>
  <c r="H275" i="17"/>
  <c r="J275" i="17"/>
  <c r="K275" i="17"/>
  <c r="L275" i="17"/>
  <c r="A276" i="17"/>
  <c r="B276" i="17"/>
  <c r="C276" i="17"/>
  <c r="D276" i="17"/>
  <c r="E276" i="17"/>
  <c r="F276" i="17"/>
  <c r="G276" i="17"/>
  <c r="H276" i="17"/>
  <c r="J276" i="17"/>
  <c r="K276" i="17"/>
  <c r="L276" i="17"/>
  <c r="A277" i="17"/>
  <c r="B277" i="17"/>
  <c r="C277" i="17"/>
  <c r="D277" i="17"/>
  <c r="E277" i="17"/>
  <c r="F277" i="17"/>
  <c r="G277" i="17"/>
  <c r="H277" i="17"/>
  <c r="J277" i="17"/>
  <c r="K277" i="17"/>
  <c r="L277" i="17"/>
  <c r="A278" i="17"/>
  <c r="B278" i="17"/>
  <c r="C278" i="17"/>
  <c r="D278" i="17"/>
  <c r="E278" i="17"/>
  <c r="F278" i="17"/>
  <c r="G278" i="17"/>
  <c r="H278" i="17"/>
  <c r="J278" i="17"/>
  <c r="K278" i="17"/>
  <c r="L278" i="17"/>
  <c r="A279" i="17"/>
  <c r="B279" i="17"/>
  <c r="C279" i="17"/>
  <c r="D279" i="17"/>
  <c r="E279" i="17"/>
  <c r="F279" i="17"/>
  <c r="G279" i="17"/>
  <c r="H279" i="17"/>
  <c r="J279" i="17"/>
  <c r="K279" i="17"/>
  <c r="L279" i="17"/>
  <c r="A280" i="17"/>
  <c r="B280" i="17"/>
  <c r="C280" i="17"/>
  <c r="D280" i="17"/>
  <c r="E280" i="17"/>
  <c r="F280" i="17"/>
  <c r="G280" i="17"/>
  <c r="H280" i="17"/>
  <c r="J280" i="17"/>
  <c r="K280" i="17"/>
  <c r="L280" i="17"/>
  <c r="A281" i="17"/>
  <c r="B281" i="17"/>
  <c r="C281" i="17"/>
  <c r="D281" i="17"/>
  <c r="E281" i="17"/>
  <c r="F281" i="17"/>
  <c r="G281" i="17"/>
  <c r="H281" i="17"/>
  <c r="J281" i="17"/>
  <c r="K281" i="17"/>
  <c r="L281" i="17"/>
  <c r="A282" i="17"/>
  <c r="B282" i="17"/>
  <c r="C282" i="17"/>
  <c r="D282" i="17"/>
  <c r="E282" i="17"/>
  <c r="F282" i="17"/>
  <c r="G282" i="17"/>
  <c r="H282" i="17"/>
  <c r="J282" i="17"/>
  <c r="K282" i="17"/>
  <c r="L282" i="17"/>
  <c r="A283" i="17"/>
  <c r="B283" i="17"/>
  <c r="C283" i="17"/>
  <c r="D283" i="17"/>
  <c r="E283" i="17"/>
  <c r="F283" i="17"/>
  <c r="G283" i="17"/>
  <c r="H283" i="17"/>
  <c r="J283" i="17"/>
  <c r="K283" i="17"/>
  <c r="L283" i="17"/>
  <c r="A284" i="17"/>
  <c r="B284" i="17"/>
  <c r="C284" i="17"/>
  <c r="D284" i="17"/>
  <c r="E284" i="17"/>
  <c r="F284" i="17"/>
  <c r="G284" i="17"/>
  <c r="H284" i="17"/>
  <c r="J284" i="17"/>
  <c r="K284" i="17"/>
  <c r="L284" i="17"/>
  <c r="A285" i="17"/>
  <c r="B285" i="17"/>
  <c r="C285" i="17"/>
  <c r="D285" i="17"/>
  <c r="E285" i="17"/>
  <c r="F285" i="17"/>
  <c r="G285" i="17"/>
  <c r="H285" i="17"/>
  <c r="J285" i="17"/>
  <c r="K285" i="17"/>
  <c r="L285" i="17"/>
  <c r="A286" i="17"/>
  <c r="B286" i="17"/>
  <c r="C286" i="17"/>
  <c r="D286" i="17"/>
  <c r="E286" i="17"/>
  <c r="F286" i="17"/>
  <c r="G286" i="17"/>
  <c r="H286" i="17"/>
  <c r="J286" i="17"/>
  <c r="K286" i="17"/>
  <c r="L286" i="17"/>
  <c r="A287" i="17"/>
  <c r="B287" i="17"/>
  <c r="C287" i="17"/>
  <c r="D287" i="17"/>
  <c r="E287" i="17"/>
  <c r="F287" i="17"/>
  <c r="G287" i="17"/>
  <c r="H287" i="17"/>
  <c r="J287" i="17"/>
  <c r="K287" i="17"/>
  <c r="L287" i="17"/>
  <c r="A288" i="17"/>
  <c r="B288" i="17"/>
  <c r="C288" i="17"/>
  <c r="D288" i="17"/>
  <c r="E288" i="17"/>
  <c r="F288" i="17"/>
  <c r="G288" i="17"/>
  <c r="H288" i="17"/>
  <c r="J288" i="17"/>
  <c r="K288" i="17"/>
  <c r="L288" i="17"/>
  <c r="A289" i="17"/>
  <c r="B289" i="17"/>
  <c r="C289" i="17"/>
  <c r="D289" i="17"/>
  <c r="E289" i="17"/>
  <c r="F289" i="17"/>
  <c r="G289" i="17"/>
  <c r="H289" i="17"/>
  <c r="J289" i="17"/>
  <c r="K289" i="17"/>
  <c r="L289" i="17"/>
  <c r="A290" i="17"/>
  <c r="B290" i="17"/>
  <c r="C290" i="17"/>
  <c r="D290" i="17"/>
  <c r="E290" i="17"/>
  <c r="F290" i="17"/>
  <c r="G290" i="17"/>
  <c r="H290" i="17"/>
  <c r="J290" i="17"/>
  <c r="K290" i="17"/>
  <c r="L290" i="17"/>
  <c r="A291" i="17"/>
  <c r="B291" i="17"/>
  <c r="C291" i="17"/>
  <c r="D291" i="17"/>
  <c r="E291" i="17"/>
  <c r="F291" i="17"/>
  <c r="G291" i="17"/>
  <c r="H291" i="17"/>
  <c r="J291" i="17"/>
  <c r="K291" i="17"/>
  <c r="L291" i="17"/>
  <c r="A292" i="17"/>
  <c r="B292" i="17"/>
  <c r="C292" i="17"/>
  <c r="D292" i="17"/>
  <c r="E292" i="17"/>
  <c r="F292" i="17"/>
  <c r="G292" i="17"/>
  <c r="H292" i="17"/>
  <c r="J292" i="17"/>
  <c r="K292" i="17"/>
  <c r="L292" i="17"/>
  <c r="A293" i="17"/>
  <c r="B293" i="17"/>
  <c r="C293" i="17"/>
  <c r="D293" i="17"/>
  <c r="E293" i="17"/>
  <c r="F293" i="17"/>
  <c r="G293" i="17"/>
  <c r="H293" i="17"/>
  <c r="J293" i="17"/>
  <c r="K293" i="17"/>
  <c r="L293" i="17"/>
  <c r="A294" i="17"/>
  <c r="B294" i="17"/>
  <c r="C294" i="17"/>
  <c r="D294" i="17"/>
  <c r="E294" i="17"/>
  <c r="F294" i="17"/>
  <c r="G294" i="17"/>
  <c r="H294" i="17"/>
  <c r="J294" i="17"/>
  <c r="K294" i="17"/>
  <c r="L294" i="17"/>
  <c r="A295" i="17"/>
  <c r="B295" i="17"/>
  <c r="C295" i="17"/>
  <c r="D295" i="17"/>
  <c r="E295" i="17"/>
  <c r="F295" i="17"/>
  <c r="G295" i="17"/>
  <c r="H295" i="17"/>
  <c r="J295" i="17"/>
  <c r="K295" i="17"/>
  <c r="L295" i="17"/>
  <c r="A296" i="17"/>
  <c r="B296" i="17"/>
  <c r="C296" i="17"/>
  <c r="D296" i="17"/>
  <c r="E296" i="17"/>
  <c r="F296" i="17"/>
  <c r="G296" i="17"/>
  <c r="H296" i="17"/>
  <c r="J296" i="17"/>
  <c r="K296" i="17"/>
  <c r="L296" i="17"/>
  <c r="A297" i="17"/>
  <c r="B297" i="17"/>
  <c r="C297" i="17"/>
  <c r="D297" i="17"/>
  <c r="E297" i="17"/>
  <c r="F297" i="17"/>
  <c r="G297" i="17"/>
  <c r="H297" i="17"/>
  <c r="J297" i="17"/>
  <c r="K297" i="17"/>
  <c r="L297" i="17"/>
  <c r="A298" i="17"/>
  <c r="B298" i="17"/>
  <c r="C298" i="17"/>
  <c r="D298" i="17"/>
  <c r="E298" i="17"/>
  <c r="F298" i="17"/>
  <c r="G298" i="17"/>
  <c r="H298" i="17"/>
  <c r="J298" i="17"/>
  <c r="K298" i="17"/>
  <c r="L298" i="17"/>
  <c r="A299" i="17"/>
  <c r="B299" i="17"/>
  <c r="C299" i="17"/>
  <c r="D299" i="17"/>
  <c r="E299" i="17"/>
  <c r="F299" i="17"/>
  <c r="G299" i="17"/>
  <c r="H299" i="17"/>
  <c r="J299" i="17"/>
  <c r="K299" i="17"/>
  <c r="L299" i="17"/>
  <c r="A300" i="17"/>
  <c r="B300" i="17"/>
  <c r="C300" i="17"/>
  <c r="D300" i="17"/>
  <c r="E300" i="17"/>
  <c r="F300" i="17"/>
  <c r="G300" i="17"/>
  <c r="H300" i="17"/>
  <c r="J300" i="17"/>
  <c r="K300" i="17"/>
  <c r="L300" i="17"/>
  <c r="A301" i="17"/>
  <c r="B301" i="17"/>
  <c r="C301" i="17"/>
  <c r="D301" i="17"/>
  <c r="E301" i="17"/>
  <c r="F301" i="17"/>
  <c r="G301" i="17"/>
  <c r="H301" i="17"/>
  <c r="J301" i="17"/>
  <c r="K301" i="17"/>
  <c r="L301" i="17"/>
  <c r="A302" i="17"/>
  <c r="B302" i="17"/>
  <c r="C302" i="17"/>
  <c r="D302" i="17"/>
  <c r="E302" i="17"/>
  <c r="F302" i="17"/>
  <c r="G302" i="17"/>
  <c r="H302" i="17"/>
  <c r="J302" i="17"/>
  <c r="K302" i="17"/>
  <c r="L302" i="17"/>
  <c r="A303" i="17"/>
  <c r="B303" i="17"/>
  <c r="C303" i="17"/>
  <c r="D303" i="17"/>
  <c r="E303" i="17"/>
  <c r="F303" i="17"/>
  <c r="G303" i="17"/>
  <c r="H303" i="17"/>
  <c r="J303" i="17"/>
  <c r="K303" i="17"/>
  <c r="L303" i="17"/>
  <c r="A304" i="17"/>
  <c r="B304" i="17"/>
  <c r="C304" i="17"/>
  <c r="D304" i="17"/>
  <c r="E304" i="17"/>
  <c r="F304" i="17"/>
  <c r="G304" i="17"/>
  <c r="H304" i="17"/>
  <c r="J304" i="17"/>
  <c r="K304" i="17"/>
  <c r="L304" i="17"/>
  <c r="A305" i="17"/>
  <c r="B305" i="17"/>
  <c r="C305" i="17"/>
  <c r="D305" i="17"/>
  <c r="E305" i="17"/>
  <c r="F305" i="17"/>
  <c r="G305" i="17"/>
  <c r="H305" i="17"/>
  <c r="J305" i="17"/>
  <c r="K305" i="17"/>
  <c r="L305" i="17"/>
  <c r="A306" i="17"/>
  <c r="B306" i="17"/>
  <c r="C306" i="17"/>
  <c r="D306" i="17"/>
  <c r="E306" i="17"/>
  <c r="F306" i="17"/>
  <c r="G306" i="17"/>
  <c r="H306" i="17"/>
  <c r="J306" i="17"/>
  <c r="K306" i="17"/>
  <c r="L306" i="17"/>
  <c r="A307" i="17"/>
  <c r="B307" i="17"/>
  <c r="C307" i="17"/>
  <c r="D307" i="17"/>
  <c r="E307" i="17"/>
  <c r="F307" i="17"/>
  <c r="G307" i="17"/>
  <c r="H307" i="17"/>
  <c r="J307" i="17"/>
  <c r="K307" i="17"/>
  <c r="L307" i="17"/>
  <c r="A308" i="17"/>
  <c r="B308" i="17"/>
  <c r="C308" i="17"/>
  <c r="D308" i="17"/>
  <c r="E308" i="17"/>
  <c r="F308" i="17"/>
  <c r="G308" i="17"/>
  <c r="H308" i="17"/>
  <c r="J308" i="17"/>
  <c r="K308" i="17"/>
  <c r="L308" i="17"/>
  <c r="A309" i="17"/>
  <c r="B309" i="17"/>
  <c r="C309" i="17"/>
  <c r="D309" i="17"/>
  <c r="E309" i="17"/>
  <c r="F309" i="17"/>
  <c r="G309" i="17"/>
  <c r="H309" i="17"/>
  <c r="J309" i="17"/>
  <c r="K309" i="17"/>
  <c r="L309" i="17"/>
  <c r="A310" i="17"/>
  <c r="B310" i="17"/>
  <c r="C310" i="17"/>
  <c r="D310" i="17"/>
  <c r="E310" i="17"/>
  <c r="F310" i="17"/>
  <c r="G310" i="17"/>
  <c r="H310" i="17"/>
  <c r="J310" i="17"/>
  <c r="K310" i="17"/>
  <c r="L310" i="17"/>
  <c r="A311" i="17"/>
  <c r="B311" i="17"/>
  <c r="C311" i="17"/>
  <c r="D311" i="17"/>
  <c r="E311" i="17"/>
  <c r="F311" i="17"/>
  <c r="G311" i="17"/>
  <c r="H311" i="17"/>
  <c r="J311" i="17"/>
  <c r="K311" i="17"/>
  <c r="L311" i="17"/>
  <c r="A312" i="17"/>
  <c r="B312" i="17"/>
  <c r="C312" i="17"/>
  <c r="D312" i="17"/>
  <c r="E312" i="17"/>
  <c r="F312" i="17"/>
  <c r="G312" i="17"/>
  <c r="H312" i="17"/>
  <c r="J312" i="17"/>
  <c r="K312" i="17"/>
  <c r="L312" i="17"/>
  <c r="A313" i="17"/>
  <c r="B313" i="17"/>
  <c r="C313" i="17"/>
  <c r="D313" i="17"/>
  <c r="E313" i="17"/>
  <c r="F313" i="17"/>
  <c r="G313" i="17"/>
  <c r="H313" i="17"/>
  <c r="J313" i="17"/>
  <c r="K313" i="17"/>
  <c r="L313" i="17"/>
  <c r="A314" i="17"/>
  <c r="B314" i="17"/>
  <c r="C314" i="17"/>
  <c r="D314" i="17"/>
  <c r="E314" i="17"/>
  <c r="F314" i="17"/>
  <c r="G314" i="17"/>
  <c r="H314" i="17"/>
  <c r="J314" i="17"/>
  <c r="K314" i="17"/>
  <c r="L314" i="17"/>
  <c r="A315" i="17"/>
  <c r="B315" i="17"/>
  <c r="C315" i="17"/>
  <c r="D315" i="17"/>
  <c r="E315" i="17"/>
  <c r="F315" i="17"/>
  <c r="G315" i="17"/>
  <c r="H315" i="17"/>
  <c r="J315" i="17"/>
  <c r="K315" i="17"/>
  <c r="L315" i="17"/>
  <c r="A318" i="17"/>
  <c r="B318" i="17"/>
  <c r="C318" i="17"/>
  <c r="D318" i="17"/>
  <c r="E318" i="17"/>
  <c r="F318" i="17"/>
  <c r="G318" i="17"/>
  <c r="H318" i="17"/>
  <c r="J318" i="17"/>
  <c r="K318" i="17"/>
  <c r="L318" i="17"/>
  <c r="A319" i="17"/>
  <c r="B319" i="17"/>
  <c r="C319" i="17"/>
  <c r="D319" i="17"/>
  <c r="E319" i="17"/>
  <c r="F319" i="17"/>
  <c r="G319" i="17"/>
  <c r="H319" i="17"/>
  <c r="J319" i="17"/>
  <c r="K319" i="17"/>
  <c r="L319" i="17"/>
  <c r="A320" i="17"/>
  <c r="B320" i="17"/>
  <c r="C320" i="17"/>
  <c r="D320" i="17"/>
  <c r="E320" i="17"/>
  <c r="F320" i="17"/>
  <c r="G320" i="17"/>
  <c r="H320" i="17"/>
  <c r="J320" i="17"/>
  <c r="K320" i="17"/>
  <c r="L320" i="17"/>
  <c r="A321" i="17"/>
  <c r="B321" i="17"/>
  <c r="C321" i="17"/>
  <c r="D321" i="17"/>
  <c r="E321" i="17"/>
  <c r="F321" i="17"/>
  <c r="G321" i="17"/>
  <c r="H321" i="17"/>
  <c r="J321" i="17"/>
  <c r="K321" i="17"/>
  <c r="L321" i="17"/>
  <c r="A322" i="17"/>
  <c r="B322" i="17"/>
  <c r="C322" i="17"/>
  <c r="D322" i="17"/>
  <c r="E322" i="17"/>
  <c r="F322" i="17"/>
  <c r="G322" i="17"/>
  <c r="H322" i="17"/>
  <c r="J322" i="17"/>
  <c r="K322" i="17"/>
  <c r="L322" i="17"/>
  <c r="A323" i="17"/>
  <c r="B323" i="17"/>
  <c r="C323" i="17"/>
  <c r="D323" i="17"/>
  <c r="E323" i="17"/>
  <c r="F323" i="17"/>
  <c r="G323" i="17"/>
  <c r="H323" i="17"/>
  <c r="J323" i="17"/>
  <c r="K323" i="17"/>
  <c r="L323" i="17"/>
  <c r="A324" i="17"/>
  <c r="B324" i="17"/>
  <c r="C324" i="17"/>
  <c r="D324" i="17"/>
  <c r="E324" i="17"/>
  <c r="F324" i="17"/>
  <c r="G324" i="17"/>
  <c r="H324" i="17"/>
  <c r="J324" i="17"/>
  <c r="K324" i="17"/>
  <c r="L324" i="17"/>
  <c r="A325" i="17"/>
  <c r="B325" i="17"/>
  <c r="C325" i="17"/>
  <c r="D325" i="17"/>
  <c r="E325" i="17"/>
  <c r="F325" i="17"/>
  <c r="G325" i="17"/>
  <c r="H325" i="17"/>
  <c r="J325" i="17"/>
  <c r="K325" i="17"/>
  <c r="L325" i="17"/>
  <c r="A326" i="17"/>
  <c r="B326" i="17"/>
  <c r="C326" i="17"/>
  <c r="D326" i="17"/>
  <c r="E326" i="17"/>
  <c r="F326" i="17"/>
  <c r="G326" i="17"/>
  <c r="H326" i="17"/>
  <c r="J326" i="17"/>
  <c r="K326" i="17"/>
  <c r="L326" i="17"/>
  <c r="A327" i="17"/>
  <c r="B327" i="17"/>
  <c r="C327" i="17"/>
  <c r="D327" i="17"/>
  <c r="E327" i="17"/>
  <c r="F327" i="17"/>
  <c r="G327" i="17"/>
  <c r="H327" i="17"/>
  <c r="J327" i="17"/>
  <c r="K327" i="17"/>
  <c r="L327" i="17"/>
  <c r="A328" i="17"/>
  <c r="B328" i="17"/>
  <c r="C328" i="17"/>
  <c r="D328" i="17"/>
  <c r="E328" i="17"/>
  <c r="F328" i="17"/>
  <c r="G328" i="17"/>
  <c r="H328" i="17"/>
  <c r="J328" i="17"/>
  <c r="K328" i="17"/>
  <c r="L328" i="17"/>
  <c r="A329" i="17"/>
  <c r="B329" i="17"/>
  <c r="C329" i="17"/>
  <c r="D329" i="17"/>
  <c r="E329" i="17"/>
  <c r="F329" i="17"/>
  <c r="G329" i="17"/>
  <c r="H329" i="17"/>
  <c r="J329" i="17"/>
  <c r="K329" i="17"/>
  <c r="L329" i="17"/>
  <c r="A330" i="17"/>
  <c r="B330" i="17"/>
  <c r="C330" i="17"/>
  <c r="D330" i="17"/>
  <c r="E330" i="17"/>
  <c r="F330" i="17"/>
  <c r="G330" i="17"/>
  <c r="H330" i="17"/>
  <c r="J330" i="17"/>
  <c r="K330" i="17"/>
  <c r="L330" i="17"/>
  <c r="A331" i="17"/>
  <c r="B331" i="17"/>
  <c r="C331" i="17"/>
  <c r="D331" i="17"/>
  <c r="E331" i="17"/>
  <c r="F331" i="17"/>
  <c r="G331" i="17"/>
  <c r="H331" i="17"/>
  <c r="J331" i="17"/>
  <c r="K331" i="17"/>
  <c r="L331" i="17"/>
  <c r="A332" i="17"/>
  <c r="B332" i="17"/>
  <c r="C332" i="17"/>
  <c r="D332" i="17"/>
  <c r="E332" i="17"/>
  <c r="F332" i="17"/>
  <c r="G332" i="17"/>
  <c r="H332" i="17"/>
  <c r="J332" i="17"/>
  <c r="K332" i="17"/>
  <c r="L332" i="17"/>
  <c r="A333" i="17"/>
  <c r="B333" i="17"/>
  <c r="C333" i="17"/>
  <c r="D333" i="17"/>
  <c r="E333" i="17"/>
  <c r="F333" i="17"/>
  <c r="G333" i="17"/>
  <c r="H333" i="17"/>
  <c r="J333" i="17"/>
  <c r="K333" i="17"/>
  <c r="L333" i="17"/>
  <c r="A334" i="17"/>
  <c r="B334" i="17"/>
  <c r="C334" i="17"/>
  <c r="D334" i="17"/>
  <c r="E334" i="17"/>
  <c r="F334" i="17"/>
  <c r="G334" i="17"/>
  <c r="H334" i="17"/>
  <c r="J334" i="17"/>
  <c r="K334" i="17"/>
  <c r="L334" i="17"/>
  <c r="A335" i="17"/>
  <c r="B335" i="17"/>
  <c r="C335" i="17"/>
  <c r="D335" i="17"/>
  <c r="E335" i="17"/>
  <c r="F335" i="17"/>
  <c r="G335" i="17"/>
  <c r="H335" i="17"/>
  <c r="J335" i="17"/>
  <c r="K335" i="17"/>
  <c r="L335" i="17"/>
  <c r="A336" i="17"/>
  <c r="B336" i="17"/>
  <c r="C336" i="17"/>
  <c r="D336" i="17"/>
  <c r="E336" i="17"/>
  <c r="F336" i="17"/>
  <c r="G336" i="17"/>
  <c r="H336" i="17"/>
  <c r="J336" i="17"/>
  <c r="K336" i="17"/>
  <c r="L336" i="17"/>
  <c r="A337" i="17"/>
  <c r="B337" i="17"/>
  <c r="C337" i="17"/>
  <c r="D337" i="17"/>
  <c r="E337" i="17"/>
  <c r="F337" i="17"/>
  <c r="G337" i="17"/>
  <c r="H337" i="17"/>
  <c r="J337" i="17"/>
  <c r="K337" i="17"/>
  <c r="L337" i="17"/>
  <c r="A338" i="17"/>
  <c r="B338" i="17"/>
  <c r="C338" i="17"/>
  <c r="D338" i="17"/>
  <c r="E338" i="17"/>
  <c r="F338" i="17"/>
  <c r="G338" i="17"/>
  <c r="H338" i="17"/>
  <c r="J338" i="17"/>
  <c r="K338" i="17"/>
  <c r="L338" i="17"/>
  <c r="A339" i="17"/>
  <c r="B339" i="17"/>
  <c r="C339" i="17"/>
  <c r="D339" i="17"/>
  <c r="E339" i="17"/>
  <c r="F339" i="17"/>
  <c r="G339" i="17"/>
  <c r="H339" i="17"/>
  <c r="J339" i="17"/>
  <c r="K339" i="17"/>
  <c r="L339" i="17"/>
  <c r="A340" i="17"/>
  <c r="B340" i="17"/>
  <c r="C340" i="17"/>
  <c r="D340" i="17"/>
  <c r="E340" i="17"/>
  <c r="F340" i="17"/>
  <c r="G340" i="17"/>
  <c r="H340" i="17"/>
  <c r="J340" i="17"/>
  <c r="K340" i="17"/>
  <c r="L340" i="17"/>
  <c r="A343" i="17"/>
  <c r="B343" i="17"/>
  <c r="C343" i="17"/>
  <c r="D343" i="17"/>
  <c r="E343" i="17"/>
  <c r="F343" i="17"/>
  <c r="G343" i="17"/>
  <c r="H343" i="17"/>
  <c r="J343" i="17"/>
  <c r="K343" i="17"/>
  <c r="L343" i="17"/>
  <c r="A344" i="17"/>
  <c r="B344" i="17"/>
  <c r="C344" i="17"/>
  <c r="D344" i="17"/>
  <c r="E344" i="17"/>
  <c r="F344" i="17"/>
  <c r="G344" i="17"/>
  <c r="H344" i="17"/>
  <c r="J344" i="17"/>
  <c r="K344" i="17"/>
  <c r="L344" i="17"/>
  <c r="A345" i="17"/>
  <c r="B345" i="17"/>
  <c r="C345" i="17"/>
  <c r="D345" i="17"/>
  <c r="E345" i="17"/>
  <c r="F345" i="17"/>
  <c r="G345" i="17"/>
  <c r="H345" i="17"/>
  <c r="J345" i="17"/>
  <c r="K345" i="17"/>
  <c r="L345" i="17"/>
  <c r="A346" i="17"/>
  <c r="B346" i="17"/>
  <c r="C346" i="17"/>
  <c r="D346" i="17"/>
  <c r="E346" i="17"/>
  <c r="F346" i="17"/>
  <c r="G346" i="17"/>
  <c r="H346" i="17"/>
  <c r="J346" i="17"/>
  <c r="K346" i="17"/>
  <c r="L346" i="17"/>
  <c r="A347" i="17"/>
  <c r="B347" i="17"/>
  <c r="C347" i="17"/>
  <c r="D347" i="17"/>
  <c r="E347" i="17"/>
  <c r="F347" i="17"/>
  <c r="G347" i="17"/>
  <c r="H347" i="17"/>
  <c r="J347" i="17"/>
  <c r="K347" i="17"/>
  <c r="L347" i="17"/>
  <c r="A348" i="17"/>
  <c r="B348" i="17"/>
  <c r="C348" i="17"/>
  <c r="D348" i="17"/>
  <c r="E348" i="17"/>
  <c r="F348" i="17"/>
  <c r="G348" i="17"/>
  <c r="H348" i="17"/>
  <c r="J348" i="17"/>
  <c r="K348" i="17"/>
  <c r="L348" i="17"/>
  <c r="A349" i="17"/>
  <c r="B349" i="17"/>
  <c r="C349" i="17"/>
  <c r="D349" i="17"/>
  <c r="E349" i="17"/>
  <c r="F349" i="17"/>
  <c r="G349" i="17"/>
  <c r="H349" i="17"/>
  <c r="J349" i="17"/>
  <c r="K349" i="17"/>
  <c r="L349" i="17"/>
  <c r="A350" i="17"/>
  <c r="B350" i="17"/>
  <c r="C350" i="17"/>
  <c r="D350" i="17"/>
  <c r="E350" i="17"/>
  <c r="F350" i="17"/>
  <c r="G350" i="17"/>
  <c r="H350" i="17"/>
  <c r="J350" i="17"/>
  <c r="K350" i="17"/>
  <c r="L350" i="17"/>
  <c r="A351" i="17"/>
  <c r="B351" i="17"/>
  <c r="C351" i="17"/>
  <c r="D351" i="17"/>
  <c r="E351" i="17"/>
  <c r="F351" i="17"/>
  <c r="G351" i="17"/>
  <c r="H351" i="17"/>
  <c r="J351" i="17"/>
  <c r="K351" i="17"/>
  <c r="L351" i="17"/>
  <c r="A352" i="17"/>
  <c r="B352" i="17"/>
  <c r="C352" i="17"/>
  <c r="D352" i="17"/>
  <c r="E352" i="17"/>
  <c r="F352" i="17"/>
  <c r="G352" i="17"/>
  <c r="H352" i="17"/>
  <c r="J352" i="17"/>
  <c r="K352" i="17"/>
  <c r="L352" i="17"/>
  <c r="A353" i="17"/>
  <c r="B353" i="17"/>
  <c r="C353" i="17"/>
  <c r="D353" i="17"/>
  <c r="E353" i="17"/>
  <c r="F353" i="17"/>
  <c r="G353" i="17"/>
  <c r="H353" i="17"/>
  <c r="J353" i="17"/>
  <c r="K353" i="17"/>
  <c r="L353" i="17"/>
  <c r="A354" i="17"/>
  <c r="B354" i="17"/>
  <c r="C354" i="17"/>
  <c r="D354" i="17"/>
  <c r="E354" i="17"/>
  <c r="F354" i="17"/>
  <c r="G354" i="17"/>
  <c r="H354" i="17"/>
  <c r="J354" i="17"/>
  <c r="K354" i="17"/>
  <c r="L354" i="17"/>
  <c r="A355" i="17"/>
  <c r="B355" i="17"/>
  <c r="C355" i="17"/>
  <c r="D355" i="17"/>
  <c r="E355" i="17"/>
  <c r="F355" i="17"/>
  <c r="G355" i="17"/>
  <c r="H355" i="17"/>
  <c r="J355" i="17"/>
  <c r="K355" i="17"/>
  <c r="L355" i="17"/>
  <c r="A356" i="17"/>
  <c r="B356" i="17"/>
  <c r="C356" i="17"/>
  <c r="D356" i="17"/>
  <c r="E356" i="17"/>
  <c r="F356" i="17"/>
  <c r="G356" i="17"/>
  <c r="H356" i="17"/>
  <c r="J356" i="17"/>
  <c r="K356" i="17"/>
  <c r="L356" i="17"/>
  <c r="A357" i="17"/>
  <c r="B357" i="17"/>
  <c r="C357" i="17"/>
  <c r="D357" i="17"/>
  <c r="E357" i="17"/>
  <c r="F357" i="17"/>
  <c r="G357" i="17"/>
  <c r="H357" i="17"/>
  <c r="J357" i="17"/>
  <c r="K357" i="17"/>
  <c r="L357" i="17"/>
  <c r="A358" i="17"/>
  <c r="B358" i="17"/>
  <c r="C358" i="17"/>
  <c r="D358" i="17"/>
  <c r="E358" i="17"/>
  <c r="F358" i="17"/>
  <c r="G358" i="17"/>
  <c r="H358" i="17"/>
  <c r="J358" i="17"/>
  <c r="K358" i="17"/>
  <c r="L358" i="17"/>
  <c r="A359" i="17"/>
  <c r="B359" i="17"/>
  <c r="C359" i="17"/>
  <c r="D359" i="17"/>
  <c r="E359" i="17"/>
  <c r="F359" i="17"/>
  <c r="G359" i="17"/>
  <c r="H359" i="17"/>
  <c r="J359" i="17"/>
  <c r="K359" i="17"/>
  <c r="L359" i="17"/>
  <c r="A360" i="17"/>
  <c r="B360" i="17"/>
  <c r="C360" i="17"/>
  <c r="D360" i="17"/>
  <c r="E360" i="17"/>
  <c r="F360" i="17"/>
  <c r="G360" i="17"/>
  <c r="H360" i="17"/>
  <c r="J360" i="17"/>
  <c r="K360" i="17"/>
  <c r="L360" i="17"/>
  <c r="A361" i="17"/>
  <c r="B361" i="17"/>
  <c r="C361" i="17"/>
  <c r="D361" i="17"/>
  <c r="E361" i="17"/>
  <c r="F361" i="17"/>
  <c r="G361" i="17"/>
  <c r="H361" i="17"/>
  <c r="J361" i="17"/>
  <c r="K361" i="17"/>
  <c r="L361" i="17"/>
  <c r="A362" i="17"/>
  <c r="B362" i="17"/>
  <c r="C362" i="17"/>
  <c r="D362" i="17"/>
  <c r="E362" i="17"/>
  <c r="F362" i="17"/>
  <c r="G362" i="17"/>
  <c r="H362" i="17"/>
  <c r="J362" i="17"/>
  <c r="K362" i="17"/>
  <c r="L362" i="17"/>
  <c r="A363" i="17"/>
  <c r="B363" i="17"/>
  <c r="C363" i="17"/>
  <c r="D363" i="17"/>
  <c r="E363" i="17"/>
  <c r="F363" i="17"/>
  <c r="G363" i="17"/>
  <c r="H363" i="17"/>
  <c r="J363" i="17"/>
  <c r="K363" i="17"/>
  <c r="L363" i="17"/>
  <c r="A364" i="17"/>
  <c r="B364" i="17"/>
  <c r="C364" i="17"/>
  <c r="D364" i="17"/>
  <c r="E364" i="17"/>
  <c r="F364" i="17"/>
  <c r="G364" i="17"/>
  <c r="H364" i="17"/>
  <c r="J364" i="17"/>
  <c r="K364" i="17"/>
  <c r="L364" i="17"/>
  <c r="A365" i="17"/>
  <c r="B365" i="17"/>
  <c r="C365" i="17"/>
  <c r="D365" i="17"/>
  <c r="E365" i="17"/>
  <c r="F365" i="17"/>
  <c r="G365" i="17"/>
  <c r="H365" i="17"/>
  <c r="J365" i="17"/>
  <c r="K365" i="17"/>
  <c r="L365" i="17"/>
  <c r="A366" i="17"/>
  <c r="B366" i="17"/>
  <c r="C366" i="17"/>
  <c r="D366" i="17"/>
  <c r="E366" i="17"/>
  <c r="F366" i="17"/>
  <c r="G366" i="17"/>
  <c r="H366" i="17"/>
  <c r="J366" i="17"/>
  <c r="K366" i="17"/>
  <c r="L366" i="17"/>
  <c r="A367" i="17"/>
  <c r="B367" i="17"/>
  <c r="C367" i="17"/>
  <c r="D367" i="17"/>
  <c r="E367" i="17"/>
  <c r="F367" i="17"/>
  <c r="G367" i="17"/>
  <c r="H367" i="17"/>
  <c r="J367" i="17"/>
  <c r="K367" i="17"/>
  <c r="L367" i="17"/>
  <c r="A368" i="17"/>
  <c r="B368" i="17"/>
  <c r="C368" i="17"/>
  <c r="D368" i="17"/>
  <c r="E368" i="17"/>
  <c r="F368" i="17"/>
  <c r="G368" i="17"/>
  <c r="H368" i="17"/>
  <c r="J368" i="17"/>
  <c r="K368" i="17"/>
  <c r="L368" i="17"/>
  <c r="A371" i="17"/>
  <c r="B371" i="17"/>
  <c r="C371" i="17"/>
  <c r="D371" i="17"/>
  <c r="E371" i="17"/>
  <c r="F371" i="17"/>
  <c r="G371" i="17"/>
  <c r="H371" i="17"/>
  <c r="J371" i="17"/>
  <c r="K371" i="17"/>
  <c r="L371" i="17"/>
  <c r="A372" i="17"/>
  <c r="B372" i="17"/>
  <c r="C372" i="17"/>
  <c r="D372" i="17"/>
  <c r="E372" i="17"/>
  <c r="F372" i="17"/>
  <c r="G372" i="17"/>
  <c r="H372" i="17"/>
  <c r="J372" i="17"/>
  <c r="K372" i="17"/>
  <c r="L372" i="17"/>
  <c r="A373" i="17"/>
  <c r="B373" i="17"/>
  <c r="C373" i="17"/>
  <c r="D373" i="17"/>
  <c r="E373" i="17"/>
  <c r="F373" i="17"/>
  <c r="G373" i="17"/>
  <c r="H373" i="17"/>
  <c r="J373" i="17"/>
  <c r="K373" i="17"/>
  <c r="L373" i="17"/>
  <c r="A374" i="17"/>
  <c r="B374" i="17"/>
  <c r="C374" i="17"/>
  <c r="D374" i="17"/>
  <c r="E374" i="17"/>
  <c r="F374" i="17"/>
  <c r="G374" i="17"/>
  <c r="H374" i="17"/>
  <c r="J374" i="17"/>
  <c r="K374" i="17"/>
  <c r="L374" i="17"/>
  <c r="A375" i="17"/>
  <c r="B375" i="17"/>
  <c r="C375" i="17"/>
  <c r="D375" i="17"/>
  <c r="E375" i="17"/>
  <c r="F375" i="17"/>
  <c r="G375" i="17"/>
  <c r="H375" i="17"/>
  <c r="J375" i="17"/>
  <c r="K375" i="17"/>
  <c r="L375" i="17"/>
  <c r="A376" i="17"/>
  <c r="B376" i="17"/>
  <c r="C376" i="17"/>
  <c r="D376" i="17"/>
  <c r="E376" i="17"/>
  <c r="F376" i="17"/>
  <c r="G376" i="17"/>
  <c r="H376" i="17"/>
  <c r="J376" i="17"/>
  <c r="K376" i="17"/>
  <c r="L376" i="17"/>
  <c r="A377" i="17"/>
  <c r="B377" i="17"/>
  <c r="C377" i="17"/>
  <c r="D377" i="17"/>
  <c r="E377" i="17"/>
  <c r="F377" i="17"/>
  <c r="G377" i="17"/>
  <c r="H377" i="17"/>
  <c r="J377" i="17"/>
  <c r="K377" i="17"/>
  <c r="L377" i="17"/>
  <c r="A378" i="17"/>
  <c r="B378" i="17"/>
  <c r="C378" i="17"/>
  <c r="D378" i="17"/>
  <c r="E378" i="17"/>
  <c r="F378" i="17"/>
  <c r="G378" i="17"/>
  <c r="H378" i="17"/>
  <c r="J378" i="17"/>
  <c r="K378" i="17"/>
  <c r="L378" i="17"/>
  <c r="A379" i="17"/>
  <c r="B379" i="17"/>
  <c r="C379" i="17"/>
  <c r="D379" i="17"/>
  <c r="E379" i="17"/>
  <c r="F379" i="17"/>
  <c r="G379" i="17"/>
  <c r="H379" i="17"/>
  <c r="J379" i="17"/>
  <c r="K379" i="17"/>
  <c r="L379" i="17"/>
  <c r="A380" i="17"/>
  <c r="B380" i="17"/>
  <c r="C380" i="17"/>
  <c r="D380" i="17"/>
  <c r="E380" i="17"/>
  <c r="F380" i="17"/>
  <c r="G380" i="17"/>
  <c r="H380" i="17"/>
  <c r="J380" i="17"/>
  <c r="K380" i="17"/>
  <c r="L380" i="17"/>
  <c r="A381" i="17"/>
  <c r="B381" i="17"/>
  <c r="C381" i="17"/>
  <c r="D381" i="17"/>
  <c r="E381" i="17"/>
  <c r="F381" i="17"/>
  <c r="G381" i="17"/>
  <c r="H381" i="17"/>
  <c r="J381" i="17"/>
  <c r="K381" i="17"/>
  <c r="L381" i="17"/>
  <c r="A382" i="17"/>
  <c r="B382" i="17"/>
  <c r="C382" i="17"/>
  <c r="D382" i="17"/>
  <c r="E382" i="17"/>
  <c r="F382" i="17"/>
  <c r="G382" i="17"/>
  <c r="H382" i="17"/>
  <c r="J382" i="17"/>
  <c r="K382" i="17"/>
  <c r="L382" i="17"/>
  <c r="A383" i="17"/>
  <c r="B383" i="17"/>
  <c r="C383" i="17"/>
  <c r="D383" i="17"/>
  <c r="E383" i="17"/>
  <c r="F383" i="17"/>
  <c r="G383" i="17"/>
  <c r="H383" i="17"/>
  <c r="J383" i="17"/>
  <c r="K383" i="17"/>
  <c r="L383" i="17"/>
  <c r="A384" i="17"/>
  <c r="B384" i="17"/>
  <c r="C384" i="17"/>
  <c r="D384" i="17"/>
  <c r="E384" i="17"/>
  <c r="F384" i="17"/>
  <c r="G384" i="17"/>
  <c r="H384" i="17"/>
  <c r="J384" i="17"/>
  <c r="K384" i="17"/>
  <c r="L384" i="17"/>
  <c r="A385" i="17"/>
  <c r="B385" i="17"/>
  <c r="C385" i="17"/>
  <c r="D385" i="17"/>
  <c r="E385" i="17"/>
  <c r="F385" i="17"/>
  <c r="G385" i="17"/>
  <c r="H385" i="17"/>
  <c r="J385" i="17"/>
  <c r="K385" i="17"/>
  <c r="L385" i="17"/>
  <c r="A386" i="17"/>
  <c r="B386" i="17"/>
  <c r="C386" i="17"/>
  <c r="D386" i="17"/>
  <c r="E386" i="17"/>
  <c r="F386" i="17"/>
  <c r="G386" i="17"/>
  <c r="H386" i="17"/>
  <c r="J386" i="17"/>
  <c r="K386" i="17"/>
  <c r="L386" i="17"/>
  <c r="A387" i="17"/>
  <c r="B387" i="17"/>
  <c r="C387" i="17"/>
  <c r="D387" i="17"/>
  <c r="E387" i="17"/>
  <c r="F387" i="17"/>
  <c r="G387" i="17"/>
  <c r="H387" i="17"/>
  <c r="J387" i="17"/>
  <c r="K387" i="17"/>
  <c r="L387" i="17"/>
  <c r="A388" i="17"/>
  <c r="B388" i="17"/>
  <c r="C388" i="17"/>
  <c r="D388" i="17"/>
  <c r="E388" i="17"/>
  <c r="F388" i="17"/>
  <c r="G388" i="17"/>
  <c r="H388" i="17"/>
  <c r="J388" i="17"/>
  <c r="K388" i="17"/>
  <c r="L388" i="17"/>
  <c r="A389" i="17"/>
  <c r="B389" i="17"/>
  <c r="C389" i="17"/>
  <c r="D389" i="17"/>
  <c r="E389" i="17"/>
  <c r="F389" i="17"/>
  <c r="G389" i="17"/>
  <c r="H389" i="17"/>
  <c r="J389" i="17"/>
  <c r="K389" i="17"/>
  <c r="L389" i="17"/>
  <c r="A390" i="17"/>
  <c r="B390" i="17"/>
  <c r="C390" i="17"/>
  <c r="D390" i="17"/>
  <c r="E390" i="17"/>
  <c r="F390" i="17"/>
  <c r="G390" i="17"/>
  <c r="H390" i="17"/>
  <c r="J390" i="17"/>
  <c r="K390" i="17"/>
  <c r="L390" i="17"/>
  <c r="A391" i="17"/>
  <c r="B391" i="17"/>
  <c r="C391" i="17"/>
  <c r="D391" i="17"/>
  <c r="E391" i="17"/>
  <c r="F391" i="17"/>
  <c r="G391" i="17"/>
  <c r="H391" i="17"/>
  <c r="J391" i="17"/>
  <c r="K391" i="17"/>
  <c r="L391" i="17"/>
  <c r="A392" i="17"/>
  <c r="B392" i="17"/>
  <c r="C392" i="17"/>
  <c r="D392" i="17"/>
  <c r="E392" i="17"/>
  <c r="F392" i="17"/>
  <c r="G392" i="17"/>
  <c r="H392" i="17"/>
  <c r="J392" i="17"/>
  <c r="K392" i="17"/>
  <c r="L392" i="17"/>
  <c r="A393" i="17"/>
  <c r="B393" i="17"/>
  <c r="C393" i="17"/>
  <c r="D393" i="17"/>
  <c r="E393" i="17"/>
  <c r="F393" i="17"/>
  <c r="G393" i="17"/>
  <c r="H393" i="17"/>
  <c r="J393" i="17"/>
  <c r="K393" i="17"/>
  <c r="L393" i="17"/>
  <c r="A394" i="17"/>
  <c r="B394" i="17"/>
  <c r="C394" i="17"/>
  <c r="D394" i="17"/>
  <c r="E394" i="17"/>
  <c r="F394" i="17"/>
  <c r="G394" i="17"/>
  <c r="H394" i="17"/>
  <c r="J394" i="17"/>
  <c r="K394" i="17"/>
  <c r="L394" i="17"/>
  <c r="A395" i="17"/>
  <c r="B395" i="17"/>
  <c r="C395" i="17"/>
  <c r="D395" i="17"/>
  <c r="E395" i="17"/>
  <c r="F395" i="17"/>
  <c r="G395" i="17"/>
  <c r="H395" i="17"/>
  <c r="J395" i="17"/>
  <c r="K395" i="17"/>
  <c r="L395" i="17"/>
  <c r="A396" i="17"/>
  <c r="B396" i="17"/>
  <c r="C396" i="17"/>
  <c r="D396" i="17"/>
  <c r="E396" i="17"/>
  <c r="F396" i="17"/>
  <c r="G396" i="17"/>
  <c r="H396" i="17"/>
  <c r="J396" i="17"/>
  <c r="K396" i="17"/>
  <c r="L396" i="17"/>
  <c r="A397" i="17"/>
  <c r="B397" i="17"/>
  <c r="C397" i="17"/>
  <c r="D397" i="17"/>
  <c r="E397" i="17"/>
  <c r="F397" i="17"/>
  <c r="G397" i="17"/>
  <c r="H397" i="17"/>
  <c r="J397" i="17"/>
  <c r="K397" i="17"/>
  <c r="L397" i="17"/>
  <c r="A398" i="17"/>
  <c r="B398" i="17"/>
  <c r="C398" i="17"/>
  <c r="D398" i="17"/>
  <c r="E398" i="17"/>
  <c r="F398" i="17"/>
  <c r="G398" i="17"/>
  <c r="H398" i="17"/>
  <c r="J398" i="17"/>
  <c r="K398" i="17"/>
  <c r="L398" i="17"/>
  <c r="A401" i="17"/>
  <c r="B401" i="17"/>
  <c r="C401" i="17"/>
  <c r="D401" i="17"/>
  <c r="E401" i="17"/>
  <c r="F401" i="17"/>
  <c r="G401" i="17"/>
  <c r="H401" i="17"/>
  <c r="J401" i="17"/>
  <c r="K401" i="17"/>
  <c r="L401" i="17"/>
  <c r="A402" i="17"/>
  <c r="B402" i="17"/>
  <c r="C402" i="17"/>
  <c r="D402" i="17"/>
  <c r="E402" i="17"/>
  <c r="F402" i="17"/>
  <c r="G402" i="17"/>
  <c r="H402" i="17"/>
  <c r="J402" i="17"/>
  <c r="K402" i="17"/>
  <c r="L402" i="17"/>
  <c r="A403" i="17"/>
  <c r="B403" i="17"/>
  <c r="C403" i="17"/>
  <c r="D403" i="17"/>
  <c r="E403" i="17"/>
  <c r="F403" i="17"/>
  <c r="G403" i="17"/>
  <c r="H403" i="17"/>
  <c r="J403" i="17"/>
  <c r="K403" i="17"/>
  <c r="L403" i="17"/>
  <c r="A404" i="17"/>
  <c r="B404" i="17"/>
  <c r="C404" i="17"/>
  <c r="D404" i="17"/>
  <c r="E404" i="17"/>
  <c r="F404" i="17"/>
  <c r="G404" i="17"/>
  <c r="H404" i="17"/>
  <c r="J404" i="17"/>
  <c r="K404" i="17"/>
  <c r="L404" i="17"/>
  <c r="A405" i="17"/>
  <c r="B405" i="17"/>
  <c r="C405" i="17"/>
  <c r="D405" i="17"/>
  <c r="E405" i="17"/>
  <c r="F405" i="17"/>
  <c r="G405" i="17"/>
  <c r="H405" i="17"/>
  <c r="J405" i="17"/>
  <c r="K405" i="17"/>
  <c r="L405" i="17"/>
  <c r="A406" i="17"/>
  <c r="B406" i="17"/>
  <c r="C406" i="17"/>
  <c r="D406" i="17"/>
  <c r="E406" i="17"/>
  <c r="F406" i="17"/>
  <c r="G406" i="17"/>
  <c r="H406" i="17"/>
  <c r="J406" i="17"/>
  <c r="K406" i="17"/>
  <c r="L406" i="17"/>
  <c r="A407" i="17"/>
  <c r="B407" i="17"/>
  <c r="C407" i="17"/>
  <c r="D407" i="17"/>
  <c r="E407" i="17"/>
  <c r="F407" i="17"/>
  <c r="G407" i="17"/>
  <c r="H407" i="17"/>
  <c r="J407" i="17"/>
  <c r="K407" i="17"/>
  <c r="L407" i="17"/>
  <c r="A408" i="17"/>
  <c r="B408" i="17"/>
  <c r="C408" i="17"/>
  <c r="D408" i="17"/>
  <c r="E408" i="17"/>
  <c r="F408" i="17"/>
  <c r="G408" i="17"/>
  <c r="H408" i="17"/>
  <c r="J408" i="17"/>
  <c r="K408" i="17"/>
  <c r="L408" i="17"/>
  <c r="A409" i="17"/>
  <c r="B409" i="17"/>
  <c r="C409" i="17"/>
  <c r="D409" i="17"/>
  <c r="E409" i="17"/>
  <c r="F409" i="17"/>
  <c r="G409" i="17"/>
  <c r="H409" i="17"/>
  <c r="J409" i="17"/>
  <c r="K409" i="17"/>
  <c r="L409" i="17"/>
  <c r="A410" i="17"/>
  <c r="B410" i="17"/>
  <c r="C410" i="17"/>
  <c r="D410" i="17"/>
  <c r="E410" i="17"/>
  <c r="F410" i="17"/>
  <c r="G410" i="17"/>
  <c r="H410" i="17"/>
  <c r="J410" i="17"/>
  <c r="K410" i="17"/>
  <c r="L410" i="17"/>
  <c r="A411" i="17"/>
  <c r="B411" i="17"/>
  <c r="C411" i="17"/>
  <c r="D411" i="17"/>
  <c r="E411" i="17"/>
  <c r="F411" i="17"/>
  <c r="G411" i="17"/>
  <c r="H411" i="17"/>
  <c r="J411" i="17"/>
  <c r="K411" i="17"/>
  <c r="L411" i="17"/>
  <c r="A412" i="17"/>
  <c r="B412" i="17"/>
  <c r="C412" i="17"/>
  <c r="D412" i="17"/>
  <c r="E412" i="17"/>
  <c r="F412" i="17"/>
  <c r="G412" i="17"/>
  <c r="H412" i="17"/>
  <c r="J412" i="17"/>
  <c r="K412" i="17"/>
  <c r="L412" i="17"/>
  <c r="A413" i="17"/>
  <c r="B413" i="17"/>
  <c r="C413" i="17"/>
  <c r="D413" i="17"/>
  <c r="E413" i="17"/>
  <c r="F413" i="17"/>
  <c r="G413" i="17"/>
  <c r="H413" i="17"/>
  <c r="J413" i="17"/>
  <c r="K413" i="17"/>
  <c r="L413" i="17"/>
  <c r="A414" i="17"/>
  <c r="B414" i="17"/>
  <c r="C414" i="17"/>
  <c r="D414" i="17"/>
  <c r="E414" i="17"/>
  <c r="F414" i="17"/>
  <c r="G414" i="17"/>
  <c r="H414" i="17"/>
  <c r="J414" i="17"/>
  <c r="K414" i="17"/>
  <c r="L414" i="17"/>
  <c r="A415" i="17"/>
  <c r="B415" i="17"/>
  <c r="C415" i="17"/>
  <c r="D415" i="17"/>
  <c r="E415" i="17"/>
  <c r="F415" i="17"/>
  <c r="G415" i="17"/>
  <c r="H415" i="17"/>
  <c r="J415" i="17"/>
  <c r="K415" i="17"/>
  <c r="L415" i="17"/>
  <c r="A416" i="17"/>
  <c r="B416" i="17"/>
  <c r="C416" i="17"/>
  <c r="D416" i="17"/>
  <c r="E416" i="17"/>
  <c r="F416" i="17"/>
  <c r="G416" i="17"/>
  <c r="H416" i="17"/>
  <c r="J416" i="17"/>
  <c r="K416" i="17"/>
  <c r="L416" i="17"/>
  <c r="A417" i="17"/>
  <c r="B417" i="17"/>
  <c r="C417" i="17"/>
  <c r="D417" i="17"/>
  <c r="E417" i="17"/>
  <c r="F417" i="17"/>
  <c r="G417" i="17"/>
  <c r="H417" i="17"/>
  <c r="J417" i="17"/>
  <c r="K417" i="17"/>
  <c r="L417" i="17"/>
  <c r="A418" i="17"/>
  <c r="B418" i="17"/>
  <c r="C418" i="17"/>
  <c r="D418" i="17"/>
  <c r="E418" i="17"/>
  <c r="F418" i="17"/>
  <c r="G418" i="17"/>
  <c r="H418" i="17"/>
  <c r="J418" i="17"/>
  <c r="K418" i="17"/>
  <c r="L418" i="17"/>
  <c r="A419" i="17"/>
  <c r="B419" i="17"/>
  <c r="C419" i="17"/>
  <c r="D419" i="17"/>
  <c r="E419" i="17"/>
  <c r="F419" i="17"/>
  <c r="G419" i="17"/>
  <c r="H419" i="17"/>
  <c r="J419" i="17"/>
  <c r="K419" i="17"/>
  <c r="L419" i="17"/>
  <c r="A420" i="17"/>
  <c r="B420" i="17"/>
  <c r="C420" i="17"/>
  <c r="D420" i="17"/>
  <c r="E420" i="17"/>
  <c r="F420" i="17"/>
  <c r="G420" i="17"/>
  <c r="H420" i="17"/>
  <c r="J420" i="17"/>
  <c r="K420" i="17"/>
  <c r="L420" i="17"/>
  <c r="A22" i="17"/>
  <c r="B22" i="17"/>
  <c r="C22" i="17"/>
  <c r="D22" i="17"/>
  <c r="E22" i="17"/>
  <c r="F22" i="17"/>
  <c r="G22" i="17"/>
  <c r="H22" i="17"/>
  <c r="J22" i="17"/>
  <c r="K22" i="17"/>
  <c r="L22" i="17"/>
  <c r="A23" i="17"/>
  <c r="B23" i="17"/>
  <c r="C23" i="17"/>
  <c r="D23" i="17"/>
  <c r="E23" i="17"/>
  <c r="F23" i="17"/>
  <c r="G23" i="17"/>
  <c r="H23" i="17"/>
  <c r="J23" i="17"/>
  <c r="K23" i="17"/>
  <c r="L23" i="17"/>
  <c r="A24" i="17"/>
  <c r="B24" i="17"/>
  <c r="C24" i="17"/>
  <c r="D24" i="17"/>
  <c r="E24" i="17"/>
  <c r="F24" i="17"/>
  <c r="G24" i="17"/>
  <c r="H24" i="17"/>
  <c r="J24" i="17"/>
  <c r="K24" i="17"/>
  <c r="L24" i="17"/>
  <c r="A25" i="17"/>
  <c r="B25" i="17"/>
  <c r="C25" i="17"/>
  <c r="D25" i="17"/>
  <c r="E25" i="17"/>
  <c r="F25" i="17"/>
  <c r="G25" i="17"/>
  <c r="H25" i="17"/>
  <c r="J25" i="17"/>
  <c r="K25" i="17"/>
  <c r="L25" i="17"/>
  <c r="A26" i="17"/>
  <c r="B26" i="17"/>
  <c r="C26" i="17"/>
  <c r="D26" i="17"/>
  <c r="E26" i="17"/>
  <c r="F26" i="17"/>
  <c r="G26" i="17"/>
  <c r="H26" i="17"/>
  <c r="J26" i="17"/>
  <c r="K26" i="17"/>
  <c r="L26" i="17"/>
  <c r="A27" i="17"/>
  <c r="B27" i="17"/>
  <c r="C27" i="17"/>
  <c r="D27" i="17"/>
  <c r="E27" i="17"/>
  <c r="F27" i="17"/>
  <c r="G27" i="17"/>
  <c r="H27" i="17"/>
  <c r="J27" i="17"/>
  <c r="K27" i="17"/>
  <c r="L27" i="17"/>
  <c r="A28" i="17"/>
  <c r="B28" i="17"/>
  <c r="C28" i="17"/>
  <c r="D28" i="17"/>
  <c r="E28" i="17"/>
  <c r="F28" i="17"/>
  <c r="G28" i="17"/>
  <c r="H28" i="17"/>
  <c r="J28" i="17"/>
  <c r="K28" i="17"/>
  <c r="L28" i="17"/>
  <c r="A29" i="17"/>
  <c r="B29" i="17"/>
  <c r="C29" i="17"/>
  <c r="D29" i="17"/>
  <c r="E29" i="17"/>
  <c r="F29" i="17"/>
  <c r="G29" i="17"/>
  <c r="H29" i="17"/>
  <c r="J29" i="17"/>
  <c r="K29" i="17"/>
  <c r="L29" i="17"/>
  <c r="A30" i="17"/>
  <c r="B30" i="17"/>
  <c r="C30" i="17"/>
  <c r="D30" i="17"/>
  <c r="E30" i="17"/>
  <c r="F30" i="17"/>
  <c r="G30" i="17"/>
  <c r="H30" i="17"/>
  <c r="J30" i="17"/>
  <c r="K30" i="17"/>
  <c r="L30" i="17"/>
  <c r="A31" i="17"/>
  <c r="B31" i="17"/>
  <c r="C31" i="17"/>
  <c r="D31" i="17"/>
  <c r="E31" i="17"/>
  <c r="F31" i="17"/>
  <c r="G31" i="17"/>
  <c r="H31" i="17"/>
  <c r="J31" i="17"/>
  <c r="K31" i="17"/>
  <c r="L31" i="17"/>
  <c r="A32" i="17"/>
  <c r="B32" i="17"/>
  <c r="C32" i="17"/>
  <c r="D32" i="17"/>
  <c r="E32" i="17"/>
  <c r="F32" i="17"/>
  <c r="G32" i="17"/>
  <c r="H32" i="17"/>
  <c r="J32" i="17"/>
  <c r="K32" i="17"/>
  <c r="L32" i="17"/>
  <c r="A33" i="17"/>
  <c r="B33" i="17"/>
  <c r="C33" i="17"/>
  <c r="D33" i="17"/>
  <c r="E33" i="17"/>
  <c r="F33" i="17"/>
  <c r="G33" i="17"/>
  <c r="H33" i="17"/>
  <c r="J33" i="17"/>
  <c r="K33" i="17"/>
  <c r="L33" i="17"/>
  <c r="A34" i="17"/>
  <c r="B34" i="17"/>
  <c r="C34" i="17"/>
  <c r="D34" i="17"/>
  <c r="E34" i="17"/>
  <c r="F34" i="17"/>
  <c r="G34" i="17"/>
  <c r="H34" i="17"/>
  <c r="J34" i="17"/>
  <c r="K34" i="17"/>
  <c r="L34" i="17"/>
  <c r="A35" i="17"/>
  <c r="B35" i="17"/>
  <c r="C35" i="17"/>
  <c r="D35" i="17"/>
  <c r="E35" i="17"/>
  <c r="F35" i="17"/>
  <c r="G35" i="17"/>
  <c r="H35" i="17"/>
  <c r="J35" i="17"/>
  <c r="K35" i="17"/>
  <c r="L35" i="17"/>
  <c r="A36" i="17"/>
  <c r="B36" i="17"/>
  <c r="C36" i="17"/>
  <c r="D36" i="17"/>
  <c r="E36" i="17"/>
  <c r="F36" i="17"/>
  <c r="G36" i="17"/>
  <c r="H36" i="17"/>
  <c r="J36" i="17"/>
  <c r="K36" i="17"/>
  <c r="L36" i="17"/>
  <c r="A37" i="17"/>
  <c r="B37" i="17"/>
  <c r="C37" i="17"/>
  <c r="D37" i="17"/>
  <c r="E37" i="17"/>
  <c r="F37" i="17"/>
  <c r="G37" i="17"/>
  <c r="H37" i="17"/>
  <c r="J37" i="17"/>
  <c r="K37" i="17"/>
  <c r="L37" i="17"/>
  <c r="A38" i="17"/>
  <c r="B38" i="17"/>
  <c r="C38" i="17"/>
  <c r="D38" i="17"/>
  <c r="E38" i="17"/>
  <c r="F38" i="17"/>
  <c r="G38" i="17"/>
  <c r="H38" i="17"/>
  <c r="J38" i="17"/>
  <c r="K38" i="17"/>
  <c r="L38" i="17"/>
  <c r="A39" i="17"/>
  <c r="B39" i="17"/>
  <c r="C39" i="17"/>
  <c r="D39" i="17"/>
  <c r="E39" i="17"/>
  <c r="F39" i="17"/>
  <c r="G39" i="17"/>
  <c r="H39" i="17"/>
  <c r="J39" i="17"/>
  <c r="K39" i="17"/>
  <c r="L39" i="17"/>
  <c r="A40" i="17"/>
  <c r="B40" i="17"/>
  <c r="C40" i="17"/>
  <c r="D40" i="17"/>
  <c r="E40" i="17"/>
  <c r="F40" i="17"/>
  <c r="G40" i="17"/>
  <c r="H40" i="17"/>
  <c r="J40" i="17"/>
  <c r="K40" i="17"/>
  <c r="L40" i="17"/>
  <c r="A41" i="17"/>
  <c r="B41" i="17"/>
  <c r="C41" i="17"/>
  <c r="D41" i="17"/>
  <c r="E41" i="17"/>
  <c r="F41" i="17"/>
  <c r="G41" i="17"/>
  <c r="H41" i="17"/>
  <c r="J41" i="17"/>
  <c r="K41" i="17"/>
  <c r="L41" i="17"/>
  <c r="A42" i="17"/>
  <c r="B42" i="17"/>
  <c r="C42" i="17"/>
  <c r="D42" i="17"/>
  <c r="E42" i="17"/>
  <c r="F42" i="17"/>
  <c r="G42" i="17"/>
  <c r="H42" i="17"/>
  <c r="J42" i="17"/>
  <c r="K42" i="17"/>
  <c r="L42" i="17"/>
  <c r="A43" i="17"/>
  <c r="B43" i="17"/>
  <c r="C43" i="17"/>
  <c r="D43" i="17"/>
  <c r="E43" i="17"/>
  <c r="F43" i="17"/>
  <c r="G43" i="17"/>
  <c r="H43" i="17"/>
  <c r="J43" i="17"/>
  <c r="K43" i="17"/>
  <c r="L43" i="17"/>
  <c r="A44" i="17"/>
  <c r="B44" i="17"/>
  <c r="C44" i="17"/>
  <c r="D44" i="17"/>
  <c r="E44" i="17"/>
  <c r="F44" i="17"/>
  <c r="G44" i="17"/>
  <c r="H44" i="17"/>
  <c r="J44" i="17"/>
  <c r="K44" i="17"/>
  <c r="L44" i="17"/>
  <c r="A45" i="17"/>
  <c r="B45" i="17"/>
  <c r="C45" i="17"/>
  <c r="D45" i="17"/>
  <c r="E45" i="17"/>
  <c r="F45" i="17"/>
  <c r="G45" i="17"/>
  <c r="H45" i="17"/>
  <c r="J45" i="17"/>
  <c r="K45" i="17"/>
  <c r="L45" i="17"/>
  <c r="A46" i="17"/>
  <c r="B46" i="17"/>
  <c r="C46" i="17"/>
  <c r="D46" i="17"/>
  <c r="E46" i="17"/>
  <c r="F46" i="17"/>
  <c r="G46" i="17"/>
  <c r="H46" i="17"/>
  <c r="J46" i="17"/>
  <c r="K46" i="17"/>
  <c r="L46" i="17"/>
  <c r="A47" i="17"/>
  <c r="B47" i="17"/>
  <c r="C47" i="17"/>
  <c r="D47" i="17"/>
  <c r="E47" i="17"/>
  <c r="F47" i="17"/>
  <c r="G47" i="17"/>
  <c r="H47" i="17"/>
  <c r="J47" i="17"/>
  <c r="K47" i="17"/>
  <c r="L47" i="17"/>
  <c r="A48" i="17"/>
  <c r="B48" i="17"/>
  <c r="C48" i="17"/>
  <c r="D48" i="17"/>
  <c r="E48" i="17"/>
  <c r="F48" i="17"/>
  <c r="G48" i="17"/>
  <c r="H48" i="17"/>
  <c r="J48" i="17"/>
  <c r="K48" i="17"/>
  <c r="L48" i="17"/>
  <c r="A49" i="17"/>
  <c r="B49" i="17"/>
  <c r="C49" i="17"/>
  <c r="D49" i="17"/>
  <c r="E49" i="17"/>
  <c r="F49" i="17"/>
  <c r="G49" i="17"/>
  <c r="H49" i="17"/>
  <c r="J49" i="17"/>
  <c r="K49" i="17"/>
  <c r="L49" i="17"/>
  <c r="A50" i="17"/>
  <c r="B50" i="17"/>
  <c r="C50" i="17"/>
  <c r="D50" i="17"/>
  <c r="E50" i="17"/>
  <c r="F50" i="17"/>
  <c r="G50" i="17"/>
  <c r="H50" i="17"/>
  <c r="J50" i="17"/>
  <c r="K50" i="17"/>
  <c r="L50" i="17"/>
  <c r="A51" i="17"/>
  <c r="B51" i="17"/>
  <c r="C51" i="17"/>
  <c r="D51" i="17"/>
  <c r="E51" i="17"/>
  <c r="F51" i="17"/>
  <c r="G51" i="17"/>
  <c r="H51" i="17"/>
  <c r="J51" i="17"/>
  <c r="K51" i="17"/>
  <c r="L51" i="17"/>
  <c r="A52" i="17"/>
  <c r="B52" i="17"/>
  <c r="C52" i="17"/>
  <c r="D52" i="17"/>
  <c r="E52" i="17"/>
  <c r="F52" i="17"/>
  <c r="G52" i="17"/>
  <c r="H52" i="17"/>
  <c r="J52" i="17"/>
  <c r="K52" i="17"/>
  <c r="L52" i="17"/>
  <c r="A53" i="17"/>
  <c r="B53" i="17"/>
  <c r="C53" i="17"/>
  <c r="D53" i="17"/>
  <c r="E53" i="17"/>
  <c r="F53" i="17"/>
  <c r="G53" i="17"/>
  <c r="H53" i="17"/>
  <c r="J53" i="17"/>
  <c r="K53" i="17"/>
  <c r="L53" i="17"/>
  <c r="A54" i="17"/>
  <c r="B54" i="17"/>
  <c r="C54" i="17"/>
  <c r="D54" i="17"/>
  <c r="E54" i="17"/>
  <c r="F54" i="17"/>
  <c r="G54" i="17"/>
  <c r="H54" i="17"/>
  <c r="J54" i="17"/>
  <c r="K54" i="17"/>
  <c r="L54" i="17"/>
  <c r="A55" i="17"/>
  <c r="B55" i="17"/>
  <c r="C55" i="17"/>
  <c r="D55" i="17"/>
  <c r="E55" i="17"/>
  <c r="F55" i="17"/>
  <c r="G55" i="17"/>
  <c r="H55" i="17"/>
  <c r="J55" i="17"/>
  <c r="K55" i="17"/>
  <c r="L55" i="17"/>
  <c r="A56" i="17"/>
  <c r="B56" i="17"/>
  <c r="C56" i="17"/>
  <c r="D56" i="17"/>
  <c r="E56" i="17"/>
  <c r="F56" i="17"/>
  <c r="G56" i="17"/>
  <c r="H56" i="17"/>
  <c r="J56" i="17"/>
  <c r="K56" i="17"/>
  <c r="L56" i="17"/>
  <c r="A57" i="17"/>
  <c r="B57" i="17"/>
  <c r="C57" i="17"/>
  <c r="D57" i="17"/>
  <c r="E57" i="17"/>
  <c r="F57" i="17"/>
  <c r="G57" i="17"/>
  <c r="H57" i="17"/>
  <c r="J57" i="17"/>
  <c r="K57" i="17"/>
  <c r="L57" i="17"/>
  <c r="A58" i="17"/>
  <c r="B58" i="17"/>
  <c r="C58" i="17"/>
  <c r="D58" i="17"/>
  <c r="E58" i="17"/>
  <c r="F58" i="17"/>
  <c r="G58" i="17"/>
  <c r="H58" i="17"/>
  <c r="J58" i="17"/>
  <c r="K58" i="17"/>
  <c r="L58" i="17"/>
  <c r="A59" i="17"/>
  <c r="B59" i="17"/>
  <c r="C59" i="17"/>
  <c r="D59" i="17"/>
  <c r="E59" i="17"/>
  <c r="F59" i="17"/>
  <c r="G59" i="17"/>
  <c r="H59" i="17"/>
  <c r="J59" i="17"/>
  <c r="K59" i="17"/>
  <c r="L59" i="17"/>
  <c r="A60" i="17"/>
  <c r="B60" i="17"/>
  <c r="C60" i="17"/>
  <c r="D60" i="17"/>
  <c r="E60" i="17"/>
  <c r="F60" i="17"/>
  <c r="G60" i="17"/>
  <c r="H60" i="17"/>
  <c r="J60" i="17"/>
  <c r="K60" i="17"/>
  <c r="L60" i="17"/>
  <c r="A61" i="17"/>
  <c r="B61" i="17"/>
  <c r="C61" i="17"/>
  <c r="D61" i="17"/>
  <c r="E61" i="17"/>
  <c r="F61" i="17"/>
  <c r="G61" i="17"/>
  <c r="H61" i="17"/>
  <c r="J61" i="17"/>
  <c r="K61" i="17"/>
  <c r="L61" i="17"/>
  <c r="A62" i="17"/>
  <c r="B62" i="17"/>
  <c r="C62" i="17"/>
  <c r="D62" i="17"/>
  <c r="E62" i="17"/>
  <c r="F62" i="17"/>
  <c r="G62" i="17"/>
  <c r="H62" i="17"/>
  <c r="J62" i="17"/>
  <c r="K62" i="17"/>
  <c r="L62" i="17"/>
  <c r="A63" i="17"/>
  <c r="B63" i="17"/>
  <c r="C63" i="17"/>
  <c r="D63" i="17"/>
  <c r="E63" i="17"/>
  <c r="F63" i="17"/>
  <c r="G63" i="17"/>
  <c r="H63" i="17"/>
  <c r="J63" i="17"/>
  <c r="K63" i="17"/>
  <c r="L63" i="17"/>
  <c r="A64" i="17"/>
  <c r="B64" i="17"/>
  <c r="C64" i="17"/>
  <c r="D64" i="17"/>
  <c r="E64" i="17"/>
  <c r="F64" i="17"/>
  <c r="G64" i="17"/>
  <c r="H64" i="17"/>
  <c r="J64" i="17"/>
  <c r="K64" i="17"/>
  <c r="L64" i="17"/>
  <c r="A65" i="17"/>
  <c r="B65" i="17"/>
  <c r="C65" i="17"/>
  <c r="D65" i="17"/>
  <c r="E65" i="17"/>
  <c r="F65" i="17"/>
  <c r="G65" i="17"/>
  <c r="H65" i="17"/>
  <c r="J65" i="17"/>
  <c r="K65" i="17"/>
  <c r="L65" i="17"/>
  <c r="A66" i="17"/>
  <c r="B66" i="17"/>
  <c r="C66" i="17"/>
  <c r="D66" i="17"/>
  <c r="E66" i="17"/>
  <c r="F66" i="17"/>
  <c r="G66" i="17"/>
  <c r="H66" i="17"/>
  <c r="J66" i="17"/>
  <c r="K66" i="17"/>
  <c r="L66" i="17"/>
  <c r="A67" i="17"/>
  <c r="B67" i="17"/>
  <c r="C67" i="17"/>
  <c r="D67" i="17"/>
  <c r="E67" i="17"/>
  <c r="F67" i="17"/>
  <c r="G67" i="17"/>
  <c r="H67" i="17"/>
  <c r="J67" i="17"/>
  <c r="K67" i="17"/>
  <c r="L67" i="17"/>
  <c r="A68" i="17"/>
  <c r="B68" i="17"/>
  <c r="C68" i="17"/>
  <c r="D68" i="17"/>
  <c r="E68" i="17"/>
  <c r="F68" i="17"/>
  <c r="G68" i="17"/>
  <c r="H68" i="17"/>
  <c r="J68" i="17"/>
  <c r="K68" i="17"/>
  <c r="L68" i="17"/>
  <c r="A69" i="17"/>
  <c r="B69" i="17"/>
  <c r="C69" i="17"/>
  <c r="D69" i="17"/>
  <c r="E69" i="17"/>
  <c r="F69" i="17"/>
  <c r="G69" i="17"/>
  <c r="H69" i="17"/>
  <c r="J69" i="17"/>
  <c r="K69" i="17"/>
  <c r="L69" i="17"/>
  <c r="A70" i="17"/>
  <c r="B70" i="17"/>
  <c r="C70" i="17"/>
  <c r="D70" i="17"/>
  <c r="E70" i="17"/>
  <c r="F70" i="17"/>
  <c r="G70" i="17"/>
  <c r="H70" i="17"/>
  <c r="J70" i="17"/>
  <c r="K70" i="17"/>
  <c r="L70" i="17"/>
  <c r="A71" i="17"/>
  <c r="B71" i="17"/>
  <c r="C71" i="17"/>
  <c r="D71" i="17"/>
  <c r="E71" i="17"/>
  <c r="F71" i="17"/>
  <c r="G71" i="17"/>
  <c r="H71" i="17"/>
  <c r="J71" i="17"/>
  <c r="K71" i="17"/>
  <c r="L71" i="17"/>
  <c r="A72" i="17"/>
  <c r="B72" i="17"/>
  <c r="C72" i="17"/>
  <c r="D72" i="17"/>
  <c r="E72" i="17"/>
  <c r="F72" i="17"/>
  <c r="G72" i="17"/>
  <c r="H72" i="17"/>
  <c r="J72" i="17"/>
  <c r="K72" i="17"/>
  <c r="L72" i="17"/>
  <c r="A73" i="17"/>
  <c r="B73" i="17"/>
  <c r="C73" i="17"/>
  <c r="D73" i="17"/>
  <c r="E73" i="17"/>
  <c r="F73" i="17"/>
  <c r="G73" i="17"/>
  <c r="H73" i="17"/>
  <c r="J73" i="17"/>
  <c r="K73" i="17"/>
  <c r="L73" i="17"/>
  <c r="A74" i="17"/>
  <c r="B74" i="17"/>
  <c r="C74" i="17"/>
  <c r="D74" i="17"/>
  <c r="E74" i="17"/>
  <c r="F74" i="17"/>
  <c r="G74" i="17"/>
  <c r="H74" i="17"/>
  <c r="J74" i="17"/>
  <c r="K74" i="17"/>
  <c r="L74" i="17"/>
  <c r="A75" i="17"/>
  <c r="B75" i="17"/>
  <c r="C75" i="17"/>
  <c r="D75" i="17"/>
  <c r="E75" i="17"/>
  <c r="F75" i="17"/>
  <c r="G75" i="17"/>
  <c r="H75" i="17"/>
  <c r="J75" i="17"/>
  <c r="K75" i="17"/>
  <c r="L75" i="17"/>
  <c r="A76" i="17"/>
  <c r="B76" i="17"/>
  <c r="C76" i="17"/>
  <c r="D76" i="17"/>
  <c r="E76" i="17"/>
  <c r="F76" i="17"/>
  <c r="G76" i="17"/>
  <c r="H76" i="17"/>
  <c r="J76" i="17"/>
  <c r="K76" i="17"/>
  <c r="L76" i="17"/>
  <c r="A56" i="20"/>
  <c r="B56" i="20"/>
  <c r="C56" i="20"/>
  <c r="D56" i="20"/>
  <c r="E56" i="20"/>
  <c r="F56" i="20"/>
  <c r="G56" i="20"/>
  <c r="H56" i="20"/>
  <c r="L56" i="20"/>
  <c r="Z56" i="20"/>
  <c r="AC56" i="20" a="1"/>
  <c r="AC56" i="20" s="1"/>
  <c r="AD56" i="20" a="1"/>
  <c r="AD56" i="20" s="1"/>
  <c r="AE56" i="20" a="1"/>
  <c r="AE56" i="20" s="1"/>
  <c r="AF56" i="20" a="1"/>
  <c r="AF56" i="20" s="1"/>
  <c r="AG56" i="20" a="1"/>
  <c r="AG56" i="20" s="1"/>
  <c r="AH56" i="20" a="1"/>
  <c r="AH56" i="20" s="1"/>
  <c r="AJ56" i="20" a="1"/>
  <c r="AJ56" i="20" s="1"/>
  <c r="AK56" i="20" a="1"/>
  <c r="AK56" i="20" s="1"/>
  <c r="AA56" i="20" s="1"/>
  <c r="AL56" i="20" a="1"/>
  <c r="AL56" i="20" s="1"/>
  <c r="AM56" i="20" a="1"/>
  <c r="AM56" i="20" s="1"/>
  <c r="AN56" i="20" a="1"/>
  <c r="AN56" i="20"/>
  <c r="AO56" i="20" a="1"/>
  <c r="AO56" i="20" s="1"/>
  <c r="AQ56" i="20"/>
  <c r="A55" i="20"/>
  <c r="AN55" i="20" s="1" a="1"/>
  <c r="AN55" i="20" s="1"/>
  <c r="B55" i="20"/>
  <c r="C55" i="20"/>
  <c r="D55" i="20"/>
  <c r="E55" i="20"/>
  <c r="F55" i="20"/>
  <c r="G55" i="20"/>
  <c r="H55" i="20"/>
  <c r="L55" i="20"/>
  <c r="Z55" i="20"/>
  <c r="AC55" i="20" a="1"/>
  <c r="AC55" i="20" s="1"/>
  <c r="AD55" i="20" a="1"/>
  <c r="AD55" i="20"/>
  <c r="AE55" i="20" a="1"/>
  <c r="AE55" i="20" s="1"/>
  <c r="AF55" i="20" a="1"/>
  <c r="AF55" i="20"/>
  <c r="AG55" i="20" a="1"/>
  <c r="AG55" i="20" s="1"/>
  <c r="AH55" i="20" a="1"/>
  <c r="AH55" i="20" s="1"/>
  <c r="AJ55" i="20" a="1"/>
  <c r="AJ55" i="20" s="1"/>
  <c r="AK55" i="20" a="1"/>
  <c r="AK55" i="20" s="1"/>
  <c r="AA55" i="20" s="1"/>
  <c r="AL55" i="20" a="1"/>
  <c r="AL55" i="20" s="1"/>
  <c r="AM55" i="20" a="1"/>
  <c r="AM55" i="20" s="1"/>
  <c r="AO55" i="20" a="1"/>
  <c r="AO55" i="20" s="1"/>
  <c r="AQ55" i="20"/>
  <c r="A52" i="20"/>
  <c r="AJ52" i="20" s="1" a="1"/>
  <c r="AJ52" i="20" s="1"/>
  <c r="B52" i="20"/>
  <c r="C52" i="20"/>
  <c r="D52" i="20"/>
  <c r="E52" i="20"/>
  <c r="F52" i="20"/>
  <c r="G52" i="20"/>
  <c r="H52" i="20"/>
  <c r="L52" i="20"/>
  <c r="Z52" i="20"/>
  <c r="AC52" i="20" a="1"/>
  <c r="AC52" i="20"/>
  <c r="AD52" i="20" a="1"/>
  <c r="AD52" i="20"/>
  <c r="AE52" i="20" a="1"/>
  <c r="AE52" i="20"/>
  <c r="AF52" i="20" a="1"/>
  <c r="AF52" i="20" s="1"/>
  <c r="AG52" i="20" a="1"/>
  <c r="AG52" i="20" s="1"/>
  <c r="AH52" i="20" a="1"/>
  <c r="AH52" i="20"/>
  <c r="AM52" i="20" a="1"/>
  <c r="AM52" i="20" s="1"/>
  <c r="AN52" i="20" a="1"/>
  <c r="AN52" i="20"/>
  <c r="AO52" i="20" a="1"/>
  <c r="AO52" i="20"/>
  <c r="AQ52" i="20"/>
  <c r="A39" i="20"/>
  <c r="AK39" i="20" s="1" a="1"/>
  <c r="AK39" i="20" s="1"/>
  <c r="B39" i="20"/>
  <c r="C39" i="20"/>
  <c r="D39" i="20"/>
  <c r="E39" i="20"/>
  <c r="F39" i="20"/>
  <c r="G39" i="20"/>
  <c r="H39" i="20"/>
  <c r="L39" i="20"/>
  <c r="AC39" i="20" a="1"/>
  <c r="AC39" i="20"/>
  <c r="AD39" i="20" a="1"/>
  <c r="AD39" i="20" s="1"/>
  <c r="AE39" i="20" a="1"/>
  <c r="AE39" i="20" s="1"/>
  <c r="AN39" i="20" a="1"/>
  <c r="AN39" i="20" s="1"/>
  <c r="AO39" i="20" a="1"/>
  <c r="AO39" i="20" s="1"/>
  <c r="AQ39" i="20"/>
  <c r="A22" i="20"/>
  <c r="AD22" i="20" s="1" a="1"/>
  <c r="AD22" i="20" s="1"/>
  <c r="B22" i="20"/>
  <c r="C22" i="20"/>
  <c r="D22" i="20"/>
  <c r="E22" i="20"/>
  <c r="F22" i="20"/>
  <c r="G22" i="20"/>
  <c r="H22" i="20"/>
  <c r="L22" i="20"/>
  <c r="Z22" i="20"/>
  <c r="AC22" i="20" a="1"/>
  <c r="AC22" i="20" s="1"/>
  <c r="AO22" i="20" a="1"/>
  <c r="AO22" i="20" s="1"/>
  <c r="AQ22" i="20"/>
  <c r="B86" i="28"/>
  <c r="C86" i="28"/>
  <c r="D86" i="28"/>
  <c r="E86" i="28"/>
  <c r="F86" i="28"/>
  <c r="G86" i="28"/>
  <c r="L86" i="28"/>
  <c r="S86" i="28"/>
  <c r="T86" i="28"/>
  <c r="B87" i="28"/>
  <c r="C87" i="28"/>
  <c r="D87" i="28"/>
  <c r="E87" i="28"/>
  <c r="F87" i="28"/>
  <c r="G87" i="28"/>
  <c r="L87" i="28"/>
  <c r="S87" i="28"/>
  <c r="T87" i="28"/>
  <c r="B83" i="28"/>
  <c r="C83" i="28"/>
  <c r="D83" i="28"/>
  <c r="E83" i="28"/>
  <c r="F83" i="28"/>
  <c r="G83" i="28"/>
  <c r="L83" i="28"/>
  <c r="S83" i="28"/>
  <c r="T83" i="28"/>
  <c r="B84" i="28"/>
  <c r="C84" i="28"/>
  <c r="D84" i="28"/>
  <c r="E84" i="28"/>
  <c r="F84" i="28"/>
  <c r="G84" i="28"/>
  <c r="L84" i="28"/>
  <c r="S84" i="28"/>
  <c r="T84" i="28"/>
  <c r="B85" i="28"/>
  <c r="C85" i="28"/>
  <c r="D85" i="28"/>
  <c r="E85" i="28"/>
  <c r="F85" i="28"/>
  <c r="G85" i="28"/>
  <c r="L85" i="28"/>
  <c r="S85" i="28"/>
  <c r="T85" i="28"/>
  <c r="B82" i="28"/>
  <c r="C82" i="28"/>
  <c r="D82" i="28"/>
  <c r="E82" i="28"/>
  <c r="F82" i="28"/>
  <c r="G82" i="28"/>
  <c r="L82" i="28"/>
  <c r="S82" i="28"/>
  <c r="T82" i="28"/>
  <c r="B34" i="28"/>
  <c r="C34" i="28"/>
  <c r="D34" i="28"/>
  <c r="E34" i="28"/>
  <c r="F34" i="28"/>
  <c r="G34" i="28"/>
  <c r="L34" i="28"/>
  <c r="S34" i="28"/>
  <c r="T34" i="28"/>
  <c r="B35" i="28"/>
  <c r="C35" i="28"/>
  <c r="D35" i="28"/>
  <c r="E35" i="28"/>
  <c r="F35" i="28"/>
  <c r="G35" i="28"/>
  <c r="L35" i="28"/>
  <c r="S35" i="28"/>
  <c r="T35" i="28"/>
  <c r="B36" i="28"/>
  <c r="C36" i="28"/>
  <c r="D36" i="28"/>
  <c r="E36" i="28"/>
  <c r="F36" i="28"/>
  <c r="G36" i="28"/>
  <c r="L36" i="28"/>
  <c r="S36" i="28"/>
  <c r="T36" i="28"/>
  <c r="B37" i="28"/>
  <c r="C37" i="28"/>
  <c r="D37" i="28"/>
  <c r="E37" i="28"/>
  <c r="F37" i="28"/>
  <c r="G37" i="28"/>
  <c r="L37" i="28"/>
  <c r="S37" i="28"/>
  <c r="T37" i="28"/>
  <c r="B38" i="28"/>
  <c r="C38" i="28"/>
  <c r="D38" i="28"/>
  <c r="E38" i="28"/>
  <c r="F38" i="28"/>
  <c r="G38" i="28"/>
  <c r="L38" i="28"/>
  <c r="R38" i="28"/>
  <c r="S38" i="28"/>
  <c r="T38" i="28"/>
  <c r="B39" i="28"/>
  <c r="C39" i="28"/>
  <c r="D39" i="28"/>
  <c r="E39" i="28"/>
  <c r="F39" i="28"/>
  <c r="G39" i="28"/>
  <c r="L39" i="28"/>
  <c r="S39" i="28"/>
  <c r="T39" i="28"/>
  <c r="B40" i="28"/>
  <c r="C40" i="28"/>
  <c r="D40" i="28"/>
  <c r="E40" i="28"/>
  <c r="F40" i="28"/>
  <c r="G40" i="28"/>
  <c r="L40" i="28"/>
  <c r="R40" i="28"/>
  <c r="S40" i="28"/>
  <c r="T40" i="28"/>
  <c r="B41" i="28"/>
  <c r="C41" i="28"/>
  <c r="D41" i="28"/>
  <c r="E41" i="28"/>
  <c r="F41" i="28"/>
  <c r="G41" i="28"/>
  <c r="L41" i="28"/>
  <c r="S41" i="28"/>
  <c r="T41" i="28"/>
  <c r="B42" i="28"/>
  <c r="C42" i="28"/>
  <c r="D42" i="28"/>
  <c r="E42" i="28"/>
  <c r="F42" i="28"/>
  <c r="G42" i="28"/>
  <c r="L42" i="28"/>
  <c r="S42" i="28"/>
  <c r="T42" i="28"/>
  <c r="B43" i="28"/>
  <c r="C43" i="28"/>
  <c r="D43" i="28"/>
  <c r="E43" i="28"/>
  <c r="F43" i="28"/>
  <c r="G43" i="28"/>
  <c r="L43" i="28"/>
  <c r="S43" i="28"/>
  <c r="T43" i="28"/>
  <c r="B44" i="28"/>
  <c r="C44" i="28"/>
  <c r="D44" i="28"/>
  <c r="E44" i="28"/>
  <c r="F44" i="28"/>
  <c r="G44" i="28"/>
  <c r="L44" i="28"/>
  <c r="S44" i="28"/>
  <c r="T44" i="28"/>
  <c r="B45" i="28"/>
  <c r="C45" i="28"/>
  <c r="D45" i="28"/>
  <c r="E45" i="28"/>
  <c r="F45" i="28"/>
  <c r="G45" i="28"/>
  <c r="L45" i="28"/>
  <c r="S45" i="28"/>
  <c r="T45" i="28"/>
  <c r="B46" i="28"/>
  <c r="C46" i="28"/>
  <c r="D46" i="28"/>
  <c r="E46" i="28"/>
  <c r="F46" i="28"/>
  <c r="G46" i="28"/>
  <c r="L46" i="28"/>
  <c r="S46" i="28"/>
  <c r="T46" i="28"/>
  <c r="B47" i="28"/>
  <c r="C47" i="28"/>
  <c r="D47" i="28"/>
  <c r="E47" i="28"/>
  <c r="F47" i="28"/>
  <c r="G47" i="28"/>
  <c r="L47" i="28"/>
  <c r="S47" i="28"/>
  <c r="T47" i="28"/>
  <c r="B48" i="28"/>
  <c r="C48" i="28"/>
  <c r="D48" i="28"/>
  <c r="E48" i="28"/>
  <c r="F48" i="28"/>
  <c r="G48" i="28"/>
  <c r="L48" i="28"/>
  <c r="S48" i="28"/>
  <c r="T48" i="28"/>
  <c r="B49" i="28"/>
  <c r="C49" i="28"/>
  <c r="D49" i="28"/>
  <c r="E49" i="28"/>
  <c r="F49" i="28"/>
  <c r="G49" i="28"/>
  <c r="L49" i="28"/>
  <c r="S49" i="28"/>
  <c r="T49" i="28"/>
  <c r="B50" i="28"/>
  <c r="C50" i="28"/>
  <c r="D50" i="28"/>
  <c r="E50" i="28"/>
  <c r="F50" i="28"/>
  <c r="G50" i="28"/>
  <c r="L50" i="28"/>
  <c r="S50" i="28"/>
  <c r="T50" i="28"/>
  <c r="B51" i="28"/>
  <c r="C51" i="28"/>
  <c r="D51" i="28"/>
  <c r="E51" i="28"/>
  <c r="F51" i="28"/>
  <c r="G51" i="28"/>
  <c r="L51" i="28"/>
  <c r="S51" i="28"/>
  <c r="T51" i="28"/>
  <c r="B52" i="28"/>
  <c r="C52" i="28"/>
  <c r="D52" i="28"/>
  <c r="E52" i="28"/>
  <c r="F52" i="28"/>
  <c r="G52" i="28"/>
  <c r="L52" i="28"/>
  <c r="S52" i="28"/>
  <c r="T52" i="28"/>
  <c r="B53" i="28"/>
  <c r="C53" i="28"/>
  <c r="D53" i="28"/>
  <c r="E53" i="28"/>
  <c r="F53" i="28"/>
  <c r="G53" i="28"/>
  <c r="L53" i="28"/>
  <c r="S53" i="28"/>
  <c r="T53" i="28"/>
  <c r="B54" i="28"/>
  <c r="C54" i="28"/>
  <c r="D54" i="28"/>
  <c r="E54" i="28"/>
  <c r="F54" i="28"/>
  <c r="G54" i="28"/>
  <c r="L54" i="28"/>
  <c r="S54" i="28"/>
  <c r="T54" i="28"/>
  <c r="B55" i="28"/>
  <c r="C55" i="28"/>
  <c r="D55" i="28"/>
  <c r="E55" i="28"/>
  <c r="F55" i="28"/>
  <c r="G55" i="28"/>
  <c r="L55" i="28"/>
  <c r="S55" i="28"/>
  <c r="T55" i="28"/>
  <c r="B56" i="28"/>
  <c r="C56" i="28"/>
  <c r="D56" i="28"/>
  <c r="E56" i="28"/>
  <c r="F56" i="28"/>
  <c r="G56" i="28"/>
  <c r="L56" i="28"/>
  <c r="S56" i="28"/>
  <c r="T56" i="28"/>
  <c r="B57" i="28"/>
  <c r="C57" i="28"/>
  <c r="D57" i="28"/>
  <c r="E57" i="28"/>
  <c r="F57" i="28"/>
  <c r="G57" i="28"/>
  <c r="L57" i="28"/>
  <c r="S57" i="28"/>
  <c r="T57" i="28"/>
  <c r="B58" i="28"/>
  <c r="C58" i="28"/>
  <c r="D58" i="28"/>
  <c r="E58" i="28"/>
  <c r="F58" i="28"/>
  <c r="G58" i="28"/>
  <c r="L58" i="28"/>
  <c r="S58" i="28"/>
  <c r="T58" i="28"/>
  <c r="B59" i="28"/>
  <c r="C59" i="28"/>
  <c r="D59" i="28"/>
  <c r="E59" i="28"/>
  <c r="F59" i="28"/>
  <c r="G59" i="28"/>
  <c r="L59" i="28"/>
  <c r="S59" i="28"/>
  <c r="T59" i="28"/>
  <c r="B60" i="28"/>
  <c r="C60" i="28"/>
  <c r="D60" i="28"/>
  <c r="E60" i="28"/>
  <c r="F60" i="28"/>
  <c r="G60" i="28"/>
  <c r="L60" i="28"/>
  <c r="S60" i="28"/>
  <c r="T60" i="28"/>
  <c r="B61" i="28"/>
  <c r="C61" i="28"/>
  <c r="D61" i="28"/>
  <c r="E61" i="28"/>
  <c r="F61" i="28"/>
  <c r="G61" i="28"/>
  <c r="L61" i="28"/>
  <c r="S61" i="28"/>
  <c r="T61" i="28"/>
  <c r="B62" i="28"/>
  <c r="C62" i="28"/>
  <c r="D62" i="28"/>
  <c r="E62" i="28"/>
  <c r="F62" i="28"/>
  <c r="G62" i="28"/>
  <c r="L62" i="28"/>
  <c r="S62" i="28"/>
  <c r="T62" i="28"/>
  <c r="B63" i="28"/>
  <c r="C63" i="28"/>
  <c r="D63" i="28"/>
  <c r="E63" i="28"/>
  <c r="F63" i="28"/>
  <c r="G63" i="28"/>
  <c r="L63" i="28"/>
  <c r="S63" i="28"/>
  <c r="T63" i="28"/>
  <c r="B64" i="28"/>
  <c r="C64" i="28"/>
  <c r="D64" i="28"/>
  <c r="E64" i="28"/>
  <c r="F64" i="28"/>
  <c r="G64" i="28"/>
  <c r="L64" i="28"/>
  <c r="S64" i="28"/>
  <c r="T64" i="28"/>
  <c r="B65" i="28"/>
  <c r="C65" i="28"/>
  <c r="D65" i="28"/>
  <c r="E65" i="28"/>
  <c r="F65" i="28"/>
  <c r="G65" i="28"/>
  <c r="L65" i="28"/>
  <c r="S65" i="28"/>
  <c r="T65" i="28"/>
  <c r="B66" i="28"/>
  <c r="C66" i="28"/>
  <c r="D66" i="28"/>
  <c r="E66" i="28"/>
  <c r="F66" i="28"/>
  <c r="G66" i="28"/>
  <c r="L66" i="28"/>
  <c r="S66" i="28"/>
  <c r="T66" i="28"/>
  <c r="B67" i="28"/>
  <c r="C67" i="28"/>
  <c r="D67" i="28"/>
  <c r="E67" i="28"/>
  <c r="F67" i="28"/>
  <c r="G67" i="28"/>
  <c r="L67" i="28"/>
  <c r="S67" i="28"/>
  <c r="T67" i="28"/>
  <c r="B68" i="28"/>
  <c r="C68" i="28"/>
  <c r="D68" i="28"/>
  <c r="E68" i="28"/>
  <c r="F68" i="28"/>
  <c r="G68" i="28"/>
  <c r="L68" i="28"/>
  <c r="S68" i="28"/>
  <c r="T68" i="28"/>
  <c r="B69" i="28"/>
  <c r="C69" i="28"/>
  <c r="D69" i="28"/>
  <c r="E69" i="28"/>
  <c r="F69" i="28"/>
  <c r="G69" i="28"/>
  <c r="L69" i="28"/>
  <c r="S69" i="28"/>
  <c r="T69" i="28"/>
  <c r="B70" i="28"/>
  <c r="C70" i="28"/>
  <c r="D70" i="28"/>
  <c r="E70" i="28"/>
  <c r="F70" i="28"/>
  <c r="G70" i="28"/>
  <c r="L70" i="28"/>
  <c r="S70" i="28"/>
  <c r="T70" i="28"/>
  <c r="B71" i="28"/>
  <c r="C71" i="28"/>
  <c r="D71" i="28"/>
  <c r="E71" i="28"/>
  <c r="F71" i="28"/>
  <c r="G71" i="28"/>
  <c r="L71" i="28"/>
  <c r="S71" i="28"/>
  <c r="T71" i="28"/>
  <c r="B72" i="28"/>
  <c r="C72" i="28"/>
  <c r="D72" i="28"/>
  <c r="E72" i="28"/>
  <c r="F72" i="28"/>
  <c r="G72" i="28"/>
  <c r="L72" i="28"/>
  <c r="S72" i="28"/>
  <c r="T72" i="28"/>
  <c r="B73" i="28"/>
  <c r="C73" i="28"/>
  <c r="D73" i="28"/>
  <c r="E73" i="28"/>
  <c r="F73" i="28"/>
  <c r="G73" i="28"/>
  <c r="L73" i="28"/>
  <c r="S73" i="28"/>
  <c r="T73" i="28"/>
  <c r="B74" i="28"/>
  <c r="C74" i="28"/>
  <c r="D74" i="28"/>
  <c r="E74" i="28"/>
  <c r="F74" i="28"/>
  <c r="G74" i="28"/>
  <c r="L74" i="28"/>
  <c r="S74" i="28"/>
  <c r="T74" i="28"/>
  <c r="B75" i="28"/>
  <c r="C75" i="28"/>
  <c r="D75" i="28"/>
  <c r="E75" i="28"/>
  <c r="F75" i="28"/>
  <c r="G75" i="28"/>
  <c r="L75" i="28"/>
  <c r="S75" i="28"/>
  <c r="T75" i="28"/>
  <c r="B76" i="28"/>
  <c r="C76" i="28"/>
  <c r="D76" i="28"/>
  <c r="E76" i="28"/>
  <c r="F76" i="28"/>
  <c r="G76" i="28"/>
  <c r="L76" i="28"/>
  <c r="S76" i="28"/>
  <c r="T76" i="28"/>
  <c r="B77" i="28"/>
  <c r="C77" i="28"/>
  <c r="D77" i="28"/>
  <c r="E77" i="28"/>
  <c r="F77" i="28"/>
  <c r="G77" i="28"/>
  <c r="L77" i="28"/>
  <c r="S77" i="28"/>
  <c r="T77" i="28"/>
  <c r="B78" i="28"/>
  <c r="C78" i="28"/>
  <c r="D78" i="28"/>
  <c r="E78" i="28"/>
  <c r="F78" i="28"/>
  <c r="G78" i="28"/>
  <c r="L78" i="28"/>
  <c r="S78" i="28"/>
  <c r="T78" i="28"/>
  <c r="B79" i="28"/>
  <c r="C79" i="28"/>
  <c r="D79" i="28"/>
  <c r="E79" i="28"/>
  <c r="F79" i="28"/>
  <c r="G79" i="28"/>
  <c r="L79" i="28"/>
  <c r="S79" i="28"/>
  <c r="T79" i="28"/>
  <c r="B80" i="28"/>
  <c r="C80" i="28"/>
  <c r="D80" i="28"/>
  <c r="E80" i="28"/>
  <c r="F80" i="28"/>
  <c r="G80" i="28"/>
  <c r="L80" i="28"/>
  <c r="S80" i="28"/>
  <c r="T80" i="28"/>
  <c r="B81" i="28"/>
  <c r="C81" i="28"/>
  <c r="D81" i="28"/>
  <c r="E81" i="28"/>
  <c r="F81" i="28"/>
  <c r="G81" i="28"/>
  <c r="L81" i="28"/>
  <c r="S81" i="28"/>
  <c r="T81" i="28"/>
  <c r="AN445" i="6"/>
  <c r="B420" i="6"/>
  <c r="B421" i="6"/>
  <c r="B422" i="6"/>
  <c r="AO436" i="2"/>
  <c r="AN22" i="20" l="1" a="1"/>
  <c r="AN22" i="20" s="1"/>
  <c r="AM22" i="20" a="1"/>
  <c r="AM22" i="20" s="1"/>
  <c r="AL22" i="20" a="1"/>
  <c r="AL22" i="20" s="1"/>
  <c r="AK22" i="20" a="1"/>
  <c r="AK22" i="20" s="1"/>
  <c r="AA22" i="20" s="1"/>
  <c r="AJ22" i="20" a="1"/>
  <c r="AJ22" i="20" s="1"/>
  <c r="AM39" i="20" a="1"/>
  <c r="AM39" i="20" s="1"/>
  <c r="AH22" i="20" a="1"/>
  <c r="AH22" i="20" s="1"/>
  <c r="AL39" i="20" a="1"/>
  <c r="AL39" i="20" s="1"/>
  <c r="AG22" i="20" a="1"/>
  <c r="AG22" i="20" s="1"/>
  <c r="AJ39" i="20" a="1"/>
  <c r="AJ39" i="20" s="1"/>
  <c r="AF22" i="20" a="1"/>
  <c r="AF22" i="20" s="1"/>
  <c r="AH39" i="20" a="1"/>
  <c r="AH39" i="20" s="1"/>
  <c r="AE22" i="20" a="1"/>
  <c r="AE22" i="20" s="1"/>
  <c r="AG39" i="20" a="1"/>
  <c r="AG39" i="20" s="1"/>
  <c r="AL52" i="20" a="1"/>
  <c r="AL52" i="20" s="1"/>
  <c r="AF39" i="20" a="1"/>
  <c r="AF39" i="20" s="1"/>
  <c r="AK52" i="20" a="1"/>
  <c r="AK52" i="20" s="1"/>
  <c r="AA52" i="20" s="1"/>
  <c r="AA39" i="20"/>
  <c r="C403" i="6"/>
  <c r="D403" i="6"/>
  <c r="C404" i="6"/>
  <c r="D404" i="6"/>
  <c r="C405" i="6"/>
  <c r="D405" i="6"/>
  <c r="C406" i="6"/>
  <c r="D406" i="6"/>
  <c r="C407" i="6"/>
  <c r="D407" i="6"/>
  <c r="C408" i="6"/>
  <c r="D408" i="6"/>
  <c r="C409" i="6"/>
  <c r="D409" i="6"/>
  <c r="C410" i="6"/>
  <c r="D410" i="6"/>
  <c r="C411" i="6"/>
  <c r="D411" i="6"/>
  <c r="C412" i="6"/>
  <c r="D412" i="6"/>
  <c r="C413" i="6"/>
  <c r="D413" i="6"/>
  <c r="C414" i="6"/>
  <c r="D414" i="6"/>
  <c r="C415" i="6"/>
  <c r="D415" i="6"/>
  <c r="C416" i="6"/>
  <c r="D416" i="6"/>
  <c r="C417" i="6"/>
  <c r="D417" i="6"/>
  <c r="C418" i="6"/>
  <c r="D418" i="6"/>
  <c r="C419" i="6"/>
  <c r="D419" i="6"/>
  <c r="C420" i="6"/>
  <c r="D420" i="6"/>
  <c r="C421" i="6"/>
  <c r="D421" i="6"/>
  <c r="C422" i="6"/>
  <c r="D422" i="6"/>
  <c r="C423" i="6"/>
  <c r="D423" i="6"/>
  <c r="C424" i="6"/>
  <c r="D424" i="6"/>
  <c r="C425" i="6"/>
  <c r="D425" i="6"/>
  <c r="C426" i="6"/>
  <c r="D426" i="6"/>
  <c r="C427" i="6"/>
  <c r="D427" i="6"/>
  <c r="C428" i="6"/>
  <c r="D428" i="6"/>
  <c r="C429" i="6"/>
  <c r="D429" i="6"/>
  <c r="C430" i="6"/>
  <c r="D430" i="6"/>
  <c r="C431" i="6"/>
  <c r="D431" i="6"/>
  <c r="C432" i="6"/>
  <c r="D432" i="6"/>
  <c r="C433" i="6"/>
  <c r="D433" i="6"/>
  <c r="C434" i="6"/>
  <c r="D434" i="6"/>
  <c r="C435" i="6"/>
  <c r="D435" i="6"/>
  <c r="C436" i="6"/>
  <c r="D436" i="6"/>
  <c r="C437" i="6"/>
  <c r="D437" i="6"/>
  <c r="C438" i="6"/>
  <c r="D438" i="6"/>
  <c r="C439" i="6"/>
  <c r="D439" i="6"/>
  <c r="C440" i="6"/>
  <c r="D440" i="6"/>
  <c r="C441" i="6"/>
  <c r="D441" i="6"/>
  <c r="C442" i="6"/>
  <c r="D442" i="6"/>
  <c r="C443" i="6"/>
  <c r="D443" i="6"/>
  <c r="C444" i="6"/>
  <c r="D444" i="6"/>
  <c r="C445" i="6"/>
  <c r="D445" i="6"/>
  <c r="C446" i="6"/>
  <c r="D446" i="6"/>
  <c r="C447" i="6"/>
  <c r="D447" i="6"/>
  <c r="C448" i="6"/>
  <c r="D448" i="6"/>
  <c r="C449" i="6"/>
  <c r="D449" i="6"/>
  <c r="C450" i="6"/>
  <c r="D450" i="6"/>
  <c r="C451" i="6"/>
  <c r="D451" i="6"/>
  <c r="C452" i="6"/>
  <c r="D452" i="6"/>
  <c r="C453" i="6"/>
  <c r="D453" i="6"/>
  <c r="C454" i="6"/>
  <c r="D454" i="6"/>
  <c r="C455" i="6"/>
  <c r="D455" i="6"/>
  <c r="C456" i="6"/>
  <c r="D456" i="6"/>
  <c r="AA394" i="33" l="1"/>
  <c r="AB394" i="33"/>
  <c r="AA395" i="33"/>
  <c r="AB395" i="33"/>
  <c r="AA396" i="33"/>
  <c r="AB396" i="33"/>
  <c r="AA397" i="33"/>
  <c r="AB397" i="33"/>
  <c r="AA398" i="33"/>
  <c r="AB398" i="33"/>
  <c r="AA399" i="33"/>
  <c r="AB399" i="33"/>
  <c r="AA400" i="33"/>
  <c r="AB400" i="33"/>
  <c r="AA401" i="33"/>
  <c r="AB401" i="33"/>
  <c r="AA402" i="33"/>
  <c r="AB402" i="33"/>
  <c r="AA403" i="33"/>
  <c r="AB403" i="33"/>
  <c r="AA404" i="33"/>
  <c r="AB404" i="33"/>
  <c r="AA405" i="33"/>
  <c r="AB405" i="33"/>
  <c r="AA406" i="33"/>
  <c r="AB406" i="33"/>
  <c r="AA407" i="33"/>
  <c r="AB407" i="33"/>
  <c r="AA408" i="33"/>
  <c r="AB408" i="33"/>
  <c r="AA409" i="33"/>
  <c r="AB409" i="33"/>
  <c r="AA410" i="33"/>
  <c r="AB410" i="33"/>
  <c r="AA411" i="33"/>
  <c r="AB411" i="33"/>
  <c r="AA412" i="33"/>
  <c r="AB412" i="33"/>
  <c r="AA413" i="33"/>
  <c r="AB413" i="33"/>
  <c r="AA414" i="33"/>
  <c r="AB414" i="33"/>
  <c r="AA415" i="33"/>
  <c r="AB415" i="33"/>
  <c r="AA416" i="33"/>
  <c r="AB416" i="33"/>
  <c r="AA417" i="33"/>
  <c r="AB417" i="33"/>
  <c r="AA418" i="33"/>
  <c r="AB418" i="33"/>
  <c r="AA419" i="33"/>
  <c r="AB419" i="33"/>
  <c r="AA420" i="33"/>
  <c r="AB420" i="33"/>
  <c r="AA421" i="33"/>
  <c r="AB421" i="33"/>
  <c r="AA422" i="33"/>
  <c r="AB422" i="33"/>
  <c r="AA423" i="33"/>
  <c r="AB423" i="33"/>
  <c r="AA424" i="33"/>
  <c r="AB424" i="33"/>
  <c r="AA425" i="33"/>
  <c r="AB425" i="33"/>
  <c r="AA426" i="33"/>
  <c r="AB426" i="33"/>
  <c r="AA427" i="33"/>
  <c r="AB427" i="33"/>
  <c r="AA428" i="33"/>
  <c r="AB428" i="33"/>
  <c r="AA429" i="33"/>
  <c r="AB429" i="33"/>
  <c r="AA430" i="33"/>
  <c r="AB430" i="33"/>
  <c r="AA431" i="33"/>
  <c r="AB431" i="33"/>
  <c r="AA432" i="33"/>
  <c r="AB432" i="33"/>
  <c r="AA433" i="33"/>
  <c r="AB433" i="33"/>
  <c r="AA434" i="33"/>
  <c r="AB434" i="33"/>
  <c r="AA435" i="33"/>
  <c r="AB435" i="33"/>
  <c r="AA436" i="33"/>
  <c r="AB436" i="33"/>
  <c r="AA437" i="33"/>
  <c r="AB437" i="33"/>
  <c r="AA438" i="33"/>
  <c r="AB438" i="33"/>
  <c r="AA439" i="33"/>
  <c r="AB439" i="33"/>
  <c r="AA440" i="33"/>
  <c r="AB440" i="33"/>
  <c r="AA441" i="33"/>
  <c r="AB441" i="33"/>
  <c r="AA442" i="33"/>
  <c r="AB442" i="33"/>
  <c r="AA443" i="33"/>
  <c r="AB443" i="33"/>
  <c r="AA444" i="33"/>
  <c r="AB444" i="33"/>
  <c r="AA445" i="33"/>
  <c r="AB445" i="33"/>
  <c r="AA446" i="33"/>
  <c r="AB446" i="33"/>
  <c r="AA447" i="33"/>
  <c r="AB447" i="33"/>
  <c r="Y394" i="33"/>
  <c r="Y395" i="33"/>
  <c r="Y396" i="33"/>
  <c r="Y397" i="33"/>
  <c r="Y398" i="33"/>
  <c r="Y399" i="33"/>
  <c r="Y400" i="33"/>
  <c r="Y401" i="33"/>
  <c r="Y402" i="33"/>
  <c r="Y403" i="33"/>
  <c r="Y404" i="33"/>
  <c r="Y405" i="33"/>
  <c r="Y406" i="33"/>
  <c r="Y407" i="33"/>
  <c r="Y408" i="33"/>
  <c r="Y409" i="33"/>
  <c r="Y410" i="33"/>
  <c r="Y411" i="33"/>
  <c r="Y412" i="33"/>
  <c r="Y413" i="33"/>
  <c r="Y414" i="33"/>
  <c r="Y415" i="33"/>
  <c r="Y416" i="33"/>
  <c r="Y417" i="33"/>
  <c r="Y418" i="33"/>
  <c r="Y419" i="33"/>
  <c r="Y420" i="33"/>
  <c r="Y421" i="33"/>
  <c r="Y422" i="33"/>
  <c r="Y423" i="33"/>
  <c r="Y424" i="33"/>
  <c r="Y425" i="33"/>
  <c r="Y426" i="33"/>
  <c r="Y427" i="33"/>
  <c r="Y428" i="33"/>
  <c r="Y429" i="33"/>
  <c r="Y430" i="33"/>
  <c r="Y431" i="33"/>
  <c r="Y432" i="33"/>
  <c r="Y433" i="33"/>
  <c r="Y434" i="33"/>
  <c r="Y435" i="33"/>
  <c r="Y436" i="33"/>
  <c r="Y437" i="33"/>
  <c r="Y438" i="33"/>
  <c r="Y439" i="33"/>
  <c r="Y440" i="33"/>
  <c r="Y441" i="33"/>
  <c r="Y442" i="33"/>
  <c r="Y443" i="33"/>
  <c r="Y444" i="33"/>
  <c r="Y445" i="33"/>
  <c r="Y446" i="33"/>
  <c r="Y447" i="33"/>
  <c r="V394" i="33" a="1"/>
  <c r="V394" i="33"/>
  <c r="W394" i="33" a="1"/>
  <c r="W394" i="33" s="1"/>
  <c r="X394" i="33" a="1"/>
  <c r="X394" i="33" s="1"/>
  <c r="V395" i="33" a="1"/>
  <c r="V395" i="33" s="1"/>
  <c r="W395" i="33" a="1"/>
  <c r="W395" i="33" s="1"/>
  <c r="X395" i="33" a="1"/>
  <c r="X395" i="33" s="1"/>
  <c r="V396" i="33" a="1"/>
  <c r="V396" i="33" s="1"/>
  <c r="W396" i="33" a="1"/>
  <c r="W396" i="33"/>
  <c r="X396" i="33" a="1"/>
  <c r="X396" i="33" s="1"/>
  <c r="V397" i="33" a="1"/>
  <c r="V397" i="33"/>
  <c r="W397" i="33" a="1"/>
  <c r="W397" i="33"/>
  <c r="X397" i="33" a="1"/>
  <c r="X397" i="33"/>
  <c r="V398" i="33" a="1"/>
  <c r="V398" i="33" s="1"/>
  <c r="W398" i="33" a="1"/>
  <c r="W398" i="33"/>
  <c r="X398" i="33" a="1"/>
  <c r="X398" i="33"/>
  <c r="V399" i="33" a="1"/>
  <c r="V399" i="33"/>
  <c r="W399" i="33" a="1"/>
  <c r="W399" i="33" s="1"/>
  <c r="X399" i="33" a="1"/>
  <c r="X399" i="33" s="1"/>
  <c r="V400" i="33" a="1"/>
  <c r="V400" i="33" s="1"/>
  <c r="W400" i="33" a="1"/>
  <c r="W400" i="33" s="1"/>
  <c r="X400" i="33" a="1"/>
  <c r="X400" i="33" s="1"/>
  <c r="V401" i="33" a="1"/>
  <c r="V401" i="33" s="1"/>
  <c r="W401" i="33" a="1"/>
  <c r="W401" i="33" s="1"/>
  <c r="X401" i="33" a="1"/>
  <c r="X401" i="33"/>
  <c r="V402" i="33" a="1"/>
  <c r="V402" i="33"/>
  <c r="W402" i="33" a="1"/>
  <c r="W402" i="33"/>
  <c r="X402" i="33" a="1"/>
  <c r="X402" i="33"/>
  <c r="V403" i="33" a="1"/>
  <c r="V403" i="33"/>
  <c r="W403" i="33" a="1"/>
  <c r="W403" i="33" s="1"/>
  <c r="X403" i="33" a="1"/>
  <c r="X403" i="33" s="1"/>
  <c r="V404" i="33" a="1"/>
  <c r="V404" i="33"/>
  <c r="W404" i="33" a="1"/>
  <c r="W404" i="33"/>
  <c r="X404" i="33" a="1"/>
  <c r="X404" i="33" s="1"/>
  <c r="V405" i="33" a="1"/>
  <c r="V405" i="33" s="1"/>
  <c r="W405" i="33" a="1"/>
  <c r="W405" i="33" s="1"/>
  <c r="X405" i="33" a="1"/>
  <c r="X405" i="33" s="1"/>
  <c r="V406" i="33" a="1"/>
  <c r="V406" i="33" s="1"/>
  <c r="W406" i="33" a="1"/>
  <c r="W406" i="33" s="1"/>
  <c r="X406" i="33" a="1"/>
  <c r="X406" i="33" s="1"/>
  <c r="V407" i="33" a="1"/>
  <c r="V407" i="33"/>
  <c r="W407" i="33" a="1"/>
  <c r="W407" i="33" s="1"/>
  <c r="X407" i="33" a="1"/>
  <c r="X407" i="33"/>
  <c r="V408" i="33" a="1"/>
  <c r="V408" i="33" s="1"/>
  <c r="W408" i="33" a="1"/>
  <c r="W408" i="33"/>
  <c r="X408" i="33" a="1"/>
  <c r="X408" i="33"/>
  <c r="V409" i="33" a="1"/>
  <c r="V409" i="33"/>
  <c r="W409" i="33" a="1"/>
  <c r="W409" i="33"/>
  <c r="X409" i="33" a="1"/>
  <c r="X409" i="33"/>
  <c r="V410" i="33" a="1"/>
  <c r="V410" i="33" s="1"/>
  <c r="W410" i="33" a="1"/>
  <c r="W410" i="33" s="1"/>
  <c r="X410" i="33" a="1"/>
  <c r="X410" i="33" s="1"/>
  <c r="V411" i="33" a="1"/>
  <c r="V411" i="33" s="1"/>
  <c r="W411" i="33" a="1"/>
  <c r="W411" i="33" s="1"/>
  <c r="X411" i="33" a="1"/>
  <c r="X411" i="33" s="1"/>
  <c r="V412" i="33" a="1"/>
  <c r="V412" i="33" s="1"/>
  <c r="W412" i="33" a="1"/>
  <c r="W412" i="33"/>
  <c r="X412" i="33" a="1"/>
  <c r="X412" i="33" s="1"/>
  <c r="V413" i="33" a="1"/>
  <c r="V413" i="33"/>
  <c r="W413" i="33" a="1"/>
  <c r="W413" i="33" s="1"/>
  <c r="X413" i="33" a="1"/>
  <c r="X413" i="33"/>
  <c r="V414" i="33" a="1"/>
  <c r="V414" i="33" s="1"/>
  <c r="W414" i="33" a="1"/>
  <c r="W414" i="33" s="1"/>
  <c r="X414" i="33" a="1"/>
  <c r="X414" i="33"/>
  <c r="V415" i="33" a="1"/>
  <c r="V415" i="33"/>
  <c r="W415" i="33" a="1"/>
  <c r="W415" i="33" s="1"/>
  <c r="X415" i="33" a="1"/>
  <c r="X415" i="33" s="1"/>
  <c r="V416" i="33" a="1"/>
  <c r="V416" i="33" s="1"/>
  <c r="W416" i="33" a="1"/>
  <c r="W416" i="33" s="1"/>
  <c r="X416" i="33" a="1"/>
  <c r="X416" i="33" s="1"/>
  <c r="V417" i="33" a="1"/>
  <c r="V417" i="33" s="1"/>
  <c r="W417" i="33" a="1"/>
  <c r="W417" i="33" s="1"/>
  <c r="X417" i="33" a="1"/>
  <c r="X417" i="33"/>
  <c r="V418" i="33" a="1"/>
  <c r="V418" i="33" s="1"/>
  <c r="W418" i="33" a="1"/>
  <c r="W418" i="33"/>
  <c r="X418" i="33" a="1"/>
  <c r="X418" i="33" s="1"/>
  <c r="V419" i="33" a="1"/>
  <c r="V419" i="33"/>
  <c r="W419" i="33" a="1"/>
  <c r="W419" i="33" s="1"/>
  <c r="X419" i="33" a="1"/>
  <c r="X419" i="33"/>
  <c r="V420" i="33" a="1"/>
  <c r="V420" i="33" s="1"/>
  <c r="W420" i="33" a="1"/>
  <c r="W420" i="33"/>
  <c r="X420" i="33" a="1"/>
  <c r="X420" i="33" s="1"/>
  <c r="V421" i="33" a="1"/>
  <c r="V421" i="33" s="1"/>
  <c r="W421" i="33" a="1"/>
  <c r="W421" i="33" s="1"/>
  <c r="X421" i="33" a="1"/>
  <c r="X421" i="33" s="1"/>
  <c r="V422" i="33" a="1"/>
  <c r="V422" i="33" s="1"/>
  <c r="W422" i="33" a="1"/>
  <c r="W422" i="33" s="1"/>
  <c r="X422" i="33" a="1"/>
  <c r="X422" i="33" s="1"/>
  <c r="V423" i="33" a="1"/>
  <c r="V423" i="33"/>
  <c r="W423" i="33" a="1"/>
  <c r="W423" i="33" s="1"/>
  <c r="X423" i="33" a="1"/>
  <c r="X423" i="33"/>
  <c r="V424" i="33" a="1"/>
  <c r="V424" i="33" s="1"/>
  <c r="W424" i="33" a="1"/>
  <c r="W424" i="33"/>
  <c r="X424" i="33" a="1"/>
  <c r="X424" i="33" s="1"/>
  <c r="V425" i="33" a="1"/>
  <c r="V425" i="33"/>
  <c r="W425" i="33" a="1"/>
  <c r="W425" i="33" s="1"/>
  <c r="X425" i="33" a="1"/>
  <c r="X425" i="33"/>
  <c r="V426" i="33" a="1"/>
  <c r="V426" i="33" s="1"/>
  <c r="W426" i="33" a="1"/>
  <c r="W426" i="33" s="1"/>
  <c r="X426" i="33" a="1"/>
  <c r="X426" i="33" s="1"/>
  <c r="V427" i="33" a="1"/>
  <c r="V427" i="33" s="1"/>
  <c r="W427" i="33" a="1"/>
  <c r="W427" i="33" s="1"/>
  <c r="X427" i="33" a="1"/>
  <c r="X427" i="33" s="1"/>
  <c r="V428" i="33" a="1"/>
  <c r="V428" i="33" s="1"/>
  <c r="W428" i="33" a="1"/>
  <c r="W428" i="33"/>
  <c r="X428" i="33" a="1"/>
  <c r="X428" i="33" s="1"/>
  <c r="V429" i="33" a="1"/>
  <c r="V429" i="33"/>
  <c r="W429" i="33" a="1"/>
  <c r="W429" i="33" s="1"/>
  <c r="X429" i="33" a="1"/>
  <c r="X429" i="33"/>
  <c r="V430" i="33" a="1"/>
  <c r="V430" i="33" s="1"/>
  <c r="W430" i="33" a="1"/>
  <c r="W430" i="33" s="1"/>
  <c r="X430" i="33" a="1"/>
  <c r="X430" i="33"/>
  <c r="V431" i="33" a="1"/>
  <c r="V431" i="33"/>
  <c r="W431" i="33" a="1"/>
  <c r="W431" i="33" s="1"/>
  <c r="X431" i="33" a="1"/>
  <c r="X431" i="33" s="1"/>
  <c r="V432" i="33" a="1"/>
  <c r="V432" i="33" s="1"/>
  <c r="W432" i="33" a="1"/>
  <c r="W432" i="33" s="1"/>
  <c r="X432" i="33" a="1"/>
  <c r="X432" i="33" s="1"/>
  <c r="V433" i="33" a="1"/>
  <c r="V433" i="33" s="1"/>
  <c r="W433" i="33" a="1"/>
  <c r="W433" i="33" s="1"/>
  <c r="X433" i="33" a="1"/>
  <c r="X433" i="33" s="1"/>
  <c r="V434" i="33" a="1"/>
  <c r="V434" i="33" s="1"/>
  <c r="W434" i="33" a="1"/>
  <c r="W434" i="33"/>
  <c r="X434" i="33" a="1"/>
  <c r="X434" i="33" s="1"/>
  <c r="V435" i="33" a="1"/>
  <c r="V435" i="33" s="1"/>
  <c r="W435" i="33" a="1"/>
  <c r="W435" i="33" s="1"/>
  <c r="X435" i="33" a="1"/>
  <c r="X435" i="33" s="1"/>
  <c r="V436" i="33" a="1"/>
  <c r="V436" i="33"/>
  <c r="W436" i="33" a="1"/>
  <c r="W436" i="33"/>
  <c r="X436" i="33" a="1"/>
  <c r="X436" i="33" s="1"/>
  <c r="V437" i="33" a="1"/>
  <c r="V437" i="33" s="1"/>
  <c r="W437" i="33" a="1"/>
  <c r="W437" i="33" s="1"/>
  <c r="X437" i="33" a="1"/>
  <c r="X437" i="33" s="1"/>
  <c r="V438" i="33" a="1"/>
  <c r="V438" i="33" s="1"/>
  <c r="W438" i="33" a="1"/>
  <c r="W438" i="33" s="1"/>
  <c r="X438" i="33" a="1"/>
  <c r="X438" i="33" s="1"/>
  <c r="V439" i="33" a="1"/>
  <c r="V439" i="33" s="1"/>
  <c r="W439" i="33" a="1"/>
  <c r="W439" i="33" s="1"/>
  <c r="X439" i="33" a="1"/>
  <c r="X439" i="33"/>
  <c r="V440" i="33" a="1"/>
  <c r="V440" i="33" s="1"/>
  <c r="W440" i="33" a="1"/>
  <c r="W440" i="33" s="1"/>
  <c r="X440" i="33" a="1"/>
  <c r="X440" i="33" s="1"/>
  <c r="V441" i="33" a="1"/>
  <c r="V441" i="33" s="1"/>
  <c r="W441" i="33" a="1"/>
  <c r="W441" i="33" s="1"/>
  <c r="X441" i="33" a="1"/>
  <c r="X441" i="33"/>
  <c r="V442" i="33" a="1"/>
  <c r="V442" i="33" s="1"/>
  <c r="W442" i="33" a="1"/>
  <c r="W442" i="33" s="1"/>
  <c r="X442" i="33" a="1"/>
  <c r="X442" i="33" s="1"/>
  <c r="V443" i="33" a="1"/>
  <c r="V443" i="33" s="1"/>
  <c r="W443" i="33" a="1"/>
  <c r="W443" i="33" s="1"/>
  <c r="X443" i="33" a="1"/>
  <c r="X443" i="33" s="1"/>
  <c r="V444" i="33" a="1"/>
  <c r="V444" i="33" s="1"/>
  <c r="W444" i="33" a="1"/>
  <c r="W444" i="33" s="1"/>
  <c r="X444" i="33" a="1"/>
  <c r="X444" i="33" s="1"/>
  <c r="V445" i="33" a="1"/>
  <c r="V445" i="33"/>
  <c r="W445" i="33" a="1"/>
  <c r="W445" i="33" s="1"/>
  <c r="X445" i="33" a="1"/>
  <c r="X445" i="33" s="1"/>
  <c r="V446" i="33" a="1"/>
  <c r="V446" i="33" s="1"/>
  <c r="W446" i="33" a="1"/>
  <c r="W446" i="33" s="1"/>
  <c r="X446" i="33" a="1"/>
  <c r="X446" i="33" s="1"/>
  <c r="V447" i="33" a="1"/>
  <c r="V447" i="33"/>
  <c r="W447" i="33" a="1"/>
  <c r="W447" i="33" s="1"/>
  <c r="X447" i="33" a="1"/>
  <c r="X447" i="33" s="1"/>
  <c r="A470" i="2"/>
  <c r="B470" i="2"/>
  <c r="C470" i="2"/>
  <c r="E470" i="2"/>
  <c r="G470" i="2"/>
  <c r="H470" i="2"/>
  <c r="I470" i="2"/>
  <c r="G417" i="2"/>
  <c r="H417" i="2"/>
  <c r="I417" i="2"/>
  <c r="G418" i="2"/>
  <c r="H418" i="2"/>
  <c r="I418" i="2"/>
  <c r="G419" i="2"/>
  <c r="H419" i="2"/>
  <c r="I419" i="2"/>
  <c r="G420" i="2"/>
  <c r="H420" i="2"/>
  <c r="I420" i="2"/>
  <c r="G421" i="2"/>
  <c r="H421" i="2"/>
  <c r="I421" i="2"/>
  <c r="G422" i="2"/>
  <c r="H422" i="2"/>
  <c r="I422" i="2"/>
  <c r="G423" i="2"/>
  <c r="H423" i="2"/>
  <c r="I423" i="2"/>
  <c r="G424" i="2"/>
  <c r="H424" i="2"/>
  <c r="I424" i="2"/>
  <c r="G425" i="2"/>
  <c r="H425" i="2"/>
  <c r="I425" i="2"/>
  <c r="G426" i="2"/>
  <c r="H426" i="2"/>
  <c r="I426" i="2"/>
  <c r="G427" i="2"/>
  <c r="H427" i="2"/>
  <c r="I427" i="2"/>
  <c r="G428" i="2"/>
  <c r="H428" i="2"/>
  <c r="I428" i="2"/>
  <c r="G429" i="2"/>
  <c r="H429" i="2"/>
  <c r="I429" i="2"/>
  <c r="G430" i="2"/>
  <c r="H430" i="2"/>
  <c r="I430" i="2"/>
  <c r="G431" i="2"/>
  <c r="H431" i="2"/>
  <c r="I431" i="2"/>
  <c r="G432" i="2"/>
  <c r="H432" i="2"/>
  <c r="I432" i="2"/>
  <c r="G433" i="2"/>
  <c r="H433" i="2"/>
  <c r="I433" i="2"/>
  <c r="G434" i="2"/>
  <c r="H434" i="2"/>
  <c r="I434" i="2"/>
  <c r="G435" i="2"/>
  <c r="H435" i="2"/>
  <c r="I435" i="2"/>
  <c r="G436" i="2"/>
  <c r="H436" i="2"/>
  <c r="I436" i="2"/>
  <c r="G437" i="2"/>
  <c r="H437" i="2"/>
  <c r="I437" i="2"/>
  <c r="G438" i="2"/>
  <c r="H438" i="2"/>
  <c r="I438" i="2"/>
  <c r="G439" i="2"/>
  <c r="H439" i="2"/>
  <c r="I439" i="2"/>
  <c r="G440" i="2"/>
  <c r="H440" i="2"/>
  <c r="I440" i="2"/>
  <c r="G441" i="2"/>
  <c r="H441" i="2"/>
  <c r="I441" i="2"/>
  <c r="G442" i="2"/>
  <c r="H442" i="2"/>
  <c r="I442" i="2"/>
  <c r="G443" i="2"/>
  <c r="H443" i="2"/>
  <c r="I443" i="2"/>
  <c r="G444" i="2"/>
  <c r="H444" i="2"/>
  <c r="I444" i="2"/>
  <c r="G445" i="2"/>
  <c r="H445" i="2"/>
  <c r="I445" i="2"/>
  <c r="G446" i="2"/>
  <c r="H446" i="2"/>
  <c r="I446" i="2"/>
  <c r="G447" i="2"/>
  <c r="H447" i="2"/>
  <c r="I447" i="2"/>
  <c r="G448" i="2"/>
  <c r="H448" i="2"/>
  <c r="I448" i="2"/>
  <c r="G449" i="2"/>
  <c r="H449" i="2"/>
  <c r="I449" i="2"/>
  <c r="G450" i="2"/>
  <c r="H450" i="2"/>
  <c r="I450" i="2"/>
  <c r="G451" i="2"/>
  <c r="H451" i="2"/>
  <c r="I451" i="2"/>
  <c r="G452" i="2"/>
  <c r="H452" i="2"/>
  <c r="I452" i="2"/>
  <c r="G453" i="2"/>
  <c r="H453" i="2"/>
  <c r="I453" i="2"/>
  <c r="G454" i="2"/>
  <c r="H454" i="2"/>
  <c r="I454" i="2"/>
  <c r="G455" i="2"/>
  <c r="H455" i="2"/>
  <c r="I455" i="2"/>
  <c r="G456" i="2"/>
  <c r="H456" i="2"/>
  <c r="I456" i="2"/>
  <c r="G457" i="2"/>
  <c r="Z457" i="2" s="1"/>
  <c r="AJ457" i="2" s="1"/>
  <c r="H457" i="2"/>
  <c r="AE457" i="2" s="1"/>
  <c r="AO457" i="2" s="1"/>
  <c r="I457" i="2"/>
  <c r="G458" i="2"/>
  <c r="Z458" i="2" s="1"/>
  <c r="AJ458" i="2" s="1"/>
  <c r="H458" i="2"/>
  <c r="AE458" i="2" s="1"/>
  <c r="AO458" i="2" s="1"/>
  <c r="I458" i="2"/>
  <c r="G459" i="2"/>
  <c r="Z459" i="2" s="1"/>
  <c r="AJ459" i="2" s="1"/>
  <c r="H459" i="2"/>
  <c r="AE459" i="2" s="1"/>
  <c r="AO459" i="2" s="1"/>
  <c r="I459" i="2"/>
  <c r="G460" i="2"/>
  <c r="Z460" i="2" s="1"/>
  <c r="AJ460" i="2" s="1"/>
  <c r="H460" i="2"/>
  <c r="AE460" i="2" s="1"/>
  <c r="AO460" i="2" s="1"/>
  <c r="I460" i="2"/>
  <c r="G461" i="2"/>
  <c r="H461" i="2"/>
  <c r="AE461" i="2" s="1"/>
  <c r="AO461" i="2" s="1"/>
  <c r="I461" i="2"/>
  <c r="G462" i="2"/>
  <c r="Z462" i="2" s="1"/>
  <c r="AJ462" i="2" s="1"/>
  <c r="H462" i="2"/>
  <c r="AE462" i="2" s="1"/>
  <c r="AO462" i="2" s="1"/>
  <c r="I462" i="2"/>
  <c r="G463" i="2"/>
  <c r="Z463" i="2" s="1"/>
  <c r="AJ463" i="2" s="1"/>
  <c r="H463" i="2"/>
  <c r="AE463" i="2" s="1"/>
  <c r="AO463" i="2" s="1"/>
  <c r="I463" i="2"/>
  <c r="G464" i="2"/>
  <c r="Z464" i="2" s="1"/>
  <c r="AJ464" i="2" s="1"/>
  <c r="H464" i="2"/>
  <c r="AE464" i="2" s="1"/>
  <c r="AO464" i="2" s="1"/>
  <c r="I464" i="2"/>
  <c r="G465" i="2"/>
  <c r="H465" i="2"/>
  <c r="AE465" i="2" s="1"/>
  <c r="AO465" i="2" s="1"/>
  <c r="I465" i="2"/>
  <c r="G466" i="2"/>
  <c r="Z466" i="2" s="1"/>
  <c r="AJ466" i="2" s="1"/>
  <c r="H466" i="2"/>
  <c r="AE466" i="2" s="1"/>
  <c r="AO466" i="2" s="1"/>
  <c r="I466" i="2"/>
  <c r="G467" i="2"/>
  <c r="H467" i="2"/>
  <c r="I467" i="2"/>
  <c r="G468" i="2"/>
  <c r="H468" i="2"/>
  <c r="I468" i="2"/>
  <c r="G469" i="2"/>
  <c r="H469" i="2"/>
  <c r="I469"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B460" i="2"/>
  <c r="B461" i="2"/>
  <c r="B462" i="2"/>
  <c r="B463" i="2"/>
  <c r="B464" i="2"/>
  <c r="B465" i="2"/>
  <c r="B466" i="2"/>
  <c r="B467" i="2"/>
  <c r="B468" i="2"/>
  <c r="B469" i="2"/>
  <c r="B452" i="2"/>
  <c r="B453" i="2"/>
  <c r="B454" i="2"/>
  <c r="B455" i="2"/>
  <c r="B456" i="2"/>
  <c r="B457" i="2"/>
  <c r="B458" i="2"/>
  <c r="B459"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19" i="6"/>
  <c r="A420" i="6"/>
  <c r="A421" i="6"/>
  <c r="A401" i="6"/>
  <c r="A402" i="6"/>
  <c r="A403" i="6"/>
  <c r="A404" i="6"/>
  <c r="A405" i="6"/>
  <c r="A406" i="6"/>
  <c r="A407" i="6"/>
  <c r="A408" i="6"/>
  <c r="A409" i="6"/>
  <c r="A410" i="6"/>
  <c r="A411" i="6"/>
  <c r="A412" i="6"/>
  <c r="A413" i="6"/>
  <c r="A414" i="6"/>
  <c r="A415" i="6"/>
  <c r="A416" i="6"/>
  <c r="A417" i="6"/>
  <c r="A418" i="6"/>
  <c r="B403" i="6"/>
  <c r="B404" i="6"/>
  <c r="B405" i="6"/>
  <c r="B406" i="6"/>
  <c r="B407" i="6"/>
  <c r="B408" i="6"/>
  <c r="B409" i="6"/>
  <c r="B410" i="6"/>
  <c r="B411" i="6"/>
  <c r="B412" i="6"/>
  <c r="B413" i="6"/>
  <c r="B414" i="6"/>
  <c r="B415" i="6"/>
  <c r="B416" i="6"/>
  <c r="B417" i="6"/>
  <c r="B418" i="6"/>
  <c r="B419" i="6"/>
  <c r="B423" i="6"/>
  <c r="B424" i="6"/>
  <c r="B425" i="6"/>
  <c r="B426" i="6"/>
  <c r="B427" i="6"/>
  <c r="B428" i="6"/>
  <c r="B429" i="6"/>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16" i="2"/>
  <c r="A4" i="19"/>
  <c r="AL4" i="19" s="1" a="1"/>
  <c r="AL4" i="19" s="1"/>
  <c r="B4" i="19"/>
  <c r="C4" i="19"/>
  <c r="D4" i="19"/>
  <c r="E4" i="19"/>
  <c r="F4" i="19"/>
  <c r="G4" i="19"/>
  <c r="K4" i="19"/>
  <c r="N4" i="19"/>
  <c r="O4" i="19"/>
  <c r="P4" i="19"/>
  <c r="Q4" i="19"/>
  <c r="R4" i="19"/>
  <c r="S4" i="19"/>
  <c r="A5" i="19"/>
  <c r="AI5" i="19" s="1" a="1"/>
  <c r="AI5" i="19" s="1"/>
  <c r="B5" i="19"/>
  <c r="C5" i="19"/>
  <c r="D5" i="19"/>
  <c r="E5" i="19"/>
  <c r="F5" i="19"/>
  <c r="G5" i="19"/>
  <c r="K5" i="19"/>
  <c r="N5" i="19"/>
  <c r="O5" i="19"/>
  <c r="P5" i="19"/>
  <c r="Q5" i="19"/>
  <c r="R5" i="19"/>
  <c r="S5" i="19"/>
  <c r="A6" i="19"/>
  <c r="AD6" i="19" s="1" a="1"/>
  <c r="AD6" i="19" s="1"/>
  <c r="B6" i="19"/>
  <c r="C6" i="19"/>
  <c r="D6" i="19"/>
  <c r="E6" i="19"/>
  <c r="F6" i="19"/>
  <c r="G6" i="19"/>
  <c r="K6" i="19"/>
  <c r="N6" i="19"/>
  <c r="O6" i="19"/>
  <c r="P6" i="19"/>
  <c r="Q6" i="19"/>
  <c r="R6" i="19"/>
  <c r="S6" i="19"/>
  <c r="AL6" i="19" a="1"/>
  <c r="AL6" i="19" s="1"/>
  <c r="A7" i="19"/>
  <c r="AD7" i="19" s="1" a="1"/>
  <c r="AD7" i="19" s="1"/>
  <c r="B7" i="19"/>
  <c r="C7" i="19"/>
  <c r="D7" i="19"/>
  <c r="E7" i="19"/>
  <c r="F7" i="19"/>
  <c r="G7" i="19"/>
  <c r="K7" i="19"/>
  <c r="N7" i="19"/>
  <c r="O7" i="19"/>
  <c r="P7" i="19"/>
  <c r="Q7" i="19"/>
  <c r="R7" i="19"/>
  <c r="S7" i="19"/>
  <c r="A8" i="19"/>
  <c r="AB8" i="19" s="1" a="1"/>
  <c r="AB8" i="19" s="1"/>
  <c r="B8" i="19"/>
  <c r="C8" i="19"/>
  <c r="D8" i="19"/>
  <c r="E8" i="19"/>
  <c r="F8" i="19"/>
  <c r="G8" i="19"/>
  <c r="K8" i="19"/>
  <c r="N8" i="19"/>
  <c r="O8" i="19"/>
  <c r="P8" i="19"/>
  <c r="Q8" i="19"/>
  <c r="R8" i="19"/>
  <c r="S8" i="19"/>
  <c r="A9" i="19"/>
  <c r="AJ9" i="19" s="1" a="1"/>
  <c r="AJ9" i="19" s="1"/>
  <c r="B9" i="19"/>
  <c r="C9" i="19"/>
  <c r="D9" i="19"/>
  <c r="E9" i="19"/>
  <c r="F9" i="19"/>
  <c r="G9" i="19"/>
  <c r="K9" i="19"/>
  <c r="N9" i="19"/>
  <c r="O9" i="19"/>
  <c r="P9" i="19"/>
  <c r="Q9" i="19"/>
  <c r="R9" i="19"/>
  <c r="S9" i="19"/>
  <c r="A10" i="19"/>
  <c r="AB10" i="19" s="1" a="1"/>
  <c r="AB10" i="19" s="1"/>
  <c r="B10" i="19"/>
  <c r="C10" i="19"/>
  <c r="D10" i="19"/>
  <c r="E10" i="19"/>
  <c r="F10" i="19"/>
  <c r="G10" i="19"/>
  <c r="K10" i="19"/>
  <c r="N10" i="19"/>
  <c r="O10" i="19"/>
  <c r="P10" i="19"/>
  <c r="Q10" i="19"/>
  <c r="R10" i="19"/>
  <c r="S10" i="19"/>
  <c r="A11" i="19"/>
  <c r="AE11" i="19" s="1" a="1"/>
  <c r="AE11" i="19" s="1"/>
  <c r="B11" i="19"/>
  <c r="C11" i="19"/>
  <c r="D11" i="19"/>
  <c r="E11" i="19"/>
  <c r="F11" i="19"/>
  <c r="G11" i="19"/>
  <c r="K11" i="19"/>
  <c r="N11" i="19"/>
  <c r="O11" i="19"/>
  <c r="P11" i="19"/>
  <c r="Q11" i="19"/>
  <c r="R11" i="19"/>
  <c r="S11" i="19"/>
  <c r="A12" i="19"/>
  <c r="AP12" i="19" s="1"/>
  <c r="B12" i="19"/>
  <c r="C12" i="19"/>
  <c r="D12" i="19"/>
  <c r="E12" i="19"/>
  <c r="F12" i="19"/>
  <c r="G12" i="19"/>
  <c r="K12" i="19"/>
  <c r="N12" i="19"/>
  <c r="O12" i="19"/>
  <c r="P12" i="19"/>
  <c r="Q12" i="19"/>
  <c r="R12" i="19"/>
  <c r="S12" i="19"/>
  <c r="A13" i="19"/>
  <c r="AE13" i="19" s="1" a="1"/>
  <c r="AE13" i="19" s="1"/>
  <c r="B13" i="19"/>
  <c r="C13" i="19"/>
  <c r="D13" i="19"/>
  <c r="E13" i="19"/>
  <c r="F13" i="19"/>
  <c r="G13" i="19"/>
  <c r="K13" i="19"/>
  <c r="N13" i="19"/>
  <c r="O13" i="19"/>
  <c r="P13" i="19"/>
  <c r="Q13" i="19"/>
  <c r="R13" i="19"/>
  <c r="S13" i="19"/>
  <c r="AI13" i="19" a="1"/>
  <c r="AI13" i="19" s="1"/>
  <c r="A14" i="19"/>
  <c r="AM14" i="19" s="1" a="1"/>
  <c r="AM14" i="19" s="1"/>
  <c r="B14" i="19"/>
  <c r="C14" i="19"/>
  <c r="D14" i="19"/>
  <c r="E14" i="19"/>
  <c r="F14" i="19"/>
  <c r="G14" i="19"/>
  <c r="K14" i="19"/>
  <c r="N14" i="19"/>
  <c r="O14" i="19"/>
  <c r="P14" i="19"/>
  <c r="Q14" i="19"/>
  <c r="R14" i="19"/>
  <c r="S14" i="19"/>
  <c r="A15" i="19"/>
  <c r="AC15" i="19" s="1" a="1"/>
  <c r="AC15" i="19" s="1"/>
  <c r="B15" i="19"/>
  <c r="C15" i="19"/>
  <c r="D15" i="19"/>
  <c r="E15" i="19"/>
  <c r="F15" i="19"/>
  <c r="G15" i="19"/>
  <c r="K15" i="19"/>
  <c r="N15" i="19"/>
  <c r="O15" i="19"/>
  <c r="P15" i="19"/>
  <c r="Q15" i="19"/>
  <c r="R15" i="19"/>
  <c r="S15" i="19"/>
  <c r="A16" i="19"/>
  <c r="AM16" i="19" s="1" a="1"/>
  <c r="AM16" i="19" s="1"/>
  <c r="B16" i="19"/>
  <c r="C16" i="19"/>
  <c r="D16" i="19"/>
  <c r="E16" i="19"/>
  <c r="F16" i="19"/>
  <c r="G16" i="19"/>
  <c r="K16" i="19"/>
  <c r="N16" i="19"/>
  <c r="O16" i="19"/>
  <c r="P16" i="19"/>
  <c r="Q16" i="19"/>
  <c r="R16" i="19"/>
  <c r="S16" i="19"/>
  <c r="A17" i="19"/>
  <c r="AC17" i="19" s="1" a="1"/>
  <c r="AC17" i="19" s="1"/>
  <c r="B17" i="19"/>
  <c r="C17" i="19"/>
  <c r="D17" i="19"/>
  <c r="E17" i="19"/>
  <c r="F17" i="19"/>
  <c r="G17" i="19"/>
  <c r="K17" i="19"/>
  <c r="N17" i="19"/>
  <c r="O17" i="19"/>
  <c r="P17" i="19"/>
  <c r="Q17" i="19"/>
  <c r="R17" i="19"/>
  <c r="S17" i="19"/>
  <c r="A18" i="19"/>
  <c r="AK18" i="19" s="1" a="1"/>
  <c r="AK18" i="19" s="1"/>
  <c r="B18" i="19"/>
  <c r="C18" i="19"/>
  <c r="D18" i="19"/>
  <c r="E18" i="19"/>
  <c r="F18" i="19"/>
  <c r="G18" i="19"/>
  <c r="K18" i="19"/>
  <c r="N18" i="19"/>
  <c r="O18" i="19"/>
  <c r="P18" i="19"/>
  <c r="Q18" i="19"/>
  <c r="R18" i="19"/>
  <c r="S18" i="19"/>
  <c r="A19" i="19"/>
  <c r="AD19" i="19" s="1" a="1"/>
  <c r="AD19" i="19" s="1"/>
  <c r="B19" i="19"/>
  <c r="C19" i="19"/>
  <c r="D19" i="19"/>
  <c r="E19" i="19"/>
  <c r="F19" i="19"/>
  <c r="G19" i="19"/>
  <c r="K19" i="19"/>
  <c r="N19" i="19"/>
  <c r="O19" i="19"/>
  <c r="P19" i="19"/>
  <c r="Q19" i="19"/>
  <c r="R19" i="19"/>
  <c r="S19" i="19"/>
  <c r="A20" i="19"/>
  <c r="AI20" i="19" s="1" a="1"/>
  <c r="AI20" i="19" s="1"/>
  <c r="B20" i="19"/>
  <c r="C20" i="19"/>
  <c r="D20" i="19"/>
  <c r="E20" i="19"/>
  <c r="F20" i="19"/>
  <c r="G20" i="19"/>
  <c r="K20" i="19"/>
  <c r="N20" i="19"/>
  <c r="O20" i="19"/>
  <c r="P20" i="19"/>
  <c r="Q20" i="19"/>
  <c r="R20" i="19"/>
  <c r="S20" i="19"/>
  <c r="AB20" i="19" a="1"/>
  <c r="AB20" i="19" s="1"/>
  <c r="AE20" i="19" a="1"/>
  <c r="AE20" i="19" s="1"/>
  <c r="A21" i="19"/>
  <c r="AC21" i="19" s="1" a="1"/>
  <c r="AC21" i="19" s="1"/>
  <c r="B21" i="19"/>
  <c r="C21" i="19"/>
  <c r="D21" i="19"/>
  <c r="E21" i="19"/>
  <c r="F21" i="19"/>
  <c r="G21" i="19"/>
  <c r="K21" i="19"/>
  <c r="N21" i="19"/>
  <c r="O21" i="19"/>
  <c r="P21" i="19"/>
  <c r="Q21" i="19"/>
  <c r="R21" i="19"/>
  <c r="S21" i="19"/>
  <c r="A22" i="19"/>
  <c r="AD22" i="19" s="1" a="1"/>
  <c r="AD22" i="19" s="1"/>
  <c r="B22" i="19"/>
  <c r="C22" i="19"/>
  <c r="D22" i="19"/>
  <c r="E22" i="19"/>
  <c r="F22" i="19"/>
  <c r="G22" i="19"/>
  <c r="K22" i="19"/>
  <c r="N22" i="19"/>
  <c r="O22" i="19"/>
  <c r="P22" i="19"/>
  <c r="Q22" i="19"/>
  <c r="R22" i="19"/>
  <c r="S22" i="19"/>
  <c r="A23" i="19"/>
  <c r="AC23" i="19" s="1" a="1"/>
  <c r="AC23" i="19" s="1"/>
  <c r="B23" i="19"/>
  <c r="C23" i="19"/>
  <c r="D23" i="19"/>
  <c r="E23" i="19"/>
  <c r="F23" i="19"/>
  <c r="G23" i="19"/>
  <c r="K23" i="19"/>
  <c r="N23" i="19"/>
  <c r="O23" i="19"/>
  <c r="P23" i="19"/>
  <c r="Q23" i="19"/>
  <c r="R23" i="19"/>
  <c r="S23" i="19"/>
  <c r="A24" i="19"/>
  <c r="AB24" i="19" s="1" a="1"/>
  <c r="AB24" i="19" s="1"/>
  <c r="B24" i="19"/>
  <c r="C24" i="19"/>
  <c r="D24" i="19"/>
  <c r="E24" i="19"/>
  <c r="F24" i="19"/>
  <c r="G24" i="19"/>
  <c r="K24" i="19"/>
  <c r="N24" i="19"/>
  <c r="O24" i="19"/>
  <c r="P24" i="19"/>
  <c r="Q24" i="19"/>
  <c r="R24" i="19"/>
  <c r="S24" i="19"/>
  <c r="A25" i="19"/>
  <c r="AN25" i="19" s="1" a="1"/>
  <c r="AN25" i="19" s="1"/>
  <c r="B25" i="19"/>
  <c r="C25" i="19"/>
  <c r="D25" i="19"/>
  <c r="E25" i="19"/>
  <c r="F25" i="19"/>
  <c r="G25" i="19"/>
  <c r="K25" i="19"/>
  <c r="N25" i="19"/>
  <c r="O25" i="19"/>
  <c r="P25" i="19"/>
  <c r="Q25" i="19"/>
  <c r="R25" i="19"/>
  <c r="S25" i="19"/>
  <c r="A26" i="19"/>
  <c r="AD26" i="19" s="1" a="1"/>
  <c r="AD26" i="19" s="1"/>
  <c r="B26" i="19"/>
  <c r="C26" i="19"/>
  <c r="D26" i="19"/>
  <c r="E26" i="19"/>
  <c r="F26" i="19"/>
  <c r="G26" i="19"/>
  <c r="K26" i="19"/>
  <c r="N26" i="19"/>
  <c r="O26" i="19"/>
  <c r="P26" i="19"/>
  <c r="Q26" i="19"/>
  <c r="R26" i="19"/>
  <c r="S26" i="19"/>
  <c r="A27" i="19"/>
  <c r="AL27" i="19" s="1" a="1"/>
  <c r="AL27" i="19" s="1"/>
  <c r="B27" i="19"/>
  <c r="C27" i="19"/>
  <c r="D27" i="19"/>
  <c r="E27" i="19"/>
  <c r="F27" i="19"/>
  <c r="G27" i="19"/>
  <c r="K27" i="19"/>
  <c r="N27" i="19"/>
  <c r="O27" i="19"/>
  <c r="P27" i="19"/>
  <c r="Q27" i="19"/>
  <c r="R27" i="19"/>
  <c r="S27" i="19"/>
  <c r="A28" i="19"/>
  <c r="AB28" i="19" s="1" a="1"/>
  <c r="AB28" i="19" s="1"/>
  <c r="B28" i="19"/>
  <c r="C28" i="19"/>
  <c r="D28" i="19"/>
  <c r="E28" i="19"/>
  <c r="F28" i="19"/>
  <c r="G28" i="19"/>
  <c r="K28" i="19"/>
  <c r="N28" i="19"/>
  <c r="O28" i="19"/>
  <c r="P28" i="19"/>
  <c r="Q28" i="19"/>
  <c r="R28" i="19"/>
  <c r="S28" i="19"/>
  <c r="A3" i="19"/>
  <c r="B413" i="2"/>
  <c r="G387" i="2"/>
  <c r="H387" i="2"/>
  <c r="I387" i="2"/>
  <c r="G388" i="2"/>
  <c r="H388" i="2"/>
  <c r="I388" i="2"/>
  <c r="G389" i="2"/>
  <c r="H389" i="2"/>
  <c r="I389" i="2"/>
  <c r="G390" i="2"/>
  <c r="H390" i="2"/>
  <c r="I390" i="2"/>
  <c r="G391" i="2"/>
  <c r="H391" i="2"/>
  <c r="I391" i="2"/>
  <c r="G392" i="2"/>
  <c r="H392" i="2"/>
  <c r="I392" i="2"/>
  <c r="G393" i="2"/>
  <c r="H393" i="2"/>
  <c r="I393" i="2"/>
  <c r="G394" i="2"/>
  <c r="H394" i="2"/>
  <c r="I394" i="2"/>
  <c r="G395" i="2"/>
  <c r="H395" i="2"/>
  <c r="I395" i="2"/>
  <c r="G396" i="2"/>
  <c r="H396" i="2"/>
  <c r="I396" i="2"/>
  <c r="G397" i="2"/>
  <c r="H397" i="2"/>
  <c r="I397" i="2"/>
  <c r="G398" i="2"/>
  <c r="H398" i="2"/>
  <c r="I398" i="2"/>
  <c r="G399" i="2"/>
  <c r="H399" i="2"/>
  <c r="I399" i="2"/>
  <c r="G400" i="2"/>
  <c r="H400" i="2"/>
  <c r="I400" i="2"/>
  <c r="G401" i="2"/>
  <c r="H401" i="2"/>
  <c r="I401" i="2"/>
  <c r="G402" i="2"/>
  <c r="H402" i="2"/>
  <c r="I402" i="2"/>
  <c r="G403" i="2"/>
  <c r="H403" i="2"/>
  <c r="I403" i="2"/>
  <c r="G404" i="2"/>
  <c r="H404" i="2"/>
  <c r="I404" i="2"/>
  <c r="G405" i="2"/>
  <c r="H405" i="2"/>
  <c r="I405" i="2"/>
  <c r="G406" i="2"/>
  <c r="H406" i="2"/>
  <c r="I406" i="2"/>
  <c r="G407" i="2"/>
  <c r="H407" i="2"/>
  <c r="I407" i="2"/>
  <c r="G408" i="2"/>
  <c r="H408" i="2"/>
  <c r="I408" i="2"/>
  <c r="G409" i="2"/>
  <c r="H409" i="2"/>
  <c r="I409" i="2"/>
  <c r="G410" i="2"/>
  <c r="H410" i="2"/>
  <c r="I410" i="2"/>
  <c r="G411" i="2"/>
  <c r="H411" i="2"/>
  <c r="I411" i="2"/>
  <c r="G412" i="2"/>
  <c r="H412" i="2"/>
  <c r="I412" i="2"/>
  <c r="G413" i="2"/>
  <c r="H413" i="2"/>
  <c r="I413" i="2"/>
  <c r="Z405" i="2"/>
  <c r="AJ405" i="2" s="1"/>
  <c r="Z397" i="2"/>
  <c r="AJ397" i="2" s="1"/>
  <c r="Z413" i="2"/>
  <c r="AJ413" i="2" s="1"/>
  <c r="C413" i="2"/>
  <c r="E413" i="2"/>
  <c r="B387" i="2"/>
  <c r="C387" i="2"/>
  <c r="E387" i="2"/>
  <c r="B388" i="2"/>
  <c r="C388" i="2"/>
  <c r="E388" i="2"/>
  <c r="B389" i="2"/>
  <c r="C389" i="2"/>
  <c r="E389" i="2"/>
  <c r="B390" i="2"/>
  <c r="C390" i="2"/>
  <c r="E390" i="2"/>
  <c r="B391" i="2"/>
  <c r="C391" i="2"/>
  <c r="E391" i="2"/>
  <c r="B392" i="2"/>
  <c r="C392" i="2"/>
  <c r="E392" i="2"/>
  <c r="B393" i="2"/>
  <c r="C393" i="2"/>
  <c r="E393" i="2"/>
  <c r="B394" i="2"/>
  <c r="C394" i="2"/>
  <c r="E394" i="2"/>
  <c r="B395" i="2"/>
  <c r="C395" i="2"/>
  <c r="E395" i="2"/>
  <c r="B396" i="2"/>
  <c r="C396" i="2"/>
  <c r="E396" i="2"/>
  <c r="B397" i="2"/>
  <c r="C397" i="2"/>
  <c r="E397" i="2"/>
  <c r="B398" i="2"/>
  <c r="C398" i="2"/>
  <c r="E398" i="2"/>
  <c r="B399" i="2"/>
  <c r="C399" i="2"/>
  <c r="E399" i="2"/>
  <c r="B400" i="2"/>
  <c r="C400" i="2"/>
  <c r="E400" i="2"/>
  <c r="B401" i="2"/>
  <c r="C401" i="2"/>
  <c r="E401" i="2"/>
  <c r="B402" i="2"/>
  <c r="C402" i="2"/>
  <c r="E402" i="2"/>
  <c r="B403" i="2"/>
  <c r="C403" i="2"/>
  <c r="E403" i="2"/>
  <c r="B404" i="2"/>
  <c r="C404" i="2"/>
  <c r="E404" i="2"/>
  <c r="B405" i="2"/>
  <c r="C405" i="2"/>
  <c r="E405" i="2"/>
  <c r="B406" i="2"/>
  <c r="C406" i="2"/>
  <c r="E406" i="2"/>
  <c r="B407" i="2"/>
  <c r="C407" i="2"/>
  <c r="E407" i="2"/>
  <c r="B408" i="2"/>
  <c r="C408" i="2"/>
  <c r="E408" i="2"/>
  <c r="B409" i="2"/>
  <c r="C409" i="2"/>
  <c r="E409" i="2"/>
  <c r="B410" i="2"/>
  <c r="C410" i="2"/>
  <c r="E410" i="2"/>
  <c r="B411" i="2"/>
  <c r="C411" i="2"/>
  <c r="E411" i="2"/>
  <c r="B412" i="2"/>
  <c r="C412" i="2"/>
  <c r="E412"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386" i="2"/>
  <c r="B373" i="6"/>
  <c r="C373" i="6"/>
  <c r="D373" i="6"/>
  <c r="B374" i="6"/>
  <c r="C374" i="6"/>
  <c r="D374" i="6"/>
  <c r="B375" i="6"/>
  <c r="C375" i="6"/>
  <c r="D375" i="6"/>
  <c r="B376" i="6"/>
  <c r="C376" i="6"/>
  <c r="D376" i="6"/>
  <c r="B377" i="6"/>
  <c r="C377" i="6"/>
  <c r="D377" i="6"/>
  <c r="B378" i="6"/>
  <c r="C378" i="6"/>
  <c r="D378" i="6"/>
  <c r="B379" i="6"/>
  <c r="C379" i="6"/>
  <c r="D379" i="6"/>
  <c r="B380" i="6"/>
  <c r="C380" i="6"/>
  <c r="D380" i="6"/>
  <c r="B381" i="6"/>
  <c r="C381" i="6"/>
  <c r="D381" i="6"/>
  <c r="B382" i="6"/>
  <c r="C382" i="6"/>
  <c r="D382" i="6"/>
  <c r="B383" i="6"/>
  <c r="C383" i="6"/>
  <c r="D383" i="6"/>
  <c r="B384" i="6"/>
  <c r="C384" i="6"/>
  <c r="D384" i="6"/>
  <c r="B385" i="6"/>
  <c r="C385" i="6"/>
  <c r="D385" i="6"/>
  <c r="B386" i="6"/>
  <c r="C386" i="6"/>
  <c r="D386" i="6"/>
  <c r="B387" i="6"/>
  <c r="C387" i="6"/>
  <c r="D387" i="6"/>
  <c r="B388" i="6"/>
  <c r="C388" i="6"/>
  <c r="D388" i="6"/>
  <c r="B389" i="6"/>
  <c r="C389" i="6"/>
  <c r="D389" i="6"/>
  <c r="B390" i="6"/>
  <c r="C390" i="6"/>
  <c r="D390" i="6"/>
  <c r="B391" i="6"/>
  <c r="C391" i="6"/>
  <c r="D391" i="6"/>
  <c r="B392" i="6"/>
  <c r="C392" i="6"/>
  <c r="D392" i="6"/>
  <c r="B393" i="6"/>
  <c r="C393" i="6"/>
  <c r="D393" i="6"/>
  <c r="B394" i="6"/>
  <c r="C394" i="6"/>
  <c r="D394" i="6"/>
  <c r="B395" i="6"/>
  <c r="C395" i="6"/>
  <c r="D395" i="6"/>
  <c r="B396" i="6"/>
  <c r="C396" i="6"/>
  <c r="D396" i="6"/>
  <c r="B397" i="6"/>
  <c r="C397" i="6"/>
  <c r="D397" i="6"/>
  <c r="B398" i="6"/>
  <c r="C398" i="6"/>
  <c r="D398" i="6"/>
  <c r="B399" i="6"/>
  <c r="C399" i="6"/>
  <c r="D399" i="6"/>
  <c r="V365" i="33" a="1"/>
  <c r="V365" i="33" s="1"/>
  <c r="W365" i="33" a="1"/>
  <c r="W365" i="33" s="1"/>
  <c r="X365" i="33" a="1"/>
  <c r="X365" i="33" s="1"/>
  <c r="V366" i="33" a="1"/>
  <c r="V366" i="33" s="1"/>
  <c r="W366" i="33" a="1"/>
  <c r="W366" i="33" s="1"/>
  <c r="X366" i="33" a="1"/>
  <c r="X366" i="33" s="1"/>
  <c r="V367" i="33" a="1"/>
  <c r="V367" i="33" s="1"/>
  <c r="W367" i="33" a="1"/>
  <c r="W367" i="33" s="1"/>
  <c r="X367" i="33" a="1"/>
  <c r="X367" i="33"/>
  <c r="V368" i="33" a="1"/>
  <c r="V368" i="33" s="1"/>
  <c r="W368" i="33" a="1"/>
  <c r="W368" i="33" s="1"/>
  <c r="X368" i="33" a="1"/>
  <c r="X368" i="33" s="1"/>
  <c r="V369" i="33" a="1"/>
  <c r="V369" i="33" s="1"/>
  <c r="W369" i="33" a="1"/>
  <c r="W369" i="33" s="1"/>
  <c r="X369" i="33" a="1"/>
  <c r="X369" i="33" s="1"/>
  <c r="V370" i="33" a="1"/>
  <c r="V370" i="33" s="1"/>
  <c r="W370" i="33" a="1"/>
  <c r="W370" i="33" s="1"/>
  <c r="X370" i="33" a="1"/>
  <c r="X370" i="33" s="1"/>
  <c r="V371" i="33" a="1"/>
  <c r="V371" i="33" s="1"/>
  <c r="W371" i="33" a="1"/>
  <c r="W371" i="33" s="1"/>
  <c r="X371" i="33" a="1"/>
  <c r="X371" i="33" s="1"/>
  <c r="V372" i="33" a="1"/>
  <c r="V372" i="33"/>
  <c r="W372" i="33" a="1"/>
  <c r="W372" i="33" s="1"/>
  <c r="X372" i="33" a="1"/>
  <c r="X372" i="33" s="1"/>
  <c r="V373" i="33" a="1"/>
  <c r="V373" i="33" s="1"/>
  <c r="W373" i="33" a="1"/>
  <c r="W373" i="33" s="1"/>
  <c r="X373" i="33" a="1"/>
  <c r="X373" i="33" s="1"/>
  <c r="V374" i="33" a="1"/>
  <c r="V374" i="33" s="1"/>
  <c r="W374" i="33" a="1"/>
  <c r="W374" i="33" s="1"/>
  <c r="X374" i="33" a="1"/>
  <c r="X374" i="33" s="1"/>
  <c r="V375" i="33" a="1"/>
  <c r="V375" i="33" s="1"/>
  <c r="W375" i="33" a="1"/>
  <c r="W375" i="33" s="1"/>
  <c r="X375" i="33" a="1"/>
  <c r="X375" i="33" s="1"/>
  <c r="V376" i="33" a="1"/>
  <c r="V376" i="33" s="1"/>
  <c r="W376" i="33" a="1"/>
  <c r="W376" i="33" s="1"/>
  <c r="X376" i="33" a="1"/>
  <c r="X376" i="33" s="1"/>
  <c r="V377" i="33" a="1"/>
  <c r="V377" i="33" s="1"/>
  <c r="W377" i="33" a="1"/>
  <c r="W377" i="33" s="1"/>
  <c r="X377" i="33" a="1"/>
  <c r="X377" i="33" s="1"/>
  <c r="V378" i="33" a="1"/>
  <c r="V378" i="33" s="1"/>
  <c r="W378" i="33" a="1"/>
  <c r="W378" i="33" s="1"/>
  <c r="X378" i="33" a="1"/>
  <c r="X378" i="33" s="1"/>
  <c r="V379" i="33" a="1"/>
  <c r="V379" i="33" s="1"/>
  <c r="W379" i="33" a="1"/>
  <c r="W379" i="33" s="1"/>
  <c r="X379" i="33" a="1"/>
  <c r="X379" i="33" s="1"/>
  <c r="V380" i="33" a="1"/>
  <c r="V380" i="33" s="1"/>
  <c r="W380" i="33" a="1"/>
  <c r="W380" i="33" s="1"/>
  <c r="X380" i="33" a="1"/>
  <c r="X380" i="33" s="1"/>
  <c r="V381" i="33" a="1"/>
  <c r="V381" i="33" s="1"/>
  <c r="W381" i="33" a="1"/>
  <c r="W381" i="33" s="1"/>
  <c r="X381" i="33" a="1"/>
  <c r="X381" i="33" s="1"/>
  <c r="V382" i="33" a="1"/>
  <c r="V382" i="33" s="1"/>
  <c r="W382" i="33" a="1"/>
  <c r="W382" i="33" s="1"/>
  <c r="X382" i="33" a="1"/>
  <c r="X382" i="33" s="1"/>
  <c r="V383" i="33" a="1"/>
  <c r="V383" i="33"/>
  <c r="W383" i="33" a="1"/>
  <c r="W383" i="33" s="1"/>
  <c r="X383" i="33" a="1"/>
  <c r="X383" i="33" s="1"/>
  <c r="V384" i="33" a="1"/>
  <c r="V384" i="33" s="1"/>
  <c r="W384" i="33" a="1"/>
  <c r="W384" i="33" s="1"/>
  <c r="X384" i="33" a="1"/>
  <c r="X384" i="33" s="1"/>
  <c r="V385" i="33" a="1"/>
  <c r="V385" i="33" s="1"/>
  <c r="W385" i="33" a="1"/>
  <c r="W385" i="33" s="1"/>
  <c r="X385" i="33" a="1"/>
  <c r="X385" i="33" s="1"/>
  <c r="V386" i="33" a="1"/>
  <c r="V386" i="33" s="1"/>
  <c r="W386" i="33" a="1"/>
  <c r="W386" i="33" s="1"/>
  <c r="X386" i="33" a="1"/>
  <c r="X386" i="33" s="1"/>
  <c r="V387" i="33" a="1"/>
  <c r="V387" i="33" s="1"/>
  <c r="W387" i="33" a="1"/>
  <c r="W387" i="33" s="1"/>
  <c r="X387" i="33" a="1"/>
  <c r="X387" i="33" s="1"/>
  <c r="V388" i="33" a="1"/>
  <c r="V388" i="33" s="1"/>
  <c r="W388" i="33" a="1"/>
  <c r="W388" i="33" s="1"/>
  <c r="X388" i="33" a="1"/>
  <c r="X388" i="33" s="1"/>
  <c r="V389" i="33" a="1"/>
  <c r="V389" i="33" s="1"/>
  <c r="W389" i="33" a="1"/>
  <c r="W389" i="33" s="1"/>
  <c r="X389" i="33" a="1"/>
  <c r="X389" i="33" s="1"/>
  <c r="V390" i="33" a="1"/>
  <c r="V390" i="33"/>
  <c r="W390" i="33" a="1"/>
  <c r="W390" i="33" s="1"/>
  <c r="X390" i="33" a="1"/>
  <c r="X390" i="33" s="1"/>
  <c r="V364" i="33" a="1"/>
  <c r="V364" i="33" s="1"/>
  <c r="W364" i="33" a="1"/>
  <c r="W364" i="33" s="1"/>
  <c r="X364" i="33" a="1"/>
  <c r="X364" i="33" s="1"/>
  <c r="AB364" i="33"/>
  <c r="AB365" i="33"/>
  <c r="AB366" i="33"/>
  <c r="AB367" i="33"/>
  <c r="AB368" i="33"/>
  <c r="AB369" i="33"/>
  <c r="AB370" i="33"/>
  <c r="AB371" i="33"/>
  <c r="AB372" i="33"/>
  <c r="AB373" i="33"/>
  <c r="AB374" i="33"/>
  <c r="AB375" i="33"/>
  <c r="AB376" i="33"/>
  <c r="AB377" i="33"/>
  <c r="AB378" i="33"/>
  <c r="AB379" i="33"/>
  <c r="AB380" i="33"/>
  <c r="AB381" i="33"/>
  <c r="AB382" i="33"/>
  <c r="AB383" i="33"/>
  <c r="AB384" i="33"/>
  <c r="AB385" i="33"/>
  <c r="AB386" i="33"/>
  <c r="AB387" i="33"/>
  <c r="AB388" i="33"/>
  <c r="AB389" i="33"/>
  <c r="AB390" i="33"/>
  <c r="AA364" i="33"/>
  <c r="AA365" i="33"/>
  <c r="AA366" i="33"/>
  <c r="AA367" i="33"/>
  <c r="AA368" i="33"/>
  <c r="AA369" i="33"/>
  <c r="AA370" i="33"/>
  <c r="AA371" i="33"/>
  <c r="AA372" i="33"/>
  <c r="AA373" i="33"/>
  <c r="AA374" i="33"/>
  <c r="AA375" i="33"/>
  <c r="AA376" i="33"/>
  <c r="AA377" i="33"/>
  <c r="AA378" i="33"/>
  <c r="AA379" i="33"/>
  <c r="AA380" i="33"/>
  <c r="AA381" i="33"/>
  <c r="AA382" i="33"/>
  <c r="AA383" i="33"/>
  <c r="AA384" i="33"/>
  <c r="AA385" i="33"/>
  <c r="AA386" i="33"/>
  <c r="AA387" i="33"/>
  <c r="AA388" i="33"/>
  <c r="AA389" i="33"/>
  <c r="AA390" i="33"/>
  <c r="AA336" i="33"/>
  <c r="AB336" i="33"/>
  <c r="AA337" i="33"/>
  <c r="AB337" i="33"/>
  <c r="AA338" i="33"/>
  <c r="AB338" i="33"/>
  <c r="AA339" i="33"/>
  <c r="AB339" i="33"/>
  <c r="AA340" i="33"/>
  <c r="AB340" i="33"/>
  <c r="AA341" i="33"/>
  <c r="AB341" i="33"/>
  <c r="AA342" i="33"/>
  <c r="AB342" i="33"/>
  <c r="AA343" i="33"/>
  <c r="AB343" i="33"/>
  <c r="AA344" i="33"/>
  <c r="AB344" i="33"/>
  <c r="AA345" i="33"/>
  <c r="AB345" i="33"/>
  <c r="AA346" i="33"/>
  <c r="AB346" i="33"/>
  <c r="AA347" i="33"/>
  <c r="AB347" i="33"/>
  <c r="AA348" i="33"/>
  <c r="AB348" i="33"/>
  <c r="AA349" i="33"/>
  <c r="AB349" i="33"/>
  <c r="AA350" i="33"/>
  <c r="AB350" i="33"/>
  <c r="AA351" i="33"/>
  <c r="AB351" i="33"/>
  <c r="AA352" i="33"/>
  <c r="AB352" i="33"/>
  <c r="AA353" i="33"/>
  <c r="AB353" i="33"/>
  <c r="AA354" i="33"/>
  <c r="AB354" i="33"/>
  <c r="AA355" i="33"/>
  <c r="AB355" i="33"/>
  <c r="AA356" i="33"/>
  <c r="AB356" i="33"/>
  <c r="AA357" i="33"/>
  <c r="AB357" i="33"/>
  <c r="AA358" i="33"/>
  <c r="AB358" i="33"/>
  <c r="AA359" i="33"/>
  <c r="AB359" i="33"/>
  <c r="AA360" i="33"/>
  <c r="AB360" i="33"/>
  <c r="V336" i="33" a="1"/>
  <c r="V336" i="33" s="1"/>
  <c r="W336" i="33" a="1"/>
  <c r="W336" i="33" s="1"/>
  <c r="X336" i="33" a="1"/>
  <c r="X336" i="33" s="1"/>
  <c r="V337" i="33" a="1"/>
  <c r="V337" i="33" s="1"/>
  <c r="W337" i="33" a="1"/>
  <c r="W337" i="33" s="1"/>
  <c r="X337" i="33" a="1"/>
  <c r="X337" i="33" s="1"/>
  <c r="V338" i="33" a="1"/>
  <c r="V338" i="33" s="1"/>
  <c r="W338" i="33" a="1"/>
  <c r="W338" i="33" s="1"/>
  <c r="X338" i="33" a="1"/>
  <c r="X338" i="33"/>
  <c r="V339" i="33" a="1"/>
  <c r="V339" i="33" s="1"/>
  <c r="W339" i="33" a="1"/>
  <c r="W339" i="33" s="1"/>
  <c r="X339" i="33" a="1"/>
  <c r="X339" i="33" s="1"/>
  <c r="V340" i="33" a="1"/>
  <c r="V340" i="33" s="1"/>
  <c r="W340" i="33" a="1"/>
  <c r="W340" i="33"/>
  <c r="X340" i="33" a="1"/>
  <c r="X340" i="33" s="1"/>
  <c r="V341" i="33" a="1"/>
  <c r="V341" i="33" s="1"/>
  <c r="W341" i="33" a="1"/>
  <c r="W341" i="33" s="1"/>
  <c r="X341" i="33" a="1"/>
  <c r="X341" i="33" s="1"/>
  <c r="V342" i="33" a="1"/>
  <c r="V342" i="33" s="1"/>
  <c r="W342" i="33" a="1"/>
  <c r="W342" i="33" s="1"/>
  <c r="X342" i="33" a="1"/>
  <c r="X342" i="33" s="1"/>
  <c r="V343" i="33" a="1"/>
  <c r="V343" i="33" s="1"/>
  <c r="W343" i="33" a="1"/>
  <c r="W343" i="33" s="1"/>
  <c r="X343" i="33" a="1"/>
  <c r="X343" i="33" s="1"/>
  <c r="V344" i="33" a="1"/>
  <c r="V344" i="33" s="1"/>
  <c r="W344" i="33" a="1"/>
  <c r="W344" i="33" s="1"/>
  <c r="X344" i="33" a="1"/>
  <c r="X344" i="33" s="1"/>
  <c r="V345" i="33" a="1"/>
  <c r="V345" i="33" s="1"/>
  <c r="W345" i="33" a="1"/>
  <c r="W345" i="33"/>
  <c r="X345" i="33" a="1"/>
  <c r="X345" i="33" s="1"/>
  <c r="Y345" i="33" s="1"/>
  <c r="V346" i="33" a="1"/>
  <c r="V346" i="33" s="1"/>
  <c r="W346" i="33" a="1"/>
  <c r="W346" i="33"/>
  <c r="X346" i="33" a="1"/>
  <c r="X346" i="33" s="1"/>
  <c r="V347" i="33" a="1"/>
  <c r="V347" i="33" s="1"/>
  <c r="W347" i="33" a="1"/>
  <c r="W347" i="33" s="1"/>
  <c r="X347" i="33" a="1"/>
  <c r="X347" i="33" s="1"/>
  <c r="V348" i="33" a="1"/>
  <c r="V348" i="33" s="1"/>
  <c r="W348" i="33" a="1"/>
  <c r="W348" i="33" s="1"/>
  <c r="X348" i="33" a="1"/>
  <c r="X348" i="33"/>
  <c r="V349" i="33" a="1"/>
  <c r="V349" i="33" s="1"/>
  <c r="W349" i="33" a="1"/>
  <c r="W349" i="33" s="1"/>
  <c r="X349" i="33" a="1"/>
  <c r="X349" i="33" s="1"/>
  <c r="V350" i="33" a="1"/>
  <c r="V350" i="33" s="1"/>
  <c r="W350" i="33" a="1"/>
  <c r="W350" i="33" s="1"/>
  <c r="X350" i="33" a="1"/>
  <c r="X350" i="33" s="1"/>
  <c r="V351" i="33" a="1"/>
  <c r="V351" i="33" s="1"/>
  <c r="W351" i="33" a="1"/>
  <c r="W351" i="33" s="1"/>
  <c r="X351" i="33" a="1"/>
  <c r="X351" i="33" s="1"/>
  <c r="V352" i="33" a="1"/>
  <c r="V352" i="33" s="1"/>
  <c r="W352" i="33" a="1"/>
  <c r="W352" i="33" s="1"/>
  <c r="Y352" i="33" s="1"/>
  <c r="X352" i="33" a="1"/>
  <c r="X352" i="33"/>
  <c r="V353" i="33" a="1"/>
  <c r="V353" i="33" s="1"/>
  <c r="W353" i="33" a="1"/>
  <c r="W353" i="33" s="1"/>
  <c r="X353" i="33" a="1"/>
  <c r="X353" i="33" s="1"/>
  <c r="V354" i="33" a="1"/>
  <c r="V354" i="33" s="1"/>
  <c r="W354" i="33" a="1"/>
  <c r="W354" i="33" s="1"/>
  <c r="X354" i="33" a="1"/>
  <c r="X354" i="33" s="1"/>
  <c r="V355" i="33" a="1"/>
  <c r="V355" i="33" s="1"/>
  <c r="W355" i="33" a="1"/>
  <c r="W355" i="33" s="1"/>
  <c r="X355" i="33" a="1"/>
  <c r="X355" i="33" s="1"/>
  <c r="V356" i="33" a="1"/>
  <c r="V356" i="33" s="1"/>
  <c r="W356" i="33" a="1"/>
  <c r="W356" i="33" s="1"/>
  <c r="X356" i="33" a="1"/>
  <c r="X356" i="33" s="1"/>
  <c r="V357" i="33" a="1"/>
  <c r="V357" i="33" s="1"/>
  <c r="W357" i="33" a="1"/>
  <c r="W357" i="33" s="1"/>
  <c r="X357" i="33" a="1"/>
  <c r="X357" i="33"/>
  <c r="V358" i="33" a="1"/>
  <c r="V358" i="33" s="1"/>
  <c r="W358" i="33" a="1"/>
  <c r="W358" i="33" s="1"/>
  <c r="X358" i="33" a="1"/>
  <c r="X358" i="33" s="1"/>
  <c r="V359" i="33" a="1"/>
  <c r="V359" i="33" s="1"/>
  <c r="W359" i="33" a="1"/>
  <c r="W359" i="33" s="1"/>
  <c r="X359" i="33" a="1"/>
  <c r="X359" i="33" s="1"/>
  <c r="V360" i="33" a="1"/>
  <c r="V360" i="33" s="1"/>
  <c r="W360" i="33" a="1"/>
  <c r="W360" i="33" s="1"/>
  <c r="X360" i="33" a="1"/>
  <c r="X360" i="33" s="1"/>
  <c r="C345" i="6"/>
  <c r="C346" i="6"/>
  <c r="C347" i="6"/>
  <c r="C348" i="6"/>
  <c r="C349" i="6"/>
  <c r="C350" i="6"/>
  <c r="C351" i="6"/>
  <c r="C352" i="6"/>
  <c r="C353" i="6"/>
  <c r="C354" i="6"/>
  <c r="C355" i="6"/>
  <c r="C356" i="6"/>
  <c r="C357" i="6"/>
  <c r="C358" i="6"/>
  <c r="C359" i="6"/>
  <c r="C360" i="6"/>
  <c r="C361" i="6"/>
  <c r="C362" i="6"/>
  <c r="C363" i="6"/>
  <c r="C364" i="6"/>
  <c r="C365" i="6"/>
  <c r="C366" i="6"/>
  <c r="C367" i="6"/>
  <c r="C368" i="6"/>
  <c r="C369"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G377" i="2"/>
  <c r="H377" i="2"/>
  <c r="I377" i="2"/>
  <c r="G378" i="2"/>
  <c r="H378" i="2"/>
  <c r="I378" i="2"/>
  <c r="G379" i="2"/>
  <c r="H379" i="2"/>
  <c r="I379" i="2"/>
  <c r="G380" i="2"/>
  <c r="H380" i="2"/>
  <c r="I380" i="2"/>
  <c r="G381" i="2"/>
  <c r="H381" i="2"/>
  <c r="I381" i="2"/>
  <c r="G382" i="2"/>
  <c r="H382" i="2"/>
  <c r="I382" i="2"/>
  <c r="G383" i="2"/>
  <c r="H383" i="2"/>
  <c r="I383" i="2"/>
  <c r="B359" i="2"/>
  <c r="C359" i="2"/>
  <c r="E359" i="2"/>
  <c r="F359" i="2"/>
  <c r="B360" i="2"/>
  <c r="C360" i="2"/>
  <c r="E360" i="2"/>
  <c r="F360" i="2"/>
  <c r="B361" i="2"/>
  <c r="C361" i="2"/>
  <c r="E361" i="2"/>
  <c r="F361" i="2"/>
  <c r="B362" i="2"/>
  <c r="C362" i="2"/>
  <c r="E362" i="2"/>
  <c r="F362" i="2"/>
  <c r="B363" i="2"/>
  <c r="C363" i="2"/>
  <c r="E363" i="2"/>
  <c r="F363" i="2"/>
  <c r="B364" i="2"/>
  <c r="C364" i="2"/>
  <c r="E364" i="2"/>
  <c r="F364" i="2"/>
  <c r="B365" i="2"/>
  <c r="C365" i="2"/>
  <c r="E365" i="2"/>
  <c r="F365" i="2"/>
  <c r="B366" i="2"/>
  <c r="C366" i="2"/>
  <c r="E366" i="2"/>
  <c r="F366" i="2"/>
  <c r="B367" i="2"/>
  <c r="C367" i="2"/>
  <c r="E367" i="2"/>
  <c r="F367" i="2"/>
  <c r="B368" i="2"/>
  <c r="C368" i="2"/>
  <c r="E368" i="2"/>
  <c r="F368" i="2"/>
  <c r="B369" i="2"/>
  <c r="C369" i="2"/>
  <c r="E369" i="2"/>
  <c r="F369" i="2"/>
  <c r="B370" i="2"/>
  <c r="C370" i="2"/>
  <c r="E370" i="2"/>
  <c r="F370" i="2"/>
  <c r="B371" i="2"/>
  <c r="C371" i="2"/>
  <c r="E371" i="2"/>
  <c r="F371" i="2"/>
  <c r="B372" i="2"/>
  <c r="C372" i="2"/>
  <c r="E372" i="2"/>
  <c r="F372" i="2"/>
  <c r="B373" i="2"/>
  <c r="C373" i="2"/>
  <c r="E373" i="2"/>
  <c r="F373" i="2"/>
  <c r="B374" i="2"/>
  <c r="C374" i="2"/>
  <c r="E374" i="2"/>
  <c r="F374" i="2"/>
  <c r="B375" i="2"/>
  <c r="C375" i="2"/>
  <c r="E375" i="2"/>
  <c r="F375" i="2"/>
  <c r="B376" i="2"/>
  <c r="C376" i="2"/>
  <c r="E376" i="2"/>
  <c r="F376" i="2"/>
  <c r="B377" i="2"/>
  <c r="C377" i="2"/>
  <c r="E377" i="2"/>
  <c r="F377" i="2"/>
  <c r="B378" i="2"/>
  <c r="C378" i="2"/>
  <c r="E378" i="2"/>
  <c r="F378" i="2"/>
  <c r="B379" i="2"/>
  <c r="C379" i="2"/>
  <c r="E379" i="2"/>
  <c r="F379" i="2"/>
  <c r="B380" i="2"/>
  <c r="C380" i="2"/>
  <c r="E380" i="2"/>
  <c r="F380" i="2"/>
  <c r="B381" i="2"/>
  <c r="C381" i="2"/>
  <c r="E381" i="2"/>
  <c r="F381" i="2"/>
  <c r="B382" i="2"/>
  <c r="C382" i="2"/>
  <c r="E382" i="2"/>
  <c r="F382" i="2"/>
  <c r="B383" i="2"/>
  <c r="C383" i="2"/>
  <c r="E383" i="2"/>
  <c r="F383" i="2"/>
  <c r="A4" i="14"/>
  <c r="AN4" i="14" s="1" a="1"/>
  <c r="AN4" i="14" s="1"/>
  <c r="B4" i="14"/>
  <c r="C4" i="14"/>
  <c r="D4" i="14"/>
  <c r="E4" i="14"/>
  <c r="F4" i="14"/>
  <c r="G4" i="14"/>
  <c r="K4" i="14"/>
  <c r="N4" i="14"/>
  <c r="O4" i="14"/>
  <c r="P4" i="14"/>
  <c r="Q4" i="14"/>
  <c r="R4" i="14"/>
  <c r="S4" i="14"/>
  <c r="A5" i="14"/>
  <c r="AF5" i="14" s="1" a="1"/>
  <c r="AF5" i="14" s="1"/>
  <c r="B5" i="14"/>
  <c r="C5" i="14"/>
  <c r="D5" i="14"/>
  <c r="E5" i="14"/>
  <c r="F5" i="14"/>
  <c r="G5" i="14"/>
  <c r="K5" i="14"/>
  <c r="N5" i="14"/>
  <c r="O5" i="14"/>
  <c r="P5" i="14"/>
  <c r="Q5" i="14"/>
  <c r="R5" i="14"/>
  <c r="S5" i="14"/>
  <c r="A6" i="14"/>
  <c r="AC6" i="14" s="1" a="1"/>
  <c r="AC6" i="14" s="1"/>
  <c r="B6" i="14"/>
  <c r="C6" i="14"/>
  <c r="D6" i="14"/>
  <c r="E6" i="14"/>
  <c r="F6" i="14"/>
  <c r="G6" i="14"/>
  <c r="K6" i="14"/>
  <c r="N6" i="14"/>
  <c r="O6" i="14"/>
  <c r="P6" i="14"/>
  <c r="Q6" i="14"/>
  <c r="R6" i="14"/>
  <c r="S6" i="14"/>
  <c r="A7" i="14"/>
  <c r="AL7" i="14" s="1" a="1"/>
  <c r="AL7" i="14" s="1"/>
  <c r="B7" i="14"/>
  <c r="C7" i="14"/>
  <c r="D7" i="14"/>
  <c r="E7" i="14"/>
  <c r="F7" i="14"/>
  <c r="G7" i="14"/>
  <c r="K7" i="14"/>
  <c r="N7" i="14"/>
  <c r="O7" i="14"/>
  <c r="P7" i="14"/>
  <c r="Q7" i="14"/>
  <c r="R7" i="14"/>
  <c r="S7" i="14"/>
  <c r="A8" i="14"/>
  <c r="AF8" i="14" s="1" a="1"/>
  <c r="AF8" i="14" s="1"/>
  <c r="B8" i="14"/>
  <c r="C8" i="14"/>
  <c r="D8" i="14"/>
  <c r="E8" i="14"/>
  <c r="F8" i="14"/>
  <c r="G8" i="14"/>
  <c r="K8" i="14"/>
  <c r="N8" i="14"/>
  <c r="O8" i="14"/>
  <c r="P8" i="14"/>
  <c r="Q8" i="14"/>
  <c r="R8" i="14"/>
  <c r="S8" i="14"/>
  <c r="A9" i="14"/>
  <c r="AJ9" i="14" s="1" a="1"/>
  <c r="AJ9" i="14" s="1"/>
  <c r="B9" i="14"/>
  <c r="C9" i="14"/>
  <c r="D9" i="14"/>
  <c r="E9" i="14"/>
  <c r="F9" i="14"/>
  <c r="G9" i="14"/>
  <c r="K9" i="14"/>
  <c r="N9" i="14"/>
  <c r="O9" i="14"/>
  <c r="P9" i="14"/>
  <c r="Q9" i="14"/>
  <c r="R9" i="14"/>
  <c r="S9" i="14"/>
  <c r="A10" i="14"/>
  <c r="AD10" i="14" s="1" a="1"/>
  <c r="AD10" i="14" s="1"/>
  <c r="B10" i="14"/>
  <c r="C10" i="14"/>
  <c r="D10" i="14"/>
  <c r="E10" i="14"/>
  <c r="F10" i="14"/>
  <c r="G10" i="14"/>
  <c r="K10" i="14"/>
  <c r="N10" i="14"/>
  <c r="O10" i="14"/>
  <c r="P10" i="14"/>
  <c r="Q10" i="14"/>
  <c r="R10" i="14"/>
  <c r="S10" i="14"/>
  <c r="A11" i="14"/>
  <c r="AG11" i="14" s="1" a="1"/>
  <c r="AG11" i="14" s="1"/>
  <c r="B11" i="14"/>
  <c r="C11" i="14"/>
  <c r="D11" i="14"/>
  <c r="E11" i="14"/>
  <c r="F11" i="14"/>
  <c r="G11" i="14"/>
  <c r="K11" i="14"/>
  <c r="N11" i="14"/>
  <c r="O11" i="14"/>
  <c r="P11" i="14"/>
  <c r="Q11" i="14"/>
  <c r="R11" i="14"/>
  <c r="S11" i="14"/>
  <c r="A12" i="14"/>
  <c r="AP12" i="14" s="1"/>
  <c r="B12" i="14"/>
  <c r="C12" i="14"/>
  <c r="D12" i="14"/>
  <c r="E12" i="14"/>
  <c r="F12" i="14"/>
  <c r="G12" i="14"/>
  <c r="K12" i="14"/>
  <c r="N12" i="14"/>
  <c r="O12" i="14"/>
  <c r="P12" i="14"/>
  <c r="Q12" i="14"/>
  <c r="R12" i="14"/>
  <c r="S12" i="14"/>
  <c r="A13" i="14"/>
  <c r="AJ13" i="14" s="1" a="1"/>
  <c r="AJ13" i="14" s="1"/>
  <c r="B13" i="14"/>
  <c r="C13" i="14"/>
  <c r="D13" i="14"/>
  <c r="E13" i="14"/>
  <c r="F13" i="14"/>
  <c r="G13" i="14"/>
  <c r="K13" i="14"/>
  <c r="N13" i="14"/>
  <c r="O13" i="14"/>
  <c r="P13" i="14"/>
  <c r="Q13" i="14"/>
  <c r="R13" i="14"/>
  <c r="Y13" i="14"/>
  <c r="A14" i="14"/>
  <c r="AE14" i="14" s="1" a="1"/>
  <c r="AE14" i="14" s="1"/>
  <c r="B14" i="14"/>
  <c r="C14" i="14"/>
  <c r="D14" i="14"/>
  <c r="E14" i="14"/>
  <c r="F14" i="14"/>
  <c r="G14" i="14"/>
  <c r="K14" i="14"/>
  <c r="N14" i="14"/>
  <c r="O14" i="14"/>
  <c r="P14" i="14"/>
  <c r="Q14" i="14"/>
  <c r="R14" i="14"/>
  <c r="S14" i="14"/>
  <c r="A15" i="14"/>
  <c r="AE15" i="14" s="1" a="1"/>
  <c r="AE15" i="14" s="1"/>
  <c r="B15" i="14"/>
  <c r="C15" i="14"/>
  <c r="D15" i="14"/>
  <c r="E15" i="14"/>
  <c r="F15" i="14"/>
  <c r="G15" i="14"/>
  <c r="K15" i="14"/>
  <c r="N15" i="14"/>
  <c r="O15" i="14"/>
  <c r="P15" i="14"/>
  <c r="Q15" i="14"/>
  <c r="R15" i="14"/>
  <c r="S15" i="14"/>
  <c r="A16" i="14"/>
  <c r="AK16" i="14" s="1" a="1"/>
  <c r="AK16" i="14" s="1"/>
  <c r="B16" i="14"/>
  <c r="C16" i="14"/>
  <c r="D16" i="14"/>
  <c r="E16" i="14"/>
  <c r="F16" i="14"/>
  <c r="G16" i="14"/>
  <c r="K16" i="14"/>
  <c r="N16" i="14"/>
  <c r="O16" i="14"/>
  <c r="P16" i="14"/>
  <c r="Q16" i="14"/>
  <c r="R16" i="14"/>
  <c r="S16" i="14"/>
  <c r="A17" i="14"/>
  <c r="AC17" i="14" s="1" a="1"/>
  <c r="AC17" i="14" s="1"/>
  <c r="B17" i="14"/>
  <c r="C17" i="14"/>
  <c r="D17" i="14"/>
  <c r="E17" i="14"/>
  <c r="F17" i="14"/>
  <c r="G17" i="14"/>
  <c r="K17" i="14"/>
  <c r="N17" i="14"/>
  <c r="O17" i="14"/>
  <c r="P17" i="14"/>
  <c r="Q17" i="14"/>
  <c r="R17" i="14"/>
  <c r="S17" i="14"/>
  <c r="A18" i="14"/>
  <c r="AI18" i="14" s="1" a="1"/>
  <c r="AI18" i="14" s="1"/>
  <c r="B18" i="14"/>
  <c r="C18" i="14"/>
  <c r="D18" i="14"/>
  <c r="E18" i="14"/>
  <c r="F18" i="14"/>
  <c r="G18" i="14"/>
  <c r="K18" i="14"/>
  <c r="N18" i="14"/>
  <c r="O18" i="14"/>
  <c r="P18" i="14"/>
  <c r="Q18" i="14"/>
  <c r="R18" i="14"/>
  <c r="S18" i="14"/>
  <c r="A19" i="14"/>
  <c r="AB19" i="14" s="1" a="1"/>
  <c r="AB19" i="14" s="1"/>
  <c r="B19" i="14"/>
  <c r="C19" i="14"/>
  <c r="D19" i="14"/>
  <c r="E19" i="14"/>
  <c r="F19" i="14"/>
  <c r="G19" i="14"/>
  <c r="K19" i="14"/>
  <c r="N19" i="14"/>
  <c r="O19" i="14"/>
  <c r="P19" i="14"/>
  <c r="Q19" i="14"/>
  <c r="R19" i="14"/>
  <c r="S19" i="14"/>
  <c r="A20" i="14"/>
  <c r="AD20" i="14" s="1" a="1"/>
  <c r="AD20" i="14" s="1"/>
  <c r="B20" i="14"/>
  <c r="C20" i="14"/>
  <c r="D20" i="14"/>
  <c r="E20" i="14"/>
  <c r="F20" i="14"/>
  <c r="G20" i="14"/>
  <c r="K20" i="14"/>
  <c r="N20" i="14"/>
  <c r="O20" i="14"/>
  <c r="P20" i="14"/>
  <c r="Q20" i="14"/>
  <c r="R20" i="14"/>
  <c r="S20" i="14"/>
  <c r="A21" i="14"/>
  <c r="AF21" i="14" s="1" a="1"/>
  <c r="AF21" i="14" s="1"/>
  <c r="B21" i="14"/>
  <c r="C21" i="14"/>
  <c r="D21" i="14"/>
  <c r="E21" i="14"/>
  <c r="F21" i="14"/>
  <c r="G21" i="14"/>
  <c r="K21" i="14"/>
  <c r="N21" i="14"/>
  <c r="O21" i="14"/>
  <c r="P21" i="14"/>
  <c r="Q21" i="14"/>
  <c r="R21" i="14"/>
  <c r="S21" i="14"/>
  <c r="A22" i="14"/>
  <c r="AB22" i="14" s="1" a="1"/>
  <c r="AB22" i="14" s="1"/>
  <c r="B22" i="14"/>
  <c r="C22" i="14"/>
  <c r="D22" i="14"/>
  <c r="E22" i="14"/>
  <c r="F22" i="14"/>
  <c r="G22" i="14"/>
  <c r="K22" i="14"/>
  <c r="N22" i="14"/>
  <c r="O22" i="14"/>
  <c r="P22" i="14"/>
  <c r="Q22" i="14"/>
  <c r="R22" i="14"/>
  <c r="S22" i="14"/>
  <c r="A23" i="14"/>
  <c r="AM23" i="14" s="1" a="1"/>
  <c r="AM23" i="14" s="1"/>
  <c r="B23" i="14"/>
  <c r="C23" i="14"/>
  <c r="D23" i="14"/>
  <c r="E23" i="14"/>
  <c r="F23" i="14"/>
  <c r="G23" i="14"/>
  <c r="K23" i="14"/>
  <c r="N23" i="14"/>
  <c r="O23" i="14"/>
  <c r="P23" i="14"/>
  <c r="Q23" i="14"/>
  <c r="R23" i="14"/>
  <c r="S23" i="14"/>
  <c r="A24" i="14"/>
  <c r="AL24" i="14" s="1" a="1"/>
  <c r="AL24" i="14" s="1"/>
  <c r="B24" i="14"/>
  <c r="C24" i="14"/>
  <c r="D24" i="14"/>
  <c r="E24" i="14"/>
  <c r="F24" i="14"/>
  <c r="G24" i="14"/>
  <c r="K24" i="14"/>
  <c r="N24" i="14"/>
  <c r="O24" i="14"/>
  <c r="P24" i="14"/>
  <c r="Q24" i="14"/>
  <c r="R24" i="14"/>
  <c r="S24" i="14"/>
  <c r="A25" i="14"/>
  <c r="AJ25" i="14" s="1" a="1"/>
  <c r="AJ25" i="14" s="1"/>
  <c r="B25" i="14"/>
  <c r="C25" i="14"/>
  <c r="D25" i="14"/>
  <c r="E25" i="14"/>
  <c r="F25" i="14"/>
  <c r="G25" i="14"/>
  <c r="K25" i="14"/>
  <c r="N25" i="14"/>
  <c r="O25" i="14"/>
  <c r="P25" i="14"/>
  <c r="Q25" i="14"/>
  <c r="R25" i="14"/>
  <c r="S25" i="14"/>
  <c r="A26" i="14"/>
  <c r="AJ26" i="14" s="1" a="1"/>
  <c r="AJ26" i="14" s="1"/>
  <c r="B26" i="14"/>
  <c r="C26" i="14"/>
  <c r="D26" i="14"/>
  <c r="E26" i="14"/>
  <c r="F26" i="14"/>
  <c r="G26" i="14"/>
  <c r="K26" i="14"/>
  <c r="N26" i="14"/>
  <c r="O26" i="14"/>
  <c r="P26" i="14"/>
  <c r="Q26" i="14"/>
  <c r="R26" i="14"/>
  <c r="S26" i="14"/>
  <c r="A27" i="14"/>
  <c r="AG27" i="14" s="1" a="1"/>
  <c r="AG27" i="14" s="1"/>
  <c r="B27" i="14"/>
  <c r="C27" i="14"/>
  <c r="D27" i="14"/>
  <c r="E27" i="14"/>
  <c r="F27" i="14"/>
  <c r="G27" i="14"/>
  <c r="K27" i="14"/>
  <c r="N27" i="14"/>
  <c r="O27" i="14"/>
  <c r="P27" i="14"/>
  <c r="Q27" i="14"/>
  <c r="R27" i="14"/>
  <c r="S27" i="14"/>
  <c r="A2" i="14"/>
  <c r="B372" i="6"/>
  <c r="V363" i="33" a="1"/>
  <c r="V363" i="33" s="1"/>
  <c r="W363" i="33" a="1"/>
  <c r="W363" i="33" s="1"/>
  <c r="X363" i="33" a="1"/>
  <c r="X363" i="33" s="1"/>
  <c r="Y339" i="33" l="1"/>
  <c r="Y348" i="33"/>
  <c r="Y357" i="33"/>
  <c r="AG5" i="19" a="1"/>
  <c r="AG5" i="19" s="1"/>
  <c r="AD20" i="19" a="1"/>
  <c r="AD20" i="19" s="1"/>
  <c r="AF5" i="19" a="1"/>
  <c r="AF5" i="19" s="1"/>
  <c r="AC20" i="19" a="1"/>
  <c r="AC20" i="19" s="1"/>
  <c r="AE5" i="19" a="1"/>
  <c r="AE5" i="19" s="1"/>
  <c r="Y376" i="33"/>
  <c r="AF4" i="19" a="1"/>
  <c r="AF4" i="19" s="1"/>
  <c r="AD4" i="19" a="1"/>
  <c r="AD4" i="19" s="1"/>
  <c r="AP5" i="19"/>
  <c r="AI4" i="19" a="1"/>
  <c r="AI4" i="19" s="1"/>
  <c r="AE4" i="19" a="1"/>
  <c r="AE4" i="19" s="1"/>
  <c r="AI25" i="19" a="1"/>
  <c r="AI25" i="19" s="1"/>
  <c r="AB4" i="19" a="1"/>
  <c r="AB4" i="19" s="1"/>
  <c r="AP7" i="19"/>
  <c r="AN5" i="19" a="1"/>
  <c r="AN5" i="19" s="1"/>
  <c r="AN7" i="19" a="1"/>
  <c r="AN7" i="19" s="1"/>
  <c r="AM5" i="19" a="1"/>
  <c r="AM5" i="19" s="1"/>
  <c r="AK20" i="19" a="1"/>
  <c r="AK20" i="19" s="1"/>
  <c r="AL5" i="19" a="1"/>
  <c r="AL5" i="19" s="1"/>
  <c r="Y371" i="33"/>
  <c r="AG20" i="19" a="1"/>
  <c r="AG20" i="19" s="1"/>
  <c r="AK5" i="19" a="1"/>
  <c r="AK5" i="19" s="1"/>
  <c r="Y355" i="33"/>
  <c r="AK4" i="19" a="1"/>
  <c r="AK4" i="19" s="1"/>
  <c r="AG4" i="19" a="1"/>
  <c r="AG4" i="19" s="1"/>
  <c r="AC4" i="19" a="1"/>
  <c r="AC4" i="19" s="1"/>
  <c r="AF20" i="19" a="1"/>
  <c r="AF20" i="19" s="1"/>
  <c r="AJ5" i="19" a="1"/>
  <c r="AJ5" i="19" s="1"/>
  <c r="Z5" i="19" s="1"/>
  <c r="Y380" i="33"/>
  <c r="AJ4" i="19" a="1"/>
  <c r="AJ4" i="19" s="1"/>
  <c r="Y338" i="33"/>
  <c r="Y353" i="33"/>
  <c r="AN13" i="19" a="1"/>
  <c r="AN13" i="19" s="1"/>
  <c r="AC5" i="19" a="1"/>
  <c r="AC5" i="19" s="1"/>
  <c r="AD5" i="19" a="1"/>
  <c r="AD5" i="19" s="1"/>
  <c r="AM13" i="19" a="1"/>
  <c r="AM13" i="19" s="1"/>
  <c r="AB5" i="19" a="1"/>
  <c r="AB5" i="19" s="1"/>
  <c r="Y382" i="33"/>
  <c r="Y359" i="33"/>
  <c r="AF25" i="19" a="1"/>
  <c r="AF25" i="19" s="1"/>
  <c r="AP4" i="19"/>
  <c r="AN4" i="19" a="1"/>
  <c r="AN4" i="19" s="1"/>
  <c r="Y367" i="33"/>
  <c r="AG25" i="19" a="1"/>
  <c r="AG25" i="19" s="1"/>
  <c r="Y381" i="33"/>
  <c r="AM4" i="19" a="1"/>
  <c r="AM4" i="19" s="1"/>
  <c r="AD21" i="19" a="1"/>
  <c r="AD21" i="19" s="1"/>
  <c r="AM7" i="19" a="1"/>
  <c r="AM7" i="19" s="1"/>
  <c r="AP22" i="19"/>
  <c r="AB21" i="19" a="1"/>
  <c r="AB21" i="19" s="1"/>
  <c r="AL7" i="19" a="1"/>
  <c r="AL7" i="19" s="1"/>
  <c r="AM22" i="19" a="1"/>
  <c r="AM22" i="19" s="1"/>
  <c r="AG7" i="19" a="1"/>
  <c r="AG7" i="19" s="1"/>
  <c r="AC7" i="19" a="1"/>
  <c r="AC7" i="19" s="1"/>
  <c r="AB7" i="19" a="1"/>
  <c r="AB7" i="19" s="1"/>
  <c r="AM21" i="19" a="1"/>
  <c r="AM21" i="19" s="1"/>
  <c r="AL21" i="19" a="1"/>
  <c r="AL21" i="19" s="1"/>
  <c r="AK21" i="19" a="1"/>
  <c r="AK21" i="19" s="1"/>
  <c r="AK14" i="19" a="1"/>
  <c r="AK14" i="19" s="1"/>
  <c r="AL13" i="19" a="1"/>
  <c r="AL13" i="19" s="1"/>
  <c r="AJ14" i="19" a="1"/>
  <c r="AJ14" i="19" s="1"/>
  <c r="AK13" i="19" a="1"/>
  <c r="AK13" i="19" s="1"/>
  <c r="AI14" i="19" a="1"/>
  <c r="AI14" i="19" s="1"/>
  <c r="AJ13" i="19" a="1"/>
  <c r="AJ13" i="19" s="1"/>
  <c r="AF14" i="19" a="1"/>
  <c r="AF14" i="19" s="1"/>
  <c r="AG9" i="19" a="1"/>
  <c r="AG9" i="19" s="1"/>
  <c r="AP21" i="19"/>
  <c r="AN21" i="19" a="1"/>
  <c r="AN21" i="19" s="1"/>
  <c r="AN15" i="19" a="1"/>
  <c r="AN15" i="19" s="1"/>
  <c r="AG13" i="19" a="1"/>
  <c r="AG13" i="19" s="1"/>
  <c r="AJ24" i="19" a="1"/>
  <c r="AJ24" i="19" s="1"/>
  <c r="AL15" i="19" a="1"/>
  <c r="AL15" i="19" s="1"/>
  <c r="AD14" i="19" a="1"/>
  <c r="AD14" i="19" s="1"/>
  <c r="AD13" i="19" a="1"/>
  <c r="AD13" i="19" s="1"/>
  <c r="AF9" i="19" a="1"/>
  <c r="AF9" i="19" s="1"/>
  <c r="AI24" i="19" a="1"/>
  <c r="AI24" i="19" s="1"/>
  <c r="AJ15" i="19" a="1"/>
  <c r="AJ15" i="19" s="1"/>
  <c r="Z15" i="19" s="1"/>
  <c r="AC14" i="19" a="1"/>
  <c r="AC14" i="19" s="1"/>
  <c r="AC13" i="19" a="1"/>
  <c r="AC13" i="19" s="1"/>
  <c r="AG14" i="19" a="1"/>
  <c r="AG14" i="19" s="1"/>
  <c r="AF24" i="19" a="1"/>
  <c r="AF24" i="19" s="1"/>
  <c r="AF15" i="19" a="1"/>
  <c r="AF15" i="19" s="1"/>
  <c r="AB14" i="19" a="1"/>
  <c r="AB14" i="19" s="1"/>
  <c r="AB13" i="19" a="1"/>
  <c r="AB13" i="19" s="1"/>
  <c r="AJ21" i="19" a="1"/>
  <c r="AJ21" i="19" s="1"/>
  <c r="Z21" i="19" s="1"/>
  <c r="AE15" i="19" a="1"/>
  <c r="AE15" i="19" s="1"/>
  <c r="AP15" i="19"/>
  <c r="AN28" i="19" a="1"/>
  <c r="AN28" i="19" s="1"/>
  <c r="AM28" i="19" a="1"/>
  <c r="AM28" i="19" s="1"/>
  <c r="AM23" i="19" a="1"/>
  <c r="AM23" i="19" s="1"/>
  <c r="AK28" i="19" a="1"/>
  <c r="AK28" i="19" s="1"/>
  <c r="AP24" i="19"/>
  <c r="AF28" i="19" a="1"/>
  <c r="AF28" i="19" s="1"/>
  <c r="AP17" i="19"/>
  <c r="AN24" i="19" a="1"/>
  <c r="AN24" i="19" s="1"/>
  <c r="AN17" i="19" a="1"/>
  <c r="AN17" i="19" s="1"/>
  <c r="AD17" i="19" a="1"/>
  <c r="AD17" i="19" s="1"/>
  <c r="AG24" i="19" a="1"/>
  <c r="AG24" i="19" s="1"/>
  <c r="AE24" i="19" a="1"/>
  <c r="AE24" i="19" s="1"/>
  <c r="AK7" i="19" a="1"/>
  <c r="AK7" i="19" s="1"/>
  <c r="AP6" i="19"/>
  <c r="AP14" i="19"/>
  <c r="AJ7" i="19" a="1"/>
  <c r="AJ7" i="19" s="1"/>
  <c r="AM6" i="19" a="1"/>
  <c r="AM6" i="19" s="1"/>
  <c r="AM19" i="19" a="1"/>
  <c r="AM19" i="19" s="1"/>
  <c r="AL14" i="19" a="1"/>
  <c r="AL14" i="19" s="1"/>
  <c r="AI7" i="19" a="1"/>
  <c r="AI7" i="19" s="1"/>
  <c r="AL19" i="19" a="1"/>
  <c r="AL19" i="19" s="1"/>
  <c r="AG19" i="19" a="1"/>
  <c r="AG19" i="19" s="1"/>
  <c r="AF8" i="19" a="1"/>
  <c r="AF8" i="19" s="1"/>
  <c r="AF7" i="19" a="1"/>
  <c r="AF7" i="19" s="1"/>
  <c r="AM17" i="19" a="1"/>
  <c r="AM17" i="19" s="1"/>
  <c r="AE7" i="19" a="1"/>
  <c r="AE7" i="19" s="1"/>
  <c r="AF19" i="19" a="1"/>
  <c r="AF19" i="19" s="1"/>
  <c r="AK15" i="19" a="1"/>
  <c r="AK15" i="19" s="1"/>
  <c r="AF12" i="19" a="1"/>
  <c r="AF12" i="19" s="1"/>
  <c r="AP8" i="19"/>
  <c r="AK8" i="19" a="1"/>
  <c r="AK8" i="19" s="1"/>
  <c r="AJ8" i="19" a="1"/>
  <c r="AJ8" i="19" s="1"/>
  <c r="AI8" i="19" a="1"/>
  <c r="AI8" i="19" s="1"/>
  <c r="AM24" i="19" a="1"/>
  <c r="AM24" i="19" s="1"/>
  <c r="AP23" i="19"/>
  <c r="AK24" i="19" a="1"/>
  <c r="AK24" i="19" s="1"/>
  <c r="AN23" i="19" a="1"/>
  <c r="AN23" i="19" s="1"/>
  <c r="AG8" i="19" a="1"/>
  <c r="AG8" i="19" s="1"/>
  <c r="AP10" i="19"/>
  <c r="AI10" i="19" a="1"/>
  <c r="AI10" i="19" s="1"/>
  <c r="AI6" i="19" a="1"/>
  <c r="AI6" i="19" s="1"/>
  <c r="AM26" i="19" a="1"/>
  <c r="AM26" i="19" s="1"/>
  <c r="AM10" i="19" a="1"/>
  <c r="AM10" i="19" s="1"/>
  <c r="AJ22" i="19" a="1"/>
  <c r="AJ22" i="19" s="1"/>
  <c r="AD23" i="19" a="1"/>
  <c r="AD23" i="19" s="1"/>
  <c r="AG6" i="19" a="1"/>
  <c r="AG6" i="19" s="1"/>
  <c r="AK6" i="19" a="1"/>
  <c r="AK6" i="19" s="1"/>
  <c r="AN26" i="19" a="1"/>
  <c r="AN26" i="19" s="1"/>
  <c r="AF23" i="19" a="1"/>
  <c r="AF23" i="19" s="1"/>
  <c r="AE23" i="19" a="1"/>
  <c r="AE23" i="19" s="1"/>
  <c r="AF10" i="19" a="1"/>
  <c r="AF10" i="19" s="1"/>
  <c r="AC6" i="19" a="1"/>
  <c r="AC6" i="19" s="1"/>
  <c r="AF26" i="19" a="1"/>
  <c r="AF26" i="19" s="1"/>
  <c r="AC22" i="19" a="1"/>
  <c r="AC22" i="19" s="1"/>
  <c r="Z22" i="19" s="1"/>
  <c r="AI21" i="19" a="1"/>
  <c r="AI21" i="19" s="1"/>
  <c r="AP20" i="19"/>
  <c r="AJ17" i="19" a="1"/>
  <c r="AJ17" i="19" s="1"/>
  <c r="Z17" i="19" s="1"/>
  <c r="AI16" i="19" a="1"/>
  <c r="AI16" i="19" s="1"/>
  <c r="AB6" i="19" a="1"/>
  <c r="AB6" i="19" s="1"/>
  <c r="AL23" i="19" a="1"/>
  <c r="AL23" i="19" s="1"/>
  <c r="AI23" i="19" a="1"/>
  <c r="AI23" i="19" s="1"/>
  <c r="AL22" i="19" a="1"/>
  <c r="AL22" i="19" s="1"/>
  <c r="AL17" i="19" a="1"/>
  <c r="AL17" i="19" s="1"/>
  <c r="AF27" i="19" a="1"/>
  <c r="AF27" i="19" s="1"/>
  <c r="AB22" i="19" a="1"/>
  <c r="AB22" i="19" s="1"/>
  <c r="AG21" i="19" a="1"/>
  <c r="AG21" i="19" s="1"/>
  <c r="AN20" i="19" a="1"/>
  <c r="AN20" i="19" s="1"/>
  <c r="AG16" i="19" a="1"/>
  <c r="AG16" i="19" s="1"/>
  <c r="AI15" i="19" a="1"/>
  <c r="AI15" i="19" s="1"/>
  <c r="AP26" i="19"/>
  <c r="AJ16" i="19" a="1"/>
  <c r="AJ16" i="19" s="1"/>
  <c r="AF21" i="19" a="1"/>
  <c r="AF21" i="19" s="1"/>
  <c r="AM20" i="19" a="1"/>
  <c r="AM20" i="19" s="1"/>
  <c r="AF18" i="19" a="1"/>
  <c r="AF18" i="19" s="1"/>
  <c r="AI17" i="19" a="1"/>
  <c r="AI17" i="19" s="1"/>
  <c r="AF16" i="19" a="1"/>
  <c r="AF16" i="19" s="1"/>
  <c r="AG15" i="19" a="1"/>
  <c r="AG15" i="19" s="1"/>
  <c r="AJ23" i="19" a="1"/>
  <c r="AJ23" i="19" s="1"/>
  <c r="Z23" i="19" s="1"/>
  <c r="AN10" i="19" a="1"/>
  <c r="AN10" i="19" s="1"/>
  <c r="AG10" i="19" a="1"/>
  <c r="AG10" i="19" s="1"/>
  <c r="AF6" i="19" a="1"/>
  <c r="AF6" i="19" s="1"/>
  <c r="AG26" i="19" a="1"/>
  <c r="AG26" i="19" s="1"/>
  <c r="AB23" i="19" a="1"/>
  <c r="AB23" i="19" s="1"/>
  <c r="AF22" i="19" a="1"/>
  <c r="AF22" i="19" s="1"/>
  <c r="AE21" i="19" a="1"/>
  <c r="AE21" i="19" s="1"/>
  <c r="AL20" i="19" a="1"/>
  <c r="AL20" i="19" s="1"/>
  <c r="AG17" i="19" a="1"/>
  <c r="AG17" i="19" s="1"/>
  <c r="AB16" i="19" a="1"/>
  <c r="AB16" i="19" s="1"/>
  <c r="AK23" i="19" a="1"/>
  <c r="AK23" i="19" s="1"/>
  <c r="AK22" i="19" a="1"/>
  <c r="AK22" i="19" s="1"/>
  <c r="AG23" i="19" a="1"/>
  <c r="AG23" i="19" s="1"/>
  <c r="AI26" i="19" a="1"/>
  <c r="AI26" i="19" s="1"/>
  <c r="AG22" i="19" a="1"/>
  <c r="AG22" i="19" s="1"/>
  <c r="AJ20" i="19" a="1"/>
  <c r="AJ20" i="19" s="1"/>
  <c r="Z20" i="19" s="1"/>
  <c r="AP19" i="19"/>
  <c r="AF17" i="19" a="1"/>
  <c r="AF17" i="19" s="1"/>
  <c r="AB15" i="19" a="1"/>
  <c r="AB15" i="19" s="1"/>
  <c r="AM12" i="19" a="1"/>
  <c r="AM12" i="19" s="1"/>
  <c r="AJ6" i="19" a="1"/>
  <c r="AJ6" i="19" s="1"/>
  <c r="Z6" i="19" s="1"/>
  <c r="AL26" i="19" a="1"/>
  <c r="AL26" i="19" s="1"/>
  <c r="AI22" i="19" a="1"/>
  <c r="AI22" i="19" s="1"/>
  <c r="AL28" i="19" a="1"/>
  <c r="AL28" i="19" s="1"/>
  <c r="AN19" i="19" a="1"/>
  <c r="AN19" i="19" s="1"/>
  <c r="AE17" i="19" a="1"/>
  <c r="AE17" i="19" s="1"/>
  <c r="AL12" i="19" a="1"/>
  <c r="AL12" i="19" s="1"/>
  <c r="AG18" i="19" a="1"/>
  <c r="AG18" i="19" s="1"/>
  <c r="AN12" i="19" a="1"/>
  <c r="AN12" i="19" s="1"/>
  <c r="AF11" i="19" a="1"/>
  <c r="AF11" i="19" s="1"/>
  <c r="AI9" i="19" a="1"/>
  <c r="AI9" i="19" s="1"/>
  <c r="AE9" i="19" a="1"/>
  <c r="AE9" i="19" s="1"/>
  <c r="AK19" i="19" a="1"/>
  <c r="AK19" i="19" s="1"/>
  <c r="AC18" i="19" a="1"/>
  <c r="AC18" i="19" s="1"/>
  <c r="AE16" i="19" a="1"/>
  <c r="AE16" i="19" s="1"/>
  <c r="AJ12" i="19" a="1"/>
  <c r="AJ12" i="19" s="1"/>
  <c r="AB11" i="19" a="1"/>
  <c r="AB11" i="19" s="1"/>
  <c r="AL10" i="19" a="1"/>
  <c r="AL10" i="19" s="1"/>
  <c r="AD9" i="19" a="1"/>
  <c r="AD9" i="19" s="1"/>
  <c r="AN8" i="19" a="1"/>
  <c r="AN8" i="19" s="1"/>
  <c r="AD18" i="19" a="1"/>
  <c r="AD18" i="19" s="1"/>
  <c r="AK12" i="19" a="1"/>
  <c r="AK12" i="19" s="1"/>
  <c r="AC11" i="19" a="1"/>
  <c r="AC11" i="19" s="1"/>
  <c r="AJ28" i="19" a="1"/>
  <c r="AJ28" i="19" s="1"/>
  <c r="AB27" i="19" a="1"/>
  <c r="AB27" i="19" s="1"/>
  <c r="AD16" i="19" a="1"/>
  <c r="AD16" i="19" s="1"/>
  <c r="AN22" i="19" a="1"/>
  <c r="AN22" i="19" s="1"/>
  <c r="AD25" i="19" a="1"/>
  <c r="AD25" i="19" s="1"/>
  <c r="AI28" i="19" a="1"/>
  <c r="AI28" i="19" s="1"/>
  <c r="AK26" i="19" a="1"/>
  <c r="AK26" i="19" s="1"/>
  <c r="AC25" i="19" a="1"/>
  <c r="AC25" i="19" s="1"/>
  <c r="AJ19" i="19" a="1"/>
  <c r="AJ19" i="19" s="1"/>
  <c r="AB18" i="19" a="1"/>
  <c r="AB18" i="19" s="1"/>
  <c r="AI12" i="19" a="1"/>
  <c r="AI12" i="19" s="1"/>
  <c r="AK10" i="19" a="1"/>
  <c r="AK10" i="19" s="1"/>
  <c r="AC9" i="19" a="1"/>
  <c r="AC9" i="19" s="1"/>
  <c r="Z9" i="19" s="1"/>
  <c r="AM8" i="19" a="1"/>
  <c r="AM8" i="19" s="1"/>
  <c r="AG28" i="19" a="1"/>
  <c r="AG28" i="19" s="1"/>
  <c r="AJ26" i="19" a="1"/>
  <c r="AJ26" i="19" s="1"/>
  <c r="AB25" i="19" a="1"/>
  <c r="AB25" i="19" s="1"/>
  <c r="AL24" i="19" a="1"/>
  <c r="AL24" i="19" s="1"/>
  <c r="AI19" i="19" a="1"/>
  <c r="AI19" i="19" s="1"/>
  <c r="AK17" i="19" a="1"/>
  <c r="AK17" i="19" s="1"/>
  <c r="AC16" i="19" a="1"/>
  <c r="AC16" i="19" s="1"/>
  <c r="AM15" i="19" a="1"/>
  <c r="AM15" i="19" s="1"/>
  <c r="AE14" i="19" a="1"/>
  <c r="AE14" i="19" s="1"/>
  <c r="AP13" i="19"/>
  <c r="AG12" i="19" a="1"/>
  <c r="AG12" i="19" s="1"/>
  <c r="AJ10" i="19" a="1"/>
  <c r="AJ10" i="19" s="1"/>
  <c r="AB9" i="19" a="1"/>
  <c r="AB9" i="19" s="1"/>
  <c r="AL8" i="19" a="1"/>
  <c r="AL8" i="19" s="1"/>
  <c r="AN6" i="19" a="1"/>
  <c r="AN6" i="19" s="1"/>
  <c r="AE19" i="19" a="1"/>
  <c r="AE19" i="19" s="1"/>
  <c r="AP18" i="19"/>
  <c r="AM27" i="19" a="1"/>
  <c r="AM27" i="19" s="1"/>
  <c r="AE26" i="19" a="1"/>
  <c r="AE26" i="19" s="1"/>
  <c r="AP25" i="19"/>
  <c r="AE18" i="19" a="1"/>
  <c r="AE18" i="19" s="1"/>
  <c r="AC28" i="19" a="1"/>
  <c r="AC28" i="19" s="1"/>
  <c r="AM11" i="19" a="1"/>
  <c r="AM11" i="19" s="1"/>
  <c r="AE10" i="19" a="1"/>
  <c r="AE10" i="19" s="1"/>
  <c r="AP9" i="19"/>
  <c r="AD28" i="19" a="1"/>
  <c r="AD28" i="19" s="1"/>
  <c r="AD12" i="19" a="1"/>
  <c r="AD12" i="19" s="1"/>
  <c r="AN11" i="19" a="1"/>
  <c r="AN11" i="19" s="1"/>
  <c r="AN16" i="19" a="1"/>
  <c r="AN16" i="19" s="1"/>
  <c r="AK11" i="19" a="1"/>
  <c r="AK11" i="19" s="1"/>
  <c r="AC10" i="19" a="1"/>
  <c r="AC10" i="19" s="1"/>
  <c r="AM9" i="19" a="1"/>
  <c r="AM9" i="19" s="1"/>
  <c r="AE8" i="19" a="1"/>
  <c r="AE8" i="19" s="1"/>
  <c r="AC27" i="19" a="1"/>
  <c r="AC27" i="19" s="1"/>
  <c r="AC19" i="19" a="1"/>
  <c r="AC19" i="19" s="1"/>
  <c r="AM18" i="19" a="1"/>
  <c r="AM18" i="19" s="1"/>
  <c r="AP16" i="19"/>
  <c r="AC26" i="19" a="1"/>
  <c r="AC26" i="19" s="1"/>
  <c r="AM25" i="19" a="1"/>
  <c r="AM25" i="19" s="1"/>
  <c r="AB26" i="19" a="1"/>
  <c r="AB26" i="19" s="1"/>
  <c r="AL25" i="19" a="1"/>
  <c r="AL25" i="19" s="1"/>
  <c r="AD24" i="19" a="1"/>
  <c r="AD24" i="19" s="1"/>
  <c r="AN27" i="19" a="1"/>
  <c r="AN27" i="19" s="1"/>
  <c r="AB19" i="19" a="1"/>
  <c r="AB19" i="19" s="1"/>
  <c r="AL18" i="19" a="1"/>
  <c r="AL18" i="19" s="1"/>
  <c r="AJ27" i="19" a="1"/>
  <c r="AJ27" i="19" s="1"/>
  <c r="AE27" i="19" a="1"/>
  <c r="AE27" i="19" s="1"/>
  <c r="AD27" i="19" a="1"/>
  <c r="AD27" i="19" s="1"/>
  <c r="AE25" i="19" a="1"/>
  <c r="AE25" i="19" s="1"/>
  <c r="AE22" i="19" a="1"/>
  <c r="AE22" i="19" s="1"/>
  <c r="AJ18" i="19" a="1"/>
  <c r="AJ18" i="19" s="1"/>
  <c r="AB17" i="19" a="1"/>
  <c r="AB17" i="19" s="1"/>
  <c r="AL16" i="19" a="1"/>
  <c r="AL16" i="19" s="1"/>
  <c r="AD15" i="19" a="1"/>
  <c r="AD15" i="19" s="1"/>
  <c r="AN14" i="19" a="1"/>
  <c r="AN14" i="19" s="1"/>
  <c r="AF13" i="19" a="1"/>
  <c r="AF13" i="19" s="1"/>
  <c r="AI11" i="19" a="1"/>
  <c r="AI11" i="19" s="1"/>
  <c r="AK9" i="19" a="1"/>
  <c r="AK9" i="19" s="1"/>
  <c r="AC8" i="19" a="1"/>
  <c r="AC8" i="19" s="1"/>
  <c r="AE6" i="19" a="1"/>
  <c r="AE6" i="19" s="1"/>
  <c r="AD11" i="19" a="1"/>
  <c r="AD11" i="19" s="1"/>
  <c r="AN18" i="19" a="1"/>
  <c r="AN18" i="19" s="1"/>
  <c r="AC12" i="19" a="1"/>
  <c r="AC12" i="19" s="1"/>
  <c r="AB12" i="19" a="1"/>
  <c r="AB12" i="19" s="1"/>
  <c r="AL11" i="19" a="1"/>
  <c r="AL11" i="19" s="1"/>
  <c r="AD10" i="19" a="1"/>
  <c r="AD10" i="19" s="1"/>
  <c r="AN9" i="19" a="1"/>
  <c r="AN9" i="19" s="1"/>
  <c r="AK27" i="19" a="1"/>
  <c r="AK27" i="19" s="1"/>
  <c r="AK25" i="19" a="1"/>
  <c r="AK25" i="19" s="1"/>
  <c r="AC24" i="19" a="1"/>
  <c r="AC24" i="19" s="1"/>
  <c r="Z24" i="19" s="1"/>
  <c r="AE12" i="19" a="1"/>
  <c r="AE12" i="19" s="1"/>
  <c r="AP11" i="19"/>
  <c r="AJ11" i="19" a="1"/>
  <c r="AJ11" i="19" s="1"/>
  <c r="AL9" i="19" a="1"/>
  <c r="AL9" i="19" s="1"/>
  <c r="AD8" i="19" a="1"/>
  <c r="AD8" i="19" s="1"/>
  <c r="AI27" i="19" a="1"/>
  <c r="AI27" i="19" s="1"/>
  <c r="AP28" i="19"/>
  <c r="AG27" i="19" a="1"/>
  <c r="AG27" i="19" s="1"/>
  <c r="AJ25" i="19" a="1"/>
  <c r="AJ25" i="19" s="1"/>
  <c r="AI18" i="19" a="1"/>
  <c r="AI18" i="19" s="1"/>
  <c r="AK16" i="19" a="1"/>
  <c r="AK16" i="19" s="1"/>
  <c r="AG11" i="19" a="1"/>
  <c r="AG11" i="19" s="1"/>
  <c r="AE28" i="19" a="1"/>
  <c r="AE28" i="19" s="1"/>
  <c r="AP27" i="19"/>
  <c r="Y356" i="33"/>
  <c r="AK13" i="14" a="1"/>
  <c r="AK13" i="14" s="1"/>
  <c r="Y347" i="33"/>
  <c r="AJ4" i="14" a="1"/>
  <c r="AJ4" i="14" s="1"/>
  <c r="Y389" i="33"/>
  <c r="AL20" i="14" a="1"/>
  <c r="AL20" i="14" s="1"/>
  <c r="AL5" i="14" a="1"/>
  <c r="AL5" i="14" s="1"/>
  <c r="AK23" i="14" a="1"/>
  <c r="AK23" i="14" s="1"/>
  <c r="Y337" i="33"/>
  <c r="Y364" i="33"/>
  <c r="AI5" i="14" a="1"/>
  <c r="AI5" i="14" s="1"/>
  <c r="Y342" i="33"/>
  <c r="AJ5" i="14" a="1"/>
  <c r="AJ5" i="14" s="1"/>
  <c r="Y350" i="33"/>
  <c r="AI4" i="14" a="1"/>
  <c r="AI4" i="14" s="1"/>
  <c r="Y346" i="33"/>
  <c r="Y351" i="33"/>
  <c r="Y354" i="33"/>
  <c r="AM20" i="14" a="1"/>
  <c r="AM20" i="14" s="1"/>
  <c r="Y336" i="33"/>
  <c r="Y358" i="33"/>
  <c r="AL23" i="14" a="1"/>
  <c r="AL23" i="14" s="1"/>
  <c r="Y343" i="33"/>
  <c r="Y372" i="33"/>
  <c r="Y379" i="33"/>
  <c r="Y387" i="33"/>
  <c r="Y370" i="33"/>
  <c r="Y378" i="33"/>
  <c r="Y386" i="33"/>
  <c r="Y377" i="33"/>
  <c r="Y385" i="33"/>
  <c r="Y369" i="33"/>
  <c r="Y384" i="33"/>
  <c r="Y368" i="33"/>
  <c r="Y388" i="33"/>
  <c r="Y383" i="33"/>
  <c r="Y375" i="33"/>
  <c r="Y366" i="33"/>
  <c r="Y374" i="33"/>
  <c r="Y365" i="33"/>
  <c r="Y390" i="33"/>
  <c r="Y373" i="33"/>
  <c r="Y349" i="33"/>
  <c r="Y341" i="33"/>
  <c r="Y340" i="33"/>
  <c r="Y360" i="33"/>
  <c r="Y344" i="33"/>
  <c r="AL4" i="14" a="1"/>
  <c r="AL4" i="14" s="1"/>
  <c r="AM4" i="14" a="1"/>
  <c r="AM4" i="14" s="1"/>
  <c r="AK4" i="14" a="1"/>
  <c r="AK4" i="14" s="1"/>
  <c r="AD5" i="14" a="1"/>
  <c r="AD5" i="14" s="1"/>
  <c r="AK15" i="14" a="1"/>
  <c r="AK15" i="14" s="1"/>
  <c r="AE5" i="14" a="1"/>
  <c r="AE5" i="14" s="1"/>
  <c r="AD15" i="14" a="1"/>
  <c r="AD15" i="14" s="1"/>
  <c r="AG4" i="14" a="1"/>
  <c r="AG4" i="14" s="1"/>
  <c r="AC11" i="14" a="1"/>
  <c r="AC11" i="14" s="1"/>
  <c r="AD4" i="14" a="1"/>
  <c r="AD4" i="14" s="1"/>
  <c r="AD11" i="14" a="1"/>
  <c r="AD11" i="14" s="1"/>
  <c r="AE4" i="14" a="1"/>
  <c r="AE4" i="14" s="1"/>
  <c r="AC4" i="14" a="1"/>
  <c r="AC4" i="14" s="1"/>
  <c r="AJ15" i="14" a="1"/>
  <c r="AJ15" i="14" s="1"/>
  <c r="AI15" i="14" a="1"/>
  <c r="AI15" i="14" s="1"/>
  <c r="AP22" i="14"/>
  <c r="AP17" i="14"/>
  <c r="AI23" i="14" a="1"/>
  <c r="AI23" i="14" s="1"/>
  <c r="AM6" i="14" a="1"/>
  <c r="AM6" i="14" s="1"/>
  <c r="AL6" i="14" a="1"/>
  <c r="AL6" i="14" s="1"/>
  <c r="AF23" i="14" a="1"/>
  <c r="AF23" i="14" s="1"/>
  <c r="AJ6" i="14" a="1"/>
  <c r="AJ6" i="14" s="1"/>
  <c r="AC23" i="14" a="1"/>
  <c r="AC23" i="14" s="1"/>
  <c r="AF6" i="14" a="1"/>
  <c r="AF6" i="14" s="1"/>
  <c r="AP6" i="14"/>
  <c r="AN6" i="14" a="1"/>
  <c r="AN6" i="14" s="1"/>
  <c r="AG23" i="14" a="1"/>
  <c r="AG23" i="14" s="1"/>
  <c r="AL10" i="14" a="1"/>
  <c r="AL10" i="14" s="1"/>
  <c r="AE6" i="14" a="1"/>
  <c r="AE6" i="14" s="1"/>
  <c r="AB23" i="14" a="1"/>
  <c r="AB23" i="14" s="1"/>
  <c r="AB6" i="14" a="1"/>
  <c r="AB6" i="14" s="1"/>
  <c r="AP15" i="14"/>
  <c r="AN14" i="14" a="1"/>
  <c r="AN14" i="14" s="1"/>
  <c r="AM14" i="14" a="1"/>
  <c r="AM14" i="14" s="1"/>
  <c r="AF19" i="14" a="1"/>
  <c r="AF19" i="14" s="1"/>
  <c r="AN15" i="14" a="1"/>
  <c r="AN15" i="14" s="1"/>
  <c r="AK21" i="14" a="1"/>
  <c r="AK21" i="14" s="1"/>
  <c r="AB15" i="14" a="1"/>
  <c r="AB15" i="14" s="1"/>
  <c r="AJ21" i="14" a="1"/>
  <c r="AJ21" i="14" s="1"/>
  <c r="AJ23" i="14" a="1"/>
  <c r="AJ23" i="14" s="1"/>
  <c r="AG16" i="14" a="1"/>
  <c r="AG16" i="14" s="1"/>
  <c r="AC20" i="14" a="1"/>
  <c r="AC20" i="14" s="1"/>
  <c r="AP26" i="14"/>
  <c r="AK20" i="14" a="1"/>
  <c r="AK20" i="14" s="1"/>
  <c r="AF16" i="14" a="1"/>
  <c r="AF16" i="14" s="1"/>
  <c r="AM24" i="14" a="1"/>
  <c r="AM24" i="14" s="1"/>
  <c r="AK24" i="14" a="1"/>
  <c r="AK24" i="14" s="1"/>
  <c r="AN20" i="14" a="1"/>
  <c r="AN20" i="14" s="1"/>
  <c r="AK6" i="14" a="1"/>
  <c r="AK6" i="14" s="1"/>
  <c r="AF4" i="14" a="1"/>
  <c r="AF4" i="14" s="1"/>
  <c r="AB24" i="14" a="1"/>
  <c r="AB24" i="14" s="1"/>
  <c r="AD21" i="14" a="1"/>
  <c r="AD21" i="14" s="1"/>
  <c r="AB20" i="14" a="1"/>
  <c r="AB20" i="14" s="1"/>
  <c r="AL26" i="14" a="1"/>
  <c r="AL26" i="14" s="1"/>
  <c r="AK22" i="14" a="1"/>
  <c r="AK22" i="14" s="1"/>
  <c r="AB21" i="14" a="1"/>
  <c r="AB21" i="14" s="1"/>
  <c r="AB4" i="14" a="1"/>
  <c r="AB4" i="14" s="1"/>
  <c r="AJ22" i="14" a="1"/>
  <c r="AJ22" i="14" s="1"/>
  <c r="AL12" i="14" a="1"/>
  <c r="AL12" i="14" s="1"/>
  <c r="AF26" i="14" a="1"/>
  <c r="AF26" i="14" s="1"/>
  <c r="AD22" i="14" a="1"/>
  <c r="AD22" i="14" s="1"/>
  <c r="AE26" i="14" a="1"/>
  <c r="AE26" i="14" s="1"/>
  <c r="AC22" i="14" a="1"/>
  <c r="AC22" i="14" s="1"/>
  <c r="AK12" i="14" a="1"/>
  <c r="AK12" i="14" s="1"/>
  <c r="AM8" i="14" a="1"/>
  <c r="AM8" i="14" s="1"/>
  <c r="AD26" i="14" a="1"/>
  <c r="AD26" i="14" s="1"/>
  <c r="AL15" i="14" a="1"/>
  <c r="AL15" i="14" s="1"/>
  <c r="AP14" i="14"/>
  <c r="AF12" i="14" a="1"/>
  <c r="AF12" i="14" s="1"/>
  <c r="AK8" i="14" a="1"/>
  <c r="AK8" i="14" s="1"/>
  <c r="AL14" i="14" a="1"/>
  <c r="AL14" i="14" s="1"/>
  <c r="AL17" i="14" a="1"/>
  <c r="AL17" i="14" s="1"/>
  <c r="AF15" i="14" a="1"/>
  <c r="AF15" i="14" s="1"/>
  <c r="AK14" i="14" a="1"/>
  <c r="AK14" i="14" s="1"/>
  <c r="AL13" i="14" a="1"/>
  <c r="AL13" i="14" s="1"/>
  <c r="AG26" i="14" a="1"/>
  <c r="AG26" i="14" s="1"/>
  <c r="AC26" i="14" a="1"/>
  <c r="AC26" i="14" s="1"/>
  <c r="Z26" i="14" s="1"/>
  <c r="AB26" i="14" a="1"/>
  <c r="AB26" i="14" s="1"/>
  <c r="AN17" i="14" a="1"/>
  <c r="AN17" i="14" s="1"/>
  <c r="AM17" i="14" a="1"/>
  <c r="AM17" i="14" s="1"/>
  <c r="AJ17" i="14" a="1"/>
  <c r="AJ17" i="14" s="1"/>
  <c r="Z17" i="14" s="1"/>
  <c r="AJ14" i="14" a="1"/>
  <c r="AJ14" i="14" s="1"/>
  <c r="AB16" i="14" a="1"/>
  <c r="AB16" i="14" s="1"/>
  <c r="AC15" i="14" a="1"/>
  <c r="AC15" i="14" s="1"/>
  <c r="AF14" i="14" a="1"/>
  <c r="AF14" i="14" s="1"/>
  <c r="AJ24" i="14" a="1"/>
  <c r="AJ24" i="14" s="1"/>
  <c r="AJ8" i="14" a="1"/>
  <c r="AJ8" i="14" s="1"/>
  <c r="AF17" i="14" a="1"/>
  <c r="AF17" i="14" s="1"/>
  <c r="AI17" i="14" a="1"/>
  <c r="AI17" i="14" s="1"/>
  <c r="AF9" i="14" a="1"/>
  <c r="AF9" i="14" s="1"/>
  <c r="AD17" i="14" a="1"/>
  <c r="AD17" i="14" s="1"/>
  <c r="AB14" i="14" a="1"/>
  <c r="AB14" i="14" s="1"/>
  <c r="AB17" i="14" a="1"/>
  <c r="AB17" i="14" s="1"/>
  <c r="AM22" i="14" a="1"/>
  <c r="AM22" i="14" s="1"/>
  <c r="AD14" i="14" a="1"/>
  <c r="AD14" i="14" s="1"/>
  <c r="AG17" i="14" a="1"/>
  <c r="AG17" i="14" s="1"/>
  <c r="AC14" i="14" a="1"/>
  <c r="AC14" i="14" s="1"/>
  <c r="AP4" i="14"/>
  <c r="AM26" i="14" a="1"/>
  <c r="AM26" i="14" s="1"/>
  <c r="AC24" i="14" a="1"/>
  <c r="AC24" i="14" s="1"/>
  <c r="AL22" i="14" a="1"/>
  <c r="AL22" i="14" s="1"/>
  <c r="AE21" i="14" a="1"/>
  <c r="AE21" i="14" s="1"/>
  <c r="AP24" i="14"/>
  <c r="AF24" i="14" a="1"/>
  <c r="AF24" i="14" s="1"/>
  <c r="AN22" i="14" a="1"/>
  <c r="AN22" i="14" s="1"/>
  <c r="AE24" i="14" a="1"/>
  <c r="AE24" i="14" s="1"/>
  <c r="AN26" i="14" a="1"/>
  <c r="AN26" i="14" s="1"/>
  <c r="AD24" i="14" a="1"/>
  <c r="AD24" i="14" s="1"/>
  <c r="AG21" i="14" a="1"/>
  <c r="AG21" i="14" s="1"/>
  <c r="AN24" i="14" a="1"/>
  <c r="AN24" i="14" s="1"/>
  <c r="AG13" i="14" a="1"/>
  <c r="AG13" i="14" s="1"/>
  <c r="AE13" i="14" a="1"/>
  <c r="AE13" i="14" s="1"/>
  <c r="AD13" i="14" a="1"/>
  <c r="AD13" i="14" s="1"/>
  <c r="AF10" i="14" a="1"/>
  <c r="AF10" i="14" s="1"/>
  <c r="AF7" i="14" a="1"/>
  <c r="AF7" i="14" s="1"/>
  <c r="AG10" i="14" a="1"/>
  <c r="AG10" i="14" s="1"/>
  <c r="AG8" i="14" a="1"/>
  <c r="AG8" i="14" s="1"/>
  <c r="AG7" i="14" a="1"/>
  <c r="AG7" i="14" s="1"/>
  <c r="AE8" i="14" a="1"/>
  <c r="AE8" i="14" s="1"/>
  <c r="AP21" i="14"/>
  <c r="AC13" i="14" a="1"/>
  <c r="AC13" i="14" s="1"/>
  <c r="Z13" i="14" s="1"/>
  <c r="AE10" i="14" a="1"/>
  <c r="AE10" i="14" s="1"/>
  <c r="AD8" i="14" a="1"/>
  <c r="AD8" i="14" s="1"/>
  <c r="AC7" i="14" a="1"/>
  <c r="AC7" i="14" s="1"/>
  <c r="AI22" i="14" a="1"/>
  <c r="AI22" i="14" s="1"/>
  <c r="AN21" i="14" a="1"/>
  <c r="AN21" i="14" s="1"/>
  <c r="AC10" i="14" a="1"/>
  <c r="AC10" i="14" s="1"/>
  <c r="AC8" i="14" a="1"/>
  <c r="AC8" i="14" s="1"/>
  <c r="AG22" i="14" a="1"/>
  <c r="AG22" i="14" s="1"/>
  <c r="AM21" i="14" a="1"/>
  <c r="AM21" i="14" s="1"/>
  <c r="AB13" i="14" a="1"/>
  <c r="AB13" i="14" s="1"/>
  <c r="AB8" i="14" a="1"/>
  <c r="AB8" i="14" s="1"/>
  <c r="AB7" i="14" a="1"/>
  <c r="AB7" i="14" s="1"/>
  <c r="AP5" i="14"/>
  <c r="AF22" i="14" a="1"/>
  <c r="AF22" i="14" s="1"/>
  <c r="AB10" i="14" a="1"/>
  <c r="AB10" i="14" s="1"/>
  <c r="AI6" i="14" a="1"/>
  <c r="AI6" i="14" s="1"/>
  <c r="AN5" i="14" a="1"/>
  <c r="AN5" i="14" s="1"/>
  <c r="AE22" i="14" a="1"/>
  <c r="AE22" i="14" s="1"/>
  <c r="AL21" i="14" a="1"/>
  <c r="AL21" i="14" s="1"/>
  <c r="AG6" i="14" a="1"/>
  <c r="AG6" i="14" s="1"/>
  <c r="AM5" i="14" a="1"/>
  <c r="AM5" i="14" s="1"/>
  <c r="AI8" i="14" a="1"/>
  <c r="AI8" i="14" s="1"/>
  <c r="AI21" i="14" a="1"/>
  <c r="AI21" i="14" s="1"/>
  <c r="AP20" i="14"/>
  <c r="AD6" i="14" a="1"/>
  <c r="AD6" i="14" s="1"/>
  <c r="AK5" i="14" a="1"/>
  <c r="AK5" i="14" s="1"/>
  <c r="AF13" i="14" a="1"/>
  <c r="AF13" i="14" s="1"/>
  <c r="AI7" i="14" a="1"/>
  <c r="AI7" i="14" s="1"/>
  <c r="AI10" i="14" a="1"/>
  <c r="AI10" i="14" s="1"/>
  <c r="AC21" i="14" a="1"/>
  <c r="AC21" i="14" s="1"/>
  <c r="AG5" i="14" a="1"/>
  <c r="AG5" i="14" s="1"/>
  <c r="AJ20" i="14" a="1"/>
  <c r="AJ20" i="14" s="1"/>
  <c r="AG20" i="14" a="1"/>
  <c r="AG20" i="14" s="1"/>
  <c r="AL19" i="14" a="1"/>
  <c r="AL19" i="14" s="1"/>
  <c r="AP10" i="14"/>
  <c r="AP8" i="14"/>
  <c r="AC5" i="14" a="1"/>
  <c r="AC5" i="14" s="1"/>
  <c r="Z5" i="14" s="1"/>
  <c r="AI20" i="14" a="1"/>
  <c r="AI20" i="14" s="1"/>
  <c r="AM19" i="14" a="1"/>
  <c r="AM19" i="14" s="1"/>
  <c r="AB5" i="14" a="1"/>
  <c r="AB5" i="14" s="1"/>
  <c r="AI13" i="14" a="1"/>
  <c r="AI13" i="14" s="1"/>
  <c r="AK10" i="14" a="1"/>
  <c r="AK10" i="14" s="1"/>
  <c r="AF20" i="14" a="1"/>
  <c r="AF20" i="14" s="1"/>
  <c r="AI14" i="14" a="1"/>
  <c r="AI14" i="14" s="1"/>
  <c r="AD27" i="14" a="1"/>
  <c r="AD27" i="14" s="1"/>
  <c r="AK26" i="14" a="1"/>
  <c r="AK26" i="14" s="1"/>
  <c r="AE20" i="14" a="1"/>
  <c r="AE20" i="14" s="1"/>
  <c r="AK19" i="14" a="1"/>
  <c r="AK19" i="14" s="1"/>
  <c r="AN13" i="14" a="1"/>
  <c r="AN13" i="14" s="1"/>
  <c r="AN10" i="14" a="1"/>
  <c r="AN10" i="14" s="1"/>
  <c r="AI26" i="14" a="1"/>
  <c r="AI26" i="14" s="1"/>
  <c r="AF25" i="14" a="1"/>
  <c r="AF25" i="14" s="1"/>
  <c r="AI24" i="14" a="1"/>
  <c r="AI24" i="14" s="1"/>
  <c r="AG19" i="14" a="1"/>
  <c r="AG19" i="14" s="1"/>
  <c r="AG14" i="14" a="1"/>
  <c r="AG14" i="14" s="1"/>
  <c r="AN8" i="14" a="1"/>
  <c r="AN8" i="14" s="1"/>
  <c r="AC27" i="14" a="1"/>
  <c r="AC27" i="14" s="1"/>
  <c r="AG24" i="14" a="1"/>
  <c r="AG24" i="14" s="1"/>
  <c r="AM13" i="14" a="1"/>
  <c r="AM13" i="14" s="1"/>
  <c r="AM10" i="14" a="1"/>
  <c r="AM10" i="14" s="1"/>
  <c r="Z6" i="14"/>
  <c r="AE25" i="14" a="1"/>
  <c r="AE25" i="14" s="1"/>
  <c r="AF27" i="14" a="1"/>
  <c r="AF27" i="14" s="1"/>
  <c r="AI25" i="14" a="1"/>
  <c r="AI25" i="14" s="1"/>
  <c r="AP19" i="14"/>
  <c r="AG18" i="14" a="1"/>
  <c r="AG18" i="14" s="1"/>
  <c r="AJ16" i="14" a="1"/>
  <c r="AJ16" i="14" s="1"/>
  <c r="AN12" i="14" a="1"/>
  <c r="AN12" i="14" s="1"/>
  <c r="AF11" i="14" a="1"/>
  <c r="AF11" i="14" s="1"/>
  <c r="AI9" i="14" a="1"/>
  <c r="AI9" i="14" s="1"/>
  <c r="AK7" i="14" a="1"/>
  <c r="AK7" i="14" s="1"/>
  <c r="AE27" i="14" a="1"/>
  <c r="AE27" i="14" s="1"/>
  <c r="AG25" i="14" a="1"/>
  <c r="AG25" i="14" s="1"/>
  <c r="AN19" i="14" a="1"/>
  <c r="AN19" i="14" s="1"/>
  <c r="AF18" i="14" a="1"/>
  <c r="AF18" i="14" s="1"/>
  <c r="AI16" i="14" a="1"/>
  <c r="AI16" i="14" s="1"/>
  <c r="AM12" i="14" a="1"/>
  <c r="AM12" i="14" s="1"/>
  <c r="AE11" i="14" a="1"/>
  <c r="AE11" i="14" s="1"/>
  <c r="AG9" i="14" a="1"/>
  <c r="AG9" i="14" s="1"/>
  <c r="AJ7" i="14" a="1"/>
  <c r="AJ7" i="14" s="1"/>
  <c r="AE18" i="14" a="1"/>
  <c r="AE18" i="14" s="1"/>
  <c r="AJ12" i="14" a="1"/>
  <c r="AJ12" i="14" s="1"/>
  <c r="AB11" i="14" a="1"/>
  <c r="AB11" i="14" s="1"/>
  <c r="AD25" i="14" a="1"/>
  <c r="AD25" i="14" s="1"/>
  <c r="AE16" i="14" a="1"/>
  <c r="AE16" i="14" s="1"/>
  <c r="AD9" i="14" a="1"/>
  <c r="AD9" i="14" s="1"/>
  <c r="AC25" i="14" a="1"/>
  <c r="AC25" i="14" s="1"/>
  <c r="Z25" i="14" s="1"/>
  <c r="AJ19" i="14" a="1"/>
  <c r="AJ19" i="14" s="1"/>
  <c r="AB18" i="14" a="1"/>
  <c r="AB18" i="14" s="1"/>
  <c r="AD16" i="14" a="1"/>
  <c r="AD16" i="14" s="1"/>
  <c r="AI12" i="14" a="1"/>
  <c r="AI12" i="14" s="1"/>
  <c r="AC9" i="14" a="1"/>
  <c r="AC9" i="14" s="1"/>
  <c r="Z9" i="14" s="1"/>
  <c r="AB25" i="14" a="1"/>
  <c r="AB25" i="14" s="1"/>
  <c r="AD23" i="14" a="1"/>
  <c r="AD23" i="14" s="1"/>
  <c r="AI19" i="14" a="1"/>
  <c r="AI19" i="14" s="1"/>
  <c r="AK17" i="14" a="1"/>
  <c r="AK17" i="14" s="1"/>
  <c r="AC16" i="14" a="1"/>
  <c r="AC16" i="14" s="1"/>
  <c r="AM15" i="14" a="1"/>
  <c r="AM15" i="14" s="1"/>
  <c r="AP13" i="14"/>
  <c r="AG12" i="14" a="1"/>
  <c r="AG12" i="14" s="1"/>
  <c r="AJ10" i="14" a="1"/>
  <c r="AJ10" i="14" s="1"/>
  <c r="AB9" i="14" a="1"/>
  <c r="AB9" i="14" s="1"/>
  <c r="AL8" i="14" a="1"/>
  <c r="AL8" i="14" s="1"/>
  <c r="AD7" i="14" a="1"/>
  <c r="AD7" i="14" s="1"/>
  <c r="AB27" i="14" a="1"/>
  <c r="AB27" i="14" s="1"/>
  <c r="AC18" i="14" a="1"/>
  <c r="AC18" i="14" s="1"/>
  <c r="AE23" i="14" a="1"/>
  <c r="AE23" i="14" s="1"/>
  <c r="AE7" i="14" a="1"/>
  <c r="AE7" i="14" s="1"/>
  <c r="AE19" i="14" a="1"/>
  <c r="AE19" i="14" s="1"/>
  <c r="AP18" i="14"/>
  <c r="AD12" i="14" a="1"/>
  <c r="AD12" i="14" s="1"/>
  <c r="AN11" i="14" a="1"/>
  <c r="AN11" i="14" s="1"/>
  <c r="AN27" i="14" a="1"/>
  <c r="AN27" i="14" s="1"/>
  <c r="AC12" i="14" a="1"/>
  <c r="AC12" i="14" s="1"/>
  <c r="AM11" i="14" a="1"/>
  <c r="AM11" i="14" s="1"/>
  <c r="AP11" i="14"/>
  <c r="AM27" i="14" a="1"/>
  <c r="AM27" i="14" s="1"/>
  <c r="AP25" i="14"/>
  <c r="AL27" i="14" a="1"/>
  <c r="AL27" i="14" s="1"/>
  <c r="AN25" i="14" a="1"/>
  <c r="AN25" i="14" s="1"/>
  <c r="AC19" i="14" a="1"/>
  <c r="AC19" i="14" s="1"/>
  <c r="AM18" i="14" a="1"/>
  <c r="AM18" i="14" s="1"/>
  <c r="AE17" i="14" a="1"/>
  <c r="AE17" i="14" s="1"/>
  <c r="AP16" i="14"/>
  <c r="AG15" i="14" a="1"/>
  <c r="AG15" i="14" s="1"/>
  <c r="AB12" i="14" a="1"/>
  <c r="AB12" i="14" s="1"/>
  <c r="AL11" i="14" a="1"/>
  <c r="AL11" i="14" s="1"/>
  <c r="AN9" i="14" a="1"/>
  <c r="AN9" i="14" s="1"/>
  <c r="AD19" i="14" a="1"/>
  <c r="AD19" i="14" s="1"/>
  <c r="AN18" i="14" a="1"/>
  <c r="AN18" i="14" s="1"/>
  <c r="AP9" i="14"/>
  <c r="AD18" i="14" a="1"/>
  <c r="AD18" i="14" s="1"/>
  <c r="AL18" i="14" a="1"/>
  <c r="AL18" i="14" s="1"/>
  <c r="AK27" i="14" a="1"/>
  <c r="AK27" i="14" s="1"/>
  <c r="AK11" i="14" a="1"/>
  <c r="AK11" i="14" s="1"/>
  <c r="AJ27" i="14" a="1"/>
  <c r="AJ27" i="14" s="1"/>
  <c r="AM16" i="14" a="1"/>
  <c r="AM16" i="14" s="1"/>
  <c r="AJ11" i="14" a="1"/>
  <c r="AJ11" i="14" s="1"/>
  <c r="AE12" i="14" a="1"/>
  <c r="AE12" i="14" s="1"/>
  <c r="AM25" i="14" a="1"/>
  <c r="AM25" i="14" s="1"/>
  <c r="AP23" i="14"/>
  <c r="AN16" i="14" a="1"/>
  <c r="AN16" i="14" s="1"/>
  <c r="AM9" i="14" a="1"/>
  <c r="AM9" i="14" s="1"/>
  <c r="AP7" i="14"/>
  <c r="AL25" i="14" a="1"/>
  <c r="AL25" i="14" s="1"/>
  <c r="AN23" i="14" a="1"/>
  <c r="AN23" i="14" s="1"/>
  <c r="AK18" i="14" a="1"/>
  <c r="AK18" i="14" s="1"/>
  <c r="AL9" i="14" a="1"/>
  <c r="AL9" i="14" s="1"/>
  <c r="AN7" i="14" a="1"/>
  <c r="AN7" i="14" s="1"/>
  <c r="AE9" i="14" a="1"/>
  <c r="AE9" i="14" s="1"/>
  <c r="AJ18" i="14" a="1"/>
  <c r="AJ18" i="14" s="1"/>
  <c r="AI11" i="14" a="1"/>
  <c r="AI11" i="14" s="1"/>
  <c r="AK9" i="14" a="1"/>
  <c r="AK9" i="14" s="1"/>
  <c r="AP27" i="14"/>
  <c r="AI27" i="14" a="1"/>
  <c r="AI27" i="14" s="1"/>
  <c r="AK25" i="14" a="1"/>
  <c r="AK25" i="14" s="1"/>
  <c r="AL16" i="14" a="1"/>
  <c r="AL16" i="14" s="1"/>
  <c r="AM7" i="14" a="1"/>
  <c r="AM7" i="14" s="1"/>
  <c r="Z14" i="19" l="1"/>
  <c r="Z4" i="19"/>
  <c r="Z7" i="19"/>
  <c r="Z15" i="14"/>
  <c r="Z4" i="14"/>
  <c r="Z13" i="19"/>
  <c r="Z25" i="19"/>
  <c r="Z16" i="19"/>
  <c r="Z8" i="19"/>
  <c r="Z18" i="19"/>
  <c r="Z28" i="19"/>
  <c r="Z27" i="19"/>
  <c r="Z10" i="19"/>
  <c r="Z11" i="19"/>
  <c r="Z12" i="19"/>
  <c r="Z26" i="19"/>
  <c r="Z19" i="19"/>
  <c r="Z24" i="14"/>
  <c r="Z11" i="14"/>
  <c r="Z22" i="14"/>
  <c r="Z7" i="14"/>
  <c r="Z23" i="14"/>
  <c r="Z20" i="14"/>
  <c r="Z8" i="14"/>
  <c r="Z21" i="14"/>
  <c r="Z10" i="14"/>
  <c r="Z14" i="14"/>
  <c r="Z27" i="14"/>
  <c r="Z18" i="14"/>
  <c r="Z16" i="14"/>
  <c r="Z12" i="14"/>
  <c r="Z19" i="14"/>
  <c r="Z357" i="2" l="1"/>
  <c r="AJ357" i="2" s="1"/>
  <c r="X357" i="2"/>
  <c r="AH357" i="2" s="1"/>
  <c r="W357" i="2"/>
  <c r="AG357" i="2" s="1"/>
  <c r="V357" i="2"/>
  <c r="AF357" i="2" s="1"/>
  <c r="F358" i="2"/>
  <c r="D363" i="6"/>
  <c r="X310" i="33" a="1"/>
  <c r="X310" i="33" s="1"/>
  <c r="X311" i="33" a="1"/>
  <c r="X311" i="33" s="1"/>
  <c r="X312" i="33" a="1"/>
  <c r="X312" i="33" s="1"/>
  <c r="X313" i="33" a="1"/>
  <c r="X313" i="33" s="1"/>
  <c r="X314" i="33" a="1"/>
  <c r="X314" i="33" s="1"/>
  <c r="X315" i="33" a="1"/>
  <c r="X315" i="33" s="1"/>
  <c r="X316" i="33" a="1"/>
  <c r="X316" i="33" s="1"/>
  <c r="X317" i="33" a="1"/>
  <c r="X317" i="33" s="1"/>
  <c r="X318" i="33" a="1"/>
  <c r="X318" i="33" s="1"/>
  <c r="X319" i="33" a="1"/>
  <c r="X319" i="33" s="1"/>
  <c r="X320" i="33" a="1"/>
  <c r="X320" i="33" s="1"/>
  <c r="X321" i="33" a="1"/>
  <c r="X321" i="33" s="1"/>
  <c r="X322" i="33" a="1"/>
  <c r="X322" i="33" s="1"/>
  <c r="X323" i="33" a="1"/>
  <c r="X323" i="33" s="1"/>
  <c r="X324" i="33" a="1"/>
  <c r="X324" i="33" s="1"/>
  <c r="X325" i="33" a="1"/>
  <c r="X325" i="33" s="1"/>
  <c r="X326" i="33" a="1"/>
  <c r="X326" i="33" s="1"/>
  <c r="X327" i="33" a="1"/>
  <c r="X327" i="33" s="1"/>
  <c r="X328" i="33" a="1"/>
  <c r="X328" i="33" s="1"/>
  <c r="X329" i="33" a="1"/>
  <c r="X329" i="33" s="1"/>
  <c r="X330" i="33" a="1"/>
  <c r="X330" i="33" s="1"/>
  <c r="X331" i="33" a="1"/>
  <c r="X331" i="33" s="1"/>
  <c r="X332" i="33" a="1"/>
  <c r="X332" i="33" s="1"/>
  <c r="A4" i="15"/>
  <c r="AQ4" i="15" s="1"/>
  <c r="B4" i="15"/>
  <c r="D4" i="15"/>
  <c r="E4" i="15"/>
  <c r="F4" i="15"/>
  <c r="G4" i="15"/>
  <c r="H4" i="15"/>
  <c r="L4" i="15"/>
  <c r="O4" i="15"/>
  <c r="P4" i="15"/>
  <c r="Q4" i="15"/>
  <c r="R4" i="15"/>
  <c r="S4" i="15"/>
  <c r="T4" i="15"/>
  <c r="A5" i="15"/>
  <c r="AN5" i="15" s="1" a="1"/>
  <c r="AN5" i="15" s="1"/>
  <c r="B5" i="15"/>
  <c r="D5" i="15"/>
  <c r="E5" i="15"/>
  <c r="F5" i="15"/>
  <c r="G5" i="15"/>
  <c r="H5" i="15"/>
  <c r="L5" i="15"/>
  <c r="O5" i="15"/>
  <c r="P5" i="15"/>
  <c r="Q5" i="15"/>
  <c r="R5" i="15"/>
  <c r="S5" i="15"/>
  <c r="T5" i="15"/>
  <c r="A6" i="15"/>
  <c r="AC6" i="15" s="1" a="1"/>
  <c r="AC6" i="15" s="1"/>
  <c r="B6" i="15"/>
  <c r="D6" i="15"/>
  <c r="E6" i="15"/>
  <c r="F6" i="15"/>
  <c r="G6" i="15"/>
  <c r="H6" i="15"/>
  <c r="L6" i="15"/>
  <c r="O6" i="15"/>
  <c r="P6" i="15"/>
  <c r="Q6" i="15"/>
  <c r="R6" i="15"/>
  <c r="S6" i="15"/>
  <c r="T6" i="15"/>
  <c r="A7" i="15"/>
  <c r="AK7" i="15" s="1" a="1"/>
  <c r="AK7" i="15" s="1"/>
  <c r="B7" i="15"/>
  <c r="D7" i="15"/>
  <c r="E7" i="15"/>
  <c r="F7" i="15"/>
  <c r="G7" i="15"/>
  <c r="H7" i="15"/>
  <c r="L7" i="15"/>
  <c r="O7" i="15"/>
  <c r="P7" i="15"/>
  <c r="Q7" i="15"/>
  <c r="R7" i="15"/>
  <c r="S7" i="15"/>
  <c r="T7" i="15"/>
  <c r="A8" i="15"/>
  <c r="AC8" i="15" s="1" a="1"/>
  <c r="AC8" i="15" s="1"/>
  <c r="B8" i="15"/>
  <c r="D8" i="15"/>
  <c r="E8" i="15"/>
  <c r="F8" i="15"/>
  <c r="G8" i="15"/>
  <c r="H8" i="15"/>
  <c r="L8" i="15"/>
  <c r="O8" i="15"/>
  <c r="P8" i="15"/>
  <c r="Q8" i="15"/>
  <c r="R8" i="15"/>
  <c r="S8" i="15"/>
  <c r="T8" i="15"/>
  <c r="A9" i="15"/>
  <c r="AG9" i="15" s="1" a="1"/>
  <c r="AG9" i="15" s="1"/>
  <c r="B9" i="15"/>
  <c r="D9" i="15"/>
  <c r="E9" i="15"/>
  <c r="F9" i="15"/>
  <c r="G9" i="15"/>
  <c r="H9" i="15"/>
  <c r="L9" i="15"/>
  <c r="O9" i="15"/>
  <c r="P9" i="15"/>
  <c r="Q9" i="15"/>
  <c r="R9" i="15"/>
  <c r="S9" i="15"/>
  <c r="T9" i="15"/>
  <c r="A10" i="15"/>
  <c r="AD10" i="15" s="1" a="1"/>
  <c r="AD10" i="15" s="1"/>
  <c r="B10" i="15"/>
  <c r="D10" i="15"/>
  <c r="E10" i="15"/>
  <c r="F10" i="15"/>
  <c r="G10" i="15"/>
  <c r="H10" i="15"/>
  <c r="L10" i="15"/>
  <c r="O10" i="15"/>
  <c r="P10" i="15"/>
  <c r="Q10" i="15"/>
  <c r="R10" i="15"/>
  <c r="S10" i="15"/>
  <c r="T10" i="15"/>
  <c r="A11" i="15"/>
  <c r="AD11" i="15" s="1" a="1"/>
  <c r="AD11" i="15" s="1"/>
  <c r="B11" i="15"/>
  <c r="D11" i="15"/>
  <c r="E11" i="15"/>
  <c r="F11" i="15"/>
  <c r="G11" i="15"/>
  <c r="H11" i="15"/>
  <c r="L11" i="15"/>
  <c r="O11" i="15"/>
  <c r="P11" i="15"/>
  <c r="Q11" i="15"/>
  <c r="R11" i="15"/>
  <c r="S11" i="15"/>
  <c r="T11" i="15"/>
  <c r="A12" i="15"/>
  <c r="AK12" i="15" s="1" a="1"/>
  <c r="AK12" i="15" s="1"/>
  <c r="B12" i="15"/>
  <c r="D12" i="15"/>
  <c r="E12" i="15"/>
  <c r="F12" i="15"/>
  <c r="G12" i="15"/>
  <c r="H12" i="15"/>
  <c r="L12" i="15"/>
  <c r="O12" i="15"/>
  <c r="P12" i="15"/>
  <c r="Q12" i="15"/>
  <c r="R12" i="15"/>
  <c r="S12" i="15"/>
  <c r="T12" i="15"/>
  <c r="A13" i="15"/>
  <c r="AC13" i="15" s="1" a="1"/>
  <c r="AC13" i="15" s="1"/>
  <c r="B13" i="15"/>
  <c r="D13" i="15"/>
  <c r="E13" i="15"/>
  <c r="F13" i="15"/>
  <c r="G13" i="15"/>
  <c r="H13" i="15"/>
  <c r="L13" i="15"/>
  <c r="O13" i="15"/>
  <c r="P13" i="15"/>
  <c r="Q13" i="15"/>
  <c r="R13" i="15"/>
  <c r="S13" i="15"/>
  <c r="T13" i="15"/>
  <c r="A14" i="15"/>
  <c r="AG14" i="15" s="1" a="1"/>
  <c r="AG14" i="15" s="1"/>
  <c r="B14" i="15"/>
  <c r="D14" i="15"/>
  <c r="E14" i="15"/>
  <c r="F14" i="15"/>
  <c r="G14" i="15"/>
  <c r="H14" i="15"/>
  <c r="L14" i="15"/>
  <c r="O14" i="15"/>
  <c r="P14" i="15"/>
  <c r="Q14" i="15"/>
  <c r="R14" i="15"/>
  <c r="S14" i="15"/>
  <c r="T14" i="15"/>
  <c r="A15" i="15"/>
  <c r="AO15" i="15" s="1" a="1"/>
  <c r="AO15" i="15" s="1"/>
  <c r="B15" i="15"/>
  <c r="D15" i="15"/>
  <c r="E15" i="15"/>
  <c r="F15" i="15"/>
  <c r="G15" i="15"/>
  <c r="H15" i="15"/>
  <c r="L15" i="15"/>
  <c r="O15" i="15"/>
  <c r="P15" i="15"/>
  <c r="Q15" i="15"/>
  <c r="R15" i="15"/>
  <c r="S15" i="15"/>
  <c r="T15" i="15"/>
  <c r="A16" i="15"/>
  <c r="AD16" i="15" s="1" a="1"/>
  <c r="AD16" i="15" s="1"/>
  <c r="B16" i="15"/>
  <c r="D16" i="15"/>
  <c r="E16" i="15"/>
  <c r="F16" i="15"/>
  <c r="G16" i="15"/>
  <c r="H16" i="15"/>
  <c r="L16" i="15"/>
  <c r="O16" i="15"/>
  <c r="P16" i="15"/>
  <c r="Q16" i="15"/>
  <c r="R16" i="15"/>
  <c r="S16" i="15"/>
  <c r="T16" i="15"/>
  <c r="A17" i="15"/>
  <c r="AL17" i="15" s="1" a="1"/>
  <c r="AL17" i="15" s="1"/>
  <c r="B17" i="15"/>
  <c r="D17" i="15"/>
  <c r="E17" i="15"/>
  <c r="F17" i="15"/>
  <c r="G17" i="15"/>
  <c r="H17" i="15"/>
  <c r="L17" i="15"/>
  <c r="O17" i="15"/>
  <c r="P17" i="15"/>
  <c r="Q17" i="15"/>
  <c r="R17" i="15"/>
  <c r="S17" i="15"/>
  <c r="T17" i="15"/>
  <c r="A18" i="15"/>
  <c r="AC18" i="15" s="1" a="1"/>
  <c r="AC18" i="15" s="1"/>
  <c r="B18" i="15"/>
  <c r="D18" i="15"/>
  <c r="E18" i="15"/>
  <c r="F18" i="15"/>
  <c r="G18" i="15"/>
  <c r="H18" i="15"/>
  <c r="L18" i="15"/>
  <c r="O18" i="15"/>
  <c r="P18" i="15"/>
  <c r="Q18" i="15"/>
  <c r="R18" i="15"/>
  <c r="S18" i="15"/>
  <c r="T18" i="15"/>
  <c r="A19" i="15"/>
  <c r="AH19" i="15" s="1" a="1"/>
  <c r="AH19" i="15" s="1"/>
  <c r="B19" i="15"/>
  <c r="D19" i="15"/>
  <c r="E19" i="15"/>
  <c r="F19" i="15"/>
  <c r="G19" i="15"/>
  <c r="H19" i="15"/>
  <c r="L19" i="15"/>
  <c r="O19" i="15"/>
  <c r="P19" i="15"/>
  <c r="Q19" i="15"/>
  <c r="R19" i="15"/>
  <c r="S19" i="15"/>
  <c r="T19" i="15"/>
  <c r="A20" i="15"/>
  <c r="AO20" i="15" s="1" a="1"/>
  <c r="AO20" i="15" s="1"/>
  <c r="B20" i="15"/>
  <c r="D20" i="15"/>
  <c r="E20" i="15"/>
  <c r="F20" i="15"/>
  <c r="G20" i="15"/>
  <c r="H20" i="15"/>
  <c r="L20" i="15"/>
  <c r="O20" i="15"/>
  <c r="P20" i="15"/>
  <c r="Q20" i="15"/>
  <c r="R20" i="15"/>
  <c r="S20" i="15"/>
  <c r="T20" i="15"/>
  <c r="A21" i="15"/>
  <c r="AE21" i="15" s="1" a="1"/>
  <c r="AE21" i="15" s="1"/>
  <c r="B21" i="15"/>
  <c r="D21" i="15"/>
  <c r="E21" i="15"/>
  <c r="F21" i="15"/>
  <c r="G21" i="15"/>
  <c r="H21" i="15"/>
  <c r="L21" i="15"/>
  <c r="O21" i="15"/>
  <c r="P21" i="15"/>
  <c r="Q21" i="15"/>
  <c r="R21" i="15"/>
  <c r="S21" i="15"/>
  <c r="T21" i="15"/>
  <c r="A22" i="15"/>
  <c r="AL22" i="15" s="1" a="1"/>
  <c r="AL22" i="15" s="1"/>
  <c r="B22" i="15"/>
  <c r="D22" i="15"/>
  <c r="E22" i="15"/>
  <c r="F22" i="15"/>
  <c r="G22" i="15"/>
  <c r="H22" i="15"/>
  <c r="L22" i="15"/>
  <c r="O22" i="15"/>
  <c r="P22" i="15"/>
  <c r="Q22" i="15"/>
  <c r="R22" i="15"/>
  <c r="S22" i="15"/>
  <c r="T22" i="15"/>
  <c r="A23" i="15"/>
  <c r="AE23" i="15" s="1" a="1"/>
  <c r="AE23" i="15" s="1"/>
  <c r="B23" i="15"/>
  <c r="D23" i="15"/>
  <c r="E23" i="15"/>
  <c r="F23" i="15"/>
  <c r="G23" i="15"/>
  <c r="H23" i="15"/>
  <c r="L23" i="15"/>
  <c r="O23" i="15"/>
  <c r="P23" i="15"/>
  <c r="Q23" i="15"/>
  <c r="R23" i="15"/>
  <c r="S23" i="15"/>
  <c r="T23" i="15"/>
  <c r="A24" i="15"/>
  <c r="AH24" i="15" s="1" a="1"/>
  <c r="AH24" i="15" s="1"/>
  <c r="B24" i="15"/>
  <c r="D24" i="15"/>
  <c r="E24" i="15"/>
  <c r="F24" i="15"/>
  <c r="G24" i="15"/>
  <c r="H24" i="15"/>
  <c r="L24" i="15"/>
  <c r="O24" i="15"/>
  <c r="P24" i="15"/>
  <c r="Q24" i="15"/>
  <c r="R24" i="15"/>
  <c r="S24" i="15"/>
  <c r="T24" i="15"/>
  <c r="G334" i="2"/>
  <c r="H334" i="2"/>
  <c r="I334" i="2"/>
  <c r="G335" i="2"/>
  <c r="H335" i="2"/>
  <c r="I335" i="2"/>
  <c r="G336" i="2"/>
  <c r="H336" i="2"/>
  <c r="I336" i="2"/>
  <c r="G337" i="2"/>
  <c r="H337" i="2"/>
  <c r="I337" i="2"/>
  <c r="G338" i="2"/>
  <c r="H338" i="2"/>
  <c r="I338" i="2"/>
  <c r="G339" i="2"/>
  <c r="H339" i="2"/>
  <c r="I339" i="2"/>
  <c r="G340" i="2"/>
  <c r="H340" i="2"/>
  <c r="I340" i="2"/>
  <c r="G341" i="2"/>
  <c r="H341" i="2"/>
  <c r="I341" i="2"/>
  <c r="G342" i="2"/>
  <c r="H342" i="2"/>
  <c r="I342" i="2"/>
  <c r="G343" i="2"/>
  <c r="H343" i="2"/>
  <c r="I343" i="2"/>
  <c r="G344" i="2"/>
  <c r="H344" i="2"/>
  <c r="I344" i="2"/>
  <c r="G345" i="2"/>
  <c r="H345" i="2"/>
  <c r="I345" i="2"/>
  <c r="G346" i="2"/>
  <c r="H346" i="2"/>
  <c r="I346" i="2"/>
  <c r="G347" i="2"/>
  <c r="H347" i="2"/>
  <c r="I347" i="2"/>
  <c r="G348" i="2"/>
  <c r="H348" i="2"/>
  <c r="I348" i="2"/>
  <c r="G349" i="2"/>
  <c r="H349" i="2"/>
  <c r="I349" i="2"/>
  <c r="G350" i="2"/>
  <c r="H350" i="2"/>
  <c r="I350" i="2"/>
  <c r="G351" i="2"/>
  <c r="H351" i="2"/>
  <c r="I351" i="2"/>
  <c r="G352" i="2"/>
  <c r="H352" i="2"/>
  <c r="I352" i="2"/>
  <c r="G353" i="2"/>
  <c r="H353" i="2"/>
  <c r="I353" i="2"/>
  <c r="G354" i="2"/>
  <c r="H354" i="2"/>
  <c r="I354" i="2"/>
  <c r="G355" i="2"/>
  <c r="H355" i="2"/>
  <c r="I355" i="2"/>
  <c r="F334" i="2"/>
  <c r="F335" i="2"/>
  <c r="F336" i="2"/>
  <c r="F337" i="2"/>
  <c r="F338" i="2"/>
  <c r="F339" i="2"/>
  <c r="F340" i="2"/>
  <c r="F341" i="2"/>
  <c r="F342" i="2"/>
  <c r="F343" i="2"/>
  <c r="F344" i="2"/>
  <c r="F345" i="2"/>
  <c r="F346" i="2"/>
  <c r="F347" i="2"/>
  <c r="F348" i="2"/>
  <c r="F349" i="2"/>
  <c r="F350" i="2"/>
  <c r="F351" i="2"/>
  <c r="F352" i="2"/>
  <c r="F353" i="2"/>
  <c r="F354" i="2"/>
  <c r="F355" i="2"/>
  <c r="F333" i="2"/>
  <c r="B334" i="2"/>
  <c r="C334" i="2"/>
  <c r="E334" i="2"/>
  <c r="B335" i="2"/>
  <c r="C335" i="2"/>
  <c r="C4" i="15" s="1"/>
  <c r="E335" i="2"/>
  <c r="B336" i="2"/>
  <c r="C336" i="2"/>
  <c r="C5" i="15" s="1"/>
  <c r="E336" i="2"/>
  <c r="B337" i="2"/>
  <c r="C337" i="2"/>
  <c r="C6" i="15" s="1"/>
  <c r="E337" i="2"/>
  <c r="B338" i="2"/>
  <c r="C338" i="2"/>
  <c r="C7" i="15" s="1"/>
  <c r="E338" i="2"/>
  <c r="B339" i="2"/>
  <c r="C339" i="2"/>
  <c r="C8" i="15" s="1"/>
  <c r="E339" i="2"/>
  <c r="B340" i="2"/>
  <c r="C340" i="2"/>
  <c r="C9" i="15" s="1"/>
  <c r="E340" i="2"/>
  <c r="B341" i="2"/>
  <c r="C341" i="2"/>
  <c r="C10" i="15" s="1"/>
  <c r="E341" i="2"/>
  <c r="B342" i="2"/>
  <c r="C342" i="2"/>
  <c r="C11" i="15" s="1"/>
  <c r="E342" i="2"/>
  <c r="B343" i="2"/>
  <c r="C343" i="2"/>
  <c r="C12" i="15" s="1"/>
  <c r="E343" i="2"/>
  <c r="B344" i="2"/>
  <c r="C344" i="2"/>
  <c r="C13" i="15" s="1"/>
  <c r="E344" i="2"/>
  <c r="B345" i="2"/>
  <c r="C345" i="2"/>
  <c r="C14" i="15" s="1"/>
  <c r="E345" i="2"/>
  <c r="B346" i="2"/>
  <c r="C346" i="2"/>
  <c r="C15" i="15" s="1"/>
  <c r="E346" i="2"/>
  <c r="B347" i="2"/>
  <c r="C347" i="2"/>
  <c r="C16" i="15" s="1"/>
  <c r="E347" i="2"/>
  <c r="B348" i="2"/>
  <c r="C348" i="2"/>
  <c r="C17" i="15" s="1"/>
  <c r="E348" i="2"/>
  <c r="B349" i="2"/>
  <c r="C349" i="2"/>
  <c r="C18" i="15" s="1"/>
  <c r="E349" i="2"/>
  <c r="B350" i="2"/>
  <c r="C350" i="2"/>
  <c r="C19" i="15" s="1"/>
  <c r="E350" i="2"/>
  <c r="B351" i="2"/>
  <c r="C351" i="2"/>
  <c r="C20" i="15" s="1"/>
  <c r="E351" i="2"/>
  <c r="B352" i="2"/>
  <c r="C352" i="2"/>
  <c r="C21" i="15" s="1"/>
  <c r="E352" i="2"/>
  <c r="B353" i="2"/>
  <c r="C353" i="2"/>
  <c r="C22" i="15" s="1"/>
  <c r="E353" i="2"/>
  <c r="B354" i="2"/>
  <c r="C354" i="2"/>
  <c r="C23" i="15" s="1"/>
  <c r="E354" i="2"/>
  <c r="B355" i="2"/>
  <c r="C355" i="2"/>
  <c r="C24" i="15" s="1"/>
  <c r="E355" i="2"/>
  <c r="AA311" i="33"/>
  <c r="AB311" i="33"/>
  <c r="AA312" i="33"/>
  <c r="AB312" i="33"/>
  <c r="AA313" i="33"/>
  <c r="AB313" i="33"/>
  <c r="AA314" i="33"/>
  <c r="AB314" i="33"/>
  <c r="AA315" i="33"/>
  <c r="AB315" i="33"/>
  <c r="AA316" i="33"/>
  <c r="AB316" i="33"/>
  <c r="AA317" i="33"/>
  <c r="AB317" i="33"/>
  <c r="AA318" i="33"/>
  <c r="AB318" i="33"/>
  <c r="AA319" i="33"/>
  <c r="AB319" i="33"/>
  <c r="AA320" i="33"/>
  <c r="AB320" i="33"/>
  <c r="AA321" i="33"/>
  <c r="AB321" i="33"/>
  <c r="AA322" i="33"/>
  <c r="AB322" i="33"/>
  <c r="AA323" i="33"/>
  <c r="AB323" i="33"/>
  <c r="AA324" i="33"/>
  <c r="AB324" i="33"/>
  <c r="AA325" i="33"/>
  <c r="AB325" i="33"/>
  <c r="AA326" i="33"/>
  <c r="AB326" i="33"/>
  <c r="AA327" i="33"/>
  <c r="AB327" i="33"/>
  <c r="AA328" i="33"/>
  <c r="AB328" i="33"/>
  <c r="AA329" i="33"/>
  <c r="AB329" i="33"/>
  <c r="AA330" i="33"/>
  <c r="AB330" i="33"/>
  <c r="AA331" i="33"/>
  <c r="AB331" i="33"/>
  <c r="AA332" i="33"/>
  <c r="AB332" i="33"/>
  <c r="V311" i="33" a="1"/>
  <c r="V311" i="33" s="1"/>
  <c r="W311" i="33" a="1"/>
  <c r="W311" i="33" s="1"/>
  <c r="V312" i="33" a="1"/>
  <c r="V312" i="33" s="1"/>
  <c r="W312" i="33" a="1"/>
  <c r="W312" i="33" s="1"/>
  <c r="V313" i="33" a="1"/>
  <c r="V313" i="33" s="1"/>
  <c r="W313" i="33" a="1"/>
  <c r="W313" i="33" s="1"/>
  <c r="V314" i="33" a="1"/>
  <c r="V314" i="33" s="1"/>
  <c r="W314" i="33" a="1"/>
  <c r="W314" i="33" s="1"/>
  <c r="V315" i="33" a="1"/>
  <c r="V315" i="33" s="1"/>
  <c r="W315" i="33" a="1"/>
  <c r="W315" i="33" s="1"/>
  <c r="V316" i="33" a="1"/>
  <c r="V316" i="33" s="1"/>
  <c r="W316" i="33" a="1"/>
  <c r="W316" i="33" s="1"/>
  <c r="V317" i="33" a="1"/>
  <c r="V317" i="33" s="1"/>
  <c r="W317" i="33" a="1"/>
  <c r="W317" i="33" s="1"/>
  <c r="V318" i="33" a="1"/>
  <c r="V318" i="33" s="1"/>
  <c r="W318" i="33" a="1"/>
  <c r="W318" i="33" s="1"/>
  <c r="V319" i="33" a="1"/>
  <c r="V319" i="33" s="1"/>
  <c r="W319" i="33" a="1"/>
  <c r="W319" i="33" s="1"/>
  <c r="V320" i="33" a="1"/>
  <c r="V320" i="33" s="1"/>
  <c r="W320" i="33" a="1"/>
  <c r="W320" i="33" s="1"/>
  <c r="V321" i="33" a="1"/>
  <c r="V321" i="33" s="1"/>
  <c r="W321" i="33" a="1"/>
  <c r="W321" i="33" s="1"/>
  <c r="V322" i="33" a="1"/>
  <c r="V322" i="33" s="1"/>
  <c r="W322" i="33" a="1"/>
  <c r="W322" i="33" s="1"/>
  <c r="V323" i="33" a="1"/>
  <c r="V323" i="33" s="1"/>
  <c r="W323" i="33" a="1"/>
  <c r="W323" i="33" s="1"/>
  <c r="V324" i="33" a="1"/>
  <c r="V324" i="33" s="1"/>
  <c r="W324" i="33" a="1"/>
  <c r="W324" i="33" s="1"/>
  <c r="V325" i="33" a="1"/>
  <c r="V325" i="33" s="1"/>
  <c r="W325" i="33" a="1"/>
  <c r="W325" i="33" s="1"/>
  <c r="V326" i="33" a="1"/>
  <c r="V326" i="33" s="1"/>
  <c r="W326" i="33" a="1"/>
  <c r="W326" i="33" s="1"/>
  <c r="V327" i="33" a="1"/>
  <c r="V327" i="33" s="1"/>
  <c r="W327" i="33" a="1"/>
  <c r="W327" i="33" s="1"/>
  <c r="V328" i="33" a="1"/>
  <c r="V328" i="33" s="1"/>
  <c r="W328" i="33" a="1"/>
  <c r="W328" i="33" s="1"/>
  <c r="V329" i="33" a="1"/>
  <c r="V329" i="33" s="1"/>
  <c r="W329" i="33" a="1"/>
  <c r="W329" i="33" s="1"/>
  <c r="V330" i="33" a="1"/>
  <c r="V330" i="33" s="1"/>
  <c r="W330" i="33" a="1"/>
  <c r="W330" i="33" s="1"/>
  <c r="V331" i="33" a="1"/>
  <c r="V331" i="33" s="1"/>
  <c r="W331" i="33" a="1"/>
  <c r="W331" i="33" s="1"/>
  <c r="V332" i="33" a="1"/>
  <c r="V332" i="33" s="1"/>
  <c r="W332" i="33" a="1"/>
  <c r="W332" i="33" s="1"/>
  <c r="C320" i="6"/>
  <c r="C321" i="6"/>
  <c r="C322" i="6"/>
  <c r="C323" i="6"/>
  <c r="C324" i="6"/>
  <c r="C325" i="6"/>
  <c r="C326" i="6"/>
  <c r="C327" i="6"/>
  <c r="C328" i="6"/>
  <c r="C329" i="6"/>
  <c r="C330" i="6"/>
  <c r="C331" i="6"/>
  <c r="C332" i="6"/>
  <c r="C333" i="6"/>
  <c r="C334" i="6"/>
  <c r="C335" i="6"/>
  <c r="C336" i="6"/>
  <c r="C337" i="6"/>
  <c r="C338" i="6"/>
  <c r="C339" i="6"/>
  <c r="C340" i="6"/>
  <c r="C341" i="6"/>
  <c r="B320" i="6"/>
  <c r="B321" i="6"/>
  <c r="B322" i="6"/>
  <c r="B323" i="6"/>
  <c r="B324" i="6"/>
  <c r="B325" i="6"/>
  <c r="B326" i="6"/>
  <c r="B327" i="6"/>
  <c r="B328" i="6"/>
  <c r="B329" i="6"/>
  <c r="B330" i="6"/>
  <c r="B331" i="6"/>
  <c r="B332" i="6"/>
  <c r="B333" i="6"/>
  <c r="B334" i="6"/>
  <c r="B335" i="6"/>
  <c r="B336" i="6"/>
  <c r="B337" i="6"/>
  <c r="B338" i="6"/>
  <c r="B339" i="6"/>
  <c r="B340" i="6"/>
  <c r="B341" i="6"/>
  <c r="V307" i="33" a="1"/>
  <c r="V307" i="33" s="1"/>
  <c r="W307" i="33" a="1"/>
  <c r="W307" i="33" s="1"/>
  <c r="X307" i="33" a="1"/>
  <c r="X307" i="33" s="1"/>
  <c r="V278" i="33" a="1"/>
  <c r="V278" i="33" s="1"/>
  <c r="W278" i="33" a="1"/>
  <c r="W278" i="33" s="1"/>
  <c r="X278" i="33" a="1"/>
  <c r="X278" i="33" s="1"/>
  <c r="V279" i="33" a="1"/>
  <c r="V279" i="33" s="1"/>
  <c r="W279" i="33" a="1"/>
  <c r="W279" i="33" s="1"/>
  <c r="X279" i="33" a="1"/>
  <c r="X279" i="33" s="1"/>
  <c r="V280" i="33" a="1"/>
  <c r="V280" i="33" s="1"/>
  <c r="W280" i="33" a="1"/>
  <c r="W280" i="33" s="1"/>
  <c r="X280" i="33" a="1"/>
  <c r="X280" i="33" s="1"/>
  <c r="V281" i="33" a="1"/>
  <c r="V281" i="33" s="1"/>
  <c r="W281" i="33" a="1"/>
  <c r="W281" i="33" s="1"/>
  <c r="X281" i="33" a="1"/>
  <c r="X281" i="33" s="1"/>
  <c r="V282" i="33" a="1"/>
  <c r="V282" i="33" s="1"/>
  <c r="W282" i="33" a="1"/>
  <c r="W282" i="33" s="1"/>
  <c r="X282" i="33" a="1"/>
  <c r="X282" i="33" s="1"/>
  <c r="V283" i="33" a="1"/>
  <c r="V283" i="33" s="1"/>
  <c r="W283" i="33" a="1"/>
  <c r="W283" i="33" s="1"/>
  <c r="X283" i="33" a="1"/>
  <c r="X283" i="33" s="1"/>
  <c r="V284" i="33" a="1"/>
  <c r="V284" i="33" s="1"/>
  <c r="W284" i="33" a="1"/>
  <c r="W284" i="33" s="1"/>
  <c r="X284" i="33" a="1"/>
  <c r="X284" i="33" s="1"/>
  <c r="V285" i="33" a="1"/>
  <c r="V285" i="33" s="1"/>
  <c r="W285" i="33" a="1"/>
  <c r="W285" i="33" s="1"/>
  <c r="X285" i="33" a="1"/>
  <c r="X285" i="33" s="1"/>
  <c r="V286" i="33" a="1"/>
  <c r="V286" i="33" s="1"/>
  <c r="W286" i="33" a="1"/>
  <c r="W286" i="33" s="1"/>
  <c r="X286" i="33" a="1"/>
  <c r="X286" i="33" s="1"/>
  <c r="V287" i="33" a="1"/>
  <c r="V287" i="33" s="1"/>
  <c r="W287" i="33" a="1"/>
  <c r="W287" i="33" s="1"/>
  <c r="X287" i="33" a="1"/>
  <c r="X287" i="33" s="1"/>
  <c r="V288" i="33" a="1"/>
  <c r="V288" i="33" s="1"/>
  <c r="W288" i="33" a="1"/>
  <c r="W288" i="33" s="1"/>
  <c r="X288" i="33" a="1"/>
  <c r="X288" i="33" s="1"/>
  <c r="V289" i="33" a="1"/>
  <c r="V289" i="33" s="1"/>
  <c r="W289" i="33" a="1"/>
  <c r="W289" i="33" s="1"/>
  <c r="X289" i="33" a="1"/>
  <c r="X289" i="33" s="1"/>
  <c r="V290" i="33" a="1"/>
  <c r="V290" i="33" s="1"/>
  <c r="W290" i="33" a="1"/>
  <c r="W290" i="33" s="1"/>
  <c r="X290" i="33" a="1"/>
  <c r="X290" i="33" s="1"/>
  <c r="V291" i="33" a="1"/>
  <c r="V291" i="33" s="1"/>
  <c r="W291" i="33" a="1"/>
  <c r="W291" i="33" s="1"/>
  <c r="X291" i="33" a="1"/>
  <c r="X291" i="33" s="1"/>
  <c r="V292" i="33" a="1"/>
  <c r="V292" i="33" s="1"/>
  <c r="W292" i="33" a="1"/>
  <c r="W292" i="33" s="1"/>
  <c r="X292" i="33" a="1"/>
  <c r="X292" i="33" s="1"/>
  <c r="V293" i="33" a="1"/>
  <c r="V293" i="33" s="1"/>
  <c r="W293" i="33" a="1"/>
  <c r="W293" i="33" s="1"/>
  <c r="X293" i="33" a="1"/>
  <c r="X293" i="33" s="1"/>
  <c r="V294" i="33" a="1"/>
  <c r="V294" i="33" s="1"/>
  <c r="W294" i="33" a="1"/>
  <c r="W294" i="33" s="1"/>
  <c r="X294" i="33" a="1"/>
  <c r="X294" i="33" s="1"/>
  <c r="V295" i="33" a="1"/>
  <c r="V295" i="33" s="1"/>
  <c r="W295" i="33" a="1"/>
  <c r="W295" i="33" s="1"/>
  <c r="X295" i="33" a="1"/>
  <c r="X295" i="33" s="1"/>
  <c r="V296" i="33" a="1"/>
  <c r="V296" i="33" s="1"/>
  <c r="W296" i="33" a="1"/>
  <c r="W296" i="33" s="1"/>
  <c r="X296" i="33" a="1"/>
  <c r="X296" i="33" s="1"/>
  <c r="V297" i="33" a="1"/>
  <c r="V297" i="33" s="1"/>
  <c r="W297" i="33" a="1"/>
  <c r="W297" i="33" s="1"/>
  <c r="X297" i="33" a="1"/>
  <c r="X297" i="33" s="1"/>
  <c r="V298" i="33" a="1"/>
  <c r="V298" i="33" s="1"/>
  <c r="W298" i="33" a="1"/>
  <c r="W298" i="33" s="1"/>
  <c r="X298" i="33" a="1"/>
  <c r="X298" i="33" s="1"/>
  <c r="V299" i="33" a="1"/>
  <c r="V299" i="33" s="1"/>
  <c r="W299" i="33" a="1"/>
  <c r="W299" i="33" s="1"/>
  <c r="X299" i="33" a="1"/>
  <c r="X299" i="33" s="1"/>
  <c r="V300" i="33" a="1"/>
  <c r="V300" i="33" s="1"/>
  <c r="W300" i="33" a="1"/>
  <c r="W300" i="33" s="1"/>
  <c r="X300" i="33" a="1"/>
  <c r="X300" i="33" s="1"/>
  <c r="V301" i="33" a="1"/>
  <c r="V301" i="33" s="1"/>
  <c r="W301" i="33" a="1"/>
  <c r="W301" i="33" s="1"/>
  <c r="X301" i="33" a="1"/>
  <c r="X301" i="33" s="1"/>
  <c r="V302" i="33" a="1"/>
  <c r="V302" i="33" s="1"/>
  <c r="W302" i="33" a="1"/>
  <c r="W302" i="33" s="1"/>
  <c r="X302" i="33" a="1"/>
  <c r="X302" i="33" s="1"/>
  <c r="V303" i="33" a="1"/>
  <c r="V303" i="33" s="1"/>
  <c r="W303" i="33" a="1"/>
  <c r="W303" i="33" s="1"/>
  <c r="X303" i="33" a="1"/>
  <c r="X303" i="33" s="1"/>
  <c r="V304" i="33" a="1"/>
  <c r="V304" i="33" s="1"/>
  <c r="W304" i="33" a="1"/>
  <c r="W304" i="33" s="1"/>
  <c r="X304" i="33" a="1"/>
  <c r="X304" i="33" s="1"/>
  <c r="V305" i="33" a="1"/>
  <c r="V305" i="33" s="1"/>
  <c r="W305" i="33" a="1"/>
  <c r="W305" i="33" s="1"/>
  <c r="X305" i="33" a="1"/>
  <c r="X305" i="33" s="1"/>
  <c r="V306" i="33" a="1"/>
  <c r="V306" i="33" s="1"/>
  <c r="W306" i="33" a="1"/>
  <c r="W306" i="33" s="1"/>
  <c r="X306" i="33" a="1"/>
  <c r="X306" i="33" s="1"/>
  <c r="V254" i="33" a="1"/>
  <c r="V254" i="33" s="1"/>
  <c r="W254" i="33" a="1"/>
  <c r="W254" i="33" s="1"/>
  <c r="X254" i="33" a="1"/>
  <c r="X254" i="33" s="1"/>
  <c r="V255" i="33" a="1"/>
  <c r="V255" i="33" s="1"/>
  <c r="W255" i="33" a="1"/>
  <c r="W255" i="33" s="1"/>
  <c r="X255" i="33" a="1"/>
  <c r="X255" i="33" s="1"/>
  <c r="V256" i="33" a="1"/>
  <c r="V256" i="33" s="1"/>
  <c r="W256" i="33" a="1"/>
  <c r="W256" i="33" s="1"/>
  <c r="X256" i="33" a="1"/>
  <c r="X256" i="33" s="1"/>
  <c r="V257" i="33" a="1"/>
  <c r="V257" i="33" s="1"/>
  <c r="W257" i="33" a="1"/>
  <c r="W257" i="33" s="1"/>
  <c r="X257" i="33" a="1"/>
  <c r="X257" i="33" s="1"/>
  <c r="V258" i="33" a="1"/>
  <c r="V258" i="33" s="1"/>
  <c r="W258" i="33" a="1"/>
  <c r="W258" i="33" s="1"/>
  <c r="X258" i="33" a="1"/>
  <c r="X258" i="33" s="1"/>
  <c r="V259" i="33" a="1"/>
  <c r="V259" i="33" s="1"/>
  <c r="W259" i="33" a="1"/>
  <c r="W259" i="33" s="1"/>
  <c r="X259" i="33" a="1"/>
  <c r="X259" i="33" s="1"/>
  <c r="V260" i="33" a="1"/>
  <c r="V260" i="33" s="1"/>
  <c r="W260" i="33" a="1"/>
  <c r="W260" i="33" s="1"/>
  <c r="X260" i="33" a="1"/>
  <c r="X260" i="33" s="1"/>
  <c r="V261" i="33" a="1"/>
  <c r="V261" i="33" s="1"/>
  <c r="W261" i="33" a="1"/>
  <c r="W261" i="33" s="1"/>
  <c r="X261" i="33" a="1"/>
  <c r="X261" i="33" s="1"/>
  <c r="V262" i="33" a="1"/>
  <c r="V262" i="33" s="1"/>
  <c r="W262" i="33" a="1"/>
  <c r="W262" i="33" s="1"/>
  <c r="X262" i="33" a="1"/>
  <c r="X262" i="33" s="1"/>
  <c r="V263" i="33" a="1"/>
  <c r="V263" i="33" s="1"/>
  <c r="W263" i="33" a="1"/>
  <c r="W263" i="33" s="1"/>
  <c r="X263" i="33" a="1"/>
  <c r="X263" i="33" s="1"/>
  <c r="V264" i="33" a="1"/>
  <c r="V264" i="33" s="1"/>
  <c r="W264" i="33" a="1"/>
  <c r="W264" i="33" s="1"/>
  <c r="X264" i="33" a="1"/>
  <c r="X264" i="33" s="1"/>
  <c r="V265" i="33" a="1"/>
  <c r="V265" i="33" s="1"/>
  <c r="W265" i="33" a="1"/>
  <c r="W265" i="33" s="1"/>
  <c r="X265" i="33" a="1"/>
  <c r="X265" i="33" s="1"/>
  <c r="V266" i="33" a="1"/>
  <c r="V266" i="33" s="1"/>
  <c r="W266" i="33" a="1"/>
  <c r="W266" i="33" s="1"/>
  <c r="X266" i="33" a="1"/>
  <c r="X266" i="33" s="1"/>
  <c r="V267" i="33" a="1"/>
  <c r="V267" i="33" s="1"/>
  <c r="W267" i="33" a="1"/>
  <c r="W267" i="33" s="1"/>
  <c r="X267" i="33" a="1"/>
  <c r="X267" i="33" s="1"/>
  <c r="V268" i="33" a="1"/>
  <c r="V268" i="33" s="1"/>
  <c r="W268" i="33" a="1"/>
  <c r="W268" i="33" s="1"/>
  <c r="X268" i="33" a="1"/>
  <c r="X268" i="33" s="1"/>
  <c r="V269" i="33" a="1"/>
  <c r="V269" i="33" s="1"/>
  <c r="W269" i="33" a="1"/>
  <c r="W269" i="33" s="1"/>
  <c r="X269" i="33" a="1"/>
  <c r="X269" i="33" s="1"/>
  <c r="V270" i="33" a="1"/>
  <c r="V270" i="33" s="1"/>
  <c r="W270" i="33" a="1"/>
  <c r="W270" i="33" s="1"/>
  <c r="X270" i="33" a="1"/>
  <c r="X270" i="33" s="1"/>
  <c r="V271" i="33" a="1"/>
  <c r="V271" i="33" s="1"/>
  <c r="W271" i="33" a="1"/>
  <c r="W271" i="33" s="1"/>
  <c r="X271" i="33" a="1"/>
  <c r="X271" i="33" s="1"/>
  <c r="V272" i="33" a="1"/>
  <c r="V272" i="33" s="1"/>
  <c r="W272" i="33" a="1"/>
  <c r="W272" i="33" s="1"/>
  <c r="X272" i="33" a="1"/>
  <c r="X272" i="33" s="1"/>
  <c r="V273" i="33" a="1"/>
  <c r="V273" i="33" s="1"/>
  <c r="W273" i="33" a="1"/>
  <c r="W273" i="33" s="1"/>
  <c r="X273" i="33" a="1"/>
  <c r="X273" i="33" s="1"/>
  <c r="V274" i="33" a="1"/>
  <c r="V274" i="33" s="1"/>
  <c r="W274" i="33" a="1"/>
  <c r="W274" i="33" s="1"/>
  <c r="X274" i="33" a="1"/>
  <c r="X274" i="33" s="1"/>
  <c r="V275" i="33" a="1"/>
  <c r="V275" i="33" s="1"/>
  <c r="W275" i="33" a="1"/>
  <c r="W275" i="33" s="1"/>
  <c r="X275" i="33" a="1"/>
  <c r="X275" i="33" s="1"/>
  <c r="V276" i="33" a="1"/>
  <c r="V276" i="33" s="1"/>
  <c r="W276" i="33" a="1"/>
  <c r="W276" i="33" s="1"/>
  <c r="X276" i="33" a="1"/>
  <c r="X276" i="33" s="1"/>
  <c r="V277" i="33" a="1"/>
  <c r="V277" i="33" s="1"/>
  <c r="W277" i="33" a="1"/>
  <c r="W277" i="33" s="1"/>
  <c r="X277" i="33" a="1"/>
  <c r="X277" i="33" s="1"/>
  <c r="X253" i="33" a="1"/>
  <c r="X253" i="33" s="1"/>
  <c r="W253" i="33" a="1"/>
  <c r="W253" i="33" s="1"/>
  <c r="V253" i="33" a="1"/>
  <c r="V253" i="33" s="1"/>
  <c r="A54" i="8"/>
  <c r="AH54" i="8" s="1" a="1"/>
  <c r="AH54" i="8" s="1"/>
  <c r="B54" i="8"/>
  <c r="C54" i="8"/>
  <c r="D54" i="8"/>
  <c r="E54" i="8"/>
  <c r="F54" i="8"/>
  <c r="G54" i="8"/>
  <c r="H54" i="8"/>
  <c r="I54" i="8"/>
  <c r="M54" i="8"/>
  <c r="P54" i="8"/>
  <c r="Q54" i="8"/>
  <c r="R54" i="8"/>
  <c r="S54" i="8"/>
  <c r="T54" i="8"/>
  <c r="U54" i="8"/>
  <c r="A55" i="8"/>
  <c r="AN55" i="8" s="1" a="1"/>
  <c r="AN55" i="8" s="1"/>
  <c r="B55" i="8"/>
  <c r="C55" i="8"/>
  <c r="D55" i="8"/>
  <c r="E55" i="8"/>
  <c r="F55" i="8"/>
  <c r="G55" i="8"/>
  <c r="H55" i="8"/>
  <c r="I55" i="8"/>
  <c r="M55" i="8"/>
  <c r="P55" i="8"/>
  <c r="Q55" i="8"/>
  <c r="R55" i="8"/>
  <c r="S55" i="8"/>
  <c r="T55" i="8"/>
  <c r="U55" i="8"/>
  <c r="A56" i="8"/>
  <c r="AE56" i="8" s="1" a="1"/>
  <c r="AE56" i="8" s="1"/>
  <c r="B56" i="8"/>
  <c r="C56" i="8"/>
  <c r="D56" i="8"/>
  <c r="E56" i="8"/>
  <c r="F56" i="8"/>
  <c r="G56" i="8"/>
  <c r="H56" i="8"/>
  <c r="I56" i="8"/>
  <c r="M56" i="8"/>
  <c r="P56" i="8"/>
  <c r="Q56" i="8"/>
  <c r="R56" i="8"/>
  <c r="S56" i="8"/>
  <c r="T56" i="8"/>
  <c r="U56" i="8"/>
  <c r="A52" i="8"/>
  <c r="AO52" i="8" s="1" a="1"/>
  <c r="AO52" i="8" s="1"/>
  <c r="B52" i="8"/>
  <c r="C52" i="8"/>
  <c r="D52" i="8"/>
  <c r="E52" i="8"/>
  <c r="F52" i="8"/>
  <c r="G52" i="8"/>
  <c r="H52" i="8"/>
  <c r="I52" i="8"/>
  <c r="M52" i="8"/>
  <c r="P52" i="8"/>
  <c r="Q52" i="8"/>
  <c r="R52" i="8"/>
  <c r="S52" i="8"/>
  <c r="T52" i="8"/>
  <c r="U52" i="8"/>
  <c r="A53" i="8"/>
  <c r="AN53" i="8" s="1" a="1"/>
  <c r="AN53" i="8" s="1"/>
  <c r="B53" i="8"/>
  <c r="C53" i="8"/>
  <c r="D53" i="8"/>
  <c r="E53" i="8"/>
  <c r="F53" i="8"/>
  <c r="G53" i="8"/>
  <c r="H53" i="8"/>
  <c r="I53" i="8"/>
  <c r="M53" i="8"/>
  <c r="P53" i="8"/>
  <c r="Q53" i="8"/>
  <c r="R53" i="8"/>
  <c r="S53" i="8"/>
  <c r="T53" i="8"/>
  <c r="U53" i="8"/>
  <c r="A50" i="8"/>
  <c r="AL50" i="8" s="1" a="1"/>
  <c r="AL50" i="8" s="1"/>
  <c r="B50" i="8"/>
  <c r="C50" i="8"/>
  <c r="D50" i="8"/>
  <c r="E50" i="8"/>
  <c r="F50" i="8"/>
  <c r="G50" i="8"/>
  <c r="H50" i="8"/>
  <c r="I50" i="8"/>
  <c r="M50" i="8"/>
  <c r="P50" i="8"/>
  <c r="Q50" i="8"/>
  <c r="R50" i="8"/>
  <c r="S50" i="8"/>
  <c r="T50" i="8"/>
  <c r="U50" i="8"/>
  <c r="A51" i="8"/>
  <c r="AN51" i="8" s="1" a="1"/>
  <c r="AN51" i="8" s="1"/>
  <c r="B51" i="8"/>
  <c r="C51" i="8"/>
  <c r="D51" i="8"/>
  <c r="E51" i="8"/>
  <c r="F51" i="8"/>
  <c r="G51" i="8"/>
  <c r="H51" i="8"/>
  <c r="I51" i="8"/>
  <c r="M51" i="8"/>
  <c r="P51" i="8"/>
  <c r="Q51" i="8"/>
  <c r="R51" i="8"/>
  <c r="S51" i="8"/>
  <c r="T51" i="8"/>
  <c r="U51" i="8"/>
  <c r="A28" i="8"/>
  <c r="AG28" i="8" s="1" a="1"/>
  <c r="AG28" i="8" s="1"/>
  <c r="B28" i="8"/>
  <c r="C28" i="8"/>
  <c r="D28" i="8"/>
  <c r="E28" i="8"/>
  <c r="F28" i="8"/>
  <c r="G28" i="8"/>
  <c r="H28" i="8"/>
  <c r="I28" i="8"/>
  <c r="M28" i="8"/>
  <c r="P28" i="8"/>
  <c r="Q28" i="8"/>
  <c r="R28" i="8"/>
  <c r="S28" i="8"/>
  <c r="T28" i="8"/>
  <c r="U28" i="8"/>
  <c r="A29" i="8"/>
  <c r="AN29" i="8" s="1" a="1"/>
  <c r="AN29" i="8" s="1"/>
  <c r="B29" i="8"/>
  <c r="C29" i="8"/>
  <c r="D29" i="8"/>
  <c r="E29" i="8"/>
  <c r="F29" i="8"/>
  <c r="G29" i="8"/>
  <c r="H29" i="8"/>
  <c r="I29" i="8"/>
  <c r="M29" i="8"/>
  <c r="P29" i="8"/>
  <c r="Q29" i="8"/>
  <c r="R29" i="8"/>
  <c r="S29" i="8"/>
  <c r="T29" i="8"/>
  <c r="U29" i="8"/>
  <c r="A30" i="8"/>
  <c r="AD30" i="8" s="1" a="1"/>
  <c r="AD30" i="8" s="1"/>
  <c r="B30" i="8"/>
  <c r="C30" i="8"/>
  <c r="D30" i="8"/>
  <c r="E30" i="8"/>
  <c r="F30" i="8"/>
  <c r="G30" i="8"/>
  <c r="H30" i="8"/>
  <c r="I30" i="8"/>
  <c r="M30" i="8"/>
  <c r="P30" i="8"/>
  <c r="Q30" i="8"/>
  <c r="R30" i="8"/>
  <c r="S30" i="8"/>
  <c r="T30" i="8"/>
  <c r="U30" i="8"/>
  <c r="A31" i="8"/>
  <c r="AI31" i="8" s="1" a="1"/>
  <c r="AI31" i="8" s="1"/>
  <c r="B31" i="8"/>
  <c r="C31" i="8"/>
  <c r="D31" i="8"/>
  <c r="E31" i="8"/>
  <c r="F31" i="8"/>
  <c r="G31" i="8"/>
  <c r="H31" i="8"/>
  <c r="I31" i="8"/>
  <c r="M31" i="8"/>
  <c r="P31" i="8"/>
  <c r="Q31" i="8"/>
  <c r="R31" i="8"/>
  <c r="S31" i="8"/>
  <c r="T31" i="8"/>
  <c r="U31" i="8"/>
  <c r="A32" i="8"/>
  <c r="AP32" i="8" s="1" a="1"/>
  <c r="AP32" i="8" s="1"/>
  <c r="B32" i="8"/>
  <c r="C32" i="8"/>
  <c r="D32" i="8"/>
  <c r="E32" i="8"/>
  <c r="F32" i="8"/>
  <c r="G32" i="8"/>
  <c r="H32" i="8"/>
  <c r="I32" i="8"/>
  <c r="M32" i="8"/>
  <c r="P32" i="8"/>
  <c r="Q32" i="8"/>
  <c r="R32" i="8"/>
  <c r="S32" i="8"/>
  <c r="T32" i="8"/>
  <c r="U32" i="8"/>
  <c r="A33" i="8"/>
  <c r="AF33" i="8" s="1" a="1"/>
  <c r="AF33" i="8" s="1"/>
  <c r="B33" i="8"/>
  <c r="C33" i="8"/>
  <c r="D33" i="8"/>
  <c r="E33" i="8"/>
  <c r="F33" i="8"/>
  <c r="G33" i="8"/>
  <c r="H33" i="8"/>
  <c r="I33" i="8"/>
  <c r="M33" i="8"/>
  <c r="P33" i="8"/>
  <c r="Q33" i="8"/>
  <c r="R33" i="8"/>
  <c r="S33" i="8"/>
  <c r="T33" i="8"/>
  <c r="U33" i="8"/>
  <c r="A34" i="8"/>
  <c r="AL34" i="8" s="1" a="1"/>
  <c r="AL34" i="8" s="1"/>
  <c r="B34" i="8"/>
  <c r="C34" i="8"/>
  <c r="D34" i="8"/>
  <c r="E34" i="8"/>
  <c r="F34" i="8"/>
  <c r="G34" i="8"/>
  <c r="H34" i="8"/>
  <c r="I34" i="8"/>
  <c r="M34" i="8"/>
  <c r="P34" i="8"/>
  <c r="Q34" i="8"/>
  <c r="R34" i="8"/>
  <c r="S34" i="8"/>
  <c r="T34" i="8"/>
  <c r="U34" i="8"/>
  <c r="A35" i="8"/>
  <c r="AE35" i="8" s="1" a="1"/>
  <c r="AE35" i="8" s="1"/>
  <c r="B35" i="8"/>
  <c r="C35" i="8"/>
  <c r="D35" i="8"/>
  <c r="E35" i="8"/>
  <c r="F35" i="8"/>
  <c r="G35" i="8"/>
  <c r="H35" i="8"/>
  <c r="I35" i="8"/>
  <c r="M35" i="8"/>
  <c r="P35" i="8"/>
  <c r="Q35" i="8"/>
  <c r="R35" i="8"/>
  <c r="S35" i="8"/>
  <c r="T35" i="8"/>
  <c r="U35" i="8"/>
  <c r="A36" i="8"/>
  <c r="AN36" i="8" s="1" a="1"/>
  <c r="AN36" i="8" s="1"/>
  <c r="B36" i="8"/>
  <c r="C36" i="8"/>
  <c r="D36" i="8"/>
  <c r="E36" i="8"/>
  <c r="F36" i="8"/>
  <c r="G36" i="8"/>
  <c r="H36" i="8"/>
  <c r="I36" i="8"/>
  <c r="M36" i="8"/>
  <c r="P36" i="8"/>
  <c r="Q36" i="8"/>
  <c r="R36" i="8"/>
  <c r="S36" i="8"/>
  <c r="T36" i="8"/>
  <c r="U36" i="8"/>
  <c r="A37" i="8"/>
  <c r="AN37" i="8" s="1" a="1"/>
  <c r="AN37" i="8" s="1"/>
  <c r="B37" i="8"/>
  <c r="C37" i="8"/>
  <c r="D37" i="8"/>
  <c r="E37" i="8"/>
  <c r="F37" i="8"/>
  <c r="G37" i="8"/>
  <c r="H37" i="8"/>
  <c r="I37" i="8"/>
  <c r="M37" i="8"/>
  <c r="P37" i="8"/>
  <c r="Q37" i="8"/>
  <c r="R37" i="8"/>
  <c r="S37" i="8"/>
  <c r="T37" i="8"/>
  <c r="U37" i="8"/>
  <c r="A38" i="8"/>
  <c r="AF38" i="8" s="1" a="1"/>
  <c r="AF38" i="8" s="1"/>
  <c r="B38" i="8"/>
  <c r="C38" i="8"/>
  <c r="D38" i="8"/>
  <c r="E38" i="8"/>
  <c r="F38" i="8"/>
  <c r="G38" i="8"/>
  <c r="H38" i="8"/>
  <c r="I38" i="8"/>
  <c r="M38" i="8"/>
  <c r="P38" i="8"/>
  <c r="Q38" i="8"/>
  <c r="R38" i="8"/>
  <c r="S38" i="8"/>
  <c r="T38" i="8"/>
  <c r="U38" i="8"/>
  <c r="A39" i="8"/>
  <c r="AI39" i="8" s="1" a="1"/>
  <c r="AI39" i="8" s="1"/>
  <c r="B39" i="8"/>
  <c r="C39" i="8"/>
  <c r="D39" i="8"/>
  <c r="E39" i="8"/>
  <c r="F39" i="8"/>
  <c r="G39" i="8"/>
  <c r="H39" i="8"/>
  <c r="I39" i="8"/>
  <c r="M39" i="8"/>
  <c r="P39" i="8"/>
  <c r="Q39" i="8"/>
  <c r="R39" i="8"/>
  <c r="S39" i="8"/>
  <c r="T39" i="8"/>
  <c r="U39" i="8"/>
  <c r="A40" i="8"/>
  <c r="AP40" i="8" s="1" a="1"/>
  <c r="AP40" i="8" s="1"/>
  <c r="B40" i="8"/>
  <c r="C40" i="8"/>
  <c r="D40" i="8"/>
  <c r="E40" i="8"/>
  <c r="F40" i="8"/>
  <c r="G40" i="8"/>
  <c r="H40" i="8"/>
  <c r="I40" i="8"/>
  <c r="M40" i="8"/>
  <c r="P40" i="8"/>
  <c r="Q40" i="8"/>
  <c r="R40" i="8"/>
  <c r="S40" i="8"/>
  <c r="T40" i="8"/>
  <c r="U40" i="8"/>
  <c r="A41" i="8"/>
  <c r="AD41" i="8" s="1" a="1"/>
  <c r="AD41" i="8" s="1"/>
  <c r="B41" i="8"/>
  <c r="C41" i="8"/>
  <c r="D41" i="8"/>
  <c r="E41" i="8"/>
  <c r="F41" i="8"/>
  <c r="G41" i="8"/>
  <c r="H41" i="8"/>
  <c r="I41" i="8"/>
  <c r="M41" i="8"/>
  <c r="P41" i="8"/>
  <c r="Q41" i="8"/>
  <c r="R41" i="8"/>
  <c r="S41" i="8"/>
  <c r="T41" i="8"/>
  <c r="U41" i="8"/>
  <c r="A42" i="8"/>
  <c r="AM42" i="8" s="1" a="1"/>
  <c r="AM42" i="8" s="1"/>
  <c r="B42" i="8"/>
  <c r="C42" i="8"/>
  <c r="D42" i="8"/>
  <c r="E42" i="8"/>
  <c r="F42" i="8"/>
  <c r="G42" i="8"/>
  <c r="H42" i="8"/>
  <c r="I42" i="8"/>
  <c r="M42" i="8"/>
  <c r="P42" i="8"/>
  <c r="Q42" i="8"/>
  <c r="R42" i="8"/>
  <c r="S42" i="8"/>
  <c r="T42" i="8"/>
  <c r="U42" i="8"/>
  <c r="A43" i="8"/>
  <c r="AF43" i="8" s="1" a="1"/>
  <c r="AF43" i="8" s="1"/>
  <c r="B43" i="8"/>
  <c r="C43" i="8"/>
  <c r="D43" i="8"/>
  <c r="E43" i="8"/>
  <c r="F43" i="8"/>
  <c r="G43" i="8"/>
  <c r="H43" i="8"/>
  <c r="I43" i="8"/>
  <c r="M43" i="8"/>
  <c r="P43" i="8"/>
  <c r="Q43" i="8"/>
  <c r="R43" i="8"/>
  <c r="S43" i="8"/>
  <c r="T43" i="8"/>
  <c r="U43" i="8"/>
  <c r="A44" i="8"/>
  <c r="AN44" i="8" s="1" a="1"/>
  <c r="AN44" i="8" s="1"/>
  <c r="B44" i="8"/>
  <c r="C44" i="8"/>
  <c r="D44" i="8"/>
  <c r="E44" i="8"/>
  <c r="F44" i="8"/>
  <c r="G44" i="8"/>
  <c r="H44" i="8"/>
  <c r="I44" i="8"/>
  <c r="M44" i="8"/>
  <c r="P44" i="8"/>
  <c r="Q44" i="8"/>
  <c r="R44" i="8"/>
  <c r="S44" i="8"/>
  <c r="T44" i="8"/>
  <c r="U44" i="8"/>
  <c r="A45" i="8"/>
  <c r="AN45" i="8" s="1" a="1"/>
  <c r="AN45" i="8" s="1"/>
  <c r="B45" i="8"/>
  <c r="C45" i="8"/>
  <c r="D45" i="8"/>
  <c r="E45" i="8"/>
  <c r="F45" i="8"/>
  <c r="G45" i="8"/>
  <c r="H45" i="8"/>
  <c r="I45" i="8"/>
  <c r="M45" i="8"/>
  <c r="P45" i="8"/>
  <c r="Q45" i="8"/>
  <c r="R45" i="8"/>
  <c r="S45" i="8"/>
  <c r="T45" i="8"/>
  <c r="U45" i="8"/>
  <c r="A46" i="8"/>
  <c r="AE46" i="8" s="1" a="1"/>
  <c r="AE46" i="8" s="1"/>
  <c r="B46" i="8"/>
  <c r="C46" i="8"/>
  <c r="D46" i="8"/>
  <c r="E46" i="8"/>
  <c r="F46" i="8"/>
  <c r="G46" i="8"/>
  <c r="H46" i="8"/>
  <c r="I46" i="8"/>
  <c r="M46" i="8"/>
  <c r="P46" i="8"/>
  <c r="Q46" i="8"/>
  <c r="R46" i="8"/>
  <c r="S46" i="8"/>
  <c r="T46" i="8"/>
  <c r="U46" i="8"/>
  <c r="A47" i="8"/>
  <c r="AI47" i="8" s="1" a="1"/>
  <c r="AI47" i="8" s="1"/>
  <c r="B47" i="8"/>
  <c r="C47" i="8"/>
  <c r="D47" i="8"/>
  <c r="E47" i="8"/>
  <c r="F47" i="8"/>
  <c r="G47" i="8"/>
  <c r="H47" i="8"/>
  <c r="I47" i="8"/>
  <c r="M47" i="8"/>
  <c r="P47" i="8"/>
  <c r="Q47" i="8"/>
  <c r="R47" i="8"/>
  <c r="S47" i="8"/>
  <c r="T47" i="8"/>
  <c r="U47" i="8"/>
  <c r="A48" i="8"/>
  <c r="AP48" i="8" s="1" a="1"/>
  <c r="AP48" i="8" s="1"/>
  <c r="B48" i="8"/>
  <c r="C48" i="8"/>
  <c r="D48" i="8"/>
  <c r="E48" i="8"/>
  <c r="F48" i="8"/>
  <c r="G48" i="8"/>
  <c r="H48" i="8"/>
  <c r="I48" i="8"/>
  <c r="M48" i="8"/>
  <c r="P48" i="8"/>
  <c r="Q48" i="8"/>
  <c r="R48" i="8"/>
  <c r="S48" i="8"/>
  <c r="T48" i="8"/>
  <c r="U48" i="8"/>
  <c r="A49" i="8"/>
  <c r="AD49" i="8" s="1" a="1"/>
  <c r="AD49" i="8" s="1"/>
  <c r="B49" i="8"/>
  <c r="C49" i="8"/>
  <c r="D49" i="8"/>
  <c r="E49" i="8"/>
  <c r="F49" i="8"/>
  <c r="G49" i="8"/>
  <c r="H49" i="8"/>
  <c r="I49" i="8"/>
  <c r="M49" i="8"/>
  <c r="P49" i="8"/>
  <c r="Q49" i="8"/>
  <c r="R49" i="8"/>
  <c r="S49" i="8"/>
  <c r="T49" i="8"/>
  <c r="U49" i="8"/>
  <c r="A4" i="8"/>
  <c r="AO4" i="8" s="1" a="1"/>
  <c r="AO4" i="8" s="1"/>
  <c r="B4" i="8"/>
  <c r="C4" i="8"/>
  <c r="D4" i="8"/>
  <c r="E4" i="8"/>
  <c r="F4" i="8"/>
  <c r="G4" i="8"/>
  <c r="H4" i="8"/>
  <c r="I4" i="8"/>
  <c r="M4" i="8"/>
  <c r="P4" i="8"/>
  <c r="Q4" i="8"/>
  <c r="R4" i="8"/>
  <c r="S4" i="8"/>
  <c r="T4" i="8"/>
  <c r="U4" i="8"/>
  <c r="A5" i="8"/>
  <c r="AN5" i="8" s="1" a="1"/>
  <c r="AN5" i="8" s="1"/>
  <c r="B5" i="8"/>
  <c r="C5" i="8"/>
  <c r="D5" i="8"/>
  <c r="E5" i="8"/>
  <c r="F5" i="8"/>
  <c r="G5" i="8"/>
  <c r="H5" i="8"/>
  <c r="I5" i="8"/>
  <c r="M5" i="8"/>
  <c r="P5" i="8"/>
  <c r="Q5" i="8"/>
  <c r="R5" i="8"/>
  <c r="S5" i="8"/>
  <c r="T5" i="8"/>
  <c r="U5" i="8"/>
  <c r="A6" i="8"/>
  <c r="AD6" i="8" s="1" a="1"/>
  <c r="AD6" i="8" s="1"/>
  <c r="B6" i="8"/>
  <c r="C6" i="8"/>
  <c r="D6" i="8"/>
  <c r="E6" i="8"/>
  <c r="F6" i="8"/>
  <c r="G6" i="8"/>
  <c r="H6" i="8"/>
  <c r="I6" i="8"/>
  <c r="M6" i="8"/>
  <c r="P6" i="8"/>
  <c r="Q6" i="8"/>
  <c r="R6" i="8"/>
  <c r="S6" i="8"/>
  <c r="T6" i="8"/>
  <c r="U6" i="8"/>
  <c r="A7" i="8"/>
  <c r="AI7" i="8" s="1" a="1"/>
  <c r="AI7" i="8" s="1"/>
  <c r="B7" i="8"/>
  <c r="C7" i="8"/>
  <c r="D7" i="8"/>
  <c r="E7" i="8"/>
  <c r="F7" i="8"/>
  <c r="G7" i="8"/>
  <c r="H7" i="8"/>
  <c r="I7" i="8"/>
  <c r="M7" i="8"/>
  <c r="P7" i="8"/>
  <c r="Q7" i="8"/>
  <c r="R7" i="8"/>
  <c r="S7" i="8"/>
  <c r="T7" i="8"/>
  <c r="U7" i="8"/>
  <c r="A8" i="8"/>
  <c r="AF8" i="8" s="1" a="1"/>
  <c r="AF8" i="8" s="1"/>
  <c r="B8" i="8"/>
  <c r="C8" i="8"/>
  <c r="D8" i="8"/>
  <c r="E8" i="8"/>
  <c r="F8" i="8"/>
  <c r="G8" i="8"/>
  <c r="H8" i="8"/>
  <c r="I8" i="8"/>
  <c r="M8" i="8"/>
  <c r="P8" i="8"/>
  <c r="Q8" i="8"/>
  <c r="R8" i="8"/>
  <c r="S8" i="8"/>
  <c r="T8" i="8"/>
  <c r="U8" i="8"/>
  <c r="A9" i="8"/>
  <c r="AM9" i="8" s="1" a="1"/>
  <c r="AM9" i="8" s="1"/>
  <c r="B9" i="8"/>
  <c r="C9" i="8"/>
  <c r="D9" i="8"/>
  <c r="E9" i="8"/>
  <c r="F9" i="8"/>
  <c r="G9" i="8"/>
  <c r="H9" i="8"/>
  <c r="I9" i="8"/>
  <c r="M9" i="8"/>
  <c r="P9" i="8"/>
  <c r="Q9" i="8"/>
  <c r="R9" i="8"/>
  <c r="S9" i="8"/>
  <c r="T9" i="8"/>
  <c r="U9" i="8"/>
  <c r="A10" i="8"/>
  <c r="AL10" i="8" s="1" a="1"/>
  <c r="AL10" i="8" s="1"/>
  <c r="B10" i="8"/>
  <c r="C10" i="8"/>
  <c r="D10" i="8"/>
  <c r="E10" i="8"/>
  <c r="F10" i="8"/>
  <c r="G10" i="8"/>
  <c r="H10" i="8"/>
  <c r="I10" i="8"/>
  <c r="M10" i="8"/>
  <c r="P10" i="8"/>
  <c r="Q10" i="8"/>
  <c r="R10" i="8"/>
  <c r="S10" i="8"/>
  <c r="T10" i="8"/>
  <c r="U10" i="8"/>
  <c r="A11" i="8"/>
  <c r="AH11" i="8" s="1" a="1"/>
  <c r="AH11" i="8" s="1"/>
  <c r="B11" i="8"/>
  <c r="C11" i="8"/>
  <c r="D11" i="8"/>
  <c r="E11" i="8"/>
  <c r="F11" i="8"/>
  <c r="G11" i="8"/>
  <c r="H11" i="8"/>
  <c r="I11" i="8"/>
  <c r="M11" i="8"/>
  <c r="P11" i="8"/>
  <c r="Q11" i="8"/>
  <c r="R11" i="8"/>
  <c r="S11" i="8"/>
  <c r="T11" i="8"/>
  <c r="U11" i="8"/>
  <c r="A12" i="8"/>
  <c r="AO12" i="8" s="1" a="1"/>
  <c r="AO12" i="8" s="1"/>
  <c r="B12" i="8"/>
  <c r="C12" i="8"/>
  <c r="D12" i="8"/>
  <c r="E12" i="8"/>
  <c r="F12" i="8"/>
  <c r="G12" i="8"/>
  <c r="H12" i="8"/>
  <c r="I12" i="8"/>
  <c r="M12" i="8"/>
  <c r="P12" i="8"/>
  <c r="Q12" i="8"/>
  <c r="R12" i="8"/>
  <c r="S12" i="8"/>
  <c r="T12" i="8"/>
  <c r="U12" i="8"/>
  <c r="A13" i="8"/>
  <c r="AN13" i="8" s="1" a="1"/>
  <c r="AN13" i="8" s="1"/>
  <c r="B13" i="8"/>
  <c r="C13" i="8"/>
  <c r="D13" i="8"/>
  <c r="E13" i="8"/>
  <c r="F13" i="8"/>
  <c r="G13" i="8"/>
  <c r="H13" i="8"/>
  <c r="I13" i="8"/>
  <c r="M13" i="8"/>
  <c r="P13" i="8"/>
  <c r="Q13" i="8"/>
  <c r="R13" i="8"/>
  <c r="S13" i="8"/>
  <c r="T13" i="8"/>
  <c r="U13" i="8"/>
  <c r="A14" i="8"/>
  <c r="AD14" i="8" s="1" a="1"/>
  <c r="AD14" i="8" s="1"/>
  <c r="B14" i="8"/>
  <c r="C14" i="8"/>
  <c r="D14" i="8"/>
  <c r="E14" i="8"/>
  <c r="F14" i="8"/>
  <c r="G14" i="8"/>
  <c r="H14" i="8"/>
  <c r="I14" i="8"/>
  <c r="M14" i="8"/>
  <c r="P14" i="8"/>
  <c r="Q14" i="8"/>
  <c r="R14" i="8"/>
  <c r="S14" i="8"/>
  <c r="T14" i="8"/>
  <c r="U14" i="8"/>
  <c r="A15" i="8"/>
  <c r="AI15" i="8" s="1" a="1"/>
  <c r="AI15" i="8" s="1"/>
  <c r="B15" i="8"/>
  <c r="C15" i="8"/>
  <c r="D15" i="8"/>
  <c r="E15" i="8"/>
  <c r="F15" i="8"/>
  <c r="G15" i="8"/>
  <c r="H15" i="8"/>
  <c r="I15" i="8"/>
  <c r="M15" i="8"/>
  <c r="P15" i="8"/>
  <c r="Q15" i="8"/>
  <c r="R15" i="8"/>
  <c r="S15" i="8"/>
  <c r="T15" i="8"/>
  <c r="U15" i="8"/>
  <c r="A16" i="8"/>
  <c r="AF16" i="8" s="1" a="1"/>
  <c r="AF16" i="8" s="1"/>
  <c r="B16" i="8"/>
  <c r="C16" i="8"/>
  <c r="D16" i="8"/>
  <c r="E16" i="8"/>
  <c r="F16" i="8"/>
  <c r="G16" i="8"/>
  <c r="H16" i="8"/>
  <c r="I16" i="8"/>
  <c r="M16" i="8"/>
  <c r="P16" i="8"/>
  <c r="Q16" i="8"/>
  <c r="R16" i="8"/>
  <c r="S16" i="8"/>
  <c r="T16" i="8"/>
  <c r="U16" i="8"/>
  <c r="A17" i="8"/>
  <c r="AM17" i="8" s="1" a="1"/>
  <c r="AM17" i="8" s="1"/>
  <c r="B17" i="8"/>
  <c r="C17" i="8"/>
  <c r="D17" i="8"/>
  <c r="E17" i="8"/>
  <c r="F17" i="8"/>
  <c r="G17" i="8"/>
  <c r="H17" i="8"/>
  <c r="I17" i="8"/>
  <c r="M17" i="8"/>
  <c r="P17" i="8"/>
  <c r="Q17" i="8"/>
  <c r="R17" i="8"/>
  <c r="S17" i="8"/>
  <c r="T17" i="8"/>
  <c r="U17" i="8"/>
  <c r="A18" i="8"/>
  <c r="AL18" i="8" s="1" a="1"/>
  <c r="AL18" i="8" s="1"/>
  <c r="B18" i="8"/>
  <c r="C18" i="8"/>
  <c r="D18" i="8"/>
  <c r="E18" i="8"/>
  <c r="F18" i="8"/>
  <c r="G18" i="8"/>
  <c r="H18" i="8"/>
  <c r="I18" i="8"/>
  <c r="M18" i="8"/>
  <c r="P18" i="8"/>
  <c r="Q18" i="8"/>
  <c r="R18" i="8"/>
  <c r="S18" i="8"/>
  <c r="T18" i="8"/>
  <c r="U18" i="8"/>
  <c r="A19" i="8"/>
  <c r="AH19" i="8" s="1" a="1"/>
  <c r="AH19" i="8" s="1"/>
  <c r="B19" i="8"/>
  <c r="C19" i="8"/>
  <c r="D19" i="8"/>
  <c r="E19" i="8"/>
  <c r="F19" i="8"/>
  <c r="G19" i="8"/>
  <c r="H19" i="8"/>
  <c r="I19" i="8"/>
  <c r="M19" i="8"/>
  <c r="P19" i="8"/>
  <c r="Q19" i="8"/>
  <c r="R19" i="8"/>
  <c r="S19" i="8"/>
  <c r="T19" i="8"/>
  <c r="U19" i="8"/>
  <c r="A20" i="8"/>
  <c r="AO20" i="8" s="1" a="1"/>
  <c r="AO20" i="8" s="1"/>
  <c r="B20" i="8"/>
  <c r="C20" i="8"/>
  <c r="D20" i="8"/>
  <c r="E20" i="8"/>
  <c r="F20" i="8"/>
  <c r="G20" i="8"/>
  <c r="H20" i="8"/>
  <c r="I20" i="8"/>
  <c r="M20" i="8"/>
  <c r="P20" i="8"/>
  <c r="Q20" i="8"/>
  <c r="R20" i="8"/>
  <c r="S20" i="8"/>
  <c r="T20" i="8"/>
  <c r="U20" i="8"/>
  <c r="A21" i="8"/>
  <c r="AN21" i="8" s="1" a="1"/>
  <c r="AN21" i="8" s="1"/>
  <c r="B21" i="8"/>
  <c r="C21" i="8"/>
  <c r="D21" i="8"/>
  <c r="E21" i="8"/>
  <c r="F21" i="8"/>
  <c r="G21" i="8"/>
  <c r="H21" i="8"/>
  <c r="I21" i="8"/>
  <c r="M21" i="8"/>
  <c r="P21" i="8"/>
  <c r="Q21" i="8"/>
  <c r="R21" i="8"/>
  <c r="S21" i="8"/>
  <c r="T21" i="8"/>
  <c r="U21" i="8"/>
  <c r="A22" i="8"/>
  <c r="AF22" i="8" s="1" a="1"/>
  <c r="AF22" i="8" s="1"/>
  <c r="B22" i="8"/>
  <c r="C22" i="8"/>
  <c r="D22" i="8"/>
  <c r="E22" i="8"/>
  <c r="F22" i="8"/>
  <c r="G22" i="8"/>
  <c r="H22" i="8"/>
  <c r="I22" i="8"/>
  <c r="M22" i="8"/>
  <c r="P22" i="8"/>
  <c r="Q22" i="8"/>
  <c r="R22" i="8"/>
  <c r="S22" i="8"/>
  <c r="T22" i="8"/>
  <c r="U22" i="8"/>
  <c r="A23" i="8"/>
  <c r="AI23" i="8" s="1" a="1"/>
  <c r="AI23" i="8" s="1"/>
  <c r="B23" i="8"/>
  <c r="C23" i="8"/>
  <c r="D23" i="8"/>
  <c r="E23" i="8"/>
  <c r="F23" i="8"/>
  <c r="G23" i="8"/>
  <c r="H23" i="8"/>
  <c r="I23" i="8"/>
  <c r="M23" i="8"/>
  <c r="P23" i="8"/>
  <c r="Q23" i="8"/>
  <c r="R23" i="8"/>
  <c r="S23" i="8"/>
  <c r="T23" i="8"/>
  <c r="U23" i="8"/>
  <c r="A24" i="8"/>
  <c r="AF24" i="8" s="1" a="1"/>
  <c r="AF24" i="8" s="1"/>
  <c r="B24" i="8"/>
  <c r="C24" i="8"/>
  <c r="D24" i="8"/>
  <c r="E24" i="8"/>
  <c r="F24" i="8"/>
  <c r="G24" i="8"/>
  <c r="H24" i="8"/>
  <c r="I24" i="8"/>
  <c r="M24" i="8"/>
  <c r="P24" i="8"/>
  <c r="Q24" i="8"/>
  <c r="R24" i="8"/>
  <c r="S24" i="8"/>
  <c r="T24" i="8"/>
  <c r="U24" i="8"/>
  <c r="A25" i="8"/>
  <c r="AM25" i="8" s="1" a="1"/>
  <c r="AM25" i="8" s="1"/>
  <c r="B25" i="8"/>
  <c r="C25" i="8"/>
  <c r="D25" i="8"/>
  <c r="E25" i="8"/>
  <c r="F25" i="8"/>
  <c r="G25" i="8"/>
  <c r="H25" i="8"/>
  <c r="I25" i="8"/>
  <c r="M25" i="8"/>
  <c r="P25" i="8"/>
  <c r="Q25" i="8"/>
  <c r="R25" i="8"/>
  <c r="S25" i="8"/>
  <c r="T25" i="8"/>
  <c r="U25" i="8"/>
  <c r="A26" i="8"/>
  <c r="AL26" i="8" s="1" a="1"/>
  <c r="AL26" i="8" s="1"/>
  <c r="B26" i="8"/>
  <c r="C26" i="8"/>
  <c r="D26" i="8"/>
  <c r="E26" i="8"/>
  <c r="F26" i="8"/>
  <c r="G26" i="8"/>
  <c r="H26" i="8"/>
  <c r="I26" i="8"/>
  <c r="M26" i="8"/>
  <c r="P26" i="8"/>
  <c r="Q26" i="8"/>
  <c r="R26" i="8"/>
  <c r="S26" i="8"/>
  <c r="T26" i="8"/>
  <c r="U26" i="8"/>
  <c r="A27" i="8"/>
  <c r="AH27" i="8" s="1" a="1"/>
  <c r="AH27" i="8" s="1"/>
  <c r="B27" i="8"/>
  <c r="C27" i="8"/>
  <c r="D27" i="8"/>
  <c r="E27" i="8"/>
  <c r="F27" i="8"/>
  <c r="G27" i="8"/>
  <c r="H27" i="8"/>
  <c r="I27" i="8"/>
  <c r="M27" i="8"/>
  <c r="P27" i="8"/>
  <c r="Q27" i="8"/>
  <c r="R27" i="8"/>
  <c r="S27" i="8"/>
  <c r="T27" i="8"/>
  <c r="U27" i="8"/>
  <c r="BA316" i="2"/>
  <c r="BB316" i="2"/>
  <c r="BA317" i="2"/>
  <c r="BB317" i="2"/>
  <c r="BA318" i="2"/>
  <c r="BB318" i="2"/>
  <c r="BA319" i="2"/>
  <c r="BB319" i="2"/>
  <c r="BA320" i="2"/>
  <c r="BB320" i="2"/>
  <c r="BA321" i="2"/>
  <c r="BB321" i="2"/>
  <c r="BA322" i="2"/>
  <c r="BB322" i="2"/>
  <c r="BA323" i="2"/>
  <c r="BB323" i="2"/>
  <c r="BA324" i="2"/>
  <c r="BB324" i="2"/>
  <c r="BA325" i="2"/>
  <c r="BB325" i="2"/>
  <c r="BA326" i="2"/>
  <c r="BB326" i="2"/>
  <c r="BA327" i="2"/>
  <c r="BB327" i="2"/>
  <c r="BA328" i="2"/>
  <c r="BB328" i="2"/>
  <c r="BA329" i="2"/>
  <c r="BB329" i="2"/>
  <c r="BA330" i="2"/>
  <c r="BB330" i="2"/>
  <c r="G277" i="2"/>
  <c r="H277" i="2"/>
  <c r="I277" i="2"/>
  <c r="G278" i="2"/>
  <c r="H278" i="2"/>
  <c r="I278" i="2"/>
  <c r="G279" i="2"/>
  <c r="H279" i="2"/>
  <c r="I279" i="2"/>
  <c r="G280" i="2"/>
  <c r="H280" i="2"/>
  <c r="I280" i="2"/>
  <c r="G281" i="2"/>
  <c r="H281" i="2"/>
  <c r="I281" i="2"/>
  <c r="G282" i="2"/>
  <c r="H282" i="2"/>
  <c r="I282" i="2"/>
  <c r="G283" i="2"/>
  <c r="H283" i="2"/>
  <c r="I283" i="2"/>
  <c r="G284" i="2"/>
  <c r="H284" i="2"/>
  <c r="I284" i="2"/>
  <c r="G285" i="2"/>
  <c r="H285" i="2"/>
  <c r="I285" i="2"/>
  <c r="G286" i="2"/>
  <c r="H286" i="2"/>
  <c r="I286" i="2"/>
  <c r="G287" i="2"/>
  <c r="H287" i="2"/>
  <c r="I287" i="2"/>
  <c r="G288" i="2"/>
  <c r="H288" i="2"/>
  <c r="I288" i="2"/>
  <c r="G289" i="2"/>
  <c r="H289" i="2"/>
  <c r="I289" i="2"/>
  <c r="G290" i="2"/>
  <c r="H290" i="2"/>
  <c r="I290" i="2"/>
  <c r="G291" i="2"/>
  <c r="H291" i="2"/>
  <c r="I291" i="2"/>
  <c r="G292" i="2"/>
  <c r="H292" i="2"/>
  <c r="I292" i="2"/>
  <c r="G293" i="2"/>
  <c r="H293" i="2"/>
  <c r="I293" i="2"/>
  <c r="G294" i="2"/>
  <c r="H294" i="2"/>
  <c r="I294" i="2"/>
  <c r="G295" i="2"/>
  <c r="H295" i="2"/>
  <c r="I295" i="2"/>
  <c r="G296" i="2"/>
  <c r="H296" i="2"/>
  <c r="I296" i="2"/>
  <c r="G297" i="2"/>
  <c r="H297" i="2"/>
  <c r="I297" i="2"/>
  <c r="G298" i="2"/>
  <c r="H298" i="2"/>
  <c r="I298" i="2"/>
  <c r="G299" i="2"/>
  <c r="H299" i="2"/>
  <c r="I299" i="2"/>
  <c r="G300" i="2"/>
  <c r="H300" i="2"/>
  <c r="I300" i="2"/>
  <c r="G301" i="2"/>
  <c r="H301" i="2"/>
  <c r="I301" i="2"/>
  <c r="G302" i="2"/>
  <c r="H302" i="2"/>
  <c r="I302" i="2"/>
  <c r="G303" i="2"/>
  <c r="H303" i="2"/>
  <c r="I303" i="2"/>
  <c r="G304" i="2"/>
  <c r="H304" i="2"/>
  <c r="I304" i="2"/>
  <c r="G305" i="2"/>
  <c r="H305" i="2"/>
  <c r="I305" i="2"/>
  <c r="G306" i="2"/>
  <c r="H306" i="2"/>
  <c r="I306" i="2"/>
  <c r="G307" i="2"/>
  <c r="H307" i="2"/>
  <c r="I307" i="2"/>
  <c r="G308" i="2"/>
  <c r="H308" i="2"/>
  <c r="I308" i="2"/>
  <c r="G309" i="2"/>
  <c r="H309" i="2"/>
  <c r="I309" i="2"/>
  <c r="G310" i="2"/>
  <c r="H310" i="2"/>
  <c r="I310" i="2"/>
  <c r="G311" i="2"/>
  <c r="H311" i="2"/>
  <c r="I311" i="2"/>
  <c r="G312" i="2"/>
  <c r="H312" i="2"/>
  <c r="I312" i="2"/>
  <c r="G313" i="2"/>
  <c r="H313" i="2"/>
  <c r="I313" i="2"/>
  <c r="G314" i="2"/>
  <c r="H314" i="2"/>
  <c r="I314" i="2"/>
  <c r="G315" i="2"/>
  <c r="H315" i="2"/>
  <c r="I315" i="2"/>
  <c r="G316" i="2"/>
  <c r="H316" i="2"/>
  <c r="I316" i="2"/>
  <c r="G317" i="2"/>
  <c r="H317" i="2"/>
  <c r="I317" i="2"/>
  <c r="G318" i="2"/>
  <c r="H318" i="2"/>
  <c r="I318" i="2"/>
  <c r="G319" i="2"/>
  <c r="H319" i="2"/>
  <c r="I319" i="2"/>
  <c r="G320" i="2"/>
  <c r="H320" i="2"/>
  <c r="I320" i="2"/>
  <c r="G321" i="2"/>
  <c r="H321" i="2"/>
  <c r="I321" i="2"/>
  <c r="G322" i="2"/>
  <c r="H322" i="2"/>
  <c r="I322" i="2"/>
  <c r="G323" i="2"/>
  <c r="H323" i="2"/>
  <c r="I323" i="2"/>
  <c r="G324" i="2"/>
  <c r="H324" i="2"/>
  <c r="AE324" i="2" s="1"/>
  <c r="I324" i="2"/>
  <c r="G325" i="2"/>
  <c r="H325" i="2"/>
  <c r="AE325" i="2" s="1"/>
  <c r="I325" i="2"/>
  <c r="G326" i="2"/>
  <c r="H326" i="2"/>
  <c r="I326" i="2"/>
  <c r="G327" i="2"/>
  <c r="H327" i="2"/>
  <c r="I327" i="2"/>
  <c r="G328" i="2"/>
  <c r="H328" i="2"/>
  <c r="I328" i="2"/>
  <c r="G329" i="2"/>
  <c r="H329" i="2"/>
  <c r="I329" i="2"/>
  <c r="G330" i="2"/>
  <c r="H330" i="2"/>
  <c r="I330" i="2"/>
  <c r="BX301" i="2"/>
  <c r="E277" i="2"/>
  <c r="F277" i="2"/>
  <c r="E278" i="2"/>
  <c r="F278" i="2"/>
  <c r="E279" i="2"/>
  <c r="F279" i="2"/>
  <c r="E280" i="2"/>
  <c r="F280" i="2"/>
  <c r="E281" i="2"/>
  <c r="F281" i="2"/>
  <c r="E282" i="2"/>
  <c r="F282" i="2"/>
  <c r="E283" i="2"/>
  <c r="F283" i="2"/>
  <c r="E284" i="2"/>
  <c r="F284" i="2"/>
  <c r="E285" i="2"/>
  <c r="F285" i="2"/>
  <c r="E286" i="2"/>
  <c r="F286" i="2"/>
  <c r="E287" i="2"/>
  <c r="F287" i="2"/>
  <c r="E288" i="2"/>
  <c r="F288" i="2"/>
  <c r="E289" i="2"/>
  <c r="F289" i="2"/>
  <c r="E290" i="2"/>
  <c r="F290" i="2"/>
  <c r="E291" i="2"/>
  <c r="F291" i="2"/>
  <c r="E292" i="2"/>
  <c r="F292" i="2"/>
  <c r="E293" i="2"/>
  <c r="F293" i="2"/>
  <c r="E294" i="2"/>
  <c r="F294" i="2"/>
  <c r="E295" i="2"/>
  <c r="F295" i="2"/>
  <c r="E296" i="2"/>
  <c r="F296" i="2"/>
  <c r="E297" i="2"/>
  <c r="F297" i="2"/>
  <c r="E298" i="2"/>
  <c r="F298" i="2"/>
  <c r="E299" i="2"/>
  <c r="F299" i="2"/>
  <c r="E300" i="2"/>
  <c r="F300" i="2"/>
  <c r="E301" i="2"/>
  <c r="F301" i="2"/>
  <c r="E302" i="2"/>
  <c r="F302" i="2"/>
  <c r="E303" i="2"/>
  <c r="F303" i="2"/>
  <c r="E304" i="2"/>
  <c r="F304" i="2"/>
  <c r="E305" i="2"/>
  <c r="F305" i="2"/>
  <c r="E306" i="2"/>
  <c r="F306" i="2"/>
  <c r="E307" i="2"/>
  <c r="F307" i="2"/>
  <c r="E308" i="2"/>
  <c r="F308" i="2"/>
  <c r="E309" i="2"/>
  <c r="F309" i="2"/>
  <c r="E310" i="2"/>
  <c r="F310" i="2"/>
  <c r="E311" i="2"/>
  <c r="F311" i="2"/>
  <c r="E312" i="2"/>
  <c r="F312" i="2"/>
  <c r="E313" i="2"/>
  <c r="F313" i="2"/>
  <c r="E314" i="2"/>
  <c r="F314" i="2"/>
  <c r="BI318" i="2"/>
  <c r="BJ318" i="2"/>
  <c r="BK318" i="2"/>
  <c r="AI318" i="2" s="1"/>
  <c r="BQ318" i="2"/>
  <c r="R82" i="28" l="1"/>
  <c r="AO325" i="2"/>
  <c r="R81" i="28"/>
  <c r="AO324" i="2"/>
  <c r="AH4" i="15" a="1"/>
  <c r="AH4" i="15" s="1"/>
  <c r="AG4" i="15" a="1"/>
  <c r="AG4" i="15" s="1"/>
  <c r="AJ4" i="15" a="1"/>
  <c r="AJ4" i="15" s="1"/>
  <c r="AF4" i="15" a="1"/>
  <c r="AF4" i="15" s="1"/>
  <c r="AD4" i="15" a="1"/>
  <c r="AD4" i="15" s="1"/>
  <c r="AC4" i="15" a="1"/>
  <c r="AC4" i="15" s="1"/>
  <c r="AL10" i="15" a="1"/>
  <c r="AL10" i="15" s="1"/>
  <c r="AQ16" i="15"/>
  <c r="AO16" i="15" a="1"/>
  <c r="AO16" i="15" s="1"/>
  <c r="AE4" i="15" a="1"/>
  <c r="AE4" i="15" s="1"/>
  <c r="AC16" i="15" a="1"/>
  <c r="AC16" i="15" s="1"/>
  <c r="AM10" i="15" a="1"/>
  <c r="AM10" i="15" s="1"/>
  <c r="AK8" i="15" a="1"/>
  <c r="AK8" i="15" s="1"/>
  <c r="AH8" i="15" a="1"/>
  <c r="AH8" i="15" s="1"/>
  <c r="Y322" i="33"/>
  <c r="Y313" i="33"/>
  <c r="Y325" i="33"/>
  <c r="AO13" i="15" a="1"/>
  <c r="AO13" i="15" s="1"/>
  <c r="AN19" i="15" a="1"/>
  <c r="AN19" i="15" s="1"/>
  <c r="AQ10" i="15"/>
  <c r="AC14" i="15" a="1"/>
  <c r="AC14" i="15" s="1"/>
  <c r="AO10" i="15" a="1"/>
  <c r="AO10" i="15" s="1"/>
  <c r="AN10" i="15" a="1"/>
  <c r="AN10" i="15" s="1"/>
  <c r="AM16" i="15" a="1"/>
  <c r="AM16" i="15" s="1"/>
  <c r="AF16" i="15" a="1"/>
  <c r="AF16" i="15" s="1"/>
  <c r="AE16" i="15" a="1"/>
  <c r="AE16" i="15" s="1"/>
  <c r="AK4" i="15" a="1"/>
  <c r="AK4" i="15" s="1"/>
  <c r="AN6" i="15" a="1"/>
  <c r="AN6" i="15" s="1"/>
  <c r="AJ6" i="15" a="1"/>
  <c r="AJ6" i="15" s="1"/>
  <c r="AH6" i="15" a="1"/>
  <c r="AH6" i="15" s="1"/>
  <c r="AF6" i="15" a="1"/>
  <c r="AF6" i="15" s="1"/>
  <c r="AK6" i="15" a="1"/>
  <c r="AK6" i="15" s="1"/>
  <c r="AO23" i="15" a="1"/>
  <c r="AO23" i="15" s="1"/>
  <c r="AG19" i="15" a="1"/>
  <c r="AG19" i="15" s="1"/>
  <c r="AF23" i="15" a="1"/>
  <c r="AF23" i="15" s="1"/>
  <c r="AM19" i="15" a="1"/>
  <c r="AM19" i="15" s="1"/>
  <c r="AN13" i="15" a="1"/>
  <c r="AN13" i="15" s="1"/>
  <c r="AL19" i="15" a="1"/>
  <c r="AL19" i="15" s="1"/>
  <c r="AM13" i="15" a="1"/>
  <c r="AM13" i="15" s="1"/>
  <c r="AL13" i="15" a="1"/>
  <c r="AL13" i="15" s="1"/>
  <c r="AH13" i="15" a="1"/>
  <c r="AH13" i="15" s="1"/>
  <c r="AJ23" i="15" a="1"/>
  <c r="AJ23" i="15" s="1"/>
  <c r="AF24" i="15" a="1"/>
  <c r="AF24" i="15" s="1"/>
  <c r="AG13" i="15" a="1"/>
  <c r="AG13" i="15" s="1"/>
  <c r="AF13" i="15" a="1"/>
  <c r="AF13" i="15" s="1"/>
  <c r="AE13" i="15" a="1"/>
  <c r="AE13" i="15" s="1"/>
  <c r="AL6" i="15" a="1"/>
  <c r="AL6" i="15" s="1"/>
  <c r="AD13" i="15" a="1"/>
  <c r="AD13" i="15" s="1"/>
  <c r="AL16" i="15" a="1"/>
  <c r="AL16" i="15" s="1"/>
  <c r="AL15" i="15" a="1"/>
  <c r="AL15" i="15" s="1"/>
  <c r="AK16" i="15" a="1"/>
  <c r="AK16" i="15" s="1"/>
  <c r="AA16" i="15" s="1"/>
  <c r="AO4" i="15" a="1"/>
  <c r="AO4" i="15" s="1"/>
  <c r="AJ16" i="15" a="1"/>
  <c r="AJ16" i="15" s="1"/>
  <c r="AK15" i="15" a="1"/>
  <c r="AK15" i="15" s="1"/>
  <c r="AN4" i="15" a="1"/>
  <c r="AN4" i="15" s="1"/>
  <c r="AH16" i="15" a="1"/>
  <c r="AH16" i="15" s="1"/>
  <c r="AM4" i="15" a="1"/>
  <c r="AM4" i="15" s="1"/>
  <c r="AQ21" i="15"/>
  <c r="AG16" i="15" a="1"/>
  <c r="AG16" i="15" s="1"/>
  <c r="AL4" i="15" a="1"/>
  <c r="AL4" i="15" s="1"/>
  <c r="AN15" i="15" a="1"/>
  <c r="AN15" i="15" s="1"/>
  <c r="AD14" i="15" a="1"/>
  <c r="AD14" i="15" s="1"/>
  <c r="AH5" i="15" a="1"/>
  <c r="AH5" i="15" s="1"/>
  <c r="AL20" i="15" a="1"/>
  <c r="AL20" i="15" s="1"/>
  <c r="AK21" i="15" a="1"/>
  <c r="AK21" i="15" s="1"/>
  <c r="AF20" i="15" a="1"/>
  <c r="AF20" i="15" s="1"/>
  <c r="AG10" i="15" a="1"/>
  <c r="AG10" i="15" s="1"/>
  <c r="AG21" i="15" a="1"/>
  <c r="AG21" i="15" s="1"/>
  <c r="AE10" i="15" a="1"/>
  <c r="AE10" i="15" s="1"/>
  <c r="AQ22" i="15"/>
  <c r="AD21" i="15" a="1"/>
  <c r="AD21" i="15" s="1"/>
  <c r="AJ11" i="15" a="1"/>
  <c r="AJ11" i="15" s="1"/>
  <c r="AN21" i="15" a="1"/>
  <c r="AN21" i="15" s="1"/>
  <c r="AJ10" i="15" a="1"/>
  <c r="AJ10" i="15" s="1"/>
  <c r="AK20" i="15" a="1"/>
  <c r="AK20" i="15" s="1"/>
  <c r="AH10" i="15" a="1"/>
  <c r="AH10" i="15" s="1"/>
  <c r="AM21" i="15" a="1"/>
  <c r="AM21" i="15" s="1"/>
  <c r="AF21" i="15" a="1"/>
  <c r="AF21" i="15" s="1"/>
  <c r="AC10" i="15" a="1"/>
  <c r="AC10" i="15" s="1"/>
  <c r="AQ14" i="15"/>
  <c r="AC21" i="15" a="1"/>
  <c r="AC21" i="15" s="1"/>
  <c r="AO14" i="15" a="1"/>
  <c r="AO14" i="15" s="1"/>
  <c r="AO21" i="15" a="1"/>
  <c r="AO21" i="15" s="1"/>
  <c r="AF14" i="15" a="1"/>
  <c r="AF14" i="15" s="1"/>
  <c r="AQ23" i="15"/>
  <c r="AE14" i="15" a="1"/>
  <c r="AE14" i="15" s="1"/>
  <c r="AK13" i="15" a="1"/>
  <c r="AK13" i="15" s="1"/>
  <c r="AQ6" i="15"/>
  <c r="AJ5" i="15" a="1"/>
  <c r="AJ5" i="15" s="1"/>
  <c r="AG22" i="15" a="1"/>
  <c r="AG22" i="15" s="1"/>
  <c r="AO19" i="15" a="1"/>
  <c r="AO19" i="15" s="1"/>
  <c r="AF19" i="15" a="1"/>
  <c r="AF19" i="15" s="1"/>
  <c r="AQ18" i="15"/>
  <c r="AE11" i="15" a="1"/>
  <c r="AE11" i="15" s="1"/>
  <c r="AC11" i="15" a="1"/>
  <c r="AC11" i="15" s="1"/>
  <c r="AE19" i="15" a="1"/>
  <c r="AE19" i="15" s="1"/>
  <c r="AO18" i="15" a="1"/>
  <c r="AO18" i="15" s="1"/>
  <c r="AK10" i="15" a="1"/>
  <c r="AK10" i="15" s="1"/>
  <c r="AA10" i="15" s="1"/>
  <c r="AD19" i="15" a="1"/>
  <c r="AD19" i="15" s="1"/>
  <c r="AN18" i="15" a="1"/>
  <c r="AN18" i="15" s="1"/>
  <c r="AK17" i="15" a="1"/>
  <c r="AK17" i="15" s="1"/>
  <c r="AG11" i="15" a="1"/>
  <c r="AG11" i="15" s="1"/>
  <c r="AF11" i="15" a="1"/>
  <c r="AF11" i="15" s="1"/>
  <c r="AC19" i="15" a="1"/>
  <c r="AC19" i="15" s="1"/>
  <c r="AL18" i="15" a="1"/>
  <c r="AL18" i="15" s="1"/>
  <c r="AH17" i="15" a="1"/>
  <c r="AH17" i="15" s="1"/>
  <c r="AO22" i="15" a="1"/>
  <c r="AO22" i="15" s="1"/>
  <c r="AJ18" i="15" a="1"/>
  <c r="AJ18" i="15" s="1"/>
  <c r="AG17" i="15" a="1"/>
  <c r="AG17" i="15" s="1"/>
  <c r="AQ8" i="15"/>
  <c r="AN23" i="15" a="1"/>
  <c r="AN23" i="15" s="1"/>
  <c r="AQ9" i="15"/>
  <c r="AO8" i="15" a="1"/>
  <c r="AO8" i="15" s="1"/>
  <c r="AM23" i="15" a="1"/>
  <c r="AM23" i="15" s="1"/>
  <c r="AK22" i="15" a="1"/>
  <c r="AK22" i="15" s="1"/>
  <c r="AF17" i="15" a="1"/>
  <c r="AF17" i="15" s="1"/>
  <c r="AF10" i="15" a="1"/>
  <c r="AF10" i="15" s="1"/>
  <c r="AF9" i="15" a="1"/>
  <c r="AF9" i="15" s="1"/>
  <c r="AH18" i="15" a="1"/>
  <c r="AH18" i="15" s="1"/>
  <c r="AK23" i="15" a="1"/>
  <c r="AK23" i="15" s="1"/>
  <c r="AJ22" i="15" a="1"/>
  <c r="AJ22" i="15" s="1"/>
  <c r="AG18" i="15" a="1"/>
  <c r="AG18" i="15" s="1"/>
  <c r="AE17" i="15" a="1"/>
  <c r="AE17" i="15" s="1"/>
  <c r="AN8" i="15" a="1"/>
  <c r="AN8" i="15" s="1"/>
  <c r="AM5" i="15" a="1"/>
  <c r="AM5" i="15" s="1"/>
  <c r="AD9" i="15" a="1"/>
  <c r="AD9" i="15" s="1"/>
  <c r="AF18" i="15" a="1"/>
  <c r="AF18" i="15" s="1"/>
  <c r="AC17" i="15" a="1"/>
  <c r="AC17" i="15" s="1"/>
  <c r="AH22" i="15" a="1"/>
  <c r="AH22" i="15" s="1"/>
  <c r="AM8" i="15" a="1"/>
  <c r="AM8" i="15" s="1"/>
  <c r="AK5" i="15" a="1"/>
  <c r="AK5" i="15" s="1"/>
  <c r="AC9" i="15" a="1"/>
  <c r="AC9" i="15" s="1"/>
  <c r="AG7" i="15" a="1"/>
  <c r="AG7" i="15" s="1"/>
  <c r="AQ11" i="15"/>
  <c r="AF7" i="15" a="1"/>
  <c r="AF7" i="15" s="1"/>
  <c r="AG5" i="15" a="1"/>
  <c r="AG5" i="15" s="1"/>
  <c r="AH11" i="15" a="1"/>
  <c r="AH11" i="15" s="1"/>
  <c r="AE22" i="15" a="1"/>
  <c r="AE22" i="15" s="1"/>
  <c r="AN11" i="15" a="1"/>
  <c r="AN11" i="15" s="1"/>
  <c r="AG8" i="15" a="1"/>
  <c r="AG8" i="15" s="1"/>
  <c r="AF22" i="15" a="1"/>
  <c r="AF22" i="15" s="1"/>
  <c r="AL21" i="15" a="1"/>
  <c r="AL21" i="15" s="1"/>
  <c r="AM11" i="15" a="1"/>
  <c r="AM11" i="15" s="1"/>
  <c r="AF8" i="15" a="1"/>
  <c r="AF8" i="15" s="1"/>
  <c r="AF5" i="15" a="1"/>
  <c r="AF5" i="15" s="1"/>
  <c r="AC22" i="15" a="1"/>
  <c r="AC22" i="15" s="1"/>
  <c r="AJ13" i="15" a="1"/>
  <c r="AJ13" i="15" s="1"/>
  <c r="AH12" i="15" a="1"/>
  <c r="AH12" i="15" s="1"/>
  <c r="AE5" i="15" a="1"/>
  <c r="AE5" i="15" s="1"/>
  <c r="AG12" i="15" a="1"/>
  <c r="AG12" i="15" s="1"/>
  <c r="AL11" i="15" a="1"/>
  <c r="AL11" i="15" s="1"/>
  <c r="AO11" i="15" a="1"/>
  <c r="AO11" i="15" s="1"/>
  <c r="AD5" i="15" a="1"/>
  <c r="AD5" i="15" s="1"/>
  <c r="AJ21" i="15" a="1"/>
  <c r="AJ21" i="15" s="1"/>
  <c r="AM20" i="15" a="1"/>
  <c r="AM20" i="15" s="1"/>
  <c r="AQ19" i="15"/>
  <c r="AH21" i="15" a="1"/>
  <c r="AH21" i="15" s="1"/>
  <c r="AF12" i="15" a="1"/>
  <c r="AF12" i="15" s="1"/>
  <c r="AK11" i="15" a="1"/>
  <c r="AK11" i="15" s="1"/>
  <c r="AA11" i="15" s="1"/>
  <c r="AJ7" i="15" a="1"/>
  <c r="AJ7" i="15" s="1"/>
  <c r="AG24" i="15" a="1"/>
  <c r="AG24" i="15" s="1"/>
  <c r="AN20" i="15" a="1"/>
  <c r="AN20" i="15" s="1"/>
  <c r="AJ12" i="15" a="1"/>
  <c r="AJ12" i="15" s="1"/>
  <c r="AJ17" i="15" a="1"/>
  <c r="AJ17" i="15" s="1"/>
  <c r="AM15" i="15" a="1"/>
  <c r="AM15" i="15" s="1"/>
  <c r="AQ13" i="15"/>
  <c r="AE9" i="15" a="1"/>
  <c r="AE9" i="15" s="1"/>
  <c r="AH7" i="15" a="1"/>
  <c r="AH7" i="15" s="1"/>
  <c r="AL5" i="15" a="1"/>
  <c r="AL5" i="15" s="1"/>
  <c r="AJ15" i="15" a="1"/>
  <c r="AJ15" i="15" s="1"/>
  <c r="AE7" i="15" a="1"/>
  <c r="AE7" i="15" s="1"/>
  <c r="AC24" i="15" a="1"/>
  <c r="AC24" i="15" s="1"/>
  <c r="AJ20" i="15" a="1"/>
  <c r="AJ20" i="15" s="1"/>
  <c r="AM18" i="15" a="1"/>
  <c r="AM18" i="15" s="1"/>
  <c r="AE12" i="15" a="1"/>
  <c r="AE12" i="15" s="1"/>
  <c r="AL8" i="15" a="1"/>
  <c r="AL8" i="15" s="1"/>
  <c r="AO6" i="15" a="1"/>
  <c r="AO6" i="15" s="1"/>
  <c r="AH15" i="15" a="1"/>
  <c r="AH15" i="15" s="1"/>
  <c r="AD7" i="15" a="1"/>
  <c r="AD7" i="15" s="1"/>
  <c r="AA7" i="15" s="1"/>
  <c r="AH20" i="15" a="1"/>
  <c r="AH20" i="15" s="1"/>
  <c r="AD12" i="15" a="1"/>
  <c r="AD12" i="15" s="1"/>
  <c r="AA12" i="15" s="1"/>
  <c r="AL23" i="15" a="1"/>
  <c r="AL23" i="15" s="1"/>
  <c r="AD17" i="15" a="1"/>
  <c r="AD17" i="15" s="1"/>
  <c r="AG15" i="15" a="1"/>
  <c r="AG15" i="15" s="1"/>
  <c r="AC7" i="15" a="1"/>
  <c r="AC7" i="15" s="1"/>
  <c r="AD22" i="15" a="1"/>
  <c r="AD22" i="15" s="1"/>
  <c r="AG20" i="15" a="1"/>
  <c r="AG20" i="15" s="1"/>
  <c r="AK18" i="15" a="1"/>
  <c r="AK18" i="15" s="1"/>
  <c r="AN16" i="15" a="1"/>
  <c r="AN16" i="15" s="1"/>
  <c r="AC12" i="15" a="1"/>
  <c r="AC12" i="15" s="1"/>
  <c r="AJ8" i="15" a="1"/>
  <c r="AJ8" i="15" s="1"/>
  <c r="AM6" i="15" a="1"/>
  <c r="AM6" i="15" s="1"/>
  <c r="AH23" i="15" a="1"/>
  <c r="AH23" i="15" s="1"/>
  <c r="AD15" i="15" a="1"/>
  <c r="AD15" i="15" s="1"/>
  <c r="AN9" i="15" a="1"/>
  <c r="AN9" i="15" s="1"/>
  <c r="AC5" i="15" a="1"/>
  <c r="AC5" i="15" s="1"/>
  <c r="AF15" i="15" a="1"/>
  <c r="AF15" i="15" s="1"/>
  <c r="AE15" i="15" a="1"/>
  <c r="AE15" i="15" s="1"/>
  <c r="AN14" i="15" a="1"/>
  <c r="AN14" i="15" s="1"/>
  <c r="AG23" i="15" a="1"/>
  <c r="AG23" i="15" s="1"/>
  <c r="AC15" i="15" a="1"/>
  <c r="AC15" i="15" s="1"/>
  <c r="AM9" i="15" a="1"/>
  <c r="AM9" i="15" s="1"/>
  <c r="AQ7" i="15"/>
  <c r="AN24" i="15" a="1"/>
  <c r="AN24" i="15" s="1"/>
  <c r="AC20" i="15" a="1"/>
  <c r="AC20" i="15" s="1"/>
  <c r="AM14" i="15" a="1"/>
  <c r="AM14" i="15" s="1"/>
  <c r="AQ12" i="15"/>
  <c r="AE8" i="15" a="1"/>
  <c r="AE8" i="15" s="1"/>
  <c r="AE24" i="15" a="1"/>
  <c r="AE24" i="15" s="1"/>
  <c r="AL9" i="15" a="1"/>
  <c r="AL9" i="15" s="1"/>
  <c r="AO7" i="15" a="1"/>
  <c r="AO7" i="15" s="1"/>
  <c r="AQ17" i="15"/>
  <c r="AM24" i="15" a="1"/>
  <c r="AM24" i="15" s="1"/>
  <c r="AE18" i="15" a="1"/>
  <c r="AE18" i="15" s="1"/>
  <c r="AL14" i="15" a="1"/>
  <c r="AL14" i="15" s="1"/>
  <c r="AO12" i="15" a="1"/>
  <c r="AO12" i="15" s="1"/>
  <c r="AD8" i="15" a="1"/>
  <c r="AD8" i="15" s="1"/>
  <c r="AG6" i="15" a="1"/>
  <c r="AG6" i="15" s="1"/>
  <c r="AO17" i="15" a="1"/>
  <c r="AO17" i="15" s="1"/>
  <c r="AK9" i="15" a="1"/>
  <c r="AK9" i="15" s="1"/>
  <c r="AN7" i="15" a="1"/>
  <c r="AN7" i="15" s="1"/>
  <c r="AK14" i="15" a="1"/>
  <c r="AK14" i="15" s="1"/>
  <c r="AN12" i="15" a="1"/>
  <c r="AN12" i="15" s="1"/>
  <c r="AD24" i="15" a="1"/>
  <c r="AD24" i="15" s="1"/>
  <c r="AO9" i="15" a="1"/>
  <c r="AO9" i="15" s="1"/>
  <c r="AD18" i="15" a="1"/>
  <c r="AD18" i="15" s="1"/>
  <c r="AD23" i="15" a="1"/>
  <c r="AD23" i="15" s="1"/>
  <c r="AK19" i="15" a="1"/>
  <c r="AK19" i="15" s="1"/>
  <c r="AN17" i="15" a="1"/>
  <c r="AN17" i="15" s="1"/>
  <c r="AJ9" i="15" a="1"/>
  <c r="AJ9" i="15" s="1"/>
  <c r="AM7" i="15" a="1"/>
  <c r="AM7" i="15" s="1"/>
  <c r="AQ5" i="15"/>
  <c r="AQ24" i="15"/>
  <c r="AE20" i="15" a="1"/>
  <c r="AE20" i="15" s="1"/>
  <c r="AO24" i="15" a="1"/>
  <c r="AO24" i="15" s="1"/>
  <c r="AD20" i="15" a="1"/>
  <c r="AD20" i="15" s="1"/>
  <c r="AK24" i="15" a="1"/>
  <c r="AK24" i="15" s="1"/>
  <c r="AN22" i="15" a="1"/>
  <c r="AN22" i="15" s="1"/>
  <c r="AJ14" i="15" a="1"/>
  <c r="AJ14" i="15" s="1"/>
  <c r="AM12" i="15" a="1"/>
  <c r="AM12" i="15" s="1"/>
  <c r="AE6" i="15" a="1"/>
  <c r="AE6" i="15" s="1"/>
  <c r="AL24" i="15" a="1"/>
  <c r="AL24" i="15" s="1"/>
  <c r="AC23" i="15" a="1"/>
  <c r="AC23" i="15" s="1"/>
  <c r="AJ19" i="15" a="1"/>
  <c r="AJ19" i="15" s="1"/>
  <c r="AM17" i="15" a="1"/>
  <c r="AM17" i="15" s="1"/>
  <c r="AQ15" i="15"/>
  <c r="AH9" i="15" a="1"/>
  <c r="AH9" i="15" s="1"/>
  <c r="AL7" i="15" a="1"/>
  <c r="AL7" i="15" s="1"/>
  <c r="AO5" i="15" a="1"/>
  <c r="AO5" i="15" s="1"/>
  <c r="AJ24" i="15" a="1"/>
  <c r="AJ24" i="15" s="1"/>
  <c r="AM22" i="15" a="1"/>
  <c r="AM22" i="15" s="1"/>
  <c r="AQ20" i="15"/>
  <c r="AH14" i="15" a="1"/>
  <c r="AH14" i="15" s="1"/>
  <c r="AL12" i="15" a="1"/>
  <c r="AL12" i="15" s="1"/>
  <c r="AD6" i="15" a="1"/>
  <c r="AD6" i="15" s="1"/>
  <c r="Y317" i="33"/>
  <c r="Y326" i="33"/>
  <c r="Y314" i="33"/>
  <c r="AM52" i="8" a="1"/>
  <c r="AM52" i="8" s="1"/>
  <c r="AK52" i="8" a="1"/>
  <c r="AK52" i="8" s="1"/>
  <c r="Y327" i="33"/>
  <c r="Y328" i="33"/>
  <c r="Y318" i="33"/>
  <c r="Y331" i="33"/>
  <c r="Y324" i="33"/>
  <c r="Y330" i="33"/>
  <c r="Y315" i="33"/>
  <c r="Y316" i="33"/>
  <c r="Y323" i="33"/>
  <c r="Y329" i="33"/>
  <c r="Y321" i="33"/>
  <c r="Y320" i="33"/>
  <c r="Y319" i="33"/>
  <c r="Y332" i="33"/>
  <c r="Y312" i="33"/>
  <c r="Y311" i="33"/>
  <c r="AL52" i="8" a="1"/>
  <c r="AL52" i="8" s="1"/>
  <c r="AI29" i="8" a="1"/>
  <c r="AI29" i="8" s="1"/>
  <c r="AR54" i="8"/>
  <c r="AF54" i="8" a="1"/>
  <c r="AF54" i="8" s="1"/>
  <c r="AE54" i="8" a="1"/>
  <c r="AE54" i="8" s="1"/>
  <c r="AD54" i="8" a="1"/>
  <c r="AD54" i="8" s="1"/>
  <c r="AR55" i="8"/>
  <c r="AR56" i="8"/>
  <c r="AP56" i="8" a="1"/>
  <c r="AP56" i="8" s="1"/>
  <c r="AO56" i="8" a="1"/>
  <c r="AO56" i="8" s="1"/>
  <c r="AK54" i="8" a="1"/>
  <c r="AK54" i="8" s="1"/>
  <c r="AG54" i="8" a="1"/>
  <c r="AG54" i="8" s="1"/>
  <c r="AN52" i="8" a="1"/>
  <c r="AN52" i="8" s="1"/>
  <c r="AG52" i="8" a="1"/>
  <c r="AG52" i="8" s="1"/>
  <c r="AD52" i="8" a="1"/>
  <c r="AD52" i="8" s="1"/>
  <c r="AK56" i="8" a="1"/>
  <c r="AK56" i="8" s="1"/>
  <c r="AL55" i="8" a="1"/>
  <c r="AL55" i="8" s="1"/>
  <c r="AP54" i="8" a="1"/>
  <c r="AP54" i="8" s="1"/>
  <c r="AI52" i="8" a="1"/>
  <c r="AI52" i="8" s="1"/>
  <c r="AH52" i="8" a="1"/>
  <c r="AH52" i="8" s="1"/>
  <c r="AF52" i="8" a="1"/>
  <c r="AF52" i="8" s="1"/>
  <c r="AE52" i="8" a="1"/>
  <c r="AE52" i="8" s="1"/>
  <c r="AL56" i="8" a="1"/>
  <c r="AL56" i="8" s="1"/>
  <c r="AM55" i="8" a="1"/>
  <c r="AM55" i="8" s="1"/>
  <c r="AI56" i="8" a="1"/>
  <c r="AI56" i="8" s="1"/>
  <c r="AK55" i="8" a="1"/>
  <c r="AK55" i="8" s="1"/>
  <c r="AO54" i="8" a="1"/>
  <c r="AO54" i="8" s="1"/>
  <c r="AP50" i="8" a="1"/>
  <c r="AP50" i="8" s="1"/>
  <c r="AH56" i="8" a="1"/>
  <c r="AH56" i="8" s="1"/>
  <c r="AI55" i="8" a="1"/>
  <c r="AI55" i="8" s="1"/>
  <c r="AN54" i="8" a="1"/>
  <c r="AN54" i="8" s="1"/>
  <c r="AG56" i="8" a="1"/>
  <c r="AG56" i="8" s="1"/>
  <c r="AH55" i="8" a="1"/>
  <c r="AH55" i="8" s="1"/>
  <c r="AM54" i="8" a="1"/>
  <c r="AM54" i="8" s="1"/>
  <c r="AF56" i="8" a="1"/>
  <c r="AF56" i="8" s="1"/>
  <c r="AG55" i="8" a="1"/>
  <c r="AG55" i="8" s="1"/>
  <c r="AL54" i="8" a="1"/>
  <c r="AL54" i="8" s="1"/>
  <c r="AN56" i="8" a="1"/>
  <c r="AN56" i="8" s="1"/>
  <c r="AD56" i="8" a="1"/>
  <c r="AD56" i="8" s="1"/>
  <c r="AE55" i="8" a="1"/>
  <c r="AE55" i="8" s="1"/>
  <c r="AD55" i="8" a="1"/>
  <c r="AD55" i="8" s="1"/>
  <c r="AI54" i="8" a="1"/>
  <c r="AI54" i="8" s="1"/>
  <c r="AR52" i="8"/>
  <c r="AP52" i="8" a="1"/>
  <c r="AP52" i="8" s="1"/>
  <c r="Y301" i="33"/>
  <c r="Y270" i="33"/>
  <c r="Y269" i="33"/>
  <c r="Y277" i="33"/>
  <c r="Y282" i="33"/>
  <c r="Y259" i="33"/>
  <c r="Y260" i="33"/>
  <c r="Y267" i="33"/>
  <c r="Y276" i="33"/>
  <c r="Y264" i="33"/>
  <c r="Y296" i="33"/>
  <c r="Y261" i="33"/>
  <c r="Y294" i="33"/>
  <c r="Y284" i="33"/>
  <c r="Y303" i="33"/>
  <c r="Y293" i="33"/>
  <c r="Y283" i="33"/>
  <c r="Y292" i="33"/>
  <c r="Y272" i="33"/>
  <c r="Y300" i="33"/>
  <c r="Y305" i="33"/>
  <c r="Y266" i="33"/>
  <c r="Y289" i="33"/>
  <c r="Y275" i="33"/>
  <c r="Y298" i="33"/>
  <c r="Y285" i="33"/>
  <c r="Y291" i="33"/>
  <c r="Y255" i="33"/>
  <c r="Y274" i="33"/>
  <c r="Y268" i="33"/>
  <c r="Y281" i="33"/>
  <c r="Y302" i="33"/>
  <c r="Y256" i="33"/>
  <c r="Y299" i="33"/>
  <c r="Y290" i="33"/>
  <c r="Y271" i="33"/>
  <c r="Y254" i="33"/>
  <c r="Y280" i="33"/>
  <c r="Y263" i="33"/>
  <c r="Y288" i="33"/>
  <c r="Y306" i="33"/>
  <c r="Y297" i="33"/>
  <c r="Y262" i="33"/>
  <c r="Y279" i="33"/>
  <c r="Y253" i="33"/>
  <c r="Y287" i="33"/>
  <c r="Y278" i="33"/>
  <c r="Y286" i="33"/>
  <c r="Y304" i="33"/>
  <c r="Y295" i="33"/>
  <c r="Y258" i="33"/>
  <c r="Y257" i="33"/>
  <c r="Y273" i="33"/>
  <c r="Y265" i="33"/>
  <c r="AM56" i="8" a="1"/>
  <c r="AM56" i="8" s="1"/>
  <c r="AF55" i="8" a="1"/>
  <c r="AF55" i="8" s="1"/>
  <c r="AP55" i="8" a="1"/>
  <c r="AP55" i="8" s="1"/>
  <c r="AO55" i="8" a="1"/>
  <c r="AO55" i="8" s="1"/>
  <c r="AR50" i="8"/>
  <c r="AG50" i="8" a="1"/>
  <c r="AG50" i="8" s="1"/>
  <c r="AF50" i="8" a="1"/>
  <c r="AF50" i="8" s="1"/>
  <c r="AH50" i="8" a="1"/>
  <c r="AH50" i="8" s="1"/>
  <c r="AD50" i="8" a="1"/>
  <c r="AD50" i="8" s="1"/>
  <c r="AR53" i="8"/>
  <c r="AP53" i="8" a="1"/>
  <c r="AP53" i="8" s="1"/>
  <c r="AE50" i="8" a="1"/>
  <c r="AE50" i="8" s="1"/>
  <c r="AN28" i="8" a="1"/>
  <c r="AN28" i="8" s="1"/>
  <c r="AO53" i="8" a="1"/>
  <c r="AO53" i="8" s="1"/>
  <c r="AK28" i="8" a="1"/>
  <c r="AK28" i="8" s="1"/>
  <c r="AM53" i="8" a="1"/>
  <c r="AM53" i="8" s="1"/>
  <c r="AI28" i="8" a="1"/>
  <c r="AI28" i="8" s="1"/>
  <c r="AR27" i="8"/>
  <c r="AF28" i="8" a="1"/>
  <c r="AF28" i="8" s="1"/>
  <c r="AL53" i="8" a="1"/>
  <c r="AL53" i="8" s="1"/>
  <c r="AP27" i="8" a="1"/>
  <c r="AP27" i="8" s="1"/>
  <c r="AK27" i="8" a="1"/>
  <c r="AK27" i="8" s="1"/>
  <c r="AK53" i="8" a="1"/>
  <c r="AK53" i="8" s="1"/>
  <c r="AI53" i="8" a="1"/>
  <c r="AI53" i="8" s="1"/>
  <c r="AH53" i="8" a="1"/>
  <c r="AH53" i="8" s="1"/>
  <c r="AG53" i="8" a="1"/>
  <c r="AG53" i="8" s="1"/>
  <c r="AE53" i="8" a="1"/>
  <c r="AE53" i="8" s="1"/>
  <c r="AD53" i="8" a="1"/>
  <c r="AD53" i="8" s="1"/>
  <c r="AK50" i="8" a="1"/>
  <c r="AK50" i="8" s="1"/>
  <c r="AN50" i="8" a="1"/>
  <c r="AN50" i="8" s="1"/>
  <c r="AI50" i="8" a="1"/>
  <c r="AI50" i="8" s="1"/>
  <c r="AF53" i="8" a="1"/>
  <c r="AF53" i="8" s="1"/>
  <c r="AM28" i="8" a="1"/>
  <c r="AM28" i="8" s="1"/>
  <c r="AG19" i="8" a="1"/>
  <c r="AG19" i="8" s="1"/>
  <c r="AF19" i="8" a="1"/>
  <c r="AF19" i="8" s="1"/>
  <c r="AK19" i="8" a="1"/>
  <c r="AK19" i="8" s="1"/>
  <c r="AE28" i="8" a="1"/>
  <c r="AE28" i="8" s="1"/>
  <c r="AD28" i="8" a="1"/>
  <c r="AD28" i="8" s="1"/>
  <c r="AD24" i="8" a="1"/>
  <c r="AD24" i="8" s="1"/>
  <c r="AP30" i="8" a="1"/>
  <c r="AP30" i="8" s="1"/>
  <c r="AH35" i="8" a="1"/>
  <c r="AH35" i="8" s="1"/>
  <c r="AM30" i="8" a="1"/>
  <c r="AM30" i="8" s="1"/>
  <c r="AI10" i="8" a="1"/>
  <c r="AI10" i="8" s="1"/>
  <c r="AG35" i="8" a="1"/>
  <c r="AG35" i="8" s="1"/>
  <c r="AR30" i="8"/>
  <c r="AN30" i="8" a="1"/>
  <c r="AN30" i="8" s="1"/>
  <c r="AH10" i="8" a="1"/>
  <c r="AH10" i="8" s="1"/>
  <c r="AD35" i="8" a="1"/>
  <c r="AD35" i="8" s="1"/>
  <c r="AH20" i="8" a="1"/>
  <c r="AH20" i="8" s="1"/>
  <c r="AG20" i="8" a="1"/>
  <c r="AG20" i="8" s="1"/>
  <c r="AF20" i="8" a="1"/>
  <c r="AF20" i="8" s="1"/>
  <c r="AM32" i="8" a="1"/>
  <c r="AM32" i="8" s="1"/>
  <c r="AE20" i="8" a="1"/>
  <c r="AE20" i="8" s="1"/>
  <c r="AL21" i="8" a="1"/>
  <c r="AL21" i="8" s="1"/>
  <c r="AM45" i="8" a="1"/>
  <c r="AM45" i="8" s="1"/>
  <c r="AG21" i="8" a="1"/>
  <c r="AG21" i="8" s="1"/>
  <c r="AF21" i="8" a="1"/>
  <c r="AF21" i="8" s="1"/>
  <c r="AO50" i="8" a="1"/>
  <c r="AO50" i="8" s="1"/>
  <c r="AR28" i="8"/>
  <c r="AM50" i="8" a="1"/>
  <c r="AM50" i="8" s="1"/>
  <c r="AI21" i="8" a="1"/>
  <c r="AI21" i="8" s="1"/>
  <c r="AD45" i="8" a="1"/>
  <c r="AD45" i="8" s="1"/>
  <c r="AK8" i="8" a="1"/>
  <c r="AK8" i="8" s="1"/>
  <c r="AP28" i="8" a="1"/>
  <c r="AP28" i="8" s="1"/>
  <c r="AO28" i="8" a="1"/>
  <c r="AO28" i="8" s="1"/>
  <c r="AL36" i="8" a="1"/>
  <c r="AL36" i="8" s="1"/>
  <c r="AM4" i="8" a="1"/>
  <c r="AM4" i="8" s="1"/>
  <c r="AP41" i="8" a="1"/>
  <c r="AP41" i="8" s="1"/>
  <c r="AI36" i="8" a="1"/>
  <c r="AI36" i="8" s="1"/>
  <c r="AO36" i="8" a="1"/>
  <c r="AO36" i="8" s="1"/>
  <c r="AR36" i="8"/>
  <c r="AP36" i="8" a="1"/>
  <c r="AP36" i="8" s="1"/>
  <c r="AP4" i="8" a="1"/>
  <c r="AP4" i="8" s="1"/>
  <c r="AN4" i="8" a="1"/>
  <c r="AN4" i="8" s="1"/>
  <c r="AR41" i="8"/>
  <c r="AK36" i="8" a="1"/>
  <c r="AK36" i="8" s="1"/>
  <c r="AP19" i="8" a="1"/>
  <c r="AP19" i="8" s="1"/>
  <c r="AM14" i="8" a="1"/>
  <c r="AM14" i="8" s="1"/>
  <c r="AL4" i="8" a="1"/>
  <c r="AL4" i="8" s="1"/>
  <c r="AG36" i="8" a="1"/>
  <c r="AG36" i="8" s="1"/>
  <c r="AO19" i="8" a="1"/>
  <c r="AO19" i="8" s="1"/>
  <c r="AG14" i="8" a="1"/>
  <c r="AG14" i="8" s="1"/>
  <c r="AK4" i="8" a="1"/>
  <c r="AK4" i="8" s="1"/>
  <c r="AE36" i="8" a="1"/>
  <c r="AE36" i="8" s="1"/>
  <c r="AE26" i="8" a="1"/>
  <c r="AE26" i="8" s="1"/>
  <c r="AK20" i="8" a="1"/>
  <c r="AK20" i="8" s="1"/>
  <c r="AN19" i="8" a="1"/>
  <c r="AN19" i="8" s="1"/>
  <c r="AI20" i="8" a="1"/>
  <c r="AI20" i="8" s="1"/>
  <c r="AM19" i="8" a="1"/>
  <c r="AM19" i="8" s="1"/>
  <c r="AD38" i="8" a="1"/>
  <c r="AD38" i="8" s="1"/>
  <c r="AO22" i="8" a="1"/>
  <c r="AO22" i="8" s="1"/>
  <c r="AN22" i="8" a="1"/>
  <c r="AN22" i="8" s="1"/>
  <c r="AM22" i="8" a="1"/>
  <c r="AM22" i="8" s="1"/>
  <c r="AP22" i="8" a="1"/>
  <c r="AP22" i="8" s="1"/>
  <c r="AL11" i="8" a="1"/>
  <c r="AL11" i="8" s="1"/>
  <c r="AL22" i="8" a="1"/>
  <c r="AL22" i="8" s="1"/>
  <c r="AL28" i="8" a="1"/>
  <c r="AL28" i="8" s="1"/>
  <c r="AR12" i="8"/>
  <c r="AR24" i="8"/>
  <c r="AN12" i="8" a="1"/>
  <c r="AN12" i="8" s="1"/>
  <c r="AM12" i="8" a="1"/>
  <c r="AM12" i="8" s="1"/>
  <c r="AH28" i="8" a="1"/>
  <c r="AH28" i="8" s="1"/>
  <c r="AK51" i="8" a="1"/>
  <c r="AK51" i="8" s="1"/>
  <c r="AP24" i="8" a="1"/>
  <c r="AP24" i="8" s="1"/>
  <c r="AO24" i="8" a="1"/>
  <c r="AO24" i="8" s="1"/>
  <c r="AI44" i="8" a="1"/>
  <c r="AI44" i="8" s="1"/>
  <c r="AG51" i="8" a="1"/>
  <c r="AG51" i="8" s="1"/>
  <c r="AM51" i="8" a="1"/>
  <c r="AM51" i="8" s="1"/>
  <c r="AL51" i="8" a="1"/>
  <c r="AL51" i="8" s="1"/>
  <c r="AI51" i="8" a="1"/>
  <c r="AI51" i="8" s="1"/>
  <c r="AH51" i="8" a="1"/>
  <c r="AH51" i="8" s="1"/>
  <c r="AF51" i="8" a="1"/>
  <c r="AF51" i="8" s="1"/>
  <c r="AE51" i="8" a="1"/>
  <c r="AE51" i="8" s="1"/>
  <c r="AP51" i="8" a="1"/>
  <c r="AP51" i="8" s="1"/>
  <c r="AD51" i="8" a="1"/>
  <c r="AD51" i="8" s="1"/>
  <c r="AR51" i="8"/>
  <c r="AO51" i="8" a="1"/>
  <c r="AO51" i="8" s="1"/>
  <c r="AN11" i="8" a="1"/>
  <c r="AN11" i="8" s="1"/>
  <c r="AR46" i="8"/>
  <c r="AM11" i="8" a="1"/>
  <c r="AM11" i="8" s="1"/>
  <c r="AI8" i="8" a="1"/>
  <c r="AI8" i="8" s="1"/>
  <c r="AP46" i="8" a="1"/>
  <c r="AP46" i="8" s="1"/>
  <c r="AH8" i="8" a="1"/>
  <c r="AH8" i="8" s="1"/>
  <c r="AK11" i="8" a="1"/>
  <c r="AK11" i="8" s="1"/>
  <c r="AG8" i="8" a="1"/>
  <c r="AG8" i="8" s="1"/>
  <c r="AE8" i="8" a="1"/>
  <c r="AE8" i="8" s="1"/>
  <c r="AN46" i="8" a="1"/>
  <c r="AN46" i="8" s="1"/>
  <c r="AI11" i="8" a="1"/>
  <c r="AI11" i="8" s="1"/>
  <c r="AM46" i="8" a="1"/>
  <c r="AM46" i="8" s="1"/>
  <c r="AM24" i="8" a="1"/>
  <c r="AM24" i="8" s="1"/>
  <c r="AG11" i="8" a="1"/>
  <c r="AG11" i="8" s="1"/>
  <c r="AG10" i="8" a="1"/>
  <c r="AG10" i="8" s="1"/>
  <c r="AL46" i="8" a="1"/>
  <c r="AL46" i="8" s="1"/>
  <c r="AH22" i="8" a="1"/>
  <c r="AH22" i="8" s="1"/>
  <c r="AF11" i="8" a="1"/>
  <c r="AF11" i="8" s="1"/>
  <c r="AE10" i="8" a="1"/>
  <c r="AE10" i="8" s="1"/>
  <c r="AD8" i="8" a="1"/>
  <c r="AD8" i="8" s="1"/>
  <c r="AK46" i="8" a="1"/>
  <c r="AK46" i="8" s="1"/>
  <c r="AN25" i="8" a="1"/>
  <c r="AN25" i="8" s="1"/>
  <c r="AL24" i="8" a="1"/>
  <c r="AL24" i="8" s="1"/>
  <c r="AG22" i="8" a="1"/>
  <c r="AG22" i="8" s="1"/>
  <c r="AH24" i="8" a="1"/>
  <c r="AH24" i="8" s="1"/>
  <c r="AD11" i="8" a="1"/>
  <c r="AD11" i="8" s="1"/>
  <c r="AI26" i="8" a="1"/>
  <c r="AI26" i="8" s="1"/>
  <c r="AG24" i="8" a="1"/>
  <c r="AG24" i="8" s="1"/>
  <c r="AP14" i="8" a="1"/>
  <c r="AP14" i="8" s="1"/>
  <c r="AR4" i="8"/>
  <c r="AN24" i="8" a="1"/>
  <c r="AN24" i="8" s="1"/>
  <c r="AO25" i="8" a="1"/>
  <c r="AO25" i="8" s="1"/>
  <c r="AI22" i="8" a="1"/>
  <c r="AI22" i="8" s="1"/>
  <c r="AE11" i="8" a="1"/>
  <c r="AE11" i="8" s="1"/>
  <c r="AD46" i="8" a="1"/>
  <c r="AD46" i="8" s="1"/>
  <c r="AK25" i="8" a="1"/>
  <c r="AK25" i="8" s="1"/>
  <c r="AK24" i="8" a="1"/>
  <c r="AK24" i="8" s="1"/>
  <c r="AM40" i="8" a="1"/>
  <c r="AM40" i="8" s="1"/>
  <c r="AH26" i="8" a="1"/>
  <c r="AH26" i="8" s="1"/>
  <c r="AE24" i="8" a="1"/>
  <c r="AE24" i="8" s="1"/>
  <c r="AN14" i="8" a="1"/>
  <c r="AN14" i="8" s="1"/>
  <c r="AP16" i="8" a="1"/>
  <c r="AP16" i="8" s="1"/>
  <c r="AK42" i="8" a="1"/>
  <c r="AK42" i="8" s="1"/>
  <c r="AO16" i="8" a="1"/>
  <c r="AO16" i="8" s="1"/>
  <c r="AM16" i="8" a="1"/>
  <c r="AM16" i="8" s="1"/>
  <c r="AI4" i="8" a="1"/>
  <c r="AI4" i="8" s="1"/>
  <c r="AR49" i="8"/>
  <c r="AM36" i="8" a="1"/>
  <c r="AM36" i="8" s="1"/>
  <c r="AP33" i="8" a="1"/>
  <c r="AP33" i="8" s="1"/>
  <c r="AO46" i="8" a="1"/>
  <c r="AO46" i="8" s="1"/>
  <c r="AH42" i="8" a="1"/>
  <c r="AH42" i="8" s="1"/>
  <c r="AL16" i="8" a="1"/>
  <c r="AL16" i="8" s="1"/>
  <c r="AH4" i="8" a="1"/>
  <c r="AH4" i="8" s="1"/>
  <c r="AP49" i="8" a="1"/>
  <c r="AP49" i="8" s="1"/>
  <c r="AR43" i="8"/>
  <c r="AG42" i="8" a="1"/>
  <c r="AG42" i="8" s="1"/>
  <c r="AM33" i="8" a="1"/>
  <c r="AM33" i="8" s="1"/>
  <c r="AR17" i="8"/>
  <c r="AG4" i="8" a="1"/>
  <c r="AG4" i="8" s="1"/>
  <c r="AE42" i="8" a="1"/>
  <c r="AE42" i="8" s="1"/>
  <c r="AR35" i="8"/>
  <c r="AI33" i="8" a="1"/>
  <c r="AI33" i="8" s="1"/>
  <c r="AK17" i="8" a="1"/>
  <c r="AK17" i="8" s="1"/>
  <c r="AK16" i="8" a="1"/>
  <c r="AK16" i="8" s="1"/>
  <c r="AF4" i="8" a="1"/>
  <c r="AF4" i="8" s="1"/>
  <c r="AP43" i="8" a="1"/>
  <c r="AP43" i="8" s="1"/>
  <c r="AI16" i="8" a="1"/>
  <c r="AI16" i="8" s="1"/>
  <c r="AE4" i="8" a="1"/>
  <c r="AE4" i="8" s="1"/>
  <c r="AH36" i="8" a="1"/>
  <c r="AH36" i="8" s="1"/>
  <c r="AO35" i="8" a="1"/>
  <c r="AO35" i="8" s="1"/>
  <c r="AR16" i="8"/>
  <c r="AP8" i="8" a="1"/>
  <c r="AP8" i="8" s="1"/>
  <c r="AD4" i="8" a="1"/>
  <c r="AD4" i="8" s="1"/>
  <c r="AF36" i="8" a="1"/>
  <c r="AF36" i="8" s="1"/>
  <c r="AN35" i="8" a="1"/>
  <c r="AN35" i="8" s="1"/>
  <c r="AG34" i="8" a="1"/>
  <c r="AG34" i="8" s="1"/>
  <c r="AO8" i="8" a="1"/>
  <c r="AO8" i="8" s="1"/>
  <c r="AR38" i="8"/>
  <c r="AE34" i="8" a="1"/>
  <c r="AE34" i="8" s="1"/>
  <c r="AR11" i="8"/>
  <c r="AN8" i="8" a="1"/>
  <c r="AN8" i="8" s="1"/>
  <c r="AN38" i="8" a="1"/>
  <c r="AN38" i="8" s="1"/>
  <c r="AM35" i="8" a="1"/>
  <c r="AM35" i="8" s="1"/>
  <c r="AR8" i="8"/>
  <c r="AK43" i="8" a="1"/>
  <c r="AK43" i="8" s="1"/>
  <c r="AP11" i="8" a="1"/>
  <c r="AP11" i="8" s="1"/>
  <c r="AM8" i="8" a="1"/>
  <c r="AM8" i="8" s="1"/>
  <c r="AM38" i="8" a="1"/>
  <c r="AM38" i="8" s="1"/>
  <c r="AD36" i="8" a="1"/>
  <c r="AD36" i="8" s="1"/>
  <c r="AR22" i="8"/>
  <c r="AL20" i="8" a="1"/>
  <c r="AL20" i="8" s="1"/>
  <c r="AO11" i="8" a="1"/>
  <c r="AO11" i="8" s="1"/>
  <c r="AL8" i="8" a="1"/>
  <c r="AL8" i="8" s="1"/>
  <c r="AE38" i="8" a="1"/>
  <c r="AE38" i="8" s="1"/>
  <c r="AK35" i="8" a="1"/>
  <c r="AK35" i="8" s="1"/>
  <c r="AK29" i="8" a="1"/>
  <c r="AK29" i="8" s="1"/>
  <c r="AM20" i="8" a="1"/>
  <c r="AM20" i="8" s="1"/>
  <c r="AN9" i="8" a="1"/>
  <c r="AN9" i="8" s="1"/>
  <c r="AM44" i="8" a="1"/>
  <c r="AM44" i="8" s="1"/>
  <c r="AL44" i="8" a="1"/>
  <c r="AL44" i="8" s="1"/>
  <c r="AR19" i="8"/>
  <c r="AL9" i="8" a="1"/>
  <c r="AL9" i="8" s="1"/>
  <c r="AK44" i="8" a="1"/>
  <c r="AK44" i="8" s="1"/>
  <c r="AP35" i="8" a="1"/>
  <c r="AP35" i="8" s="1"/>
  <c r="AR6" i="8"/>
  <c r="AE44" i="8" a="1"/>
  <c r="AE44" i="8" s="1"/>
  <c r="AO43" i="8" a="1"/>
  <c r="AO43" i="8" s="1"/>
  <c r="AO27" i="8" a="1"/>
  <c r="AO27" i="8" s="1"/>
  <c r="AD20" i="8" a="1"/>
  <c r="AD20" i="8" s="1"/>
  <c r="AL19" i="8" a="1"/>
  <c r="AL19" i="8" s="1"/>
  <c r="AO17" i="8" a="1"/>
  <c r="AO17" i="8" s="1"/>
  <c r="AE9" i="8" a="1"/>
  <c r="AE9" i="8" s="1"/>
  <c r="AK5" i="8" a="1"/>
  <c r="AK5" i="8" s="1"/>
  <c r="AL35" i="8" a="1"/>
  <c r="AL35" i="8" s="1"/>
  <c r="AR33" i="8"/>
  <c r="AG44" i="8" a="1"/>
  <c r="AG44" i="8" s="1"/>
  <c r="AP17" i="8" a="1"/>
  <c r="AP17" i="8" s="1"/>
  <c r="AF9" i="8" a="1"/>
  <c r="AF9" i="8" s="1"/>
  <c r="AN27" i="8" a="1"/>
  <c r="AN27" i="8" s="1"/>
  <c r="AD9" i="8" a="1"/>
  <c r="AD9" i="8" s="1"/>
  <c r="AP6" i="8" a="1"/>
  <c r="AP6" i="8" s="1"/>
  <c r="AD44" i="8" a="1"/>
  <c r="AD44" i="8" s="1"/>
  <c r="AN43" i="8" a="1"/>
  <c r="AN43" i="8" s="1"/>
  <c r="AI18" i="8" a="1"/>
  <c r="AI18" i="8" s="1"/>
  <c r="AN17" i="8" a="1"/>
  <c r="AN17" i="8" s="1"/>
  <c r="AN6" i="8" a="1"/>
  <c r="AN6" i="8" s="1"/>
  <c r="AI5" i="8" a="1"/>
  <c r="AI5" i="8" s="1"/>
  <c r="AM27" i="8" a="1"/>
  <c r="AM27" i="8" s="1"/>
  <c r="AR25" i="8"/>
  <c r="AI19" i="8" a="1"/>
  <c r="AI19" i="8" s="1"/>
  <c r="AH18" i="8" a="1"/>
  <c r="AH18" i="8" s="1"/>
  <c r="AM6" i="8" a="1"/>
  <c r="AM6" i="8" s="1"/>
  <c r="AG5" i="8" a="1"/>
  <c r="AG5" i="8" s="1"/>
  <c r="AM43" i="8" a="1"/>
  <c r="AM43" i="8" s="1"/>
  <c r="AI35" i="8" a="1"/>
  <c r="AI35" i="8" s="1"/>
  <c r="AO33" i="8" a="1"/>
  <c r="AO33" i="8" s="1"/>
  <c r="AL27" i="8" a="1"/>
  <c r="AL27" i="8" s="1"/>
  <c r="AP25" i="8" a="1"/>
  <c r="AP25" i="8" s="1"/>
  <c r="AG18" i="8" a="1"/>
  <c r="AG18" i="8" s="1"/>
  <c r="AL17" i="8" a="1"/>
  <c r="AL17" i="8" s="1"/>
  <c r="AL43" i="8" a="1"/>
  <c r="AL43" i="8" s="1"/>
  <c r="AH34" i="8" a="1"/>
  <c r="AH34" i="8" s="1"/>
  <c r="AN33" i="8" a="1"/>
  <c r="AN33" i="8" s="1"/>
  <c r="AI9" i="8" a="1"/>
  <c r="AI9" i="8" s="1"/>
  <c r="AO49" i="8" a="1"/>
  <c r="AO49" i="8" s="1"/>
  <c r="AO41" i="8" a="1"/>
  <c r="AO41" i="8" s="1"/>
  <c r="AF35" i="8" a="1"/>
  <c r="AF35" i="8" s="1"/>
  <c r="AL33" i="8" a="1"/>
  <c r="AL33" i="8" s="1"/>
  <c r="AL5" i="8" a="1"/>
  <c r="AL5" i="8" s="1"/>
  <c r="AI43" i="8" a="1"/>
  <c r="AI43" i="8" s="1"/>
  <c r="AH17" i="8" a="1"/>
  <c r="AH17" i="8" s="1"/>
  <c r="AP12" i="8" a="1"/>
  <c r="AP12" i="8" s="1"/>
  <c r="AG27" i="8" a="1"/>
  <c r="AG27" i="8" s="1"/>
  <c r="AG26" i="8" a="1"/>
  <c r="AG26" i="8" s="1"/>
  <c r="AL25" i="8" a="1"/>
  <c r="AL25" i="8" s="1"/>
  <c r="AD19" i="8" a="1"/>
  <c r="AD19" i="8" s="1"/>
  <c r="AG17" i="8" a="1"/>
  <c r="AG17" i="8" s="1"/>
  <c r="AN16" i="8" a="1"/>
  <c r="AN16" i="8" s="1"/>
  <c r="AR14" i="8"/>
  <c r="AL13" i="8" a="1"/>
  <c r="AL13" i="8" s="1"/>
  <c r="AN49" i="8" a="1"/>
  <c r="AN49" i="8" s="1"/>
  <c r="AH43" i="8" a="1"/>
  <c r="AH43" i="8" s="1"/>
  <c r="AN41" i="8" a="1"/>
  <c r="AN41" i="8" s="1"/>
  <c r="AP38" i="8" a="1"/>
  <c r="AP38" i="8" s="1"/>
  <c r="AK33" i="8" a="1"/>
  <c r="AK33" i="8" s="1"/>
  <c r="AO30" i="8" a="1"/>
  <c r="AO30" i="8" s="1"/>
  <c r="AK9" i="8" a="1"/>
  <c r="AK9" i="8" s="1"/>
  <c r="AE17" i="8" a="1"/>
  <c r="AE17" i="8" s="1"/>
  <c r="AI13" i="8" a="1"/>
  <c r="AI13" i="8" s="1"/>
  <c r="AM49" i="8" a="1"/>
  <c r="AM49" i="8" s="1"/>
  <c r="AG43" i="8" a="1"/>
  <c r="AG43" i="8" s="1"/>
  <c r="AM41" i="8" a="1"/>
  <c r="AM41" i="8" s="1"/>
  <c r="AO38" i="8" a="1"/>
  <c r="AO38" i="8" s="1"/>
  <c r="AH33" i="8" a="1"/>
  <c r="AH33" i="8" s="1"/>
  <c r="AE43" i="8" a="1"/>
  <c r="AE43" i="8" s="1"/>
  <c r="AL41" i="8" a="1"/>
  <c r="AL41" i="8" s="1"/>
  <c r="AG33" i="8" a="1"/>
  <c r="AG33" i="8" s="1"/>
  <c r="AL30" i="8" a="1"/>
  <c r="AL30" i="8" s="1"/>
  <c r="AE18" i="8" a="1"/>
  <c r="AE18" i="8" s="1"/>
  <c r="AF25" i="8" a="1"/>
  <c r="AF25" i="8" s="1"/>
  <c r="AH16" i="8" a="1"/>
  <c r="AH16" i="8" s="1"/>
  <c r="AG15" i="8" a="1"/>
  <c r="AG15" i="8" s="1"/>
  <c r="AI12" i="8" a="1"/>
  <c r="AI12" i="8" s="1"/>
  <c r="AI49" i="8" a="1"/>
  <c r="AI49" i="8" s="1"/>
  <c r="AI41" i="8" a="1"/>
  <c r="AI41" i="8" s="1"/>
  <c r="AL38" i="8" a="1"/>
  <c r="AL38" i="8" s="1"/>
  <c r="AE33" i="8" a="1"/>
  <c r="AE33" i="8" s="1"/>
  <c r="AI32" i="8" a="1"/>
  <c r="AI32" i="8" s="1"/>
  <c r="AK30" i="8" a="1"/>
  <c r="AK30" i="8" s="1"/>
  <c r="AB30" i="8" s="1"/>
  <c r="AF13" i="8" a="1"/>
  <c r="AF13" i="8" s="1"/>
  <c r="AG25" i="8" a="1"/>
  <c r="AG25" i="8" s="1"/>
  <c r="AK12" i="8" a="1"/>
  <c r="AK12" i="8" s="1"/>
  <c r="AD33" i="8" a="1"/>
  <c r="AD33" i="8" s="1"/>
  <c r="AG32" i="8" a="1"/>
  <c r="AG32" i="8" s="1"/>
  <c r="AH44" i="8" a="1"/>
  <c r="AH44" i="8" s="1"/>
  <c r="AD25" i="8" a="1"/>
  <c r="AD25" i="8" s="1"/>
  <c r="AG16" i="8" a="1"/>
  <c r="AG16" i="8" s="1"/>
  <c r="AG12" i="8" a="1"/>
  <c r="AG12" i="8" s="1"/>
  <c r="AG49" i="8" a="1"/>
  <c r="AG49" i="8" s="1"/>
  <c r="AI48" i="8" a="1"/>
  <c r="AI48" i="8" s="1"/>
  <c r="AR44" i="8"/>
  <c r="AG41" i="8" a="1"/>
  <c r="AG41" i="8" s="1"/>
  <c r="AL40" i="8" a="1"/>
  <c r="AL40" i="8" s="1"/>
  <c r="AK38" i="8" a="1"/>
  <c r="AK38" i="8" s="1"/>
  <c r="AI30" i="8" a="1"/>
  <c r="AI30" i="8" s="1"/>
  <c r="AG29" i="8" a="1"/>
  <c r="AG29" i="8" s="1"/>
  <c r="AE27" i="8" a="1"/>
  <c r="AE27" i="8" s="1"/>
  <c r="AI25" i="8" a="1"/>
  <c r="AI25" i="8" s="1"/>
  <c r="AM48" i="8" a="1"/>
  <c r="AM48" i="8" s="1"/>
  <c r="AH41" i="8" a="1"/>
  <c r="AH41" i="8" s="1"/>
  <c r="AR20" i="8"/>
  <c r="AF12" i="8" a="1"/>
  <c r="AF12" i="8" s="1"/>
  <c r="AF49" i="8" a="1"/>
  <c r="AF49" i="8" s="1"/>
  <c r="AG48" i="8" a="1"/>
  <c r="AG48" i="8" s="1"/>
  <c r="AI46" i="8" a="1"/>
  <c r="AI46" i="8" s="1"/>
  <c r="AK45" i="8" a="1"/>
  <c r="AK45" i="8" s="1"/>
  <c r="AP44" i="8" a="1"/>
  <c r="AP44" i="8" s="1"/>
  <c r="AF41" i="8" a="1"/>
  <c r="AF41" i="8" s="1"/>
  <c r="AI40" i="8" a="1"/>
  <c r="AI40" i="8" s="1"/>
  <c r="AK37" i="8" a="1"/>
  <c r="AK37" i="8" s="1"/>
  <c r="AH30" i="8" a="1"/>
  <c r="AH30" i="8" s="1"/>
  <c r="AE29" i="8" a="1"/>
  <c r="AE29" i="8" s="1"/>
  <c r="AG9" i="8" a="1"/>
  <c r="AG9" i="8" s="1"/>
  <c r="AG7" i="8" a="1"/>
  <c r="AG7" i="8" s="1"/>
  <c r="AL12" i="8" a="1"/>
  <c r="AL12" i="8" s="1"/>
  <c r="AO48" i="8" a="1"/>
  <c r="AO48" i="8" s="1"/>
  <c r="AE25" i="8" a="1"/>
  <c r="AE25" i="8" s="1"/>
  <c r="AH49" i="8" a="1"/>
  <c r="AH49" i="8" s="1"/>
  <c r="AE16" i="8" a="1"/>
  <c r="AE16" i="8" s="1"/>
  <c r="AE12" i="8" a="1"/>
  <c r="AE12" i="8" s="1"/>
  <c r="AR9" i="8"/>
  <c r="AE49" i="8" a="1"/>
  <c r="AE49" i="8" s="1"/>
  <c r="AH46" i="8" a="1"/>
  <c r="AH46" i="8" s="1"/>
  <c r="AE41" i="8" a="1"/>
  <c r="AE41" i="8" s="1"/>
  <c r="AG40" i="8" a="1"/>
  <c r="AG40" i="8" s="1"/>
  <c r="AI38" i="8" a="1"/>
  <c r="AI38" i="8" s="1"/>
  <c r="AG30" i="8" a="1"/>
  <c r="AG30" i="8" s="1"/>
  <c r="AH9" i="8" a="1"/>
  <c r="AH9" i="8" s="1"/>
  <c r="AI27" i="8" a="1"/>
  <c r="AI27" i="8" s="1"/>
  <c r="AE19" i="8" a="1"/>
  <c r="AE19" i="8" s="1"/>
  <c r="AF27" i="8" a="1"/>
  <c r="AF27" i="8" s="1"/>
  <c r="AD17" i="8" a="1"/>
  <c r="AD17" i="8" s="1"/>
  <c r="AG13" i="8" a="1"/>
  <c r="AG13" i="8" s="1"/>
  <c r="AL49" i="8" a="1"/>
  <c r="AL49" i="8" s="1"/>
  <c r="AK49" i="8" a="1"/>
  <c r="AK49" i="8" s="1"/>
  <c r="AB49" i="8" s="1"/>
  <c r="AD43" i="8" a="1"/>
  <c r="AD43" i="8" s="1"/>
  <c r="AK41" i="8" a="1"/>
  <c r="AK41" i="8" s="1"/>
  <c r="AB41" i="8" s="1"/>
  <c r="AL48" i="8" a="1"/>
  <c r="AL48" i="8" s="1"/>
  <c r="AI24" i="8" a="1"/>
  <c r="AI24" i="8" s="1"/>
  <c r="AG23" i="8" a="1"/>
  <c r="AG23" i="8" s="1"/>
  <c r="AP20" i="8" a="1"/>
  <c r="AP20" i="8" s="1"/>
  <c r="AD16" i="8" a="1"/>
  <c r="AD16" i="8" s="1"/>
  <c r="AD12" i="8" a="1"/>
  <c r="AD12" i="8" s="1"/>
  <c r="AP9" i="8" a="1"/>
  <c r="AP9" i="8" s="1"/>
  <c r="AG46" i="8" a="1"/>
  <c r="AG46" i="8" s="1"/>
  <c r="AI45" i="8" a="1"/>
  <c r="AI45" i="8" s="1"/>
  <c r="AO44" i="8" a="1"/>
  <c r="AO44" i="8" s="1"/>
  <c r="AH38" i="8" a="1"/>
  <c r="AH38" i="8" s="1"/>
  <c r="AI37" i="8" a="1"/>
  <c r="AI37" i="8" s="1"/>
  <c r="AF30" i="8" a="1"/>
  <c r="AF30" i="8" s="1"/>
  <c r="AF44" i="8" a="1"/>
  <c r="AF44" i="8" s="1"/>
  <c r="AI17" i="8" a="1"/>
  <c r="AI17" i="8" s="1"/>
  <c r="AF17" i="8" a="1"/>
  <c r="AF17" i="8" s="1"/>
  <c r="AK13" i="8" a="1"/>
  <c r="AK13" i="8" s="1"/>
  <c r="AH12" i="8" a="1"/>
  <c r="AH12" i="8" s="1"/>
  <c r="AO9" i="8" a="1"/>
  <c r="AO9" i="8" s="1"/>
  <c r="AF46" i="8" a="1"/>
  <c r="AF46" i="8" s="1"/>
  <c r="AG45" i="8" a="1"/>
  <c r="AG45" i="8" s="1"/>
  <c r="AG38" i="8" a="1"/>
  <c r="AG38" i="8" s="1"/>
  <c r="AG37" i="8" a="1"/>
  <c r="AG37" i="8" s="1"/>
  <c r="AD27" i="8" a="1"/>
  <c r="AD27" i="8" s="1"/>
  <c r="AH25" i="8" a="1"/>
  <c r="AH25" i="8" s="1"/>
  <c r="AL32" i="8" a="1"/>
  <c r="AL32" i="8" s="1"/>
  <c r="AK21" i="8" a="1"/>
  <c r="AK21" i="8" s="1"/>
  <c r="AN20" i="8" a="1"/>
  <c r="AN20" i="8" s="1"/>
  <c r="AE45" i="8" a="1"/>
  <c r="AE45" i="8" s="1"/>
  <c r="AE37" i="8" a="1"/>
  <c r="AE37" i="8" s="1"/>
  <c r="AF31" i="8" a="1"/>
  <c r="AF31" i="8" s="1"/>
  <c r="AH47" i="8" a="1"/>
  <c r="AH47" i="8" s="1"/>
  <c r="AO40" i="8" a="1"/>
  <c r="AO40" i="8" s="1"/>
  <c r="AH39" i="8" a="1"/>
  <c r="AH39" i="8" s="1"/>
  <c r="AM37" i="8" a="1"/>
  <c r="AM37" i="8" s="1"/>
  <c r="AO32" i="8" a="1"/>
  <c r="AO32" i="8" s="1"/>
  <c r="AH31" i="8" a="1"/>
  <c r="AH31" i="8" s="1"/>
  <c r="AM29" i="8" a="1"/>
  <c r="AM29" i="8" s="1"/>
  <c r="AK34" i="8" a="1"/>
  <c r="AK34" i="8" s="1"/>
  <c r="AN48" i="8" a="1"/>
  <c r="AN48" i="8" s="1"/>
  <c r="AG47" i="8" a="1"/>
  <c r="AG47" i="8" s="1"/>
  <c r="AL45" i="8" a="1"/>
  <c r="AL45" i="8" s="1"/>
  <c r="AI42" i="8" a="1"/>
  <c r="AI42" i="8" s="1"/>
  <c r="AN40" i="8" a="1"/>
  <c r="AN40" i="8" s="1"/>
  <c r="AG39" i="8" a="1"/>
  <c r="AG39" i="8" s="1"/>
  <c r="AL37" i="8" a="1"/>
  <c r="AL37" i="8" s="1"/>
  <c r="AI34" i="8" a="1"/>
  <c r="AI34" i="8" s="1"/>
  <c r="AN32" i="8" a="1"/>
  <c r="AN32" i="8" s="1"/>
  <c r="AG31" i="8" a="1"/>
  <c r="AG31" i="8" s="1"/>
  <c r="AL29" i="8" a="1"/>
  <c r="AL29" i="8" s="1"/>
  <c r="AE31" i="8" a="1"/>
  <c r="AE31" i="8" s="1"/>
  <c r="AK48" i="8" a="1"/>
  <c r="AK48" i="8" s="1"/>
  <c r="AD47" i="8" a="1"/>
  <c r="AD47" i="8" s="1"/>
  <c r="AH45" i="8" a="1"/>
  <c r="AH45" i="8" s="1"/>
  <c r="AF42" i="8" a="1"/>
  <c r="AF42" i="8" s="1"/>
  <c r="AK40" i="8" a="1"/>
  <c r="AK40" i="8" s="1"/>
  <c r="AD39" i="8" a="1"/>
  <c r="AD39" i="8" s="1"/>
  <c r="AH37" i="8" a="1"/>
  <c r="AH37" i="8" s="1"/>
  <c r="AF34" i="8" a="1"/>
  <c r="AF34" i="8" s="1"/>
  <c r="AK32" i="8" a="1"/>
  <c r="AK32" i="8" s="1"/>
  <c r="AD31" i="8" a="1"/>
  <c r="AD31" i="8" s="1"/>
  <c r="AH29" i="8" a="1"/>
  <c r="AH29" i="8" s="1"/>
  <c r="AH48" i="8" a="1"/>
  <c r="AH48" i="8" s="1"/>
  <c r="AF45" i="8" a="1"/>
  <c r="AF45" i="8" s="1"/>
  <c r="AD42" i="8" a="1"/>
  <c r="AD42" i="8" s="1"/>
  <c r="AH40" i="8" a="1"/>
  <c r="AH40" i="8" s="1"/>
  <c r="AF37" i="8" a="1"/>
  <c r="AF37" i="8" s="1"/>
  <c r="AD34" i="8" a="1"/>
  <c r="AD34" i="8" s="1"/>
  <c r="AH32" i="8" a="1"/>
  <c r="AH32" i="8" s="1"/>
  <c r="AF29" i="8" a="1"/>
  <c r="AF29" i="8" s="1"/>
  <c r="AE48" i="8" a="1"/>
  <c r="AE48" i="8" s="1"/>
  <c r="AP47" i="8" a="1"/>
  <c r="AP47" i="8" s="1"/>
  <c r="AE40" i="8" a="1"/>
  <c r="AE40" i="8" s="1"/>
  <c r="AP39" i="8" a="1"/>
  <c r="AP39" i="8" s="1"/>
  <c r="AE32" i="8" a="1"/>
  <c r="AE32" i="8" s="1"/>
  <c r="AP31" i="8" a="1"/>
  <c r="AP31" i="8" s="1"/>
  <c r="AR39" i="8"/>
  <c r="AR42" i="8"/>
  <c r="AR34" i="8"/>
  <c r="AD40" i="8" a="1"/>
  <c r="AD40" i="8" s="1"/>
  <c r="AO39" i="8" a="1"/>
  <c r="AO39" i="8" s="1"/>
  <c r="AD32" i="8" a="1"/>
  <c r="AD32" i="8" s="1"/>
  <c r="AO31" i="8" a="1"/>
  <c r="AO31" i="8" s="1"/>
  <c r="AE47" i="8" a="1"/>
  <c r="AE47" i="8" s="1"/>
  <c r="AP42" i="8" a="1"/>
  <c r="AP42" i="8" s="1"/>
  <c r="AP34" i="8" a="1"/>
  <c r="AP34" i="8" s="1"/>
  <c r="AR31" i="8"/>
  <c r="AO47" i="8" a="1"/>
  <c r="AO47" i="8" s="1"/>
  <c r="AN47" i="8" a="1"/>
  <c r="AN47" i="8" s="1"/>
  <c r="AN39" i="8" a="1"/>
  <c r="AN39" i="8" s="1"/>
  <c r="AN31" i="8" a="1"/>
  <c r="AN31" i="8" s="1"/>
  <c r="AM39" i="8" a="1"/>
  <c r="AM39" i="8" s="1"/>
  <c r="AO34" i="8" a="1"/>
  <c r="AO34" i="8" s="1"/>
  <c r="AR29" i="8"/>
  <c r="AF39" i="8" a="1"/>
  <c r="AF39" i="8" s="1"/>
  <c r="AD37" i="8" a="1"/>
  <c r="AD37" i="8" s="1"/>
  <c r="AD29" i="8" a="1"/>
  <c r="AD29" i="8" s="1"/>
  <c r="AD48" i="8" a="1"/>
  <c r="AD48" i="8" s="1"/>
  <c r="AM47" i="8" a="1"/>
  <c r="AM47" i="8" s="1"/>
  <c r="AM31" i="8" a="1"/>
  <c r="AM31" i="8" s="1"/>
  <c r="AP45" i="8" a="1"/>
  <c r="AP45" i="8" s="1"/>
  <c r="AN42" i="8" a="1"/>
  <c r="AN42" i="8" s="1"/>
  <c r="AP37" i="8" a="1"/>
  <c r="AP37" i="8" s="1"/>
  <c r="AE30" i="8" a="1"/>
  <c r="AE30" i="8" s="1"/>
  <c r="AR45" i="8"/>
  <c r="AR37" i="8"/>
  <c r="AL47" i="8" a="1"/>
  <c r="AL47" i="8" s="1"/>
  <c r="AL39" i="8" a="1"/>
  <c r="AL39" i="8" s="1"/>
  <c r="AN34" i="8" a="1"/>
  <c r="AN34" i="8" s="1"/>
  <c r="AL31" i="8" a="1"/>
  <c r="AL31" i="8" s="1"/>
  <c r="AP29" i="8" a="1"/>
  <c r="AP29" i="8" s="1"/>
  <c r="AF32" i="8" a="1"/>
  <c r="AF32" i="8" s="1"/>
  <c r="AR40" i="8"/>
  <c r="AK39" i="8" a="1"/>
  <c r="AK39" i="8" s="1"/>
  <c r="AO37" i="8" a="1"/>
  <c r="AO37" i="8" s="1"/>
  <c r="AM34" i="8" a="1"/>
  <c r="AM34" i="8" s="1"/>
  <c r="AR32" i="8"/>
  <c r="AK31" i="8" a="1"/>
  <c r="AK31" i="8" s="1"/>
  <c r="AO29" i="8" a="1"/>
  <c r="AO29" i="8" s="1"/>
  <c r="AF47" i="8" a="1"/>
  <c r="AF47" i="8" s="1"/>
  <c r="AE39" i="8" a="1"/>
  <c r="AE39" i="8" s="1"/>
  <c r="AF40" i="8" a="1"/>
  <c r="AF40" i="8" s="1"/>
  <c r="AO42" i="8" a="1"/>
  <c r="AO42" i="8" s="1"/>
  <c r="AR48" i="8"/>
  <c r="AK47" i="8" a="1"/>
  <c r="AK47" i="8" s="1"/>
  <c r="AO45" i="8" a="1"/>
  <c r="AO45" i="8" s="1"/>
  <c r="AL42" i="8" a="1"/>
  <c r="AL42" i="8" s="1"/>
  <c r="AF48" i="8" a="1"/>
  <c r="AF48" i="8" s="1"/>
  <c r="AR47" i="8"/>
  <c r="AM21" i="8" a="1"/>
  <c r="AM21" i="8" s="1"/>
  <c r="AK26" i="8" a="1"/>
  <c r="AK26" i="8" s="1"/>
  <c r="AH23" i="8" a="1"/>
  <c r="AH23" i="8" s="1"/>
  <c r="AK18" i="8" a="1"/>
  <c r="AK18" i="8" s="1"/>
  <c r="AH15" i="8" a="1"/>
  <c r="AH15" i="8" s="1"/>
  <c r="AM13" i="8" a="1"/>
  <c r="AM13" i="8" s="1"/>
  <c r="AK10" i="8" a="1"/>
  <c r="AK10" i="8" s="1"/>
  <c r="AH7" i="8" a="1"/>
  <c r="AH7" i="8" s="1"/>
  <c r="AM5" i="8" a="1"/>
  <c r="AM5" i="8" s="1"/>
  <c r="AF26" i="8" a="1"/>
  <c r="AF26" i="8" s="1"/>
  <c r="AD23" i="8" a="1"/>
  <c r="AD23" i="8" s="1"/>
  <c r="AH21" i="8" a="1"/>
  <c r="AH21" i="8" s="1"/>
  <c r="AF18" i="8" a="1"/>
  <c r="AF18" i="8" s="1"/>
  <c r="AD15" i="8" a="1"/>
  <c r="AD15" i="8" s="1"/>
  <c r="AO14" i="8" a="1"/>
  <c r="AO14" i="8" s="1"/>
  <c r="AH13" i="8" a="1"/>
  <c r="AH13" i="8" s="1"/>
  <c r="AF10" i="8" a="1"/>
  <c r="AF10" i="8" s="1"/>
  <c r="AD7" i="8" a="1"/>
  <c r="AD7" i="8" s="1"/>
  <c r="AO6" i="8" a="1"/>
  <c r="AO6" i="8" s="1"/>
  <c r="AH5" i="8" a="1"/>
  <c r="AH5" i="8" s="1"/>
  <c r="AE15" i="8" a="1"/>
  <c r="AE15" i="8" s="1"/>
  <c r="AF5" i="8" a="1"/>
  <c r="AF5" i="8" s="1"/>
  <c r="AD10" i="8" a="1"/>
  <c r="AD10" i="8" s="1"/>
  <c r="AE7" i="8" a="1"/>
  <c r="AE7" i="8" s="1"/>
  <c r="AF7" i="8" a="1"/>
  <c r="AF7" i="8" s="1"/>
  <c r="AE21" i="8" a="1"/>
  <c r="AE21" i="8" s="1"/>
  <c r="AL14" i="8" a="1"/>
  <c r="AL14" i="8" s="1"/>
  <c r="AE13" i="8" a="1"/>
  <c r="AE13" i="8" s="1"/>
  <c r="AL6" i="8" a="1"/>
  <c r="AL6" i="8" s="1"/>
  <c r="AE5" i="8" a="1"/>
  <c r="AE5" i="8" s="1"/>
  <c r="AR23" i="8"/>
  <c r="AK22" i="8" a="1"/>
  <c r="AK22" i="8" s="1"/>
  <c r="AD21" i="8" a="1"/>
  <c r="AD21" i="8" s="1"/>
  <c r="AR15" i="8"/>
  <c r="AK14" i="8" a="1"/>
  <c r="AK14" i="8" s="1"/>
  <c r="AB14" i="8" s="1"/>
  <c r="AD13" i="8" a="1"/>
  <c r="AD13" i="8" s="1"/>
  <c r="AR7" i="8"/>
  <c r="AK6" i="8" a="1"/>
  <c r="AK6" i="8" s="1"/>
  <c r="AB6" i="8" s="1"/>
  <c r="AD5" i="8" a="1"/>
  <c r="AD5" i="8" s="1"/>
  <c r="AP15" i="8" a="1"/>
  <c r="AP15" i="8" s="1"/>
  <c r="AI14" i="8" a="1"/>
  <c r="AI14" i="8" s="1"/>
  <c r="AP7" i="8" a="1"/>
  <c r="AP7" i="8" s="1"/>
  <c r="AI6" i="8" a="1"/>
  <c r="AI6" i="8" s="1"/>
  <c r="AF15" i="8" a="1"/>
  <c r="AF15" i="8" s="1"/>
  <c r="AR18" i="8"/>
  <c r="AO15" i="8" a="1"/>
  <c r="AO15" i="8" s="1"/>
  <c r="AH14" i="8" a="1"/>
  <c r="AH14" i="8" s="1"/>
  <c r="AR10" i="8"/>
  <c r="AO7" i="8" a="1"/>
  <c r="AO7" i="8" s="1"/>
  <c r="AH6" i="8" a="1"/>
  <c r="AH6" i="8" s="1"/>
  <c r="AO23" i="8" a="1"/>
  <c r="AO23" i="8" s="1"/>
  <c r="AD26" i="8" a="1"/>
  <c r="AD26" i="8" s="1"/>
  <c r="AN7" i="8" a="1"/>
  <c r="AN7" i="8" s="1"/>
  <c r="AG6" i="8" a="1"/>
  <c r="AG6" i="8" s="1"/>
  <c r="AD18" i="8" a="1"/>
  <c r="AD18" i="8" s="1"/>
  <c r="AN23" i="8" a="1"/>
  <c r="AN23" i="8" s="1"/>
  <c r="AF14" i="8" a="1"/>
  <c r="AF14" i="8" s="1"/>
  <c r="AR13" i="8"/>
  <c r="AM7" i="8" a="1"/>
  <c r="AM7" i="8" s="1"/>
  <c r="AF6" i="8" a="1"/>
  <c r="AF6" i="8" s="1"/>
  <c r="AR5" i="8"/>
  <c r="AO10" i="8" a="1"/>
  <c r="AO10" i="8" s="1"/>
  <c r="AP26" i="8" a="1"/>
  <c r="AP26" i="8" s="1"/>
  <c r="AN15" i="8" a="1"/>
  <c r="AN15" i="8" s="1"/>
  <c r="AN26" i="8" a="1"/>
  <c r="AN26" i="8" s="1"/>
  <c r="AN18" i="8" a="1"/>
  <c r="AN18" i="8" s="1"/>
  <c r="AL15" i="8" a="1"/>
  <c r="AL15" i="8" s="1"/>
  <c r="AE14" i="8" a="1"/>
  <c r="AE14" i="8" s="1"/>
  <c r="AP13" i="8" a="1"/>
  <c r="AP13" i="8" s="1"/>
  <c r="AL7" i="8" a="1"/>
  <c r="AL7" i="8" s="1"/>
  <c r="AP5" i="8" a="1"/>
  <c r="AP5" i="8" s="1"/>
  <c r="AR26" i="8"/>
  <c r="AO18" i="8" a="1"/>
  <c r="AO18" i="8" s="1"/>
  <c r="AL23" i="8" a="1"/>
  <c r="AL23" i="8" s="1"/>
  <c r="AE22" i="8" a="1"/>
  <c r="AE22" i="8" s="1"/>
  <c r="AP21" i="8" a="1"/>
  <c r="AP21" i="8" s="1"/>
  <c r="AN10" i="8" a="1"/>
  <c r="AN10" i="8" s="1"/>
  <c r="AE6" i="8" a="1"/>
  <c r="AE6" i="8" s="1"/>
  <c r="AF23" i="8" a="1"/>
  <c r="AF23" i="8" s="1"/>
  <c r="AE23" i="8" a="1"/>
  <c r="AE23" i="8" s="1"/>
  <c r="AP23" i="8" a="1"/>
  <c r="AP23" i="8" s="1"/>
  <c r="AP18" i="8" a="1"/>
  <c r="AP18" i="8" s="1"/>
  <c r="AP10" i="8" a="1"/>
  <c r="AP10" i="8" s="1"/>
  <c r="AM15" i="8" a="1"/>
  <c r="AM15" i="8" s="1"/>
  <c r="AK23" i="8" a="1"/>
  <c r="AK23" i="8" s="1"/>
  <c r="AD22" i="8" a="1"/>
  <c r="AD22" i="8" s="1"/>
  <c r="AO21" i="8" a="1"/>
  <c r="AO21" i="8" s="1"/>
  <c r="AK15" i="8" a="1"/>
  <c r="AK15" i="8" s="1"/>
  <c r="AO13" i="8" a="1"/>
  <c r="AO13" i="8" s="1"/>
  <c r="AK7" i="8" a="1"/>
  <c r="AK7" i="8" s="1"/>
  <c r="AO5" i="8" a="1"/>
  <c r="AO5" i="8" s="1"/>
  <c r="AO26" i="8" a="1"/>
  <c r="AO26" i="8" s="1"/>
  <c r="AM23" i="8" a="1"/>
  <c r="AM23" i="8" s="1"/>
  <c r="AR21" i="8"/>
  <c r="AM26" i="8" a="1"/>
  <c r="AM26" i="8" s="1"/>
  <c r="AM18" i="8" a="1"/>
  <c r="AM18" i="8" s="1"/>
  <c r="AM10" i="8" a="1"/>
  <c r="AM10" i="8" s="1"/>
  <c r="AA4" i="15" l="1"/>
  <c r="AA8" i="15"/>
  <c r="AB45" i="8"/>
  <c r="AA15" i="15"/>
  <c r="AB52" i="8"/>
  <c r="AA13" i="15"/>
  <c r="AA14" i="15"/>
  <c r="AA21" i="15"/>
  <c r="AA6" i="15"/>
  <c r="AA17" i="15"/>
  <c r="AA9" i="15"/>
  <c r="AA22" i="15"/>
  <c r="AA5" i="15"/>
  <c r="AA20" i="15"/>
  <c r="AA19" i="15"/>
  <c r="AA23" i="15"/>
  <c r="AA18" i="15"/>
  <c r="AA24" i="15"/>
  <c r="AB54" i="8"/>
  <c r="AB55" i="8"/>
  <c r="AB56" i="8"/>
  <c r="AB24" i="8"/>
  <c r="AB35" i="8"/>
  <c r="AB16" i="8"/>
  <c r="AB8" i="8"/>
  <c r="AB5" i="8"/>
  <c r="AB38" i="8"/>
  <c r="AB42" i="8"/>
  <c r="AB12" i="8"/>
  <c r="AB9" i="8"/>
  <c r="AB19" i="8"/>
  <c r="AB43" i="8"/>
  <c r="AB27" i="8"/>
  <c r="AB50" i="8"/>
  <c r="AB28" i="8"/>
  <c r="AB46" i="8"/>
  <c r="AB23" i="8"/>
  <c r="AB29" i="8"/>
  <c r="AB53" i="8"/>
  <c r="AB25" i="8"/>
  <c r="AB4" i="8"/>
  <c r="AB48" i="8"/>
  <c r="AB44" i="8"/>
  <c r="AB11" i="8"/>
  <c r="AB36" i="8"/>
  <c r="AB15" i="8"/>
  <c r="AB37" i="8"/>
  <c r="AB13" i="8"/>
  <c r="AB17" i="8"/>
  <c r="AB20" i="8"/>
  <c r="AB51" i="8"/>
  <c r="AB34" i="8"/>
  <c r="AB33" i="8"/>
  <c r="AB39" i="8"/>
  <c r="AB21" i="8"/>
  <c r="AB18" i="8"/>
  <c r="AB22" i="8"/>
  <c r="AB47" i="8"/>
  <c r="AB32" i="8"/>
  <c r="AB31" i="8"/>
  <c r="AB40" i="8"/>
  <c r="AB10" i="8"/>
  <c r="AB26" i="8"/>
  <c r="AB7" i="8"/>
  <c r="BI317" i="2" l="1"/>
  <c r="BK317" i="2"/>
  <c r="AI317" i="2" s="1"/>
  <c r="BQ317" i="2"/>
  <c r="BI315" i="2"/>
  <c r="BJ315" i="2"/>
  <c r="BK315" i="2"/>
  <c r="AI315" i="2" s="1"/>
  <c r="BQ315" i="2"/>
  <c r="BK297" i="2"/>
  <c r="AI297" i="2" s="1"/>
  <c r="BJ297" i="2"/>
  <c r="BI297" i="2"/>
  <c r="BK293" i="2"/>
  <c r="AI293" i="2" s="1"/>
  <c r="BQ293" i="2"/>
  <c r="BA242" i="2"/>
  <c r="BB242" i="2"/>
  <c r="BA243" i="2"/>
  <c r="BB243" i="2"/>
  <c r="BA244" i="2"/>
  <c r="BB244" i="2"/>
  <c r="BA245" i="2"/>
  <c r="BB245" i="2"/>
  <c r="BA246" i="2"/>
  <c r="BB246" i="2"/>
  <c r="BA247" i="2"/>
  <c r="BB247" i="2"/>
  <c r="BA248" i="2"/>
  <c r="BB248" i="2"/>
  <c r="BA249" i="2"/>
  <c r="BB249" i="2"/>
  <c r="BA250" i="2"/>
  <c r="BB250" i="2"/>
  <c r="BA251" i="2"/>
  <c r="BB251" i="2"/>
  <c r="BA252" i="2"/>
  <c r="BB252" i="2"/>
  <c r="BA253" i="2"/>
  <c r="BB253" i="2"/>
  <c r="BA254" i="2"/>
  <c r="BB254" i="2"/>
  <c r="BA255" i="2"/>
  <c r="BB255" i="2"/>
  <c r="BA256" i="2"/>
  <c r="BB256" i="2"/>
  <c r="BA257" i="2"/>
  <c r="BB257" i="2"/>
  <c r="BA258" i="2"/>
  <c r="BB258" i="2"/>
  <c r="BA259" i="2"/>
  <c r="BB259" i="2"/>
  <c r="BA260" i="2"/>
  <c r="BB260" i="2"/>
  <c r="BA261" i="2"/>
  <c r="BB261" i="2"/>
  <c r="BA262" i="2"/>
  <c r="BB262" i="2"/>
  <c r="BA263" i="2"/>
  <c r="BB263" i="2"/>
  <c r="BA264" i="2"/>
  <c r="BB264" i="2"/>
  <c r="BA265" i="2"/>
  <c r="BB265" i="2"/>
  <c r="BA266" i="2"/>
  <c r="BB266" i="2"/>
  <c r="BA267" i="2"/>
  <c r="BB267" i="2"/>
  <c r="BA268" i="2"/>
  <c r="BB268" i="2"/>
  <c r="BA269" i="2"/>
  <c r="BB269" i="2"/>
  <c r="BA270" i="2"/>
  <c r="BB270" i="2"/>
  <c r="BA271" i="2"/>
  <c r="BB271" i="2"/>
  <c r="BA272" i="2"/>
  <c r="BB272" i="2"/>
  <c r="BA273" i="2"/>
  <c r="BB273" i="2"/>
  <c r="BB241" i="2"/>
  <c r="BA241" i="2"/>
  <c r="BI275" i="2"/>
  <c r="BJ275" i="2"/>
  <c r="BK275" i="2"/>
  <c r="BL275" i="2"/>
  <c r="BH27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F321" i="2"/>
  <c r="F322" i="2"/>
  <c r="F323" i="2"/>
  <c r="F324" i="2"/>
  <c r="F325" i="2"/>
  <c r="F326" i="2"/>
  <c r="F327" i="2"/>
  <c r="F328" i="2"/>
  <c r="F329" i="2"/>
  <c r="F330" i="2"/>
  <c r="F315" i="2"/>
  <c r="F316" i="2"/>
  <c r="F317" i="2"/>
  <c r="F318" i="2"/>
  <c r="F319" i="2"/>
  <c r="F320" i="2"/>
  <c r="E315" i="2"/>
  <c r="E316" i="2"/>
  <c r="E317" i="2"/>
  <c r="E318" i="2"/>
  <c r="E319" i="2"/>
  <c r="E320" i="2"/>
  <c r="E321" i="2"/>
  <c r="E322" i="2"/>
  <c r="E323" i="2"/>
  <c r="E324" i="2"/>
  <c r="E325" i="2"/>
  <c r="E326" i="2"/>
  <c r="E327" i="2"/>
  <c r="E328" i="2"/>
  <c r="E329" i="2"/>
  <c r="E330" i="2"/>
  <c r="BA299" i="2"/>
  <c r="BB299" i="2"/>
  <c r="BA300" i="2"/>
  <c r="BB300" i="2"/>
  <c r="BA301" i="2"/>
  <c r="BB301" i="2"/>
  <c r="BA302" i="2"/>
  <c r="BB302" i="2"/>
  <c r="BA303" i="2"/>
  <c r="BB303" i="2"/>
  <c r="AN314" i="6"/>
  <c r="AA254" i="33"/>
  <c r="AA255" i="33"/>
  <c r="AA256" i="33"/>
  <c r="AA257" i="33"/>
  <c r="AA258" i="33"/>
  <c r="AA259" i="33"/>
  <c r="AA260" i="33"/>
  <c r="AA261" i="33"/>
  <c r="AA262" i="33"/>
  <c r="AA263" i="33"/>
  <c r="AA264" i="33"/>
  <c r="AA265" i="33"/>
  <c r="AA266" i="33"/>
  <c r="AA267" i="33"/>
  <c r="AA268" i="33"/>
  <c r="AA269" i="33"/>
  <c r="AA270" i="33"/>
  <c r="AA271" i="33"/>
  <c r="AA272" i="33"/>
  <c r="AA273" i="33"/>
  <c r="AA274" i="33"/>
  <c r="AA275" i="33"/>
  <c r="AA276" i="33"/>
  <c r="AA277" i="33"/>
  <c r="AA278" i="33"/>
  <c r="AA279" i="33"/>
  <c r="AA280" i="33"/>
  <c r="AA281" i="33"/>
  <c r="AA282" i="33"/>
  <c r="AA283" i="33"/>
  <c r="AA284" i="33"/>
  <c r="AA285" i="33"/>
  <c r="AA286" i="33"/>
  <c r="AA287" i="33"/>
  <c r="AA288" i="33"/>
  <c r="AA289" i="33"/>
  <c r="AA290" i="33"/>
  <c r="AA291" i="33"/>
  <c r="AA292" i="33"/>
  <c r="AA293" i="33"/>
  <c r="AA294" i="33"/>
  <c r="AA295" i="33"/>
  <c r="AA296" i="33"/>
  <c r="AA297" i="33"/>
  <c r="AA298" i="33"/>
  <c r="AA299" i="33"/>
  <c r="AA300" i="33"/>
  <c r="AA301" i="33"/>
  <c r="AA302" i="33"/>
  <c r="AA303" i="33"/>
  <c r="AA304" i="33"/>
  <c r="AA305" i="33"/>
  <c r="AA306" i="33"/>
  <c r="AA307" i="33"/>
  <c r="D263" i="6" l="1"/>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313" i="6"/>
  <c r="D314" i="6"/>
  <c r="D315" i="6"/>
  <c r="D316" i="6"/>
  <c r="D299" i="6"/>
  <c r="D300" i="6"/>
  <c r="D301" i="6"/>
  <c r="D302" i="6"/>
  <c r="D303" i="6"/>
  <c r="D304" i="6"/>
  <c r="D305" i="6"/>
  <c r="D306" i="6"/>
  <c r="D307" i="6"/>
  <c r="D308" i="6"/>
  <c r="D309" i="6"/>
  <c r="D310" i="6"/>
  <c r="D311" i="6"/>
  <c r="D312" i="6"/>
  <c r="B307" i="6"/>
  <c r="B308" i="6"/>
  <c r="B309" i="6"/>
  <c r="B310" i="6"/>
  <c r="B311" i="6"/>
  <c r="B312" i="6"/>
  <c r="B313" i="6"/>
  <c r="B314" i="6"/>
  <c r="B315" i="6"/>
  <c r="B316" i="6"/>
  <c r="B293" i="6"/>
  <c r="B294" i="6"/>
  <c r="B295" i="6"/>
  <c r="B296" i="6"/>
  <c r="B297" i="6"/>
  <c r="B298" i="6"/>
  <c r="B299" i="6"/>
  <c r="B300" i="6"/>
  <c r="B301" i="6"/>
  <c r="B302" i="6"/>
  <c r="B303" i="6"/>
  <c r="B304" i="6"/>
  <c r="B305" i="6"/>
  <c r="B306"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C316"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263" i="6"/>
  <c r="C264" i="6"/>
  <c r="C265" i="6"/>
  <c r="C266" i="6"/>
  <c r="C267" i="6"/>
  <c r="C268" i="6"/>
  <c r="C269" i="6"/>
  <c r="C270" i="6"/>
  <c r="C271" i="6"/>
  <c r="C272" i="6"/>
  <c r="C273" i="6"/>
  <c r="C274" i="6"/>
  <c r="C275" i="6"/>
  <c r="C276" i="6"/>
  <c r="C277" i="6"/>
  <c r="C278" i="6"/>
  <c r="C279" i="6"/>
  <c r="C280" i="6"/>
  <c r="C281" i="6"/>
  <c r="A305" i="6"/>
  <c r="A306" i="6"/>
  <c r="A307" i="6"/>
  <c r="A308" i="6"/>
  <c r="A309" i="6"/>
  <c r="A310" i="6"/>
  <c r="A311" i="6"/>
  <c r="A312" i="6"/>
  <c r="A313" i="6"/>
  <c r="A314" i="6"/>
  <c r="A315" i="6"/>
  <c r="A297" i="6"/>
  <c r="A298" i="6"/>
  <c r="A299" i="6"/>
  <c r="A300" i="6"/>
  <c r="A301" i="6"/>
  <c r="A302" i="6"/>
  <c r="A303" i="6"/>
  <c r="A304" i="6"/>
  <c r="A292" i="6"/>
  <c r="A293" i="6"/>
  <c r="A294" i="6"/>
  <c r="A295" i="6"/>
  <c r="A296" i="6"/>
  <c r="A288" i="6"/>
  <c r="A289" i="6"/>
  <c r="A290" i="6"/>
  <c r="A291" i="6"/>
  <c r="A286" i="6"/>
  <c r="A287" i="6"/>
  <c r="A263" i="6"/>
  <c r="A264" i="6"/>
  <c r="A265" i="6"/>
  <c r="A266" i="6"/>
  <c r="A267" i="6"/>
  <c r="A268" i="6"/>
  <c r="A269" i="6"/>
  <c r="A270" i="6"/>
  <c r="A271" i="6"/>
  <c r="A272" i="6"/>
  <c r="A273" i="6"/>
  <c r="A274" i="6"/>
  <c r="A275" i="6"/>
  <c r="A276" i="6"/>
  <c r="A277" i="6"/>
  <c r="A278" i="6"/>
  <c r="A279" i="6"/>
  <c r="A280" i="6"/>
  <c r="A281" i="6"/>
  <c r="A282" i="6"/>
  <c r="A283" i="6"/>
  <c r="A284" i="6"/>
  <c r="A285" i="6"/>
  <c r="A262"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4" i="10"/>
  <c r="AM4" i="10" s="1" a="1"/>
  <c r="AM4" i="10" s="1"/>
  <c r="B4" i="10"/>
  <c r="C4" i="10"/>
  <c r="D4" i="10"/>
  <c r="E4" i="10"/>
  <c r="F4" i="10"/>
  <c r="G4" i="10"/>
  <c r="H4" i="10"/>
  <c r="O4" i="10"/>
  <c r="P4" i="10"/>
  <c r="Q4" i="10"/>
  <c r="R4" i="10"/>
  <c r="S4" i="10"/>
  <c r="T4" i="10"/>
  <c r="A5" i="10"/>
  <c r="AN5" i="10" s="1" a="1"/>
  <c r="AN5" i="10" s="1"/>
  <c r="B5" i="10"/>
  <c r="C5" i="10"/>
  <c r="D5" i="10"/>
  <c r="E5" i="10"/>
  <c r="F5" i="10"/>
  <c r="G5" i="10"/>
  <c r="H5" i="10"/>
  <c r="L5" i="10"/>
  <c r="O5" i="10"/>
  <c r="P5" i="10"/>
  <c r="Q5" i="10"/>
  <c r="R5" i="10"/>
  <c r="S5" i="10"/>
  <c r="T5" i="10"/>
  <c r="A6" i="10"/>
  <c r="AC6" i="10" s="1" a="1"/>
  <c r="AC6" i="10" s="1"/>
  <c r="B6" i="10"/>
  <c r="C6" i="10"/>
  <c r="D6" i="10"/>
  <c r="E6" i="10"/>
  <c r="F6" i="10"/>
  <c r="G6" i="10"/>
  <c r="H6" i="10"/>
  <c r="L6" i="10"/>
  <c r="O6" i="10"/>
  <c r="P6" i="10"/>
  <c r="Q6" i="10"/>
  <c r="R6" i="10"/>
  <c r="S6" i="10"/>
  <c r="T6" i="10"/>
  <c r="A7" i="10"/>
  <c r="AK7" i="10" s="1" a="1"/>
  <c r="AK7" i="10" s="1"/>
  <c r="B7" i="10"/>
  <c r="C7" i="10"/>
  <c r="D7" i="10"/>
  <c r="E7" i="10"/>
  <c r="F7" i="10"/>
  <c r="G7" i="10"/>
  <c r="H7" i="10"/>
  <c r="L7" i="10"/>
  <c r="O7" i="10"/>
  <c r="P7" i="10"/>
  <c r="Q7" i="10"/>
  <c r="R7" i="10"/>
  <c r="S7" i="10"/>
  <c r="T7" i="10"/>
  <c r="A8" i="10"/>
  <c r="AJ8" i="10" s="1" a="1"/>
  <c r="AJ8" i="10" s="1"/>
  <c r="B8" i="10"/>
  <c r="C8" i="10"/>
  <c r="D8" i="10"/>
  <c r="E8" i="10"/>
  <c r="F8" i="10"/>
  <c r="G8" i="10"/>
  <c r="H8" i="10"/>
  <c r="L8" i="10"/>
  <c r="O8" i="10"/>
  <c r="P8" i="10"/>
  <c r="Q8" i="10"/>
  <c r="R8" i="10"/>
  <c r="S8" i="10"/>
  <c r="T8" i="10"/>
  <c r="A9" i="10"/>
  <c r="AG9" i="10" s="1" a="1"/>
  <c r="AG9" i="10" s="1"/>
  <c r="B9" i="10"/>
  <c r="C9" i="10"/>
  <c r="D9" i="10"/>
  <c r="E9" i="10"/>
  <c r="F9" i="10"/>
  <c r="G9" i="10"/>
  <c r="H9" i="10"/>
  <c r="L9" i="10"/>
  <c r="O9" i="10"/>
  <c r="P9" i="10"/>
  <c r="Q9" i="10"/>
  <c r="R9" i="10"/>
  <c r="S9" i="10"/>
  <c r="T9" i="10"/>
  <c r="A10" i="10"/>
  <c r="AO10" i="10" s="1" a="1"/>
  <c r="AO10" i="10" s="1"/>
  <c r="B10" i="10"/>
  <c r="C10" i="10"/>
  <c r="D10" i="10"/>
  <c r="E10" i="10"/>
  <c r="F10" i="10"/>
  <c r="G10" i="10"/>
  <c r="H10" i="10"/>
  <c r="L10" i="10"/>
  <c r="O10" i="10"/>
  <c r="P10" i="10"/>
  <c r="Q10" i="10"/>
  <c r="R10" i="10"/>
  <c r="S10" i="10"/>
  <c r="T10" i="10"/>
  <c r="A11" i="10"/>
  <c r="AD11" i="10" s="1" a="1"/>
  <c r="AD11" i="10" s="1"/>
  <c r="B11" i="10"/>
  <c r="C11" i="10"/>
  <c r="D11" i="10"/>
  <c r="E11" i="10"/>
  <c r="F11" i="10"/>
  <c r="G11" i="10"/>
  <c r="H11" i="10"/>
  <c r="L11" i="10"/>
  <c r="O11" i="10"/>
  <c r="P11" i="10"/>
  <c r="Q11" i="10"/>
  <c r="R11" i="10"/>
  <c r="S11" i="10"/>
  <c r="T11" i="10"/>
  <c r="A12" i="10"/>
  <c r="AK12" i="10" s="1" a="1"/>
  <c r="AK12" i="10" s="1"/>
  <c r="B12" i="10"/>
  <c r="C12" i="10"/>
  <c r="D12" i="10"/>
  <c r="E12" i="10"/>
  <c r="F12" i="10"/>
  <c r="G12" i="10"/>
  <c r="H12" i="10"/>
  <c r="L12" i="10"/>
  <c r="O12" i="10"/>
  <c r="P12" i="10"/>
  <c r="Q12" i="10"/>
  <c r="R12" i="10"/>
  <c r="S12" i="10"/>
  <c r="T12" i="10"/>
  <c r="A13" i="10"/>
  <c r="AC13" i="10" s="1" a="1"/>
  <c r="AC13" i="10" s="1"/>
  <c r="B13" i="10"/>
  <c r="C13" i="10"/>
  <c r="D13" i="10"/>
  <c r="E13" i="10"/>
  <c r="F13" i="10"/>
  <c r="G13" i="10"/>
  <c r="H13" i="10"/>
  <c r="L13" i="10"/>
  <c r="O13" i="10"/>
  <c r="P13" i="10"/>
  <c r="Q13" i="10"/>
  <c r="R13" i="10"/>
  <c r="S13" i="10"/>
  <c r="T13" i="10"/>
  <c r="A14" i="10"/>
  <c r="AG14" i="10" s="1" a="1"/>
  <c r="AG14" i="10" s="1"/>
  <c r="B14" i="10"/>
  <c r="C14" i="10"/>
  <c r="D14" i="10"/>
  <c r="E14" i="10"/>
  <c r="F14" i="10"/>
  <c r="G14" i="10"/>
  <c r="H14" i="10"/>
  <c r="L14" i="10"/>
  <c r="O14" i="10"/>
  <c r="P14" i="10"/>
  <c r="Q14" i="10"/>
  <c r="R14" i="10"/>
  <c r="S14" i="10"/>
  <c r="T14" i="10"/>
  <c r="A15" i="10"/>
  <c r="AO15" i="10" s="1" a="1"/>
  <c r="AO15" i="10" s="1"/>
  <c r="B15" i="10"/>
  <c r="C15" i="10"/>
  <c r="D15" i="10"/>
  <c r="E15" i="10"/>
  <c r="F15" i="10"/>
  <c r="G15" i="10"/>
  <c r="H15" i="10"/>
  <c r="L15" i="10"/>
  <c r="O15" i="10"/>
  <c r="P15" i="10"/>
  <c r="Q15" i="10"/>
  <c r="R15" i="10"/>
  <c r="S15" i="10"/>
  <c r="T15" i="10"/>
  <c r="A16" i="10"/>
  <c r="AL16" i="10" s="1" a="1"/>
  <c r="AL16" i="10" s="1"/>
  <c r="B16" i="10"/>
  <c r="C16" i="10"/>
  <c r="D16" i="10"/>
  <c r="E16" i="10"/>
  <c r="F16" i="10"/>
  <c r="G16" i="10"/>
  <c r="H16" i="10"/>
  <c r="L16" i="10"/>
  <c r="O16" i="10"/>
  <c r="P16" i="10"/>
  <c r="Q16" i="10"/>
  <c r="R16" i="10"/>
  <c r="S16" i="10"/>
  <c r="T16" i="10"/>
  <c r="A17" i="10"/>
  <c r="AL17" i="10" s="1" a="1"/>
  <c r="AL17" i="10" s="1"/>
  <c r="B17" i="10"/>
  <c r="C17" i="10"/>
  <c r="D17" i="10"/>
  <c r="E17" i="10"/>
  <c r="F17" i="10"/>
  <c r="G17" i="10"/>
  <c r="H17" i="10"/>
  <c r="L17" i="10"/>
  <c r="O17" i="10"/>
  <c r="P17" i="10"/>
  <c r="Q17" i="10"/>
  <c r="R17" i="10"/>
  <c r="S17" i="10"/>
  <c r="T17" i="10"/>
  <c r="A18" i="10"/>
  <c r="AC18" i="10" s="1" a="1"/>
  <c r="AC18" i="10" s="1"/>
  <c r="B18" i="10"/>
  <c r="C18" i="10"/>
  <c r="D18" i="10"/>
  <c r="E18" i="10"/>
  <c r="F18" i="10"/>
  <c r="G18" i="10"/>
  <c r="H18" i="10"/>
  <c r="L18" i="10"/>
  <c r="O18" i="10"/>
  <c r="P18" i="10"/>
  <c r="Q18" i="10"/>
  <c r="R18" i="10"/>
  <c r="S18" i="10"/>
  <c r="T18" i="10"/>
  <c r="A19" i="10"/>
  <c r="AH19" i="10" s="1" a="1"/>
  <c r="AH19" i="10" s="1"/>
  <c r="B19" i="10"/>
  <c r="C19" i="10"/>
  <c r="D19" i="10"/>
  <c r="E19" i="10"/>
  <c r="F19" i="10"/>
  <c r="G19" i="10"/>
  <c r="H19" i="10"/>
  <c r="L19" i="10"/>
  <c r="O19" i="10"/>
  <c r="P19" i="10"/>
  <c r="Q19" i="10"/>
  <c r="R19" i="10"/>
  <c r="S19" i="10"/>
  <c r="T19" i="10"/>
  <c r="A20" i="10"/>
  <c r="AC20" i="10" s="1" a="1"/>
  <c r="AC20" i="10" s="1"/>
  <c r="B20" i="10"/>
  <c r="C20" i="10"/>
  <c r="D20" i="10"/>
  <c r="E20" i="10"/>
  <c r="F20" i="10"/>
  <c r="G20" i="10"/>
  <c r="H20" i="10"/>
  <c r="O20" i="10"/>
  <c r="P20" i="10"/>
  <c r="Q20" i="10"/>
  <c r="R20" i="10"/>
  <c r="S20" i="10"/>
  <c r="T20" i="10"/>
  <c r="A21" i="10"/>
  <c r="AC21" i="10" s="1" a="1"/>
  <c r="AC21" i="10" s="1"/>
  <c r="B21" i="10"/>
  <c r="C21" i="10"/>
  <c r="D21" i="10"/>
  <c r="E21" i="10"/>
  <c r="F21" i="10"/>
  <c r="G21" i="10"/>
  <c r="H21" i="10"/>
  <c r="O21" i="10"/>
  <c r="P21" i="10"/>
  <c r="Q21" i="10"/>
  <c r="R21" i="10"/>
  <c r="S21" i="10"/>
  <c r="T21" i="10"/>
  <c r="A22" i="10"/>
  <c r="AL22" i="10" s="1" a="1"/>
  <c r="AL22" i="10" s="1"/>
  <c r="B22" i="10"/>
  <c r="C22" i="10"/>
  <c r="D22" i="10"/>
  <c r="E22" i="10"/>
  <c r="F22" i="10"/>
  <c r="G22" i="10"/>
  <c r="H22" i="10"/>
  <c r="O22" i="10"/>
  <c r="P22" i="10"/>
  <c r="Q22" i="10"/>
  <c r="R22" i="10"/>
  <c r="S22" i="10"/>
  <c r="T22" i="10"/>
  <c r="A23" i="10"/>
  <c r="AC23" i="10" s="1" a="1"/>
  <c r="AC23" i="10" s="1"/>
  <c r="B23" i="10"/>
  <c r="C23" i="10"/>
  <c r="D23" i="10"/>
  <c r="E23" i="10"/>
  <c r="F23" i="10"/>
  <c r="G23" i="10"/>
  <c r="H23" i="10"/>
  <c r="L23" i="10"/>
  <c r="O23" i="10"/>
  <c r="P23" i="10"/>
  <c r="Q23" i="10"/>
  <c r="R23" i="10"/>
  <c r="S23" i="10"/>
  <c r="T23" i="10"/>
  <c r="A24" i="10"/>
  <c r="AH24" i="10" s="1" a="1"/>
  <c r="AH24" i="10" s="1"/>
  <c r="B24" i="10"/>
  <c r="C24" i="10"/>
  <c r="D24" i="10"/>
  <c r="E24" i="10"/>
  <c r="F24" i="10"/>
  <c r="G24" i="10"/>
  <c r="H24" i="10"/>
  <c r="L24" i="10"/>
  <c r="O24" i="10"/>
  <c r="P24" i="10"/>
  <c r="Q24" i="10"/>
  <c r="R24" i="10"/>
  <c r="S24" i="10"/>
  <c r="T24" i="10"/>
  <c r="A25" i="10"/>
  <c r="AE25" i="10" s="1" a="1"/>
  <c r="AE25" i="10" s="1"/>
  <c r="B25" i="10"/>
  <c r="C25" i="10"/>
  <c r="D25" i="10"/>
  <c r="E25" i="10"/>
  <c r="F25" i="10"/>
  <c r="G25" i="10"/>
  <c r="H25" i="10"/>
  <c r="L25" i="10"/>
  <c r="O25" i="10"/>
  <c r="P25" i="10"/>
  <c r="Q25" i="10"/>
  <c r="R25" i="10"/>
  <c r="S25" i="10"/>
  <c r="T25" i="10"/>
  <c r="A26" i="10"/>
  <c r="AG26" i="10" s="1" a="1"/>
  <c r="AG26" i="10" s="1"/>
  <c r="B26" i="10"/>
  <c r="C26" i="10"/>
  <c r="D26" i="10"/>
  <c r="E26" i="10"/>
  <c r="F26" i="10"/>
  <c r="G26" i="10"/>
  <c r="H26" i="10"/>
  <c r="L26" i="10"/>
  <c r="O26" i="10"/>
  <c r="P26" i="10"/>
  <c r="Q26" i="10"/>
  <c r="R26" i="10"/>
  <c r="S26" i="10"/>
  <c r="T26" i="10"/>
  <c r="A27" i="10"/>
  <c r="AM27" i="10" s="1" a="1"/>
  <c r="AM27" i="10" s="1"/>
  <c r="B27" i="10"/>
  <c r="C27" i="10"/>
  <c r="D27" i="10"/>
  <c r="E27" i="10"/>
  <c r="F27" i="10"/>
  <c r="G27" i="10"/>
  <c r="H27" i="10"/>
  <c r="L27" i="10"/>
  <c r="O27" i="10"/>
  <c r="P27" i="10"/>
  <c r="Q27" i="10"/>
  <c r="R27" i="10"/>
  <c r="S27" i="10"/>
  <c r="T27" i="10"/>
  <c r="A28" i="10"/>
  <c r="AC28" i="10" s="1" a="1"/>
  <c r="AC28" i="10" s="1"/>
  <c r="B28" i="10"/>
  <c r="C28" i="10"/>
  <c r="D28" i="10"/>
  <c r="E28" i="10"/>
  <c r="F28" i="10"/>
  <c r="G28" i="10"/>
  <c r="H28" i="10"/>
  <c r="L28" i="10"/>
  <c r="O28" i="10"/>
  <c r="P28" i="10"/>
  <c r="Q28" i="10"/>
  <c r="R28" i="10"/>
  <c r="S28" i="10"/>
  <c r="T28" i="10"/>
  <c r="A29" i="10"/>
  <c r="AM29" i="10" s="1" a="1"/>
  <c r="AM29" i="10" s="1"/>
  <c r="B29" i="10"/>
  <c r="C29" i="10"/>
  <c r="D29" i="10"/>
  <c r="E29" i="10"/>
  <c r="F29" i="10"/>
  <c r="G29" i="10"/>
  <c r="H29" i="10"/>
  <c r="L29" i="10"/>
  <c r="O29" i="10"/>
  <c r="P29" i="10"/>
  <c r="Q29" i="10"/>
  <c r="R29" i="10"/>
  <c r="S29" i="10"/>
  <c r="T29" i="10"/>
  <c r="A30" i="10"/>
  <c r="AQ30" i="10" s="1"/>
  <c r="B30" i="10"/>
  <c r="C30" i="10"/>
  <c r="D30" i="10"/>
  <c r="E30" i="10"/>
  <c r="F30" i="10"/>
  <c r="G30" i="10"/>
  <c r="H30" i="10"/>
  <c r="L30" i="10"/>
  <c r="O30" i="10"/>
  <c r="P30" i="10"/>
  <c r="Q30" i="10"/>
  <c r="R30" i="10"/>
  <c r="S30" i="10"/>
  <c r="T30" i="10"/>
  <c r="A31" i="10"/>
  <c r="AG31" i="10" s="1" a="1"/>
  <c r="AG31" i="10" s="1"/>
  <c r="B31" i="10"/>
  <c r="C31" i="10"/>
  <c r="D31" i="10"/>
  <c r="E31" i="10"/>
  <c r="F31" i="10"/>
  <c r="G31" i="10"/>
  <c r="H31" i="10"/>
  <c r="L31" i="10"/>
  <c r="O31" i="10"/>
  <c r="P31" i="10"/>
  <c r="Q31" i="10"/>
  <c r="R31" i="10"/>
  <c r="S31" i="10"/>
  <c r="T31" i="10"/>
  <c r="A32" i="10"/>
  <c r="AM32" i="10" s="1" a="1"/>
  <c r="AM32" i="10" s="1"/>
  <c r="B32" i="10"/>
  <c r="C32" i="10"/>
  <c r="D32" i="10"/>
  <c r="E32" i="10"/>
  <c r="F32" i="10"/>
  <c r="G32" i="10"/>
  <c r="H32" i="10"/>
  <c r="L32" i="10"/>
  <c r="O32" i="10"/>
  <c r="P32" i="10"/>
  <c r="Q32" i="10"/>
  <c r="R32" i="10"/>
  <c r="S32" i="10"/>
  <c r="T32" i="10"/>
  <c r="A33" i="10"/>
  <c r="AC33" i="10" s="1" a="1"/>
  <c r="AC33" i="10" s="1"/>
  <c r="B33" i="10"/>
  <c r="C33" i="10"/>
  <c r="D33" i="10"/>
  <c r="E33" i="10"/>
  <c r="F33" i="10"/>
  <c r="G33" i="10"/>
  <c r="H33" i="10"/>
  <c r="L33" i="10"/>
  <c r="O33" i="10"/>
  <c r="P33" i="10"/>
  <c r="Q33" i="10"/>
  <c r="R33" i="10"/>
  <c r="S33" i="10"/>
  <c r="T33" i="10"/>
  <c r="A34" i="10"/>
  <c r="AJ34" i="10" s="1" a="1"/>
  <c r="AJ34" i="10" s="1"/>
  <c r="B34" i="10"/>
  <c r="C34" i="10"/>
  <c r="D34" i="10"/>
  <c r="E34" i="10"/>
  <c r="F34" i="10"/>
  <c r="G34" i="10"/>
  <c r="H34" i="10"/>
  <c r="L34" i="10"/>
  <c r="O34" i="10"/>
  <c r="P34" i="10"/>
  <c r="Q34" i="10"/>
  <c r="R34" i="10"/>
  <c r="S34" i="10"/>
  <c r="T34" i="10"/>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BK267" i="2"/>
  <c r="AI267" i="2" s="1"/>
  <c r="BI273" i="2"/>
  <c r="BJ273" i="2"/>
  <c r="BK273" i="2"/>
  <c r="AI273" i="2" s="1"/>
  <c r="BI256" i="2"/>
  <c r="BJ256" i="2"/>
  <c r="BK256" i="2"/>
  <c r="AI256" i="2" s="1"/>
  <c r="BI263" i="2"/>
  <c r="BJ263" i="2"/>
  <c r="BK263" i="2"/>
  <c r="AI263" i="2" s="1"/>
  <c r="BI264" i="2"/>
  <c r="BJ264" i="2"/>
  <c r="BK264" i="2"/>
  <c r="AI264" i="2" s="1"/>
  <c r="BI267" i="2"/>
  <c r="BJ267" i="2"/>
  <c r="BI268" i="2"/>
  <c r="BJ268" i="2"/>
  <c r="BK268" i="2"/>
  <c r="AI268" i="2" s="1"/>
  <c r="BI270" i="2"/>
  <c r="BJ270" i="2"/>
  <c r="BK270" i="2"/>
  <c r="AI270" i="2" s="1"/>
  <c r="BI272" i="2"/>
  <c r="BJ272" i="2"/>
  <c r="BK272" i="2"/>
  <c r="AI272" i="2" s="1"/>
  <c r="BI253" i="2"/>
  <c r="BJ253" i="2"/>
  <c r="BK253" i="2"/>
  <c r="AI253" i="2" s="1"/>
  <c r="BI241" i="2"/>
  <c r="BJ241" i="2"/>
  <c r="BK241" i="2"/>
  <c r="AI241" i="2" s="1"/>
  <c r="BI242" i="2"/>
  <c r="BJ242" i="2"/>
  <c r="BK242" i="2"/>
  <c r="AI242" i="2" s="1"/>
  <c r="BJ243" i="2"/>
  <c r="BK243" i="2"/>
  <c r="AI243" i="2" s="1"/>
  <c r="BJ244" i="2"/>
  <c r="BK244" i="2"/>
  <c r="AI244" i="2" s="1"/>
  <c r="BJ245" i="2"/>
  <c r="BK245" i="2"/>
  <c r="AI245" i="2" s="1"/>
  <c r="BJ246" i="2"/>
  <c r="BK246" i="2"/>
  <c r="AI246" i="2" s="1"/>
  <c r="BJ247" i="2"/>
  <c r="BK247" i="2"/>
  <c r="AI247" i="2" s="1"/>
  <c r="BJ248" i="2"/>
  <c r="BK248" i="2"/>
  <c r="AI248" i="2" s="1"/>
  <c r="BJ249" i="2"/>
  <c r="BK249" i="2"/>
  <c r="AI249" i="2" s="1"/>
  <c r="BJ250" i="2"/>
  <c r="BK250" i="2"/>
  <c r="AI250" i="2" s="1"/>
  <c r="BJ251" i="2"/>
  <c r="BK251" i="2"/>
  <c r="AI251" i="2" s="1"/>
  <c r="BJ252" i="2"/>
  <c r="BK252" i="2"/>
  <c r="AI252" i="2" s="1"/>
  <c r="BI247" i="2"/>
  <c r="BI248" i="2"/>
  <c r="BI249" i="2"/>
  <c r="BI250" i="2"/>
  <c r="BI251" i="2"/>
  <c r="BI252" i="2"/>
  <c r="BI246" i="2"/>
  <c r="BI245" i="2"/>
  <c r="BI244" i="2"/>
  <c r="BI243"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BA274" i="2"/>
  <c r="BB274" i="2"/>
  <c r="BI240" i="2"/>
  <c r="BJ240" i="2"/>
  <c r="BK240" i="2"/>
  <c r="BL240" i="2"/>
  <c r="BH240" i="2"/>
  <c r="G242" i="2"/>
  <c r="H242" i="2"/>
  <c r="AE242" i="2" s="1"/>
  <c r="I242" i="2"/>
  <c r="G243" i="2"/>
  <c r="H243" i="2"/>
  <c r="AE243" i="2" s="1"/>
  <c r="I243" i="2"/>
  <c r="G244" i="2"/>
  <c r="H244" i="2"/>
  <c r="AE244" i="2" s="1"/>
  <c r="I244" i="2"/>
  <c r="G245" i="2"/>
  <c r="H245" i="2"/>
  <c r="AE245" i="2" s="1"/>
  <c r="I245" i="2"/>
  <c r="G246" i="2"/>
  <c r="H246" i="2"/>
  <c r="AE246" i="2" s="1"/>
  <c r="I246" i="2"/>
  <c r="G247" i="2"/>
  <c r="H247" i="2"/>
  <c r="AE247" i="2" s="1"/>
  <c r="I247" i="2"/>
  <c r="G248" i="2"/>
  <c r="H248" i="2"/>
  <c r="AE248" i="2" s="1"/>
  <c r="I248" i="2"/>
  <c r="G249" i="2"/>
  <c r="H249" i="2"/>
  <c r="AE249" i="2" s="1"/>
  <c r="I249" i="2"/>
  <c r="G250" i="2"/>
  <c r="H250" i="2"/>
  <c r="AE250" i="2" s="1"/>
  <c r="I250" i="2"/>
  <c r="G251" i="2"/>
  <c r="H251" i="2"/>
  <c r="AE251" i="2" s="1"/>
  <c r="I251" i="2"/>
  <c r="G252" i="2"/>
  <c r="H252" i="2"/>
  <c r="AE252" i="2" s="1"/>
  <c r="I252" i="2"/>
  <c r="G253" i="2"/>
  <c r="H253" i="2"/>
  <c r="AE253" i="2" s="1"/>
  <c r="I253" i="2"/>
  <c r="B242" i="2"/>
  <c r="AZ242" i="2" s="1"/>
  <c r="C242" i="2"/>
  <c r="B243" i="2"/>
  <c r="AZ243" i="2" s="1"/>
  <c r="C243" i="2"/>
  <c r="B244" i="2"/>
  <c r="AZ244" i="2" s="1"/>
  <c r="C244" i="2"/>
  <c r="B245" i="2"/>
  <c r="AZ245" i="2" s="1"/>
  <c r="C245" i="2"/>
  <c r="B246" i="2"/>
  <c r="AZ246" i="2" s="1"/>
  <c r="C246" i="2"/>
  <c r="B247" i="2"/>
  <c r="AZ247" i="2" s="1"/>
  <c r="C247" i="2"/>
  <c r="B248" i="2"/>
  <c r="AZ248" i="2" s="1"/>
  <c r="C248" i="2"/>
  <c r="B249" i="2"/>
  <c r="AZ249" i="2" s="1"/>
  <c r="C249" i="2"/>
  <c r="B250" i="2"/>
  <c r="AZ250" i="2" s="1"/>
  <c r="C250" i="2"/>
  <c r="B251" i="2"/>
  <c r="AZ251" i="2" s="1"/>
  <c r="C251" i="2"/>
  <c r="B252" i="2"/>
  <c r="AZ252" i="2" s="1"/>
  <c r="C252" i="2"/>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C228" i="6"/>
  <c r="C229" i="6"/>
  <c r="C230" i="6"/>
  <c r="C231" i="6"/>
  <c r="C232" i="6"/>
  <c r="C233" i="6"/>
  <c r="C234" i="6"/>
  <c r="C235" i="6"/>
  <c r="C236" i="6"/>
  <c r="C237" i="6"/>
  <c r="C238" i="6"/>
  <c r="B228" i="6"/>
  <c r="B229" i="6"/>
  <c r="B230" i="6"/>
  <c r="B231" i="6"/>
  <c r="B232" i="6"/>
  <c r="B233" i="6"/>
  <c r="B234" i="6"/>
  <c r="B235" i="6"/>
  <c r="B236" i="6"/>
  <c r="B237" i="6"/>
  <c r="B238" i="6"/>
  <c r="A3" i="10"/>
  <c r="A227" i="6"/>
  <c r="A194" i="6"/>
  <c r="W182" i="33" a="1"/>
  <c r="W182" i="33" s="1"/>
  <c r="X182" i="33" a="1"/>
  <c r="X182" i="33" s="1"/>
  <c r="W183" i="33" a="1"/>
  <c r="W183" i="33" s="1"/>
  <c r="X183" i="33" a="1"/>
  <c r="X183" i="33" s="1"/>
  <c r="W184" i="33" a="1"/>
  <c r="W184" i="33" s="1"/>
  <c r="X184" i="33" a="1"/>
  <c r="X184" i="33" s="1"/>
  <c r="W185" i="33" a="1"/>
  <c r="W185" i="33" s="1"/>
  <c r="X185" i="33" a="1"/>
  <c r="X185" i="33" s="1"/>
  <c r="W186" i="33" a="1"/>
  <c r="W186" i="33" s="1"/>
  <c r="X186" i="33" a="1"/>
  <c r="X186" i="33" s="1"/>
  <c r="W187" i="33" a="1"/>
  <c r="W187" i="33" s="1"/>
  <c r="X187" i="33" a="1"/>
  <c r="X187" i="33" s="1"/>
  <c r="W188" i="33" a="1"/>
  <c r="W188" i="33" s="1"/>
  <c r="X188" i="33" a="1"/>
  <c r="X188" i="33" s="1"/>
  <c r="W189" i="33" a="1"/>
  <c r="W189" i="33" s="1"/>
  <c r="X189" i="33" a="1"/>
  <c r="X189" i="33" s="1"/>
  <c r="W190" i="33" a="1"/>
  <c r="W190" i="33" s="1"/>
  <c r="X190" i="33" a="1"/>
  <c r="X190" i="33" s="1"/>
  <c r="W191" i="33" a="1"/>
  <c r="W191" i="33" s="1"/>
  <c r="X191" i="33" a="1"/>
  <c r="X191" i="33" s="1"/>
  <c r="W192" i="33" a="1"/>
  <c r="W192" i="33" s="1"/>
  <c r="X192" i="33" a="1"/>
  <c r="X192" i="33" s="1"/>
  <c r="W193" i="33" a="1"/>
  <c r="W193" i="33" s="1"/>
  <c r="X193" i="33" a="1"/>
  <c r="X193" i="33" s="1"/>
  <c r="W194" i="33" a="1"/>
  <c r="W194" i="33" s="1"/>
  <c r="X194" i="33" a="1"/>
  <c r="X194" i="33" s="1"/>
  <c r="W195" i="33" a="1"/>
  <c r="W195" i="33" s="1"/>
  <c r="X195" i="33" a="1"/>
  <c r="X195" i="33" s="1"/>
  <c r="W196" i="33" a="1"/>
  <c r="W196" i="33" s="1"/>
  <c r="X196" i="33" a="1"/>
  <c r="X196" i="33" s="1"/>
  <c r="W197" i="33" a="1"/>
  <c r="W197" i="33" s="1"/>
  <c r="X197" i="33" a="1"/>
  <c r="X197" i="33" s="1"/>
  <c r="W198" i="33" a="1"/>
  <c r="W198" i="33" s="1"/>
  <c r="X198" i="33" a="1"/>
  <c r="X198" i="33" s="1"/>
  <c r="W199" i="33" a="1"/>
  <c r="W199" i="33" s="1"/>
  <c r="X199" i="33" a="1"/>
  <c r="X199" i="33" s="1"/>
  <c r="W200" i="33" a="1"/>
  <c r="W200" i="33" s="1"/>
  <c r="X200" i="33" a="1"/>
  <c r="X200" i="33" s="1"/>
  <c r="W201" i="33" a="1"/>
  <c r="W201" i="33" s="1"/>
  <c r="X201" i="33" a="1"/>
  <c r="X201" i="33" s="1"/>
  <c r="W202" i="33" a="1"/>
  <c r="W202" i="33" s="1"/>
  <c r="X202" i="33" a="1"/>
  <c r="X202" i="33" s="1"/>
  <c r="W203" i="33" a="1"/>
  <c r="W203" i="33" s="1"/>
  <c r="X203" i="33" a="1"/>
  <c r="X203" i="33" s="1"/>
  <c r="W204" i="33" a="1"/>
  <c r="W204" i="33" s="1"/>
  <c r="X204" i="33" a="1"/>
  <c r="X204" i="33" s="1"/>
  <c r="W205" i="33" a="1"/>
  <c r="W205" i="33" s="1"/>
  <c r="X205" i="33" a="1"/>
  <c r="X205" i="33" s="1"/>
  <c r="W206" i="33" a="1"/>
  <c r="W206" i="33" s="1"/>
  <c r="X206" i="33" a="1"/>
  <c r="X206" i="33" s="1"/>
  <c r="W207" i="33" a="1"/>
  <c r="W207" i="33" s="1"/>
  <c r="X207" i="33" a="1"/>
  <c r="X207" i="33" s="1"/>
  <c r="W208" i="33" a="1"/>
  <c r="W208" i="33" s="1"/>
  <c r="X208" i="33" a="1"/>
  <c r="X208" i="33" s="1"/>
  <c r="W209" i="33" a="1"/>
  <c r="W209" i="33" s="1"/>
  <c r="X209" i="33" a="1"/>
  <c r="X209" i="33" s="1"/>
  <c r="W210" i="33" a="1"/>
  <c r="W210" i="33" s="1"/>
  <c r="X210" i="33" a="1"/>
  <c r="X210" i="33" s="1"/>
  <c r="W211" i="33" a="1"/>
  <c r="W211" i="33" s="1"/>
  <c r="X211" i="33" a="1"/>
  <c r="X211" i="33" s="1"/>
  <c r="W212" i="33" a="1"/>
  <c r="W212" i="33" s="1"/>
  <c r="X212" i="33" a="1"/>
  <c r="X212" i="33" s="1"/>
  <c r="W213" i="33" a="1"/>
  <c r="W213" i="33" s="1"/>
  <c r="X213" i="33" a="1"/>
  <c r="X213" i="33" s="1"/>
  <c r="W214" i="33" a="1"/>
  <c r="W214" i="33" s="1"/>
  <c r="X214" i="33" a="1"/>
  <c r="X214" i="33" s="1"/>
  <c r="W215" i="33" a="1"/>
  <c r="W215" i="33" s="1"/>
  <c r="X215" i="33" a="1"/>
  <c r="X215" i="33" s="1"/>
  <c r="W163" i="33" a="1"/>
  <c r="W163" i="33" s="1"/>
  <c r="X163" i="33" a="1"/>
  <c r="X163" i="33" s="1"/>
  <c r="W164" i="33" a="1"/>
  <c r="W164" i="33" s="1"/>
  <c r="X164" i="33" a="1"/>
  <c r="X164" i="33" s="1"/>
  <c r="W165" i="33" a="1"/>
  <c r="W165" i="33" s="1"/>
  <c r="X165" i="33" a="1"/>
  <c r="X165" i="33" s="1"/>
  <c r="W166" i="33" a="1"/>
  <c r="W166" i="33" s="1"/>
  <c r="X166" i="33" a="1"/>
  <c r="X166" i="33" s="1"/>
  <c r="W167" i="33" a="1"/>
  <c r="W167" i="33" s="1"/>
  <c r="X167" i="33" a="1"/>
  <c r="X167" i="33" s="1"/>
  <c r="W168" i="33" a="1"/>
  <c r="W168" i="33" s="1"/>
  <c r="X168" i="33" a="1"/>
  <c r="X168" i="33" s="1"/>
  <c r="W169" i="33" a="1"/>
  <c r="W169" i="33" s="1"/>
  <c r="X169" i="33" a="1"/>
  <c r="X169" i="33" s="1"/>
  <c r="W170" i="33" a="1"/>
  <c r="W170" i="33" s="1"/>
  <c r="X170" i="33" a="1"/>
  <c r="X170" i="33" s="1"/>
  <c r="W171" i="33" a="1"/>
  <c r="W171" i="33" s="1"/>
  <c r="X171" i="33" a="1"/>
  <c r="X171" i="33" s="1"/>
  <c r="W172" i="33" a="1"/>
  <c r="W172" i="33" s="1"/>
  <c r="X172" i="33" a="1"/>
  <c r="X172" i="33" s="1"/>
  <c r="W173" i="33" a="1"/>
  <c r="W173" i="33" s="1"/>
  <c r="X173" i="33" a="1"/>
  <c r="X173" i="33" s="1"/>
  <c r="W174" i="33" a="1"/>
  <c r="W174" i="33" s="1"/>
  <c r="X174" i="33" a="1"/>
  <c r="X174" i="33" s="1"/>
  <c r="W175" i="33" a="1"/>
  <c r="W175" i="33" s="1"/>
  <c r="X175" i="33" a="1"/>
  <c r="X175" i="33" s="1"/>
  <c r="W176" i="33" a="1"/>
  <c r="W176" i="33" s="1"/>
  <c r="X176" i="33" a="1"/>
  <c r="X176" i="33" s="1"/>
  <c r="W177" i="33" a="1"/>
  <c r="W177" i="33" s="1"/>
  <c r="X177" i="33" a="1"/>
  <c r="X177" i="33" s="1"/>
  <c r="W178" i="33" a="1"/>
  <c r="W178" i="33" s="1"/>
  <c r="X178" i="33" a="1"/>
  <c r="X178" i="33" s="1"/>
  <c r="W179" i="33" a="1"/>
  <c r="W179" i="33" s="1"/>
  <c r="X179" i="33" a="1"/>
  <c r="X179" i="33" s="1"/>
  <c r="W180" i="33" a="1"/>
  <c r="W180" i="33" s="1"/>
  <c r="X180" i="33" a="1"/>
  <c r="X180" i="33" s="1"/>
  <c r="W181" i="33" a="1"/>
  <c r="W181" i="33" s="1"/>
  <c r="X181" i="33" a="1"/>
  <c r="X181" i="33" s="1"/>
  <c r="W146" i="33" a="1"/>
  <c r="W146" i="33" s="1"/>
  <c r="X146" i="33" a="1"/>
  <c r="X146" i="33" s="1"/>
  <c r="W147" i="33" a="1"/>
  <c r="W147" i="33" s="1"/>
  <c r="X147" i="33" a="1"/>
  <c r="X147" i="33" s="1"/>
  <c r="W148" i="33" a="1"/>
  <c r="W148" i="33" s="1"/>
  <c r="X148" i="33" a="1"/>
  <c r="X148" i="33" s="1"/>
  <c r="W149" i="33" a="1"/>
  <c r="W149" i="33" s="1"/>
  <c r="X149" i="33" a="1"/>
  <c r="X149" i="33" s="1"/>
  <c r="W150" i="33" a="1"/>
  <c r="W150" i="33" s="1"/>
  <c r="X150" i="33" a="1"/>
  <c r="X150" i="33" s="1"/>
  <c r="W151" i="33" a="1"/>
  <c r="W151" i="33" s="1"/>
  <c r="X151" i="33" a="1"/>
  <c r="X151" i="33" s="1"/>
  <c r="W152" i="33" a="1"/>
  <c r="W152" i="33" s="1"/>
  <c r="X152" i="33" a="1"/>
  <c r="X152" i="33" s="1"/>
  <c r="W153" i="33" a="1"/>
  <c r="W153" i="33" s="1"/>
  <c r="X153" i="33" a="1"/>
  <c r="X153" i="33" s="1"/>
  <c r="W154" i="33" a="1"/>
  <c r="W154" i="33" s="1"/>
  <c r="X154" i="33" a="1"/>
  <c r="X154" i="33" s="1"/>
  <c r="W155" i="33" a="1"/>
  <c r="W155" i="33" s="1"/>
  <c r="X155" i="33" a="1"/>
  <c r="X155" i="33" s="1"/>
  <c r="W156" i="33" a="1"/>
  <c r="W156" i="33" s="1"/>
  <c r="X156" i="33" a="1"/>
  <c r="X156" i="33" s="1"/>
  <c r="W157" i="33" a="1"/>
  <c r="W157" i="33" s="1"/>
  <c r="X157" i="33" a="1"/>
  <c r="X157" i="33" s="1"/>
  <c r="W158" i="33" a="1"/>
  <c r="W158" i="33" s="1"/>
  <c r="X158" i="33" a="1"/>
  <c r="X158" i="33" s="1"/>
  <c r="W159" i="33" a="1"/>
  <c r="W159" i="33" s="1"/>
  <c r="X159" i="33" a="1"/>
  <c r="X159" i="33" s="1"/>
  <c r="W160" i="33" a="1"/>
  <c r="W160" i="33" s="1"/>
  <c r="X160" i="33" a="1"/>
  <c r="X160" i="33" s="1"/>
  <c r="W161" i="33" a="1"/>
  <c r="W161" i="33" s="1"/>
  <c r="X161" i="33" a="1"/>
  <c r="X161" i="33" s="1"/>
  <c r="W162" i="33" a="1"/>
  <c r="W162" i="33" s="1"/>
  <c r="X162" i="33" a="1"/>
  <c r="X162" i="33" s="1"/>
  <c r="V146" i="33" a="1"/>
  <c r="V146" i="33" s="1"/>
  <c r="V147" i="33" a="1"/>
  <c r="V147" i="33" s="1"/>
  <c r="V148" i="33" a="1"/>
  <c r="V148" i="33" s="1"/>
  <c r="V149" i="33" a="1"/>
  <c r="V149" i="33" s="1"/>
  <c r="V150" i="33" a="1"/>
  <c r="V150" i="33" s="1"/>
  <c r="V151" i="33" a="1"/>
  <c r="V151" i="33" s="1"/>
  <c r="V152" i="33" a="1"/>
  <c r="V152" i="33" s="1"/>
  <c r="V153" i="33" a="1"/>
  <c r="V153" i="33" s="1"/>
  <c r="V154" i="33" a="1"/>
  <c r="V154" i="33" s="1"/>
  <c r="V155" i="33" a="1"/>
  <c r="V155" i="33" s="1"/>
  <c r="V156" i="33" a="1"/>
  <c r="V156" i="33" s="1"/>
  <c r="V157" i="33" a="1"/>
  <c r="V157" i="33" s="1"/>
  <c r="V158" i="33" a="1"/>
  <c r="V158" i="33" s="1"/>
  <c r="V159" i="33" a="1"/>
  <c r="V159" i="33" s="1"/>
  <c r="V160" i="33" a="1"/>
  <c r="V160" i="33" s="1"/>
  <c r="V161" i="33" a="1"/>
  <c r="V161" i="33" s="1"/>
  <c r="V162" i="33" a="1"/>
  <c r="V162" i="33" s="1"/>
  <c r="V163" i="33" a="1"/>
  <c r="V163" i="33" s="1"/>
  <c r="V164" i="33" a="1"/>
  <c r="V164" i="33" s="1"/>
  <c r="V165" i="33" a="1"/>
  <c r="V165" i="33" s="1"/>
  <c r="V166" i="33" a="1"/>
  <c r="V166" i="33" s="1"/>
  <c r="V167" i="33" a="1"/>
  <c r="V167" i="33" s="1"/>
  <c r="V168" i="33" a="1"/>
  <c r="V168" i="33" s="1"/>
  <c r="V169" i="33" a="1"/>
  <c r="V169" i="33" s="1"/>
  <c r="V170" i="33" a="1"/>
  <c r="V170" i="33" s="1"/>
  <c r="V171" i="33" a="1"/>
  <c r="V171" i="33" s="1"/>
  <c r="V172" i="33" a="1"/>
  <c r="V172" i="33" s="1"/>
  <c r="V173" i="33" a="1"/>
  <c r="V173" i="33" s="1"/>
  <c r="V174" i="33" a="1"/>
  <c r="V174" i="33" s="1"/>
  <c r="V175" i="33" a="1"/>
  <c r="V175" i="33" s="1"/>
  <c r="V176" i="33" a="1"/>
  <c r="V176" i="33" s="1"/>
  <c r="V177" i="33" a="1"/>
  <c r="V177" i="33" s="1"/>
  <c r="V178" i="33" a="1"/>
  <c r="V178" i="33" s="1"/>
  <c r="V179" i="33" a="1"/>
  <c r="V179" i="33" s="1"/>
  <c r="V180" i="33" a="1"/>
  <c r="V180" i="33" s="1"/>
  <c r="V181" i="33" a="1"/>
  <c r="V181" i="33" s="1"/>
  <c r="V182" i="33" a="1"/>
  <c r="V182" i="33" s="1"/>
  <c r="V183" i="33" a="1"/>
  <c r="V183" i="33" s="1"/>
  <c r="V184" i="33" a="1"/>
  <c r="V184" i="33" s="1"/>
  <c r="V185" i="33" a="1"/>
  <c r="V185" i="33" s="1"/>
  <c r="V186" i="33" a="1"/>
  <c r="V186" i="33" s="1"/>
  <c r="V187" i="33" a="1"/>
  <c r="V187" i="33" s="1"/>
  <c r="V188" i="33" a="1"/>
  <c r="V188" i="33" s="1"/>
  <c r="V189" i="33" a="1"/>
  <c r="V189" i="33" s="1"/>
  <c r="V190" i="33" a="1"/>
  <c r="V190" i="33" s="1"/>
  <c r="V191" i="33" a="1"/>
  <c r="V191" i="33" s="1"/>
  <c r="V192" i="33" a="1"/>
  <c r="V192" i="33" s="1"/>
  <c r="V193" i="33" a="1"/>
  <c r="V193" i="33" s="1"/>
  <c r="V194" i="33" a="1"/>
  <c r="V194" i="33" s="1"/>
  <c r="V195" i="33" a="1"/>
  <c r="V195" i="33" s="1"/>
  <c r="V196" i="33" a="1"/>
  <c r="V196" i="33" s="1"/>
  <c r="V197" i="33" a="1"/>
  <c r="V197" i="33" s="1"/>
  <c r="V198" i="33" a="1"/>
  <c r="V198" i="33" s="1"/>
  <c r="V199" i="33" a="1"/>
  <c r="V199" i="33" s="1"/>
  <c r="V200" i="33" a="1"/>
  <c r="V200" i="33" s="1"/>
  <c r="V201" i="33" a="1"/>
  <c r="V201" i="33" s="1"/>
  <c r="V202" i="33" a="1"/>
  <c r="V202" i="33" s="1"/>
  <c r="V203" i="33" a="1"/>
  <c r="V203" i="33" s="1"/>
  <c r="V204" i="33" a="1"/>
  <c r="V204" i="33" s="1"/>
  <c r="V205" i="33" a="1"/>
  <c r="V205" i="33" s="1"/>
  <c r="V206" i="33" a="1"/>
  <c r="V206" i="33" s="1"/>
  <c r="V207" i="33" a="1"/>
  <c r="V207" i="33" s="1"/>
  <c r="V208" i="33" a="1"/>
  <c r="V208" i="33" s="1"/>
  <c r="V209" i="33" a="1"/>
  <c r="V209" i="33" s="1"/>
  <c r="V210" i="33" a="1"/>
  <c r="V210" i="33" s="1"/>
  <c r="V211" i="33" a="1"/>
  <c r="V211" i="33" s="1"/>
  <c r="V212" i="33" a="1"/>
  <c r="V212" i="33" s="1"/>
  <c r="V213" i="33" a="1"/>
  <c r="V213" i="33" s="1"/>
  <c r="V214" i="33" a="1"/>
  <c r="V214" i="33" s="1"/>
  <c r="V215" i="33" a="1"/>
  <c r="V215" i="33" s="1"/>
  <c r="X145" i="33" a="1"/>
  <c r="X145" i="33" s="1"/>
  <c r="W145" i="33" a="1"/>
  <c r="W145" i="33" s="1"/>
  <c r="V145" i="33" a="1"/>
  <c r="V145" i="33" s="1"/>
  <c r="X124" i="33" a="1"/>
  <c r="X124" i="33" s="1"/>
  <c r="X125" i="33" a="1"/>
  <c r="X125" i="33" s="1"/>
  <c r="X126" i="33" a="1"/>
  <c r="X126" i="33" s="1"/>
  <c r="X127" i="33" a="1"/>
  <c r="X127" i="33" s="1"/>
  <c r="X128" i="33" a="1"/>
  <c r="X128" i="33" s="1"/>
  <c r="X129" i="33" a="1"/>
  <c r="X129" i="33" s="1"/>
  <c r="X130" i="33" a="1"/>
  <c r="X130" i="33" s="1"/>
  <c r="X131" i="33" a="1"/>
  <c r="X131" i="33" s="1"/>
  <c r="X132" i="33" a="1"/>
  <c r="X132" i="33" s="1"/>
  <c r="X133" i="33" a="1"/>
  <c r="X133" i="33" s="1"/>
  <c r="X134" i="33" a="1"/>
  <c r="X134" i="33" s="1"/>
  <c r="X135" i="33" a="1"/>
  <c r="X135" i="33" s="1"/>
  <c r="X136" i="33" a="1"/>
  <c r="X136" i="33" s="1"/>
  <c r="X137" i="33" a="1"/>
  <c r="X137" i="33" s="1"/>
  <c r="X138" i="33" a="1"/>
  <c r="X138" i="33" s="1"/>
  <c r="X139" i="33" a="1"/>
  <c r="X139" i="33" s="1"/>
  <c r="X140" i="33" a="1"/>
  <c r="X140" i="33" s="1"/>
  <c r="X141" i="33" a="1"/>
  <c r="X141" i="33" s="1"/>
  <c r="X142" i="33" a="1"/>
  <c r="X142" i="33" s="1"/>
  <c r="X115" i="33" a="1"/>
  <c r="X115" i="33" s="1"/>
  <c r="X116" i="33" a="1"/>
  <c r="X116" i="33" s="1"/>
  <c r="X117" i="33" a="1"/>
  <c r="X117" i="33" s="1"/>
  <c r="X118" i="33" a="1"/>
  <c r="X118" i="33" s="1"/>
  <c r="X119" i="33" a="1"/>
  <c r="X119" i="33" s="1"/>
  <c r="X120" i="33" a="1"/>
  <c r="X120" i="33" s="1"/>
  <c r="X121" i="33" a="1"/>
  <c r="X121" i="33" s="1"/>
  <c r="X122" i="33" a="1"/>
  <c r="X122" i="33" s="1"/>
  <c r="X123" i="33" a="1"/>
  <c r="X123" i="33" s="1"/>
  <c r="X99" i="33" a="1"/>
  <c r="X99" i="33" s="1"/>
  <c r="X100" i="33" a="1"/>
  <c r="X100" i="33" s="1"/>
  <c r="X101" i="33" a="1"/>
  <c r="X101" i="33" s="1"/>
  <c r="X102" i="33" a="1"/>
  <c r="X102" i="33" s="1"/>
  <c r="X103" i="33" a="1"/>
  <c r="X103" i="33" s="1"/>
  <c r="X104" i="33" a="1"/>
  <c r="X104" i="33" s="1"/>
  <c r="X105" i="33" a="1"/>
  <c r="X105" i="33" s="1"/>
  <c r="X106" i="33" a="1"/>
  <c r="X106" i="33" s="1"/>
  <c r="X107" i="33" a="1"/>
  <c r="X107" i="33" s="1"/>
  <c r="X108" i="33" a="1"/>
  <c r="X108" i="33" s="1"/>
  <c r="X109" i="33" a="1"/>
  <c r="X109" i="33" s="1"/>
  <c r="X110" i="33" a="1"/>
  <c r="X110" i="33" s="1"/>
  <c r="X111" i="33" a="1"/>
  <c r="X111" i="33" s="1"/>
  <c r="X112" i="33" a="1"/>
  <c r="X112" i="33" s="1"/>
  <c r="X113" i="33" a="1"/>
  <c r="X113" i="33" s="1"/>
  <c r="X114" i="33" a="1"/>
  <c r="X114" i="33" s="1"/>
  <c r="X98" i="33" a="1"/>
  <c r="X98" i="33" s="1"/>
  <c r="W98" i="33" a="1"/>
  <c r="W98" i="33" s="1"/>
  <c r="W99" i="33" a="1"/>
  <c r="W99" i="33" s="1"/>
  <c r="W100" i="33" a="1"/>
  <c r="W100" i="33" s="1"/>
  <c r="W101" i="33" a="1"/>
  <c r="W101" i="33" s="1"/>
  <c r="W102" i="33" a="1"/>
  <c r="W102" i="33" s="1"/>
  <c r="W103" i="33" a="1"/>
  <c r="W103" i="33" s="1"/>
  <c r="W104" i="33" a="1"/>
  <c r="W104" i="33" s="1"/>
  <c r="W105" i="33" a="1"/>
  <c r="W105" i="33" s="1"/>
  <c r="W106" i="33" a="1"/>
  <c r="W106" i="33" s="1"/>
  <c r="W107" i="33" a="1"/>
  <c r="W107" i="33" s="1"/>
  <c r="W108" i="33" a="1"/>
  <c r="W108" i="33" s="1"/>
  <c r="W109" i="33" a="1"/>
  <c r="W109" i="33" s="1"/>
  <c r="W110" i="33" a="1"/>
  <c r="W110" i="33" s="1"/>
  <c r="W111" i="33" a="1"/>
  <c r="W111" i="33" s="1"/>
  <c r="W112" i="33" a="1"/>
  <c r="W112" i="33" s="1"/>
  <c r="W113" i="33" a="1"/>
  <c r="W113" i="33" s="1"/>
  <c r="W114" i="33" a="1"/>
  <c r="W114" i="33" s="1"/>
  <c r="W115" i="33" a="1"/>
  <c r="W115" i="33" s="1"/>
  <c r="W116" i="33" a="1"/>
  <c r="W116" i="33" s="1"/>
  <c r="W117" i="33" a="1"/>
  <c r="W117" i="33" s="1"/>
  <c r="W118" i="33" a="1"/>
  <c r="W118" i="33" s="1"/>
  <c r="W119" i="33" a="1"/>
  <c r="W119" i="33" s="1"/>
  <c r="W120" i="33" a="1"/>
  <c r="W120" i="33" s="1"/>
  <c r="W121" i="33" a="1"/>
  <c r="W121" i="33" s="1"/>
  <c r="W122" i="33" a="1"/>
  <c r="W122" i="33" s="1"/>
  <c r="W123" i="33" a="1"/>
  <c r="W123" i="33" s="1"/>
  <c r="W124" i="33" a="1"/>
  <c r="W124" i="33" s="1"/>
  <c r="W125" i="33" a="1"/>
  <c r="W125" i="33" s="1"/>
  <c r="W126" i="33" a="1"/>
  <c r="W126" i="33" s="1"/>
  <c r="W127" i="33" a="1"/>
  <c r="W127" i="33" s="1"/>
  <c r="W128" i="33" a="1"/>
  <c r="W128" i="33" s="1"/>
  <c r="W129" i="33" a="1"/>
  <c r="W129" i="33" s="1"/>
  <c r="W130" i="33" a="1"/>
  <c r="W130" i="33" s="1"/>
  <c r="W131" i="33" a="1"/>
  <c r="W131" i="33" s="1"/>
  <c r="W132" i="33" a="1"/>
  <c r="W132" i="33" s="1"/>
  <c r="W133" i="33" a="1"/>
  <c r="W133" i="33" s="1"/>
  <c r="W134" i="33" a="1"/>
  <c r="W134" i="33" s="1"/>
  <c r="W135" i="33" a="1"/>
  <c r="W135" i="33" s="1"/>
  <c r="W136" i="33" a="1"/>
  <c r="W136" i="33" s="1"/>
  <c r="W137" i="33" a="1"/>
  <c r="W137" i="33" s="1"/>
  <c r="W138" i="33" a="1"/>
  <c r="W138" i="33" s="1"/>
  <c r="W139" i="33" a="1"/>
  <c r="W139" i="33" s="1"/>
  <c r="W140" i="33" a="1"/>
  <c r="W140" i="33" s="1"/>
  <c r="W141" i="33" a="1"/>
  <c r="W141" i="33" s="1"/>
  <c r="V140" i="33" a="1"/>
  <c r="V140" i="33" s="1"/>
  <c r="V141" i="33" a="1"/>
  <c r="V141" i="33" s="1"/>
  <c r="V142" i="33" a="1"/>
  <c r="V142" i="33" s="1"/>
  <c r="W142" i="33" a="1"/>
  <c r="W142" i="33" s="1"/>
  <c r="V99" i="33" a="1"/>
  <c r="V99" i="33" s="1"/>
  <c r="V100" i="33" a="1"/>
  <c r="V100" i="33" s="1"/>
  <c r="V101" i="33" a="1"/>
  <c r="V101" i="33" s="1"/>
  <c r="V102" i="33" a="1"/>
  <c r="V102" i="33" s="1"/>
  <c r="V103" i="33" a="1"/>
  <c r="V103" i="33" s="1"/>
  <c r="V104" i="33" a="1"/>
  <c r="V104" i="33" s="1"/>
  <c r="V105" i="33" a="1"/>
  <c r="V105" i="33" s="1"/>
  <c r="V106" i="33" a="1"/>
  <c r="V106" i="33" s="1"/>
  <c r="V107" i="33" a="1"/>
  <c r="V107" i="33" s="1"/>
  <c r="V108" i="33" a="1"/>
  <c r="V108" i="33" s="1"/>
  <c r="V109" i="33" a="1"/>
  <c r="V109" i="33" s="1"/>
  <c r="V110" i="33" a="1"/>
  <c r="V110" i="33" s="1"/>
  <c r="V111" i="33" a="1"/>
  <c r="V111" i="33" s="1"/>
  <c r="V112" i="33" a="1"/>
  <c r="V112" i="33" s="1"/>
  <c r="V113" i="33" a="1"/>
  <c r="V113" i="33" s="1"/>
  <c r="V114" i="33" a="1"/>
  <c r="V114" i="33" s="1"/>
  <c r="V115" i="33" a="1"/>
  <c r="V115" i="33" s="1"/>
  <c r="V116" i="33" a="1"/>
  <c r="V116" i="33" s="1"/>
  <c r="V117" i="33" a="1"/>
  <c r="V117" i="33" s="1"/>
  <c r="V118" i="33" a="1"/>
  <c r="V118" i="33" s="1"/>
  <c r="V119" i="33" a="1"/>
  <c r="V119" i="33" s="1"/>
  <c r="V120" i="33" a="1"/>
  <c r="V120" i="33" s="1"/>
  <c r="V121" i="33" a="1"/>
  <c r="V121" i="33" s="1"/>
  <c r="V122" i="33" a="1"/>
  <c r="V122" i="33" s="1"/>
  <c r="V123" i="33" a="1"/>
  <c r="V123" i="33" s="1"/>
  <c r="V124" i="33" a="1"/>
  <c r="V124" i="33" s="1"/>
  <c r="V125" i="33" a="1"/>
  <c r="V125" i="33" s="1"/>
  <c r="V126" i="33" a="1"/>
  <c r="V126" i="33" s="1"/>
  <c r="V127" i="33" a="1"/>
  <c r="V127" i="33" s="1"/>
  <c r="V128" i="33" a="1"/>
  <c r="V128" i="33" s="1"/>
  <c r="V129" i="33" a="1"/>
  <c r="V129" i="33" s="1"/>
  <c r="V130" i="33" a="1"/>
  <c r="V130" i="33" s="1"/>
  <c r="V131" i="33" a="1"/>
  <c r="V131" i="33" s="1"/>
  <c r="V132" i="33" a="1"/>
  <c r="V132" i="33" s="1"/>
  <c r="V133" i="33" a="1"/>
  <c r="V133" i="33" s="1"/>
  <c r="V134" i="33" a="1"/>
  <c r="V134" i="33" s="1"/>
  <c r="V135" i="33" a="1"/>
  <c r="V135" i="33" s="1"/>
  <c r="V136" i="33" a="1"/>
  <c r="V136" i="33" s="1"/>
  <c r="V137" i="33" a="1"/>
  <c r="V137" i="33" s="1"/>
  <c r="V138" i="33" a="1"/>
  <c r="V138" i="33" s="1"/>
  <c r="V139" i="33" a="1"/>
  <c r="V139" i="33" s="1"/>
  <c r="V98" i="33" a="1"/>
  <c r="V98" i="33" s="1"/>
  <c r="AK4" i="10" l="1" a="1"/>
  <c r="AK4" i="10" s="1"/>
  <c r="AG4" i="10" a="1"/>
  <c r="AG4" i="10" s="1"/>
  <c r="AF4" i="10" a="1"/>
  <c r="AF4" i="10" s="1"/>
  <c r="AE4" i="10" a="1"/>
  <c r="AE4" i="10" s="1"/>
  <c r="AD4" i="10" a="1"/>
  <c r="AD4" i="10" s="1"/>
  <c r="AN4" i="10" a="1"/>
  <c r="AN4" i="10" s="1"/>
  <c r="AL4" i="10" a="1"/>
  <c r="AL4" i="10" s="1"/>
  <c r="AJ4" i="10" a="1"/>
  <c r="AJ4" i="10" s="1"/>
  <c r="AH4" i="10" a="1"/>
  <c r="AH4" i="10" s="1"/>
  <c r="AM5" i="10" a="1"/>
  <c r="AM5" i="10" s="1"/>
  <c r="AK5" i="10" a="1"/>
  <c r="AK5" i="10" s="1"/>
  <c r="AJ5" i="10" a="1"/>
  <c r="AJ5" i="10" s="1"/>
  <c r="AG5" i="10" a="1"/>
  <c r="AG5" i="10" s="1"/>
  <c r="Y307" i="33"/>
  <c r="AH5" i="10" a="1"/>
  <c r="AH5" i="10" s="1"/>
  <c r="AF5" i="10" a="1"/>
  <c r="AF5" i="10" s="1"/>
  <c r="AN6" i="10" a="1"/>
  <c r="AN6" i="10" s="1"/>
  <c r="AK6" i="10" a="1"/>
  <c r="AK6" i="10" s="1"/>
  <c r="AH6" i="10" a="1"/>
  <c r="AH6" i="10" s="1"/>
  <c r="AG6" i="10" a="1"/>
  <c r="AG6" i="10" s="1"/>
  <c r="AG11" i="10" a="1"/>
  <c r="AG11" i="10" s="1"/>
  <c r="AM8" i="10" a="1"/>
  <c r="AM8" i="10" s="1"/>
  <c r="AG12" i="10" a="1"/>
  <c r="AG12" i="10" s="1"/>
  <c r="AN8" i="10" a="1"/>
  <c r="AN8" i="10" s="1"/>
  <c r="AF12" i="10" a="1"/>
  <c r="AF12" i="10" s="1"/>
  <c r="AM33" i="10" a="1"/>
  <c r="AM33" i="10" s="1"/>
  <c r="AF6" i="10" a="1"/>
  <c r="AF6" i="10" s="1"/>
  <c r="AC4" i="10" a="1"/>
  <c r="AC4" i="10" s="1"/>
  <c r="AN10" i="10" a="1"/>
  <c r="AN10" i="10" s="1"/>
  <c r="AH11" i="10" a="1"/>
  <c r="AH11" i="10" s="1"/>
  <c r="AF24" i="10" a="1"/>
  <c r="AF24" i="10" s="1"/>
  <c r="AQ21" i="10"/>
  <c r="AM21" i="10" a="1"/>
  <c r="AM21" i="10" s="1"/>
  <c r="AF11" i="10" a="1"/>
  <c r="AF11" i="10" s="1"/>
  <c r="AD19" i="10" a="1"/>
  <c r="AD19" i="10" s="1"/>
  <c r="AC19" i="10" a="1"/>
  <c r="AC19" i="10" s="1"/>
  <c r="AO18" i="10" a="1"/>
  <c r="AO18" i="10" s="1"/>
  <c r="AM18" i="10" a="1"/>
  <c r="AM18" i="10" s="1"/>
  <c r="AN11" i="10" a="1"/>
  <c r="AN11" i="10" s="1"/>
  <c r="AL25" i="10" a="1"/>
  <c r="AL25" i="10" s="1"/>
  <c r="AL18" i="10" a="1"/>
  <c r="AL18" i="10" s="1"/>
  <c r="AM11" i="10" a="1"/>
  <c r="AM11" i="10" s="1"/>
  <c r="AK25" i="10" a="1"/>
  <c r="AK25" i="10" s="1"/>
  <c r="AH18" i="10" a="1"/>
  <c r="AH18" i="10" s="1"/>
  <c r="AK11" i="10" a="1"/>
  <c r="AK11" i="10" s="1"/>
  <c r="AA11" i="10" s="1"/>
  <c r="AF28" i="10" a="1"/>
  <c r="AF28" i="10" s="1"/>
  <c r="AN19" i="10" a="1"/>
  <c r="AN19" i="10" s="1"/>
  <c r="AH29" i="10" a="1"/>
  <c r="AH29" i="10" s="1"/>
  <c r="AF29" i="10" a="1"/>
  <c r="AF29" i="10" s="1"/>
  <c r="AG28" i="10" a="1"/>
  <c r="AG28" i="10" s="1"/>
  <c r="AN15" i="10" a="1"/>
  <c r="AN15" i="10" s="1"/>
  <c r="AM16" i="10" a="1"/>
  <c r="AM16" i="10" s="1"/>
  <c r="AK32" i="10" a="1"/>
  <c r="AK32" i="10" s="1"/>
  <c r="AH32" i="10" a="1"/>
  <c r="AH32" i="10" s="1"/>
  <c r="AJ25" i="10" a="1"/>
  <c r="AJ25" i="10" s="1"/>
  <c r="AJ28" i="10" a="1"/>
  <c r="AJ28" i="10" s="1"/>
  <c r="AG32" i="10" a="1"/>
  <c r="AG32" i="10" s="1"/>
  <c r="AH26" i="10" a="1"/>
  <c r="AH26" i="10" s="1"/>
  <c r="AN16" i="10" a="1"/>
  <c r="AN16" i="10" s="1"/>
  <c r="AF32" i="10" a="1"/>
  <c r="AF32" i="10" s="1"/>
  <c r="AQ26" i="10"/>
  <c r="AQ33" i="10"/>
  <c r="AO26" i="10" a="1"/>
  <c r="AO26" i="10" s="1"/>
  <c r="AN25" i="10" a="1"/>
  <c r="AN25" i="10" s="1"/>
  <c r="AO33" i="10" a="1"/>
  <c r="AO33" i="10" s="1"/>
  <c r="AJ32" i="10" a="1"/>
  <c r="AJ32" i="10" s="1"/>
  <c r="AM26" i="10" a="1"/>
  <c r="AM26" i="10" s="1"/>
  <c r="AM25" i="10" a="1"/>
  <c r="AM25" i="10" s="1"/>
  <c r="AQ16" i="10"/>
  <c r="AJ11" i="10" a="1"/>
  <c r="AJ11" i="10" s="1"/>
  <c r="AO6" i="10" a="1"/>
  <c r="AO6" i="10" s="1"/>
  <c r="AN33" i="10" a="1"/>
  <c r="AN33" i="10" s="1"/>
  <c r="AL26" i="10" a="1"/>
  <c r="AL26" i="10" s="1"/>
  <c r="AG33" i="10" a="1"/>
  <c r="AG33" i="10" s="1"/>
  <c r="AG27" i="10" a="1"/>
  <c r="AG27" i="10" s="1"/>
  <c r="AC26" i="10" a="1"/>
  <c r="AC26" i="10" s="1"/>
  <c r="AF25" i="10" a="1"/>
  <c r="AF25" i="10" s="1"/>
  <c r="AH16" i="10" a="1"/>
  <c r="AH16" i="10" s="1"/>
  <c r="AK15" i="10" a="1"/>
  <c r="AK15" i="10" s="1"/>
  <c r="AM14" i="10" a="1"/>
  <c r="AM14" i="10" s="1"/>
  <c r="AN13" i="10" a="1"/>
  <c r="AN13" i="10" s="1"/>
  <c r="AC11" i="10" a="1"/>
  <c r="AC11" i="10" s="1"/>
  <c r="AK16" i="10" a="1"/>
  <c r="AK16" i="10" s="1"/>
  <c r="AG34" i="10" a="1"/>
  <c r="AG34" i="10" s="1"/>
  <c r="AF33" i="10" a="1"/>
  <c r="AF33" i="10" s="1"/>
  <c r="AD25" i="10" a="1"/>
  <c r="AD25" i="10" s="1"/>
  <c r="AG16" i="10" a="1"/>
  <c r="AG16" i="10" s="1"/>
  <c r="AJ15" i="10" a="1"/>
  <c r="AJ15" i="10" s="1"/>
  <c r="AL14" i="10" a="1"/>
  <c r="AL14" i="10" s="1"/>
  <c r="AM13" i="10" a="1"/>
  <c r="AM13" i="10" s="1"/>
  <c r="AD26" i="10" a="1"/>
  <c r="AD26" i="10" s="1"/>
  <c r="AG25" i="10" a="1"/>
  <c r="AG25" i="10" s="1"/>
  <c r="AJ16" i="10" a="1"/>
  <c r="AJ16" i="10" s="1"/>
  <c r="AL15" i="10" a="1"/>
  <c r="AL15" i="10" s="1"/>
  <c r="AO14" i="10" a="1"/>
  <c r="AO14" i="10" s="1"/>
  <c r="AO13" i="10" a="1"/>
  <c r="AO13" i="10" s="1"/>
  <c r="AC25" i="10" a="1"/>
  <c r="AC25" i="10" s="1"/>
  <c r="AF16" i="10" a="1"/>
  <c r="AF16" i="10" s="1"/>
  <c r="AH15" i="10" a="1"/>
  <c r="AH15" i="10" s="1"/>
  <c r="AF14" i="10" a="1"/>
  <c r="AF14" i="10" s="1"/>
  <c r="AL13" i="10" a="1"/>
  <c r="AL13" i="10" s="1"/>
  <c r="AF7" i="10" a="1"/>
  <c r="AF7" i="10" s="1"/>
  <c r="AL33" i="10" a="1"/>
  <c r="AL33" i="10" s="1"/>
  <c r="AJ33" i="10" a="1"/>
  <c r="AJ33" i="10" s="1"/>
  <c r="AE26" i="10" a="1"/>
  <c r="AE26" i="10" s="1"/>
  <c r="AH25" i="10" a="1"/>
  <c r="AH25" i="10" s="1"/>
  <c r="AE16" i="10" a="1"/>
  <c r="AE16" i="10" s="1"/>
  <c r="AE14" i="10" a="1"/>
  <c r="AE14" i="10" s="1"/>
  <c r="AK13" i="10" a="1"/>
  <c r="AK13" i="10" s="1"/>
  <c r="AF26" i="10" a="1"/>
  <c r="AF26" i="10" s="1"/>
  <c r="AH33" i="10" a="1"/>
  <c r="AH33" i="10" s="1"/>
  <c r="AM28" i="10" a="1"/>
  <c r="AM28" i="10" s="1"/>
  <c r="AD16" i="10" a="1"/>
  <c r="AD16" i="10" s="1"/>
  <c r="AG15" i="10" a="1"/>
  <c r="AG15" i="10" s="1"/>
  <c r="AD14" i="10" a="1"/>
  <c r="AD14" i="10" s="1"/>
  <c r="AF13" i="10" a="1"/>
  <c r="AF13" i="10" s="1"/>
  <c r="AF15" i="10" a="1"/>
  <c r="AF15" i="10" s="1"/>
  <c r="AC14" i="10" a="1"/>
  <c r="AC14" i="10" s="1"/>
  <c r="AH28" i="10" a="1"/>
  <c r="AH28" i="10" s="1"/>
  <c r="AQ18" i="10"/>
  <c r="AC16" i="10" a="1"/>
  <c r="AC16" i="10" s="1"/>
  <c r="AC15" i="10" a="1"/>
  <c r="AC15" i="10" s="1"/>
  <c r="AO21" i="10" a="1"/>
  <c r="AO21" i="10" s="1"/>
  <c r="AN21" i="10" a="1"/>
  <c r="AN21" i="10" s="1"/>
  <c r="AE19" i="10" a="1"/>
  <c r="AE19" i="10" s="1"/>
  <c r="AF18" i="10" a="1"/>
  <c r="AF18" i="10" s="1"/>
  <c r="AJ22" i="10" a="1"/>
  <c r="AJ22" i="10" s="1"/>
  <c r="AK21" i="10" a="1"/>
  <c r="AK21" i="10" s="1"/>
  <c r="AO20" i="10" a="1"/>
  <c r="AO20" i="10" s="1"/>
  <c r="AH22" i="10" a="1"/>
  <c r="AH22" i="10" s="1"/>
  <c r="AJ21" i="10" a="1"/>
  <c r="AJ21" i="10" s="1"/>
  <c r="AK20" i="10" a="1"/>
  <c r="AK20" i="10" s="1"/>
  <c r="AG22" i="10" a="1"/>
  <c r="AG22" i="10" s="1"/>
  <c r="AJ20" i="10" a="1"/>
  <c r="AJ20" i="10" s="1"/>
  <c r="AF9" i="10" a="1"/>
  <c r="AF9" i="10" s="1"/>
  <c r="AL21" i="10" a="1"/>
  <c r="AL21" i="10" s="1"/>
  <c r="AF22" i="10" a="1"/>
  <c r="AF22" i="10" s="1"/>
  <c r="AH21" i="10" a="1"/>
  <c r="AH21" i="10" s="1"/>
  <c r="AH20" i="10" a="1"/>
  <c r="AH20" i="10" s="1"/>
  <c r="AC9" i="10" a="1"/>
  <c r="AC9" i="10" s="1"/>
  <c r="AE22" i="10" a="1"/>
  <c r="AE22" i="10" s="1"/>
  <c r="AG21" i="10" a="1"/>
  <c r="AG21" i="10" s="1"/>
  <c r="AG20" i="10" a="1"/>
  <c r="AG20" i="10" s="1"/>
  <c r="AF21" i="10" a="1"/>
  <c r="AF21" i="10" s="1"/>
  <c r="AF20" i="10" a="1"/>
  <c r="AF20" i="10" s="1"/>
  <c r="AE21" i="10" a="1"/>
  <c r="AE21" i="10" s="1"/>
  <c r="AQ20" i="10"/>
  <c r="AK31" i="10" a="1"/>
  <c r="AK31" i="10" s="1"/>
  <c r="AN23" i="10" a="1"/>
  <c r="AN23" i="10" s="1"/>
  <c r="AD21" i="10" a="1"/>
  <c r="AD21" i="10" s="1"/>
  <c r="AQ11" i="10"/>
  <c r="AJ31" i="10" a="1"/>
  <c r="AJ31" i="10" s="1"/>
  <c r="AO11" i="10" a="1"/>
  <c r="AO11" i="10" s="1"/>
  <c r="AM10" i="10" a="1"/>
  <c r="AM10" i="10" s="1"/>
  <c r="AL8" i="10" a="1"/>
  <c r="AL8" i="10" s="1"/>
  <c r="AC10" i="10" a="1"/>
  <c r="AC10" i="10" s="1"/>
  <c r="AC8" i="10" a="1"/>
  <c r="AC8" i="10" s="1"/>
  <c r="AL10" i="10" a="1"/>
  <c r="AL10" i="10" s="1"/>
  <c r="AK8" i="10" a="1"/>
  <c r="AK8" i="10" s="1"/>
  <c r="AJ10" i="10" a="1"/>
  <c r="AJ10" i="10" s="1"/>
  <c r="AH10" i="10" a="1"/>
  <c r="AH10" i="10" s="1"/>
  <c r="AG8" i="10" a="1"/>
  <c r="AG8" i="10" s="1"/>
  <c r="AF10" i="10" a="1"/>
  <c r="AF10" i="10" s="1"/>
  <c r="AF8" i="10" a="1"/>
  <c r="AF8" i="10" s="1"/>
  <c r="AE10" i="10" a="1"/>
  <c r="AE10" i="10" s="1"/>
  <c r="AE8" i="10" a="1"/>
  <c r="AE8" i="10" s="1"/>
  <c r="AQ31" i="10"/>
  <c r="AD10" i="10" a="1"/>
  <c r="AD10" i="10" s="1"/>
  <c r="AD8" i="10" a="1"/>
  <c r="AD8" i="10" s="1"/>
  <c r="AO31" i="10" a="1"/>
  <c r="AO31" i="10" s="1"/>
  <c r="AQ28" i="10"/>
  <c r="AL27" i="10" a="1"/>
  <c r="AL27" i="10" s="1"/>
  <c r="AM31" i="10" a="1"/>
  <c r="AM31" i="10" s="1"/>
  <c r="AO28" i="10" a="1"/>
  <c r="AO28" i="10" s="1"/>
  <c r="AJ27" i="10" a="1"/>
  <c r="AJ27" i="10" s="1"/>
  <c r="AK26" i="10" a="1"/>
  <c r="AK26" i="10" s="1"/>
  <c r="AQ25" i="10"/>
  <c r="AQ23" i="10"/>
  <c r="AK10" i="10" a="1"/>
  <c r="AK10" i="10" s="1"/>
  <c r="AH8" i="10" a="1"/>
  <c r="AH8" i="10" s="1"/>
  <c r="AG10" i="10" a="1"/>
  <c r="AG10" i="10" s="1"/>
  <c r="AL31" i="10" a="1"/>
  <c r="AL31" i="10" s="1"/>
  <c r="AN28" i="10" a="1"/>
  <c r="AN28" i="10" s="1"/>
  <c r="AH27" i="10" a="1"/>
  <c r="AH27" i="10" s="1"/>
  <c r="AJ26" i="10" a="1"/>
  <c r="AJ26" i="10" s="1"/>
  <c r="AO25" i="10" a="1"/>
  <c r="AO25" i="10" s="1"/>
  <c r="AO23" i="10" a="1"/>
  <c r="AO23" i="10" s="1"/>
  <c r="AL23" i="10" a="1"/>
  <c r="AL23" i="10" s="1"/>
  <c r="AK23" i="10" a="1"/>
  <c r="AK23" i="10" s="1"/>
  <c r="AN20" i="10" a="1"/>
  <c r="AN20" i="10" s="1"/>
  <c r="AH23" i="10" a="1"/>
  <c r="AH23" i="10" s="1"/>
  <c r="AM20" i="10" a="1"/>
  <c r="AM20" i="10" s="1"/>
  <c r="AL20" i="10" a="1"/>
  <c r="AL20" i="10" s="1"/>
  <c r="AE31" i="10" a="1"/>
  <c r="AE31" i="10" s="1"/>
  <c r="AF31" i="10" a="1"/>
  <c r="AF31" i="10" s="1"/>
  <c r="AD31" i="10" a="1"/>
  <c r="AD31" i="10" s="1"/>
  <c r="AF30" i="10" a="1"/>
  <c r="AF30" i="10" s="1"/>
  <c r="AE23" i="10" a="1"/>
  <c r="AE23" i="10" s="1"/>
  <c r="AC31" i="10" a="1"/>
  <c r="AC31" i="10" s="1"/>
  <c r="AO19" i="10" a="1"/>
  <c r="AO19" i="10" s="1"/>
  <c r="AO16" i="10" a="1"/>
  <c r="AO16" i="10" s="1"/>
  <c r="AN30" i="10" a="1"/>
  <c r="AN30" i="10" s="1"/>
  <c r="AM23" i="10" a="1"/>
  <c r="AM23" i="10" s="1"/>
  <c r="AG23" i="10" a="1"/>
  <c r="AG23" i="10" s="1"/>
  <c r="AK30" i="10" a="1"/>
  <c r="AK30" i="10" s="1"/>
  <c r="AM30" i="10" a="1"/>
  <c r="AM30" i="10" s="1"/>
  <c r="AL30" i="10" a="1"/>
  <c r="AL30" i="10" s="1"/>
  <c r="AK17" i="10" a="1"/>
  <c r="AK17" i="10" s="1"/>
  <c r="AD20" i="10" a="1"/>
  <c r="AD20" i="10" s="1"/>
  <c r="AN18" i="10" a="1"/>
  <c r="AN18" i="10" s="1"/>
  <c r="AH17" i="10" a="1"/>
  <c r="AH17" i="10" s="1"/>
  <c r="AQ6" i="10"/>
  <c r="AJ30" i="10" a="1"/>
  <c r="AJ30" i="10" s="1"/>
  <c r="AF23" i="10" a="1"/>
  <c r="AF23" i="10" s="1"/>
  <c r="AL19" i="10" a="1"/>
  <c r="AL19" i="10" s="1"/>
  <c r="AE20" i="10" a="1"/>
  <c r="AE20" i="10" s="1"/>
  <c r="AG19" i="10" a="1"/>
  <c r="AG19" i="10" s="1"/>
  <c r="AF19" i="10" a="1"/>
  <c r="AF19" i="10" s="1"/>
  <c r="AG17" i="10" a="1"/>
  <c r="AG17" i="10" s="1"/>
  <c r="AO4" i="10" a="1"/>
  <c r="AO4" i="10" s="1"/>
  <c r="AH31" i="10" a="1"/>
  <c r="AH31" i="10" s="1"/>
  <c r="AQ10" i="10"/>
  <c r="AQ8" i="10"/>
  <c r="AH12" i="10" a="1"/>
  <c r="AH12" i="10" s="1"/>
  <c r="AO8" i="10" a="1"/>
  <c r="AO8" i="10" s="1"/>
  <c r="AH34" i="10" a="1"/>
  <c r="AH34" i="10" s="1"/>
  <c r="AL32" i="10" a="1"/>
  <c r="AL32" i="10" s="1"/>
  <c r="AO30" i="10" a="1"/>
  <c r="AO30" i="10" s="1"/>
  <c r="AJ12" i="10" a="1"/>
  <c r="AJ12" i="10" s="1"/>
  <c r="AJ7" i="10" a="1"/>
  <c r="AJ7" i="10" s="1"/>
  <c r="AG24" i="10" a="1"/>
  <c r="AG24" i="10" s="1"/>
  <c r="AK22" i="10" a="1"/>
  <c r="AK22" i="10" s="1"/>
  <c r="AG29" i="10" a="1"/>
  <c r="AG29" i="10" s="1"/>
  <c r="AK27" i="10" a="1"/>
  <c r="AK27" i="10" s="1"/>
  <c r="AJ17" i="10" a="1"/>
  <c r="AJ17" i="10" s="1"/>
  <c r="AM15" i="10" a="1"/>
  <c r="AM15" i="10" s="1"/>
  <c r="AQ13" i="10"/>
  <c r="AE9" i="10" a="1"/>
  <c r="AE9" i="10" s="1"/>
  <c r="AH7" i="10" a="1"/>
  <c r="AH7" i="10" s="1"/>
  <c r="AL5" i="10" a="1"/>
  <c r="AL5" i="10" s="1"/>
  <c r="AD9" i="10" a="1"/>
  <c r="AD9" i="10" s="1"/>
  <c r="AG7" i="10" a="1"/>
  <c r="AG7" i="10" s="1"/>
  <c r="AE7" i="10" a="1"/>
  <c r="AE7" i="10" s="1"/>
  <c r="AD29" i="10" a="1"/>
  <c r="AD29" i="10" s="1"/>
  <c r="AE12" i="10" a="1"/>
  <c r="AE12" i="10" s="1"/>
  <c r="AD7" i="10" a="1"/>
  <c r="AD7" i="10" s="1"/>
  <c r="AA7" i="10" s="1"/>
  <c r="AE24" i="10" a="1"/>
  <c r="AE24" i="10" s="1"/>
  <c r="AD12" i="10" a="1"/>
  <c r="AD12" i="10" s="1"/>
  <c r="AA12" i="10" s="1"/>
  <c r="AD17" i="10" a="1"/>
  <c r="AD17" i="10" s="1"/>
  <c r="AE32" i="10" a="1"/>
  <c r="AE32" i="10" s="1"/>
  <c r="AH30" i="10" a="1"/>
  <c r="AH30" i="10" s="1"/>
  <c r="AL28" i="10" a="1"/>
  <c r="AL28" i="10" s="1"/>
  <c r="AD22" i="10" a="1"/>
  <c r="AD22" i="10" s="1"/>
  <c r="AK18" i="10" a="1"/>
  <c r="AK18" i="10" s="1"/>
  <c r="AC12" i="10" a="1"/>
  <c r="AC12" i="10" s="1"/>
  <c r="AM6" i="10" a="1"/>
  <c r="AM6" i="10" s="1"/>
  <c r="AQ4" i="10"/>
  <c r="AE27" i="10" a="1"/>
  <c r="AE27" i="10" s="1"/>
  <c r="AC7" i="10" a="1"/>
  <c r="AC7" i="10" s="1"/>
  <c r="AC17" i="10" a="1"/>
  <c r="AC17" i="10" s="1"/>
  <c r="AQ9" i="10"/>
  <c r="AE5" i="10" a="1"/>
  <c r="AE5" i="10" s="1"/>
  <c r="AD32" i="10" a="1"/>
  <c r="AD32" i="10" s="1"/>
  <c r="AG30" i="10" a="1"/>
  <c r="AG30" i="10" s="1"/>
  <c r="AK28" i="10" a="1"/>
  <c r="AK28" i="10" s="1"/>
  <c r="AN26" i="10" a="1"/>
  <c r="AN26" i="10" s="1"/>
  <c r="AC22" i="10" a="1"/>
  <c r="AC22" i="10" s="1"/>
  <c r="AD27" i="10" a="1"/>
  <c r="AD27" i="10" s="1"/>
  <c r="AJ13" i="10" a="1"/>
  <c r="AJ13" i="10" s="1"/>
  <c r="AJ18" i="10" a="1"/>
  <c r="AJ18" i="10" s="1"/>
  <c r="AQ14" i="10"/>
  <c r="AL6" i="10" a="1"/>
  <c r="AL6" i="10" s="1"/>
  <c r="AK33" i="10" a="1"/>
  <c r="AK33" i="10" s="1"/>
  <c r="AN31" i="10" a="1"/>
  <c r="AN31" i="10" s="1"/>
  <c r="AC27" i="10" a="1"/>
  <c r="AC27" i="10" s="1"/>
  <c r="AJ23" i="10" a="1"/>
  <c r="AJ23" i="10" s="1"/>
  <c r="AQ19" i="10"/>
  <c r="AE15" i="10" a="1"/>
  <c r="AE15" i="10" s="1"/>
  <c r="AH13" i="10" a="1"/>
  <c r="AH13" i="10" s="1"/>
  <c r="AL11" i="10" a="1"/>
  <c r="AL11" i="10" s="1"/>
  <c r="AO9" i="10" a="1"/>
  <c r="AO9" i="10" s="1"/>
  <c r="AD5" i="10" a="1"/>
  <c r="AD5" i="10" s="1"/>
  <c r="AD15" i="10" a="1"/>
  <c r="AD15" i="10" s="1"/>
  <c r="AG13" i="10" a="1"/>
  <c r="AG13" i="10" s="1"/>
  <c r="AN9" i="10" a="1"/>
  <c r="AN9" i="10" s="1"/>
  <c r="AC5" i="10" a="1"/>
  <c r="AC5" i="10" s="1"/>
  <c r="AE30" i="10" a="1"/>
  <c r="AE30" i="10" s="1"/>
  <c r="AO24" i="10" a="1"/>
  <c r="AO24" i="10" s="1"/>
  <c r="AG18" i="10" a="1"/>
  <c r="AG18" i="10" s="1"/>
  <c r="AN14" i="10" a="1"/>
  <c r="AN14" i="10" s="1"/>
  <c r="AJ6" i="10" a="1"/>
  <c r="AJ6" i="10" s="1"/>
  <c r="AC24" i="10" a="1"/>
  <c r="AC24" i="10" s="1"/>
  <c r="AM9" i="10" a="1"/>
  <c r="AM9" i="10" s="1"/>
  <c r="AQ7" i="10"/>
  <c r="AE34" i="10" a="1"/>
  <c r="AE34" i="10" s="1"/>
  <c r="AF27" i="10" a="1"/>
  <c r="AF27" i="10" s="1"/>
  <c r="AE17" i="10" a="1"/>
  <c r="AE17" i="10" s="1"/>
  <c r="AC34" i="10" a="1"/>
  <c r="AC34" i="10" s="1"/>
  <c r="AQ12" i="10"/>
  <c r="AF17" i="10" a="1"/>
  <c r="AF17" i="10" s="1"/>
  <c r="AN29" i="10" a="1"/>
  <c r="AN29" i="10" s="1"/>
  <c r="AM19" i="10" a="1"/>
  <c r="AM19" i="10" s="1"/>
  <c r="AQ17" i="10"/>
  <c r="AE13" i="10" a="1"/>
  <c r="AE13" i="10" s="1"/>
  <c r="AL9" i="10" a="1"/>
  <c r="AL9" i="10" s="1"/>
  <c r="AO7" i="10" a="1"/>
  <c r="AO7" i="10" s="1"/>
  <c r="AO34" i="10" a="1"/>
  <c r="AO34" i="10" s="1"/>
  <c r="AM24" i="10" a="1"/>
  <c r="AM24" i="10" s="1"/>
  <c r="AQ22" i="10"/>
  <c r="AE18" i="10" a="1"/>
  <c r="AE18" i="10" s="1"/>
  <c r="AD30" i="10" a="1"/>
  <c r="AD30" i="10" s="1"/>
  <c r="AC30" i="10" a="1"/>
  <c r="AC30" i="10" s="1"/>
  <c r="AD13" i="10" a="1"/>
  <c r="AD13" i="10" s="1"/>
  <c r="AK9" i="10" a="1"/>
  <c r="AK9" i="10" s="1"/>
  <c r="AN7" i="10" a="1"/>
  <c r="AN7" i="10" s="1"/>
  <c r="AD24" i="10" a="1"/>
  <c r="AD24" i="10" s="1"/>
  <c r="AQ27" i="10"/>
  <c r="AC29" i="10" a="1"/>
  <c r="AC29" i="10" s="1"/>
  <c r="AL24" i="10" a="1"/>
  <c r="AL24" i="10" s="1"/>
  <c r="AD18" i="10" a="1"/>
  <c r="AD18" i="10" s="1"/>
  <c r="AL29" i="10" a="1"/>
  <c r="AL29" i="10" s="1"/>
  <c r="AO27" i="10" a="1"/>
  <c r="AO27" i="10" s="1"/>
  <c r="AD23" i="10" a="1"/>
  <c r="AD23" i="10" s="1"/>
  <c r="AJ9" i="10" a="1"/>
  <c r="AJ9" i="10" s="1"/>
  <c r="AM7" i="10" a="1"/>
  <c r="AM7" i="10" s="1"/>
  <c r="AQ5" i="10"/>
  <c r="AE29" i="10" a="1"/>
  <c r="AE29" i="10" s="1"/>
  <c r="AD34" i="10" a="1"/>
  <c r="AD34" i="10" s="1"/>
  <c r="AQ24" i="10"/>
  <c r="AO29" i="10" a="1"/>
  <c r="AO29" i="10" s="1"/>
  <c r="AN24" i="10" a="1"/>
  <c r="AN24" i="10" s="1"/>
  <c r="AK14" i="10" a="1"/>
  <c r="AK14" i="10" s="1"/>
  <c r="AN12" i="10" a="1"/>
  <c r="AN12" i="10" s="1"/>
  <c r="AM34" i="10" a="1"/>
  <c r="AM34" i="10" s="1"/>
  <c r="AQ32" i="10"/>
  <c r="AE28" i="10" a="1"/>
  <c r="AE28" i="10" s="1"/>
  <c r="AO22" i="10" a="1"/>
  <c r="AO22" i="10" s="1"/>
  <c r="AE33" i="10" a="1"/>
  <c r="AE33" i="10" s="1"/>
  <c r="AK19" i="10" a="1"/>
  <c r="AK19" i="10" s="1"/>
  <c r="AN17" i="10" a="1"/>
  <c r="AN17" i="10" s="1"/>
  <c r="AL34" i="10" a="1"/>
  <c r="AL34" i="10" s="1"/>
  <c r="AO32" i="10" a="1"/>
  <c r="AO32" i="10" s="1"/>
  <c r="AD28" i="10" a="1"/>
  <c r="AD28" i="10" s="1"/>
  <c r="AK24" i="10" a="1"/>
  <c r="AK24" i="10" s="1"/>
  <c r="AN22" i="10" a="1"/>
  <c r="AN22" i="10" s="1"/>
  <c r="AJ14" i="10" a="1"/>
  <c r="AJ14" i="10" s="1"/>
  <c r="AM12" i="10" a="1"/>
  <c r="AM12" i="10" s="1"/>
  <c r="AE6" i="10" a="1"/>
  <c r="AE6" i="10" s="1"/>
  <c r="AD33" i="10" a="1"/>
  <c r="AD33" i="10" s="1"/>
  <c r="AK29" i="10" a="1"/>
  <c r="AK29" i="10" s="1"/>
  <c r="AN27" i="10" a="1"/>
  <c r="AN27" i="10" s="1"/>
  <c r="AJ19" i="10" a="1"/>
  <c r="AJ19" i="10" s="1"/>
  <c r="AM17" i="10" a="1"/>
  <c r="AM17" i="10" s="1"/>
  <c r="AQ15" i="10"/>
  <c r="AE11" i="10" a="1"/>
  <c r="AE11" i="10" s="1"/>
  <c r="AH9" i="10" a="1"/>
  <c r="AH9" i="10" s="1"/>
  <c r="AL7" i="10" a="1"/>
  <c r="AL7" i="10" s="1"/>
  <c r="AO5" i="10" a="1"/>
  <c r="AO5" i="10" s="1"/>
  <c r="AC32" i="10" a="1"/>
  <c r="AC32" i="10" s="1"/>
  <c r="AN34" i="10" a="1"/>
  <c r="AN34" i="10" s="1"/>
  <c r="AO12" i="10" a="1"/>
  <c r="AO12" i="10" s="1"/>
  <c r="AO17" i="10" a="1"/>
  <c r="AO17" i="10" s="1"/>
  <c r="AK34" i="10" a="1"/>
  <c r="AK34" i="10" s="1"/>
  <c r="AN32" i="10" a="1"/>
  <c r="AN32" i="10" s="1"/>
  <c r="AJ24" i="10" a="1"/>
  <c r="AJ24" i="10" s="1"/>
  <c r="AM22" i="10" a="1"/>
  <c r="AM22" i="10" s="1"/>
  <c r="AH14" i="10" a="1"/>
  <c r="AH14" i="10" s="1"/>
  <c r="AL12" i="10" a="1"/>
  <c r="AL12" i="10" s="1"/>
  <c r="AD6" i="10" a="1"/>
  <c r="AD6" i="10" s="1"/>
  <c r="AJ29" i="10" a="1"/>
  <c r="AJ29" i="10" s="1"/>
  <c r="AF34" i="10" a="1"/>
  <c r="AF34" i="10" s="1"/>
  <c r="AQ29" i="10"/>
  <c r="AQ34" i="10"/>
  <c r="Y170" i="33"/>
  <c r="Y169" i="33"/>
  <c r="Y168" i="33"/>
  <c r="AA5" i="10" l="1"/>
  <c r="AA4" i="10"/>
  <c r="AA6" i="10"/>
  <c r="AA34" i="10"/>
  <c r="AA26" i="10"/>
  <c r="AA20" i="10"/>
  <c r="AA10" i="10"/>
  <c r="AA16" i="10"/>
  <c r="AA19" i="10"/>
  <c r="AA25" i="10"/>
  <c r="AA15" i="10"/>
  <c r="AA21" i="10"/>
  <c r="AA23" i="10"/>
  <c r="AA24" i="10"/>
  <c r="AA8" i="10"/>
  <c r="AA30" i="10"/>
  <c r="AA32" i="10"/>
  <c r="AA14" i="10"/>
  <c r="AA31" i="10"/>
  <c r="AA13" i="10"/>
  <c r="AA17" i="10"/>
  <c r="AA22" i="10"/>
  <c r="AA27" i="10"/>
  <c r="AA29" i="10"/>
  <c r="AA28" i="10"/>
  <c r="AA18" i="10"/>
  <c r="AA9" i="10"/>
  <c r="AA33" i="10"/>
  <c r="BU200" i="2"/>
  <c r="BV200" i="2"/>
  <c r="BX200" i="2"/>
  <c r="BT200" i="2"/>
  <c r="BT193" i="2"/>
  <c r="BU193" i="2"/>
  <c r="BV193" i="2"/>
  <c r="BV189" i="2"/>
  <c r="BU189" i="2"/>
  <c r="BT189" i="2"/>
  <c r="E209" i="2"/>
  <c r="E210" i="2"/>
  <c r="BK210" i="2"/>
  <c r="AI210" i="2" s="1"/>
  <c r="BK209" i="2"/>
  <c r="AI209" i="2" s="1"/>
  <c r="BI185" i="2"/>
  <c r="AZ186" i="2"/>
  <c r="AZ187" i="2"/>
  <c r="AZ188" i="2"/>
  <c r="BA169" i="2"/>
  <c r="BB169" i="2"/>
  <c r="BA170" i="2"/>
  <c r="BB170" i="2"/>
  <c r="BA171" i="2"/>
  <c r="BB171" i="2"/>
  <c r="BA172" i="2"/>
  <c r="BB172" i="2"/>
  <c r="BA173" i="2"/>
  <c r="BB173" i="2"/>
  <c r="BA174" i="2"/>
  <c r="BB174" i="2"/>
  <c r="BA175" i="2"/>
  <c r="BB175" i="2"/>
  <c r="BA176" i="2"/>
  <c r="BB176" i="2"/>
  <c r="BA177" i="2"/>
  <c r="BB177" i="2"/>
  <c r="BA178" i="2"/>
  <c r="BB178" i="2"/>
  <c r="BA179" i="2"/>
  <c r="BB179" i="2"/>
  <c r="BA180" i="2"/>
  <c r="BB180" i="2"/>
  <c r="BA181" i="2"/>
  <c r="BB181" i="2"/>
  <c r="BA182" i="2"/>
  <c r="BB182" i="2"/>
  <c r="BA183" i="2"/>
  <c r="BB183" i="2"/>
  <c r="BA184" i="2"/>
  <c r="BB184" i="2"/>
  <c r="BA185" i="2"/>
  <c r="BB185" i="2"/>
  <c r="BA186" i="2"/>
  <c r="BB186" i="2"/>
  <c r="BA187" i="2"/>
  <c r="BB187" i="2"/>
  <c r="BA188" i="2"/>
  <c r="BB188" i="2"/>
  <c r="BA189" i="2"/>
  <c r="BB189" i="2"/>
  <c r="BA190" i="2"/>
  <c r="BB190" i="2"/>
  <c r="BA191" i="2"/>
  <c r="BB191" i="2"/>
  <c r="BA192" i="2"/>
  <c r="BB192" i="2"/>
  <c r="BA193" i="2"/>
  <c r="BB193" i="2"/>
  <c r="BA194" i="2"/>
  <c r="BB194" i="2"/>
  <c r="BA195" i="2"/>
  <c r="BB195" i="2"/>
  <c r="BA196" i="2"/>
  <c r="BB196" i="2"/>
  <c r="BA197" i="2"/>
  <c r="BB197" i="2"/>
  <c r="BA198" i="2"/>
  <c r="BB198" i="2"/>
  <c r="BA199" i="2"/>
  <c r="BB199" i="2"/>
  <c r="BA200" i="2"/>
  <c r="BB200" i="2"/>
  <c r="BA201" i="2"/>
  <c r="BB201" i="2"/>
  <c r="BA202" i="2"/>
  <c r="BB202" i="2"/>
  <c r="BA203" i="2"/>
  <c r="BB203" i="2"/>
  <c r="BA204" i="2"/>
  <c r="BB204" i="2"/>
  <c r="BA205" i="2"/>
  <c r="BB205" i="2"/>
  <c r="BA206" i="2"/>
  <c r="BB206" i="2"/>
  <c r="BA207" i="2"/>
  <c r="BB207" i="2"/>
  <c r="BA208" i="2"/>
  <c r="BB208" i="2"/>
  <c r="BA209" i="2"/>
  <c r="BB209" i="2"/>
  <c r="BA210" i="2"/>
  <c r="BB210" i="2"/>
  <c r="BA211" i="2"/>
  <c r="BB211" i="2"/>
  <c r="BA212" i="2"/>
  <c r="BB212" i="2"/>
  <c r="BA213" i="2"/>
  <c r="BB213" i="2"/>
  <c r="BA214" i="2"/>
  <c r="BB214" i="2"/>
  <c r="BA215" i="2"/>
  <c r="BB215" i="2"/>
  <c r="BA216" i="2"/>
  <c r="BB216" i="2"/>
  <c r="BA217" i="2"/>
  <c r="BB217" i="2"/>
  <c r="BA218" i="2"/>
  <c r="BB218" i="2"/>
  <c r="BA219" i="2"/>
  <c r="BB219" i="2"/>
  <c r="BA220" i="2"/>
  <c r="BB220" i="2"/>
  <c r="BA221" i="2"/>
  <c r="BB221" i="2"/>
  <c r="BA222" i="2"/>
  <c r="BB222" i="2"/>
  <c r="BA223" i="2"/>
  <c r="BB223" i="2"/>
  <c r="BA224" i="2"/>
  <c r="BB224" i="2"/>
  <c r="BA225" i="2"/>
  <c r="BB225" i="2"/>
  <c r="BA226" i="2"/>
  <c r="BB226" i="2"/>
  <c r="BA227" i="2"/>
  <c r="BB227" i="2"/>
  <c r="BA228" i="2"/>
  <c r="BB228" i="2"/>
  <c r="BA229" i="2"/>
  <c r="BB229" i="2"/>
  <c r="BA230" i="2"/>
  <c r="BB230" i="2"/>
  <c r="BA231" i="2"/>
  <c r="BB231" i="2"/>
  <c r="BA232" i="2"/>
  <c r="BB232" i="2"/>
  <c r="BA233" i="2"/>
  <c r="BB233" i="2"/>
  <c r="BA234" i="2"/>
  <c r="BB234" i="2"/>
  <c r="BA235" i="2"/>
  <c r="BB235" i="2"/>
  <c r="BA236" i="2"/>
  <c r="BB236" i="2"/>
  <c r="BA237" i="2"/>
  <c r="BB237" i="2"/>
  <c r="BA238" i="2"/>
  <c r="BB238" i="2"/>
  <c r="BB168" i="2"/>
  <c r="BI167" i="2"/>
  <c r="BJ167" i="2"/>
  <c r="BK167" i="2"/>
  <c r="BL167" i="2"/>
  <c r="BH167" i="2"/>
  <c r="BI120" i="2"/>
  <c r="BJ120" i="2"/>
  <c r="BK120" i="2"/>
  <c r="BL120" i="2"/>
  <c r="BH120" i="2"/>
  <c r="G169" i="2"/>
  <c r="H169" i="2"/>
  <c r="I169" i="2"/>
  <c r="G170" i="2"/>
  <c r="H170" i="2"/>
  <c r="I170" i="2"/>
  <c r="G171" i="2"/>
  <c r="H171" i="2"/>
  <c r="I171" i="2"/>
  <c r="G172" i="2"/>
  <c r="H172" i="2"/>
  <c r="I172" i="2"/>
  <c r="G173" i="2"/>
  <c r="H173" i="2"/>
  <c r="I173" i="2"/>
  <c r="G174" i="2"/>
  <c r="H174" i="2"/>
  <c r="I174" i="2"/>
  <c r="G175" i="2"/>
  <c r="H175" i="2"/>
  <c r="I175" i="2"/>
  <c r="G176" i="2"/>
  <c r="H176" i="2"/>
  <c r="I176" i="2"/>
  <c r="G177" i="2"/>
  <c r="H177" i="2"/>
  <c r="I177" i="2"/>
  <c r="G178" i="2"/>
  <c r="H178" i="2"/>
  <c r="I178" i="2"/>
  <c r="G179" i="2"/>
  <c r="H179" i="2"/>
  <c r="I179" i="2"/>
  <c r="G180" i="2"/>
  <c r="H180" i="2"/>
  <c r="I180" i="2"/>
  <c r="G181" i="2"/>
  <c r="H181" i="2"/>
  <c r="I181" i="2"/>
  <c r="G182" i="2"/>
  <c r="H182" i="2"/>
  <c r="I182" i="2"/>
  <c r="G183" i="2"/>
  <c r="H183" i="2"/>
  <c r="I183" i="2"/>
  <c r="G184" i="2"/>
  <c r="H184" i="2"/>
  <c r="I184" i="2"/>
  <c r="G185" i="2"/>
  <c r="H185" i="2"/>
  <c r="I185" i="2"/>
  <c r="G186" i="2"/>
  <c r="H186" i="2"/>
  <c r="I186" i="2"/>
  <c r="G187" i="2"/>
  <c r="H187" i="2"/>
  <c r="I187" i="2"/>
  <c r="G188" i="2"/>
  <c r="H188" i="2"/>
  <c r="I188" i="2"/>
  <c r="G189" i="2"/>
  <c r="H189" i="2"/>
  <c r="I189" i="2"/>
  <c r="G190" i="2"/>
  <c r="H190" i="2"/>
  <c r="I190" i="2"/>
  <c r="G191" i="2"/>
  <c r="H191" i="2"/>
  <c r="I191" i="2"/>
  <c r="G192" i="2"/>
  <c r="H192" i="2"/>
  <c r="I192" i="2"/>
  <c r="G193" i="2"/>
  <c r="H193" i="2"/>
  <c r="I193" i="2"/>
  <c r="G194" i="2"/>
  <c r="H194" i="2"/>
  <c r="I194" i="2"/>
  <c r="G195" i="2"/>
  <c r="H195" i="2"/>
  <c r="I195" i="2"/>
  <c r="G196" i="2"/>
  <c r="H196" i="2"/>
  <c r="I196" i="2"/>
  <c r="G197" i="2"/>
  <c r="H197" i="2"/>
  <c r="I197" i="2"/>
  <c r="G198" i="2"/>
  <c r="H198" i="2"/>
  <c r="I198" i="2"/>
  <c r="G199" i="2"/>
  <c r="H199" i="2"/>
  <c r="I199" i="2"/>
  <c r="G200" i="2"/>
  <c r="H200" i="2"/>
  <c r="I200" i="2"/>
  <c r="G201" i="2"/>
  <c r="H201" i="2"/>
  <c r="I201" i="2"/>
  <c r="G202" i="2"/>
  <c r="H202" i="2"/>
  <c r="I202" i="2"/>
  <c r="G203" i="2"/>
  <c r="H203" i="2"/>
  <c r="I203" i="2"/>
  <c r="G204" i="2"/>
  <c r="H204" i="2"/>
  <c r="I204" i="2"/>
  <c r="G205" i="2"/>
  <c r="H205" i="2"/>
  <c r="I205" i="2"/>
  <c r="G206" i="2"/>
  <c r="H206" i="2"/>
  <c r="I206" i="2"/>
  <c r="G207" i="2"/>
  <c r="H207" i="2"/>
  <c r="I207" i="2"/>
  <c r="G208" i="2"/>
  <c r="H208" i="2"/>
  <c r="I208" i="2"/>
  <c r="G209" i="2"/>
  <c r="H209" i="2"/>
  <c r="I209" i="2"/>
  <c r="G210" i="2"/>
  <c r="H210" i="2"/>
  <c r="I210" i="2"/>
  <c r="G211" i="2"/>
  <c r="H211" i="2"/>
  <c r="I211" i="2"/>
  <c r="G212" i="2"/>
  <c r="H212" i="2"/>
  <c r="I212" i="2"/>
  <c r="G213" i="2"/>
  <c r="H213" i="2"/>
  <c r="I213" i="2"/>
  <c r="G214" i="2"/>
  <c r="H214" i="2"/>
  <c r="I214" i="2"/>
  <c r="G215" i="2"/>
  <c r="H215" i="2"/>
  <c r="I215" i="2"/>
  <c r="G216" i="2"/>
  <c r="H216" i="2"/>
  <c r="I216" i="2"/>
  <c r="G217" i="2"/>
  <c r="H217" i="2"/>
  <c r="I217" i="2"/>
  <c r="G218" i="2"/>
  <c r="H218" i="2"/>
  <c r="I218" i="2"/>
  <c r="G219" i="2"/>
  <c r="H219" i="2"/>
  <c r="I219" i="2"/>
  <c r="G220" i="2"/>
  <c r="H220" i="2"/>
  <c r="I220" i="2"/>
  <c r="G221" i="2"/>
  <c r="H221" i="2"/>
  <c r="I221" i="2"/>
  <c r="G222" i="2"/>
  <c r="H222" i="2"/>
  <c r="I222" i="2"/>
  <c r="G223" i="2"/>
  <c r="H223" i="2"/>
  <c r="I223" i="2"/>
  <c r="G224" i="2"/>
  <c r="H224" i="2"/>
  <c r="I224" i="2"/>
  <c r="G225" i="2"/>
  <c r="H225" i="2"/>
  <c r="I225" i="2"/>
  <c r="G226" i="2"/>
  <c r="H226" i="2"/>
  <c r="I226" i="2"/>
  <c r="G227" i="2"/>
  <c r="H227" i="2"/>
  <c r="I227" i="2"/>
  <c r="G228" i="2"/>
  <c r="H228" i="2"/>
  <c r="I228" i="2"/>
  <c r="G229" i="2"/>
  <c r="H229" i="2"/>
  <c r="I229" i="2"/>
  <c r="G230" i="2"/>
  <c r="H230" i="2"/>
  <c r="I230" i="2"/>
  <c r="G231" i="2"/>
  <c r="H231" i="2"/>
  <c r="I231" i="2"/>
  <c r="G232" i="2"/>
  <c r="H232" i="2"/>
  <c r="I232" i="2"/>
  <c r="G233" i="2"/>
  <c r="H233" i="2"/>
  <c r="I233" i="2"/>
  <c r="G234" i="2"/>
  <c r="H234" i="2"/>
  <c r="I234" i="2"/>
  <c r="G235" i="2"/>
  <c r="H235" i="2"/>
  <c r="I235" i="2"/>
  <c r="G236" i="2"/>
  <c r="H236" i="2"/>
  <c r="I236" i="2"/>
  <c r="G237" i="2"/>
  <c r="H237" i="2"/>
  <c r="I237" i="2"/>
  <c r="G238" i="2"/>
  <c r="H238" i="2"/>
  <c r="I238" i="2"/>
  <c r="C169" i="2"/>
  <c r="E169" i="2"/>
  <c r="C170" i="2"/>
  <c r="E170" i="2"/>
  <c r="C171" i="2"/>
  <c r="E171" i="2"/>
  <c r="C172" i="2"/>
  <c r="E172" i="2"/>
  <c r="C173" i="2"/>
  <c r="E173" i="2"/>
  <c r="C174" i="2"/>
  <c r="E174" i="2"/>
  <c r="C175" i="2"/>
  <c r="E175" i="2"/>
  <c r="C176" i="2"/>
  <c r="E176" i="2"/>
  <c r="C177" i="2"/>
  <c r="E177" i="2"/>
  <c r="C178" i="2"/>
  <c r="E178" i="2"/>
  <c r="C179" i="2"/>
  <c r="E179" i="2"/>
  <c r="C180" i="2"/>
  <c r="E180" i="2"/>
  <c r="C181" i="2"/>
  <c r="E181" i="2"/>
  <c r="C182" i="2"/>
  <c r="E182" i="2"/>
  <c r="C183" i="2"/>
  <c r="E183" i="2"/>
  <c r="C184" i="2"/>
  <c r="E184" i="2"/>
  <c r="C185" i="2"/>
  <c r="E185" i="2"/>
  <c r="C186" i="2"/>
  <c r="E186" i="2"/>
  <c r="C187" i="2"/>
  <c r="E187" i="2"/>
  <c r="C188" i="2"/>
  <c r="E188" i="2"/>
  <c r="C189" i="2"/>
  <c r="E189" i="2"/>
  <c r="C190" i="2"/>
  <c r="E190" i="2"/>
  <c r="C191" i="2"/>
  <c r="E191" i="2"/>
  <c r="C192" i="2"/>
  <c r="E192" i="2"/>
  <c r="C193" i="2"/>
  <c r="E193" i="2"/>
  <c r="C194" i="2"/>
  <c r="E194" i="2"/>
  <c r="C195" i="2"/>
  <c r="E195" i="2"/>
  <c r="C196" i="2"/>
  <c r="E196" i="2"/>
  <c r="C197" i="2"/>
  <c r="E197" i="2"/>
  <c r="C198" i="2"/>
  <c r="E198" i="2"/>
  <c r="C199" i="2"/>
  <c r="E199" i="2"/>
  <c r="C200" i="2"/>
  <c r="E200" i="2"/>
  <c r="C201" i="2"/>
  <c r="E201" i="2"/>
  <c r="C202" i="2"/>
  <c r="E202" i="2"/>
  <c r="C203" i="2"/>
  <c r="E203" i="2"/>
  <c r="C204" i="2"/>
  <c r="E204" i="2"/>
  <c r="C205" i="2"/>
  <c r="E205" i="2"/>
  <c r="C206" i="2"/>
  <c r="E206" i="2"/>
  <c r="C207" i="2"/>
  <c r="E207" i="2"/>
  <c r="C208" i="2"/>
  <c r="E208" i="2"/>
  <c r="C209" i="2"/>
  <c r="C210" i="2"/>
  <c r="C211" i="2"/>
  <c r="E211" i="2"/>
  <c r="C212" i="2"/>
  <c r="E212" i="2"/>
  <c r="C213" i="2"/>
  <c r="E213" i="2"/>
  <c r="C214" i="2"/>
  <c r="E214" i="2"/>
  <c r="C215" i="2"/>
  <c r="E215" i="2"/>
  <c r="C216" i="2"/>
  <c r="E216" i="2"/>
  <c r="C217" i="2"/>
  <c r="E217" i="2"/>
  <c r="C218" i="2"/>
  <c r="E218" i="2"/>
  <c r="C219" i="2"/>
  <c r="E219" i="2"/>
  <c r="C220" i="2"/>
  <c r="E220" i="2"/>
  <c r="C221" i="2"/>
  <c r="E221" i="2"/>
  <c r="C222" i="2"/>
  <c r="E222" i="2"/>
  <c r="C223" i="2"/>
  <c r="E223" i="2"/>
  <c r="C224" i="2"/>
  <c r="E224" i="2"/>
  <c r="C225" i="2"/>
  <c r="E225" i="2"/>
  <c r="C226" i="2"/>
  <c r="E226" i="2"/>
  <c r="C227" i="2"/>
  <c r="E227" i="2"/>
  <c r="C228" i="2"/>
  <c r="E228" i="2"/>
  <c r="C229" i="2"/>
  <c r="E229" i="2"/>
  <c r="C230" i="2"/>
  <c r="E230" i="2"/>
  <c r="C231" i="2"/>
  <c r="E231" i="2"/>
  <c r="C232" i="2"/>
  <c r="E232" i="2"/>
  <c r="C233" i="2"/>
  <c r="E233" i="2"/>
  <c r="C234" i="2"/>
  <c r="E234" i="2"/>
  <c r="C235" i="2"/>
  <c r="E235" i="2"/>
  <c r="C236" i="2"/>
  <c r="E236" i="2"/>
  <c r="C237" i="2"/>
  <c r="E237" i="2"/>
  <c r="C238" i="2"/>
  <c r="E23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6" i="2"/>
  <c r="B217" i="2"/>
  <c r="B218" i="2"/>
  <c r="B219" i="2"/>
  <c r="B220" i="2"/>
  <c r="B221" i="2"/>
  <c r="B222" i="2"/>
  <c r="B223" i="2"/>
  <c r="B224" i="2"/>
  <c r="B225" i="2"/>
  <c r="B226" i="2"/>
  <c r="B227" i="2"/>
  <c r="B228" i="2"/>
  <c r="B229" i="2"/>
  <c r="B230" i="2"/>
  <c r="B231" i="2"/>
  <c r="B232" i="2"/>
  <c r="B233" i="2"/>
  <c r="B234" i="2"/>
  <c r="B235" i="2"/>
  <c r="B236" i="2"/>
  <c r="B237" i="2"/>
  <c r="B238" i="2"/>
  <c r="A4" i="21"/>
  <c r="B4" i="21"/>
  <c r="C4" i="21"/>
  <c r="D4" i="21"/>
  <c r="E4" i="21"/>
  <c r="F4" i="21"/>
  <c r="G4" i="21"/>
  <c r="H4" i="21"/>
  <c r="I4" i="21"/>
  <c r="M4" i="21"/>
  <c r="P4" i="21"/>
  <c r="Q4" i="21"/>
  <c r="R4" i="21"/>
  <c r="S4" i="21"/>
  <c r="T4" i="21"/>
  <c r="U4" i="21"/>
  <c r="A5" i="21"/>
  <c r="B5" i="21"/>
  <c r="C5" i="21"/>
  <c r="D5" i="21"/>
  <c r="E5" i="21"/>
  <c r="F5" i="21"/>
  <c r="G5" i="21"/>
  <c r="H5" i="21"/>
  <c r="I5" i="21"/>
  <c r="M5" i="21"/>
  <c r="P5" i="21"/>
  <c r="Q5" i="21"/>
  <c r="R5" i="21"/>
  <c r="S5" i="21"/>
  <c r="T5" i="21"/>
  <c r="U5" i="21"/>
  <c r="A6" i="21"/>
  <c r="B6" i="21"/>
  <c r="C6" i="21"/>
  <c r="D6" i="21"/>
  <c r="E6" i="21"/>
  <c r="F6" i="21"/>
  <c r="G6" i="21"/>
  <c r="H6" i="21"/>
  <c r="I6" i="21"/>
  <c r="M6" i="21"/>
  <c r="P6" i="21"/>
  <c r="Q6" i="21"/>
  <c r="R6" i="21"/>
  <c r="S6" i="21"/>
  <c r="T6" i="21"/>
  <c r="U6" i="21"/>
  <c r="A7" i="21"/>
  <c r="B7" i="21"/>
  <c r="C7" i="21"/>
  <c r="D7" i="21"/>
  <c r="E7" i="21"/>
  <c r="F7" i="21"/>
  <c r="G7" i="21"/>
  <c r="H7" i="21"/>
  <c r="I7" i="21"/>
  <c r="M7" i="21"/>
  <c r="P7" i="21"/>
  <c r="Q7" i="21"/>
  <c r="R7" i="21"/>
  <c r="S7" i="21"/>
  <c r="T7" i="21"/>
  <c r="U7" i="21"/>
  <c r="A8" i="21"/>
  <c r="B8" i="21"/>
  <c r="C8" i="21"/>
  <c r="D8" i="21"/>
  <c r="E8" i="21"/>
  <c r="F8" i="21"/>
  <c r="G8" i="21"/>
  <c r="H8" i="21"/>
  <c r="I8" i="21"/>
  <c r="M8" i="21"/>
  <c r="P8" i="21"/>
  <c r="Q8" i="21"/>
  <c r="R8" i="21"/>
  <c r="S8" i="21"/>
  <c r="T8" i="21"/>
  <c r="U8" i="21"/>
  <c r="A9" i="21"/>
  <c r="B9" i="21"/>
  <c r="C9" i="21"/>
  <c r="D9" i="21"/>
  <c r="E9" i="21"/>
  <c r="F9" i="21"/>
  <c r="G9" i="21"/>
  <c r="H9" i="21"/>
  <c r="I9" i="21"/>
  <c r="M9" i="21"/>
  <c r="P9" i="21"/>
  <c r="Q9" i="21"/>
  <c r="R9" i="21"/>
  <c r="S9" i="21"/>
  <c r="T9" i="21"/>
  <c r="U9" i="21"/>
  <c r="A10" i="21"/>
  <c r="B10" i="21"/>
  <c r="C10" i="21"/>
  <c r="D10" i="21"/>
  <c r="E10" i="21"/>
  <c r="F10" i="21"/>
  <c r="G10" i="21"/>
  <c r="H10" i="21"/>
  <c r="I10" i="21"/>
  <c r="M10" i="21"/>
  <c r="P10" i="21"/>
  <c r="Q10" i="21"/>
  <c r="R10" i="21"/>
  <c r="S10" i="21"/>
  <c r="T10" i="21"/>
  <c r="U10" i="21"/>
  <c r="A11" i="21"/>
  <c r="B11" i="21"/>
  <c r="C11" i="21"/>
  <c r="D11" i="21"/>
  <c r="E11" i="21"/>
  <c r="F11" i="21"/>
  <c r="G11" i="21"/>
  <c r="H11" i="21"/>
  <c r="I11" i="21"/>
  <c r="M11" i="21"/>
  <c r="P11" i="21"/>
  <c r="Q11" i="21"/>
  <c r="R11" i="21"/>
  <c r="S11" i="21"/>
  <c r="T11" i="21"/>
  <c r="U11" i="21"/>
  <c r="A12" i="21"/>
  <c r="B12" i="21"/>
  <c r="C12" i="21"/>
  <c r="D12" i="21"/>
  <c r="E12" i="21"/>
  <c r="F12" i="21"/>
  <c r="G12" i="21"/>
  <c r="H12" i="21"/>
  <c r="I12" i="21"/>
  <c r="M12" i="21"/>
  <c r="P12" i="21"/>
  <c r="Q12" i="21"/>
  <c r="R12" i="21"/>
  <c r="S12" i="21"/>
  <c r="T12" i="21"/>
  <c r="U12" i="21"/>
  <c r="A13" i="21"/>
  <c r="B13" i="21"/>
  <c r="C13" i="21"/>
  <c r="D13" i="21"/>
  <c r="E13" i="21"/>
  <c r="F13" i="21"/>
  <c r="G13" i="21"/>
  <c r="H13" i="21"/>
  <c r="I13" i="21"/>
  <c r="J13" i="21"/>
  <c r="M13" i="21"/>
  <c r="P13" i="21"/>
  <c r="Q13" i="21"/>
  <c r="R13" i="21"/>
  <c r="S13" i="21"/>
  <c r="T13" i="21"/>
  <c r="U13" i="21"/>
  <c r="A14" i="21"/>
  <c r="AR14" i="21" s="1"/>
  <c r="B14" i="21"/>
  <c r="C14" i="21"/>
  <c r="D14" i="21"/>
  <c r="E14" i="21"/>
  <c r="F14" i="21"/>
  <c r="G14" i="21"/>
  <c r="H14" i="21"/>
  <c r="I14" i="21"/>
  <c r="M14" i="21"/>
  <c r="P14" i="21"/>
  <c r="Q14" i="21"/>
  <c r="R14" i="21"/>
  <c r="S14" i="21"/>
  <c r="T14" i="21"/>
  <c r="U14" i="21"/>
  <c r="A15" i="21"/>
  <c r="B15" i="21"/>
  <c r="C15" i="21"/>
  <c r="D15" i="21"/>
  <c r="E15" i="21"/>
  <c r="F15" i="21"/>
  <c r="G15" i="21"/>
  <c r="H15" i="21"/>
  <c r="I15" i="21"/>
  <c r="M15" i="21"/>
  <c r="P15" i="21"/>
  <c r="Q15" i="21"/>
  <c r="R15" i="21"/>
  <c r="S15" i="21"/>
  <c r="T15" i="21"/>
  <c r="U15" i="21"/>
  <c r="A16" i="21"/>
  <c r="B16" i="21"/>
  <c r="C16" i="21"/>
  <c r="D16" i="21"/>
  <c r="E16" i="21"/>
  <c r="F16" i="21"/>
  <c r="G16" i="21"/>
  <c r="H16" i="21"/>
  <c r="I16" i="21"/>
  <c r="M16" i="21"/>
  <c r="P16" i="21"/>
  <c r="Q16" i="21"/>
  <c r="R16" i="21"/>
  <c r="S16" i="21"/>
  <c r="T16" i="21"/>
  <c r="U16" i="21"/>
  <c r="A17" i="21"/>
  <c r="B17" i="21"/>
  <c r="C17" i="21"/>
  <c r="D17" i="21"/>
  <c r="E17" i="21"/>
  <c r="F17" i="21"/>
  <c r="G17" i="21"/>
  <c r="H17" i="21"/>
  <c r="I17" i="21"/>
  <c r="M17" i="21"/>
  <c r="P17" i="21"/>
  <c r="Q17" i="21"/>
  <c r="R17" i="21"/>
  <c r="S17" i="21"/>
  <c r="T17" i="21"/>
  <c r="U17" i="21"/>
  <c r="A18" i="21"/>
  <c r="B18" i="21"/>
  <c r="C18" i="21"/>
  <c r="D18" i="21"/>
  <c r="E18" i="21"/>
  <c r="F18" i="21"/>
  <c r="G18" i="21"/>
  <c r="H18" i="21"/>
  <c r="I18" i="21"/>
  <c r="M18" i="21"/>
  <c r="P18" i="21"/>
  <c r="Q18" i="21"/>
  <c r="R18" i="21"/>
  <c r="S18" i="21"/>
  <c r="T18" i="21"/>
  <c r="U18" i="21"/>
  <c r="A19" i="21"/>
  <c r="B19" i="21"/>
  <c r="C19" i="21"/>
  <c r="D19" i="21"/>
  <c r="E19" i="21"/>
  <c r="F19" i="21"/>
  <c r="G19" i="21"/>
  <c r="H19" i="21"/>
  <c r="I19" i="21"/>
  <c r="M19" i="21"/>
  <c r="P19" i="21"/>
  <c r="Q19" i="21"/>
  <c r="R19" i="21"/>
  <c r="S19" i="21"/>
  <c r="T19" i="21"/>
  <c r="U19" i="21"/>
  <c r="A20" i="21"/>
  <c r="B20" i="21"/>
  <c r="C20" i="21"/>
  <c r="D20" i="21"/>
  <c r="E20" i="21"/>
  <c r="F20" i="21"/>
  <c r="G20" i="21"/>
  <c r="H20" i="21"/>
  <c r="I20" i="21"/>
  <c r="M20" i="21"/>
  <c r="P20" i="21"/>
  <c r="Q20" i="21"/>
  <c r="R20" i="21"/>
  <c r="S20" i="21"/>
  <c r="T20" i="21"/>
  <c r="U20" i="21"/>
  <c r="A21" i="21"/>
  <c r="B21" i="21"/>
  <c r="C21" i="21"/>
  <c r="D21" i="21"/>
  <c r="E21" i="21"/>
  <c r="F21" i="21"/>
  <c r="G21" i="21"/>
  <c r="H21" i="21"/>
  <c r="I21" i="21"/>
  <c r="M21" i="21"/>
  <c r="P21" i="21"/>
  <c r="Q21" i="21"/>
  <c r="R21" i="21"/>
  <c r="S21" i="21"/>
  <c r="T21" i="21"/>
  <c r="U21" i="21"/>
  <c r="A22" i="21"/>
  <c r="B22" i="21"/>
  <c r="C22" i="21"/>
  <c r="D22" i="21"/>
  <c r="E22" i="21"/>
  <c r="F22" i="21"/>
  <c r="G22" i="21"/>
  <c r="H22" i="21"/>
  <c r="I22" i="21"/>
  <c r="M22" i="21"/>
  <c r="P22" i="21"/>
  <c r="Q22" i="21"/>
  <c r="R22" i="21"/>
  <c r="S22" i="21"/>
  <c r="T22" i="21"/>
  <c r="U22" i="21"/>
  <c r="A23" i="21"/>
  <c r="B23" i="21"/>
  <c r="C23" i="21"/>
  <c r="D23" i="21"/>
  <c r="E23" i="21"/>
  <c r="F23" i="21"/>
  <c r="G23" i="21"/>
  <c r="H23" i="21"/>
  <c r="I23" i="21"/>
  <c r="M23" i="21"/>
  <c r="P23" i="21"/>
  <c r="Q23" i="21"/>
  <c r="R23" i="21"/>
  <c r="S23" i="21"/>
  <c r="T23" i="21"/>
  <c r="U23" i="21"/>
  <c r="A24" i="21"/>
  <c r="B24" i="21"/>
  <c r="C24" i="21"/>
  <c r="D24" i="21"/>
  <c r="E24" i="21"/>
  <c r="F24" i="21"/>
  <c r="G24" i="21"/>
  <c r="H24" i="21"/>
  <c r="I24" i="21"/>
  <c r="M24" i="21"/>
  <c r="P24" i="21"/>
  <c r="Q24" i="21"/>
  <c r="R24" i="21"/>
  <c r="S24" i="21"/>
  <c r="T24" i="21"/>
  <c r="U24" i="21"/>
  <c r="A25" i="21"/>
  <c r="B25" i="21"/>
  <c r="C25" i="21"/>
  <c r="D25" i="21"/>
  <c r="E25" i="21"/>
  <c r="F25" i="21"/>
  <c r="G25" i="21"/>
  <c r="H25" i="21"/>
  <c r="I25" i="21"/>
  <c r="M25" i="21"/>
  <c r="P25" i="21"/>
  <c r="Q25" i="21"/>
  <c r="R25" i="21"/>
  <c r="S25" i="21"/>
  <c r="T25" i="21"/>
  <c r="U25" i="21"/>
  <c r="A26" i="21"/>
  <c r="B26" i="21"/>
  <c r="C26" i="21"/>
  <c r="D26" i="21"/>
  <c r="E26" i="21"/>
  <c r="F26" i="21"/>
  <c r="G26" i="21"/>
  <c r="H26" i="21"/>
  <c r="I26" i="21"/>
  <c r="M26" i="21"/>
  <c r="P26" i="21"/>
  <c r="Q26" i="21"/>
  <c r="R26" i="21"/>
  <c r="S26" i="21"/>
  <c r="T26" i="21"/>
  <c r="U26" i="21"/>
  <c r="A27" i="21"/>
  <c r="B27" i="21"/>
  <c r="C27" i="21"/>
  <c r="D27" i="21"/>
  <c r="E27" i="21"/>
  <c r="F27" i="21"/>
  <c r="G27" i="21"/>
  <c r="H27" i="21"/>
  <c r="I27" i="21"/>
  <c r="M27" i="21"/>
  <c r="P27" i="21"/>
  <c r="Q27" i="21"/>
  <c r="R27" i="21"/>
  <c r="S27" i="21"/>
  <c r="T27" i="21"/>
  <c r="U27" i="21"/>
  <c r="A28" i="21"/>
  <c r="B28" i="21"/>
  <c r="C28" i="21"/>
  <c r="D28" i="21"/>
  <c r="E28" i="21"/>
  <c r="F28" i="21"/>
  <c r="G28" i="21"/>
  <c r="H28" i="21"/>
  <c r="I28" i="21"/>
  <c r="M28" i="21"/>
  <c r="P28" i="21"/>
  <c r="Q28" i="21"/>
  <c r="R28" i="21"/>
  <c r="S28" i="21"/>
  <c r="T28" i="21"/>
  <c r="U28" i="21"/>
  <c r="A29" i="21"/>
  <c r="B29" i="21"/>
  <c r="C29" i="21"/>
  <c r="D29" i="21"/>
  <c r="E29" i="21"/>
  <c r="F29" i="21"/>
  <c r="G29" i="21"/>
  <c r="H29" i="21"/>
  <c r="I29" i="21"/>
  <c r="M29" i="21"/>
  <c r="P29" i="21"/>
  <c r="Q29" i="21"/>
  <c r="R29" i="21"/>
  <c r="S29" i="21"/>
  <c r="T29" i="21"/>
  <c r="U29" i="21"/>
  <c r="A30" i="21"/>
  <c r="B30" i="21"/>
  <c r="C30" i="21"/>
  <c r="D30" i="21"/>
  <c r="E30" i="21"/>
  <c r="F30" i="21"/>
  <c r="G30" i="21"/>
  <c r="H30" i="21"/>
  <c r="I30" i="21"/>
  <c r="M30" i="21"/>
  <c r="P30" i="21"/>
  <c r="Q30" i="21"/>
  <c r="R30" i="21"/>
  <c r="S30" i="21"/>
  <c r="T30" i="21"/>
  <c r="U30" i="21"/>
  <c r="A31" i="21"/>
  <c r="B31" i="21"/>
  <c r="C31" i="21"/>
  <c r="D31" i="21"/>
  <c r="E31" i="21"/>
  <c r="F31" i="21"/>
  <c r="G31" i="21"/>
  <c r="H31" i="21"/>
  <c r="I31" i="21"/>
  <c r="M31" i="21"/>
  <c r="P31" i="21"/>
  <c r="Q31" i="21"/>
  <c r="R31" i="21"/>
  <c r="S31" i="21"/>
  <c r="T31" i="21"/>
  <c r="U31" i="21"/>
  <c r="A32" i="21"/>
  <c r="B32" i="21"/>
  <c r="C32" i="21"/>
  <c r="D32" i="21"/>
  <c r="E32" i="21"/>
  <c r="F32" i="21"/>
  <c r="G32" i="21"/>
  <c r="H32" i="21"/>
  <c r="I32" i="21"/>
  <c r="M32" i="21"/>
  <c r="P32" i="21"/>
  <c r="Q32" i="21"/>
  <c r="R32" i="21"/>
  <c r="S32" i="21"/>
  <c r="T32" i="21"/>
  <c r="U32" i="21"/>
  <c r="A33" i="21"/>
  <c r="B33" i="21"/>
  <c r="C33" i="21"/>
  <c r="D33" i="21"/>
  <c r="E33" i="21"/>
  <c r="F33" i="21"/>
  <c r="G33" i="21"/>
  <c r="H33" i="21"/>
  <c r="I33" i="21"/>
  <c r="M33" i="21"/>
  <c r="P33" i="21"/>
  <c r="Q33" i="21"/>
  <c r="R33" i="21"/>
  <c r="S33" i="21"/>
  <c r="T33" i="21"/>
  <c r="U33" i="21"/>
  <c r="A34" i="21"/>
  <c r="B34" i="21"/>
  <c r="C34" i="21"/>
  <c r="D34" i="21"/>
  <c r="E34" i="21"/>
  <c r="F34" i="21"/>
  <c r="G34" i="21"/>
  <c r="H34" i="21"/>
  <c r="I34" i="21"/>
  <c r="M34" i="21"/>
  <c r="P34" i="21"/>
  <c r="Q34" i="21"/>
  <c r="R34" i="21"/>
  <c r="S34" i="21"/>
  <c r="T34" i="21"/>
  <c r="U34" i="21"/>
  <c r="A35" i="21"/>
  <c r="B35" i="21"/>
  <c r="C35" i="21"/>
  <c r="D35" i="21"/>
  <c r="E35" i="21"/>
  <c r="F35" i="21"/>
  <c r="G35" i="21"/>
  <c r="H35" i="21"/>
  <c r="I35" i="21"/>
  <c r="M35" i="21"/>
  <c r="P35" i="21"/>
  <c r="Q35" i="21"/>
  <c r="R35" i="21"/>
  <c r="S35" i="21"/>
  <c r="T35" i="21"/>
  <c r="U35" i="21"/>
  <c r="A36" i="21"/>
  <c r="B36" i="21"/>
  <c r="C36" i="21"/>
  <c r="D36" i="21"/>
  <c r="E36" i="21"/>
  <c r="F36" i="21"/>
  <c r="G36" i="21"/>
  <c r="H36" i="21"/>
  <c r="I36" i="21"/>
  <c r="M36" i="21"/>
  <c r="P36" i="21"/>
  <c r="Q36" i="21"/>
  <c r="R36" i="21"/>
  <c r="S36" i="21"/>
  <c r="T36" i="21"/>
  <c r="U36" i="21"/>
  <c r="A37" i="21"/>
  <c r="B37" i="21"/>
  <c r="C37" i="21"/>
  <c r="D37" i="21"/>
  <c r="E37" i="21"/>
  <c r="F37" i="21"/>
  <c r="G37" i="21"/>
  <c r="H37" i="21"/>
  <c r="I37" i="21"/>
  <c r="M37" i="21"/>
  <c r="P37" i="21"/>
  <c r="Q37" i="21"/>
  <c r="R37" i="21"/>
  <c r="S37" i="21"/>
  <c r="T37" i="21"/>
  <c r="U37" i="21"/>
  <c r="A38" i="21"/>
  <c r="B38" i="21"/>
  <c r="C38" i="21"/>
  <c r="D38" i="21"/>
  <c r="E38" i="21"/>
  <c r="F38" i="21"/>
  <c r="G38" i="21"/>
  <c r="H38" i="21"/>
  <c r="I38" i="21"/>
  <c r="M38" i="21"/>
  <c r="P38" i="21"/>
  <c r="Q38" i="21"/>
  <c r="R38" i="21"/>
  <c r="S38" i="21"/>
  <c r="T38" i="21"/>
  <c r="U38" i="21"/>
  <c r="A39" i="21"/>
  <c r="B39" i="21"/>
  <c r="C39" i="21"/>
  <c r="D39" i="21"/>
  <c r="E39" i="21"/>
  <c r="F39" i="21"/>
  <c r="G39" i="21"/>
  <c r="H39" i="21"/>
  <c r="I39" i="21"/>
  <c r="M39" i="21"/>
  <c r="P39" i="21"/>
  <c r="Q39" i="21"/>
  <c r="R39" i="21"/>
  <c r="S39" i="21"/>
  <c r="T39" i="21"/>
  <c r="U39" i="21"/>
  <c r="A40" i="21"/>
  <c r="B40" i="21"/>
  <c r="C40" i="21"/>
  <c r="D40" i="21"/>
  <c r="E40" i="21"/>
  <c r="F40" i="21"/>
  <c r="G40" i="21"/>
  <c r="H40" i="21"/>
  <c r="I40" i="21"/>
  <c r="M40" i="21"/>
  <c r="P40" i="21"/>
  <c r="Q40" i="21"/>
  <c r="R40" i="21"/>
  <c r="S40" i="21"/>
  <c r="T40" i="21"/>
  <c r="U40" i="21"/>
  <c r="A41" i="21"/>
  <c r="B41" i="21"/>
  <c r="C41" i="21"/>
  <c r="D41" i="21"/>
  <c r="E41" i="21"/>
  <c r="F41" i="21"/>
  <c r="G41" i="21"/>
  <c r="H41" i="21"/>
  <c r="I41" i="21"/>
  <c r="M41" i="21"/>
  <c r="P41" i="21"/>
  <c r="Q41" i="21"/>
  <c r="R41" i="21"/>
  <c r="S41" i="21"/>
  <c r="T41" i="21"/>
  <c r="U41" i="21"/>
  <c r="A42" i="21"/>
  <c r="B42" i="21"/>
  <c r="C42" i="21"/>
  <c r="D42" i="21"/>
  <c r="E42" i="21"/>
  <c r="F42" i="21"/>
  <c r="G42" i="21"/>
  <c r="H42" i="21"/>
  <c r="I42" i="21"/>
  <c r="M42" i="21"/>
  <c r="P42" i="21"/>
  <c r="Q42" i="21"/>
  <c r="R42" i="21"/>
  <c r="S42" i="21"/>
  <c r="T42" i="21"/>
  <c r="U42" i="21"/>
  <c r="A43" i="21"/>
  <c r="B43" i="21"/>
  <c r="C43" i="21"/>
  <c r="D43" i="21"/>
  <c r="E43" i="21"/>
  <c r="F43" i="21"/>
  <c r="G43" i="21"/>
  <c r="H43" i="21"/>
  <c r="I43" i="21"/>
  <c r="M43" i="21"/>
  <c r="P43" i="21"/>
  <c r="Q43" i="21"/>
  <c r="R43" i="21"/>
  <c r="S43" i="21"/>
  <c r="T43" i="21"/>
  <c r="U43" i="21"/>
  <c r="A44" i="21"/>
  <c r="AR44" i="21" s="1"/>
  <c r="B44" i="21"/>
  <c r="C44" i="21"/>
  <c r="D44" i="21"/>
  <c r="E44" i="21"/>
  <c r="F44" i="21"/>
  <c r="G44" i="21"/>
  <c r="H44" i="21"/>
  <c r="I44" i="21"/>
  <c r="M44" i="21"/>
  <c r="P44" i="21"/>
  <c r="Q44" i="21"/>
  <c r="R44" i="21"/>
  <c r="S44" i="21"/>
  <c r="T44" i="21"/>
  <c r="U44" i="21"/>
  <c r="A45" i="21"/>
  <c r="B45" i="21"/>
  <c r="C45" i="21"/>
  <c r="D45" i="21"/>
  <c r="E45" i="21"/>
  <c r="F45" i="21"/>
  <c r="G45" i="21"/>
  <c r="H45" i="21"/>
  <c r="I45" i="21"/>
  <c r="M45" i="21"/>
  <c r="P45" i="21"/>
  <c r="Q45" i="21"/>
  <c r="R45" i="21"/>
  <c r="S45" i="21"/>
  <c r="T45" i="21"/>
  <c r="U45" i="21"/>
  <c r="A46" i="21"/>
  <c r="B46" i="21"/>
  <c r="C46" i="21"/>
  <c r="D46" i="21"/>
  <c r="E46" i="21"/>
  <c r="F46" i="21"/>
  <c r="G46" i="21"/>
  <c r="H46" i="21"/>
  <c r="I46" i="21"/>
  <c r="M46" i="21"/>
  <c r="P46" i="21"/>
  <c r="Q46" i="21"/>
  <c r="R46" i="21"/>
  <c r="S46" i="21"/>
  <c r="T46" i="21"/>
  <c r="U46" i="21"/>
  <c r="A47" i="21"/>
  <c r="B47" i="21"/>
  <c r="C47" i="21"/>
  <c r="D47" i="21"/>
  <c r="E47" i="21"/>
  <c r="F47" i="21"/>
  <c r="G47" i="21"/>
  <c r="H47" i="21"/>
  <c r="I47" i="21"/>
  <c r="M47" i="21"/>
  <c r="P47" i="21"/>
  <c r="Q47" i="21"/>
  <c r="R47" i="21"/>
  <c r="S47" i="21"/>
  <c r="T47" i="21"/>
  <c r="U47" i="21"/>
  <c r="A48" i="21"/>
  <c r="B48" i="21"/>
  <c r="C48" i="21"/>
  <c r="D48" i="21"/>
  <c r="E48" i="21"/>
  <c r="F48" i="21"/>
  <c r="G48" i="21"/>
  <c r="H48" i="21"/>
  <c r="I48" i="21"/>
  <c r="M48" i="21"/>
  <c r="P48" i="21"/>
  <c r="Q48" i="21"/>
  <c r="R48" i="21"/>
  <c r="S48" i="21"/>
  <c r="T48" i="21"/>
  <c r="U48" i="21"/>
  <c r="A49" i="21"/>
  <c r="B49" i="21"/>
  <c r="C49" i="21"/>
  <c r="D49" i="21"/>
  <c r="E49" i="21"/>
  <c r="F49" i="21"/>
  <c r="G49" i="21"/>
  <c r="H49" i="21"/>
  <c r="I49" i="21"/>
  <c r="M49" i="21"/>
  <c r="P49" i="21"/>
  <c r="Q49" i="21"/>
  <c r="R49" i="21"/>
  <c r="S49" i="21"/>
  <c r="T49" i="21"/>
  <c r="U49" i="21"/>
  <c r="A50" i="21"/>
  <c r="B50" i="21"/>
  <c r="C50" i="21"/>
  <c r="D50" i="21"/>
  <c r="E50" i="21"/>
  <c r="F50" i="21"/>
  <c r="G50" i="21"/>
  <c r="H50" i="21"/>
  <c r="I50" i="21"/>
  <c r="M50" i="21"/>
  <c r="P50" i="21"/>
  <c r="Q50" i="21"/>
  <c r="R50" i="21"/>
  <c r="S50" i="21"/>
  <c r="T50" i="21"/>
  <c r="U50" i="21"/>
  <c r="A51" i="21"/>
  <c r="B51" i="21"/>
  <c r="C51" i="21"/>
  <c r="D51" i="21"/>
  <c r="E51" i="21"/>
  <c r="F51" i="21"/>
  <c r="G51" i="21"/>
  <c r="H51" i="21"/>
  <c r="I51" i="21"/>
  <c r="M51" i="21"/>
  <c r="P51" i="21"/>
  <c r="Q51" i="21"/>
  <c r="R51" i="21"/>
  <c r="S51" i="21"/>
  <c r="T51" i="21"/>
  <c r="U51" i="21"/>
  <c r="A52" i="21"/>
  <c r="B52" i="21"/>
  <c r="C52" i="21"/>
  <c r="D52" i="21"/>
  <c r="E52" i="21"/>
  <c r="F52" i="21"/>
  <c r="G52" i="21"/>
  <c r="H52" i="21"/>
  <c r="I52" i="21"/>
  <c r="M52" i="21"/>
  <c r="P52" i="21"/>
  <c r="Q52" i="21"/>
  <c r="R52" i="21"/>
  <c r="S52" i="21"/>
  <c r="T52" i="21"/>
  <c r="U52" i="21"/>
  <c r="A53" i="21"/>
  <c r="B53" i="21"/>
  <c r="C53" i="21"/>
  <c r="D53" i="21"/>
  <c r="E53" i="21"/>
  <c r="F53" i="21"/>
  <c r="G53" i="21"/>
  <c r="H53" i="21"/>
  <c r="I53" i="21"/>
  <c r="M53" i="21"/>
  <c r="P53" i="21"/>
  <c r="Q53" i="21"/>
  <c r="R53" i="21"/>
  <c r="S53" i="21"/>
  <c r="T53" i="21"/>
  <c r="U53" i="21"/>
  <c r="A54" i="21"/>
  <c r="B54" i="21"/>
  <c r="C54" i="21"/>
  <c r="D54" i="21"/>
  <c r="E54" i="21"/>
  <c r="F54" i="21"/>
  <c r="G54" i="21"/>
  <c r="H54" i="21"/>
  <c r="I54" i="21"/>
  <c r="M54" i="21"/>
  <c r="P54" i="21"/>
  <c r="Q54" i="21"/>
  <c r="R54" i="21"/>
  <c r="S54" i="21"/>
  <c r="T54" i="21"/>
  <c r="U54" i="21"/>
  <c r="A55" i="21"/>
  <c r="B55" i="21"/>
  <c r="C55" i="21"/>
  <c r="D55" i="21"/>
  <c r="E55" i="21"/>
  <c r="F55" i="21"/>
  <c r="G55" i="21"/>
  <c r="H55" i="21"/>
  <c r="I55" i="21"/>
  <c r="M55" i="21"/>
  <c r="P55" i="21"/>
  <c r="Q55" i="21"/>
  <c r="R55" i="21"/>
  <c r="S55" i="21"/>
  <c r="T55" i="21"/>
  <c r="U55" i="21"/>
  <c r="A56" i="21"/>
  <c r="B56" i="21"/>
  <c r="C56" i="21"/>
  <c r="D56" i="21"/>
  <c r="E56" i="21"/>
  <c r="F56" i="21"/>
  <c r="G56" i="21"/>
  <c r="H56" i="21"/>
  <c r="I56" i="21"/>
  <c r="M56" i="21"/>
  <c r="P56" i="21"/>
  <c r="Q56" i="21"/>
  <c r="R56" i="21"/>
  <c r="S56" i="21"/>
  <c r="T56" i="21"/>
  <c r="U56" i="21"/>
  <c r="A57" i="21"/>
  <c r="B57" i="21"/>
  <c r="C57" i="21"/>
  <c r="D57" i="21"/>
  <c r="E57" i="21"/>
  <c r="F57" i="21"/>
  <c r="G57" i="21"/>
  <c r="H57" i="21"/>
  <c r="I57" i="21"/>
  <c r="M57" i="21"/>
  <c r="P57" i="21"/>
  <c r="Q57" i="21"/>
  <c r="R57" i="21"/>
  <c r="S57" i="21"/>
  <c r="T57" i="21"/>
  <c r="U57" i="21"/>
  <c r="A58" i="21"/>
  <c r="B58" i="21"/>
  <c r="C58" i="21"/>
  <c r="D58" i="21"/>
  <c r="E58" i="21"/>
  <c r="F58" i="21"/>
  <c r="G58" i="21"/>
  <c r="H58" i="21"/>
  <c r="I58" i="21"/>
  <c r="M58" i="21"/>
  <c r="P58" i="21"/>
  <c r="Q58" i="21"/>
  <c r="R58" i="21"/>
  <c r="S58" i="21"/>
  <c r="T58" i="21"/>
  <c r="U58" i="21"/>
  <c r="A59" i="21"/>
  <c r="B59" i="21"/>
  <c r="C59" i="21"/>
  <c r="D59" i="21"/>
  <c r="E59" i="21"/>
  <c r="F59" i="21"/>
  <c r="G59" i="21"/>
  <c r="H59" i="21"/>
  <c r="I59" i="21"/>
  <c r="M59" i="21"/>
  <c r="P59" i="21"/>
  <c r="Q59" i="21"/>
  <c r="R59" i="21"/>
  <c r="S59" i="21"/>
  <c r="T59" i="21"/>
  <c r="U59" i="21"/>
  <c r="A60" i="21"/>
  <c r="B60" i="21"/>
  <c r="C60" i="21"/>
  <c r="D60" i="21"/>
  <c r="E60" i="21"/>
  <c r="F60" i="21"/>
  <c r="G60" i="21"/>
  <c r="H60" i="21"/>
  <c r="I60" i="21"/>
  <c r="M60" i="21"/>
  <c r="P60" i="21"/>
  <c r="Q60" i="21"/>
  <c r="R60" i="21"/>
  <c r="S60" i="21"/>
  <c r="T60" i="21"/>
  <c r="U60" i="21"/>
  <c r="A61" i="21"/>
  <c r="B61" i="21"/>
  <c r="C61" i="21"/>
  <c r="D61" i="21"/>
  <c r="E61" i="21"/>
  <c r="F61" i="21"/>
  <c r="G61" i="21"/>
  <c r="H61" i="21"/>
  <c r="I61" i="21"/>
  <c r="M61" i="21"/>
  <c r="P61" i="21"/>
  <c r="Q61" i="21"/>
  <c r="R61" i="21"/>
  <c r="S61" i="21"/>
  <c r="T61" i="21"/>
  <c r="U61" i="21"/>
  <c r="A62" i="21"/>
  <c r="B62" i="21"/>
  <c r="C62" i="21"/>
  <c r="D62" i="21"/>
  <c r="E62" i="21"/>
  <c r="F62" i="21"/>
  <c r="G62" i="21"/>
  <c r="H62" i="21"/>
  <c r="I62" i="21"/>
  <c r="M62" i="21"/>
  <c r="P62" i="21"/>
  <c r="Q62" i="21"/>
  <c r="R62" i="21"/>
  <c r="S62" i="21"/>
  <c r="T62" i="21"/>
  <c r="U62" i="21"/>
  <c r="A63" i="21"/>
  <c r="B63" i="21"/>
  <c r="C63" i="21"/>
  <c r="D63" i="21"/>
  <c r="E63" i="21"/>
  <c r="F63" i="21"/>
  <c r="G63" i="21"/>
  <c r="H63" i="21"/>
  <c r="I63" i="21"/>
  <c r="M63" i="21"/>
  <c r="P63" i="21"/>
  <c r="Q63" i="21"/>
  <c r="R63" i="21"/>
  <c r="S63" i="21"/>
  <c r="T63" i="21"/>
  <c r="U63" i="21"/>
  <c r="A64" i="21"/>
  <c r="B64" i="21"/>
  <c r="C64" i="21"/>
  <c r="D64" i="21"/>
  <c r="E64" i="21"/>
  <c r="F64" i="21"/>
  <c r="G64" i="21"/>
  <c r="H64" i="21"/>
  <c r="I64" i="21"/>
  <c r="M64" i="21"/>
  <c r="P64" i="21"/>
  <c r="Q64" i="21"/>
  <c r="R64" i="21"/>
  <c r="S64" i="21"/>
  <c r="T64" i="21"/>
  <c r="U64" i="21"/>
  <c r="A65" i="21"/>
  <c r="B65" i="21"/>
  <c r="C65" i="21"/>
  <c r="D65" i="21"/>
  <c r="E65" i="21"/>
  <c r="F65" i="21"/>
  <c r="G65" i="21"/>
  <c r="H65" i="21"/>
  <c r="I65" i="21"/>
  <c r="M65" i="21"/>
  <c r="P65" i="21"/>
  <c r="Q65" i="21"/>
  <c r="R65" i="21"/>
  <c r="S65" i="21"/>
  <c r="T65" i="21"/>
  <c r="U65" i="21"/>
  <c r="A66" i="21"/>
  <c r="B66" i="21"/>
  <c r="C66" i="21"/>
  <c r="D66" i="21"/>
  <c r="E66" i="21"/>
  <c r="F66" i="21"/>
  <c r="G66" i="21"/>
  <c r="H66" i="21"/>
  <c r="I66" i="21"/>
  <c r="M66" i="21"/>
  <c r="P66" i="21"/>
  <c r="Q66" i="21"/>
  <c r="R66" i="21"/>
  <c r="S66" i="21"/>
  <c r="T66" i="21"/>
  <c r="U66" i="21"/>
  <c r="A67" i="21"/>
  <c r="B67" i="21"/>
  <c r="C67" i="21"/>
  <c r="D67" i="21"/>
  <c r="E67" i="21"/>
  <c r="F67" i="21"/>
  <c r="G67" i="21"/>
  <c r="H67" i="21"/>
  <c r="I67" i="21"/>
  <c r="M67" i="21"/>
  <c r="P67" i="21"/>
  <c r="Q67" i="21"/>
  <c r="R67" i="21"/>
  <c r="S67" i="21"/>
  <c r="T67" i="21"/>
  <c r="U67" i="21"/>
  <c r="A68" i="21"/>
  <c r="B68" i="21"/>
  <c r="C68" i="21"/>
  <c r="D68" i="21"/>
  <c r="E68" i="21"/>
  <c r="F68" i="21"/>
  <c r="G68" i="21"/>
  <c r="H68" i="21"/>
  <c r="I68" i="21"/>
  <c r="M68" i="21"/>
  <c r="P68" i="21"/>
  <c r="Q68" i="21"/>
  <c r="R68" i="21"/>
  <c r="S68" i="21"/>
  <c r="T68" i="21"/>
  <c r="U68" i="21"/>
  <c r="A69" i="21"/>
  <c r="B69" i="21"/>
  <c r="C69" i="21"/>
  <c r="D69" i="21"/>
  <c r="E69" i="21"/>
  <c r="F69" i="21"/>
  <c r="G69" i="21"/>
  <c r="H69" i="21"/>
  <c r="I69" i="21"/>
  <c r="M69" i="21"/>
  <c r="P69" i="21"/>
  <c r="Q69" i="21"/>
  <c r="R69" i="21"/>
  <c r="S69" i="21"/>
  <c r="T69" i="21"/>
  <c r="U69" i="21"/>
  <c r="A70" i="21"/>
  <c r="B70" i="21"/>
  <c r="C70" i="21"/>
  <c r="D70" i="21"/>
  <c r="E70" i="21"/>
  <c r="F70" i="21"/>
  <c r="G70" i="21"/>
  <c r="H70" i="21"/>
  <c r="I70" i="21"/>
  <c r="M70" i="21"/>
  <c r="P70" i="21"/>
  <c r="Q70" i="21"/>
  <c r="R70" i="21"/>
  <c r="S70" i="21"/>
  <c r="T70" i="21"/>
  <c r="U70" i="21"/>
  <c r="A71" i="21"/>
  <c r="B71" i="21"/>
  <c r="C71" i="21"/>
  <c r="D71" i="21"/>
  <c r="E71" i="21"/>
  <c r="F71" i="21"/>
  <c r="G71" i="21"/>
  <c r="H71" i="21"/>
  <c r="I71" i="21"/>
  <c r="M71" i="21"/>
  <c r="P71" i="21"/>
  <c r="Q71" i="21"/>
  <c r="R71" i="21"/>
  <c r="S71" i="21"/>
  <c r="T71" i="21"/>
  <c r="U71" i="21"/>
  <c r="A72" i="21"/>
  <c r="B72" i="21"/>
  <c r="C72" i="21"/>
  <c r="D72" i="21"/>
  <c r="E72" i="21"/>
  <c r="F72" i="21"/>
  <c r="G72" i="21"/>
  <c r="H72" i="21"/>
  <c r="I72" i="21"/>
  <c r="M72" i="21"/>
  <c r="P72" i="21"/>
  <c r="Q72" i="21"/>
  <c r="R72" i="21"/>
  <c r="S72" i="21"/>
  <c r="T72" i="21"/>
  <c r="U72" i="21"/>
  <c r="FB168" i="33"/>
  <c r="FC168" i="33"/>
  <c r="FD168" i="33"/>
  <c r="FE168" i="33"/>
  <c r="FF168" i="33"/>
  <c r="FG168" i="33"/>
  <c r="FH168" i="33"/>
  <c r="FI168" i="33"/>
  <c r="FB185" i="33"/>
  <c r="FJ185" i="33" s="1"/>
  <c r="FC185" i="33"/>
  <c r="FD185" i="33"/>
  <c r="FE185" i="33"/>
  <c r="FF185" i="33"/>
  <c r="FG185" i="33"/>
  <c r="FH185" i="33"/>
  <c r="FI185" i="33"/>
  <c r="ET154" i="33"/>
  <c r="FB154" i="33" s="1"/>
  <c r="EU154" i="33"/>
  <c r="FC154" i="33" s="1"/>
  <c r="EV154" i="33"/>
  <c r="FD154" i="33" s="1"/>
  <c r="EW154" i="33"/>
  <c r="FE154" i="33" s="1"/>
  <c r="EX154" i="33"/>
  <c r="FF154" i="33" s="1"/>
  <c r="EY154" i="33"/>
  <c r="FG154" i="33" s="1"/>
  <c r="EZ154" i="33"/>
  <c r="FH154" i="33" s="1"/>
  <c r="FA154" i="33"/>
  <c r="FI154" i="33" s="1"/>
  <c r="AA154" i="33"/>
  <c r="AB154" i="33"/>
  <c r="BH146" i="33"/>
  <c r="BH147" i="33"/>
  <c r="BH148" i="33"/>
  <c r="BH149" i="33"/>
  <c r="BH150" i="33"/>
  <c r="BH151" i="33"/>
  <c r="BH152" i="33"/>
  <c r="BH153" i="33"/>
  <c r="BH154" i="33"/>
  <c r="BH155" i="33"/>
  <c r="BH156" i="33"/>
  <c r="BH157" i="33"/>
  <c r="BH158" i="33"/>
  <c r="BH159" i="33"/>
  <c r="BH160" i="33"/>
  <c r="BH161" i="33"/>
  <c r="BH162" i="33"/>
  <c r="BH163" i="33"/>
  <c r="BH164" i="33"/>
  <c r="BH165" i="33"/>
  <c r="BH166" i="33"/>
  <c r="BH167" i="33"/>
  <c r="BH168" i="33"/>
  <c r="BH169" i="33"/>
  <c r="BH170" i="33"/>
  <c r="BH171" i="33"/>
  <c r="BH172" i="33"/>
  <c r="BH173" i="33"/>
  <c r="BH174" i="33"/>
  <c r="BH175" i="33"/>
  <c r="BH176" i="33"/>
  <c r="BH177" i="33"/>
  <c r="BH178" i="33"/>
  <c r="BH179" i="33"/>
  <c r="BH180" i="33"/>
  <c r="BH181" i="33"/>
  <c r="BH182" i="33"/>
  <c r="BH183" i="33"/>
  <c r="BH184" i="33"/>
  <c r="BH185" i="33"/>
  <c r="BH186" i="33"/>
  <c r="BH187" i="33"/>
  <c r="BH188" i="33"/>
  <c r="BH189" i="33"/>
  <c r="BH190" i="33"/>
  <c r="BH191" i="33"/>
  <c r="BH192" i="33"/>
  <c r="BH193" i="33"/>
  <c r="BH194" i="33"/>
  <c r="BH195" i="33"/>
  <c r="BH196" i="33"/>
  <c r="BH197" i="33"/>
  <c r="BH198" i="33"/>
  <c r="BH199" i="33"/>
  <c r="BH200" i="33"/>
  <c r="BH201" i="33"/>
  <c r="BH202" i="33"/>
  <c r="BH203" i="33"/>
  <c r="BH204" i="33"/>
  <c r="BH205" i="33"/>
  <c r="BH206" i="33"/>
  <c r="BH207" i="33"/>
  <c r="BH208" i="33"/>
  <c r="BH209" i="33"/>
  <c r="BH210" i="33"/>
  <c r="BH211" i="33"/>
  <c r="BH212" i="33"/>
  <c r="BH213" i="33"/>
  <c r="BH214" i="33"/>
  <c r="BH215" i="33"/>
  <c r="BH145" i="33"/>
  <c r="BQ154" i="33"/>
  <c r="BY154" i="33" s="1"/>
  <c r="BR154" i="33"/>
  <c r="BZ154" i="33" s="1"/>
  <c r="BS154" i="33"/>
  <c r="CA154" i="33" s="1"/>
  <c r="BU154" i="33"/>
  <c r="CC154" i="33" s="1"/>
  <c r="BV154" i="33"/>
  <c r="CD154" i="33" s="1"/>
  <c r="BW154" i="33"/>
  <c r="CE154" i="33" s="1"/>
  <c r="BX154" i="33"/>
  <c r="CF154" i="33" s="1"/>
  <c r="DF154" i="33"/>
  <c r="DN154" i="33" s="1"/>
  <c r="DG154" i="33"/>
  <c r="DO154" i="33" s="1"/>
  <c r="DH154" i="33"/>
  <c r="DP154" i="33" s="1"/>
  <c r="DJ154" i="33"/>
  <c r="DR154" i="33" s="1"/>
  <c r="DK154" i="33"/>
  <c r="DS154" i="33" s="1"/>
  <c r="DL154" i="33"/>
  <c r="DT154" i="33" s="1"/>
  <c r="DM154" i="33"/>
  <c r="DU154" i="33" s="1"/>
  <c r="DV153" i="33"/>
  <c r="DV168" i="33"/>
  <c r="DW168" i="33"/>
  <c r="DX168" i="33"/>
  <c r="DZ168" i="33"/>
  <c r="EA168" i="33"/>
  <c r="EB168" i="33"/>
  <c r="EC168" i="33"/>
  <c r="DV185" i="33"/>
  <c r="DW185" i="33"/>
  <c r="DX185" i="33"/>
  <c r="DZ185" i="33"/>
  <c r="EA185" i="33"/>
  <c r="EB185" i="33"/>
  <c r="EC185" i="33"/>
  <c r="CG168" i="33"/>
  <c r="CH168" i="33"/>
  <c r="CI168" i="33"/>
  <c r="CK168" i="33"/>
  <c r="CL168" i="33"/>
  <c r="CM168" i="33"/>
  <c r="CN168" i="33"/>
  <c r="CG185" i="33"/>
  <c r="CH185" i="33"/>
  <c r="CI185" i="33"/>
  <c r="CK185" i="33"/>
  <c r="CL185" i="33"/>
  <c r="CM185" i="33"/>
  <c r="CN185" i="33"/>
  <c r="BQ145" i="33"/>
  <c r="BR145" i="33"/>
  <c r="BS145" i="33"/>
  <c r="BQ146" i="33"/>
  <c r="BR146" i="33"/>
  <c r="BS146" i="33"/>
  <c r="BQ147" i="33"/>
  <c r="BR147" i="33"/>
  <c r="BS147" i="33"/>
  <c r="BQ148" i="33"/>
  <c r="BR148" i="33"/>
  <c r="BS148" i="33"/>
  <c r="BQ149" i="33"/>
  <c r="BR149" i="33"/>
  <c r="BS149" i="33"/>
  <c r="BQ150" i="33"/>
  <c r="BR150" i="33"/>
  <c r="BS150" i="33"/>
  <c r="BQ151" i="33"/>
  <c r="BR151" i="33"/>
  <c r="BS151" i="33"/>
  <c r="BQ152" i="33"/>
  <c r="BR152" i="33"/>
  <c r="BS152" i="33"/>
  <c r="BQ153" i="33"/>
  <c r="BR153" i="33"/>
  <c r="BS153" i="33"/>
  <c r="BQ155" i="33"/>
  <c r="BR155" i="33"/>
  <c r="BS155" i="33"/>
  <c r="BQ156" i="33"/>
  <c r="BR156" i="33"/>
  <c r="BS156" i="33"/>
  <c r="BQ157" i="33"/>
  <c r="BR157" i="33"/>
  <c r="BS157" i="33"/>
  <c r="BQ158" i="33"/>
  <c r="BR158" i="33"/>
  <c r="BS158" i="33"/>
  <c r="BQ159" i="33"/>
  <c r="BR159" i="33"/>
  <c r="BS159" i="33"/>
  <c r="BQ160" i="33"/>
  <c r="BR160" i="33"/>
  <c r="BS160" i="33"/>
  <c r="BQ161" i="33"/>
  <c r="BR161" i="33"/>
  <c r="BS161" i="33"/>
  <c r="BQ162" i="33"/>
  <c r="BR162" i="33"/>
  <c r="BS162" i="33"/>
  <c r="BQ163" i="33"/>
  <c r="BR163" i="33"/>
  <c r="BS163" i="33"/>
  <c r="BQ164" i="33"/>
  <c r="BR164" i="33"/>
  <c r="BS164" i="33"/>
  <c r="BQ165" i="33"/>
  <c r="BR165" i="33"/>
  <c r="BS165" i="33"/>
  <c r="BQ166" i="33"/>
  <c r="BR166" i="33"/>
  <c r="BS166" i="33"/>
  <c r="BQ167" i="33"/>
  <c r="BR167" i="33"/>
  <c r="BS167" i="33"/>
  <c r="BQ169" i="33"/>
  <c r="BR169" i="33"/>
  <c r="BS169" i="33"/>
  <c r="BQ170" i="33"/>
  <c r="BR170" i="33"/>
  <c r="BS170" i="33"/>
  <c r="BQ171" i="33"/>
  <c r="BR171" i="33"/>
  <c r="BS171" i="33"/>
  <c r="BQ172" i="33"/>
  <c r="BR172" i="33"/>
  <c r="BS172" i="33"/>
  <c r="BQ173" i="33"/>
  <c r="BR173" i="33"/>
  <c r="BS173" i="33"/>
  <c r="BQ174" i="33"/>
  <c r="BR174" i="33"/>
  <c r="BS174" i="33"/>
  <c r="BQ175" i="33"/>
  <c r="BR175" i="33"/>
  <c r="BS175" i="33"/>
  <c r="BQ176" i="33"/>
  <c r="BR176" i="33"/>
  <c r="BS176" i="33"/>
  <c r="BQ177" i="33"/>
  <c r="BR177" i="33"/>
  <c r="BS177" i="33"/>
  <c r="BQ178" i="33"/>
  <c r="BR178" i="33"/>
  <c r="BS178" i="33"/>
  <c r="BQ179" i="33"/>
  <c r="BR179" i="33"/>
  <c r="BS179" i="33"/>
  <c r="BQ180" i="33"/>
  <c r="BR180" i="33"/>
  <c r="BS180" i="33"/>
  <c r="BQ181" i="33"/>
  <c r="BR181" i="33"/>
  <c r="BS181" i="33"/>
  <c r="BQ182" i="33"/>
  <c r="BR182" i="33"/>
  <c r="BS182" i="33"/>
  <c r="BQ183" i="33"/>
  <c r="BR183" i="33"/>
  <c r="BS183" i="33"/>
  <c r="BQ184" i="33"/>
  <c r="BR184" i="33"/>
  <c r="BS184" i="33"/>
  <c r="BQ186" i="33"/>
  <c r="BR186" i="33"/>
  <c r="BS186" i="33"/>
  <c r="BQ187" i="33"/>
  <c r="BR187" i="33"/>
  <c r="BS187" i="33"/>
  <c r="BQ188" i="33"/>
  <c r="BR188" i="33"/>
  <c r="BS188" i="33"/>
  <c r="BQ189" i="33"/>
  <c r="BR189" i="33"/>
  <c r="BS189" i="33"/>
  <c r="BQ190" i="33"/>
  <c r="BR190" i="33"/>
  <c r="BS190" i="33"/>
  <c r="BQ191" i="33"/>
  <c r="BR191" i="33"/>
  <c r="BS191" i="33"/>
  <c r="BQ192" i="33"/>
  <c r="BR192" i="33"/>
  <c r="BS192" i="33"/>
  <c r="BQ193" i="33"/>
  <c r="BR193" i="33"/>
  <c r="BS193" i="33"/>
  <c r="BQ194" i="33"/>
  <c r="BR194" i="33"/>
  <c r="BS194" i="33"/>
  <c r="BQ195" i="33"/>
  <c r="BR195" i="33"/>
  <c r="BS195" i="33"/>
  <c r="BQ196" i="33"/>
  <c r="BR196" i="33"/>
  <c r="BS196" i="33"/>
  <c r="BQ197" i="33"/>
  <c r="BR197" i="33"/>
  <c r="BS197" i="33"/>
  <c r="BQ198" i="33"/>
  <c r="BR198" i="33"/>
  <c r="BS198" i="33"/>
  <c r="BQ199" i="33"/>
  <c r="BR199" i="33"/>
  <c r="BS199" i="33"/>
  <c r="BQ200" i="33"/>
  <c r="BR200" i="33"/>
  <c r="BS200" i="33"/>
  <c r="BQ201" i="33"/>
  <c r="BR201" i="33"/>
  <c r="BS201" i="33"/>
  <c r="BQ202" i="33"/>
  <c r="BR202" i="33"/>
  <c r="BS202" i="33"/>
  <c r="BQ203" i="33"/>
  <c r="BR203" i="33"/>
  <c r="BS203" i="33"/>
  <c r="BQ204" i="33"/>
  <c r="BR204" i="33"/>
  <c r="BS204" i="33"/>
  <c r="BQ205" i="33"/>
  <c r="BR205" i="33"/>
  <c r="BS205" i="33"/>
  <c r="BQ206" i="33"/>
  <c r="BR206" i="33"/>
  <c r="BS206" i="33"/>
  <c r="BQ207" i="33"/>
  <c r="BR207" i="33"/>
  <c r="BS207" i="33"/>
  <c r="BQ208" i="33"/>
  <c r="BR208" i="33"/>
  <c r="BS208" i="33"/>
  <c r="BQ209" i="33"/>
  <c r="BR209" i="33"/>
  <c r="BS209" i="33"/>
  <c r="BQ210" i="33"/>
  <c r="BR210" i="33"/>
  <c r="BS210" i="33"/>
  <c r="BQ211" i="33"/>
  <c r="BR211" i="33"/>
  <c r="BS211" i="33"/>
  <c r="BQ212" i="33"/>
  <c r="BR212" i="33"/>
  <c r="BS212" i="33"/>
  <c r="BQ213" i="33"/>
  <c r="BR213" i="33"/>
  <c r="BS213" i="33"/>
  <c r="BQ214" i="33"/>
  <c r="BR214" i="33"/>
  <c r="BS214" i="33"/>
  <c r="BQ215" i="33"/>
  <c r="BR215" i="33"/>
  <c r="BS215" i="33"/>
  <c r="AA146" i="33"/>
  <c r="AB146" i="33"/>
  <c r="AA147" i="33"/>
  <c r="AB147" i="33"/>
  <c r="AA148" i="33"/>
  <c r="AB148" i="33"/>
  <c r="AA149" i="33"/>
  <c r="AB149" i="33"/>
  <c r="AA150" i="33"/>
  <c r="AB150" i="33"/>
  <c r="AA151" i="33"/>
  <c r="AB151" i="33"/>
  <c r="AA152" i="33"/>
  <c r="AB152" i="33"/>
  <c r="AA153" i="33"/>
  <c r="AB153" i="33"/>
  <c r="AA155" i="33"/>
  <c r="AB155" i="33"/>
  <c r="AA156" i="33"/>
  <c r="AB156" i="33"/>
  <c r="AA157" i="33"/>
  <c r="AB157" i="33"/>
  <c r="AA158" i="33"/>
  <c r="AB158" i="33"/>
  <c r="AA159" i="33"/>
  <c r="AB159" i="33"/>
  <c r="AA160" i="33"/>
  <c r="AB160" i="33"/>
  <c r="AA161" i="33"/>
  <c r="AB161" i="33"/>
  <c r="AA162" i="33"/>
  <c r="AB162" i="33"/>
  <c r="AA163" i="33"/>
  <c r="AB163" i="33"/>
  <c r="AA164" i="33"/>
  <c r="AB164" i="33"/>
  <c r="AA165" i="33"/>
  <c r="AB165" i="33"/>
  <c r="AA166" i="33"/>
  <c r="AB166" i="33"/>
  <c r="AA167" i="33"/>
  <c r="AB167" i="33"/>
  <c r="AA168" i="33"/>
  <c r="AB168" i="33"/>
  <c r="AA169" i="33"/>
  <c r="AB169" i="33"/>
  <c r="AA170" i="33"/>
  <c r="AB170" i="33"/>
  <c r="AA171" i="33"/>
  <c r="AB171" i="33"/>
  <c r="AA172" i="33"/>
  <c r="AB172" i="33"/>
  <c r="AA173" i="33"/>
  <c r="AB173" i="33"/>
  <c r="AA174" i="33"/>
  <c r="AB174" i="33"/>
  <c r="AA175" i="33"/>
  <c r="AB175" i="33"/>
  <c r="AA176" i="33"/>
  <c r="AB176" i="33"/>
  <c r="AA177" i="33"/>
  <c r="AB177" i="33"/>
  <c r="AA178" i="33"/>
  <c r="AB178" i="33"/>
  <c r="AA179" i="33"/>
  <c r="AB179" i="33"/>
  <c r="AA180" i="33"/>
  <c r="AB180" i="33"/>
  <c r="AA181" i="33"/>
  <c r="AB181" i="33"/>
  <c r="AA182" i="33"/>
  <c r="AB182" i="33"/>
  <c r="AA183" i="33"/>
  <c r="AB183" i="33"/>
  <c r="AA184" i="33"/>
  <c r="AB184" i="33"/>
  <c r="AA185" i="33"/>
  <c r="AB185" i="33"/>
  <c r="AA186" i="33"/>
  <c r="AB186" i="33"/>
  <c r="AA187" i="33"/>
  <c r="AB187" i="33"/>
  <c r="AA188" i="33"/>
  <c r="AB188" i="33"/>
  <c r="AA189" i="33"/>
  <c r="AB189" i="33"/>
  <c r="AA190" i="33"/>
  <c r="AB190" i="33"/>
  <c r="AA191" i="33"/>
  <c r="AB191" i="33"/>
  <c r="AA192" i="33"/>
  <c r="AB192" i="33"/>
  <c r="AA193" i="33"/>
  <c r="AB193" i="33"/>
  <c r="AA194" i="33"/>
  <c r="AB194" i="33"/>
  <c r="AA195" i="33"/>
  <c r="AB195" i="33"/>
  <c r="AA196" i="33"/>
  <c r="AB196" i="33"/>
  <c r="AA197" i="33"/>
  <c r="AB197" i="33"/>
  <c r="AA198" i="33"/>
  <c r="AB198" i="33"/>
  <c r="AA199" i="33"/>
  <c r="AB199" i="33"/>
  <c r="AA200" i="33"/>
  <c r="AB200" i="33"/>
  <c r="AA201" i="33"/>
  <c r="AB201" i="33"/>
  <c r="AA202" i="33"/>
  <c r="AB202" i="33"/>
  <c r="AA203" i="33"/>
  <c r="AB203" i="33"/>
  <c r="AA204" i="33"/>
  <c r="AB204" i="33"/>
  <c r="AA205" i="33"/>
  <c r="AB205" i="33"/>
  <c r="AA206" i="33"/>
  <c r="AB206" i="33"/>
  <c r="AA207" i="33"/>
  <c r="AB207" i="33"/>
  <c r="AA208" i="33"/>
  <c r="AB208" i="33"/>
  <c r="AA209" i="33"/>
  <c r="AB209" i="33"/>
  <c r="AA210" i="33"/>
  <c r="AB210" i="33"/>
  <c r="AA211" i="33"/>
  <c r="AB211" i="33"/>
  <c r="AA212" i="33"/>
  <c r="AB212" i="33"/>
  <c r="AA213" i="33"/>
  <c r="AB213" i="33"/>
  <c r="AA214" i="33"/>
  <c r="AB214" i="33"/>
  <c r="AA215" i="33"/>
  <c r="AB215" i="33"/>
  <c r="AN221" i="6"/>
  <c r="AN217" i="6"/>
  <c r="B194" i="6"/>
  <c r="D163" i="6"/>
  <c r="D164" i="6"/>
  <c r="D165" i="6"/>
  <c r="D166" i="6"/>
  <c r="D167" i="6"/>
  <c r="D168" i="6"/>
  <c r="D169" i="6"/>
  <c r="D170" i="6"/>
  <c r="D171" i="6"/>
  <c r="D172" i="6"/>
  <c r="D173" i="6"/>
  <c r="D174" i="6"/>
  <c r="D175" i="6"/>
  <c r="D176" i="6"/>
  <c r="D177" i="6"/>
  <c r="D178" i="6"/>
  <c r="D179" i="6"/>
  <c r="D180" i="6"/>
  <c r="D181" i="6"/>
  <c r="D182" i="6"/>
  <c r="D183" i="6"/>
  <c r="B177" i="6"/>
  <c r="B178" i="6"/>
  <c r="A163" i="6"/>
  <c r="A164" i="6"/>
  <c r="A165" i="6"/>
  <c r="A166" i="6"/>
  <c r="A167" i="6"/>
  <c r="A168" i="6"/>
  <c r="A169" i="6"/>
  <c r="A170" i="6"/>
  <c r="A171" i="6"/>
  <c r="A172" i="6"/>
  <c r="A173" i="6"/>
  <c r="A174" i="6"/>
  <c r="A175" i="6"/>
  <c r="A176" i="6"/>
  <c r="A177" i="6"/>
  <c r="A178" i="6"/>
  <c r="B163" i="6"/>
  <c r="BU122" i="2"/>
  <c r="K122" i="2" s="1"/>
  <c r="AR38" i="2"/>
  <c r="AR39" i="2"/>
  <c r="AR41" i="2"/>
  <c r="AR42" i="2"/>
  <c r="AR43" i="2"/>
  <c r="AQ51" i="2"/>
  <c r="AQ52" i="2"/>
  <c r="AQ53" i="2"/>
  <c r="AR53" i="2"/>
  <c r="AQ54" i="2"/>
  <c r="AQ56" i="2"/>
  <c r="AR56" i="2"/>
  <c r="AQ57" i="2"/>
  <c r="AR57" i="2"/>
  <c r="AQ59" i="2"/>
  <c r="AQ60" i="2"/>
  <c r="AQ66" i="2"/>
  <c r="AQ68" i="2"/>
  <c r="AQ69" i="2"/>
  <c r="AQ72" i="2"/>
  <c r="AQ73" i="2"/>
  <c r="AQ74" i="2"/>
  <c r="AQ75" i="2"/>
  <c r="AQ77" i="2"/>
  <c r="AQ80" i="2"/>
  <c r="AR80" i="2"/>
  <c r="AR81" i="2"/>
  <c r="AR82" i="2"/>
  <c r="AR83" i="2"/>
  <c r="AR84" i="2"/>
  <c r="AQ86" i="2"/>
  <c r="AR86" i="2"/>
  <c r="AQ87"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21" i="2"/>
  <c r="BV122" i="2"/>
  <c r="L122" i="2" s="1"/>
  <c r="BW122" i="2"/>
  <c r="M122" i="2" s="1"/>
  <c r="BX122" i="2"/>
  <c r="BY122" i="2"/>
  <c r="O122" i="2" s="1"/>
  <c r="BZ122" i="2"/>
  <c r="CA122" i="2"/>
  <c r="CB122" i="2"/>
  <c r="CC122" i="2"/>
  <c r="CD122" i="2"/>
  <c r="CE122" i="2"/>
  <c r="CF122" i="2"/>
  <c r="CG122" i="2"/>
  <c r="CH122" i="2"/>
  <c r="CI122" i="2"/>
  <c r="CJ122" i="2"/>
  <c r="CK122" i="2"/>
  <c r="CL122" i="2"/>
  <c r="CM122" i="2"/>
  <c r="CN122" i="2"/>
  <c r="CO122" i="2"/>
  <c r="CP122" i="2"/>
  <c r="CQ122" i="2"/>
  <c r="CR122" i="2"/>
  <c r="CS122" i="2"/>
  <c r="CT122" i="2"/>
  <c r="CU122" i="2"/>
  <c r="CV122" i="2"/>
  <c r="BU123" i="2"/>
  <c r="K123" i="2" s="1"/>
  <c r="BV123" i="2"/>
  <c r="L123" i="2" s="1"/>
  <c r="BW123" i="2"/>
  <c r="M123" i="2" s="1"/>
  <c r="BX123" i="2"/>
  <c r="BY123" i="2"/>
  <c r="O123" i="2" s="1"/>
  <c r="BZ123" i="2"/>
  <c r="CA123" i="2"/>
  <c r="CB123" i="2"/>
  <c r="CC123" i="2"/>
  <c r="CD123" i="2"/>
  <c r="CE123" i="2"/>
  <c r="CF123" i="2"/>
  <c r="CG123" i="2"/>
  <c r="CH123" i="2"/>
  <c r="CI123" i="2"/>
  <c r="CJ123" i="2"/>
  <c r="CK123" i="2"/>
  <c r="CL123" i="2"/>
  <c r="CM123" i="2"/>
  <c r="CN123" i="2"/>
  <c r="CO123" i="2"/>
  <c r="CP123" i="2"/>
  <c r="CQ123" i="2"/>
  <c r="CR123" i="2"/>
  <c r="CS123" i="2"/>
  <c r="CT123" i="2"/>
  <c r="CU123" i="2"/>
  <c r="CV123" i="2"/>
  <c r="BU124" i="2"/>
  <c r="K124" i="2" s="1"/>
  <c r="BV124" i="2"/>
  <c r="L124" i="2" s="1"/>
  <c r="BW124" i="2"/>
  <c r="M124" i="2" s="1"/>
  <c r="BX124" i="2"/>
  <c r="BY124" i="2"/>
  <c r="O124" i="2" s="1"/>
  <c r="BZ124" i="2"/>
  <c r="CA124" i="2"/>
  <c r="CB124" i="2"/>
  <c r="CC124" i="2"/>
  <c r="CD124" i="2"/>
  <c r="CE124" i="2"/>
  <c r="CF124" i="2"/>
  <c r="CG124" i="2"/>
  <c r="CH124" i="2"/>
  <c r="CI124" i="2"/>
  <c r="CJ124" i="2"/>
  <c r="CK124" i="2"/>
  <c r="CL124" i="2"/>
  <c r="CM124" i="2"/>
  <c r="CN124" i="2"/>
  <c r="CO124" i="2"/>
  <c r="CP124" i="2"/>
  <c r="CQ124" i="2"/>
  <c r="CR124" i="2"/>
  <c r="CS124" i="2"/>
  <c r="CT124" i="2"/>
  <c r="CU124" i="2"/>
  <c r="CV124" i="2"/>
  <c r="BU125" i="2"/>
  <c r="K125" i="2" s="1"/>
  <c r="BV125" i="2"/>
  <c r="L125" i="2" s="1"/>
  <c r="BW125" i="2"/>
  <c r="M125" i="2" s="1"/>
  <c r="BX125" i="2"/>
  <c r="BY125" i="2"/>
  <c r="O125" i="2" s="1"/>
  <c r="BZ125" i="2"/>
  <c r="CA125" i="2"/>
  <c r="CB125" i="2"/>
  <c r="CC125" i="2"/>
  <c r="CD125" i="2"/>
  <c r="CE125" i="2"/>
  <c r="CF125" i="2"/>
  <c r="CG125" i="2"/>
  <c r="CH125" i="2"/>
  <c r="CI125" i="2"/>
  <c r="CJ125" i="2"/>
  <c r="CK125" i="2"/>
  <c r="CL125" i="2"/>
  <c r="CM125" i="2"/>
  <c r="CN125" i="2"/>
  <c r="CO125" i="2"/>
  <c r="CP125" i="2"/>
  <c r="CQ125" i="2"/>
  <c r="CR125" i="2"/>
  <c r="CS125" i="2"/>
  <c r="CT125" i="2"/>
  <c r="CU125" i="2"/>
  <c r="CV125" i="2"/>
  <c r="BU126" i="2"/>
  <c r="K126" i="2" s="1"/>
  <c r="BV126" i="2"/>
  <c r="L126" i="2" s="1"/>
  <c r="BW126" i="2"/>
  <c r="M126" i="2" s="1"/>
  <c r="BX126" i="2"/>
  <c r="BY126" i="2"/>
  <c r="O126" i="2" s="1"/>
  <c r="BZ126" i="2"/>
  <c r="CA126" i="2"/>
  <c r="CB126" i="2"/>
  <c r="CC126" i="2"/>
  <c r="CD126" i="2"/>
  <c r="CE126" i="2"/>
  <c r="CF126" i="2"/>
  <c r="CG126" i="2"/>
  <c r="CH126" i="2"/>
  <c r="CI126" i="2"/>
  <c r="CJ126" i="2"/>
  <c r="CK126" i="2"/>
  <c r="CL126" i="2"/>
  <c r="CM126" i="2"/>
  <c r="CN126" i="2"/>
  <c r="CO126" i="2"/>
  <c r="CP126" i="2"/>
  <c r="CQ126" i="2"/>
  <c r="CR126" i="2"/>
  <c r="CS126" i="2"/>
  <c r="CT126" i="2"/>
  <c r="CU126" i="2"/>
  <c r="CV126" i="2"/>
  <c r="BU127" i="2"/>
  <c r="K127" i="2" s="1"/>
  <c r="BV127" i="2"/>
  <c r="L127" i="2" s="1"/>
  <c r="BW127" i="2"/>
  <c r="M127" i="2" s="1"/>
  <c r="BX127" i="2"/>
  <c r="BY127" i="2"/>
  <c r="O127" i="2" s="1"/>
  <c r="BZ127" i="2"/>
  <c r="CA127" i="2"/>
  <c r="CB127" i="2"/>
  <c r="CC127" i="2"/>
  <c r="CD127" i="2"/>
  <c r="CE127" i="2"/>
  <c r="CF127" i="2"/>
  <c r="CG127" i="2"/>
  <c r="CH127" i="2"/>
  <c r="CI127" i="2"/>
  <c r="CJ127" i="2"/>
  <c r="CK127" i="2"/>
  <c r="CL127" i="2"/>
  <c r="CM127" i="2"/>
  <c r="CN127" i="2"/>
  <c r="CO127" i="2"/>
  <c r="CP127" i="2"/>
  <c r="CQ127" i="2"/>
  <c r="CR127" i="2"/>
  <c r="CS127" i="2"/>
  <c r="CT127" i="2"/>
  <c r="CU127" i="2"/>
  <c r="CV127" i="2"/>
  <c r="BU128" i="2"/>
  <c r="K128" i="2" s="1"/>
  <c r="BV128" i="2"/>
  <c r="L128" i="2" s="1"/>
  <c r="BW128" i="2"/>
  <c r="M128" i="2" s="1"/>
  <c r="BX128" i="2"/>
  <c r="BY128" i="2"/>
  <c r="O128" i="2" s="1"/>
  <c r="BZ128" i="2"/>
  <c r="CA128" i="2"/>
  <c r="CB128" i="2"/>
  <c r="CC128" i="2"/>
  <c r="CD128" i="2"/>
  <c r="CE128" i="2"/>
  <c r="CF128" i="2"/>
  <c r="CG128" i="2"/>
  <c r="CH128" i="2"/>
  <c r="CI128" i="2"/>
  <c r="CJ128" i="2"/>
  <c r="CK128" i="2"/>
  <c r="CL128" i="2"/>
  <c r="CM128" i="2"/>
  <c r="CN128" i="2"/>
  <c r="CO128" i="2"/>
  <c r="CP128" i="2"/>
  <c r="CQ128" i="2"/>
  <c r="CR128" i="2"/>
  <c r="CS128" i="2"/>
  <c r="CT128" i="2"/>
  <c r="CU128" i="2"/>
  <c r="CV128" i="2"/>
  <c r="BU129" i="2"/>
  <c r="K129" i="2" s="1"/>
  <c r="BV129" i="2"/>
  <c r="L129" i="2" s="1"/>
  <c r="BW129" i="2"/>
  <c r="M129" i="2" s="1"/>
  <c r="BX129" i="2"/>
  <c r="BY129" i="2"/>
  <c r="O129" i="2" s="1"/>
  <c r="BZ129" i="2"/>
  <c r="CA129" i="2"/>
  <c r="CB129" i="2"/>
  <c r="CC129" i="2"/>
  <c r="CD129" i="2"/>
  <c r="CE129" i="2"/>
  <c r="CF129" i="2"/>
  <c r="CG129" i="2"/>
  <c r="CH129" i="2"/>
  <c r="CI129" i="2"/>
  <c r="CJ129" i="2"/>
  <c r="CK129" i="2"/>
  <c r="CL129" i="2"/>
  <c r="CM129" i="2"/>
  <c r="CN129" i="2"/>
  <c r="CO129" i="2"/>
  <c r="CP129" i="2"/>
  <c r="CQ129" i="2"/>
  <c r="CR129" i="2"/>
  <c r="CS129" i="2"/>
  <c r="CT129" i="2"/>
  <c r="CU129" i="2"/>
  <c r="CV129" i="2"/>
  <c r="BU130" i="2"/>
  <c r="K130" i="2" s="1"/>
  <c r="BV130" i="2"/>
  <c r="L130" i="2" s="1"/>
  <c r="BW130" i="2"/>
  <c r="M130" i="2" s="1"/>
  <c r="BX130" i="2"/>
  <c r="BY130" i="2"/>
  <c r="O130" i="2" s="1"/>
  <c r="BZ130" i="2"/>
  <c r="CA130" i="2"/>
  <c r="CB130" i="2"/>
  <c r="CC130" i="2"/>
  <c r="CD130" i="2"/>
  <c r="CE130" i="2"/>
  <c r="CF130" i="2"/>
  <c r="CG130" i="2"/>
  <c r="CH130" i="2"/>
  <c r="CI130" i="2"/>
  <c r="CJ130" i="2"/>
  <c r="CK130" i="2"/>
  <c r="CL130" i="2"/>
  <c r="CM130" i="2"/>
  <c r="CN130" i="2"/>
  <c r="CO130" i="2"/>
  <c r="CP130" i="2"/>
  <c r="CQ130" i="2"/>
  <c r="CR130" i="2"/>
  <c r="CS130" i="2"/>
  <c r="CT130" i="2"/>
  <c r="CU130" i="2"/>
  <c r="CV130" i="2"/>
  <c r="BU131" i="2"/>
  <c r="K131" i="2" s="1"/>
  <c r="BV131" i="2"/>
  <c r="L131" i="2" s="1"/>
  <c r="BW131" i="2"/>
  <c r="M131" i="2" s="1"/>
  <c r="BX131" i="2"/>
  <c r="BY131" i="2"/>
  <c r="O131" i="2" s="1"/>
  <c r="BZ131" i="2"/>
  <c r="CA131" i="2"/>
  <c r="CB131" i="2"/>
  <c r="CC131" i="2"/>
  <c r="CD131" i="2"/>
  <c r="CE131" i="2"/>
  <c r="CF131" i="2"/>
  <c r="CG131" i="2"/>
  <c r="CH131" i="2"/>
  <c r="CI131" i="2"/>
  <c r="CJ131" i="2"/>
  <c r="CK131" i="2"/>
  <c r="CL131" i="2"/>
  <c r="CM131" i="2"/>
  <c r="CN131" i="2"/>
  <c r="CO131" i="2"/>
  <c r="CP131" i="2"/>
  <c r="CQ131" i="2"/>
  <c r="CR131" i="2"/>
  <c r="CS131" i="2"/>
  <c r="CT131" i="2"/>
  <c r="CU131" i="2"/>
  <c r="CV131" i="2"/>
  <c r="BU132" i="2"/>
  <c r="K132" i="2" s="1"/>
  <c r="BV132" i="2"/>
  <c r="L132" i="2" s="1"/>
  <c r="BW132" i="2"/>
  <c r="M132" i="2" s="1"/>
  <c r="BX132" i="2"/>
  <c r="BY132" i="2"/>
  <c r="O132" i="2" s="1"/>
  <c r="BZ132" i="2"/>
  <c r="CA132" i="2"/>
  <c r="CB132" i="2"/>
  <c r="CC132" i="2"/>
  <c r="CD132" i="2"/>
  <c r="CE132" i="2"/>
  <c r="CF132" i="2"/>
  <c r="CG132" i="2"/>
  <c r="CH132" i="2"/>
  <c r="CI132" i="2"/>
  <c r="CJ132" i="2"/>
  <c r="CK132" i="2"/>
  <c r="CL132" i="2"/>
  <c r="CM132" i="2"/>
  <c r="CN132" i="2"/>
  <c r="CO132" i="2"/>
  <c r="CP132" i="2"/>
  <c r="CQ132" i="2"/>
  <c r="CR132" i="2"/>
  <c r="CS132" i="2"/>
  <c r="CT132" i="2"/>
  <c r="CU132" i="2"/>
  <c r="CV132" i="2"/>
  <c r="BU133" i="2"/>
  <c r="K133" i="2" s="1"/>
  <c r="BV133" i="2"/>
  <c r="L133" i="2" s="1"/>
  <c r="BW133" i="2"/>
  <c r="M133" i="2" s="1"/>
  <c r="BX133" i="2"/>
  <c r="BY133" i="2"/>
  <c r="O133" i="2" s="1"/>
  <c r="BZ133" i="2"/>
  <c r="CA133" i="2"/>
  <c r="CB133" i="2"/>
  <c r="CC133" i="2"/>
  <c r="CD133" i="2"/>
  <c r="CE133" i="2"/>
  <c r="CF133" i="2"/>
  <c r="CG133" i="2"/>
  <c r="CH133" i="2"/>
  <c r="CI133" i="2"/>
  <c r="CJ133" i="2"/>
  <c r="CK133" i="2"/>
  <c r="CL133" i="2"/>
  <c r="CM133" i="2"/>
  <c r="CN133" i="2"/>
  <c r="CO133" i="2"/>
  <c r="CP133" i="2"/>
  <c r="CQ133" i="2"/>
  <c r="CR133" i="2"/>
  <c r="CS133" i="2"/>
  <c r="CT133" i="2"/>
  <c r="CU133" i="2"/>
  <c r="CV133" i="2"/>
  <c r="BU134" i="2"/>
  <c r="K134" i="2" s="1"/>
  <c r="BV134" i="2"/>
  <c r="L134" i="2" s="1"/>
  <c r="BW134" i="2"/>
  <c r="M134" i="2" s="1"/>
  <c r="BX134" i="2"/>
  <c r="BY134" i="2"/>
  <c r="O134" i="2" s="1"/>
  <c r="BZ134" i="2"/>
  <c r="CA134" i="2"/>
  <c r="CB134" i="2"/>
  <c r="CC134" i="2"/>
  <c r="CD134" i="2"/>
  <c r="CE134" i="2"/>
  <c r="CF134" i="2"/>
  <c r="CG134" i="2"/>
  <c r="CH134" i="2"/>
  <c r="CI134" i="2"/>
  <c r="CJ134" i="2"/>
  <c r="CK134" i="2"/>
  <c r="CL134" i="2"/>
  <c r="CM134" i="2"/>
  <c r="CN134" i="2"/>
  <c r="CO134" i="2"/>
  <c r="CP134" i="2"/>
  <c r="CQ134" i="2"/>
  <c r="CR134" i="2"/>
  <c r="CS134" i="2"/>
  <c r="CT134" i="2"/>
  <c r="CU134" i="2"/>
  <c r="CV134" i="2"/>
  <c r="BU135" i="2"/>
  <c r="K135" i="2" s="1"/>
  <c r="BV135" i="2"/>
  <c r="L135" i="2" s="1"/>
  <c r="BW135" i="2"/>
  <c r="M135" i="2" s="1"/>
  <c r="BX135" i="2"/>
  <c r="BY135" i="2"/>
  <c r="O135" i="2" s="1"/>
  <c r="BZ135" i="2"/>
  <c r="CA135" i="2"/>
  <c r="CB135" i="2"/>
  <c r="CC135" i="2"/>
  <c r="CD135" i="2"/>
  <c r="CE135" i="2"/>
  <c r="CF135" i="2"/>
  <c r="CG135" i="2"/>
  <c r="CH135" i="2"/>
  <c r="CI135" i="2"/>
  <c r="CJ135" i="2"/>
  <c r="CK135" i="2"/>
  <c r="CL135" i="2"/>
  <c r="CM135" i="2"/>
  <c r="CN135" i="2"/>
  <c r="CO135" i="2"/>
  <c r="CP135" i="2"/>
  <c r="CQ135" i="2"/>
  <c r="CR135" i="2"/>
  <c r="CS135" i="2"/>
  <c r="CT135" i="2"/>
  <c r="CU135" i="2"/>
  <c r="CV135" i="2"/>
  <c r="BU136" i="2"/>
  <c r="K136" i="2" s="1"/>
  <c r="BV136" i="2"/>
  <c r="L136" i="2" s="1"/>
  <c r="BW136" i="2"/>
  <c r="M136" i="2" s="1"/>
  <c r="BX136" i="2"/>
  <c r="BY136" i="2"/>
  <c r="O136" i="2" s="1"/>
  <c r="BZ136" i="2"/>
  <c r="CA136" i="2"/>
  <c r="CB136" i="2"/>
  <c r="CC136" i="2"/>
  <c r="CD136" i="2"/>
  <c r="CE136" i="2"/>
  <c r="CF136" i="2"/>
  <c r="CG136" i="2"/>
  <c r="CH136" i="2"/>
  <c r="CI136" i="2"/>
  <c r="CJ136" i="2"/>
  <c r="CK136" i="2"/>
  <c r="CL136" i="2"/>
  <c r="CM136" i="2"/>
  <c r="CN136" i="2"/>
  <c r="CO136" i="2"/>
  <c r="CP136" i="2"/>
  <c r="CQ136" i="2"/>
  <c r="CR136" i="2"/>
  <c r="CS136" i="2"/>
  <c r="CT136" i="2"/>
  <c r="CU136" i="2"/>
  <c r="CV136" i="2"/>
  <c r="BU137" i="2"/>
  <c r="K137" i="2" s="1"/>
  <c r="BV137" i="2"/>
  <c r="L137" i="2" s="1"/>
  <c r="BW137" i="2"/>
  <c r="M137" i="2" s="1"/>
  <c r="BX137" i="2"/>
  <c r="BY137" i="2"/>
  <c r="O137" i="2" s="1"/>
  <c r="BZ137" i="2"/>
  <c r="CA137" i="2"/>
  <c r="CB137" i="2"/>
  <c r="CC137" i="2"/>
  <c r="CD137" i="2"/>
  <c r="CE137" i="2"/>
  <c r="CF137" i="2"/>
  <c r="CG137" i="2"/>
  <c r="CH137" i="2"/>
  <c r="CI137" i="2"/>
  <c r="CJ137" i="2"/>
  <c r="CK137" i="2"/>
  <c r="CL137" i="2"/>
  <c r="CM137" i="2"/>
  <c r="CN137" i="2"/>
  <c r="CO137" i="2"/>
  <c r="CP137" i="2"/>
  <c r="CQ137" i="2"/>
  <c r="CR137" i="2"/>
  <c r="CS137" i="2"/>
  <c r="CT137" i="2"/>
  <c r="CU137" i="2"/>
  <c r="CV137" i="2"/>
  <c r="BU138" i="2"/>
  <c r="K138" i="2" s="1"/>
  <c r="BV138" i="2"/>
  <c r="L138" i="2" s="1"/>
  <c r="BW138" i="2"/>
  <c r="M138" i="2" s="1"/>
  <c r="BX138" i="2"/>
  <c r="BY138" i="2"/>
  <c r="O138" i="2" s="1"/>
  <c r="BZ138" i="2"/>
  <c r="CA138" i="2"/>
  <c r="CB138" i="2"/>
  <c r="CC138" i="2"/>
  <c r="CD138" i="2"/>
  <c r="CE138" i="2"/>
  <c r="CF138" i="2"/>
  <c r="CG138" i="2"/>
  <c r="CH138" i="2"/>
  <c r="CI138" i="2"/>
  <c r="CJ138" i="2"/>
  <c r="CK138" i="2"/>
  <c r="CL138" i="2"/>
  <c r="CM138" i="2"/>
  <c r="CN138" i="2"/>
  <c r="CO138" i="2"/>
  <c r="CP138" i="2"/>
  <c r="CQ138" i="2"/>
  <c r="CR138" i="2"/>
  <c r="CS138" i="2"/>
  <c r="CT138" i="2"/>
  <c r="CU138" i="2"/>
  <c r="CV138" i="2"/>
  <c r="BU139" i="2"/>
  <c r="K139" i="2" s="1"/>
  <c r="BV139" i="2"/>
  <c r="L139" i="2" s="1"/>
  <c r="BW139" i="2"/>
  <c r="M139" i="2" s="1"/>
  <c r="BX139" i="2"/>
  <c r="BY139" i="2"/>
  <c r="O139" i="2" s="1"/>
  <c r="BZ139" i="2"/>
  <c r="CA139" i="2"/>
  <c r="CB139" i="2"/>
  <c r="CC139" i="2"/>
  <c r="CD139" i="2"/>
  <c r="CE139" i="2"/>
  <c r="CF139" i="2"/>
  <c r="CG139" i="2"/>
  <c r="CH139" i="2"/>
  <c r="CI139" i="2"/>
  <c r="CJ139" i="2"/>
  <c r="CK139" i="2"/>
  <c r="CL139" i="2"/>
  <c r="CM139" i="2"/>
  <c r="CN139" i="2"/>
  <c r="CO139" i="2"/>
  <c r="CP139" i="2"/>
  <c r="CQ139" i="2"/>
  <c r="CR139" i="2"/>
  <c r="CS139" i="2"/>
  <c r="CT139" i="2"/>
  <c r="CU139" i="2"/>
  <c r="CV139" i="2"/>
  <c r="BU140" i="2"/>
  <c r="K140" i="2" s="1"/>
  <c r="BV140" i="2"/>
  <c r="L140" i="2" s="1"/>
  <c r="BW140" i="2"/>
  <c r="M140" i="2" s="1"/>
  <c r="BX140" i="2"/>
  <c r="BY140" i="2"/>
  <c r="O140" i="2" s="1"/>
  <c r="BZ140" i="2"/>
  <c r="CA140" i="2"/>
  <c r="CB140" i="2"/>
  <c r="CC140" i="2"/>
  <c r="CD140" i="2"/>
  <c r="CE140" i="2"/>
  <c r="CF140" i="2"/>
  <c r="CG140" i="2"/>
  <c r="CH140" i="2"/>
  <c r="CI140" i="2"/>
  <c r="CJ140" i="2"/>
  <c r="CK140" i="2"/>
  <c r="CL140" i="2"/>
  <c r="CM140" i="2"/>
  <c r="CN140" i="2"/>
  <c r="CO140" i="2"/>
  <c r="CP140" i="2"/>
  <c r="CQ140" i="2"/>
  <c r="CR140" i="2"/>
  <c r="CS140" i="2"/>
  <c r="CT140" i="2"/>
  <c r="CU140" i="2"/>
  <c r="CV140" i="2"/>
  <c r="BU141" i="2"/>
  <c r="K141" i="2" s="1"/>
  <c r="BV141" i="2"/>
  <c r="L141" i="2" s="1"/>
  <c r="BW141" i="2"/>
  <c r="M141" i="2" s="1"/>
  <c r="BX141" i="2"/>
  <c r="BY141" i="2"/>
  <c r="O141" i="2" s="1"/>
  <c r="BZ141" i="2"/>
  <c r="CA141" i="2"/>
  <c r="CB141" i="2"/>
  <c r="CC141" i="2"/>
  <c r="CD141" i="2"/>
  <c r="CE141" i="2"/>
  <c r="CF141" i="2"/>
  <c r="CG141" i="2"/>
  <c r="CH141" i="2"/>
  <c r="CI141" i="2"/>
  <c r="CJ141" i="2"/>
  <c r="CK141" i="2"/>
  <c r="CL141" i="2"/>
  <c r="CM141" i="2"/>
  <c r="CN141" i="2"/>
  <c r="CO141" i="2"/>
  <c r="CP141" i="2"/>
  <c r="CQ141" i="2"/>
  <c r="CR141" i="2"/>
  <c r="CS141" i="2"/>
  <c r="CT141" i="2"/>
  <c r="CU141" i="2"/>
  <c r="CV141" i="2"/>
  <c r="BU142" i="2"/>
  <c r="K142" i="2" s="1"/>
  <c r="BV142" i="2"/>
  <c r="L142" i="2" s="1"/>
  <c r="BW142" i="2"/>
  <c r="M142" i="2" s="1"/>
  <c r="BX142" i="2"/>
  <c r="BY142" i="2"/>
  <c r="O142" i="2" s="1"/>
  <c r="BZ142" i="2"/>
  <c r="CA142" i="2"/>
  <c r="CB142" i="2"/>
  <c r="CC142" i="2"/>
  <c r="CD142" i="2"/>
  <c r="CE142" i="2"/>
  <c r="CF142" i="2"/>
  <c r="CG142" i="2"/>
  <c r="CH142" i="2"/>
  <c r="CI142" i="2"/>
  <c r="CJ142" i="2"/>
  <c r="CK142" i="2"/>
  <c r="CL142" i="2"/>
  <c r="CM142" i="2"/>
  <c r="CN142" i="2"/>
  <c r="CO142" i="2"/>
  <c r="CP142" i="2"/>
  <c r="CQ142" i="2"/>
  <c r="CR142" i="2"/>
  <c r="CS142" i="2"/>
  <c r="CT142" i="2"/>
  <c r="CU142" i="2"/>
  <c r="CV142" i="2"/>
  <c r="BU143" i="2"/>
  <c r="K143" i="2" s="1"/>
  <c r="BV143" i="2"/>
  <c r="L143" i="2" s="1"/>
  <c r="BW143" i="2"/>
  <c r="M143" i="2" s="1"/>
  <c r="BX143" i="2"/>
  <c r="BY143" i="2"/>
  <c r="O143" i="2" s="1"/>
  <c r="BZ143" i="2"/>
  <c r="CA143" i="2"/>
  <c r="CB143" i="2"/>
  <c r="CC143" i="2"/>
  <c r="CD143" i="2"/>
  <c r="CE143" i="2"/>
  <c r="CF143" i="2"/>
  <c r="CG143" i="2"/>
  <c r="CH143" i="2"/>
  <c r="CI143" i="2"/>
  <c r="CJ143" i="2"/>
  <c r="CK143" i="2"/>
  <c r="CL143" i="2"/>
  <c r="CM143" i="2"/>
  <c r="CN143" i="2"/>
  <c r="CO143" i="2"/>
  <c r="CP143" i="2"/>
  <c r="CQ143" i="2"/>
  <c r="CR143" i="2"/>
  <c r="CS143" i="2"/>
  <c r="CT143" i="2"/>
  <c r="CU143" i="2"/>
  <c r="CV143" i="2"/>
  <c r="BU144" i="2"/>
  <c r="K144" i="2" s="1"/>
  <c r="BV144" i="2"/>
  <c r="L144" i="2" s="1"/>
  <c r="BW144" i="2"/>
  <c r="M144" i="2" s="1"/>
  <c r="BX144" i="2"/>
  <c r="BY144" i="2"/>
  <c r="O144" i="2" s="1"/>
  <c r="BZ144" i="2"/>
  <c r="CA144" i="2"/>
  <c r="CB144" i="2"/>
  <c r="CC144" i="2"/>
  <c r="CD144" i="2"/>
  <c r="CE144" i="2"/>
  <c r="CF144" i="2"/>
  <c r="CG144" i="2"/>
  <c r="CH144" i="2"/>
  <c r="CI144" i="2"/>
  <c r="CJ144" i="2"/>
  <c r="CK144" i="2"/>
  <c r="CL144" i="2"/>
  <c r="CM144" i="2"/>
  <c r="CN144" i="2"/>
  <c r="CO144" i="2"/>
  <c r="CP144" i="2"/>
  <c r="CQ144" i="2"/>
  <c r="CR144" i="2"/>
  <c r="CS144" i="2"/>
  <c r="CT144" i="2"/>
  <c r="CU144" i="2"/>
  <c r="CV144" i="2"/>
  <c r="BU145" i="2"/>
  <c r="K145" i="2" s="1"/>
  <c r="BV145" i="2"/>
  <c r="L145" i="2" s="1"/>
  <c r="BW145" i="2"/>
  <c r="M145" i="2" s="1"/>
  <c r="BX145" i="2"/>
  <c r="BY145" i="2"/>
  <c r="O145" i="2" s="1"/>
  <c r="BZ145" i="2"/>
  <c r="CA145" i="2"/>
  <c r="CB145" i="2"/>
  <c r="CC145" i="2"/>
  <c r="CD145" i="2"/>
  <c r="CE145" i="2"/>
  <c r="CF145" i="2"/>
  <c r="CG145" i="2"/>
  <c r="CH145" i="2"/>
  <c r="CI145" i="2"/>
  <c r="CJ145" i="2"/>
  <c r="CK145" i="2"/>
  <c r="CL145" i="2"/>
  <c r="CM145" i="2"/>
  <c r="CN145" i="2"/>
  <c r="CO145" i="2"/>
  <c r="CP145" i="2"/>
  <c r="CQ145" i="2"/>
  <c r="CR145" i="2"/>
  <c r="CS145" i="2"/>
  <c r="CT145" i="2"/>
  <c r="CU145" i="2"/>
  <c r="CV145" i="2"/>
  <c r="BU146" i="2"/>
  <c r="K146" i="2" s="1"/>
  <c r="BV146" i="2"/>
  <c r="L146" i="2" s="1"/>
  <c r="BW146" i="2"/>
  <c r="M146" i="2" s="1"/>
  <c r="BX146" i="2"/>
  <c r="BY146" i="2"/>
  <c r="O146" i="2" s="1"/>
  <c r="BZ146" i="2"/>
  <c r="CA146" i="2"/>
  <c r="CB146" i="2"/>
  <c r="CC146" i="2"/>
  <c r="CD146" i="2"/>
  <c r="CE146" i="2"/>
  <c r="CF146" i="2"/>
  <c r="CG146" i="2"/>
  <c r="CH146" i="2"/>
  <c r="CI146" i="2"/>
  <c r="CJ146" i="2"/>
  <c r="CK146" i="2"/>
  <c r="CL146" i="2"/>
  <c r="CM146" i="2"/>
  <c r="CN146" i="2"/>
  <c r="CO146" i="2"/>
  <c r="CP146" i="2"/>
  <c r="CQ146" i="2"/>
  <c r="CR146" i="2"/>
  <c r="CS146" i="2"/>
  <c r="CT146" i="2"/>
  <c r="CU146" i="2"/>
  <c r="CV146" i="2"/>
  <c r="BU147" i="2"/>
  <c r="K147" i="2" s="1"/>
  <c r="BV147" i="2"/>
  <c r="L147" i="2" s="1"/>
  <c r="BW147" i="2"/>
  <c r="M147" i="2" s="1"/>
  <c r="BX147" i="2"/>
  <c r="BY147" i="2"/>
  <c r="O147" i="2" s="1"/>
  <c r="BZ147" i="2"/>
  <c r="CA147" i="2"/>
  <c r="CB147" i="2"/>
  <c r="CC147" i="2"/>
  <c r="CD147" i="2"/>
  <c r="CE147" i="2"/>
  <c r="CF147" i="2"/>
  <c r="CG147" i="2"/>
  <c r="CH147" i="2"/>
  <c r="CI147" i="2"/>
  <c r="CJ147" i="2"/>
  <c r="CK147" i="2"/>
  <c r="CL147" i="2"/>
  <c r="CM147" i="2"/>
  <c r="CN147" i="2"/>
  <c r="CO147" i="2"/>
  <c r="CP147" i="2"/>
  <c r="CQ147" i="2"/>
  <c r="CR147" i="2"/>
  <c r="CS147" i="2"/>
  <c r="CT147" i="2"/>
  <c r="CU147" i="2"/>
  <c r="CV147" i="2"/>
  <c r="BU148" i="2"/>
  <c r="K148" i="2" s="1"/>
  <c r="BV148" i="2"/>
  <c r="L148" i="2" s="1"/>
  <c r="BW148" i="2"/>
  <c r="M148" i="2" s="1"/>
  <c r="BX148" i="2"/>
  <c r="BY148" i="2"/>
  <c r="O148" i="2" s="1"/>
  <c r="BZ148" i="2"/>
  <c r="CA148" i="2"/>
  <c r="CB148" i="2"/>
  <c r="CC148" i="2"/>
  <c r="CD148" i="2"/>
  <c r="CE148" i="2"/>
  <c r="CF148" i="2"/>
  <c r="CG148" i="2"/>
  <c r="CH148" i="2"/>
  <c r="CI148" i="2"/>
  <c r="CJ148" i="2"/>
  <c r="CK148" i="2"/>
  <c r="CL148" i="2"/>
  <c r="CM148" i="2"/>
  <c r="CN148" i="2"/>
  <c r="CO148" i="2"/>
  <c r="CP148" i="2"/>
  <c r="CQ148" i="2"/>
  <c r="CR148" i="2"/>
  <c r="CS148" i="2"/>
  <c r="CT148" i="2"/>
  <c r="CU148" i="2"/>
  <c r="CV148" i="2"/>
  <c r="BU149" i="2"/>
  <c r="K149" i="2" s="1"/>
  <c r="BV149" i="2"/>
  <c r="L149" i="2" s="1"/>
  <c r="BW149" i="2"/>
  <c r="M149" i="2" s="1"/>
  <c r="BX149" i="2"/>
  <c r="BY149" i="2"/>
  <c r="O149" i="2" s="1"/>
  <c r="BZ149" i="2"/>
  <c r="CA149" i="2"/>
  <c r="CB149" i="2"/>
  <c r="CC149" i="2"/>
  <c r="CD149" i="2"/>
  <c r="CE149" i="2"/>
  <c r="CF149" i="2"/>
  <c r="CG149" i="2"/>
  <c r="CH149" i="2"/>
  <c r="CI149" i="2"/>
  <c r="CJ149" i="2"/>
  <c r="CK149" i="2"/>
  <c r="CL149" i="2"/>
  <c r="CM149" i="2"/>
  <c r="CN149" i="2"/>
  <c r="CO149" i="2"/>
  <c r="CP149" i="2"/>
  <c r="CQ149" i="2"/>
  <c r="CR149" i="2"/>
  <c r="CS149" i="2"/>
  <c r="CT149" i="2"/>
  <c r="CU149" i="2"/>
  <c r="CV149" i="2"/>
  <c r="BU150" i="2"/>
  <c r="K150" i="2" s="1"/>
  <c r="BV150" i="2"/>
  <c r="L150" i="2" s="1"/>
  <c r="BW150" i="2"/>
  <c r="M150" i="2" s="1"/>
  <c r="BX150" i="2"/>
  <c r="BY150" i="2"/>
  <c r="O150" i="2" s="1"/>
  <c r="BZ150" i="2"/>
  <c r="CA150" i="2"/>
  <c r="CB150" i="2"/>
  <c r="CC150" i="2"/>
  <c r="CD150" i="2"/>
  <c r="CE150" i="2"/>
  <c r="CF150" i="2"/>
  <c r="CG150" i="2"/>
  <c r="CH150" i="2"/>
  <c r="CI150" i="2"/>
  <c r="CJ150" i="2"/>
  <c r="CK150" i="2"/>
  <c r="CL150" i="2"/>
  <c r="CM150" i="2"/>
  <c r="CN150" i="2"/>
  <c r="CO150" i="2"/>
  <c r="CP150" i="2"/>
  <c r="CQ150" i="2"/>
  <c r="CR150" i="2"/>
  <c r="CS150" i="2"/>
  <c r="CT150" i="2"/>
  <c r="CU150" i="2"/>
  <c r="CV150" i="2"/>
  <c r="BU151" i="2"/>
  <c r="K151" i="2" s="1"/>
  <c r="BV151" i="2"/>
  <c r="L151" i="2" s="1"/>
  <c r="BW151" i="2"/>
  <c r="M151" i="2" s="1"/>
  <c r="BX151" i="2"/>
  <c r="BY151" i="2"/>
  <c r="O151" i="2" s="1"/>
  <c r="BZ151" i="2"/>
  <c r="CA151" i="2"/>
  <c r="CB151" i="2"/>
  <c r="CC151" i="2"/>
  <c r="CD151" i="2"/>
  <c r="CE151" i="2"/>
  <c r="CF151" i="2"/>
  <c r="CG151" i="2"/>
  <c r="CH151" i="2"/>
  <c r="CI151" i="2"/>
  <c r="CJ151" i="2"/>
  <c r="CK151" i="2"/>
  <c r="CL151" i="2"/>
  <c r="CM151" i="2"/>
  <c r="CN151" i="2"/>
  <c r="CO151" i="2"/>
  <c r="CP151" i="2"/>
  <c r="CQ151" i="2"/>
  <c r="CR151" i="2"/>
  <c r="CS151" i="2"/>
  <c r="CT151" i="2"/>
  <c r="CU151" i="2"/>
  <c r="CV151" i="2"/>
  <c r="BU152" i="2"/>
  <c r="K152" i="2" s="1"/>
  <c r="BV152" i="2"/>
  <c r="L152" i="2" s="1"/>
  <c r="BW152" i="2"/>
  <c r="M152" i="2" s="1"/>
  <c r="BX152" i="2"/>
  <c r="BY152" i="2"/>
  <c r="O152" i="2" s="1"/>
  <c r="BZ152" i="2"/>
  <c r="CA152" i="2"/>
  <c r="CB152" i="2"/>
  <c r="CC152" i="2"/>
  <c r="CD152" i="2"/>
  <c r="CE152" i="2"/>
  <c r="CF152" i="2"/>
  <c r="CG152" i="2"/>
  <c r="CH152" i="2"/>
  <c r="CI152" i="2"/>
  <c r="CJ152" i="2"/>
  <c r="CK152" i="2"/>
  <c r="CL152" i="2"/>
  <c r="CM152" i="2"/>
  <c r="CN152" i="2"/>
  <c r="CO152" i="2"/>
  <c r="CP152" i="2"/>
  <c r="CQ152" i="2"/>
  <c r="CR152" i="2"/>
  <c r="CS152" i="2"/>
  <c r="CT152" i="2"/>
  <c r="CU152" i="2"/>
  <c r="CV152" i="2"/>
  <c r="BU153" i="2"/>
  <c r="K153" i="2" s="1"/>
  <c r="BV153" i="2"/>
  <c r="L153" i="2" s="1"/>
  <c r="BW153" i="2"/>
  <c r="M153" i="2" s="1"/>
  <c r="BX153" i="2"/>
  <c r="BY153" i="2"/>
  <c r="O153" i="2" s="1"/>
  <c r="BZ153" i="2"/>
  <c r="CA153" i="2"/>
  <c r="CB153" i="2"/>
  <c r="CC153" i="2"/>
  <c r="CD153" i="2"/>
  <c r="CE153" i="2"/>
  <c r="CF153" i="2"/>
  <c r="CG153" i="2"/>
  <c r="CH153" i="2"/>
  <c r="CI153" i="2"/>
  <c r="CJ153" i="2"/>
  <c r="CK153" i="2"/>
  <c r="CL153" i="2"/>
  <c r="CM153" i="2"/>
  <c r="CN153" i="2"/>
  <c r="CO153" i="2"/>
  <c r="CP153" i="2"/>
  <c r="CQ153" i="2"/>
  <c r="CR153" i="2"/>
  <c r="CS153" i="2"/>
  <c r="CT153" i="2"/>
  <c r="CU153" i="2"/>
  <c r="CV153" i="2"/>
  <c r="BU154" i="2"/>
  <c r="K154" i="2" s="1"/>
  <c r="BV154" i="2"/>
  <c r="L154" i="2" s="1"/>
  <c r="BW154" i="2"/>
  <c r="M154" i="2" s="1"/>
  <c r="BX154" i="2"/>
  <c r="BY154" i="2"/>
  <c r="O154" i="2" s="1"/>
  <c r="BZ154" i="2"/>
  <c r="CA154" i="2"/>
  <c r="CB154" i="2"/>
  <c r="CC154" i="2"/>
  <c r="CD154" i="2"/>
  <c r="CE154" i="2"/>
  <c r="CF154" i="2"/>
  <c r="CG154" i="2"/>
  <c r="CH154" i="2"/>
  <c r="CI154" i="2"/>
  <c r="CJ154" i="2"/>
  <c r="CK154" i="2"/>
  <c r="CL154" i="2"/>
  <c r="CM154" i="2"/>
  <c r="CN154" i="2"/>
  <c r="CO154" i="2"/>
  <c r="CP154" i="2"/>
  <c r="CQ154" i="2"/>
  <c r="CR154" i="2"/>
  <c r="CS154" i="2"/>
  <c r="CT154" i="2"/>
  <c r="CU154" i="2"/>
  <c r="CV154" i="2"/>
  <c r="BU155" i="2"/>
  <c r="K155" i="2" s="1"/>
  <c r="BV155" i="2"/>
  <c r="L155" i="2" s="1"/>
  <c r="BW155" i="2"/>
  <c r="M155" i="2" s="1"/>
  <c r="BX155" i="2"/>
  <c r="BY155" i="2"/>
  <c r="O155" i="2" s="1"/>
  <c r="BZ155" i="2"/>
  <c r="CA155" i="2"/>
  <c r="CB155" i="2"/>
  <c r="CC155" i="2"/>
  <c r="CD155" i="2"/>
  <c r="CE155" i="2"/>
  <c r="CF155" i="2"/>
  <c r="CG155" i="2"/>
  <c r="CH155" i="2"/>
  <c r="CI155" i="2"/>
  <c r="CJ155" i="2"/>
  <c r="CK155" i="2"/>
  <c r="CL155" i="2"/>
  <c r="CM155" i="2"/>
  <c r="CN155" i="2"/>
  <c r="CO155" i="2"/>
  <c r="CP155" i="2"/>
  <c r="CQ155" i="2"/>
  <c r="CR155" i="2"/>
  <c r="CS155" i="2"/>
  <c r="CT155" i="2"/>
  <c r="CU155" i="2"/>
  <c r="CV155" i="2"/>
  <c r="BU156" i="2"/>
  <c r="K156" i="2" s="1"/>
  <c r="BV156" i="2"/>
  <c r="L156" i="2" s="1"/>
  <c r="BW156" i="2"/>
  <c r="M156" i="2" s="1"/>
  <c r="BX156" i="2"/>
  <c r="BY156" i="2"/>
  <c r="O156" i="2" s="1"/>
  <c r="BZ156" i="2"/>
  <c r="CA156" i="2"/>
  <c r="CB156" i="2"/>
  <c r="CC156" i="2"/>
  <c r="CD156" i="2"/>
  <c r="CE156" i="2"/>
  <c r="CF156" i="2"/>
  <c r="CG156" i="2"/>
  <c r="CH156" i="2"/>
  <c r="CI156" i="2"/>
  <c r="CJ156" i="2"/>
  <c r="CK156" i="2"/>
  <c r="CL156" i="2"/>
  <c r="CM156" i="2"/>
  <c r="CN156" i="2"/>
  <c r="CO156" i="2"/>
  <c r="CP156" i="2"/>
  <c r="CQ156" i="2"/>
  <c r="CR156" i="2"/>
  <c r="CS156" i="2"/>
  <c r="CT156" i="2"/>
  <c r="CU156" i="2"/>
  <c r="CV156" i="2"/>
  <c r="BU157" i="2"/>
  <c r="K157" i="2" s="1"/>
  <c r="BV157" i="2"/>
  <c r="L157" i="2" s="1"/>
  <c r="BW157" i="2"/>
  <c r="M157" i="2" s="1"/>
  <c r="BX157" i="2"/>
  <c r="BY157" i="2"/>
  <c r="O157" i="2" s="1"/>
  <c r="BZ157" i="2"/>
  <c r="CA157" i="2"/>
  <c r="CB157" i="2"/>
  <c r="CC157" i="2"/>
  <c r="CD157" i="2"/>
  <c r="CE157" i="2"/>
  <c r="CF157" i="2"/>
  <c r="CG157" i="2"/>
  <c r="CH157" i="2"/>
  <c r="CI157" i="2"/>
  <c r="CJ157" i="2"/>
  <c r="CK157" i="2"/>
  <c r="CL157" i="2"/>
  <c r="CM157" i="2"/>
  <c r="CN157" i="2"/>
  <c r="CO157" i="2"/>
  <c r="CP157" i="2"/>
  <c r="CQ157" i="2"/>
  <c r="CR157" i="2"/>
  <c r="CS157" i="2"/>
  <c r="CT157" i="2"/>
  <c r="CU157" i="2"/>
  <c r="CV157" i="2"/>
  <c r="BU158" i="2"/>
  <c r="K158" i="2" s="1"/>
  <c r="BV158" i="2"/>
  <c r="L158" i="2" s="1"/>
  <c r="BW158" i="2"/>
  <c r="M158" i="2" s="1"/>
  <c r="BX158" i="2"/>
  <c r="BY158" i="2"/>
  <c r="O158" i="2" s="1"/>
  <c r="BZ158" i="2"/>
  <c r="CA158" i="2"/>
  <c r="CB158" i="2"/>
  <c r="CC158" i="2"/>
  <c r="CD158" i="2"/>
  <c r="CE158" i="2"/>
  <c r="CF158" i="2"/>
  <c r="CG158" i="2"/>
  <c r="CH158" i="2"/>
  <c r="CI158" i="2"/>
  <c r="CJ158" i="2"/>
  <c r="CK158" i="2"/>
  <c r="CL158" i="2"/>
  <c r="CM158" i="2"/>
  <c r="CN158" i="2"/>
  <c r="CO158" i="2"/>
  <c r="CP158" i="2"/>
  <c r="CQ158" i="2"/>
  <c r="CR158" i="2"/>
  <c r="CS158" i="2"/>
  <c r="CT158" i="2"/>
  <c r="CU158" i="2"/>
  <c r="CV158" i="2"/>
  <c r="BU159" i="2"/>
  <c r="K159" i="2" s="1"/>
  <c r="BV159" i="2"/>
  <c r="L159" i="2" s="1"/>
  <c r="BW159" i="2"/>
  <c r="M159" i="2" s="1"/>
  <c r="BX159" i="2"/>
  <c r="BY159" i="2"/>
  <c r="O159" i="2" s="1"/>
  <c r="BZ159" i="2"/>
  <c r="CA159" i="2"/>
  <c r="CB159" i="2"/>
  <c r="CC159" i="2"/>
  <c r="CD159" i="2"/>
  <c r="CE159" i="2"/>
  <c r="CF159" i="2"/>
  <c r="CG159" i="2"/>
  <c r="CH159" i="2"/>
  <c r="CI159" i="2"/>
  <c r="CJ159" i="2"/>
  <c r="CK159" i="2"/>
  <c r="CL159" i="2"/>
  <c r="CM159" i="2"/>
  <c r="CN159" i="2"/>
  <c r="CO159" i="2"/>
  <c r="CP159" i="2"/>
  <c r="CQ159" i="2"/>
  <c r="CR159" i="2"/>
  <c r="CS159" i="2"/>
  <c r="CT159" i="2"/>
  <c r="CU159" i="2"/>
  <c r="CV159" i="2"/>
  <c r="BU160" i="2"/>
  <c r="K160" i="2" s="1"/>
  <c r="BV160" i="2"/>
  <c r="L160" i="2" s="1"/>
  <c r="BW160" i="2"/>
  <c r="M160" i="2" s="1"/>
  <c r="BX160" i="2"/>
  <c r="BY160" i="2"/>
  <c r="O160" i="2" s="1"/>
  <c r="BZ160" i="2"/>
  <c r="CA160" i="2"/>
  <c r="CB160" i="2"/>
  <c r="CC160" i="2"/>
  <c r="CD160" i="2"/>
  <c r="CE160" i="2"/>
  <c r="CF160" i="2"/>
  <c r="CG160" i="2"/>
  <c r="CH160" i="2"/>
  <c r="CI160" i="2"/>
  <c r="CJ160" i="2"/>
  <c r="CK160" i="2"/>
  <c r="CL160" i="2"/>
  <c r="CM160" i="2"/>
  <c r="CN160" i="2"/>
  <c r="CO160" i="2"/>
  <c r="CP160" i="2"/>
  <c r="CQ160" i="2"/>
  <c r="CR160" i="2"/>
  <c r="CS160" i="2"/>
  <c r="CT160" i="2"/>
  <c r="CU160" i="2"/>
  <c r="CV160" i="2"/>
  <c r="BU161" i="2"/>
  <c r="K161" i="2" s="1"/>
  <c r="BV161" i="2"/>
  <c r="L161" i="2" s="1"/>
  <c r="BW161" i="2"/>
  <c r="M161" i="2" s="1"/>
  <c r="BX161" i="2"/>
  <c r="BY161" i="2"/>
  <c r="O161" i="2" s="1"/>
  <c r="BZ161" i="2"/>
  <c r="CA161" i="2"/>
  <c r="CB161" i="2"/>
  <c r="CC161" i="2"/>
  <c r="CD161" i="2"/>
  <c r="CE161" i="2"/>
  <c r="CF161" i="2"/>
  <c r="CG161" i="2"/>
  <c r="CH161" i="2"/>
  <c r="CI161" i="2"/>
  <c r="CJ161" i="2"/>
  <c r="CK161" i="2"/>
  <c r="CL161" i="2"/>
  <c r="CM161" i="2"/>
  <c r="CN161" i="2"/>
  <c r="CO161" i="2"/>
  <c r="CP161" i="2"/>
  <c r="CQ161" i="2"/>
  <c r="CR161" i="2"/>
  <c r="CS161" i="2"/>
  <c r="CT161" i="2"/>
  <c r="CU161" i="2"/>
  <c r="CV161" i="2"/>
  <c r="BU162" i="2"/>
  <c r="K162" i="2" s="1"/>
  <c r="BV162" i="2"/>
  <c r="L162" i="2" s="1"/>
  <c r="BW162" i="2"/>
  <c r="M162" i="2" s="1"/>
  <c r="BX162" i="2"/>
  <c r="BY162" i="2"/>
  <c r="O162" i="2" s="1"/>
  <c r="BZ162" i="2"/>
  <c r="CA162" i="2"/>
  <c r="CB162" i="2"/>
  <c r="CC162" i="2"/>
  <c r="CD162" i="2"/>
  <c r="CE162" i="2"/>
  <c r="CF162" i="2"/>
  <c r="CG162" i="2"/>
  <c r="CH162" i="2"/>
  <c r="CI162" i="2"/>
  <c r="CJ162" i="2"/>
  <c r="CK162" i="2"/>
  <c r="CL162" i="2"/>
  <c r="CM162" i="2"/>
  <c r="CN162" i="2"/>
  <c r="CO162" i="2"/>
  <c r="CP162" i="2"/>
  <c r="CQ162" i="2"/>
  <c r="CR162" i="2"/>
  <c r="CS162" i="2"/>
  <c r="CT162" i="2"/>
  <c r="CU162" i="2"/>
  <c r="CV162" i="2"/>
  <c r="BU163" i="2"/>
  <c r="K163" i="2" s="1"/>
  <c r="BV163" i="2"/>
  <c r="L163" i="2" s="1"/>
  <c r="BW163" i="2"/>
  <c r="M163" i="2" s="1"/>
  <c r="BX163" i="2"/>
  <c r="BY163" i="2"/>
  <c r="O163" i="2" s="1"/>
  <c r="BZ163" i="2"/>
  <c r="CA163" i="2"/>
  <c r="CB163" i="2"/>
  <c r="CC163" i="2"/>
  <c r="CD163" i="2"/>
  <c r="CE163" i="2"/>
  <c r="CF163" i="2"/>
  <c r="CG163" i="2"/>
  <c r="CH163" i="2"/>
  <c r="CI163" i="2"/>
  <c r="CJ163" i="2"/>
  <c r="CK163" i="2"/>
  <c r="CL163" i="2"/>
  <c r="CM163" i="2"/>
  <c r="CN163" i="2"/>
  <c r="CO163" i="2"/>
  <c r="CP163" i="2"/>
  <c r="CQ163" i="2"/>
  <c r="CR163" i="2"/>
  <c r="CS163" i="2"/>
  <c r="CT163" i="2"/>
  <c r="CU163" i="2"/>
  <c r="CV163" i="2"/>
  <c r="BU164" i="2"/>
  <c r="K164" i="2" s="1"/>
  <c r="BV164" i="2"/>
  <c r="L164" i="2" s="1"/>
  <c r="BW164" i="2"/>
  <c r="M164" i="2" s="1"/>
  <c r="BX164" i="2"/>
  <c r="BY164" i="2"/>
  <c r="O164" i="2" s="1"/>
  <c r="BZ164" i="2"/>
  <c r="CA164" i="2"/>
  <c r="CB164" i="2"/>
  <c r="CC164" i="2"/>
  <c r="CD164" i="2"/>
  <c r="CE164" i="2"/>
  <c r="CF164" i="2"/>
  <c r="CG164" i="2"/>
  <c r="CH164" i="2"/>
  <c r="CI164" i="2"/>
  <c r="CJ164" i="2"/>
  <c r="CK164" i="2"/>
  <c r="CL164" i="2"/>
  <c r="CM164" i="2"/>
  <c r="CN164" i="2"/>
  <c r="CO164" i="2"/>
  <c r="CP164" i="2"/>
  <c r="CQ164" i="2"/>
  <c r="CR164" i="2"/>
  <c r="CS164" i="2"/>
  <c r="CT164" i="2"/>
  <c r="CU164" i="2"/>
  <c r="CV164" i="2"/>
  <c r="BU165" i="2"/>
  <c r="K165" i="2" s="1"/>
  <c r="BV165" i="2"/>
  <c r="L165" i="2" s="1"/>
  <c r="BW165" i="2"/>
  <c r="M165" i="2" s="1"/>
  <c r="BX165" i="2"/>
  <c r="BY165" i="2"/>
  <c r="O165" i="2" s="1"/>
  <c r="BZ165" i="2"/>
  <c r="CA165" i="2"/>
  <c r="CB165" i="2"/>
  <c r="CC165" i="2"/>
  <c r="CD165" i="2"/>
  <c r="CE165" i="2"/>
  <c r="CF165" i="2"/>
  <c r="CG165" i="2"/>
  <c r="CH165" i="2"/>
  <c r="CI165" i="2"/>
  <c r="CJ165" i="2"/>
  <c r="CK165" i="2"/>
  <c r="CL165" i="2"/>
  <c r="CM165" i="2"/>
  <c r="CN165" i="2"/>
  <c r="CO165" i="2"/>
  <c r="CP165" i="2"/>
  <c r="CQ165" i="2"/>
  <c r="CR165" i="2"/>
  <c r="CS165" i="2"/>
  <c r="CT165" i="2"/>
  <c r="CU165" i="2"/>
  <c r="CV165" i="2"/>
  <c r="BV121" i="2"/>
  <c r="L121" i="2" s="1"/>
  <c r="BW121" i="2"/>
  <c r="M121" i="2" s="1"/>
  <c r="BX121" i="2"/>
  <c r="BY121" i="2"/>
  <c r="O121" i="2" s="1"/>
  <c r="BZ121" i="2"/>
  <c r="CA121" i="2"/>
  <c r="CB121" i="2"/>
  <c r="CC121" i="2"/>
  <c r="CD121" i="2"/>
  <c r="CE121" i="2"/>
  <c r="CF121" i="2"/>
  <c r="CG121" i="2"/>
  <c r="CH121" i="2"/>
  <c r="CI121" i="2"/>
  <c r="CJ121" i="2"/>
  <c r="CK121" i="2"/>
  <c r="CL121" i="2"/>
  <c r="CM121" i="2"/>
  <c r="CN121" i="2"/>
  <c r="CO121" i="2"/>
  <c r="CP121" i="2"/>
  <c r="CQ121" i="2"/>
  <c r="CR121" i="2"/>
  <c r="CS121" i="2"/>
  <c r="CT121" i="2"/>
  <c r="CU121" i="2"/>
  <c r="CV121" i="2"/>
  <c r="BU121" i="2"/>
  <c r="K121" i="2" s="1"/>
  <c r="BS158" i="2"/>
  <c r="BS159" i="2"/>
  <c r="BS160" i="2"/>
  <c r="BS161" i="2"/>
  <c r="BS162" i="2"/>
  <c r="BS163" i="2"/>
  <c r="BS164" i="2"/>
  <c r="BS165" i="2"/>
  <c r="BS122" i="2"/>
  <c r="BS123" i="2"/>
  <c r="BS124" i="2"/>
  <c r="BS125" i="2"/>
  <c r="BS126" i="2"/>
  <c r="BS127" i="2"/>
  <c r="BS128" i="2"/>
  <c r="BS129" i="2"/>
  <c r="BS130" i="2"/>
  <c r="BS131" i="2"/>
  <c r="BS132" i="2"/>
  <c r="BS133" i="2"/>
  <c r="BS134" i="2"/>
  <c r="BS135" i="2"/>
  <c r="BS136" i="2"/>
  <c r="BS137" i="2"/>
  <c r="BS138" i="2"/>
  <c r="BS139" i="2"/>
  <c r="BS140" i="2"/>
  <c r="BS141" i="2"/>
  <c r="BS142" i="2"/>
  <c r="BS143" i="2"/>
  <c r="BS144" i="2"/>
  <c r="BS145" i="2"/>
  <c r="BS146" i="2"/>
  <c r="BS147" i="2"/>
  <c r="BS148" i="2"/>
  <c r="BS149" i="2"/>
  <c r="BS150" i="2"/>
  <c r="BS151" i="2"/>
  <c r="BS152" i="2"/>
  <c r="BS153" i="2"/>
  <c r="BS154" i="2"/>
  <c r="BS155" i="2"/>
  <c r="BS156" i="2"/>
  <c r="BS157" i="2"/>
  <c r="BS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G122" i="2"/>
  <c r="H122" i="2"/>
  <c r="I122" i="2"/>
  <c r="G123" i="2"/>
  <c r="H123" i="2"/>
  <c r="I123" i="2"/>
  <c r="G124" i="2"/>
  <c r="H124" i="2"/>
  <c r="I124" i="2"/>
  <c r="G125" i="2"/>
  <c r="H125" i="2"/>
  <c r="I125" i="2"/>
  <c r="G126" i="2"/>
  <c r="H126" i="2"/>
  <c r="I126" i="2"/>
  <c r="G127" i="2"/>
  <c r="H127" i="2"/>
  <c r="I127" i="2"/>
  <c r="G128" i="2"/>
  <c r="H128" i="2"/>
  <c r="I128" i="2"/>
  <c r="G129" i="2"/>
  <c r="H129" i="2"/>
  <c r="I129" i="2"/>
  <c r="G130" i="2"/>
  <c r="H130" i="2"/>
  <c r="I130" i="2"/>
  <c r="G131" i="2"/>
  <c r="H131" i="2"/>
  <c r="I131" i="2"/>
  <c r="G132" i="2"/>
  <c r="H132" i="2"/>
  <c r="I132" i="2"/>
  <c r="G133" i="2"/>
  <c r="H133" i="2"/>
  <c r="I133" i="2"/>
  <c r="G134" i="2"/>
  <c r="H134" i="2"/>
  <c r="I134" i="2"/>
  <c r="G135" i="2"/>
  <c r="H135" i="2"/>
  <c r="I135" i="2"/>
  <c r="G136" i="2"/>
  <c r="H136" i="2"/>
  <c r="I136" i="2"/>
  <c r="G137" i="2"/>
  <c r="H137" i="2"/>
  <c r="I137" i="2"/>
  <c r="G138" i="2"/>
  <c r="H138" i="2"/>
  <c r="I138" i="2"/>
  <c r="G139" i="2"/>
  <c r="H139" i="2"/>
  <c r="I139" i="2"/>
  <c r="G140" i="2"/>
  <c r="H140" i="2"/>
  <c r="I140" i="2"/>
  <c r="G141" i="2"/>
  <c r="H141" i="2"/>
  <c r="I141" i="2"/>
  <c r="G142" i="2"/>
  <c r="H142" i="2"/>
  <c r="I142" i="2"/>
  <c r="G143" i="2"/>
  <c r="H143" i="2"/>
  <c r="I143" i="2"/>
  <c r="G144" i="2"/>
  <c r="H144" i="2"/>
  <c r="I144" i="2"/>
  <c r="G145" i="2"/>
  <c r="H145" i="2"/>
  <c r="I145" i="2"/>
  <c r="G146" i="2"/>
  <c r="H146" i="2"/>
  <c r="I146" i="2"/>
  <c r="G147" i="2"/>
  <c r="H147" i="2"/>
  <c r="I147" i="2"/>
  <c r="G148" i="2"/>
  <c r="H148" i="2"/>
  <c r="I148" i="2"/>
  <c r="G149" i="2"/>
  <c r="H149" i="2"/>
  <c r="I149" i="2"/>
  <c r="G150" i="2"/>
  <c r="H150" i="2"/>
  <c r="I150" i="2"/>
  <c r="G151" i="2"/>
  <c r="H151" i="2"/>
  <c r="I151" i="2"/>
  <c r="G152" i="2"/>
  <c r="H152" i="2"/>
  <c r="I152" i="2"/>
  <c r="G153" i="2"/>
  <c r="H153" i="2"/>
  <c r="AE153" i="2" s="1"/>
  <c r="AO153" i="2" s="1"/>
  <c r="I153" i="2"/>
  <c r="G154" i="2"/>
  <c r="H154" i="2"/>
  <c r="I154" i="2"/>
  <c r="G155" i="2"/>
  <c r="H155" i="2"/>
  <c r="I155" i="2"/>
  <c r="G156" i="2"/>
  <c r="H156" i="2"/>
  <c r="I156" i="2"/>
  <c r="G157" i="2"/>
  <c r="H157" i="2"/>
  <c r="I157" i="2"/>
  <c r="G158" i="2"/>
  <c r="H158" i="2"/>
  <c r="I158" i="2"/>
  <c r="G159" i="2"/>
  <c r="H159" i="2"/>
  <c r="I159" i="2"/>
  <c r="G160" i="2"/>
  <c r="H160" i="2"/>
  <c r="AE160" i="2" s="1"/>
  <c r="AO160" i="2" s="1"/>
  <c r="I160" i="2"/>
  <c r="G161" i="2"/>
  <c r="H161" i="2"/>
  <c r="I161" i="2"/>
  <c r="G162" i="2"/>
  <c r="H162" i="2"/>
  <c r="I162" i="2"/>
  <c r="G163" i="2"/>
  <c r="H163" i="2"/>
  <c r="I163" i="2"/>
  <c r="G164" i="2"/>
  <c r="H164" i="2"/>
  <c r="I164" i="2"/>
  <c r="G165" i="2"/>
  <c r="H165" i="2"/>
  <c r="I165" i="2"/>
  <c r="H121" i="2"/>
  <c r="I121" i="2"/>
  <c r="G121" i="2"/>
  <c r="E121" i="2"/>
  <c r="P3" i="9"/>
  <c r="Q3" i="9"/>
  <c r="R3" i="9"/>
  <c r="S3" i="9"/>
  <c r="T3" i="9"/>
  <c r="U3" i="9"/>
  <c r="P4" i="9"/>
  <c r="Q4" i="9"/>
  <c r="R4" i="9"/>
  <c r="S4" i="9"/>
  <c r="T4" i="9"/>
  <c r="U4" i="9"/>
  <c r="P5" i="9"/>
  <c r="Q5" i="9"/>
  <c r="R5" i="9"/>
  <c r="S5" i="9"/>
  <c r="T5" i="9"/>
  <c r="U5" i="9"/>
  <c r="P6" i="9"/>
  <c r="Q6" i="9"/>
  <c r="R6" i="9"/>
  <c r="S6" i="9"/>
  <c r="T6" i="9"/>
  <c r="U6" i="9"/>
  <c r="P7" i="9"/>
  <c r="Q7" i="9"/>
  <c r="R7" i="9"/>
  <c r="S7" i="9"/>
  <c r="T7" i="9"/>
  <c r="U7" i="9"/>
  <c r="P8" i="9"/>
  <c r="Q8" i="9"/>
  <c r="R8" i="9"/>
  <c r="S8" i="9"/>
  <c r="T8" i="9"/>
  <c r="U8" i="9"/>
  <c r="P9" i="9"/>
  <c r="Q9" i="9"/>
  <c r="R9" i="9"/>
  <c r="S9" i="9"/>
  <c r="T9" i="9"/>
  <c r="U9" i="9"/>
  <c r="P10" i="9"/>
  <c r="Q10" i="9"/>
  <c r="R10" i="9"/>
  <c r="S10" i="9"/>
  <c r="T10" i="9"/>
  <c r="U10" i="9"/>
  <c r="P11" i="9"/>
  <c r="Q11" i="9"/>
  <c r="R11" i="9"/>
  <c r="S11" i="9"/>
  <c r="T11" i="9"/>
  <c r="U11" i="9"/>
  <c r="P12" i="9"/>
  <c r="Q12" i="9"/>
  <c r="R12" i="9"/>
  <c r="S12" i="9"/>
  <c r="T12" i="9"/>
  <c r="U12" i="9"/>
  <c r="P13" i="9"/>
  <c r="Q13" i="9"/>
  <c r="R13" i="9"/>
  <c r="S13" i="9"/>
  <c r="T13" i="9"/>
  <c r="U13" i="9"/>
  <c r="P14" i="9"/>
  <c r="Q14" i="9"/>
  <c r="R14" i="9"/>
  <c r="S14" i="9"/>
  <c r="T14" i="9"/>
  <c r="U14" i="9"/>
  <c r="P15" i="9"/>
  <c r="Q15" i="9"/>
  <c r="R15" i="9"/>
  <c r="S15" i="9"/>
  <c r="T15" i="9"/>
  <c r="U15" i="9"/>
  <c r="P16" i="9"/>
  <c r="Q16" i="9"/>
  <c r="R16" i="9"/>
  <c r="S16" i="9"/>
  <c r="T16" i="9"/>
  <c r="U16" i="9"/>
  <c r="P17" i="9"/>
  <c r="Q17" i="9"/>
  <c r="R17" i="9"/>
  <c r="S17" i="9"/>
  <c r="T17" i="9"/>
  <c r="U17" i="9"/>
  <c r="P18" i="9"/>
  <c r="Q18" i="9"/>
  <c r="R18" i="9"/>
  <c r="S18" i="9"/>
  <c r="T18" i="9"/>
  <c r="U18" i="9"/>
  <c r="P19" i="9"/>
  <c r="Q19" i="9"/>
  <c r="R19" i="9"/>
  <c r="S19" i="9"/>
  <c r="T19" i="9"/>
  <c r="U19" i="9"/>
  <c r="P20" i="9"/>
  <c r="Q20" i="9"/>
  <c r="R20" i="9"/>
  <c r="S20" i="9"/>
  <c r="T20" i="9"/>
  <c r="U20" i="9"/>
  <c r="P21" i="9"/>
  <c r="Q21" i="9"/>
  <c r="R21" i="9"/>
  <c r="S21" i="9"/>
  <c r="T21" i="9"/>
  <c r="U21" i="9"/>
  <c r="P22" i="9"/>
  <c r="Q22" i="9"/>
  <c r="R22" i="9"/>
  <c r="S22" i="9"/>
  <c r="T22" i="9"/>
  <c r="U22" i="9"/>
  <c r="P23" i="9"/>
  <c r="Q23" i="9"/>
  <c r="R23" i="9"/>
  <c r="S23" i="9"/>
  <c r="T23" i="9"/>
  <c r="U23" i="9"/>
  <c r="P24" i="9"/>
  <c r="Q24" i="9"/>
  <c r="R24" i="9"/>
  <c r="S24" i="9"/>
  <c r="T24" i="9"/>
  <c r="U24" i="9"/>
  <c r="P25" i="9"/>
  <c r="Q25" i="9"/>
  <c r="R25" i="9"/>
  <c r="S25" i="9"/>
  <c r="T25" i="9"/>
  <c r="U25" i="9"/>
  <c r="P26" i="9"/>
  <c r="Q26" i="9"/>
  <c r="R26" i="9"/>
  <c r="S26" i="9"/>
  <c r="T26" i="9"/>
  <c r="U26" i="9"/>
  <c r="P27" i="9"/>
  <c r="Q27" i="9"/>
  <c r="R27" i="9"/>
  <c r="S27" i="9"/>
  <c r="T27" i="9"/>
  <c r="U27" i="9"/>
  <c r="P28" i="9"/>
  <c r="Q28" i="9"/>
  <c r="R28" i="9"/>
  <c r="S28" i="9"/>
  <c r="T28" i="9"/>
  <c r="U28" i="9"/>
  <c r="P29" i="9"/>
  <c r="Q29" i="9"/>
  <c r="R29" i="9"/>
  <c r="S29" i="9"/>
  <c r="T29" i="9"/>
  <c r="U29" i="9"/>
  <c r="P30" i="9"/>
  <c r="Q30" i="9"/>
  <c r="R30" i="9"/>
  <c r="S30" i="9"/>
  <c r="T30" i="9"/>
  <c r="U30" i="9"/>
  <c r="P31" i="9"/>
  <c r="Q31" i="9"/>
  <c r="R31" i="9"/>
  <c r="S31" i="9"/>
  <c r="T31" i="9"/>
  <c r="U31" i="9"/>
  <c r="P32" i="9"/>
  <c r="Q32" i="9"/>
  <c r="R32" i="9"/>
  <c r="S32" i="9"/>
  <c r="T32" i="9"/>
  <c r="U32" i="9"/>
  <c r="P33" i="9"/>
  <c r="Q33" i="9"/>
  <c r="R33" i="9"/>
  <c r="S33" i="9"/>
  <c r="T33" i="9"/>
  <c r="U33" i="9"/>
  <c r="P34" i="9"/>
  <c r="Q34" i="9"/>
  <c r="R34" i="9"/>
  <c r="S34" i="9"/>
  <c r="T34" i="9"/>
  <c r="U34" i="9"/>
  <c r="P35" i="9"/>
  <c r="Q35" i="9"/>
  <c r="R35" i="9"/>
  <c r="S35" i="9"/>
  <c r="T35" i="9"/>
  <c r="U35" i="9"/>
  <c r="P36" i="9"/>
  <c r="Q36" i="9"/>
  <c r="R36" i="9"/>
  <c r="S36" i="9"/>
  <c r="T36" i="9"/>
  <c r="U36" i="9"/>
  <c r="P37" i="9"/>
  <c r="Q37" i="9"/>
  <c r="R37" i="9"/>
  <c r="S37" i="9"/>
  <c r="T37" i="9"/>
  <c r="U37" i="9"/>
  <c r="P38" i="9"/>
  <c r="Q38" i="9"/>
  <c r="R38" i="9"/>
  <c r="S38" i="9"/>
  <c r="T38" i="9"/>
  <c r="U38" i="9"/>
  <c r="P39" i="9"/>
  <c r="Q39" i="9"/>
  <c r="R39" i="9"/>
  <c r="S39" i="9"/>
  <c r="T39" i="9"/>
  <c r="U39" i="9"/>
  <c r="P40" i="9"/>
  <c r="Q40" i="9"/>
  <c r="R40" i="9"/>
  <c r="S40" i="9"/>
  <c r="T40" i="9"/>
  <c r="U40" i="9"/>
  <c r="P41" i="9"/>
  <c r="Q41" i="9"/>
  <c r="R41" i="9"/>
  <c r="S41" i="9"/>
  <c r="T41" i="9"/>
  <c r="U41" i="9"/>
  <c r="P42" i="9"/>
  <c r="Q42" i="9"/>
  <c r="R42" i="9"/>
  <c r="S42" i="9"/>
  <c r="T42" i="9"/>
  <c r="U42" i="9"/>
  <c r="P43" i="9"/>
  <c r="Q43" i="9"/>
  <c r="R43" i="9"/>
  <c r="S43" i="9"/>
  <c r="T43" i="9"/>
  <c r="U43" i="9"/>
  <c r="P44" i="9"/>
  <c r="Q44" i="9"/>
  <c r="R44" i="9"/>
  <c r="S44" i="9"/>
  <c r="T44" i="9"/>
  <c r="U44" i="9"/>
  <c r="P45" i="9"/>
  <c r="Q45" i="9"/>
  <c r="R45" i="9"/>
  <c r="S45" i="9"/>
  <c r="T45" i="9"/>
  <c r="U45" i="9"/>
  <c r="P46" i="9"/>
  <c r="Q46" i="9"/>
  <c r="R46" i="9"/>
  <c r="S46" i="9"/>
  <c r="T46" i="9"/>
  <c r="U46" i="9"/>
  <c r="Q2" i="9"/>
  <c r="R2" i="9"/>
  <c r="S2" i="9"/>
  <c r="T2" i="9"/>
  <c r="U2" i="9"/>
  <c r="P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B3" i="9"/>
  <c r="C3" i="9"/>
  <c r="D3" i="9"/>
  <c r="E3" i="9"/>
  <c r="F3" i="9"/>
  <c r="G3" i="9"/>
  <c r="H3" i="9"/>
  <c r="I3" i="9"/>
  <c r="B4" i="9"/>
  <c r="C4" i="9"/>
  <c r="D4" i="9"/>
  <c r="E4" i="9"/>
  <c r="F4" i="9"/>
  <c r="G4" i="9"/>
  <c r="H4" i="9"/>
  <c r="I4" i="9"/>
  <c r="B5" i="9"/>
  <c r="C5" i="9"/>
  <c r="D5" i="9"/>
  <c r="E5" i="9"/>
  <c r="F5" i="9"/>
  <c r="G5" i="9"/>
  <c r="H5" i="9"/>
  <c r="I5" i="9"/>
  <c r="B6" i="9"/>
  <c r="C6" i="9"/>
  <c r="D6" i="9"/>
  <c r="E6" i="9"/>
  <c r="F6" i="9"/>
  <c r="G6" i="9"/>
  <c r="H6" i="9"/>
  <c r="I6" i="9"/>
  <c r="B7" i="9"/>
  <c r="C7" i="9"/>
  <c r="D7" i="9"/>
  <c r="E7" i="9"/>
  <c r="F7" i="9"/>
  <c r="G7" i="9"/>
  <c r="H7" i="9"/>
  <c r="I7" i="9"/>
  <c r="B8" i="9"/>
  <c r="C8" i="9"/>
  <c r="D8" i="9"/>
  <c r="E8" i="9"/>
  <c r="F8" i="9"/>
  <c r="G8" i="9"/>
  <c r="H8" i="9"/>
  <c r="I8" i="9"/>
  <c r="B9" i="9"/>
  <c r="C9" i="9"/>
  <c r="D9" i="9"/>
  <c r="E9" i="9"/>
  <c r="F9" i="9"/>
  <c r="G9" i="9"/>
  <c r="H9" i="9"/>
  <c r="I9" i="9"/>
  <c r="B10" i="9"/>
  <c r="C10" i="9"/>
  <c r="D10" i="9"/>
  <c r="E10" i="9"/>
  <c r="F10" i="9"/>
  <c r="G10" i="9"/>
  <c r="H10" i="9"/>
  <c r="I10" i="9"/>
  <c r="B11" i="9"/>
  <c r="C11" i="9"/>
  <c r="D11" i="9"/>
  <c r="E11" i="9"/>
  <c r="F11" i="9"/>
  <c r="G11" i="9"/>
  <c r="H11" i="9"/>
  <c r="I11" i="9"/>
  <c r="B12" i="9"/>
  <c r="C12" i="9"/>
  <c r="D12" i="9"/>
  <c r="E12" i="9"/>
  <c r="F12" i="9"/>
  <c r="G12" i="9"/>
  <c r="H12" i="9"/>
  <c r="I12" i="9"/>
  <c r="B13" i="9"/>
  <c r="C13" i="9"/>
  <c r="D13" i="9"/>
  <c r="E13" i="9"/>
  <c r="F13" i="9"/>
  <c r="G13" i="9"/>
  <c r="H13" i="9"/>
  <c r="I13" i="9"/>
  <c r="B14" i="9"/>
  <c r="C14" i="9"/>
  <c r="D14" i="9"/>
  <c r="E14" i="9"/>
  <c r="F14" i="9"/>
  <c r="G14" i="9"/>
  <c r="H14" i="9"/>
  <c r="I14" i="9"/>
  <c r="B15" i="9"/>
  <c r="C15" i="9"/>
  <c r="D15" i="9"/>
  <c r="E15" i="9"/>
  <c r="F15" i="9"/>
  <c r="G15" i="9"/>
  <c r="H15" i="9"/>
  <c r="I15" i="9"/>
  <c r="B16" i="9"/>
  <c r="C16" i="9"/>
  <c r="D16" i="9"/>
  <c r="E16" i="9"/>
  <c r="F16" i="9"/>
  <c r="G16" i="9"/>
  <c r="H16" i="9"/>
  <c r="I16" i="9"/>
  <c r="B17" i="9"/>
  <c r="C17" i="9"/>
  <c r="D17" i="9"/>
  <c r="E17" i="9"/>
  <c r="F17" i="9"/>
  <c r="G17" i="9"/>
  <c r="H17" i="9"/>
  <c r="I17" i="9"/>
  <c r="B18" i="9"/>
  <c r="C18" i="9"/>
  <c r="D18" i="9"/>
  <c r="E18" i="9"/>
  <c r="F18" i="9"/>
  <c r="G18" i="9"/>
  <c r="H18" i="9"/>
  <c r="I18" i="9"/>
  <c r="B19" i="9"/>
  <c r="C19" i="9"/>
  <c r="D19" i="9"/>
  <c r="E19" i="9"/>
  <c r="F19" i="9"/>
  <c r="G19" i="9"/>
  <c r="H19" i="9"/>
  <c r="I19" i="9"/>
  <c r="B20" i="9"/>
  <c r="C20" i="9"/>
  <c r="D20" i="9"/>
  <c r="E20" i="9"/>
  <c r="F20" i="9"/>
  <c r="G20" i="9"/>
  <c r="H20" i="9"/>
  <c r="I20" i="9"/>
  <c r="B21" i="9"/>
  <c r="C21" i="9"/>
  <c r="D21" i="9"/>
  <c r="E21" i="9"/>
  <c r="F21" i="9"/>
  <c r="G21" i="9"/>
  <c r="H21" i="9"/>
  <c r="I21" i="9"/>
  <c r="B22" i="9"/>
  <c r="C22" i="9"/>
  <c r="D22" i="9"/>
  <c r="E22" i="9"/>
  <c r="F22" i="9"/>
  <c r="G22" i="9"/>
  <c r="H22" i="9"/>
  <c r="I22" i="9"/>
  <c r="B23" i="9"/>
  <c r="C23" i="9"/>
  <c r="D23" i="9"/>
  <c r="E23" i="9"/>
  <c r="F23" i="9"/>
  <c r="G23" i="9"/>
  <c r="H23" i="9"/>
  <c r="I23" i="9"/>
  <c r="B24" i="9"/>
  <c r="C24" i="9"/>
  <c r="D24" i="9"/>
  <c r="E24" i="9"/>
  <c r="F24" i="9"/>
  <c r="G24" i="9"/>
  <c r="H24" i="9"/>
  <c r="I24" i="9"/>
  <c r="B25" i="9"/>
  <c r="C25" i="9"/>
  <c r="D25" i="9"/>
  <c r="E25" i="9"/>
  <c r="F25" i="9"/>
  <c r="G25" i="9"/>
  <c r="H25" i="9"/>
  <c r="I25" i="9"/>
  <c r="B26" i="9"/>
  <c r="C26" i="9"/>
  <c r="D26" i="9"/>
  <c r="E26" i="9"/>
  <c r="F26" i="9"/>
  <c r="G26" i="9"/>
  <c r="H26" i="9"/>
  <c r="I26" i="9"/>
  <c r="B27" i="9"/>
  <c r="C27" i="9"/>
  <c r="D27" i="9"/>
  <c r="E27" i="9"/>
  <c r="F27" i="9"/>
  <c r="G27" i="9"/>
  <c r="H27" i="9"/>
  <c r="I27" i="9"/>
  <c r="B28" i="9"/>
  <c r="C28" i="9"/>
  <c r="D28" i="9"/>
  <c r="E28" i="9"/>
  <c r="F28" i="9"/>
  <c r="G28" i="9"/>
  <c r="H28" i="9"/>
  <c r="I28" i="9"/>
  <c r="B29" i="9"/>
  <c r="C29" i="9"/>
  <c r="D29" i="9"/>
  <c r="E29" i="9"/>
  <c r="F29" i="9"/>
  <c r="G29" i="9"/>
  <c r="H29" i="9"/>
  <c r="I29" i="9"/>
  <c r="B30" i="9"/>
  <c r="C30" i="9"/>
  <c r="D30" i="9"/>
  <c r="E30" i="9"/>
  <c r="F30" i="9"/>
  <c r="G30" i="9"/>
  <c r="H30" i="9"/>
  <c r="I30" i="9"/>
  <c r="B31" i="9"/>
  <c r="C31" i="9"/>
  <c r="D31" i="9"/>
  <c r="E31" i="9"/>
  <c r="F31" i="9"/>
  <c r="G31" i="9"/>
  <c r="H31" i="9"/>
  <c r="I31" i="9"/>
  <c r="B32" i="9"/>
  <c r="C32" i="9"/>
  <c r="D32" i="9"/>
  <c r="E32" i="9"/>
  <c r="F32" i="9"/>
  <c r="G32" i="9"/>
  <c r="H32" i="9"/>
  <c r="I32" i="9"/>
  <c r="B33" i="9"/>
  <c r="C33" i="9"/>
  <c r="D33" i="9"/>
  <c r="E33" i="9"/>
  <c r="F33" i="9"/>
  <c r="G33" i="9"/>
  <c r="H33" i="9"/>
  <c r="I33" i="9"/>
  <c r="B34" i="9"/>
  <c r="C34" i="9"/>
  <c r="D34" i="9"/>
  <c r="E34" i="9"/>
  <c r="F34" i="9"/>
  <c r="G34" i="9"/>
  <c r="H34" i="9"/>
  <c r="I34" i="9"/>
  <c r="B35" i="9"/>
  <c r="C35" i="9"/>
  <c r="D35" i="9"/>
  <c r="E35" i="9"/>
  <c r="F35" i="9"/>
  <c r="G35" i="9"/>
  <c r="H35" i="9"/>
  <c r="I35" i="9"/>
  <c r="B36" i="9"/>
  <c r="C36" i="9"/>
  <c r="D36" i="9"/>
  <c r="E36" i="9"/>
  <c r="F36" i="9"/>
  <c r="G36" i="9"/>
  <c r="H36" i="9"/>
  <c r="I36" i="9"/>
  <c r="B37" i="9"/>
  <c r="C37" i="9"/>
  <c r="D37" i="9"/>
  <c r="E37" i="9"/>
  <c r="F37" i="9"/>
  <c r="G37" i="9"/>
  <c r="H37" i="9"/>
  <c r="I37" i="9"/>
  <c r="B38" i="9"/>
  <c r="C38" i="9"/>
  <c r="D38" i="9"/>
  <c r="E38" i="9"/>
  <c r="F38" i="9"/>
  <c r="G38" i="9"/>
  <c r="H38" i="9"/>
  <c r="I38" i="9"/>
  <c r="B39" i="9"/>
  <c r="C39" i="9"/>
  <c r="D39" i="9"/>
  <c r="E39" i="9"/>
  <c r="F39" i="9"/>
  <c r="G39" i="9"/>
  <c r="H39" i="9"/>
  <c r="I39" i="9"/>
  <c r="B40" i="9"/>
  <c r="C40" i="9"/>
  <c r="D40" i="9"/>
  <c r="E40" i="9"/>
  <c r="F40" i="9"/>
  <c r="G40" i="9"/>
  <c r="H40" i="9"/>
  <c r="I40" i="9"/>
  <c r="B41" i="9"/>
  <c r="C41" i="9"/>
  <c r="D41" i="9"/>
  <c r="E41" i="9"/>
  <c r="F41" i="9"/>
  <c r="G41" i="9"/>
  <c r="H41" i="9"/>
  <c r="I41" i="9"/>
  <c r="B42" i="9"/>
  <c r="C42" i="9"/>
  <c r="D42" i="9"/>
  <c r="E42" i="9"/>
  <c r="F42" i="9"/>
  <c r="G42" i="9"/>
  <c r="H42" i="9"/>
  <c r="I42" i="9"/>
  <c r="B43" i="9"/>
  <c r="C43" i="9"/>
  <c r="D43" i="9"/>
  <c r="E43" i="9"/>
  <c r="F43" i="9"/>
  <c r="G43" i="9"/>
  <c r="H43" i="9"/>
  <c r="I43" i="9"/>
  <c r="B44" i="9"/>
  <c r="C44" i="9"/>
  <c r="D44" i="9"/>
  <c r="E44" i="9"/>
  <c r="F44" i="9"/>
  <c r="G44" i="9"/>
  <c r="H44" i="9"/>
  <c r="I44" i="9"/>
  <c r="B45" i="9"/>
  <c r="C45" i="9"/>
  <c r="D45" i="9"/>
  <c r="E45" i="9"/>
  <c r="F45" i="9"/>
  <c r="G45" i="9"/>
  <c r="H45" i="9"/>
  <c r="I45" i="9"/>
  <c r="B46" i="9"/>
  <c r="C46" i="9"/>
  <c r="D46" i="9"/>
  <c r="E46" i="9"/>
  <c r="F46" i="9"/>
  <c r="G46" i="9"/>
  <c r="H46" i="9"/>
  <c r="I46" i="9"/>
  <c r="M2" i="9"/>
  <c r="I2" i="9"/>
  <c r="H2" i="9"/>
  <c r="G2" i="9"/>
  <c r="F2" i="9"/>
  <c r="E2" i="9"/>
  <c r="D2" i="9"/>
  <c r="C2" i="9"/>
  <c r="B2" i="9"/>
  <c r="A41" i="9"/>
  <c r="AO41" i="9" s="1" a="1"/>
  <c r="AO41" i="9" s="1"/>
  <c r="A42" i="9"/>
  <c r="AK42" i="9" s="1" a="1"/>
  <c r="AK42" i="9" s="1"/>
  <c r="A43" i="9"/>
  <c r="AE43" i="9" s="1" a="1"/>
  <c r="AE43" i="9" s="1"/>
  <c r="A44" i="9"/>
  <c r="AF44" i="9" s="1" a="1"/>
  <c r="AF44" i="9" s="1"/>
  <c r="A45" i="9"/>
  <c r="AR45" i="9" s="1"/>
  <c r="A46" i="9"/>
  <c r="AL46" i="9" s="1" a="1"/>
  <c r="AL46" i="9" s="1"/>
  <c r="A32" i="9"/>
  <c r="AN32" i="9" s="1" a="1"/>
  <c r="AN32" i="9" s="1"/>
  <c r="A33" i="9"/>
  <c r="AK33" i="9" s="1" a="1"/>
  <c r="AK33" i="9" s="1"/>
  <c r="A34" i="9"/>
  <c r="AD34" i="9" s="1" a="1"/>
  <c r="AD34" i="9" s="1"/>
  <c r="A35" i="9"/>
  <c r="AG35" i="9" s="1" a="1"/>
  <c r="AG35" i="9" s="1"/>
  <c r="A36" i="9"/>
  <c r="AL36" i="9" s="1" a="1"/>
  <c r="AL36" i="9" s="1"/>
  <c r="A37" i="9"/>
  <c r="AE37" i="9" s="1" a="1"/>
  <c r="AE37" i="9" s="1"/>
  <c r="A38" i="9"/>
  <c r="AH38" i="9" s="1" a="1"/>
  <c r="AH38" i="9" s="1"/>
  <c r="A39" i="9"/>
  <c r="AF39" i="9" s="1" a="1"/>
  <c r="AF39" i="9" s="1"/>
  <c r="A40" i="9"/>
  <c r="AD40" i="9" s="1" a="1"/>
  <c r="AD40" i="9" s="1"/>
  <c r="A3" i="9"/>
  <c r="AN3" i="9" s="1" a="1"/>
  <c r="AN3" i="9" s="1"/>
  <c r="A4" i="9"/>
  <c r="AN4" i="9" s="1" a="1"/>
  <c r="AN4" i="9" s="1"/>
  <c r="A5" i="9"/>
  <c r="A6" i="9"/>
  <c r="AE6" i="9" s="1" a="1"/>
  <c r="AE6" i="9" s="1"/>
  <c r="A7" i="9"/>
  <c r="A8" i="9"/>
  <c r="A9" i="9"/>
  <c r="AE9" i="9" s="1" a="1"/>
  <c r="AE9" i="9" s="1"/>
  <c r="A10" i="9"/>
  <c r="A11" i="9"/>
  <c r="AK11" i="9" s="1" a="1"/>
  <c r="AK11" i="9" s="1"/>
  <c r="A12" i="9"/>
  <c r="AH12" i="9" s="1" a="1"/>
  <c r="AH12" i="9" s="1"/>
  <c r="A13" i="9"/>
  <c r="AD13" i="9" s="1" a="1"/>
  <c r="AD13" i="9" s="1"/>
  <c r="A14" i="9"/>
  <c r="A15" i="9"/>
  <c r="AR15" i="9" s="1"/>
  <c r="A16" i="9"/>
  <c r="AP16" i="9" s="1" a="1"/>
  <c r="AP16" i="9" s="1"/>
  <c r="A17" i="9"/>
  <c r="AN17" i="9" s="1" a="1"/>
  <c r="AN17" i="9" s="1"/>
  <c r="A18" i="9"/>
  <c r="AK18" i="9" s="1" a="1"/>
  <c r="AK18" i="9" s="1"/>
  <c r="A19" i="9"/>
  <c r="AK19" i="9" s="1" a="1"/>
  <c r="AK19" i="9" s="1"/>
  <c r="A20" i="9"/>
  <c r="AP20" i="9" s="1" a="1"/>
  <c r="AP20" i="9" s="1"/>
  <c r="A21" i="9"/>
  <c r="AF21" i="9" s="1" a="1"/>
  <c r="AF21" i="9" s="1"/>
  <c r="A22" i="9"/>
  <c r="AD22" i="9" s="1" a="1"/>
  <c r="AD22" i="9" s="1"/>
  <c r="A23" i="9"/>
  <c r="A24" i="9"/>
  <c r="AD24" i="9" s="1" a="1"/>
  <c r="AD24" i="9" s="1"/>
  <c r="A25" i="9"/>
  <c r="AF25" i="9" s="1" a="1"/>
  <c r="AF25" i="9" s="1"/>
  <c r="A26" i="9"/>
  <c r="A27" i="9"/>
  <c r="AK27" i="9" s="1" a="1"/>
  <c r="AK27" i="9" s="1"/>
  <c r="A28" i="9"/>
  <c r="AH28" i="9" s="1" a="1"/>
  <c r="AH28" i="9" s="1"/>
  <c r="A29" i="9"/>
  <c r="AD29" i="9" s="1" a="1"/>
  <c r="AD29" i="9" s="1"/>
  <c r="A30" i="9"/>
  <c r="AO30" i="9" s="1" a="1"/>
  <c r="AO30" i="9" s="1"/>
  <c r="A31" i="9"/>
  <c r="AI31" i="9" s="1" a="1"/>
  <c r="AI31" i="9" s="1"/>
  <c r="A2" i="9"/>
  <c r="AD2" i="9" s="1" a="1"/>
  <c r="AD2" i="9" s="1"/>
  <c r="W143" i="33" a="1"/>
  <c r="W143" i="33" s="1"/>
  <c r="B108" i="6"/>
  <c r="C108" i="6"/>
  <c r="D108" i="6"/>
  <c r="B109" i="6"/>
  <c r="C109" i="6"/>
  <c r="D109" i="6"/>
  <c r="B110" i="6"/>
  <c r="C110" i="6"/>
  <c r="D110" i="6"/>
  <c r="B111" i="6"/>
  <c r="C111" i="6"/>
  <c r="D111" i="6"/>
  <c r="B112" i="6"/>
  <c r="C112" i="6"/>
  <c r="D112" i="6"/>
  <c r="B113" i="6"/>
  <c r="C113" i="6"/>
  <c r="D113" i="6"/>
  <c r="B114" i="6"/>
  <c r="C114" i="6"/>
  <c r="D114" i="6"/>
  <c r="B115" i="6"/>
  <c r="C115" i="6"/>
  <c r="D115" i="6"/>
  <c r="B116" i="6"/>
  <c r="C116" i="6"/>
  <c r="D116" i="6"/>
  <c r="B117" i="6"/>
  <c r="C117" i="6"/>
  <c r="D117" i="6"/>
  <c r="B118" i="6"/>
  <c r="C118" i="6"/>
  <c r="D118" i="6"/>
  <c r="B119" i="6"/>
  <c r="C119" i="6"/>
  <c r="D119" i="6"/>
  <c r="B120" i="6"/>
  <c r="C120" i="6"/>
  <c r="D120" i="6"/>
  <c r="B121" i="6"/>
  <c r="C121" i="6"/>
  <c r="D121" i="6"/>
  <c r="B122" i="6"/>
  <c r="C122" i="6"/>
  <c r="D122" i="6"/>
  <c r="B123" i="6"/>
  <c r="C123" i="6"/>
  <c r="D123" i="6"/>
  <c r="B124" i="6"/>
  <c r="C124" i="6"/>
  <c r="D124" i="6"/>
  <c r="B125" i="6"/>
  <c r="C125" i="6"/>
  <c r="D125" i="6"/>
  <c r="B126" i="6"/>
  <c r="C126" i="6"/>
  <c r="D126" i="6"/>
  <c r="B127" i="6"/>
  <c r="C127" i="6"/>
  <c r="D127" i="6"/>
  <c r="B128" i="6"/>
  <c r="C128" i="6"/>
  <c r="D128" i="6"/>
  <c r="B129" i="6"/>
  <c r="C129" i="6"/>
  <c r="D129" i="6"/>
  <c r="B130" i="6"/>
  <c r="C130" i="6"/>
  <c r="D130" i="6"/>
  <c r="B131" i="6"/>
  <c r="C131" i="6"/>
  <c r="D131" i="6"/>
  <c r="B132" i="6"/>
  <c r="C132" i="6"/>
  <c r="D132" i="6"/>
  <c r="B133" i="6"/>
  <c r="C133" i="6"/>
  <c r="D133" i="6"/>
  <c r="B134" i="6"/>
  <c r="C134" i="6"/>
  <c r="D134" i="6"/>
  <c r="B135" i="6"/>
  <c r="C135" i="6"/>
  <c r="D135" i="6"/>
  <c r="B136" i="6"/>
  <c r="C136" i="6"/>
  <c r="D136" i="6"/>
  <c r="B137" i="6"/>
  <c r="C137" i="6"/>
  <c r="D137" i="6"/>
  <c r="B138" i="6"/>
  <c r="C138" i="6"/>
  <c r="D138" i="6"/>
  <c r="B139" i="6"/>
  <c r="C139" i="6"/>
  <c r="D139" i="6"/>
  <c r="B140" i="6"/>
  <c r="C140" i="6"/>
  <c r="D140" i="6"/>
  <c r="B141" i="6"/>
  <c r="C141" i="6"/>
  <c r="D141" i="6"/>
  <c r="B142" i="6"/>
  <c r="C142" i="6"/>
  <c r="D142" i="6"/>
  <c r="B143" i="6"/>
  <c r="C143" i="6"/>
  <c r="D143" i="6"/>
  <c r="B144" i="6"/>
  <c r="C144" i="6"/>
  <c r="D144" i="6"/>
  <c r="B145" i="6"/>
  <c r="C145" i="6"/>
  <c r="D145" i="6"/>
  <c r="B146" i="6"/>
  <c r="C146" i="6"/>
  <c r="D146" i="6"/>
  <c r="B147" i="6"/>
  <c r="C147" i="6"/>
  <c r="D147" i="6"/>
  <c r="B148" i="6"/>
  <c r="C148" i="6"/>
  <c r="D148" i="6"/>
  <c r="B149" i="6"/>
  <c r="C149" i="6"/>
  <c r="D149" i="6"/>
  <c r="B150" i="6"/>
  <c r="C150" i="6"/>
  <c r="D150" i="6"/>
  <c r="B151" i="6"/>
  <c r="C151" i="6"/>
  <c r="D151" i="6"/>
  <c r="FN168" i="33" l="1"/>
  <c r="FM168" i="33"/>
  <c r="FK185" i="33"/>
  <c r="FP168" i="33"/>
  <c r="FO168" i="33"/>
  <c r="AP71" i="21" a="1"/>
  <c r="AP71" i="21" s="1"/>
  <c r="AF71" i="21" a="1"/>
  <c r="AF71" i="21" s="1"/>
  <c r="AG71" i="21" a="1"/>
  <c r="AG71" i="21" s="1"/>
  <c r="AI71" i="21" a="1"/>
  <c r="AI71" i="21" s="1"/>
  <c r="AD71" i="21" a="1"/>
  <c r="AD71" i="21" s="1"/>
  <c r="AK71" i="21" a="1"/>
  <c r="AK71" i="21" s="1"/>
  <c r="AL71" i="21" a="1"/>
  <c r="AL71" i="21" s="1"/>
  <c r="AO71" i="21" a="1"/>
  <c r="AO71" i="21" s="1"/>
  <c r="AM71" i="21" a="1"/>
  <c r="AM71" i="21" s="1"/>
  <c r="AN71" i="21" a="1"/>
  <c r="AN71" i="21" s="1"/>
  <c r="AE71" i="21" a="1"/>
  <c r="AE71" i="21" s="1"/>
  <c r="AH71" i="21" a="1"/>
  <c r="AH71" i="21" s="1"/>
  <c r="AF69" i="21" a="1"/>
  <c r="AF69" i="21" s="1"/>
  <c r="AG69" i="21" a="1"/>
  <c r="AG69" i="21" s="1"/>
  <c r="AH69" i="21" a="1"/>
  <c r="AH69" i="21" s="1"/>
  <c r="AK69" i="21" a="1"/>
  <c r="AK69" i="21" s="1"/>
  <c r="AI69" i="21" a="1"/>
  <c r="AI69" i="21" s="1"/>
  <c r="AM69" i="21" a="1"/>
  <c r="AM69" i="21" s="1"/>
  <c r="AN69" i="21" a="1"/>
  <c r="AN69" i="21" s="1"/>
  <c r="AO69" i="21" a="1"/>
  <c r="AO69" i="21" s="1"/>
  <c r="AD69" i="21" a="1"/>
  <c r="AD69" i="21" s="1"/>
  <c r="AP69" i="21" a="1"/>
  <c r="AP69" i="21" s="1"/>
  <c r="AL69" i="21" a="1"/>
  <c r="AL69" i="21" s="1"/>
  <c r="AE69" i="21" a="1"/>
  <c r="AE69" i="21" s="1"/>
  <c r="AD67" i="21" a="1"/>
  <c r="AD67" i="21" s="1"/>
  <c r="AK67" i="21" a="1"/>
  <c r="AK67" i="21" s="1"/>
  <c r="AL67" i="21" a="1"/>
  <c r="AL67" i="21" s="1"/>
  <c r="AE67" i="21" a="1"/>
  <c r="AE67" i="21" s="1"/>
  <c r="AM67" i="21" a="1"/>
  <c r="AM67" i="21" s="1"/>
  <c r="AF67" i="21" a="1"/>
  <c r="AF67" i="21" s="1"/>
  <c r="AG67" i="21" a="1"/>
  <c r="AG67" i="21" s="1"/>
  <c r="AN67" i="21" a="1"/>
  <c r="AN67" i="21" s="1"/>
  <c r="AH67" i="21" a="1"/>
  <c r="AH67" i="21" s="1"/>
  <c r="AI67" i="21" a="1"/>
  <c r="AI67" i="21" s="1"/>
  <c r="AO67" i="21" a="1"/>
  <c r="AO67" i="21" s="1"/>
  <c r="AP67" i="21" a="1"/>
  <c r="AP67" i="21" s="1"/>
  <c r="AG65" i="21" a="1"/>
  <c r="AG65" i="21" s="1"/>
  <c r="AH65" i="21" a="1"/>
  <c r="AH65" i="21" s="1"/>
  <c r="AE65" i="21" a="1"/>
  <c r="AE65" i="21" s="1"/>
  <c r="AM65" i="21" a="1"/>
  <c r="AM65" i="21" s="1"/>
  <c r="AN65" i="21" a="1"/>
  <c r="AN65" i="21" s="1"/>
  <c r="AK65" i="21" a="1"/>
  <c r="AK65" i="21" s="1"/>
  <c r="AF65" i="21" a="1"/>
  <c r="AF65" i="21" s="1"/>
  <c r="AL65" i="21" a="1"/>
  <c r="AL65" i="21" s="1"/>
  <c r="AP65" i="21" a="1"/>
  <c r="AP65" i="21" s="1"/>
  <c r="AI65" i="21" a="1"/>
  <c r="AI65" i="21" s="1"/>
  <c r="AD65" i="21" a="1"/>
  <c r="AD65" i="21" s="1"/>
  <c r="AO65" i="21" a="1"/>
  <c r="AO65" i="21" s="1"/>
  <c r="AK63" i="21" a="1"/>
  <c r="AK63" i="21" s="1"/>
  <c r="AE63" i="21" a="1"/>
  <c r="AE63" i="21" s="1"/>
  <c r="AO63" i="21" a="1"/>
  <c r="AO63" i="21" s="1"/>
  <c r="AH63" i="21" a="1"/>
  <c r="AH63" i="21" s="1"/>
  <c r="AP63" i="21" a="1"/>
  <c r="AP63" i="21" s="1"/>
  <c r="AI63" i="21" a="1"/>
  <c r="AI63" i="21" s="1"/>
  <c r="AG63" i="21" a="1"/>
  <c r="AG63" i="21" s="1"/>
  <c r="AD63" i="21" a="1"/>
  <c r="AD63" i="21" s="1"/>
  <c r="AN63" i="21" a="1"/>
  <c r="AN63" i="21" s="1"/>
  <c r="AL63" i="21" a="1"/>
  <c r="AL63" i="21" s="1"/>
  <c r="AM63" i="21" a="1"/>
  <c r="AM63" i="21" s="1"/>
  <c r="AF63" i="21" a="1"/>
  <c r="AF63" i="21" s="1"/>
  <c r="AM61" i="21" a="1"/>
  <c r="AM61" i="21" s="1"/>
  <c r="AD61" i="21" a="1"/>
  <c r="AD61" i="21" s="1"/>
  <c r="AK61" i="21" a="1"/>
  <c r="AK61" i="21" s="1"/>
  <c r="AL61" i="21" a="1"/>
  <c r="AL61" i="21" s="1"/>
  <c r="AF61" i="21" a="1"/>
  <c r="AF61" i="21" s="1"/>
  <c r="AG61" i="21" a="1"/>
  <c r="AG61" i="21" s="1"/>
  <c r="AI61" i="21" a="1"/>
  <c r="AI61" i="21" s="1"/>
  <c r="AN61" i="21" a="1"/>
  <c r="AN61" i="21" s="1"/>
  <c r="AO61" i="21" a="1"/>
  <c r="AO61" i="21" s="1"/>
  <c r="AP61" i="21" a="1"/>
  <c r="AP61" i="21" s="1"/>
  <c r="AE61" i="21" a="1"/>
  <c r="AE61" i="21" s="1"/>
  <c r="AH61" i="21" a="1"/>
  <c r="AH61" i="21" s="1"/>
  <c r="AD59" i="21" a="1"/>
  <c r="AD59" i="21" s="1"/>
  <c r="AH59" i="21" a="1"/>
  <c r="AH59" i="21" s="1"/>
  <c r="AI59" i="21" a="1"/>
  <c r="AI59" i="21" s="1"/>
  <c r="AK59" i="21" a="1"/>
  <c r="AK59" i="21" s="1"/>
  <c r="AL59" i="21" a="1"/>
  <c r="AL59" i="21" s="1"/>
  <c r="AM59" i="21" a="1"/>
  <c r="AM59" i="21" s="1"/>
  <c r="AN59" i="21" a="1"/>
  <c r="AN59" i="21" s="1"/>
  <c r="AP59" i="21" a="1"/>
  <c r="AP59" i="21" s="1"/>
  <c r="AE59" i="21" a="1"/>
  <c r="AE59" i="21" s="1"/>
  <c r="AG59" i="21" a="1"/>
  <c r="AG59" i="21" s="1"/>
  <c r="AO59" i="21" a="1"/>
  <c r="AO59" i="21" s="1"/>
  <c r="AF59" i="21" a="1"/>
  <c r="AF59" i="21" s="1"/>
  <c r="AN57" i="21" a="1"/>
  <c r="AN57" i="21" s="1"/>
  <c r="AO57" i="21" a="1"/>
  <c r="AO57" i="21" s="1"/>
  <c r="AP57" i="21" a="1"/>
  <c r="AP57" i="21" s="1"/>
  <c r="AE57" i="21" a="1"/>
  <c r="AE57" i="21" s="1"/>
  <c r="AF57" i="21" a="1"/>
  <c r="AF57" i="21" s="1"/>
  <c r="AG57" i="21" a="1"/>
  <c r="AG57" i="21" s="1"/>
  <c r="AH57" i="21" a="1"/>
  <c r="AH57" i="21" s="1"/>
  <c r="AI57" i="21" a="1"/>
  <c r="AI57" i="21" s="1"/>
  <c r="AM57" i="21" a="1"/>
  <c r="AM57" i="21" s="1"/>
  <c r="AD57" i="21" a="1"/>
  <c r="AD57" i="21" s="1"/>
  <c r="AK57" i="21" a="1"/>
  <c r="AK57" i="21" s="1"/>
  <c r="AL57" i="21" a="1"/>
  <c r="AL57" i="21" s="1"/>
  <c r="AF55" i="21" a="1"/>
  <c r="AF55" i="21" s="1"/>
  <c r="AG55" i="21" a="1"/>
  <c r="AG55" i="21" s="1"/>
  <c r="AH55" i="21" a="1"/>
  <c r="AH55" i="21" s="1"/>
  <c r="AI55" i="21" a="1"/>
  <c r="AI55" i="21" s="1"/>
  <c r="AK55" i="21" a="1"/>
  <c r="AK55" i="21" s="1"/>
  <c r="AM55" i="21" a="1"/>
  <c r="AM55" i="21" s="1"/>
  <c r="AN55" i="21" a="1"/>
  <c r="AN55" i="21" s="1"/>
  <c r="AO55" i="21" a="1"/>
  <c r="AO55" i="21" s="1"/>
  <c r="AP55" i="21" a="1"/>
  <c r="AP55" i="21" s="1"/>
  <c r="AD55" i="21" a="1"/>
  <c r="AD55" i="21" s="1"/>
  <c r="AE55" i="21" a="1"/>
  <c r="AE55" i="21" s="1"/>
  <c r="AL55" i="21" a="1"/>
  <c r="AL55" i="21" s="1"/>
  <c r="AN53" i="21" a="1"/>
  <c r="AN53" i="21" s="1"/>
  <c r="AO53" i="21" a="1"/>
  <c r="AO53" i="21" s="1"/>
  <c r="AP53" i="21" a="1"/>
  <c r="AP53" i="21" s="1"/>
  <c r="AE53" i="21" a="1"/>
  <c r="AE53" i="21" s="1"/>
  <c r="AF53" i="21" a="1"/>
  <c r="AF53" i="21" s="1"/>
  <c r="AG53" i="21" a="1"/>
  <c r="AG53" i="21" s="1"/>
  <c r="AH53" i="21" a="1"/>
  <c r="AH53" i="21" s="1"/>
  <c r="AK53" i="21" a="1"/>
  <c r="AK53" i="21" s="1"/>
  <c r="AL53" i="21" a="1"/>
  <c r="AL53" i="21" s="1"/>
  <c r="AD53" i="21" a="1"/>
  <c r="AD53" i="21" s="1"/>
  <c r="AI53" i="21" a="1"/>
  <c r="AI53" i="21" s="1"/>
  <c r="AM53" i="21" a="1"/>
  <c r="AM53" i="21" s="1"/>
  <c r="AR51" i="21"/>
  <c r="AE51" i="21" a="1"/>
  <c r="AE51" i="21" s="1"/>
  <c r="AF51" i="21" a="1"/>
  <c r="AF51" i="21" s="1"/>
  <c r="AL51" i="21" a="1"/>
  <c r="AL51" i="21" s="1"/>
  <c r="AM51" i="21" a="1"/>
  <c r="AM51" i="21" s="1"/>
  <c r="AN51" i="21" a="1"/>
  <c r="AN51" i="21" s="1"/>
  <c r="AO51" i="21" a="1"/>
  <c r="AO51" i="21" s="1"/>
  <c r="AP51" i="21" a="1"/>
  <c r="AP51" i="21" s="1"/>
  <c r="AD51" i="21" a="1"/>
  <c r="AD51" i="21" s="1"/>
  <c r="AG51" i="21" a="1"/>
  <c r="AG51" i="21" s="1"/>
  <c r="AH51" i="21" a="1"/>
  <c r="AH51" i="21" s="1"/>
  <c r="AI51" i="21" a="1"/>
  <c r="AI51" i="21" s="1"/>
  <c r="AK51" i="21" a="1"/>
  <c r="AK51" i="21" s="1"/>
  <c r="AN49" i="21" a="1"/>
  <c r="AN49" i="21" s="1"/>
  <c r="AO49" i="21" a="1"/>
  <c r="AO49" i="21" s="1"/>
  <c r="AP49" i="21" a="1"/>
  <c r="AP49" i="21" s="1"/>
  <c r="AD49" i="21" a="1"/>
  <c r="AD49" i="21" s="1"/>
  <c r="AE49" i="21" a="1"/>
  <c r="AE49" i="21" s="1"/>
  <c r="AH49" i="21" a="1"/>
  <c r="AH49" i="21" s="1"/>
  <c r="AM49" i="21" a="1"/>
  <c r="AM49" i="21" s="1"/>
  <c r="AL49" i="21" a="1"/>
  <c r="AL49" i="21" s="1"/>
  <c r="AF49" i="21" a="1"/>
  <c r="AF49" i="21" s="1"/>
  <c r="AG49" i="21" a="1"/>
  <c r="AG49" i="21" s="1"/>
  <c r="AI49" i="21" a="1"/>
  <c r="AI49" i="21" s="1"/>
  <c r="AK49" i="21" a="1"/>
  <c r="AK49" i="21" s="1"/>
  <c r="AK47" i="21" a="1"/>
  <c r="AK47" i="21" s="1"/>
  <c r="AE47" i="21" a="1"/>
  <c r="AE47" i="21" s="1"/>
  <c r="AL47" i="21" a="1"/>
  <c r="AL47" i="21" s="1"/>
  <c r="AF47" i="21" a="1"/>
  <c r="AF47" i="21" s="1"/>
  <c r="AN47" i="21" a="1"/>
  <c r="AN47" i="21" s="1"/>
  <c r="AG47" i="21" a="1"/>
  <c r="AG47" i="21" s="1"/>
  <c r="AH47" i="21" a="1"/>
  <c r="AH47" i="21" s="1"/>
  <c r="AO47" i="21" a="1"/>
  <c r="AO47" i="21" s="1"/>
  <c r="AP47" i="21" a="1"/>
  <c r="AP47" i="21" s="1"/>
  <c r="AI47" i="21" a="1"/>
  <c r="AI47" i="21" s="1"/>
  <c r="AD47" i="21" a="1"/>
  <c r="AD47" i="21" s="1"/>
  <c r="AM47" i="21" a="1"/>
  <c r="AM47" i="21" s="1"/>
  <c r="AN45" i="21" a="1"/>
  <c r="AN45" i="21" s="1"/>
  <c r="AH45" i="21" a="1"/>
  <c r="AH45" i="21" s="1"/>
  <c r="AI45" i="21" a="1"/>
  <c r="AI45" i="21" s="1"/>
  <c r="AO45" i="21" a="1"/>
  <c r="AO45" i="21" s="1"/>
  <c r="AP45" i="21" a="1"/>
  <c r="AP45" i="21" s="1"/>
  <c r="AD45" i="21" a="1"/>
  <c r="AD45" i="21" s="1"/>
  <c r="AK45" i="21" a="1"/>
  <c r="AK45" i="21" s="1"/>
  <c r="AL45" i="21" a="1"/>
  <c r="AL45" i="21" s="1"/>
  <c r="AG45" i="21" a="1"/>
  <c r="AG45" i="21" s="1"/>
  <c r="AM45" i="21" a="1"/>
  <c r="AM45" i="21" s="1"/>
  <c r="AE45" i="21" a="1"/>
  <c r="AE45" i="21" s="1"/>
  <c r="AF45" i="21" a="1"/>
  <c r="AF45" i="21" s="1"/>
  <c r="AK43" i="21" a="1"/>
  <c r="AK43" i="21" s="1"/>
  <c r="AL43" i="21" a="1"/>
  <c r="AL43" i="21" s="1"/>
  <c r="AE43" i="21" a="1"/>
  <c r="AE43" i="21" s="1"/>
  <c r="AM43" i="21" a="1"/>
  <c r="AM43" i="21" s="1"/>
  <c r="AF43" i="21" a="1"/>
  <c r="AF43" i="21" s="1"/>
  <c r="AN43" i="21" a="1"/>
  <c r="AN43" i="21" s="1"/>
  <c r="AO43" i="21" a="1"/>
  <c r="AO43" i="21" s="1"/>
  <c r="AG43" i="21" a="1"/>
  <c r="AG43" i="21" s="1"/>
  <c r="AP43" i="21" a="1"/>
  <c r="AP43" i="21" s="1"/>
  <c r="AH43" i="21" a="1"/>
  <c r="AH43" i="21" s="1"/>
  <c r="AI43" i="21" a="1"/>
  <c r="AI43" i="21" s="1"/>
  <c r="AD43" i="21" a="1"/>
  <c r="AD43" i="21" s="1"/>
  <c r="AO41" i="21" a="1"/>
  <c r="AO41" i="21" s="1"/>
  <c r="AP41" i="21" a="1"/>
  <c r="AP41" i="21" s="1"/>
  <c r="AE41" i="21" a="1"/>
  <c r="AE41" i="21" s="1"/>
  <c r="AH41" i="21" a="1"/>
  <c r="AH41" i="21" s="1"/>
  <c r="AF41" i="21" a="1"/>
  <c r="AF41" i="21" s="1"/>
  <c r="AI41" i="21" a="1"/>
  <c r="AI41" i="21" s="1"/>
  <c r="AG41" i="21" a="1"/>
  <c r="AG41" i="21" s="1"/>
  <c r="AK41" i="21" a="1"/>
  <c r="AK41" i="21" s="1"/>
  <c r="AN41" i="21" a="1"/>
  <c r="AN41" i="21" s="1"/>
  <c r="AL41" i="21" a="1"/>
  <c r="AL41" i="21" s="1"/>
  <c r="AM41" i="21" a="1"/>
  <c r="AM41" i="21" s="1"/>
  <c r="AD41" i="21" a="1"/>
  <c r="AD41" i="21" s="1"/>
  <c r="AD39" i="21" a="1"/>
  <c r="AD39" i="21" s="1"/>
  <c r="AK39" i="21" a="1"/>
  <c r="AK39" i="21" s="1"/>
  <c r="AM39" i="21" a="1"/>
  <c r="AM39" i="21" s="1"/>
  <c r="AN39" i="21" a="1"/>
  <c r="AN39" i="21" s="1"/>
  <c r="AO39" i="21" a="1"/>
  <c r="AO39" i="21" s="1"/>
  <c r="AE39" i="21" a="1"/>
  <c r="AE39" i="21" s="1"/>
  <c r="AP39" i="21" a="1"/>
  <c r="AP39" i="21" s="1"/>
  <c r="AF39" i="21" a="1"/>
  <c r="AF39" i="21" s="1"/>
  <c r="AG39" i="21" a="1"/>
  <c r="AG39" i="21" s="1"/>
  <c r="AH39" i="21" a="1"/>
  <c r="AH39" i="21" s="1"/>
  <c r="AI39" i="21" a="1"/>
  <c r="AI39" i="21" s="1"/>
  <c r="AL39" i="21" a="1"/>
  <c r="AL39" i="21" s="1"/>
  <c r="AM37" i="21" a="1"/>
  <c r="AM37" i="21" s="1"/>
  <c r="AN37" i="21" a="1"/>
  <c r="AN37" i="21" s="1"/>
  <c r="AE37" i="21" a="1"/>
  <c r="AE37" i="21" s="1"/>
  <c r="AO37" i="21" a="1"/>
  <c r="AO37" i="21" s="1"/>
  <c r="AP37" i="21" a="1"/>
  <c r="AP37" i="21" s="1"/>
  <c r="AD37" i="21" a="1"/>
  <c r="AD37" i="21" s="1"/>
  <c r="AI37" i="21" a="1"/>
  <c r="AI37" i="21" s="1"/>
  <c r="AL37" i="21" a="1"/>
  <c r="AL37" i="21" s="1"/>
  <c r="AK37" i="21" a="1"/>
  <c r="AK37" i="21" s="1"/>
  <c r="AF37" i="21" a="1"/>
  <c r="AF37" i="21" s="1"/>
  <c r="AG37" i="21" a="1"/>
  <c r="AG37" i="21" s="1"/>
  <c r="AH37" i="21" a="1"/>
  <c r="AH37" i="21" s="1"/>
  <c r="AD35" i="21" a="1"/>
  <c r="AD35" i="21" s="1"/>
  <c r="AK35" i="21" a="1"/>
  <c r="AK35" i="21" s="1"/>
  <c r="AL35" i="21" a="1"/>
  <c r="AL35" i="21" s="1"/>
  <c r="AM35" i="21" a="1"/>
  <c r="AM35" i="21" s="1"/>
  <c r="AN35" i="21" a="1"/>
  <c r="AN35" i="21" s="1"/>
  <c r="AO35" i="21" a="1"/>
  <c r="AO35" i="21" s="1"/>
  <c r="AP35" i="21" a="1"/>
  <c r="AP35" i="21" s="1"/>
  <c r="AG35" i="21" a="1"/>
  <c r="AG35" i="21" s="1"/>
  <c r="AH35" i="21" a="1"/>
  <c r="AH35" i="21" s="1"/>
  <c r="AE35" i="21" a="1"/>
  <c r="AE35" i="21" s="1"/>
  <c r="AF35" i="21" a="1"/>
  <c r="AF35" i="21" s="1"/>
  <c r="AI35" i="21" a="1"/>
  <c r="AI35" i="21" s="1"/>
  <c r="AN33" i="21" a="1"/>
  <c r="AN33" i="21" s="1"/>
  <c r="AD33" i="21" a="1"/>
  <c r="AD33" i="21" s="1"/>
  <c r="AO33" i="21" a="1"/>
  <c r="AO33" i="21" s="1"/>
  <c r="AP33" i="21" a="1"/>
  <c r="AP33" i="21" s="1"/>
  <c r="AG33" i="21" a="1"/>
  <c r="AG33" i="21" s="1"/>
  <c r="AH33" i="21" a="1"/>
  <c r="AH33" i="21" s="1"/>
  <c r="AI33" i="21" a="1"/>
  <c r="AI33" i="21" s="1"/>
  <c r="AM33" i="21" a="1"/>
  <c r="AM33" i="21" s="1"/>
  <c r="AE33" i="21" a="1"/>
  <c r="AE33" i="21" s="1"/>
  <c r="AF33" i="21" a="1"/>
  <c r="AF33" i="21" s="1"/>
  <c r="AK33" i="21" a="1"/>
  <c r="AK33" i="21" s="1"/>
  <c r="AL33" i="21" a="1"/>
  <c r="AL33" i="21" s="1"/>
  <c r="AG31" i="21" a="1"/>
  <c r="AG31" i="21" s="1"/>
  <c r="AH31" i="21" a="1"/>
  <c r="AH31" i="21" s="1"/>
  <c r="AI31" i="21" a="1"/>
  <c r="AI31" i="21" s="1"/>
  <c r="AK31" i="21" a="1"/>
  <c r="AK31" i="21" s="1"/>
  <c r="AL31" i="21" a="1"/>
  <c r="AL31" i="21" s="1"/>
  <c r="AM31" i="21" a="1"/>
  <c r="AM31" i="21" s="1"/>
  <c r="AN31" i="21" a="1"/>
  <c r="AN31" i="21" s="1"/>
  <c r="AO31" i="21" a="1"/>
  <c r="AO31" i="21" s="1"/>
  <c r="AP31" i="21" a="1"/>
  <c r="AP31" i="21" s="1"/>
  <c r="AD31" i="21" a="1"/>
  <c r="AD31" i="21" s="1"/>
  <c r="AE31" i="21" a="1"/>
  <c r="AE31" i="21" s="1"/>
  <c r="AF31" i="21" a="1"/>
  <c r="AF31" i="21" s="1"/>
  <c r="AE29" i="21" a="1"/>
  <c r="AE29" i="21" s="1"/>
  <c r="AK29" i="21" a="1"/>
  <c r="AK29" i="21" s="1"/>
  <c r="AF29" i="21" a="1"/>
  <c r="AF29" i="21" s="1"/>
  <c r="AL29" i="21" a="1"/>
  <c r="AL29" i="21" s="1"/>
  <c r="AG29" i="21" a="1"/>
  <c r="AG29" i="21" s="1"/>
  <c r="AM29" i="21" a="1"/>
  <c r="AM29" i="21" s="1"/>
  <c r="AH29" i="21" a="1"/>
  <c r="AH29" i="21" s="1"/>
  <c r="AN29" i="21" a="1"/>
  <c r="AN29" i="21" s="1"/>
  <c r="AI29" i="21" a="1"/>
  <c r="AI29" i="21" s="1"/>
  <c r="AO29" i="21" a="1"/>
  <c r="AO29" i="21" s="1"/>
  <c r="AP29" i="21" a="1"/>
  <c r="AP29" i="21" s="1"/>
  <c r="AD29" i="21" a="1"/>
  <c r="AD29" i="21" s="1"/>
  <c r="AF27" i="21" a="1"/>
  <c r="AF27" i="21" s="1"/>
  <c r="AM27" i="21" a="1"/>
  <c r="AM27" i="21" s="1"/>
  <c r="AG27" i="21" a="1"/>
  <c r="AG27" i="21" s="1"/>
  <c r="AI27" i="21" a="1"/>
  <c r="AI27" i="21" s="1"/>
  <c r="AN27" i="21" a="1"/>
  <c r="AN27" i="21" s="1"/>
  <c r="AP27" i="21" a="1"/>
  <c r="AP27" i="21" s="1"/>
  <c r="AH27" i="21" a="1"/>
  <c r="AH27" i="21" s="1"/>
  <c r="AO27" i="21" a="1"/>
  <c r="AO27" i="21" s="1"/>
  <c r="AL27" i="21" a="1"/>
  <c r="AL27" i="21" s="1"/>
  <c r="AK27" i="21" a="1"/>
  <c r="AK27" i="21" s="1"/>
  <c r="AD27" i="21" a="1"/>
  <c r="AD27" i="21" s="1"/>
  <c r="AE27" i="21" a="1"/>
  <c r="AE27" i="21" s="1"/>
  <c r="AK25" i="21" a="1"/>
  <c r="AK25" i="21" s="1"/>
  <c r="AL25" i="21" a="1"/>
  <c r="AL25" i="21" s="1"/>
  <c r="AE25" i="21" a="1"/>
  <c r="AE25" i="21" s="1"/>
  <c r="AM25" i="21" a="1"/>
  <c r="AM25" i="21" s="1"/>
  <c r="AF25" i="21" a="1"/>
  <c r="AF25" i="21" s="1"/>
  <c r="AN25" i="21" a="1"/>
  <c r="AN25" i="21" s="1"/>
  <c r="AG25" i="21" a="1"/>
  <c r="AG25" i="21" s="1"/>
  <c r="AO25" i="21" a="1"/>
  <c r="AO25" i="21" s="1"/>
  <c r="AD25" i="21" a="1"/>
  <c r="AD25" i="21" s="1"/>
  <c r="AH25" i="21" a="1"/>
  <c r="AH25" i="21" s="1"/>
  <c r="AP25" i="21" a="1"/>
  <c r="AP25" i="21" s="1"/>
  <c r="AI25" i="21" a="1"/>
  <c r="AI25" i="21" s="1"/>
  <c r="AK23" i="21" a="1"/>
  <c r="AK23" i="21" s="1"/>
  <c r="AL23" i="21" a="1"/>
  <c r="AL23" i="21" s="1"/>
  <c r="AM23" i="21" a="1"/>
  <c r="AM23" i="21" s="1"/>
  <c r="AE23" i="21" a="1"/>
  <c r="AE23" i="21" s="1"/>
  <c r="AN23" i="21" a="1"/>
  <c r="AN23" i="21" s="1"/>
  <c r="AF23" i="21" a="1"/>
  <c r="AF23" i="21" s="1"/>
  <c r="AI23" i="21" a="1"/>
  <c r="AI23" i="21" s="1"/>
  <c r="AO23" i="21" a="1"/>
  <c r="AO23" i="21" s="1"/>
  <c r="AG23" i="21" a="1"/>
  <c r="AG23" i="21" s="1"/>
  <c r="AP23" i="21" a="1"/>
  <c r="AP23" i="21" s="1"/>
  <c r="AH23" i="21" a="1"/>
  <c r="AH23" i="21" s="1"/>
  <c r="AD23" i="21" a="1"/>
  <c r="AD23" i="21" s="1"/>
  <c r="AK21" i="21" a="1"/>
  <c r="AK21" i="21" s="1"/>
  <c r="AL21" i="21" a="1"/>
  <c r="AL21" i="21" s="1"/>
  <c r="AM21" i="21" a="1"/>
  <c r="AM21" i="21" s="1"/>
  <c r="AN21" i="21" a="1"/>
  <c r="AN21" i="21" s="1"/>
  <c r="AD21" i="21" a="1"/>
  <c r="AD21" i="21" s="1"/>
  <c r="AO21" i="21" a="1"/>
  <c r="AO21" i="21" s="1"/>
  <c r="AP21" i="21" a="1"/>
  <c r="AP21" i="21" s="1"/>
  <c r="AE21" i="21" a="1"/>
  <c r="AE21" i="21" s="1"/>
  <c r="AF21" i="21" a="1"/>
  <c r="AF21" i="21" s="1"/>
  <c r="AI21" i="21" a="1"/>
  <c r="AI21" i="21" s="1"/>
  <c r="AG21" i="21" a="1"/>
  <c r="AG21" i="21" s="1"/>
  <c r="AH21" i="21" a="1"/>
  <c r="AH21" i="21" s="1"/>
  <c r="AM19" i="21" a="1"/>
  <c r="AM19" i="21" s="1"/>
  <c r="AN19" i="21" a="1"/>
  <c r="AN19" i="21" s="1"/>
  <c r="AP19" i="21" a="1"/>
  <c r="AP19" i="21" s="1"/>
  <c r="AE19" i="21" a="1"/>
  <c r="AE19" i="21" s="1"/>
  <c r="AO19" i="21" a="1"/>
  <c r="AO19" i="21" s="1"/>
  <c r="AI19" i="21" a="1"/>
  <c r="AI19" i="21" s="1"/>
  <c r="AD19" i="21" a="1"/>
  <c r="AD19" i="21" s="1"/>
  <c r="AK19" i="21" a="1"/>
  <c r="AK19" i="21" s="1"/>
  <c r="AF19" i="21" a="1"/>
  <c r="AF19" i="21" s="1"/>
  <c r="AG19" i="21" a="1"/>
  <c r="AG19" i="21" s="1"/>
  <c r="AH19" i="21" a="1"/>
  <c r="AH19" i="21" s="1"/>
  <c r="AL19" i="21" a="1"/>
  <c r="AL19" i="21" s="1"/>
  <c r="AK17" i="21" a="1"/>
  <c r="AK17" i="21" s="1"/>
  <c r="AL17" i="21" a="1"/>
  <c r="AL17" i="21" s="1"/>
  <c r="AM17" i="21" a="1"/>
  <c r="AM17" i="21" s="1"/>
  <c r="AN17" i="21" a="1"/>
  <c r="AN17" i="21" s="1"/>
  <c r="AO17" i="21" a="1"/>
  <c r="AO17" i="21" s="1"/>
  <c r="AP17" i="21" a="1"/>
  <c r="AP17" i="21" s="1"/>
  <c r="AE17" i="21" a="1"/>
  <c r="AE17" i="21" s="1"/>
  <c r="AF17" i="21" a="1"/>
  <c r="AF17" i="21" s="1"/>
  <c r="AH17" i="21" a="1"/>
  <c r="AH17" i="21" s="1"/>
  <c r="AG17" i="21" a="1"/>
  <c r="AG17" i="21" s="1"/>
  <c r="AI17" i="21" a="1"/>
  <c r="AI17" i="21" s="1"/>
  <c r="AD17" i="21" a="1"/>
  <c r="AD17" i="21" s="1"/>
  <c r="AL15" i="21" a="1"/>
  <c r="AL15" i="21" s="1"/>
  <c r="AM15" i="21" a="1"/>
  <c r="AM15" i="21" s="1"/>
  <c r="AN15" i="21" a="1"/>
  <c r="AN15" i="21" s="1"/>
  <c r="AO15" i="21" a="1"/>
  <c r="AO15" i="21" s="1"/>
  <c r="AP15" i="21" a="1"/>
  <c r="AP15" i="21" s="1"/>
  <c r="AF15" i="21" a="1"/>
  <c r="AF15" i="21" s="1"/>
  <c r="AH15" i="21" a="1"/>
  <c r="AH15" i="21" s="1"/>
  <c r="AI15" i="21" a="1"/>
  <c r="AI15" i="21" s="1"/>
  <c r="AK15" i="21" a="1"/>
  <c r="AK15" i="21" s="1"/>
  <c r="AE15" i="21" a="1"/>
  <c r="AE15" i="21" s="1"/>
  <c r="AG15" i="21" a="1"/>
  <c r="AG15" i="21" s="1"/>
  <c r="AD15" i="21" a="1"/>
  <c r="AD15" i="21" s="1"/>
  <c r="AD13" i="21" a="1"/>
  <c r="AD13" i="21" s="1"/>
  <c r="AK13" i="21" a="1"/>
  <c r="AK13" i="21" s="1"/>
  <c r="AL13" i="21" a="1"/>
  <c r="AL13" i="21" s="1"/>
  <c r="AM13" i="21" a="1"/>
  <c r="AM13" i="21" s="1"/>
  <c r="AN13" i="21" a="1"/>
  <c r="AN13" i="21" s="1"/>
  <c r="AO13" i="21" a="1"/>
  <c r="AO13" i="21" s="1"/>
  <c r="AP13" i="21" a="1"/>
  <c r="AP13" i="21" s="1"/>
  <c r="AE13" i="21" a="1"/>
  <c r="AE13" i="21" s="1"/>
  <c r="AF13" i="21" a="1"/>
  <c r="AF13" i="21" s="1"/>
  <c r="AI13" i="21" a="1"/>
  <c r="AI13" i="21" s="1"/>
  <c r="AH13" i="21" a="1"/>
  <c r="AH13" i="21" s="1"/>
  <c r="AG13" i="21" a="1"/>
  <c r="AG13" i="21" s="1"/>
  <c r="AM11" i="21" a="1"/>
  <c r="AM11" i="21" s="1"/>
  <c r="AN11" i="21" a="1"/>
  <c r="AN11" i="21" s="1"/>
  <c r="AD11" i="21" a="1"/>
  <c r="AD11" i="21" s="1"/>
  <c r="AP11" i="21" a="1"/>
  <c r="AP11" i="21" s="1"/>
  <c r="AO11" i="21" a="1"/>
  <c r="AO11" i="21" s="1"/>
  <c r="AE11" i="21" a="1"/>
  <c r="AE11" i="21" s="1"/>
  <c r="AG11" i="21" a="1"/>
  <c r="AG11" i="21" s="1"/>
  <c r="AH11" i="21" a="1"/>
  <c r="AH11" i="21" s="1"/>
  <c r="AI11" i="21" a="1"/>
  <c r="AI11" i="21" s="1"/>
  <c r="AL11" i="21" a="1"/>
  <c r="AL11" i="21" s="1"/>
  <c r="AK11" i="21" a="1"/>
  <c r="AK11" i="21" s="1"/>
  <c r="AF11" i="21" a="1"/>
  <c r="AF11" i="21" s="1"/>
  <c r="AD9" i="21" a="1"/>
  <c r="AD9" i="21" s="1"/>
  <c r="AF9" i="21" a="1"/>
  <c r="AF9" i="21" s="1"/>
  <c r="AG9" i="21" a="1"/>
  <c r="AG9" i="21" s="1"/>
  <c r="AH9" i="21" a="1"/>
  <c r="AH9" i="21" s="1"/>
  <c r="AI9" i="21" a="1"/>
  <c r="AI9" i="21" s="1"/>
  <c r="AK9" i="21" a="1"/>
  <c r="AK9" i="21" s="1"/>
  <c r="AL9" i="21" a="1"/>
  <c r="AL9" i="21" s="1"/>
  <c r="AM9" i="21" a="1"/>
  <c r="AM9" i="21" s="1"/>
  <c r="AN9" i="21" a="1"/>
  <c r="AN9" i="21" s="1"/>
  <c r="AO9" i="21" a="1"/>
  <c r="AO9" i="21" s="1"/>
  <c r="AP9" i="21" a="1"/>
  <c r="AP9" i="21" s="1"/>
  <c r="AE9" i="21" a="1"/>
  <c r="AE9" i="21" s="1"/>
  <c r="AM7" i="21" a="1"/>
  <c r="AM7" i="21" s="1"/>
  <c r="AN7" i="21" a="1"/>
  <c r="AN7" i="21" s="1"/>
  <c r="AO7" i="21" a="1"/>
  <c r="AO7" i="21" s="1"/>
  <c r="AP7" i="21" a="1"/>
  <c r="AP7" i="21" s="1"/>
  <c r="AE7" i="21" a="1"/>
  <c r="AE7" i="21" s="1"/>
  <c r="AF7" i="21" a="1"/>
  <c r="AF7" i="21" s="1"/>
  <c r="AG7" i="21" a="1"/>
  <c r="AG7" i="21" s="1"/>
  <c r="AH7" i="21" a="1"/>
  <c r="AH7" i="21" s="1"/>
  <c r="AI7" i="21" a="1"/>
  <c r="AI7" i="21" s="1"/>
  <c r="AL7" i="21" a="1"/>
  <c r="AL7" i="21" s="1"/>
  <c r="AD7" i="21" a="1"/>
  <c r="AD7" i="21" s="1"/>
  <c r="AK7" i="21" a="1"/>
  <c r="AK7" i="21" s="1"/>
  <c r="AE5" i="21" a="1"/>
  <c r="AE5" i="21" s="1"/>
  <c r="AL5" i="21" a="1"/>
  <c r="AL5" i="21" s="1"/>
  <c r="AH5" i="21" a="1"/>
  <c r="AH5" i="21" s="1"/>
  <c r="AF5" i="21" a="1"/>
  <c r="AF5" i="21" s="1"/>
  <c r="AG5" i="21" a="1"/>
  <c r="AG5" i="21" s="1"/>
  <c r="AP5" i="21" a="1"/>
  <c r="AP5" i="21" s="1"/>
  <c r="AD5" i="21" a="1"/>
  <c r="AD5" i="21" s="1"/>
  <c r="AK5" i="21" a="1"/>
  <c r="AK5" i="21" s="1"/>
  <c r="AM5" i="21" a="1"/>
  <c r="AM5" i="21" s="1"/>
  <c r="AN5" i="21" a="1"/>
  <c r="AN5" i="21" s="1"/>
  <c r="AO5" i="21" a="1"/>
  <c r="AO5" i="21" s="1"/>
  <c r="AI5" i="21" a="1"/>
  <c r="AI5" i="21" s="1"/>
  <c r="AL54" i="21" a="1"/>
  <c r="AL54" i="21" s="1"/>
  <c r="AM54" i="21" a="1"/>
  <c r="AM54" i="21" s="1"/>
  <c r="AK54" i="21" a="1"/>
  <c r="AK54" i="21" s="1"/>
  <c r="AP54" i="21" a="1"/>
  <c r="AP54" i="21" s="1"/>
  <c r="AD54" i="21" a="1"/>
  <c r="AD54" i="21" s="1"/>
  <c r="AF54" i="21" a="1"/>
  <c r="AF54" i="21" s="1"/>
  <c r="AG54" i="21" a="1"/>
  <c r="AG54" i="21" s="1"/>
  <c r="AI54" i="21" a="1"/>
  <c r="AI54" i="21" s="1"/>
  <c r="AE54" i="21" a="1"/>
  <c r="AE54" i="21" s="1"/>
  <c r="AH54" i="21" a="1"/>
  <c r="AH54" i="21" s="1"/>
  <c r="AN54" i="21" a="1"/>
  <c r="AN54" i="21" s="1"/>
  <c r="AO54" i="21" a="1"/>
  <c r="AO54" i="21" s="1"/>
  <c r="FO185" i="33"/>
  <c r="AE14" i="21" a="1"/>
  <c r="AE14" i="21" s="1"/>
  <c r="AF14" i="21" a="1"/>
  <c r="AF14" i="21" s="1"/>
  <c r="AH14" i="21" a="1"/>
  <c r="AH14" i="21" s="1"/>
  <c r="AG14" i="21" a="1"/>
  <c r="AG14" i="21" s="1"/>
  <c r="AK14" i="21" a="1"/>
  <c r="AK14" i="21" s="1"/>
  <c r="AN14" i="21" a="1"/>
  <c r="AN14" i="21" s="1"/>
  <c r="AI14" i="21" a="1"/>
  <c r="AI14" i="21" s="1"/>
  <c r="AL14" i="21" a="1"/>
  <c r="AL14" i="21" s="1"/>
  <c r="AM14" i="21" a="1"/>
  <c r="AM14" i="21" s="1"/>
  <c r="AO14" i="21" a="1"/>
  <c r="AO14" i="21" s="1"/>
  <c r="AP14" i="21" a="1"/>
  <c r="AP14" i="21" s="1"/>
  <c r="AD14" i="21" a="1"/>
  <c r="AD14" i="21" s="1"/>
  <c r="AM60" i="21" a="1"/>
  <c r="AM60" i="21" s="1"/>
  <c r="AN60" i="21" a="1"/>
  <c r="AN60" i="21" s="1"/>
  <c r="AD60" i="21" a="1"/>
  <c r="AD60" i="21" s="1"/>
  <c r="AG60" i="21" a="1"/>
  <c r="AG60" i="21" s="1"/>
  <c r="AO60" i="21" a="1"/>
  <c r="AO60" i="21" s="1"/>
  <c r="AE60" i="21" a="1"/>
  <c r="AE60" i="21" s="1"/>
  <c r="AP60" i="21" a="1"/>
  <c r="AP60" i="21" s="1"/>
  <c r="AF60" i="21" a="1"/>
  <c r="AF60" i="21" s="1"/>
  <c r="AK60" i="21" a="1"/>
  <c r="AK60" i="21" s="1"/>
  <c r="AL60" i="21" a="1"/>
  <c r="AL60" i="21" s="1"/>
  <c r="AH60" i="21" a="1"/>
  <c r="AH60" i="21" s="1"/>
  <c r="AI60" i="21" a="1"/>
  <c r="AI60" i="21" s="1"/>
  <c r="AE48" i="21" a="1"/>
  <c r="AE48" i="21" s="1"/>
  <c r="AK48" i="21" a="1"/>
  <c r="AK48" i="21" s="1"/>
  <c r="AF48" i="21" a="1"/>
  <c r="AF48" i="21" s="1"/>
  <c r="AG48" i="21" a="1"/>
  <c r="AG48" i="21" s="1"/>
  <c r="AL48" i="21" a="1"/>
  <c r="AL48" i="21" s="1"/>
  <c r="AD48" i="21" a="1"/>
  <c r="AD48" i="21" s="1"/>
  <c r="AH48" i="21" a="1"/>
  <c r="AH48" i="21" s="1"/>
  <c r="AI48" i="21" a="1"/>
  <c r="AI48" i="21" s="1"/>
  <c r="AM48" i="21" a="1"/>
  <c r="AM48" i="21" s="1"/>
  <c r="AO48" i="21" a="1"/>
  <c r="AO48" i="21" s="1"/>
  <c r="AP48" i="21" a="1"/>
  <c r="AP48" i="21" s="1"/>
  <c r="AN48" i="21" a="1"/>
  <c r="AN48" i="21" s="1"/>
  <c r="AK38" i="21" a="1"/>
  <c r="AK38" i="21" s="1"/>
  <c r="AD38" i="21" a="1"/>
  <c r="AD38" i="21" s="1"/>
  <c r="AL38" i="21" a="1"/>
  <c r="AL38" i="21" s="1"/>
  <c r="AM38" i="21" a="1"/>
  <c r="AM38" i="21" s="1"/>
  <c r="AP38" i="21" a="1"/>
  <c r="AP38" i="21" s="1"/>
  <c r="AF38" i="21" a="1"/>
  <c r="AF38" i="21" s="1"/>
  <c r="AG38" i="21" a="1"/>
  <c r="AG38" i="21" s="1"/>
  <c r="AH38" i="21" a="1"/>
  <c r="AH38" i="21" s="1"/>
  <c r="AI38" i="21" a="1"/>
  <c r="AI38" i="21" s="1"/>
  <c r="AE38" i="21" a="1"/>
  <c r="AE38" i="21" s="1"/>
  <c r="AN38" i="21" a="1"/>
  <c r="AN38" i="21" s="1"/>
  <c r="AO38" i="21" a="1"/>
  <c r="AO38" i="21" s="1"/>
  <c r="AR30" i="21"/>
  <c r="AM30" i="21" a="1"/>
  <c r="AM30" i="21" s="1"/>
  <c r="AK30" i="21" a="1"/>
  <c r="AK30" i="21" s="1"/>
  <c r="AN30" i="21" a="1"/>
  <c r="AN30" i="21" s="1"/>
  <c r="AO30" i="21" a="1"/>
  <c r="AO30" i="21" s="1"/>
  <c r="AL30" i="21" a="1"/>
  <c r="AL30" i="21" s="1"/>
  <c r="AE30" i="21" a="1"/>
  <c r="AE30" i="21" s="1"/>
  <c r="AF30" i="21" a="1"/>
  <c r="AF30" i="21" s="1"/>
  <c r="AG30" i="21" a="1"/>
  <c r="AG30" i="21" s="1"/>
  <c r="AI30" i="21" a="1"/>
  <c r="AI30" i="21" s="1"/>
  <c r="AP30" i="21" a="1"/>
  <c r="AP30" i="21" s="1"/>
  <c r="AH30" i="21" a="1"/>
  <c r="AH30" i="21" s="1"/>
  <c r="AD30" i="21" a="1"/>
  <c r="AD30" i="21" s="1"/>
  <c r="AH22" i="21" a="1"/>
  <c r="AH22" i="21" s="1"/>
  <c r="AI22" i="21" a="1"/>
  <c r="AI22" i="21" s="1"/>
  <c r="AD22" i="21" a="1"/>
  <c r="AD22" i="21" s="1"/>
  <c r="AK22" i="21" a="1"/>
  <c r="AK22" i="21" s="1"/>
  <c r="AN22" i="21" a="1"/>
  <c r="AN22" i="21" s="1"/>
  <c r="AE22" i="21" a="1"/>
  <c r="AE22" i="21" s="1"/>
  <c r="AP22" i="21" a="1"/>
  <c r="AP22" i="21" s="1"/>
  <c r="AG22" i="21" a="1"/>
  <c r="AG22" i="21" s="1"/>
  <c r="AF22" i="21" a="1"/>
  <c r="AF22" i="21" s="1"/>
  <c r="AL22" i="21" a="1"/>
  <c r="AL22" i="21" s="1"/>
  <c r="AO22" i="21" a="1"/>
  <c r="AO22" i="21" s="1"/>
  <c r="AM22" i="21" a="1"/>
  <c r="AM22" i="21" s="1"/>
  <c r="AL16" i="21" a="1"/>
  <c r="AL16" i="21" s="1"/>
  <c r="AM16" i="21" a="1"/>
  <c r="AM16" i="21" s="1"/>
  <c r="AK16" i="21" a="1"/>
  <c r="AK16" i="21" s="1"/>
  <c r="AO16" i="21" a="1"/>
  <c r="AO16" i="21" s="1"/>
  <c r="AD16" i="21" a="1"/>
  <c r="AD16" i="21" s="1"/>
  <c r="AE16" i="21" a="1"/>
  <c r="AE16" i="21" s="1"/>
  <c r="AF16" i="21" a="1"/>
  <c r="AF16" i="21" s="1"/>
  <c r="AG16" i="21" a="1"/>
  <c r="AG16" i="21" s="1"/>
  <c r="AH16" i="21" a="1"/>
  <c r="AH16" i="21" s="1"/>
  <c r="AI16" i="21" a="1"/>
  <c r="AI16" i="21" s="1"/>
  <c r="AN16" i="21" a="1"/>
  <c r="AN16" i="21" s="1"/>
  <c r="AP16" i="21" a="1"/>
  <c r="AP16" i="21" s="1"/>
  <c r="FN185" i="33"/>
  <c r="AK12" i="21" a="1"/>
  <c r="AK12" i="21" s="1"/>
  <c r="AD12" i="21" a="1"/>
  <c r="AD12" i="21" s="1"/>
  <c r="AN12" i="21" a="1"/>
  <c r="AN12" i="21" s="1"/>
  <c r="AO12" i="21" a="1"/>
  <c r="AO12" i="21" s="1"/>
  <c r="AE12" i="21" a="1"/>
  <c r="AE12" i="21" s="1"/>
  <c r="AF12" i="21" a="1"/>
  <c r="AF12" i="21" s="1"/>
  <c r="AG12" i="21" a="1"/>
  <c r="AG12" i="21" s="1"/>
  <c r="AL12" i="21" a="1"/>
  <c r="AL12" i="21" s="1"/>
  <c r="AM12" i="21" a="1"/>
  <c r="AM12" i="21" s="1"/>
  <c r="AP12" i="21" a="1"/>
  <c r="AP12" i="21" s="1"/>
  <c r="AH12" i="21" a="1"/>
  <c r="AH12" i="21" s="1"/>
  <c r="AI12" i="21" a="1"/>
  <c r="AI12" i="21" s="1"/>
  <c r="AD10" i="21" a="1"/>
  <c r="AD10" i="21" s="1"/>
  <c r="AF10" i="21" a="1"/>
  <c r="AF10" i="21" s="1"/>
  <c r="AG10" i="21" a="1"/>
  <c r="AG10" i="21" s="1"/>
  <c r="AE10" i="21" a="1"/>
  <c r="AE10" i="21" s="1"/>
  <c r="AK10" i="21" a="1"/>
  <c r="AK10" i="21" s="1"/>
  <c r="AO10" i="21" a="1"/>
  <c r="AO10" i="21" s="1"/>
  <c r="AP10" i="21" a="1"/>
  <c r="AP10" i="21" s="1"/>
  <c r="AN10" i="21" a="1"/>
  <c r="AN10" i="21" s="1"/>
  <c r="AI10" i="21" a="1"/>
  <c r="AI10" i="21" s="1"/>
  <c r="AH10" i="21" a="1"/>
  <c r="AH10" i="21" s="1"/>
  <c r="AL10" i="21" a="1"/>
  <c r="AL10" i="21" s="1"/>
  <c r="AM10" i="21" a="1"/>
  <c r="AM10" i="21" s="1"/>
  <c r="AM8" i="21" a="1"/>
  <c r="AM8" i="21" s="1"/>
  <c r="AK8" i="21" a="1"/>
  <c r="AK8" i="21" s="1"/>
  <c r="AL8" i="21" a="1"/>
  <c r="AL8" i="21" s="1"/>
  <c r="AO8" i="21" a="1"/>
  <c r="AO8" i="21" s="1"/>
  <c r="AE8" i="21" a="1"/>
  <c r="AE8" i="21" s="1"/>
  <c r="AH8" i="21" a="1"/>
  <c r="AH8" i="21" s="1"/>
  <c r="AD8" i="21" a="1"/>
  <c r="AD8" i="21" s="1"/>
  <c r="AF8" i="21" a="1"/>
  <c r="AF8" i="21" s="1"/>
  <c r="AG8" i="21" a="1"/>
  <c r="AG8" i="21" s="1"/>
  <c r="AI8" i="21" a="1"/>
  <c r="AI8" i="21" s="1"/>
  <c r="AN8" i="21" a="1"/>
  <c r="AN8" i="21" s="1"/>
  <c r="AP8" i="21" a="1"/>
  <c r="AP8" i="21" s="1"/>
  <c r="AF6" i="21" a="1"/>
  <c r="AF6" i="21" s="1"/>
  <c r="AL6" i="21" a="1"/>
  <c r="AL6" i="21" s="1"/>
  <c r="AG6" i="21" a="1"/>
  <c r="AG6" i="21" s="1"/>
  <c r="AN6" i="21" a="1"/>
  <c r="AN6" i="21" s="1"/>
  <c r="AI6" i="21" a="1"/>
  <c r="AI6" i="21" s="1"/>
  <c r="AO6" i="21" a="1"/>
  <c r="AO6" i="21" s="1"/>
  <c r="AP6" i="21" a="1"/>
  <c r="AP6" i="21" s="1"/>
  <c r="AK6" i="21" a="1"/>
  <c r="AK6" i="21" s="1"/>
  <c r="AD6" i="21" a="1"/>
  <c r="AD6" i="21" s="1"/>
  <c r="AM6" i="21" a="1"/>
  <c r="AM6" i="21" s="1"/>
  <c r="AE6" i="21" a="1"/>
  <c r="AE6" i="21" s="1"/>
  <c r="AH6" i="21" a="1"/>
  <c r="AH6" i="21" s="1"/>
  <c r="AL4" i="21" a="1"/>
  <c r="AL4" i="21" s="1"/>
  <c r="AM4" i="21" a="1"/>
  <c r="AM4" i="21" s="1"/>
  <c r="AN4" i="21" a="1"/>
  <c r="AN4" i="21" s="1"/>
  <c r="AO4" i="21" a="1"/>
  <c r="AO4" i="21" s="1"/>
  <c r="AP4" i="21" a="1"/>
  <c r="AP4" i="21" s="1"/>
  <c r="AG4" i="21" a="1"/>
  <c r="AG4" i="21" s="1"/>
  <c r="AI4" i="21" a="1"/>
  <c r="AI4" i="21" s="1"/>
  <c r="AD4" i="21" a="1"/>
  <c r="AD4" i="21" s="1"/>
  <c r="AK4" i="21" a="1"/>
  <c r="AK4" i="21" s="1"/>
  <c r="AE4" i="21" a="1"/>
  <c r="AE4" i="21" s="1"/>
  <c r="AF4" i="21" a="1"/>
  <c r="AF4" i="21" s="1"/>
  <c r="AH4" i="21" a="1"/>
  <c r="AH4" i="21" s="1"/>
  <c r="AK72" i="21" a="1"/>
  <c r="AK72" i="21" s="1"/>
  <c r="AL72" i="21" a="1"/>
  <c r="AL72" i="21" s="1"/>
  <c r="AM72" i="21" a="1"/>
  <c r="AM72" i="21" s="1"/>
  <c r="AN72" i="21" a="1"/>
  <c r="AN72" i="21" s="1"/>
  <c r="AP72" i="21" a="1"/>
  <c r="AP72" i="21" s="1"/>
  <c r="AE72" i="21" a="1"/>
  <c r="AE72" i="21" s="1"/>
  <c r="AD72" i="21" a="1"/>
  <c r="AD72" i="21" s="1"/>
  <c r="AF72" i="21" a="1"/>
  <c r="AF72" i="21" s="1"/>
  <c r="AG72" i="21" a="1"/>
  <c r="AG72" i="21" s="1"/>
  <c r="AH72" i="21" a="1"/>
  <c r="AH72" i="21" s="1"/>
  <c r="AI72" i="21" a="1"/>
  <c r="AI72" i="21" s="1"/>
  <c r="AO72" i="21" a="1"/>
  <c r="AO72" i="21" s="1"/>
  <c r="AK68" i="21" a="1"/>
  <c r="AK68" i="21" s="1"/>
  <c r="AL68" i="21" a="1"/>
  <c r="AL68" i="21" s="1"/>
  <c r="AO68" i="21" a="1"/>
  <c r="AO68" i="21" s="1"/>
  <c r="AP68" i="21" a="1"/>
  <c r="AP68" i="21" s="1"/>
  <c r="AM68" i="21" a="1"/>
  <c r="AM68" i="21" s="1"/>
  <c r="AN68" i="21" a="1"/>
  <c r="AN68" i="21" s="1"/>
  <c r="AH68" i="21" a="1"/>
  <c r="AH68" i="21" s="1"/>
  <c r="AI68" i="21" a="1"/>
  <c r="AI68" i="21" s="1"/>
  <c r="AE68" i="21" a="1"/>
  <c r="AE68" i="21" s="1"/>
  <c r="AD68" i="21" a="1"/>
  <c r="AD68" i="21" s="1"/>
  <c r="AF68" i="21" a="1"/>
  <c r="AF68" i="21" s="1"/>
  <c r="AG68" i="21" a="1"/>
  <c r="AG68" i="21" s="1"/>
  <c r="AD66" i="21" a="1"/>
  <c r="AD66" i="21" s="1"/>
  <c r="AE66" i="21" a="1"/>
  <c r="AE66" i="21" s="1"/>
  <c r="AK66" i="21" a="1"/>
  <c r="AK66" i="21" s="1"/>
  <c r="AM66" i="21" a="1"/>
  <c r="AM66" i="21" s="1"/>
  <c r="AG66" i="21" a="1"/>
  <c r="AG66" i="21" s="1"/>
  <c r="AN66" i="21" a="1"/>
  <c r="AN66" i="21" s="1"/>
  <c r="AO66" i="21" a="1"/>
  <c r="AO66" i="21" s="1"/>
  <c r="AH66" i="21" a="1"/>
  <c r="AH66" i="21" s="1"/>
  <c r="AP66" i="21" a="1"/>
  <c r="AP66" i="21" s="1"/>
  <c r="AI66" i="21" a="1"/>
  <c r="AI66" i="21" s="1"/>
  <c r="AF66" i="21" a="1"/>
  <c r="AF66" i="21" s="1"/>
  <c r="AL66" i="21" a="1"/>
  <c r="AL66" i="21" s="1"/>
  <c r="FQ185" i="33"/>
  <c r="AN64" i="21" a="1"/>
  <c r="AN64" i="21" s="1"/>
  <c r="AG64" i="21" a="1"/>
  <c r="AG64" i="21" s="1"/>
  <c r="AO64" i="21" a="1"/>
  <c r="AO64" i="21" s="1"/>
  <c r="AH64" i="21" a="1"/>
  <c r="AH64" i="21" s="1"/>
  <c r="AP64" i="21" a="1"/>
  <c r="AP64" i="21" s="1"/>
  <c r="AI64" i="21" a="1"/>
  <c r="AI64" i="21" s="1"/>
  <c r="AM64" i="21" a="1"/>
  <c r="AM64" i="21" s="1"/>
  <c r="AF64" i="21" a="1"/>
  <c r="AF64" i="21" s="1"/>
  <c r="AE64" i="21" a="1"/>
  <c r="AE64" i="21" s="1"/>
  <c r="AD64" i="21" a="1"/>
  <c r="AD64" i="21" s="1"/>
  <c r="AK64" i="21" a="1"/>
  <c r="AK64" i="21" s="1"/>
  <c r="AL64" i="21" a="1"/>
  <c r="AL64" i="21" s="1"/>
  <c r="AD62" i="21" a="1"/>
  <c r="AD62" i="21" s="1"/>
  <c r="AK62" i="21" a="1"/>
  <c r="AK62" i="21" s="1"/>
  <c r="AM62" i="21" a="1"/>
  <c r="AM62" i="21" s="1"/>
  <c r="AE62" i="21" a="1"/>
  <c r="AE62" i="21" s="1"/>
  <c r="AF62" i="21" a="1"/>
  <c r="AF62" i="21" s="1"/>
  <c r="AN62" i="21" a="1"/>
  <c r="AN62" i="21" s="1"/>
  <c r="AG62" i="21" a="1"/>
  <c r="AG62" i="21" s="1"/>
  <c r="AO62" i="21" a="1"/>
  <c r="AO62" i="21" s="1"/>
  <c r="AP62" i="21" a="1"/>
  <c r="AP62" i="21" s="1"/>
  <c r="AH62" i="21" a="1"/>
  <c r="AH62" i="21" s="1"/>
  <c r="AI62" i="21" a="1"/>
  <c r="AI62" i="21" s="1"/>
  <c r="AL62" i="21" a="1"/>
  <c r="AL62" i="21" s="1"/>
  <c r="AD58" i="21" a="1"/>
  <c r="AD58" i="21" s="1"/>
  <c r="AL58" i="21" a="1"/>
  <c r="AL58" i="21" s="1"/>
  <c r="AM58" i="21" a="1"/>
  <c r="AM58" i="21" s="1"/>
  <c r="AN58" i="21" a="1"/>
  <c r="AN58" i="21" s="1"/>
  <c r="AO58" i="21" a="1"/>
  <c r="AO58" i="21" s="1"/>
  <c r="AP58" i="21" a="1"/>
  <c r="AP58" i="21" s="1"/>
  <c r="AE58" i="21" a="1"/>
  <c r="AE58" i="21" s="1"/>
  <c r="AF58" i="21" a="1"/>
  <c r="AF58" i="21" s="1"/>
  <c r="AG58" i="21" a="1"/>
  <c r="AG58" i="21" s="1"/>
  <c r="AK58" i="21" a="1"/>
  <c r="AK58" i="21" s="1"/>
  <c r="AI58" i="21" a="1"/>
  <c r="AI58" i="21" s="1"/>
  <c r="AH58" i="21" a="1"/>
  <c r="AH58" i="21" s="1"/>
  <c r="AE52" i="21" a="1"/>
  <c r="AE52" i="21" s="1"/>
  <c r="AF52" i="21" a="1"/>
  <c r="AF52" i="21" s="1"/>
  <c r="AH52" i="21" a="1"/>
  <c r="AH52" i="21" s="1"/>
  <c r="AI52" i="21" a="1"/>
  <c r="AI52" i="21" s="1"/>
  <c r="AK52" i="21" a="1"/>
  <c r="AK52" i="21" s="1"/>
  <c r="AL52" i="21" a="1"/>
  <c r="AL52" i="21" s="1"/>
  <c r="AM52" i="21" a="1"/>
  <c r="AM52" i="21" s="1"/>
  <c r="AN52" i="21" a="1"/>
  <c r="AN52" i="21" s="1"/>
  <c r="AD52" i="21" a="1"/>
  <c r="AD52" i="21" s="1"/>
  <c r="AG52" i="21" a="1"/>
  <c r="AG52" i="21" s="1"/>
  <c r="AO52" i="21" a="1"/>
  <c r="AO52" i="21" s="1"/>
  <c r="AP52" i="21" a="1"/>
  <c r="AP52" i="21" s="1"/>
  <c r="AF50" i="21" a="1"/>
  <c r="AF50" i="21" s="1"/>
  <c r="AG50" i="21" a="1"/>
  <c r="AG50" i="21" s="1"/>
  <c r="AM50" i="21" a="1"/>
  <c r="AM50" i="21" s="1"/>
  <c r="AK50" i="21" a="1"/>
  <c r="AK50" i="21" s="1"/>
  <c r="AH50" i="21" a="1"/>
  <c r="AH50" i="21" s="1"/>
  <c r="AN50" i="21" a="1"/>
  <c r="AN50" i="21" s="1"/>
  <c r="AL50" i="21" a="1"/>
  <c r="AL50" i="21" s="1"/>
  <c r="AI50" i="21" a="1"/>
  <c r="AI50" i="21" s="1"/>
  <c r="AP50" i="21" a="1"/>
  <c r="AP50" i="21" s="1"/>
  <c r="AD50" i="21" a="1"/>
  <c r="AD50" i="21" s="1"/>
  <c r="AE50" i="21" a="1"/>
  <c r="AE50" i="21" s="1"/>
  <c r="AO50" i="21" a="1"/>
  <c r="AO50" i="21" s="1"/>
  <c r="FP185" i="33"/>
  <c r="AD44" i="21" a="1"/>
  <c r="AD44" i="21" s="1"/>
  <c r="AK44" i="21" a="1"/>
  <c r="AK44" i="21" s="1"/>
  <c r="AL44" i="21" a="1"/>
  <c r="AL44" i="21" s="1"/>
  <c r="AM44" i="21" a="1"/>
  <c r="AM44" i="21" s="1"/>
  <c r="AE44" i="21" a="1"/>
  <c r="AE44" i="21" s="1"/>
  <c r="AN44" i="21" a="1"/>
  <c r="AN44" i="21" s="1"/>
  <c r="AH44" i="21" a="1"/>
  <c r="AH44" i="21" s="1"/>
  <c r="AI44" i="21" a="1"/>
  <c r="AI44" i="21" s="1"/>
  <c r="AO44" i="21" a="1"/>
  <c r="AO44" i="21" s="1"/>
  <c r="AP44" i="21" a="1"/>
  <c r="AP44" i="21" s="1"/>
  <c r="AF44" i="21" a="1"/>
  <c r="AF44" i="21" s="1"/>
  <c r="AG44" i="21" a="1"/>
  <c r="AG44" i="21" s="1"/>
  <c r="AK42" i="21" a="1"/>
  <c r="AK42" i="21" s="1"/>
  <c r="AN42" i="21" a="1"/>
  <c r="AN42" i="21" s="1"/>
  <c r="AL42" i="21" a="1"/>
  <c r="AL42" i="21" s="1"/>
  <c r="AO42" i="21" a="1"/>
  <c r="AO42" i="21" s="1"/>
  <c r="AM42" i="21" a="1"/>
  <c r="AM42" i="21" s="1"/>
  <c r="AD42" i="21" a="1"/>
  <c r="AD42" i="21" s="1"/>
  <c r="AH42" i="21" a="1"/>
  <c r="AH42" i="21" s="1"/>
  <c r="AI42" i="21" a="1"/>
  <c r="AI42" i="21" s="1"/>
  <c r="AP42" i="21" a="1"/>
  <c r="AP42" i="21" s="1"/>
  <c r="AE42" i="21" a="1"/>
  <c r="AE42" i="21" s="1"/>
  <c r="AG42" i="21" a="1"/>
  <c r="AG42" i="21" s="1"/>
  <c r="AF42" i="21" a="1"/>
  <c r="AF42" i="21" s="1"/>
  <c r="AI40" i="21" a="1"/>
  <c r="AI40" i="21" s="1"/>
  <c r="AK40" i="21" a="1"/>
  <c r="AK40" i="21" s="1"/>
  <c r="AL40" i="21" a="1"/>
  <c r="AL40" i="21" s="1"/>
  <c r="AN40" i="21" a="1"/>
  <c r="AN40" i="21" s="1"/>
  <c r="AO40" i="21" a="1"/>
  <c r="AO40" i="21" s="1"/>
  <c r="AF40" i="21" a="1"/>
  <c r="AF40" i="21" s="1"/>
  <c r="AH40" i="21" a="1"/>
  <c r="AH40" i="21" s="1"/>
  <c r="AE40" i="21" a="1"/>
  <c r="AE40" i="21" s="1"/>
  <c r="AM40" i="21" a="1"/>
  <c r="AM40" i="21" s="1"/>
  <c r="AG40" i="21" a="1"/>
  <c r="AG40" i="21" s="1"/>
  <c r="AP40" i="21" a="1"/>
  <c r="AP40" i="21" s="1"/>
  <c r="AD40" i="21" a="1"/>
  <c r="AD40" i="21" s="1"/>
  <c r="AG36" i="21" a="1"/>
  <c r="AG36" i="21" s="1"/>
  <c r="AH36" i="21" a="1"/>
  <c r="AH36" i="21" s="1"/>
  <c r="AD36" i="21" a="1"/>
  <c r="AD36" i="21" s="1"/>
  <c r="AI36" i="21" a="1"/>
  <c r="AI36" i="21" s="1"/>
  <c r="AK36" i="21" a="1"/>
  <c r="AK36" i="21" s="1"/>
  <c r="AL36" i="21" a="1"/>
  <c r="AL36" i="21" s="1"/>
  <c r="AO36" i="21" a="1"/>
  <c r="AO36" i="21" s="1"/>
  <c r="AP36" i="21" a="1"/>
  <c r="AP36" i="21" s="1"/>
  <c r="AF36" i="21" a="1"/>
  <c r="AF36" i="21" s="1"/>
  <c r="AM36" i="21" a="1"/>
  <c r="AM36" i="21" s="1"/>
  <c r="AE36" i="21" a="1"/>
  <c r="AE36" i="21" s="1"/>
  <c r="AN36" i="21" a="1"/>
  <c r="AN36" i="21" s="1"/>
  <c r="AD34" i="21" a="1"/>
  <c r="AD34" i="21" s="1"/>
  <c r="AL34" i="21" a="1"/>
  <c r="AL34" i="21" s="1"/>
  <c r="AM34" i="21" a="1"/>
  <c r="AM34" i="21" s="1"/>
  <c r="AK34" i="21" a="1"/>
  <c r="AK34" i="21" s="1"/>
  <c r="AO34" i="21" a="1"/>
  <c r="AO34" i="21" s="1"/>
  <c r="AE34" i="21" a="1"/>
  <c r="AE34" i="21" s="1"/>
  <c r="AF34" i="21" a="1"/>
  <c r="AF34" i="21" s="1"/>
  <c r="AG34" i="21" a="1"/>
  <c r="AG34" i="21" s="1"/>
  <c r="AH34" i="21" a="1"/>
  <c r="AH34" i="21" s="1"/>
  <c r="AI34" i="21" a="1"/>
  <c r="AI34" i="21" s="1"/>
  <c r="AN34" i="21" a="1"/>
  <c r="AN34" i="21" s="1"/>
  <c r="AP34" i="21" a="1"/>
  <c r="AP34" i="21" s="1"/>
  <c r="AD32" i="21" a="1"/>
  <c r="AD32" i="21" s="1"/>
  <c r="AG32" i="21" a="1"/>
  <c r="AG32" i="21" s="1"/>
  <c r="AH32" i="21" a="1"/>
  <c r="AH32" i="21" s="1"/>
  <c r="AE32" i="21" a="1"/>
  <c r="AE32" i="21" s="1"/>
  <c r="AF32" i="21" a="1"/>
  <c r="AF32" i="21" s="1"/>
  <c r="AK32" i="21" a="1"/>
  <c r="AK32" i="21" s="1"/>
  <c r="AL32" i="21" a="1"/>
  <c r="AL32" i="21" s="1"/>
  <c r="AO32" i="21" a="1"/>
  <c r="AO32" i="21" s="1"/>
  <c r="AP32" i="21" a="1"/>
  <c r="AP32" i="21" s="1"/>
  <c r="AM32" i="21" a="1"/>
  <c r="AM32" i="21" s="1"/>
  <c r="AI32" i="21" a="1"/>
  <c r="AI32" i="21" s="1"/>
  <c r="AN32" i="21" a="1"/>
  <c r="AN32" i="21" s="1"/>
  <c r="AE28" i="21" a="1"/>
  <c r="AE28" i="21" s="1"/>
  <c r="AK28" i="21" a="1"/>
  <c r="AK28" i="21" s="1"/>
  <c r="AM28" i="21" a="1"/>
  <c r="AM28" i="21" s="1"/>
  <c r="AN28" i="21" a="1"/>
  <c r="AN28" i="21" s="1"/>
  <c r="AH28" i="21" a="1"/>
  <c r="AH28" i="21" s="1"/>
  <c r="AP28" i="21" a="1"/>
  <c r="AP28" i="21" s="1"/>
  <c r="AL28" i="21" a="1"/>
  <c r="AL28" i="21" s="1"/>
  <c r="AO28" i="21" a="1"/>
  <c r="AO28" i="21" s="1"/>
  <c r="AD28" i="21" a="1"/>
  <c r="AD28" i="21" s="1"/>
  <c r="AF28" i="21" a="1"/>
  <c r="AF28" i="21" s="1"/>
  <c r="AG28" i="21" a="1"/>
  <c r="AG28" i="21" s="1"/>
  <c r="AI28" i="21" a="1"/>
  <c r="AI28" i="21" s="1"/>
  <c r="AD26" i="21" a="1"/>
  <c r="AD26" i="21" s="1"/>
  <c r="AN26" i="21" a="1"/>
  <c r="AN26" i="21" s="1"/>
  <c r="AH26" i="21" a="1"/>
  <c r="AH26" i="21" s="1"/>
  <c r="AO26" i="21" a="1"/>
  <c r="AO26" i="21" s="1"/>
  <c r="AI26" i="21" a="1"/>
  <c r="AI26" i="21" s="1"/>
  <c r="AM26" i="21" a="1"/>
  <c r="AM26" i="21" s="1"/>
  <c r="AP26" i="21" a="1"/>
  <c r="AP26" i="21" s="1"/>
  <c r="AE26" i="21" a="1"/>
  <c r="AE26" i="21" s="1"/>
  <c r="AG26" i="21" a="1"/>
  <c r="AG26" i="21" s="1"/>
  <c r="AF26" i="21" a="1"/>
  <c r="AF26" i="21" s="1"/>
  <c r="AK26" i="21" a="1"/>
  <c r="AK26" i="21" s="1"/>
  <c r="AL26" i="21" a="1"/>
  <c r="AL26" i="21" s="1"/>
  <c r="AK24" i="21" a="1"/>
  <c r="AK24" i="21" s="1"/>
  <c r="AL24" i="21" a="1"/>
  <c r="AL24" i="21" s="1"/>
  <c r="AM24" i="21" a="1"/>
  <c r="AM24" i="21" s="1"/>
  <c r="AF24" i="21" a="1"/>
  <c r="AF24" i="21" s="1"/>
  <c r="AO24" i="21" a="1"/>
  <c r="AO24" i="21" s="1"/>
  <c r="AP24" i="21" a="1"/>
  <c r="AP24" i="21" s="1"/>
  <c r="AH24" i="21" a="1"/>
  <c r="AH24" i="21" s="1"/>
  <c r="AI24" i="21" a="1"/>
  <c r="AI24" i="21" s="1"/>
  <c r="AD24" i="21" a="1"/>
  <c r="AD24" i="21" s="1"/>
  <c r="AE24" i="21" a="1"/>
  <c r="AE24" i="21" s="1"/>
  <c r="AG24" i="21" a="1"/>
  <c r="AG24" i="21" s="1"/>
  <c r="AN24" i="21" a="1"/>
  <c r="AN24" i="21" s="1"/>
  <c r="AK20" i="21" a="1"/>
  <c r="AK20" i="21" s="1"/>
  <c r="AN20" i="21" a="1"/>
  <c r="AN20" i="21" s="1"/>
  <c r="AO20" i="21" a="1"/>
  <c r="AO20" i="21" s="1"/>
  <c r="AE20" i="21" a="1"/>
  <c r="AE20" i="21" s="1"/>
  <c r="AG20" i="21" a="1"/>
  <c r="AG20" i="21" s="1"/>
  <c r="AD20" i="21" a="1"/>
  <c r="AD20" i="21" s="1"/>
  <c r="AH20" i="21" a="1"/>
  <c r="AH20" i="21" s="1"/>
  <c r="AI20" i="21" a="1"/>
  <c r="AI20" i="21" s="1"/>
  <c r="AF20" i="21" a="1"/>
  <c r="AF20" i="21" s="1"/>
  <c r="AL20" i="21" a="1"/>
  <c r="AL20" i="21" s="1"/>
  <c r="AM20" i="21" a="1"/>
  <c r="AM20" i="21" s="1"/>
  <c r="AP20" i="21" a="1"/>
  <c r="AP20" i="21" s="1"/>
  <c r="AF18" i="21" a="1"/>
  <c r="AF18" i="21" s="1"/>
  <c r="AG18" i="21" a="1"/>
  <c r="AG18" i="21" s="1"/>
  <c r="AH18" i="21" a="1"/>
  <c r="AH18" i="21" s="1"/>
  <c r="AI18" i="21" a="1"/>
  <c r="AI18" i="21" s="1"/>
  <c r="AD18" i="21" a="1"/>
  <c r="AD18" i="21" s="1"/>
  <c r="AK18" i="21" a="1"/>
  <c r="AK18" i="21" s="1"/>
  <c r="AL18" i="21" a="1"/>
  <c r="AL18" i="21" s="1"/>
  <c r="AP18" i="21" a="1"/>
  <c r="AP18" i="21" s="1"/>
  <c r="AE18" i="21" a="1"/>
  <c r="AE18" i="21" s="1"/>
  <c r="AM18" i="21" a="1"/>
  <c r="AM18" i="21" s="1"/>
  <c r="AN18" i="21" a="1"/>
  <c r="AN18" i="21" s="1"/>
  <c r="AO18" i="21" a="1"/>
  <c r="AO18" i="21" s="1"/>
  <c r="FM185" i="33"/>
  <c r="AF70" i="21" a="1"/>
  <c r="AF70" i="21" s="1"/>
  <c r="AG70" i="21" a="1"/>
  <c r="AG70" i="21" s="1"/>
  <c r="AE70" i="21" a="1"/>
  <c r="AE70" i="21" s="1"/>
  <c r="AD70" i="21" a="1"/>
  <c r="AD70" i="21" s="1"/>
  <c r="AK70" i="21" a="1"/>
  <c r="AK70" i="21" s="1"/>
  <c r="AL70" i="21" a="1"/>
  <c r="AL70" i="21" s="1"/>
  <c r="AM70" i="21" a="1"/>
  <c r="AM70" i="21" s="1"/>
  <c r="AN70" i="21" a="1"/>
  <c r="AN70" i="21" s="1"/>
  <c r="AO70" i="21" a="1"/>
  <c r="AO70" i="21" s="1"/>
  <c r="AP70" i="21" a="1"/>
  <c r="AP70" i="21" s="1"/>
  <c r="AH70" i="21" a="1"/>
  <c r="AH70" i="21" s="1"/>
  <c r="AI70" i="21" a="1"/>
  <c r="AI70" i="21" s="1"/>
  <c r="AR65" i="21"/>
  <c r="AE56" i="21" a="1"/>
  <c r="AE56" i="21" s="1"/>
  <c r="AH56" i="21" a="1"/>
  <c r="AH56" i="21" s="1"/>
  <c r="AK56" i="21" a="1"/>
  <c r="AK56" i="21" s="1"/>
  <c r="AL56" i="21" a="1"/>
  <c r="AL56" i="21" s="1"/>
  <c r="AM56" i="21" a="1"/>
  <c r="AM56" i="21" s="1"/>
  <c r="AP56" i="21" a="1"/>
  <c r="AP56" i="21" s="1"/>
  <c r="AD56" i="21" a="1"/>
  <c r="AD56" i="21" s="1"/>
  <c r="AF56" i="21" a="1"/>
  <c r="AF56" i="21" s="1"/>
  <c r="AG56" i="21" a="1"/>
  <c r="AG56" i="21" s="1"/>
  <c r="AI56" i="21" a="1"/>
  <c r="AI56" i="21" s="1"/>
  <c r="AN56" i="21" a="1"/>
  <c r="AN56" i="21" s="1"/>
  <c r="AO56" i="21" a="1"/>
  <c r="AO56" i="21" s="1"/>
  <c r="AE46" i="21" a="1"/>
  <c r="AE46" i="21" s="1"/>
  <c r="AL46" i="21" a="1"/>
  <c r="AL46" i="21" s="1"/>
  <c r="AG46" i="21" a="1"/>
  <c r="AG46" i="21" s="1"/>
  <c r="AM46" i="21" a="1"/>
  <c r="AM46" i="21" s="1"/>
  <c r="AN46" i="21" a="1"/>
  <c r="AN46" i="21" s="1"/>
  <c r="AF46" i="21" a="1"/>
  <c r="AF46" i="21" s="1"/>
  <c r="AK46" i="21" a="1"/>
  <c r="AK46" i="21" s="1"/>
  <c r="AD46" i="21" a="1"/>
  <c r="AD46" i="21" s="1"/>
  <c r="AH46" i="21" a="1"/>
  <c r="AH46" i="21" s="1"/>
  <c r="AI46" i="21" a="1"/>
  <c r="AI46" i="21" s="1"/>
  <c r="AO46" i="21" a="1"/>
  <c r="AO46" i="21" s="1"/>
  <c r="AP46" i="21" a="1"/>
  <c r="AP46" i="21" s="1"/>
  <c r="FL185" i="33"/>
  <c r="AR63" i="21"/>
  <c r="AR4" i="21"/>
  <c r="FK168" i="33"/>
  <c r="FL168" i="33"/>
  <c r="FQ168" i="33"/>
  <c r="FJ168" i="33"/>
  <c r="AK10" i="9" a="1"/>
  <c r="AK10" i="9" s="1"/>
  <c r="AI10" i="9" a="1"/>
  <c r="AI10" i="9" s="1"/>
  <c r="CN154" i="33"/>
  <c r="AG5" i="9" a="1"/>
  <c r="AG5" i="9" s="1"/>
  <c r="AF5" i="9" a="1"/>
  <c r="AF5" i="9" s="1"/>
  <c r="AE5" i="9" a="1"/>
  <c r="AE5" i="9" s="1"/>
  <c r="Y154" i="33"/>
  <c r="M168" i="33"/>
  <c r="AR28" i="21"/>
  <c r="AR6" i="21"/>
  <c r="AR7" i="21"/>
  <c r="AR46" i="21"/>
  <c r="AR33" i="21"/>
  <c r="AR22" i="21"/>
  <c r="AR52" i="21"/>
  <c r="AR9" i="21"/>
  <c r="AR57" i="21"/>
  <c r="AR42" i="21"/>
  <c r="AR55" i="21"/>
  <c r="AR69" i="21"/>
  <c r="AR12" i="21"/>
  <c r="AR54" i="21"/>
  <c r="AR70" i="21"/>
  <c r="AR59" i="21"/>
  <c r="AR23" i="21"/>
  <c r="AR62" i="21"/>
  <c r="AR64" i="21"/>
  <c r="AR39" i="21"/>
  <c r="AR15" i="21"/>
  <c r="AR25" i="21"/>
  <c r="AR38" i="21"/>
  <c r="AR41" i="21"/>
  <c r="AR68" i="21"/>
  <c r="AR60" i="21"/>
  <c r="AR36" i="21"/>
  <c r="AR49" i="21"/>
  <c r="K13" i="21"/>
  <c r="AR20" i="21"/>
  <c r="AR17" i="21"/>
  <c r="AR21" i="21"/>
  <c r="AR35" i="21"/>
  <c r="AR45" i="21"/>
  <c r="AR61" i="21"/>
  <c r="AR53" i="21"/>
  <c r="AR34" i="21"/>
  <c r="AR27" i="21"/>
  <c r="AR40" i="21"/>
  <c r="AR16" i="21"/>
  <c r="AR24" i="21"/>
  <c r="AR29" i="21"/>
  <c r="AR71" i="21"/>
  <c r="AR11" i="21"/>
  <c r="AR66" i="21"/>
  <c r="AR50" i="21"/>
  <c r="AR48" i="21"/>
  <c r="AR58" i="21"/>
  <c r="AR47" i="21"/>
  <c r="AR10" i="21"/>
  <c r="AR26" i="21"/>
  <c r="AR19" i="21"/>
  <c r="AR18" i="21"/>
  <c r="L13" i="21"/>
  <c r="AR5" i="21"/>
  <c r="AR56" i="21"/>
  <c r="AR32" i="21"/>
  <c r="AR31" i="21"/>
  <c r="AR43" i="21"/>
  <c r="AR37" i="21"/>
  <c r="AR13" i="21"/>
  <c r="AR8" i="21"/>
  <c r="AR72" i="21"/>
  <c r="AR67" i="21"/>
  <c r="M185" i="33"/>
  <c r="L168" i="33"/>
  <c r="L185" i="33"/>
  <c r="FO154" i="33"/>
  <c r="FK154" i="33"/>
  <c r="FN154" i="33"/>
  <c r="FJ154" i="33"/>
  <c r="FL154" i="33"/>
  <c r="FM154" i="33"/>
  <c r="FQ154" i="33"/>
  <c r="FP154" i="33"/>
  <c r="CL154" i="33"/>
  <c r="CK154" i="33"/>
  <c r="CI154" i="33"/>
  <c r="CM154" i="33"/>
  <c r="CH154" i="33"/>
  <c r="CG154" i="33"/>
  <c r="EA154" i="33"/>
  <c r="DW154" i="33"/>
  <c r="DZ154" i="33"/>
  <c r="DV154" i="33"/>
  <c r="EC154" i="33"/>
  <c r="EB154" i="33"/>
  <c r="DX154" i="33"/>
  <c r="Y185" i="33"/>
  <c r="AH10" i="9" a="1"/>
  <c r="AH10" i="9" s="1"/>
  <c r="AG10" i="9" a="1"/>
  <c r="AG10" i="9" s="1"/>
  <c r="AF10" i="9" a="1"/>
  <c r="AF10" i="9" s="1"/>
  <c r="AL12" i="9" a="1"/>
  <c r="AL12" i="9" s="1"/>
  <c r="AN45" i="9" a="1"/>
  <c r="AN45" i="9" s="1"/>
  <c r="AE10" i="9" a="1"/>
  <c r="AE10" i="9" s="1"/>
  <c r="AD28" i="9" a="1"/>
  <c r="AD28" i="9" s="1"/>
  <c r="AG3" i="9" a="1"/>
  <c r="AG3" i="9" s="1"/>
  <c r="AF3" i="9" a="1"/>
  <c r="AF3" i="9" s="1"/>
  <c r="AK46" i="9" a="1"/>
  <c r="AK46" i="9" s="1"/>
  <c r="AO45" i="9" a="1"/>
  <c r="AO45" i="9" s="1"/>
  <c r="AM12" i="9" a="1"/>
  <c r="AM12" i="9" s="1"/>
  <c r="AI17" i="9" a="1"/>
  <c r="AI17" i="9" s="1"/>
  <c r="AH16" i="9" a="1"/>
  <c r="AH16" i="9" s="1"/>
  <c r="AG16" i="9" a="1"/>
  <c r="AG16" i="9" s="1"/>
  <c r="AF16" i="9" a="1"/>
  <c r="AF16" i="9" s="1"/>
  <c r="AD11" i="9" a="1"/>
  <c r="AD11" i="9" s="1"/>
  <c r="AI5" i="9" a="1"/>
  <c r="AI5" i="9" s="1"/>
  <c r="AL13" i="9" a="1"/>
  <c r="AL13" i="9" s="1"/>
  <c r="AK13" i="9" a="1"/>
  <c r="AK13" i="9" s="1"/>
  <c r="AR12" i="9"/>
  <c r="AO12" i="9" a="1"/>
  <c r="AO12" i="9" s="1"/>
  <c r="AN12" i="9" a="1"/>
  <c r="AN12" i="9" s="1"/>
  <c r="AH31" i="9" a="1"/>
  <c r="AH31" i="9" s="1"/>
  <c r="AP40" i="9" a="1"/>
  <c r="AP40" i="9" s="1"/>
  <c r="AD31" i="9" a="1"/>
  <c r="AD31" i="9" s="1"/>
  <c r="AO40" i="9" a="1"/>
  <c r="AO40" i="9" s="1"/>
  <c r="AR31" i="9"/>
  <c r="AE16" i="9" a="1"/>
  <c r="AE16" i="9" s="1"/>
  <c r="AD16" i="9" a="1"/>
  <c r="AD16" i="9" s="1"/>
  <c r="AO17" i="9" a="1"/>
  <c r="AO17" i="9" s="1"/>
  <c r="AP31" i="9" a="1"/>
  <c r="AP31" i="9" s="1"/>
  <c r="AL18" i="9" a="1"/>
  <c r="AL18" i="9" s="1"/>
  <c r="AG12" i="9" a="1"/>
  <c r="AG12" i="9" s="1"/>
  <c r="AM17" i="9" a="1"/>
  <c r="AM17" i="9" s="1"/>
  <c r="AL40" i="9" a="1"/>
  <c r="AL40" i="9" s="1"/>
  <c r="AK40" i="9" a="1"/>
  <c r="AK40" i="9" s="1"/>
  <c r="AF12" i="9" a="1"/>
  <c r="AF12" i="9" s="1"/>
  <c r="AL17" i="9" a="1"/>
  <c r="AL17" i="9" s="1"/>
  <c r="AD12" i="9" a="1"/>
  <c r="AD12" i="9" s="1"/>
  <c r="AE11" i="9" a="1"/>
  <c r="AE11" i="9" s="1"/>
  <c r="AM13" i="9" a="1"/>
  <c r="AM13" i="9" s="1"/>
  <c r="AH40" i="9" a="1"/>
  <c r="AH40" i="9" s="1"/>
  <c r="AO11" i="9" a="1"/>
  <c r="AO11" i="9" s="1"/>
  <c r="AG40" i="9" a="1"/>
  <c r="AG40" i="9" s="1"/>
  <c r="AR4" i="9"/>
  <c r="AN40" i="9" a="1"/>
  <c r="AN40" i="9" s="1"/>
  <c r="AF40" i="9" a="1"/>
  <c r="AF40" i="9" s="1"/>
  <c r="AP4" i="9" a="1"/>
  <c r="AP4" i="9" s="1"/>
  <c r="AM4" i="9" a="1"/>
  <c r="AM4" i="9" s="1"/>
  <c r="AG38" i="9" a="1"/>
  <c r="AG38" i="9" s="1"/>
  <c r="AL4" i="9" a="1"/>
  <c r="AL4" i="9" s="1"/>
  <c r="AG37" i="9" a="1"/>
  <c r="AG37" i="9" s="1"/>
  <c r="AR3" i="9"/>
  <c r="AI33" i="9" a="1"/>
  <c r="AI33" i="9" s="1"/>
  <c r="AM41" i="9" a="1"/>
  <c r="AM41" i="9" s="1"/>
  <c r="AP3" i="9" a="1"/>
  <c r="AP3" i="9" s="1"/>
  <c r="AE40" i="9" a="1"/>
  <c r="AE40" i="9" s="1"/>
  <c r="AK4" i="9" a="1"/>
  <c r="AK4" i="9" s="1"/>
  <c r="AF37" i="9" a="1"/>
  <c r="AF37" i="9" s="1"/>
  <c r="AF33" i="9" a="1"/>
  <c r="AF33" i="9" s="1"/>
  <c r="AK41" i="9" a="1"/>
  <c r="AK41" i="9" s="1"/>
  <c r="AO3" i="9" a="1"/>
  <c r="AO3" i="9" s="1"/>
  <c r="AR40" i="9"/>
  <c r="AM23" i="9" a="1"/>
  <c r="AM23" i="9" s="1"/>
  <c r="AD23" i="9" a="1"/>
  <c r="AD23" i="9" s="1"/>
  <c r="AE23" i="9" a="1"/>
  <c r="AE23" i="9" s="1"/>
  <c r="AH44" i="9" a="1"/>
  <c r="AH44" i="9" s="1"/>
  <c r="AD44" i="9" a="1"/>
  <c r="AD44" i="9" s="1"/>
  <c r="AF22" i="9" a="1"/>
  <c r="AF22" i="9" s="1"/>
  <c r="AE21" i="9" a="1"/>
  <c r="AE21" i="9" s="1"/>
  <c r="AO21" i="9" a="1"/>
  <c r="AO21" i="9" s="1"/>
  <c r="AP21" i="9" a="1"/>
  <c r="AP21" i="9" s="1"/>
  <c r="AI21" i="9" a="1"/>
  <c r="AI21" i="9" s="1"/>
  <c r="AH5" i="9" a="1"/>
  <c r="AH5" i="9" s="1"/>
  <c r="AG21" i="9" a="1"/>
  <c r="AG21" i="9" s="1"/>
  <c r="AD17" i="9" a="1"/>
  <c r="AD17" i="9" s="1"/>
  <c r="AE17" i="9" a="1"/>
  <c r="AE17" i="9" s="1"/>
  <c r="AF17" i="9" a="1"/>
  <c r="AF17" i="9" s="1"/>
  <c r="AP17" i="9" a="1"/>
  <c r="AP17" i="9" s="1"/>
  <c r="AR17" i="9"/>
  <c r="AH17" i="9" a="1"/>
  <c r="AH17" i="9" s="1"/>
  <c r="AK17" i="9" a="1"/>
  <c r="AK17" i="9" s="1"/>
  <c r="AL16" i="9" a="1"/>
  <c r="AL16" i="9" s="1"/>
  <c r="AI16" i="9" a="1"/>
  <c r="AI16" i="9" s="1"/>
  <c r="AG44" i="9" a="1"/>
  <c r="AG44" i="9" s="1"/>
  <c r="AG17" i="9" a="1"/>
  <c r="AG17" i="9" s="1"/>
  <c r="AR16" i="9"/>
  <c r="AL14" i="9" a="1"/>
  <c r="AL14" i="9" s="1"/>
  <c r="AK14" i="9" a="1"/>
  <c r="AK14" i="9" s="1"/>
  <c r="AH14" i="9" a="1"/>
  <c r="AH14" i="9" s="1"/>
  <c r="AI42" i="9" a="1"/>
  <c r="AI42" i="9" s="1"/>
  <c r="AO43" i="9" a="1"/>
  <c r="AO43" i="9" s="1"/>
  <c r="AF43" i="9" a="1"/>
  <c r="AF43" i="9" s="1"/>
  <c r="AG43" i="9" a="1"/>
  <c r="AG43" i="9" s="1"/>
  <c r="AH43" i="9" a="1"/>
  <c r="AH43" i="9" s="1"/>
  <c r="AI43" i="9" a="1"/>
  <c r="AI43" i="9" s="1"/>
  <c r="AL15" i="9" a="1"/>
  <c r="AL15" i="9" s="1"/>
  <c r="AN15" i="9" a="1"/>
  <c r="AN15" i="9" s="1"/>
  <c r="AD15" i="9" a="1"/>
  <c r="AD15" i="9" s="1"/>
  <c r="AG15" i="9" a="1"/>
  <c r="AG15" i="9" s="1"/>
  <c r="AH15" i="9" a="1"/>
  <c r="AH15" i="9" s="1"/>
  <c r="AI15" i="9" a="1"/>
  <c r="AI15" i="9" s="1"/>
  <c r="AH42" i="9" a="1"/>
  <c r="AH42" i="9" s="1"/>
  <c r="AR22" i="9"/>
  <c r="AP22" i="9" a="1"/>
  <c r="AP22" i="9" s="1"/>
  <c r="AE22" i="9" a="1"/>
  <c r="AE22" i="9" s="1"/>
  <c r="AG42" i="9" a="1"/>
  <c r="AG42" i="9" s="1"/>
  <c r="AR44" i="9"/>
  <c r="AN41" i="9" a="1"/>
  <c r="AN41" i="9" s="1"/>
  <c r="AM9" i="9" a="1"/>
  <c r="AM9" i="9" s="1"/>
  <c r="AK5" i="9" a="1"/>
  <c r="AK5" i="9" s="1"/>
  <c r="AR5" i="9"/>
  <c r="AD5" i="9" a="1"/>
  <c r="AD5" i="9" s="1"/>
  <c r="AD8" i="9" a="1"/>
  <c r="AD8" i="9" s="1"/>
  <c r="AP8" i="9" a="1"/>
  <c r="AP8" i="9" s="1"/>
  <c r="AG8" i="9" a="1"/>
  <c r="AG8" i="9" s="1"/>
  <c r="AR8" i="9"/>
  <c r="AH8" i="9" a="1"/>
  <c r="AH8" i="9" s="1"/>
  <c r="AI8" i="9" a="1"/>
  <c r="AI8" i="9" s="1"/>
  <c r="AN8" i="9" a="1"/>
  <c r="AN8" i="9" s="1"/>
  <c r="AM8" i="9" a="1"/>
  <c r="AM8" i="9" s="1"/>
  <c r="AE33" i="9" a="1"/>
  <c r="AE33" i="9" s="1"/>
  <c r="AH9" i="9" a="1"/>
  <c r="AH9" i="9" s="1"/>
  <c r="AL8" i="9" a="1"/>
  <c r="AL8" i="9" s="1"/>
  <c r="AD33" i="9" a="1"/>
  <c r="AD33" i="9" s="1"/>
  <c r="AF9" i="9" a="1"/>
  <c r="AF9" i="9" s="1"/>
  <c r="AL27" i="9" a="1"/>
  <c r="AL27" i="9" s="1"/>
  <c r="AK8" i="9" a="1"/>
  <c r="AK8" i="9" s="1"/>
  <c r="AF7" i="9" a="1"/>
  <c r="AF7" i="9" s="1"/>
  <c r="AK7" i="9" a="1"/>
  <c r="AK7" i="9" s="1"/>
  <c r="AN7" i="9" a="1"/>
  <c r="AN7" i="9" s="1"/>
  <c r="AO7" i="9" a="1"/>
  <c r="AO7" i="9" s="1"/>
  <c r="AK6" i="9" a="1"/>
  <c r="AK6" i="9" s="1"/>
  <c r="AN6" i="9" a="1"/>
  <c r="AN6" i="9" s="1"/>
  <c r="AL6" i="9" a="1"/>
  <c r="AL6" i="9" s="1"/>
  <c r="AB6" i="9" s="1"/>
  <c r="AM6" i="9" a="1"/>
  <c r="AM6" i="9" s="1"/>
  <c r="AO6" i="9" a="1"/>
  <c r="AO6" i="9" s="1"/>
  <c r="AP6" i="9" a="1"/>
  <c r="AP6" i="9" s="1"/>
  <c r="AR6" i="9"/>
  <c r="AD6" i="9" a="1"/>
  <c r="AD6" i="9" s="1"/>
  <c r="AN9" i="9" a="1"/>
  <c r="AN9" i="9" s="1"/>
  <c r="AI32" i="9" a="1"/>
  <c r="AI32" i="9" s="1"/>
  <c r="AR7" i="9"/>
  <c r="AE7" i="9" a="1"/>
  <c r="AE7" i="9" s="1"/>
  <c r="AL23" i="9" a="1"/>
  <c r="AL23" i="9" s="1"/>
  <c r="AP7" i="9" a="1"/>
  <c r="AP7" i="9" s="1"/>
  <c r="AO8" i="9" a="1"/>
  <c r="AO8" i="9" s="1"/>
  <c r="AD7" i="9" a="1"/>
  <c r="AD7" i="9" s="1"/>
  <c r="AO22" i="9" a="1"/>
  <c r="AO22" i="9" s="1"/>
  <c r="AR27" i="9"/>
  <c r="AM27" i="9" a="1"/>
  <c r="AM27" i="9" s="1"/>
  <c r="AH27" i="9" a="1"/>
  <c r="AH27" i="9" s="1"/>
  <c r="AI27" i="9" a="1"/>
  <c r="AI27" i="9" s="1"/>
  <c r="AI6" i="9" a="1"/>
  <c r="AI6" i="9" s="1"/>
  <c r="AN22" i="9" a="1"/>
  <c r="AN22" i="9" s="1"/>
  <c r="AL26" i="9" a="1"/>
  <c r="AL26" i="9" s="1"/>
  <c r="AR26" i="9"/>
  <c r="AH6" i="9" a="1"/>
  <c r="AH6" i="9" s="1"/>
  <c r="AH22" i="9" a="1"/>
  <c r="AH22" i="9" s="1"/>
  <c r="AG6" i="9" a="1"/>
  <c r="AG6" i="9" s="1"/>
  <c r="AL22" i="9" a="1"/>
  <c r="AL22" i="9" s="1"/>
  <c r="AO9" i="9" a="1"/>
  <c r="AO9" i="9" s="1"/>
  <c r="AK9" i="9" a="1"/>
  <c r="AK9" i="9" s="1"/>
  <c r="AD9" i="9" a="1"/>
  <c r="AD9" i="9" s="1"/>
  <c r="AM22" i="9" a="1"/>
  <c r="AM22" i="9" s="1"/>
  <c r="AD45" i="9" a="1"/>
  <c r="AD45" i="9" s="1"/>
  <c r="AK45" i="9" a="1"/>
  <c r="AK45" i="9" s="1"/>
  <c r="AL45" i="9" a="1"/>
  <c r="AL45" i="9" s="1"/>
  <c r="AM45" i="9" a="1"/>
  <c r="AM45" i="9" s="1"/>
  <c r="AG22" i="9" a="1"/>
  <c r="AG22" i="9" s="1"/>
  <c r="AF6" i="9" a="1"/>
  <c r="AF6" i="9" s="1"/>
  <c r="AK22" i="9" a="1"/>
  <c r="AK22" i="9" s="1"/>
  <c r="AP18" i="9" a="1"/>
  <c r="AP18" i="9" s="1"/>
  <c r="AN18" i="9" a="1"/>
  <c r="AN18" i="9" s="1"/>
  <c r="AO18" i="9" a="1"/>
  <c r="AO18" i="9" s="1"/>
  <c r="AM40" i="9" a="1"/>
  <c r="AM40" i="9" s="1"/>
  <c r="AI40" i="9" a="1"/>
  <c r="AI40" i="9" s="1"/>
  <c r="AG4" i="9" a="1"/>
  <c r="AG4" i="9" s="1"/>
  <c r="AE4" i="9" a="1"/>
  <c r="AE4" i="9" s="1"/>
  <c r="AF4" i="9" a="1"/>
  <c r="AF4" i="9" s="1"/>
  <c r="AH4" i="9" a="1"/>
  <c r="AH4" i="9" s="1"/>
  <c r="AI4" i="9" a="1"/>
  <c r="AI4" i="9" s="1"/>
  <c r="AO4" i="9" a="1"/>
  <c r="AO4" i="9" s="1"/>
  <c r="AD4" i="9" a="1"/>
  <c r="AD4" i="9" s="1"/>
  <c r="AK3" i="9" a="1"/>
  <c r="AK3" i="9" s="1"/>
  <c r="AL3" i="9" a="1"/>
  <c r="AL3" i="9" s="1"/>
  <c r="AM3" i="9" a="1"/>
  <c r="AM3" i="9" s="1"/>
  <c r="AH3" i="9" a="1"/>
  <c r="AH3" i="9" s="1"/>
  <c r="AH37" i="9" a="1"/>
  <c r="AH37" i="9" s="1"/>
  <c r="AI3" i="9" a="1"/>
  <c r="AI3" i="9" s="1"/>
  <c r="AM18" i="9" a="1"/>
  <c r="AM18" i="9" s="1"/>
  <c r="AD38" i="9" a="1"/>
  <c r="AD38" i="9" s="1"/>
  <c r="AE38" i="9" a="1"/>
  <c r="AE38" i="9" s="1"/>
  <c r="AF38" i="9" a="1"/>
  <c r="AF38" i="9" s="1"/>
  <c r="AE3" i="9" a="1"/>
  <c r="AE3" i="9" s="1"/>
  <c r="AE31" i="9" a="1"/>
  <c r="AE31" i="9" s="1"/>
  <c r="AL31" i="9" a="1"/>
  <c r="AL31" i="9" s="1"/>
  <c r="AM31" i="9" a="1"/>
  <c r="AM31" i="9" s="1"/>
  <c r="AN31" i="9" a="1"/>
  <c r="AN31" i="9" s="1"/>
  <c r="AO31" i="9" a="1"/>
  <c r="AO31" i="9" s="1"/>
  <c r="AK37" i="9" a="1"/>
  <c r="AK37" i="9" s="1"/>
  <c r="AI37" i="9" a="1"/>
  <c r="AI37" i="9" s="1"/>
  <c r="AD37" i="9" a="1"/>
  <c r="AD37" i="9" s="1"/>
  <c r="AD3" i="9" a="1"/>
  <c r="AD3" i="9" s="1"/>
  <c r="AI11" i="9" a="1"/>
  <c r="AI11" i="9" s="1"/>
  <c r="AH11" i="9" a="1"/>
  <c r="AH11" i="9" s="1"/>
  <c r="AR13" i="9"/>
  <c r="AG11" i="9" a="1"/>
  <c r="AG11" i="9" s="1"/>
  <c r="AO13" i="9" a="1"/>
  <c r="AO13" i="9" s="1"/>
  <c r="AF11" i="9" a="1"/>
  <c r="AF11" i="9" s="1"/>
  <c r="AN13" i="9" a="1"/>
  <c r="AN13" i="9" s="1"/>
  <c r="AE39" i="9" a="1"/>
  <c r="AE39" i="9" s="1"/>
  <c r="AR36" i="9"/>
  <c r="AM32" i="9" a="1"/>
  <c r="AM32" i="9" s="1"/>
  <c r="AP27" i="9" a="1"/>
  <c r="AP27" i="9" s="1"/>
  <c r="AG28" i="9" a="1"/>
  <c r="AG28" i="9" s="1"/>
  <c r="AD39" i="9" a="1"/>
  <c r="AD39" i="9" s="1"/>
  <c r="AH33" i="9" a="1"/>
  <c r="AH33" i="9" s="1"/>
  <c r="AF28" i="9" a="1"/>
  <c r="AF28" i="9" s="1"/>
  <c r="AP36" i="9" a="1"/>
  <c r="AP36" i="9" s="1"/>
  <c r="AL32" i="9" a="1"/>
  <c r="AL32" i="9" s="1"/>
  <c r="AO27" i="9" a="1"/>
  <c r="AO27" i="9" s="1"/>
  <c r="AK23" i="9" a="1"/>
  <c r="AK23" i="9" s="1"/>
  <c r="AE44" i="9" a="1"/>
  <c r="AE44" i="9" s="1"/>
  <c r="AI38" i="9" a="1"/>
  <c r="AI38" i="9" s="1"/>
  <c r="AG33" i="9" a="1"/>
  <c r="AG33" i="9" s="1"/>
  <c r="AE28" i="9" a="1"/>
  <c r="AE28" i="9" s="1"/>
  <c r="AI22" i="9" a="1"/>
  <c r="AI22" i="9" s="1"/>
  <c r="AE12" i="9" a="1"/>
  <c r="AE12" i="9" s="1"/>
  <c r="AP45" i="9" a="1"/>
  <c r="AP45" i="9" s="1"/>
  <c r="AL41" i="9" a="1"/>
  <c r="AL41" i="9" s="1"/>
  <c r="AO36" i="9" a="1"/>
  <c r="AO36" i="9" s="1"/>
  <c r="AK32" i="9" a="1"/>
  <c r="AK32" i="9" s="1"/>
  <c r="AN27" i="9" a="1"/>
  <c r="AN27" i="9" s="1"/>
  <c r="AP13" i="9" a="1"/>
  <c r="AP13" i="9" s="1"/>
  <c r="AL9" i="9" a="1"/>
  <c r="AL9" i="9" s="1"/>
  <c r="AB9" i="9" s="1"/>
  <c r="AD43" i="9" a="1"/>
  <c r="AD43" i="9" s="1"/>
  <c r="AF32" i="9" a="1"/>
  <c r="AF32" i="9" s="1"/>
  <c r="AD27" i="9" a="1"/>
  <c r="AD27" i="9" s="1"/>
  <c r="AH21" i="9" a="1"/>
  <c r="AH21" i="9" s="1"/>
  <c r="AP44" i="9" a="1"/>
  <c r="AP44" i="9" s="1"/>
  <c r="AO35" i="9" a="1"/>
  <c r="AO35" i="9" s="1"/>
  <c r="AK31" i="9" a="1"/>
  <c r="AK31" i="9" s="1"/>
  <c r="AN26" i="9" a="1"/>
  <c r="AN26" i="9" s="1"/>
  <c r="AR21" i="9"/>
  <c r="AP12" i="9" a="1"/>
  <c r="AP12" i="9" s="1"/>
  <c r="AK36" i="9" a="1"/>
  <c r="AK36" i="9" s="1"/>
  <c r="AP30" i="9" a="1"/>
  <c r="AP30" i="9" s="1"/>
  <c r="AL35" i="9" a="1"/>
  <c r="AL35" i="9" s="1"/>
  <c r="AF26" i="9" a="1"/>
  <c r="AF26" i="9" s="1"/>
  <c r="AD21" i="9" a="1"/>
  <c r="AD21" i="9" s="1"/>
  <c r="AE42" i="9" a="1"/>
  <c r="AE42" i="9" s="1"/>
  <c r="AI36" i="9" a="1"/>
  <c r="AI36" i="9" s="1"/>
  <c r="AG31" i="9" a="1"/>
  <c r="AG31" i="9" s="1"/>
  <c r="AE26" i="9" a="1"/>
  <c r="AE26" i="9" s="1"/>
  <c r="AI20" i="9" a="1"/>
  <c r="AI20" i="9" s="1"/>
  <c r="AK44" i="9" a="1"/>
  <c r="AK44" i="9" s="1"/>
  <c r="AN39" i="9" a="1"/>
  <c r="AN39" i="9" s="1"/>
  <c r="AR34" i="9"/>
  <c r="AM30" i="9" a="1"/>
  <c r="AM30" i="9" s="1"/>
  <c r="AP25" i="9" a="1"/>
  <c r="AP25" i="9" s="1"/>
  <c r="AL21" i="9" a="1"/>
  <c r="AL21" i="9" s="1"/>
  <c r="AO16" i="9" a="1"/>
  <c r="AO16" i="9" s="1"/>
  <c r="AK12" i="9" a="1"/>
  <c r="AK12" i="9" s="1"/>
  <c r="AD42" i="9" a="1"/>
  <c r="AD42" i="9" s="1"/>
  <c r="AH36" i="9" a="1"/>
  <c r="AH36" i="9" s="1"/>
  <c r="AF31" i="9" a="1"/>
  <c r="AF31" i="9" s="1"/>
  <c r="AD26" i="9" a="1"/>
  <c r="AD26" i="9" s="1"/>
  <c r="AH20" i="9" a="1"/>
  <c r="AH20" i="9" s="1"/>
  <c r="AF15" i="9" a="1"/>
  <c r="AF15" i="9" s="1"/>
  <c r="AD10" i="9" a="1"/>
  <c r="AD10" i="9" s="1"/>
  <c r="AR43" i="9"/>
  <c r="AM39" i="9" a="1"/>
  <c r="AM39" i="9" s="1"/>
  <c r="AP34" i="9" a="1"/>
  <c r="AP34" i="9" s="1"/>
  <c r="AL30" i="9" a="1"/>
  <c r="AL30" i="9" s="1"/>
  <c r="AO25" i="9" a="1"/>
  <c r="AO25" i="9" s="1"/>
  <c r="AK21" i="9" a="1"/>
  <c r="AK21" i="9" s="1"/>
  <c r="AN16" i="9" a="1"/>
  <c r="AN16" i="9" s="1"/>
  <c r="AR11" i="9"/>
  <c r="AM7" i="9" a="1"/>
  <c r="AM7" i="9" s="1"/>
  <c r="AI41" i="9" a="1"/>
  <c r="AI41" i="9" s="1"/>
  <c r="AG36" i="9" a="1"/>
  <c r="AG36" i="9" s="1"/>
  <c r="AI25" i="9" a="1"/>
  <c r="AI25" i="9" s="1"/>
  <c r="AG20" i="9" a="1"/>
  <c r="AG20" i="9" s="1"/>
  <c r="AE15" i="9" a="1"/>
  <c r="AE15" i="9" s="1"/>
  <c r="AI9" i="9" a="1"/>
  <c r="AI9" i="9" s="1"/>
  <c r="AP43" i="9" a="1"/>
  <c r="AP43" i="9" s="1"/>
  <c r="AL39" i="9" a="1"/>
  <c r="AL39" i="9" s="1"/>
  <c r="AO34" i="9" a="1"/>
  <c r="AO34" i="9" s="1"/>
  <c r="AK30" i="9" a="1"/>
  <c r="AK30" i="9" s="1"/>
  <c r="AN25" i="9" a="1"/>
  <c r="AN25" i="9" s="1"/>
  <c r="AR20" i="9"/>
  <c r="AM16" i="9" a="1"/>
  <c r="AM16" i="9" s="1"/>
  <c r="AP11" i="9" a="1"/>
  <c r="AP11" i="9" s="1"/>
  <c r="AL7" i="9" a="1"/>
  <c r="AL7" i="9" s="1"/>
  <c r="AM35" i="9" a="1"/>
  <c r="AM35" i="9" s="1"/>
  <c r="AO39" i="9" a="1"/>
  <c r="AO39" i="9" s="1"/>
  <c r="AH41" i="9" a="1"/>
  <c r="AH41" i="9" s="1"/>
  <c r="AF36" i="9" a="1"/>
  <c r="AF36" i="9" s="1"/>
  <c r="AH25" i="9" a="1"/>
  <c r="AH25" i="9" s="1"/>
  <c r="AI46" i="9" a="1"/>
  <c r="AI46" i="9" s="1"/>
  <c r="AG41" i="9" a="1"/>
  <c r="AG41" i="9" s="1"/>
  <c r="AE36" i="9" a="1"/>
  <c r="AE36" i="9" s="1"/>
  <c r="AB36" i="9" s="1"/>
  <c r="AI30" i="9" a="1"/>
  <c r="AI30" i="9" s="1"/>
  <c r="AG25" i="9" a="1"/>
  <c r="AG25" i="9" s="1"/>
  <c r="AE20" i="9" a="1"/>
  <c r="AE20" i="9" s="1"/>
  <c r="AI14" i="9" a="1"/>
  <c r="AI14" i="9" s="1"/>
  <c r="AG9" i="9" a="1"/>
  <c r="AG9" i="9" s="1"/>
  <c r="AN43" i="9" a="1"/>
  <c r="AN43" i="9" s="1"/>
  <c r="AR38" i="9"/>
  <c r="AM34" i="9" a="1"/>
  <c r="AM34" i="9" s="1"/>
  <c r="AP29" i="9" a="1"/>
  <c r="AP29" i="9" s="1"/>
  <c r="AL25" i="9" a="1"/>
  <c r="AL25" i="9" s="1"/>
  <c r="AO20" i="9" a="1"/>
  <c r="AO20" i="9" s="1"/>
  <c r="AK16" i="9" a="1"/>
  <c r="AK16" i="9" s="1"/>
  <c r="AN11" i="9" a="1"/>
  <c r="AN11" i="9" s="1"/>
  <c r="AM43" i="9" a="1"/>
  <c r="AM43" i="9" s="1"/>
  <c r="AP38" i="9" a="1"/>
  <c r="AP38" i="9" s="1"/>
  <c r="AL34" i="9" a="1"/>
  <c r="AL34" i="9" s="1"/>
  <c r="AO29" i="9" a="1"/>
  <c r="AO29" i="9" s="1"/>
  <c r="AK25" i="9" a="1"/>
  <c r="AK25" i="9" s="1"/>
  <c r="AN20" i="9" a="1"/>
  <c r="AN20" i="9" s="1"/>
  <c r="AM11" i="9" a="1"/>
  <c r="AM11" i="9" s="1"/>
  <c r="AP39" i="9" a="1"/>
  <c r="AP39" i="9" s="1"/>
  <c r="AN21" i="9" a="1"/>
  <c r="AN21" i="9" s="1"/>
  <c r="AM21" i="9" a="1"/>
  <c r="AM21" i="9" s="1"/>
  <c r="AG46" i="9" a="1"/>
  <c r="AG46" i="9" s="1"/>
  <c r="AE41" i="9" a="1"/>
  <c r="AE41" i="9" s="1"/>
  <c r="AI35" i="9" a="1"/>
  <c r="AI35" i="9" s="1"/>
  <c r="AG30" i="9" a="1"/>
  <c r="AG30" i="9" s="1"/>
  <c r="AE25" i="9" a="1"/>
  <c r="AE25" i="9" s="1"/>
  <c r="AI19" i="9" a="1"/>
  <c r="AI19" i="9" s="1"/>
  <c r="AG14" i="9" a="1"/>
  <c r="AG14" i="9" s="1"/>
  <c r="AL43" i="9" a="1"/>
  <c r="AL43" i="9" s="1"/>
  <c r="AB43" i="9" s="1"/>
  <c r="AO38" i="9" a="1"/>
  <c r="AO38" i="9" s="1"/>
  <c r="AK34" i="9" a="1"/>
  <c r="AK34" i="9" s="1"/>
  <c r="AN29" i="9" a="1"/>
  <c r="AN29" i="9" s="1"/>
  <c r="AR24" i="9"/>
  <c r="AM20" i="9" a="1"/>
  <c r="AM20" i="9" s="1"/>
  <c r="AP15" i="9" a="1"/>
  <c r="AP15" i="9" s="1"/>
  <c r="AL11" i="9" a="1"/>
  <c r="AL11" i="9" s="1"/>
  <c r="AG26" i="9" a="1"/>
  <c r="AG26" i="9" s="1"/>
  <c r="AH30" i="9" a="1"/>
  <c r="AH30" i="9" s="1"/>
  <c r="AF46" i="9" a="1"/>
  <c r="AF46" i="9" s="1"/>
  <c r="AD41" i="9" a="1"/>
  <c r="AD41" i="9" s="1"/>
  <c r="AH35" i="9" a="1"/>
  <c r="AH35" i="9" s="1"/>
  <c r="AF30" i="9" a="1"/>
  <c r="AF30" i="9" s="1"/>
  <c r="AD25" i="9" a="1"/>
  <c r="AD25" i="9" s="1"/>
  <c r="AH19" i="9" a="1"/>
  <c r="AH19" i="9" s="1"/>
  <c r="AF14" i="9" a="1"/>
  <c r="AF14" i="9" s="1"/>
  <c r="AK43" i="9" a="1"/>
  <c r="AK43" i="9" s="1"/>
  <c r="AN38" i="9" a="1"/>
  <c r="AN38" i="9" s="1"/>
  <c r="AR33" i="9"/>
  <c r="AM29" i="9" a="1"/>
  <c r="AM29" i="9" s="1"/>
  <c r="AP24" i="9" a="1"/>
  <c r="AP24" i="9" s="1"/>
  <c r="AL20" i="9" a="1"/>
  <c r="AL20" i="9" s="1"/>
  <c r="AO15" i="9" a="1"/>
  <c r="AO15" i="9" s="1"/>
  <c r="AF27" i="9" a="1"/>
  <c r="AF27" i="9" s="1"/>
  <c r="AG32" i="9" a="1"/>
  <c r="AG32" i="9" s="1"/>
  <c r="AI26" i="9" a="1"/>
  <c r="AI26" i="9" s="1"/>
  <c r="AN35" i="9" a="1"/>
  <c r="AN35" i="9" s="1"/>
  <c r="AN30" i="9" a="1"/>
  <c r="AN30" i="9" s="1"/>
  <c r="AR10" i="9"/>
  <c r="AE27" i="9" a="1"/>
  <c r="AE27" i="9" s="1"/>
  <c r="AR30" i="9"/>
  <c r="AN44" i="9" a="1"/>
  <c r="AN44" i="9" s="1"/>
  <c r="AK39" i="9" a="1"/>
  <c r="AK39" i="9" s="1"/>
  <c r="AE46" i="9" a="1"/>
  <c r="AE46" i="9" s="1"/>
  <c r="AB46" i="9" s="1"/>
  <c r="AE14" i="9" a="1"/>
  <c r="AE14" i="9" s="1"/>
  <c r="AP42" i="9" a="1"/>
  <c r="AP42" i="9" s="1"/>
  <c r="AL38" i="9" a="1"/>
  <c r="AL38" i="9" s="1"/>
  <c r="AO33" i="9" a="1"/>
  <c r="AO33" i="9" s="1"/>
  <c r="AK29" i="9" a="1"/>
  <c r="AK29" i="9" s="1"/>
  <c r="AN24" i="9" a="1"/>
  <c r="AN24" i="9" s="1"/>
  <c r="AR19" i="9"/>
  <c r="AM15" i="9" a="1"/>
  <c r="AM15" i="9" s="1"/>
  <c r="AP10" i="9" a="1"/>
  <c r="AP10" i="9" s="1"/>
  <c r="AM44" i="9" a="1"/>
  <c r="AM44" i="9" s="1"/>
  <c r="AK26" i="9" a="1"/>
  <c r="AK26" i="9" s="1"/>
  <c r="AF42" i="9" a="1"/>
  <c r="AF42" i="9" s="1"/>
  <c r="AM25" i="9" a="1"/>
  <c r="AM25" i="9" s="1"/>
  <c r="AP33" i="9" a="1"/>
  <c r="AP33" i="9" s="1"/>
  <c r="AL44" i="9" a="1"/>
  <c r="AL44" i="9" s="1"/>
  <c r="AK35" i="9" a="1"/>
  <c r="AK35" i="9" s="1"/>
  <c r="AR29" i="9"/>
  <c r="AN42" i="9" a="1"/>
  <c r="AN42" i="9" s="1"/>
  <c r="AR37" i="9"/>
  <c r="AM33" i="9" a="1"/>
  <c r="AM33" i="9" s="1"/>
  <c r="AP28" i="9" a="1"/>
  <c r="AP28" i="9" s="1"/>
  <c r="AL24" i="9" a="1"/>
  <c r="AL24" i="9" s="1"/>
  <c r="AK15" i="9" a="1"/>
  <c r="AK15" i="9" s="1"/>
  <c r="AN10" i="9" a="1"/>
  <c r="AN10" i="9" s="1"/>
  <c r="AP26" i="9" a="1"/>
  <c r="AP26" i="9" s="1"/>
  <c r="AE32" i="9" a="1"/>
  <c r="AE32" i="9" s="1"/>
  <c r="AR25" i="9"/>
  <c r="AF20" i="9" a="1"/>
  <c r="AF20" i="9" s="1"/>
  <c r="AD36" i="9" a="1"/>
  <c r="AD36" i="9" s="1"/>
  <c r="AI24" i="9" a="1"/>
  <c r="AI24" i="9" s="1"/>
  <c r="AE35" i="9" a="1"/>
  <c r="AE35" i="9" s="1"/>
  <c r="AG24" i="9" a="1"/>
  <c r="AG24" i="9" s="1"/>
  <c r="AE19" i="9" a="1"/>
  <c r="AE19" i="9" s="1"/>
  <c r="AI13" i="9" a="1"/>
  <c r="AI13" i="9" s="1"/>
  <c r="AI34" i="9" a="1"/>
  <c r="AI34" i="9" s="1"/>
  <c r="AG29" i="9" a="1"/>
  <c r="AG29" i="9" s="1"/>
  <c r="AE24" i="9" a="1"/>
  <c r="AE24" i="9" s="1"/>
  <c r="AI18" i="9" a="1"/>
  <c r="AI18" i="9" s="1"/>
  <c r="AG13" i="9" a="1"/>
  <c r="AG13" i="9" s="1"/>
  <c r="AE8" i="9" a="1"/>
  <c r="AE8" i="9" s="1"/>
  <c r="AR46" i="9"/>
  <c r="AM42" i="9" a="1"/>
  <c r="AM42" i="9" s="1"/>
  <c r="AP37" i="9" a="1"/>
  <c r="AP37" i="9" s="1"/>
  <c r="AL33" i="9" a="1"/>
  <c r="AL33" i="9" s="1"/>
  <c r="AO28" i="9" a="1"/>
  <c r="AO28" i="9" s="1"/>
  <c r="AK24" i="9" a="1"/>
  <c r="AK24" i="9" s="1"/>
  <c r="AN19" i="9" a="1"/>
  <c r="AN19" i="9" s="1"/>
  <c r="AR14" i="9"/>
  <c r="AM10" i="9" a="1"/>
  <c r="AM10" i="9" s="1"/>
  <c r="AP5" i="9" a="1"/>
  <c r="AP5" i="9" s="1"/>
  <c r="AH32" i="9" a="1"/>
  <c r="AH32" i="9" s="1"/>
  <c r="AP35" i="9" a="1"/>
  <c r="AP35" i="9" s="1"/>
  <c r="AO26" i="9" a="1"/>
  <c r="AO26" i="9" s="1"/>
  <c r="AN34" i="9" a="1"/>
  <c r="AN34" i="9" s="1"/>
  <c r="AH46" i="9" a="1"/>
  <c r="AH46" i="9" s="1"/>
  <c r="AR42" i="9"/>
  <c r="AM38" i="9" a="1"/>
  <c r="AM38" i="9" s="1"/>
  <c r="AL29" i="9" a="1"/>
  <c r="AL29" i="9" s="1"/>
  <c r="AO24" i="9" a="1"/>
  <c r="AO24" i="9" s="1"/>
  <c r="AK20" i="9" a="1"/>
  <c r="AK20" i="9" s="1"/>
  <c r="AF35" i="9" a="1"/>
  <c r="AF35" i="9" s="1"/>
  <c r="AD30" i="9" a="1"/>
  <c r="AD30" i="9" s="1"/>
  <c r="AH24" i="9" a="1"/>
  <c r="AH24" i="9" s="1"/>
  <c r="AF19" i="9" a="1"/>
  <c r="AF19" i="9" s="1"/>
  <c r="AD14" i="9" a="1"/>
  <c r="AD14" i="9" s="1"/>
  <c r="AO42" i="9" a="1"/>
  <c r="AO42" i="9" s="1"/>
  <c r="AK38" i="9" a="1"/>
  <c r="AK38" i="9" s="1"/>
  <c r="AN33" i="9" a="1"/>
  <c r="AN33" i="9" s="1"/>
  <c r="AR28" i="9"/>
  <c r="AM24" i="9" a="1"/>
  <c r="AM24" i="9" s="1"/>
  <c r="AP19" i="9" a="1"/>
  <c r="AP19" i="9" s="1"/>
  <c r="AO10" i="9" a="1"/>
  <c r="AO10" i="9" s="1"/>
  <c r="AH45" i="9" a="1"/>
  <c r="AH45" i="9" s="1"/>
  <c r="AD35" i="9" a="1"/>
  <c r="AD35" i="9" s="1"/>
  <c r="AH29" i="9" a="1"/>
  <c r="AH29" i="9" s="1"/>
  <c r="AF24" i="9" a="1"/>
  <c r="AF24" i="9" s="1"/>
  <c r="AD19" i="9" a="1"/>
  <c r="AD19" i="9" s="1"/>
  <c r="AH13" i="9" a="1"/>
  <c r="AH13" i="9" s="1"/>
  <c r="AF8" i="9" a="1"/>
  <c r="AF8" i="9" s="1"/>
  <c r="AO19" i="9" a="1"/>
  <c r="AO19" i="9" s="1"/>
  <c r="AF45" i="9" a="1"/>
  <c r="AF45" i="9" s="1"/>
  <c r="AH34" i="9" a="1"/>
  <c r="AH34" i="9" s="1"/>
  <c r="AF29" i="9" a="1"/>
  <c r="AF29" i="9" s="1"/>
  <c r="AH18" i="9" a="1"/>
  <c r="AH18" i="9" s="1"/>
  <c r="AF13" i="9" a="1"/>
  <c r="AF13" i="9" s="1"/>
  <c r="AP46" i="9" a="1"/>
  <c r="AP46" i="9" s="1"/>
  <c r="AL42" i="9" a="1"/>
  <c r="AL42" i="9" s="1"/>
  <c r="AO37" i="9" a="1"/>
  <c r="AO37" i="9" s="1"/>
  <c r="AN28" i="9" a="1"/>
  <c r="AN28" i="9" s="1"/>
  <c r="AR23" i="9"/>
  <c r="AM19" i="9" a="1"/>
  <c r="AM19" i="9" s="1"/>
  <c r="AP14" i="9" a="1"/>
  <c r="AP14" i="9" s="1"/>
  <c r="AL10" i="9" a="1"/>
  <c r="AL10" i="9" s="1"/>
  <c r="AO5" i="9" a="1"/>
  <c r="AO5" i="9" s="1"/>
  <c r="AM26" i="9" a="1"/>
  <c r="AM26" i="9" s="1"/>
  <c r="AD20" i="9" a="1"/>
  <c r="AD20" i="9" s="1"/>
  <c r="AE30" i="9" a="1"/>
  <c r="AE30" i="9" s="1"/>
  <c r="AE45" i="9" a="1"/>
  <c r="AE45" i="9" s="1"/>
  <c r="AI39" i="9" a="1"/>
  <c r="AI39" i="9" s="1"/>
  <c r="AG34" i="9" a="1"/>
  <c r="AG34" i="9" s="1"/>
  <c r="AE29" i="9" a="1"/>
  <c r="AE29" i="9" s="1"/>
  <c r="AI23" i="9" a="1"/>
  <c r="AI23" i="9" s="1"/>
  <c r="AG18" i="9" a="1"/>
  <c r="AG18" i="9" s="1"/>
  <c r="AE13" i="9" a="1"/>
  <c r="AE13" i="9" s="1"/>
  <c r="AI7" i="9" a="1"/>
  <c r="AI7" i="9" s="1"/>
  <c r="AO46" i="9" a="1"/>
  <c r="AO46" i="9" s="1"/>
  <c r="AN37" i="9" a="1"/>
  <c r="AN37" i="9" s="1"/>
  <c r="AR32" i="9"/>
  <c r="AM28" i="9" a="1"/>
  <c r="AM28" i="9" s="1"/>
  <c r="AP23" i="9" a="1"/>
  <c r="AP23" i="9" s="1"/>
  <c r="AL19" i="9" a="1"/>
  <c r="AL19" i="9" s="1"/>
  <c r="AO14" i="9" a="1"/>
  <c r="AO14" i="9" s="1"/>
  <c r="AN5" i="9" a="1"/>
  <c r="AN5" i="9" s="1"/>
  <c r="AN36" i="9" a="1"/>
  <c r="AN36" i="9" s="1"/>
  <c r="AM36" i="9" a="1"/>
  <c r="AM36" i="9" s="1"/>
  <c r="AD32" i="9" a="1"/>
  <c r="AD32" i="9" s="1"/>
  <c r="AF41" i="9" a="1"/>
  <c r="AF41" i="9" s="1"/>
  <c r="AG19" i="9" a="1"/>
  <c r="AG19" i="9" s="1"/>
  <c r="AI45" i="9" a="1"/>
  <c r="AI45" i="9" s="1"/>
  <c r="AR35" i="9"/>
  <c r="AH26" i="9" a="1"/>
  <c r="AH26" i="9" s="1"/>
  <c r="AD46" i="9" a="1"/>
  <c r="AD46" i="9" s="1"/>
  <c r="AI29" i="9" a="1"/>
  <c r="AI29" i="9" s="1"/>
  <c r="AG45" i="9" a="1"/>
  <c r="AG45" i="9" s="1"/>
  <c r="AG27" i="9" a="1"/>
  <c r="AG27" i="9" s="1"/>
  <c r="AO44" i="9" a="1"/>
  <c r="AO44" i="9" s="1"/>
  <c r="AR39" i="9"/>
  <c r="AH39" i="9" a="1"/>
  <c r="AH39" i="9" s="1"/>
  <c r="AF34" i="9" a="1"/>
  <c r="AF34" i="9" s="1"/>
  <c r="AH23" i="9" a="1"/>
  <c r="AH23" i="9" s="1"/>
  <c r="AF18" i="9" a="1"/>
  <c r="AF18" i="9" s="1"/>
  <c r="AH7" i="9" a="1"/>
  <c r="AH7" i="9" s="1"/>
  <c r="AN46" i="9" a="1"/>
  <c r="AN46" i="9" s="1"/>
  <c r="AR41" i="9"/>
  <c r="AM37" i="9" a="1"/>
  <c r="AM37" i="9" s="1"/>
  <c r="AP32" i="9" a="1"/>
  <c r="AP32" i="9" s="1"/>
  <c r="AL28" i="9" a="1"/>
  <c r="AL28" i="9" s="1"/>
  <c r="AO23" i="9" a="1"/>
  <c r="AO23" i="9" s="1"/>
  <c r="AN14" i="9" a="1"/>
  <c r="AN14" i="9" s="1"/>
  <c r="AR9" i="9"/>
  <c r="AM5" i="9" a="1"/>
  <c r="AM5" i="9" s="1"/>
  <c r="AI44" i="9" a="1"/>
  <c r="AI44" i="9" s="1"/>
  <c r="AG39" i="9" a="1"/>
  <c r="AG39" i="9" s="1"/>
  <c r="AE34" i="9" a="1"/>
  <c r="AE34" i="9" s="1"/>
  <c r="AI28" i="9" a="1"/>
  <c r="AI28" i="9" s="1"/>
  <c r="AG23" i="9" a="1"/>
  <c r="AG23" i="9" s="1"/>
  <c r="AE18" i="9" a="1"/>
  <c r="AE18" i="9" s="1"/>
  <c r="AI12" i="9" a="1"/>
  <c r="AI12" i="9" s="1"/>
  <c r="AG7" i="9" a="1"/>
  <c r="AG7" i="9" s="1"/>
  <c r="AM46" i="9" a="1"/>
  <c r="AM46" i="9" s="1"/>
  <c r="AP41" i="9" a="1"/>
  <c r="AP41" i="9" s="1"/>
  <c r="AL37" i="9" a="1"/>
  <c r="AL37" i="9" s="1"/>
  <c r="AB37" i="9" s="1"/>
  <c r="AO32" i="9" a="1"/>
  <c r="AO32" i="9" s="1"/>
  <c r="AK28" i="9" a="1"/>
  <c r="AK28" i="9" s="1"/>
  <c r="AN23" i="9" a="1"/>
  <c r="AN23" i="9" s="1"/>
  <c r="AR18" i="9"/>
  <c r="AM14" i="9" a="1"/>
  <c r="AM14" i="9" s="1"/>
  <c r="AP9" i="9" a="1"/>
  <c r="AP9" i="9" s="1"/>
  <c r="AL5" i="9" a="1"/>
  <c r="AL5" i="9" s="1"/>
  <c r="AF23" i="9" a="1"/>
  <c r="AF23" i="9" s="1"/>
  <c r="AD18" i="9" a="1"/>
  <c r="AD18" i="9" s="1"/>
  <c r="AB27" i="21" l="1"/>
  <c r="AB41" i="21"/>
  <c r="AB44" i="21"/>
  <c r="AB63" i="21"/>
  <c r="AB9" i="21"/>
  <c r="AB66" i="21"/>
  <c r="AB15" i="21"/>
  <c r="AB46" i="21"/>
  <c r="AB34" i="21"/>
  <c r="AB10" i="21"/>
  <c r="AB20" i="21"/>
  <c r="AB58" i="21"/>
  <c r="AB69" i="21"/>
  <c r="AB5" i="21"/>
  <c r="AB18" i="21"/>
  <c r="AB16" i="21"/>
  <c r="AB6" i="21"/>
  <c r="AB42" i="21"/>
  <c r="AB35" i="21"/>
  <c r="AB38" i="21"/>
  <c r="AB59" i="21"/>
  <c r="K185" i="33"/>
  <c r="AB7" i="21"/>
  <c r="AB17" i="21"/>
  <c r="AB48" i="21"/>
  <c r="AB52" i="21"/>
  <c r="AB4" i="21"/>
  <c r="AB11" i="21"/>
  <c r="AB71" i="21"/>
  <c r="K168" i="33"/>
  <c r="AB57" i="21"/>
  <c r="AB28" i="21"/>
  <c r="L154" i="33"/>
  <c r="AB61" i="21"/>
  <c r="AB14" i="21"/>
  <c r="AB53" i="21"/>
  <c r="AB32" i="21"/>
  <c r="K154" i="33"/>
  <c r="AB11" i="9"/>
  <c r="AB22" i="21"/>
  <c r="AB65" i="21"/>
  <c r="AB12" i="21"/>
  <c r="AB54" i="21"/>
  <c r="AB14" i="9"/>
  <c r="AB5" i="9"/>
  <c r="AB51" i="21"/>
  <c r="AB62" i="21"/>
  <c r="AB10" i="9"/>
  <c r="AB70" i="21"/>
  <c r="AB29" i="21"/>
  <c r="AB47" i="21"/>
  <c r="AB45" i="21"/>
  <c r="AB72" i="21"/>
  <c r="AB25" i="21"/>
  <c r="AB68" i="21"/>
  <c r="AB30" i="21"/>
  <c r="AB21" i="21"/>
  <c r="AB49" i="21"/>
  <c r="AB43" i="21"/>
  <c r="AB31" i="21"/>
  <c r="AB60" i="21"/>
  <c r="AB64" i="21"/>
  <c r="AB24" i="21"/>
  <c r="AB19" i="21"/>
  <c r="AB36" i="21"/>
  <c r="AB40" i="21"/>
  <c r="AB55" i="21"/>
  <c r="AB26" i="21"/>
  <c r="AB37" i="21"/>
  <c r="AB67" i="21"/>
  <c r="AB33" i="21"/>
  <c r="AB39" i="21"/>
  <c r="AB23" i="21"/>
  <c r="AB8" i="21"/>
  <c r="AB50" i="21"/>
  <c r="AB56" i="21"/>
  <c r="AB13" i="21"/>
  <c r="M154" i="33"/>
  <c r="AB22" i="9"/>
  <c r="AB33" i="9"/>
  <c r="AB26" i="9"/>
  <c r="AB8" i="9"/>
  <c r="AB45" i="9"/>
  <c r="AB12" i="9"/>
  <c r="AB31" i="9"/>
  <c r="AB40" i="9"/>
  <c r="AB23" i="9"/>
  <c r="AB13" i="9"/>
  <c r="AB15" i="9"/>
  <c r="AB32" i="9"/>
  <c r="AB42" i="9"/>
  <c r="AB41" i="9"/>
  <c r="AB24" i="9"/>
  <c r="AB17" i="9"/>
  <c r="AB21" i="9"/>
  <c r="AB18" i="9"/>
  <c r="AB39" i="9"/>
  <c r="AB38" i="9"/>
  <c r="AB16" i="9"/>
  <c r="AB4" i="9"/>
  <c r="AB35" i="9"/>
  <c r="AB19" i="9"/>
  <c r="AB7" i="9"/>
  <c r="AB25" i="9"/>
  <c r="AB27" i="9"/>
  <c r="AB44" i="9"/>
  <c r="AB3" i="9"/>
  <c r="AB28" i="9"/>
  <c r="AB30" i="9"/>
  <c r="AB29" i="9"/>
  <c r="AB20" i="9"/>
  <c r="AB34" i="9"/>
  <c r="A151" i="6" l="1"/>
  <c r="A148" i="6"/>
  <c r="A149" i="6"/>
  <c r="A150" i="6"/>
  <c r="A14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K107" i="6"/>
  <c r="AL107" i="6"/>
  <c r="AM107" i="6"/>
  <c r="AN107" i="6"/>
  <c r="AJ107" i="6"/>
  <c r="C107" i="6"/>
  <c r="D107" i="6"/>
  <c r="B107" i="6"/>
  <c r="A107" i="6"/>
  <c r="AA99" i="33"/>
  <c r="AB99" i="33"/>
  <c r="AA100" i="33"/>
  <c r="AB100" i="33"/>
  <c r="AA101" i="33"/>
  <c r="AB101" i="33"/>
  <c r="AA102" i="33"/>
  <c r="AB102" i="33"/>
  <c r="AA103" i="33"/>
  <c r="AB103" i="33"/>
  <c r="AA104" i="33"/>
  <c r="AB104" i="33"/>
  <c r="AA105" i="33"/>
  <c r="AB105" i="33"/>
  <c r="AA106" i="33"/>
  <c r="AB106" i="33"/>
  <c r="AA107" i="33"/>
  <c r="AB107" i="33"/>
  <c r="AA108" i="33"/>
  <c r="AB108" i="33"/>
  <c r="AA109" i="33"/>
  <c r="AB109" i="33"/>
  <c r="AA110" i="33"/>
  <c r="AB110" i="33"/>
  <c r="AA111" i="33"/>
  <c r="AB111" i="33"/>
  <c r="AA112" i="33"/>
  <c r="AB112" i="33"/>
  <c r="AA113" i="33"/>
  <c r="AB113" i="33"/>
  <c r="AA114" i="33"/>
  <c r="AB114" i="33"/>
  <c r="AA115" i="33"/>
  <c r="AB115" i="33"/>
  <c r="AA116" i="33"/>
  <c r="AB116" i="33"/>
  <c r="AA117" i="33"/>
  <c r="AB117" i="33"/>
  <c r="AA118" i="33"/>
  <c r="AB118" i="33"/>
  <c r="AA119" i="33"/>
  <c r="AB119" i="33"/>
  <c r="AA120" i="33"/>
  <c r="AB120" i="33"/>
  <c r="AA121" i="33"/>
  <c r="AB121" i="33"/>
  <c r="AA122" i="33"/>
  <c r="AB122" i="33"/>
  <c r="AA123" i="33"/>
  <c r="AB123" i="33"/>
  <c r="AA124" i="33"/>
  <c r="AB124" i="33"/>
  <c r="AA125" i="33"/>
  <c r="AB125" i="33"/>
  <c r="AA126" i="33"/>
  <c r="AB126" i="33"/>
  <c r="AA127" i="33"/>
  <c r="AB127" i="33"/>
  <c r="AA128" i="33"/>
  <c r="AB128" i="33"/>
  <c r="AA129" i="33"/>
  <c r="AB129" i="33"/>
  <c r="AA130" i="33"/>
  <c r="AB130" i="33"/>
  <c r="AA131" i="33"/>
  <c r="AB131" i="33"/>
  <c r="AA132" i="33"/>
  <c r="AB132" i="33"/>
  <c r="AA133" i="33"/>
  <c r="AB133" i="33"/>
  <c r="AA134" i="33"/>
  <c r="AB134" i="33"/>
  <c r="AA135" i="33"/>
  <c r="AB135" i="33"/>
  <c r="AA136" i="33"/>
  <c r="AB136" i="33"/>
  <c r="AA137" i="33"/>
  <c r="AB137" i="33"/>
  <c r="AA138" i="33"/>
  <c r="AB138" i="33"/>
  <c r="AA139" i="33"/>
  <c r="AB139" i="33"/>
  <c r="AA140" i="33"/>
  <c r="AB140" i="33"/>
  <c r="AA141" i="33"/>
  <c r="AB141" i="33"/>
  <c r="AA142" i="33"/>
  <c r="AB142" i="33"/>
  <c r="AB98" i="33"/>
  <c r="B165"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D162" i="2"/>
  <c r="D146" i="2"/>
  <c r="D163" i="2"/>
  <c r="D141" i="2"/>
  <c r="C121" i="2"/>
  <c r="B121" i="2"/>
  <c r="D121" i="2"/>
  <c r="D122" i="2"/>
  <c r="D123" i="2"/>
  <c r="D124" i="2"/>
  <c r="D125" i="2"/>
  <c r="D126" i="2"/>
  <c r="D127" i="2"/>
  <c r="DM140" i="33"/>
  <c r="DU140" i="33" s="1"/>
  <c r="DL140" i="33"/>
  <c r="DT140" i="33" s="1"/>
  <c r="DK140" i="33"/>
  <c r="DS140" i="33" s="1"/>
  <c r="DJ140" i="33"/>
  <c r="DR140" i="33" s="1"/>
  <c r="DH140" i="33"/>
  <c r="DP140" i="33" s="1"/>
  <c r="DG140" i="33"/>
  <c r="DO140" i="33" s="1"/>
  <c r="DF140" i="33"/>
  <c r="DN140" i="33" s="1"/>
  <c r="BX140" i="33"/>
  <c r="CF140" i="33" s="1"/>
  <c r="BW140" i="33"/>
  <c r="CE140" i="33" s="1"/>
  <c r="BV140" i="33"/>
  <c r="CD140" i="33" s="1"/>
  <c r="BU140" i="33"/>
  <c r="CC140" i="33" s="1"/>
  <c r="BS140" i="33"/>
  <c r="CA140" i="33" s="1"/>
  <c r="BR140" i="33"/>
  <c r="BZ140" i="33" s="1"/>
  <c r="BQ140" i="33"/>
  <c r="BY140" i="33" s="1"/>
  <c r="DM138" i="33"/>
  <c r="DU138" i="33" s="1"/>
  <c r="DL138" i="33"/>
  <c r="DT138" i="33" s="1"/>
  <c r="DK138" i="33"/>
  <c r="DS138" i="33" s="1"/>
  <c r="DJ138" i="33"/>
  <c r="DR138" i="33" s="1"/>
  <c r="DH138" i="33"/>
  <c r="DP138" i="33" s="1"/>
  <c r="DG138" i="33"/>
  <c r="DO138" i="33" s="1"/>
  <c r="DF138" i="33"/>
  <c r="DN138" i="33" s="1"/>
  <c r="BX138" i="33"/>
  <c r="CF138" i="33" s="1"/>
  <c r="BW138" i="33"/>
  <c r="CE138" i="33" s="1"/>
  <c r="BV138" i="33"/>
  <c r="CD138" i="33" s="1"/>
  <c r="BU138" i="33"/>
  <c r="CC138" i="33" s="1"/>
  <c r="BS138" i="33"/>
  <c r="CA138" i="33" s="1"/>
  <c r="BR138" i="33"/>
  <c r="BZ138" i="33" s="1"/>
  <c r="BQ138" i="33"/>
  <c r="BY138" i="33" s="1"/>
  <c r="DM123" i="33"/>
  <c r="DU123" i="33" s="1"/>
  <c r="DL123" i="33"/>
  <c r="DT123" i="33" s="1"/>
  <c r="DK123" i="33"/>
  <c r="DS123" i="33" s="1"/>
  <c r="DJ123" i="33"/>
  <c r="DR123" i="33" s="1"/>
  <c r="DH123" i="33"/>
  <c r="DP123" i="33" s="1"/>
  <c r="DG123" i="33"/>
  <c r="DO123" i="33" s="1"/>
  <c r="DF123" i="33"/>
  <c r="DN123" i="33" s="1"/>
  <c r="BX123" i="33"/>
  <c r="CF123" i="33" s="1"/>
  <c r="BW123" i="33"/>
  <c r="CE123" i="33" s="1"/>
  <c r="BV123" i="33"/>
  <c r="CD123" i="33" s="1"/>
  <c r="BU123" i="33"/>
  <c r="CC123" i="33" s="1"/>
  <c r="BS123" i="33"/>
  <c r="CA123" i="33" s="1"/>
  <c r="BR123" i="33"/>
  <c r="BZ123" i="33" s="1"/>
  <c r="BQ123" i="33"/>
  <c r="BY123" i="33" s="1"/>
  <c r="DM118" i="33"/>
  <c r="DU118" i="33" s="1"/>
  <c r="DL118" i="33"/>
  <c r="DT118" i="33" s="1"/>
  <c r="DK118" i="33"/>
  <c r="DS118" i="33" s="1"/>
  <c r="DJ118" i="33"/>
  <c r="DR118" i="33" s="1"/>
  <c r="DH118" i="33"/>
  <c r="DP118" i="33" s="1"/>
  <c r="DG118" i="33"/>
  <c r="DO118" i="33" s="1"/>
  <c r="DF118" i="33"/>
  <c r="DN118" i="33" s="1"/>
  <c r="BX118" i="33"/>
  <c r="CF118" i="33" s="1"/>
  <c r="BW118" i="33"/>
  <c r="CE118" i="33" s="1"/>
  <c r="BV118" i="33"/>
  <c r="CD118" i="33" s="1"/>
  <c r="BU118" i="33"/>
  <c r="CC118" i="33" s="1"/>
  <c r="BS118" i="33"/>
  <c r="CA118" i="33" s="1"/>
  <c r="BR118" i="33"/>
  <c r="BZ118" i="33" s="1"/>
  <c r="BQ118" i="33"/>
  <c r="BY118" i="33" s="1"/>
  <c r="AA98" i="33"/>
  <c r="BQ98" i="33"/>
  <c r="BY98" i="33" s="1"/>
  <c r="BR98" i="33"/>
  <c r="BZ98" i="33" s="1"/>
  <c r="BS98" i="33"/>
  <c r="CA98" i="33" s="1"/>
  <c r="BU98" i="33"/>
  <c r="CC98" i="33" s="1"/>
  <c r="BV98" i="33"/>
  <c r="CD98" i="33" s="1"/>
  <c r="BW98" i="33"/>
  <c r="CE98" i="33" s="1"/>
  <c r="BX98" i="33"/>
  <c r="CF98" i="33" s="1"/>
  <c r="CG98" i="33"/>
  <c r="CH98" i="33"/>
  <c r="CI98" i="33"/>
  <c r="CK98" i="33"/>
  <c r="CL98" i="33"/>
  <c r="CM98" i="33"/>
  <c r="CN98" i="33"/>
  <c r="DF98" i="33"/>
  <c r="DN98" i="33" s="1"/>
  <c r="DG98" i="33"/>
  <c r="DO98" i="33" s="1"/>
  <c r="DH98" i="33"/>
  <c r="DP98" i="33" s="1"/>
  <c r="DJ98" i="33"/>
  <c r="DR98" i="33" s="1"/>
  <c r="DK98" i="33"/>
  <c r="DS98" i="33" s="1"/>
  <c r="DL98" i="33"/>
  <c r="DT98" i="33" s="1"/>
  <c r="DM98" i="33"/>
  <c r="DU98" i="33" s="1"/>
  <c r="DV98" i="33"/>
  <c r="DW98" i="33"/>
  <c r="DX98" i="33"/>
  <c r="DZ98" i="33"/>
  <c r="EA98" i="33"/>
  <c r="EB98" i="33"/>
  <c r="EC98" i="33"/>
  <c r="BQ99" i="33"/>
  <c r="BY99" i="33" s="1"/>
  <c r="BR99" i="33"/>
  <c r="BZ99" i="33" s="1"/>
  <c r="BS99" i="33"/>
  <c r="CA99" i="33" s="1"/>
  <c r="BU99" i="33"/>
  <c r="CC99" i="33" s="1"/>
  <c r="BV99" i="33"/>
  <c r="CD99" i="33" s="1"/>
  <c r="BW99" i="33"/>
  <c r="CE99" i="33" s="1"/>
  <c r="BX99" i="33"/>
  <c r="CF99" i="33" s="1"/>
  <c r="CG99" i="33"/>
  <c r="CH99" i="33"/>
  <c r="CI99" i="33"/>
  <c r="CK99" i="33"/>
  <c r="CL99" i="33"/>
  <c r="CM99" i="33"/>
  <c r="CN99" i="33"/>
  <c r="DF99" i="33"/>
  <c r="DN99" i="33" s="1"/>
  <c r="DG99" i="33"/>
  <c r="DO99" i="33" s="1"/>
  <c r="DH99" i="33"/>
  <c r="DP99" i="33" s="1"/>
  <c r="DJ99" i="33"/>
  <c r="DR99" i="33" s="1"/>
  <c r="DK99" i="33"/>
  <c r="DS99" i="33" s="1"/>
  <c r="DL99" i="33"/>
  <c r="DT99" i="33" s="1"/>
  <c r="DM99" i="33"/>
  <c r="DU99" i="33" s="1"/>
  <c r="DV99" i="33"/>
  <c r="DW99" i="33"/>
  <c r="DX99" i="33"/>
  <c r="DZ99" i="33"/>
  <c r="EA99" i="33"/>
  <c r="EB99" i="33"/>
  <c r="EC99" i="33"/>
  <c r="BQ100" i="33"/>
  <c r="BY100" i="33" s="1"/>
  <c r="BR100" i="33"/>
  <c r="BZ100" i="33" s="1"/>
  <c r="BS100" i="33"/>
  <c r="CA100" i="33" s="1"/>
  <c r="BU100" i="33"/>
  <c r="CC100" i="33" s="1"/>
  <c r="BV100" i="33"/>
  <c r="CD100" i="33" s="1"/>
  <c r="BW100" i="33"/>
  <c r="CE100" i="33" s="1"/>
  <c r="BX100" i="33"/>
  <c r="CF100" i="33" s="1"/>
  <c r="CG100" i="33"/>
  <c r="CH100" i="33"/>
  <c r="CI100" i="33"/>
  <c r="CK100" i="33"/>
  <c r="CL100" i="33"/>
  <c r="CM100" i="33"/>
  <c r="CN100" i="33"/>
  <c r="DF100" i="33"/>
  <c r="DN100" i="33" s="1"/>
  <c r="DG100" i="33"/>
  <c r="DO100" i="33" s="1"/>
  <c r="DH100" i="33"/>
  <c r="DP100" i="33" s="1"/>
  <c r="DJ100" i="33"/>
  <c r="DR100" i="33" s="1"/>
  <c r="DK100" i="33"/>
  <c r="DS100" i="33" s="1"/>
  <c r="DL100" i="33"/>
  <c r="DT100" i="33" s="1"/>
  <c r="DM100" i="33"/>
  <c r="DU100" i="33" s="1"/>
  <c r="DV100" i="33"/>
  <c r="DW100" i="33"/>
  <c r="DX100" i="33"/>
  <c r="DZ100" i="33"/>
  <c r="EA100" i="33"/>
  <c r="EB100" i="33"/>
  <c r="EC100" i="33"/>
  <c r="BQ101" i="33"/>
  <c r="BY101" i="33" s="1"/>
  <c r="BR101" i="33"/>
  <c r="BZ101" i="33" s="1"/>
  <c r="BS101" i="33"/>
  <c r="CA101" i="33" s="1"/>
  <c r="BU101" i="33"/>
  <c r="CC101" i="33" s="1"/>
  <c r="BV101" i="33"/>
  <c r="CD101" i="33" s="1"/>
  <c r="BW101" i="33"/>
  <c r="CE101" i="33" s="1"/>
  <c r="BX101" i="33"/>
  <c r="CF101" i="33" s="1"/>
  <c r="CG101" i="33"/>
  <c r="CH101" i="33"/>
  <c r="CI101" i="33"/>
  <c r="CK101" i="33"/>
  <c r="CL101" i="33"/>
  <c r="CM101" i="33"/>
  <c r="CN101" i="33"/>
  <c r="DF101" i="33"/>
  <c r="DN101" i="33" s="1"/>
  <c r="DG101" i="33"/>
  <c r="DO101" i="33" s="1"/>
  <c r="DH101" i="33"/>
  <c r="DP101" i="33" s="1"/>
  <c r="DJ101" i="33"/>
  <c r="DR101" i="33" s="1"/>
  <c r="DK101" i="33"/>
  <c r="DS101" i="33" s="1"/>
  <c r="DL101" i="33"/>
  <c r="DT101" i="33" s="1"/>
  <c r="DM101" i="33"/>
  <c r="DU101" i="33" s="1"/>
  <c r="DV101" i="33"/>
  <c r="DW101" i="33"/>
  <c r="DX101" i="33"/>
  <c r="DZ101" i="33"/>
  <c r="EA101" i="33"/>
  <c r="EB101" i="33"/>
  <c r="EC101" i="33"/>
  <c r="BQ102" i="33"/>
  <c r="BY102" i="33" s="1"/>
  <c r="BR102" i="33"/>
  <c r="BZ102" i="33" s="1"/>
  <c r="BS102" i="33"/>
  <c r="CA102" i="33" s="1"/>
  <c r="BU102" i="33"/>
  <c r="CC102" i="33" s="1"/>
  <c r="BV102" i="33"/>
  <c r="CD102" i="33" s="1"/>
  <c r="BW102" i="33"/>
  <c r="CE102" i="33" s="1"/>
  <c r="BX102" i="33"/>
  <c r="CF102" i="33" s="1"/>
  <c r="CG102" i="33"/>
  <c r="CH102" i="33"/>
  <c r="CI102" i="33"/>
  <c r="CK102" i="33"/>
  <c r="CL102" i="33"/>
  <c r="CM102" i="33"/>
  <c r="CN102" i="33"/>
  <c r="DF102" i="33"/>
  <c r="DN102" i="33" s="1"/>
  <c r="DG102" i="33"/>
  <c r="DO102" i="33" s="1"/>
  <c r="DH102" i="33"/>
  <c r="DP102" i="33" s="1"/>
  <c r="DJ102" i="33"/>
  <c r="DR102" i="33" s="1"/>
  <c r="DK102" i="33"/>
  <c r="DS102" i="33" s="1"/>
  <c r="DL102" i="33"/>
  <c r="DT102" i="33" s="1"/>
  <c r="DM102" i="33"/>
  <c r="DU102" i="33" s="1"/>
  <c r="DV102" i="33"/>
  <c r="DW102" i="33"/>
  <c r="DX102" i="33"/>
  <c r="DZ102" i="33"/>
  <c r="EA102" i="33"/>
  <c r="EB102" i="33"/>
  <c r="EC102" i="33"/>
  <c r="BQ103" i="33"/>
  <c r="BY103" i="33" s="1"/>
  <c r="BR103" i="33"/>
  <c r="BZ103" i="33" s="1"/>
  <c r="BS103" i="33"/>
  <c r="CA103" i="33" s="1"/>
  <c r="BU103" i="33"/>
  <c r="CC103" i="33" s="1"/>
  <c r="BV103" i="33"/>
  <c r="CD103" i="33" s="1"/>
  <c r="BW103" i="33"/>
  <c r="CE103" i="33" s="1"/>
  <c r="BX103" i="33"/>
  <c r="CF103" i="33" s="1"/>
  <c r="CG103" i="33"/>
  <c r="CH103" i="33"/>
  <c r="CI103" i="33"/>
  <c r="CK103" i="33"/>
  <c r="CL103" i="33"/>
  <c r="CM103" i="33"/>
  <c r="CN103" i="33"/>
  <c r="DF103" i="33"/>
  <c r="DN103" i="33" s="1"/>
  <c r="DG103" i="33"/>
  <c r="DO103" i="33" s="1"/>
  <c r="DH103" i="33"/>
  <c r="DP103" i="33" s="1"/>
  <c r="DJ103" i="33"/>
  <c r="DR103" i="33" s="1"/>
  <c r="DK103" i="33"/>
  <c r="DS103" i="33" s="1"/>
  <c r="DL103" i="33"/>
  <c r="DT103" i="33" s="1"/>
  <c r="DM103" i="33"/>
  <c r="DU103" i="33" s="1"/>
  <c r="DV103" i="33"/>
  <c r="DW103" i="33"/>
  <c r="DX103" i="33"/>
  <c r="DZ103" i="33"/>
  <c r="EA103" i="33"/>
  <c r="EB103" i="33"/>
  <c r="EC103" i="33"/>
  <c r="BQ104" i="33"/>
  <c r="BY104" i="33" s="1"/>
  <c r="BR104" i="33"/>
  <c r="BZ104" i="33" s="1"/>
  <c r="BS104" i="33"/>
  <c r="CA104" i="33" s="1"/>
  <c r="BU104" i="33"/>
  <c r="CC104" i="33" s="1"/>
  <c r="BV104" i="33"/>
  <c r="CD104" i="33" s="1"/>
  <c r="BW104" i="33"/>
  <c r="CE104" i="33" s="1"/>
  <c r="BX104" i="33"/>
  <c r="CF104" i="33" s="1"/>
  <c r="CG104" i="33"/>
  <c r="CH104" i="33"/>
  <c r="CI104" i="33"/>
  <c r="CK104" i="33"/>
  <c r="CL104" i="33"/>
  <c r="CM104" i="33"/>
  <c r="CN104" i="33"/>
  <c r="DF104" i="33"/>
  <c r="DN104" i="33" s="1"/>
  <c r="DG104" i="33"/>
  <c r="DO104" i="33" s="1"/>
  <c r="DH104" i="33"/>
  <c r="DP104" i="33" s="1"/>
  <c r="DJ104" i="33"/>
  <c r="DR104" i="33" s="1"/>
  <c r="DK104" i="33"/>
  <c r="DS104" i="33" s="1"/>
  <c r="DL104" i="33"/>
  <c r="DT104" i="33" s="1"/>
  <c r="DM104" i="33"/>
  <c r="DU104" i="33" s="1"/>
  <c r="DV104" i="33"/>
  <c r="DW104" i="33"/>
  <c r="DX104" i="33"/>
  <c r="DZ104" i="33"/>
  <c r="EA104" i="33"/>
  <c r="EB104" i="33"/>
  <c r="EC104" i="33"/>
  <c r="C104" i="6"/>
  <c r="D104" i="6"/>
  <c r="BI96" i="2"/>
  <c r="BJ96" i="2"/>
  <c r="BK96" i="2"/>
  <c r="BL96" i="2"/>
  <c r="BH96" i="2"/>
  <c r="E98" i="2"/>
  <c r="E99" i="2"/>
  <c r="E100" i="2"/>
  <c r="E101" i="2"/>
  <c r="E102" i="2"/>
  <c r="E103" i="2"/>
  <c r="E104" i="2"/>
  <c r="E105" i="2"/>
  <c r="E106" i="2"/>
  <c r="E107" i="2"/>
  <c r="E108" i="2"/>
  <c r="E109" i="2"/>
  <c r="E110" i="2"/>
  <c r="E111" i="2"/>
  <c r="E112" i="2"/>
  <c r="E113" i="2"/>
  <c r="E114" i="2"/>
  <c r="E115" i="2"/>
  <c r="E116" i="2"/>
  <c r="E117" i="2"/>
  <c r="E118" i="2"/>
  <c r="E97" i="2"/>
  <c r="C118" i="2"/>
  <c r="G118" i="2"/>
  <c r="H118" i="2"/>
  <c r="I118" i="2"/>
  <c r="P3" i="16"/>
  <c r="Q3" i="16"/>
  <c r="R3" i="16"/>
  <c r="S3" i="16"/>
  <c r="T3" i="16"/>
  <c r="U3" i="16"/>
  <c r="P4" i="16"/>
  <c r="Q4" i="16"/>
  <c r="R4" i="16"/>
  <c r="S4" i="16"/>
  <c r="T4" i="16"/>
  <c r="U4" i="16"/>
  <c r="P5" i="16"/>
  <c r="Q5" i="16"/>
  <c r="R5" i="16"/>
  <c r="S5" i="16"/>
  <c r="T5" i="16"/>
  <c r="U5" i="16"/>
  <c r="P6" i="16"/>
  <c r="Q6" i="16"/>
  <c r="R6" i="16"/>
  <c r="S6" i="16"/>
  <c r="T6" i="16"/>
  <c r="U6" i="16"/>
  <c r="P7" i="16"/>
  <c r="Q7" i="16"/>
  <c r="R7" i="16"/>
  <c r="S7" i="16"/>
  <c r="T7" i="16"/>
  <c r="U7" i="16"/>
  <c r="P8" i="16"/>
  <c r="Q8" i="16"/>
  <c r="R8" i="16"/>
  <c r="S8" i="16"/>
  <c r="T8" i="16"/>
  <c r="U8" i="16"/>
  <c r="P9" i="16"/>
  <c r="Q9" i="16"/>
  <c r="R9" i="16"/>
  <c r="S9" i="16"/>
  <c r="T9" i="16"/>
  <c r="U9" i="16"/>
  <c r="P10" i="16"/>
  <c r="Q10" i="16"/>
  <c r="R10" i="16"/>
  <c r="S10" i="16"/>
  <c r="T10" i="16"/>
  <c r="U10" i="16"/>
  <c r="P11" i="16"/>
  <c r="Q11" i="16"/>
  <c r="R11" i="16"/>
  <c r="S11" i="16"/>
  <c r="T11" i="16"/>
  <c r="U11" i="16"/>
  <c r="P12" i="16"/>
  <c r="Q12" i="16"/>
  <c r="R12" i="16"/>
  <c r="S12" i="16"/>
  <c r="T12" i="16"/>
  <c r="U12" i="16"/>
  <c r="P13" i="16"/>
  <c r="Q13" i="16"/>
  <c r="R13" i="16"/>
  <c r="S13" i="16"/>
  <c r="T13" i="16"/>
  <c r="U13" i="16"/>
  <c r="P14" i="16"/>
  <c r="Q14" i="16"/>
  <c r="R14" i="16"/>
  <c r="S14" i="16"/>
  <c r="T14" i="16"/>
  <c r="U14" i="16"/>
  <c r="P15" i="16"/>
  <c r="Q15" i="16"/>
  <c r="R15" i="16"/>
  <c r="S15" i="16"/>
  <c r="T15" i="16"/>
  <c r="U15" i="16"/>
  <c r="P16" i="16"/>
  <c r="Q16" i="16"/>
  <c r="R16" i="16"/>
  <c r="S16" i="16"/>
  <c r="T16" i="16"/>
  <c r="U16" i="16"/>
  <c r="P17" i="16"/>
  <c r="Q17" i="16"/>
  <c r="R17" i="16"/>
  <c r="S17" i="16"/>
  <c r="T17" i="16"/>
  <c r="U17" i="16"/>
  <c r="P18" i="16"/>
  <c r="Q18" i="16"/>
  <c r="R18" i="16"/>
  <c r="S18" i="16"/>
  <c r="T18" i="16"/>
  <c r="U18" i="16"/>
  <c r="P19" i="16"/>
  <c r="Q19" i="16"/>
  <c r="R19" i="16"/>
  <c r="S19" i="16"/>
  <c r="T19" i="16"/>
  <c r="U19" i="16"/>
  <c r="P20" i="16"/>
  <c r="Q20" i="16"/>
  <c r="R20" i="16"/>
  <c r="S20" i="16"/>
  <c r="T20" i="16"/>
  <c r="U20" i="16"/>
  <c r="P21" i="16"/>
  <c r="Q21" i="16"/>
  <c r="R21" i="16"/>
  <c r="S21" i="16"/>
  <c r="T21" i="16"/>
  <c r="U21" i="16"/>
  <c r="P22" i="16"/>
  <c r="Q22" i="16"/>
  <c r="R22" i="16"/>
  <c r="S22" i="16"/>
  <c r="T22" i="16"/>
  <c r="U22" i="16"/>
  <c r="P23" i="16"/>
  <c r="Q23" i="16"/>
  <c r="R23" i="16"/>
  <c r="S23" i="16"/>
  <c r="T23" i="16"/>
  <c r="U23" i="16"/>
  <c r="AJ2" i="16"/>
  <c r="I3" i="16"/>
  <c r="I4" i="16"/>
  <c r="I5" i="16"/>
  <c r="I6" i="16"/>
  <c r="I7" i="16"/>
  <c r="I8" i="16"/>
  <c r="I9" i="16"/>
  <c r="I10" i="16"/>
  <c r="I11" i="16"/>
  <c r="I12" i="16"/>
  <c r="I13" i="16"/>
  <c r="I14" i="16"/>
  <c r="I15" i="16"/>
  <c r="I16" i="16"/>
  <c r="I17" i="16"/>
  <c r="I18" i="16"/>
  <c r="I19" i="16"/>
  <c r="I20" i="16"/>
  <c r="I21" i="16"/>
  <c r="I22" i="16"/>
  <c r="I23" i="16"/>
  <c r="I2" i="16"/>
  <c r="B23" i="16"/>
  <c r="C23" i="16"/>
  <c r="D23" i="16"/>
  <c r="E23" i="16"/>
  <c r="F23" i="16"/>
  <c r="G23" i="16"/>
  <c r="H23" i="16"/>
  <c r="M23" i="16"/>
  <c r="A23" i="16"/>
  <c r="AD23" i="16" s="1" a="1"/>
  <c r="AD23" i="16" s="1"/>
  <c r="F22" i="16"/>
  <c r="BQ95" i="33"/>
  <c r="BY95" i="33" s="1"/>
  <c r="BR95" i="33"/>
  <c r="BZ95" i="33" s="1"/>
  <c r="BS95" i="33"/>
  <c r="CA95" i="33" s="1"/>
  <c r="BU95" i="33"/>
  <c r="CC95" i="33" s="1"/>
  <c r="BV95" i="33"/>
  <c r="CD95" i="33" s="1"/>
  <c r="BW95" i="33"/>
  <c r="CE95" i="33" s="1"/>
  <c r="BX95" i="33"/>
  <c r="CF95" i="33" s="1"/>
  <c r="DF95" i="33"/>
  <c r="DN95" i="33" s="1"/>
  <c r="DG95" i="33"/>
  <c r="DO95" i="33" s="1"/>
  <c r="DH95" i="33"/>
  <c r="DP95" i="33" s="1"/>
  <c r="DJ95" i="33"/>
  <c r="DR95" i="33" s="1"/>
  <c r="DK95" i="33"/>
  <c r="DS95" i="33" s="1"/>
  <c r="DL95" i="33"/>
  <c r="DT95" i="33" s="1"/>
  <c r="DM95" i="33"/>
  <c r="DU95" i="33" s="1"/>
  <c r="V95" i="33" a="1"/>
  <c r="V95" i="33" s="1"/>
  <c r="W95" i="33" a="1"/>
  <c r="W95" i="33" s="1"/>
  <c r="X95" i="33" a="1"/>
  <c r="X95" i="33" s="1"/>
  <c r="AA95" i="33"/>
  <c r="AB95" i="33"/>
  <c r="B104" i="6"/>
  <c r="A84" i="6"/>
  <c r="A85" i="6"/>
  <c r="A86" i="6"/>
  <c r="A87" i="6"/>
  <c r="A88" i="6"/>
  <c r="A89" i="6"/>
  <c r="A90" i="6"/>
  <c r="A91" i="6"/>
  <c r="A92" i="6"/>
  <c r="A93" i="6"/>
  <c r="A94" i="6"/>
  <c r="A95" i="6"/>
  <c r="A96" i="6"/>
  <c r="A97" i="6"/>
  <c r="A98" i="6"/>
  <c r="A99" i="6"/>
  <c r="A100" i="6"/>
  <c r="A101" i="6"/>
  <c r="A102" i="6"/>
  <c r="A103" i="6"/>
  <c r="A104" i="6"/>
  <c r="B118" i="2"/>
  <c r="F2" i="12"/>
  <c r="G2" i="12"/>
  <c r="H2" i="12"/>
  <c r="L2" i="12"/>
  <c r="O2" i="12"/>
  <c r="P2" i="12"/>
  <c r="Q2" i="12"/>
  <c r="R2" i="12"/>
  <c r="S2" i="12"/>
  <c r="T2" i="12"/>
  <c r="AI2" i="12"/>
  <c r="F3" i="12"/>
  <c r="G3" i="12"/>
  <c r="H3" i="12"/>
  <c r="L3" i="12"/>
  <c r="O3" i="12"/>
  <c r="P3" i="12"/>
  <c r="Q3" i="12"/>
  <c r="R3" i="12"/>
  <c r="S3" i="12"/>
  <c r="T3" i="12"/>
  <c r="F4" i="12"/>
  <c r="G4" i="12"/>
  <c r="H4" i="12"/>
  <c r="L4" i="12"/>
  <c r="O4" i="12"/>
  <c r="P4" i="12"/>
  <c r="Q4" i="12"/>
  <c r="R4" i="12"/>
  <c r="S4" i="12"/>
  <c r="T4" i="12"/>
  <c r="F5" i="12"/>
  <c r="G5" i="12"/>
  <c r="H5" i="12"/>
  <c r="L5" i="12"/>
  <c r="O5" i="12"/>
  <c r="P5" i="12"/>
  <c r="Q5" i="12"/>
  <c r="R5" i="12"/>
  <c r="S5" i="12"/>
  <c r="T5" i="12"/>
  <c r="F6" i="12"/>
  <c r="G6" i="12"/>
  <c r="H6" i="12"/>
  <c r="L6" i="12"/>
  <c r="O6" i="12"/>
  <c r="P6" i="12"/>
  <c r="Q6" i="12"/>
  <c r="R6" i="12"/>
  <c r="S6" i="12"/>
  <c r="T6" i="12"/>
  <c r="F7" i="12"/>
  <c r="G7" i="12"/>
  <c r="H7" i="12"/>
  <c r="L7" i="12"/>
  <c r="O7" i="12"/>
  <c r="P7" i="12"/>
  <c r="Q7" i="12"/>
  <c r="R7" i="12"/>
  <c r="S7" i="12"/>
  <c r="T7" i="12"/>
  <c r="F8" i="12"/>
  <c r="G8" i="12"/>
  <c r="H8" i="12"/>
  <c r="L8" i="12"/>
  <c r="O8" i="12"/>
  <c r="P8" i="12"/>
  <c r="Q8" i="12"/>
  <c r="R8" i="12"/>
  <c r="S8" i="12"/>
  <c r="T8" i="12"/>
  <c r="F9" i="12"/>
  <c r="G9" i="12"/>
  <c r="H9" i="12"/>
  <c r="L9" i="12"/>
  <c r="O9" i="12"/>
  <c r="P9" i="12"/>
  <c r="Q9" i="12"/>
  <c r="R9" i="12"/>
  <c r="S9" i="12"/>
  <c r="T9" i="12"/>
  <c r="F10" i="12"/>
  <c r="G10" i="12"/>
  <c r="H10" i="12"/>
  <c r="L10" i="12"/>
  <c r="O10" i="12"/>
  <c r="P10" i="12"/>
  <c r="Q10" i="12"/>
  <c r="R10" i="12"/>
  <c r="S10" i="12"/>
  <c r="T10" i="12"/>
  <c r="F11" i="12"/>
  <c r="G11" i="12"/>
  <c r="H11" i="12"/>
  <c r="L11" i="12"/>
  <c r="O11" i="12"/>
  <c r="P11" i="12"/>
  <c r="Q11" i="12"/>
  <c r="R11" i="12"/>
  <c r="S11" i="12"/>
  <c r="T11" i="12"/>
  <c r="F12" i="12"/>
  <c r="G12" i="12"/>
  <c r="H12" i="12"/>
  <c r="L12" i="12"/>
  <c r="O12" i="12"/>
  <c r="P12" i="12"/>
  <c r="Q12" i="12"/>
  <c r="R12" i="12"/>
  <c r="S12" i="12"/>
  <c r="T12" i="12"/>
  <c r="F13" i="12"/>
  <c r="G13" i="12"/>
  <c r="H13" i="12"/>
  <c r="L13" i="12"/>
  <c r="O13" i="12"/>
  <c r="P13" i="12"/>
  <c r="Q13" i="12"/>
  <c r="R13" i="12"/>
  <c r="S13" i="12"/>
  <c r="T13" i="12"/>
  <c r="F14" i="12"/>
  <c r="G14" i="12"/>
  <c r="H14" i="12"/>
  <c r="L14" i="12"/>
  <c r="O14" i="12"/>
  <c r="P14" i="12"/>
  <c r="Q14" i="12"/>
  <c r="R14" i="12"/>
  <c r="S14" i="12"/>
  <c r="T14" i="12"/>
  <c r="F15" i="12"/>
  <c r="G15" i="12"/>
  <c r="H15" i="12"/>
  <c r="L15" i="12"/>
  <c r="O15" i="12"/>
  <c r="P15" i="12"/>
  <c r="Q15" i="12"/>
  <c r="R15" i="12"/>
  <c r="S15" i="12"/>
  <c r="T15" i="12"/>
  <c r="F16" i="12"/>
  <c r="G16" i="12"/>
  <c r="H16" i="12"/>
  <c r="L16" i="12"/>
  <c r="O16" i="12"/>
  <c r="P16" i="12"/>
  <c r="Q16" i="12"/>
  <c r="R16" i="12"/>
  <c r="S16" i="12"/>
  <c r="T16" i="12"/>
  <c r="F17" i="12"/>
  <c r="G17" i="12"/>
  <c r="H17" i="12"/>
  <c r="L17" i="12"/>
  <c r="O17" i="12"/>
  <c r="P17" i="12"/>
  <c r="Q17" i="12"/>
  <c r="R17" i="12"/>
  <c r="S17" i="12"/>
  <c r="T17" i="12"/>
  <c r="F18" i="12"/>
  <c r="G18" i="12"/>
  <c r="H18" i="12"/>
  <c r="L18" i="12"/>
  <c r="O18" i="12"/>
  <c r="P18" i="12"/>
  <c r="Q18" i="12"/>
  <c r="R18" i="12"/>
  <c r="S18" i="12"/>
  <c r="T18" i="12"/>
  <c r="F19" i="12"/>
  <c r="G19" i="12"/>
  <c r="H19" i="12"/>
  <c r="L19" i="12"/>
  <c r="O19" i="12"/>
  <c r="P19" i="12"/>
  <c r="Q19" i="12"/>
  <c r="R19" i="12"/>
  <c r="S19" i="12"/>
  <c r="T19" i="12"/>
  <c r="F20" i="12"/>
  <c r="G20" i="12"/>
  <c r="H20" i="12"/>
  <c r="L20" i="12"/>
  <c r="O20" i="12"/>
  <c r="P20" i="12"/>
  <c r="Q20" i="12"/>
  <c r="R20" i="12"/>
  <c r="S20" i="12"/>
  <c r="T20" i="12"/>
  <c r="F21" i="12"/>
  <c r="G21" i="12"/>
  <c r="H21" i="12"/>
  <c r="L21" i="12"/>
  <c r="O21" i="12"/>
  <c r="P21" i="12"/>
  <c r="Q21" i="12"/>
  <c r="R21" i="12"/>
  <c r="S21" i="12"/>
  <c r="T21" i="12"/>
  <c r="F22" i="12"/>
  <c r="G22" i="12"/>
  <c r="H22" i="12"/>
  <c r="L22" i="12"/>
  <c r="O22" i="12"/>
  <c r="P22" i="12"/>
  <c r="Q22" i="12"/>
  <c r="R22" i="12"/>
  <c r="S22" i="12"/>
  <c r="T22" i="12"/>
  <c r="F23" i="12"/>
  <c r="G23" i="12"/>
  <c r="H23" i="12"/>
  <c r="L23" i="12"/>
  <c r="O23" i="12"/>
  <c r="P23" i="12"/>
  <c r="Q23" i="12"/>
  <c r="R23" i="12"/>
  <c r="S23" i="12"/>
  <c r="T23" i="12"/>
  <c r="F24" i="12"/>
  <c r="G24" i="12"/>
  <c r="H24" i="12"/>
  <c r="L24" i="12"/>
  <c r="O24" i="12"/>
  <c r="P24" i="12"/>
  <c r="Q24" i="12"/>
  <c r="R24" i="12"/>
  <c r="S24" i="12"/>
  <c r="T24" i="12"/>
  <c r="F25" i="12"/>
  <c r="G25" i="12"/>
  <c r="H25" i="12"/>
  <c r="L25" i="12"/>
  <c r="O25" i="12"/>
  <c r="P25" i="12"/>
  <c r="Q25" i="12"/>
  <c r="R25" i="12"/>
  <c r="S25" i="12"/>
  <c r="T25" i="12"/>
  <c r="F26" i="12"/>
  <c r="G26" i="12"/>
  <c r="H26" i="12"/>
  <c r="L26" i="12"/>
  <c r="O26" i="12"/>
  <c r="P26" i="12"/>
  <c r="Q26" i="12"/>
  <c r="R26" i="12"/>
  <c r="S26" i="12"/>
  <c r="T26" i="12"/>
  <c r="F27" i="12"/>
  <c r="G27" i="12"/>
  <c r="H27" i="12"/>
  <c r="L27" i="12"/>
  <c r="O27" i="12"/>
  <c r="P27" i="12"/>
  <c r="Q27" i="12"/>
  <c r="R27" i="12"/>
  <c r="S27" i="12"/>
  <c r="T27" i="12"/>
  <c r="F28" i="12"/>
  <c r="G28" i="12"/>
  <c r="H28" i="12"/>
  <c r="L28" i="12"/>
  <c r="O28" i="12"/>
  <c r="P28" i="12"/>
  <c r="Q28" i="12"/>
  <c r="R28" i="12"/>
  <c r="S28" i="12"/>
  <c r="T28" i="12"/>
  <c r="F29" i="12"/>
  <c r="G29" i="12"/>
  <c r="H29" i="12"/>
  <c r="L29" i="12"/>
  <c r="O29" i="12"/>
  <c r="P29" i="12"/>
  <c r="Q29" i="12"/>
  <c r="R29" i="12"/>
  <c r="S29" i="12"/>
  <c r="T29" i="12"/>
  <c r="F30" i="12"/>
  <c r="G30" i="12"/>
  <c r="H30" i="12"/>
  <c r="L30" i="12"/>
  <c r="O30" i="12"/>
  <c r="P30" i="12"/>
  <c r="Q30" i="12"/>
  <c r="R30" i="12"/>
  <c r="S30" i="12"/>
  <c r="T30" i="12"/>
  <c r="F31" i="12"/>
  <c r="G31" i="12"/>
  <c r="H31" i="12"/>
  <c r="L31" i="12"/>
  <c r="O31" i="12"/>
  <c r="P31" i="12"/>
  <c r="Q31" i="12"/>
  <c r="R31" i="12"/>
  <c r="S31" i="12"/>
  <c r="T31" i="12"/>
  <c r="F32" i="12"/>
  <c r="G32" i="12"/>
  <c r="H32" i="12"/>
  <c r="L32" i="12"/>
  <c r="O32" i="12"/>
  <c r="P32" i="12"/>
  <c r="Q32" i="12"/>
  <c r="R32" i="12"/>
  <c r="S32" i="12"/>
  <c r="T32" i="12"/>
  <c r="F33" i="12"/>
  <c r="G33" i="12"/>
  <c r="H33" i="12"/>
  <c r="L33" i="12"/>
  <c r="O33" i="12"/>
  <c r="P33" i="12"/>
  <c r="Q33" i="12"/>
  <c r="R33" i="12"/>
  <c r="S33" i="12"/>
  <c r="T33" i="12"/>
  <c r="F34" i="12"/>
  <c r="G34" i="12"/>
  <c r="H34" i="12"/>
  <c r="L34" i="12"/>
  <c r="O34" i="12"/>
  <c r="P34" i="12"/>
  <c r="Q34" i="12"/>
  <c r="R34" i="12"/>
  <c r="S34" i="12"/>
  <c r="T34" i="12"/>
  <c r="F35" i="12"/>
  <c r="G35" i="12"/>
  <c r="H35" i="12"/>
  <c r="L35" i="12"/>
  <c r="O35" i="12"/>
  <c r="P35" i="12"/>
  <c r="Q35" i="12"/>
  <c r="R35" i="12"/>
  <c r="S35" i="12"/>
  <c r="T35" i="12"/>
  <c r="F36" i="12"/>
  <c r="G36" i="12"/>
  <c r="H36" i="12"/>
  <c r="L36" i="12"/>
  <c r="O36" i="12"/>
  <c r="P36" i="12"/>
  <c r="Q36" i="12"/>
  <c r="R36" i="12"/>
  <c r="S36" i="12"/>
  <c r="T36" i="12"/>
  <c r="F37" i="12"/>
  <c r="G37" i="12"/>
  <c r="H37" i="12"/>
  <c r="L37" i="12"/>
  <c r="O37" i="12"/>
  <c r="P37" i="12"/>
  <c r="Q37" i="12"/>
  <c r="R37" i="12"/>
  <c r="S37" i="12"/>
  <c r="T37" i="12"/>
  <c r="F38" i="12"/>
  <c r="G38" i="12"/>
  <c r="H38" i="12"/>
  <c r="L38" i="12"/>
  <c r="O38" i="12"/>
  <c r="P38" i="12"/>
  <c r="Q38" i="12"/>
  <c r="R38" i="12"/>
  <c r="S38" i="12"/>
  <c r="T38" i="12"/>
  <c r="F39" i="12"/>
  <c r="G39" i="12"/>
  <c r="H39" i="12"/>
  <c r="L39" i="12"/>
  <c r="O39" i="12"/>
  <c r="P39" i="12"/>
  <c r="Q39" i="12"/>
  <c r="R39" i="12"/>
  <c r="S39" i="12"/>
  <c r="T39" i="12"/>
  <c r="F40" i="12"/>
  <c r="G40" i="12"/>
  <c r="H40" i="12"/>
  <c r="L40" i="12"/>
  <c r="O40" i="12"/>
  <c r="P40" i="12"/>
  <c r="Q40" i="12"/>
  <c r="R40" i="12"/>
  <c r="S40" i="12"/>
  <c r="T40" i="12"/>
  <c r="F41" i="12"/>
  <c r="G41" i="12"/>
  <c r="H41" i="12"/>
  <c r="L41" i="12"/>
  <c r="O41" i="12"/>
  <c r="P41" i="12"/>
  <c r="Q41" i="12"/>
  <c r="R41" i="12"/>
  <c r="S41" i="12"/>
  <c r="T41" i="12"/>
  <c r="F42" i="12"/>
  <c r="G42" i="12"/>
  <c r="H42" i="12"/>
  <c r="L42" i="12"/>
  <c r="O42" i="12"/>
  <c r="P42" i="12"/>
  <c r="Q42" i="12"/>
  <c r="R42" i="12"/>
  <c r="S42" i="12"/>
  <c r="T42" i="12"/>
  <c r="F43" i="12"/>
  <c r="G43" i="12"/>
  <c r="H43" i="12"/>
  <c r="L43" i="12"/>
  <c r="O43" i="12"/>
  <c r="P43" i="12"/>
  <c r="Q43" i="12"/>
  <c r="R43" i="12"/>
  <c r="S43" i="12"/>
  <c r="T43" i="12"/>
  <c r="F44" i="12"/>
  <c r="G44" i="12"/>
  <c r="H44" i="12"/>
  <c r="L44" i="12"/>
  <c r="O44" i="12"/>
  <c r="P44" i="12"/>
  <c r="Q44" i="12"/>
  <c r="R44" i="12"/>
  <c r="S44" i="12"/>
  <c r="T44" i="12"/>
  <c r="F45" i="12"/>
  <c r="G45" i="12"/>
  <c r="H45" i="12"/>
  <c r="L45" i="12"/>
  <c r="O45" i="12"/>
  <c r="P45" i="12"/>
  <c r="Q45" i="12"/>
  <c r="R45" i="12"/>
  <c r="S45" i="12"/>
  <c r="T45" i="12"/>
  <c r="F46" i="12"/>
  <c r="G46" i="12"/>
  <c r="H46" i="12"/>
  <c r="L46" i="12"/>
  <c r="O46" i="12"/>
  <c r="P46" i="12"/>
  <c r="Q46" i="12"/>
  <c r="R46" i="12"/>
  <c r="S46" i="12"/>
  <c r="T46" i="12"/>
  <c r="F47" i="12"/>
  <c r="G47" i="12"/>
  <c r="H47" i="12"/>
  <c r="L47" i="12"/>
  <c r="O47" i="12"/>
  <c r="P47" i="12"/>
  <c r="Q47" i="12"/>
  <c r="R47" i="12"/>
  <c r="S47" i="12"/>
  <c r="T47" i="12"/>
  <c r="F48" i="12"/>
  <c r="G48" i="12"/>
  <c r="H48" i="12"/>
  <c r="L48" i="12"/>
  <c r="O48" i="12"/>
  <c r="P48" i="12"/>
  <c r="Q48" i="12"/>
  <c r="R48" i="12"/>
  <c r="S48" i="12"/>
  <c r="T48" i="12"/>
  <c r="F49" i="12"/>
  <c r="G49" i="12"/>
  <c r="H49" i="12"/>
  <c r="L49" i="12"/>
  <c r="O49" i="12"/>
  <c r="P49" i="12"/>
  <c r="Q49" i="12"/>
  <c r="R49" i="12"/>
  <c r="S49" i="12"/>
  <c r="T49" i="12"/>
  <c r="F50" i="12"/>
  <c r="G50" i="12"/>
  <c r="H50" i="12"/>
  <c r="L50" i="12"/>
  <c r="O50" i="12"/>
  <c r="P50" i="12"/>
  <c r="Q50" i="12"/>
  <c r="R50" i="12"/>
  <c r="S50" i="12"/>
  <c r="T50" i="12"/>
  <c r="F51" i="12"/>
  <c r="G51" i="12"/>
  <c r="H51" i="12"/>
  <c r="L51" i="12"/>
  <c r="O51" i="12"/>
  <c r="P51" i="12"/>
  <c r="Q51" i="12"/>
  <c r="R51" i="12"/>
  <c r="S51" i="12"/>
  <c r="T51" i="12"/>
  <c r="F52" i="12"/>
  <c r="G52" i="12"/>
  <c r="H52" i="12"/>
  <c r="L52" i="12"/>
  <c r="O52" i="12"/>
  <c r="P52" i="12"/>
  <c r="Q52" i="12"/>
  <c r="R52" i="12"/>
  <c r="S52" i="12"/>
  <c r="T52" i="12"/>
  <c r="F53" i="12"/>
  <c r="G53" i="12"/>
  <c r="H53" i="12"/>
  <c r="L53" i="12"/>
  <c r="O53" i="12"/>
  <c r="P53" i="12"/>
  <c r="Q53" i="12"/>
  <c r="R53" i="12"/>
  <c r="S53" i="12"/>
  <c r="T53" i="12"/>
  <c r="F54" i="12"/>
  <c r="G54" i="12"/>
  <c r="H54" i="12"/>
  <c r="L54" i="12"/>
  <c r="O54" i="12"/>
  <c r="P54" i="12"/>
  <c r="Q54" i="12"/>
  <c r="R54" i="12"/>
  <c r="S54" i="12"/>
  <c r="T54" i="12"/>
  <c r="F55" i="12"/>
  <c r="G55" i="12"/>
  <c r="H55" i="12"/>
  <c r="L55" i="12"/>
  <c r="O55" i="12"/>
  <c r="P55" i="12"/>
  <c r="Q55" i="12"/>
  <c r="R55" i="12"/>
  <c r="S55" i="12"/>
  <c r="T55" i="12"/>
  <c r="F56" i="12"/>
  <c r="G56" i="12"/>
  <c r="H56" i="12"/>
  <c r="L56" i="12"/>
  <c r="O56" i="12"/>
  <c r="P56" i="12"/>
  <c r="Q56" i="12"/>
  <c r="R56" i="12"/>
  <c r="S56" i="12"/>
  <c r="T56" i="12"/>
  <c r="F57" i="12"/>
  <c r="G57" i="12"/>
  <c r="H57" i="12"/>
  <c r="L57" i="12"/>
  <c r="O57" i="12"/>
  <c r="P57" i="12"/>
  <c r="Q57" i="12"/>
  <c r="R57" i="12"/>
  <c r="S57" i="12"/>
  <c r="T57" i="12"/>
  <c r="F58" i="12"/>
  <c r="G58" i="12"/>
  <c r="H58" i="12"/>
  <c r="L58" i="12"/>
  <c r="O58" i="12"/>
  <c r="P58" i="12"/>
  <c r="Q58" i="12"/>
  <c r="R58" i="12"/>
  <c r="S58" i="12"/>
  <c r="T58" i="12"/>
  <c r="F59" i="12"/>
  <c r="G59" i="12"/>
  <c r="H59" i="12"/>
  <c r="L59" i="12"/>
  <c r="O59" i="12"/>
  <c r="P59" i="12"/>
  <c r="Q59" i="12"/>
  <c r="R59" i="12"/>
  <c r="S59" i="12"/>
  <c r="T59" i="12"/>
  <c r="F60" i="12"/>
  <c r="G60" i="12"/>
  <c r="H60" i="12"/>
  <c r="L60" i="12"/>
  <c r="O60" i="12"/>
  <c r="P60" i="12"/>
  <c r="Q60" i="12"/>
  <c r="R60" i="12"/>
  <c r="S60" i="12"/>
  <c r="T60" i="12"/>
  <c r="B3" i="12"/>
  <c r="C3" i="12"/>
  <c r="D3" i="12"/>
  <c r="E3" i="12"/>
  <c r="B4" i="12"/>
  <c r="C4" i="12"/>
  <c r="D4" i="12"/>
  <c r="E4" i="12"/>
  <c r="B5" i="12"/>
  <c r="C5" i="12"/>
  <c r="D5" i="12"/>
  <c r="E5" i="12"/>
  <c r="B6" i="12"/>
  <c r="C6" i="12"/>
  <c r="D6" i="12"/>
  <c r="E6" i="12"/>
  <c r="B7" i="12"/>
  <c r="C7" i="12"/>
  <c r="D7" i="12"/>
  <c r="E7" i="12"/>
  <c r="B8" i="12"/>
  <c r="C8" i="12"/>
  <c r="D8" i="12"/>
  <c r="E8" i="12"/>
  <c r="B9" i="12"/>
  <c r="C9" i="12"/>
  <c r="D9" i="12"/>
  <c r="E9" i="12"/>
  <c r="B10" i="12"/>
  <c r="C10" i="12"/>
  <c r="D10" i="12"/>
  <c r="E10" i="12"/>
  <c r="B11" i="12"/>
  <c r="C11" i="12"/>
  <c r="D11" i="12"/>
  <c r="E11" i="12"/>
  <c r="B12" i="12"/>
  <c r="C12" i="12"/>
  <c r="D12" i="12"/>
  <c r="E12" i="12"/>
  <c r="B13" i="12"/>
  <c r="C13" i="12"/>
  <c r="D13" i="12"/>
  <c r="E13" i="12"/>
  <c r="B14" i="12"/>
  <c r="C14" i="12"/>
  <c r="D14" i="12"/>
  <c r="E14" i="12"/>
  <c r="B15" i="12"/>
  <c r="C15" i="12"/>
  <c r="D15" i="12"/>
  <c r="E15" i="12"/>
  <c r="B16" i="12"/>
  <c r="C16" i="12"/>
  <c r="D16" i="12"/>
  <c r="E16" i="12"/>
  <c r="B17" i="12"/>
  <c r="C17" i="12"/>
  <c r="D17" i="12"/>
  <c r="E17" i="12"/>
  <c r="B18" i="12"/>
  <c r="C18" i="12"/>
  <c r="D18" i="12"/>
  <c r="E18" i="12"/>
  <c r="B19" i="12"/>
  <c r="C19" i="12"/>
  <c r="D19" i="12"/>
  <c r="E19" i="12"/>
  <c r="B20" i="12"/>
  <c r="C20" i="12"/>
  <c r="D20" i="12"/>
  <c r="E20" i="12"/>
  <c r="B21" i="12"/>
  <c r="C21" i="12"/>
  <c r="D21" i="12"/>
  <c r="E21" i="12"/>
  <c r="B22" i="12"/>
  <c r="C22" i="12"/>
  <c r="D22" i="12"/>
  <c r="E22" i="12"/>
  <c r="B23" i="12"/>
  <c r="C23" i="12"/>
  <c r="D23" i="12"/>
  <c r="E23" i="12"/>
  <c r="B24" i="12"/>
  <c r="C24" i="12"/>
  <c r="D24" i="12"/>
  <c r="E24" i="12"/>
  <c r="B25" i="12"/>
  <c r="C25" i="12"/>
  <c r="D25" i="12"/>
  <c r="E25" i="12"/>
  <c r="B26" i="12"/>
  <c r="C26" i="12"/>
  <c r="D26" i="12"/>
  <c r="E26" i="12"/>
  <c r="B27" i="12"/>
  <c r="C27" i="12"/>
  <c r="D27" i="12"/>
  <c r="E27" i="12"/>
  <c r="B28" i="12"/>
  <c r="C28" i="12"/>
  <c r="D28" i="12"/>
  <c r="E28" i="12"/>
  <c r="B29" i="12"/>
  <c r="C29" i="12"/>
  <c r="D29" i="12"/>
  <c r="E29" i="12"/>
  <c r="B30" i="12"/>
  <c r="C30" i="12"/>
  <c r="D30" i="12"/>
  <c r="E30" i="12"/>
  <c r="B31" i="12"/>
  <c r="C31" i="12"/>
  <c r="D31" i="12"/>
  <c r="E31" i="12"/>
  <c r="B32" i="12"/>
  <c r="C32" i="12"/>
  <c r="D32" i="12"/>
  <c r="E32" i="12"/>
  <c r="B33" i="12"/>
  <c r="C33" i="12"/>
  <c r="D33" i="12"/>
  <c r="E33" i="12"/>
  <c r="B34" i="12"/>
  <c r="C34" i="12"/>
  <c r="D34" i="12"/>
  <c r="E34" i="12"/>
  <c r="B35" i="12"/>
  <c r="C35" i="12"/>
  <c r="D35" i="12"/>
  <c r="E35" i="12"/>
  <c r="B36" i="12"/>
  <c r="C36" i="12"/>
  <c r="D36" i="12"/>
  <c r="E36" i="12"/>
  <c r="B37" i="12"/>
  <c r="C37" i="12"/>
  <c r="D37" i="12"/>
  <c r="E37" i="12"/>
  <c r="B38" i="12"/>
  <c r="C38" i="12"/>
  <c r="D38" i="12"/>
  <c r="E38" i="12"/>
  <c r="B39" i="12"/>
  <c r="C39" i="12"/>
  <c r="D39" i="12"/>
  <c r="E39" i="12"/>
  <c r="B40" i="12"/>
  <c r="C40" i="12"/>
  <c r="D40" i="12"/>
  <c r="E40" i="12"/>
  <c r="B41" i="12"/>
  <c r="C41" i="12"/>
  <c r="D41" i="12"/>
  <c r="E41" i="12"/>
  <c r="B42" i="12"/>
  <c r="C42" i="12"/>
  <c r="D42" i="12"/>
  <c r="E42" i="12"/>
  <c r="B43" i="12"/>
  <c r="C43" i="12"/>
  <c r="D43" i="12"/>
  <c r="E43" i="12"/>
  <c r="B44" i="12"/>
  <c r="C44" i="12"/>
  <c r="D44" i="12"/>
  <c r="E44" i="12"/>
  <c r="B45" i="12"/>
  <c r="C45" i="12"/>
  <c r="D45" i="12"/>
  <c r="E45" i="12"/>
  <c r="B46" i="12"/>
  <c r="C46" i="12"/>
  <c r="D46" i="12"/>
  <c r="E46" i="12"/>
  <c r="B47" i="12"/>
  <c r="C47" i="12"/>
  <c r="D47" i="12"/>
  <c r="E47" i="12"/>
  <c r="B48" i="12"/>
  <c r="C48" i="12"/>
  <c r="D48" i="12"/>
  <c r="E48" i="12"/>
  <c r="B49" i="12"/>
  <c r="C49" i="12"/>
  <c r="D49" i="12"/>
  <c r="E49" i="12"/>
  <c r="B50" i="12"/>
  <c r="C50" i="12"/>
  <c r="D50" i="12"/>
  <c r="E50" i="12"/>
  <c r="B51" i="12"/>
  <c r="C51" i="12"/>
  <c r="D51" i="12"/>
  <c r="E51" i="12"/>
  <c r="B52" i="12"/>
  <c r="C52" i="12"/>
  <c r="D52" i="12"/>
  <c r="E52" i="12"/>
  <c r="B53" i="12"/>
  <c r="C53" i="12"/>
  <c r="D53" i="12"/>
  <c r="E53" i="12"/>
  <c r="B54" i="12"/>
  <c r="C54" i="12"/>
  <c r="D54" i="12"/>
  <c r="E54" i="12"/>
  <c r="B55" i="12"/>
  <c r="C55" i="12"/>
  <c r="D55" i="12"/>
  <c r="E55" i="12"/>
  <c r="B56" i="12"/>
  <c r="C56" i="12"/>
  <c r="D56" i="12"/>
  <c r="E56" i="12"/>
  <c r="B57" i="12"/>
  <c r="C57" i="12"/>
  <c r="D57" i="12"/>
  <c r="E57" i="12"/>
  <c r="B58" i="12"/>
  <c r="C58" i="12"/>
  <c r="D58" i="12"/>
  <c r="E58" i="12"/>
  <c r="B59" i="12"/>
  <c r="C59" i="12"/>
  <c r="D59" i="12"/>
  <c r="E59" i="12"/>
  <c r="B60" i="12"/>
  <c r="C60" i="12"/>
  <c r="D60" i="12"/>
  <c r="E60" i="12"/>
  <c r="A3" i="12"/>
  <c r="A4" i="12"/>
  <c r="AF4" i="12" s="1" a="1"/>
  <c r="AF4" i="12" s="1"/>
  <c r="A5" i="12"/>
  <c r="AE5" i="12" s="1" a="1"/>
  <c r="AE5" i="12" s="1"/>
  <c r="A6" i="12"/>
  <c r="AE6" i="12" s="1" a="1"/>
  <c r="AE6" i="12" s="1"/>
  <c r="A7" i="12"/>
  <c r="AE7" i="12" s="1" a="1"/>
  <c r="AE7" i="12" s="1"/>
  <c r="A8" i="12"/>
  <c r="AM8" i="12" s="1" a="1"/>
  <c r="AM8" i="12" s="1"/>
  <c r="A9" i="12"/>
  <c r="A10" i="12"/>
  <c r="A11" i="12"/>
  <c r="AD11" i="12" s="1" a="1"/>
  <c r="AD11" i="12" s="1"/>
  <c r="A12" i="12"/>
  <c r="AD12" i="12" s="1" a="1"/>
  <c r="AD12" i="12" s="1"/>
  <c r="A13" i="12"/>
  <c r="AM13" i="12" s="1" a="1"/>
  <c r="AM13" i="12" s="1"/>
  <c r="A14" i="12"/>
  <c r="AJ14" i="12" s="1" a="1"/>
  <c r="AJ14" i="12" s="1"/>
  <c r="A15" i="12"/>
  <c r="AK15" i="12" s="1" a="1"/>
  <c r="AK15" i="12" s="1"/>
  <c r="A16" i="12"/>
  <c r="AH16" i="12" s="1" a="1"/>
  <c r="AH16" i="12" s="1"/>
  <c r="A17" i="12"/>
  <c r="AN17" i="12" s="1" a="1"/>
  <c r="AN17" i="12" s="1"/>
  <c r="A18" i="12"/>
  <c r="AJ18" i="12" s="1" a="1"/>
  <c r="AJ18" i="12" s="1"/>
  <c r="A19" i="12"/>
  <c r="AF19" i="12" s="1" a="1"/>
  <c r="AF19" i="12" s="1"/>
  <c r="A20" i="12"/>
  <c r="AK20" i="12" s="1" a="1"/>
  <c r="AK20" i="12" s="1"/>
  <c r="A21" i="12"/>
  <c r="AM21" i="12" s="1" a="1"/>
  <c r="AM21" i="12" s="1"/>
  <c r="A22" i="12"/>
  <c r="AO22" i="12" s="1" a="1"/>
  <c r="AO22" i="12" s="1"/>
  <c r="A23" i="12"/>
  <c r="AC23" i="12" s="1" a="1"/>
  <c r="AC23" i="12" s="1"/>
  <c r="A24" i="12"/>
  <c r="AD24" i="12" s="1" a="1"/>
  <c r="AD24" i="12" s="1"/>
  <c r="A25" i="12"/>
  <c r="AD25" i="12" s="1" a="1"/>
  <c r="AD25" i="12" s="1"/>
  <c r="A26" i="12"/>
  <c r="AC26" i="12" s="1" a="1"/>
  <c r="AC26" i="12" s="1"/>
  <c r="A27" i="12"/>
  <c r="AE27" i="12" s="1" a="1"/>
  <c r="AE27" i="12" s="1"/>
  <c r="A28" i="12"/>
  <c r="AF28" i="12" s="1" a="1"/>
  <c r="AF28" i="12" s="1"/>
  <c r="A29" i="12"/>
  <c r="AL29" i="12" s="1" a="1"/>
  <c r="AL29" i="12" s="1"/>
  <c r="A30" i="12"/>
  <c r="AQ30" i="12" s="1"/>
  <c r="A31" i="12"/>
  <c r="A32" i="12"/>
  <c r="A33" i="12"/>
  <c r="AE33" i="12" s="1" a="1"/>
  <c r="AE33" i="12" s="1"/>
  <c r="A34" i="12"/>
  <c r="A35" i="12"/>
  <c r="AD35" i="12" s="1" a="1"/>
  <c r="AD35" i="12" s="1"/>
  <c r="A36" i="12"/>
  <c r="AK36" i="12" s="1" a="1"/>
  <c r="AK36" i="12" s="1"/>
  <c r="A37" i="12"/>
  <c r="AQ37" i="12" s="1"/>
  <c r="A38" i="12"/>
  <c r="AE38" i="12" s="1" a="1"/>
  <c r="AE38" i="12" s="1"/>
  <c r="A39" i="12"/>
  <c r="AN39" i="12" s="1" a="1"/>
  <c r="AN39" i="12" s="1"/>
  <c r="A40" i="12"/>
  <c r="AQ40" i="12" s="1"/>
  <c r="A41" i="12"/>
  <c r="A42" i="12"/>
  <c r="AD42" i="12" s="1" a="1"/>
  <c r="AD42" i="12" s="1"/>
  <c r="A43" i="12"/>
  <c r="AC43" i="12" s="1" a="1"/>
  <c r="AC43" i="12" s="1"/>
  <c r="A44" i="12"/>
  <c r="AC44" i="12" s="1" a="1"/>
  <c r="AC44" i="12" s="1"/>
  <c r="A45" i="12"/>
  <c r="AD45" i="12" s="1" a="1"/>
  <c r="AD45" i="12" s="1"/>
  <c r="A46" i="12"/>
  <c r="AG46" i="12" s="1" a="1"/>
  <c r="AG46" i="12" s="1"/>
  <c r="A47" i="12"/>
  <c r="AO47" i="12" s="1" a="1"/>
  <c r="AO47" i="12" s="1"/>
  <c r="A48" i="12"/>
  <c r="AM48" i="12" s="1" a="1"/>
  <c r="AM48" i="12" s="1"/>
  <c r="A49" i="12"/>
  <c r="AJ49" i="12" s="1" a="1"/>
  <c r="AJ49" i="12" s="1"/>
  <c r="A50" i="12"/>
  <c r="AD50" i="12" s="1" a="1"/>
  <c r="AD50" i="12" s="1"/>
  <c r="A51" i="12"/>
  <c r="AC51" i="12" s="1" a="1"/>
  <c r="AC51" i="12" s="1"/>
  <c r="A52" i="12"/>
  <c r="AD52" i="12" s="1" a="1"/>
  <c r="AD52" i="12" s="1"/>
  <c r="A53" i="12"/>
  <c r="AC53" i="12" s="1" a="1"/>
  <c r="AC53" i="12" s="1"/>
  <c r="A54" i="12"/>
  <c r="AC54" i="12" s="1" a="1"/>
  <c r="AC54" i="12" s="1"/>
  <c r="A55" i="12"/>
  <c r="AF55" i="12" s="1" a="1"/>
  <c r="AF55" i="12" s="1"/>
  <c r="A56" i="12"/>
  <c r="AG56" i="12" s="1" a="1"/>
  <c r="AG56" i="12" s="1"/>
  <c r="A57" i="12"/>
  <c r="AH57" i="12" s="1" a="1"/>
  <c r="AH57" i="12" s="1"/>
  <c r="A58" i="12"/>
  <c r="AH58" i="12" s="1" a="1"/>
  <c r="AH58" i="12" s="1"/>
  <c r="A59" i="12"/>
  <c r="AH59" i="12" s="1" a="1"/>
  <c r="AH59" i="12" s="1"/>
  <c r="A60" i="12"/>
  <c r="AG60" i="12" s="1" a="1"/>
  <c r="AG60" i="12" s="1"/>
  <c r="BX53" i="2"/>
  <c r="B37" i="2"/>
  <c r="C37" i="2"/>
  <c r="E37" i="2"/>
  <c r="B38" i="2"/>
  <c r="C38" i="2"/>
  <c r="E38" i="2"/>
  <c r="B39" i="2"/>
  <c r="C39" i="2"/>
  <c r="E39" i="2"/>
  <c r="B40" i="2"/>
  <c r="C40" i="2"/>
  <c r="E40" i="2"/>
  <c r="B41" i="2"/>
  <c r="C41" i="2"/>
  <c r="E41" i="2"/>
  <c r="B42" i="2"/>
  <c r="C42" i="2"/>
  <c r="E42" i="2"/>
  <c r="B43" i="2"/>
  <c r="C43" i="2"/>
  <c r="E43" i="2"/>
  <c r="B44" i="2"/>
  <c r="C44" i="2"/>
  <c r="E44" i="2"/>
  <c r="B45" i="2"/>
  <c r="C45" i="2"/>
  <c r="E45" i="2"/>
  <c r="B46" i="2"/>
  <c r="C46" i="2"/>
  <c r="E46" i="2"/>
  <c r="B47" i="2"/>
  <c r="C47" i="2"/>
  <c r="E47" i="2"/>
  <c r="B48" i="2"/>
  <c r="C48" i="2"/>
  <c r="E48" i="2"/>
  <c r="B49" i="2"/>
  <c r="C49" i="2"/>
  <c r="E49" i="2"/>
  <c r="B50" i="2"/>
  <c r="C50" i="2"/>
  <c r="E50" i="2"/>
  <c r="B51" i="2"/>
  <c r="C51" i="2"/>
  <c r="E51" i="2"/>
  <c r="B52" i="2"/>
  <c r="C52" i="2"/>
  <c r="E52" i="2"/>
  <c r="B53" i="2"/>
  <c r="C53" i="2"/>
  <c r="E53" i="2"/>
  <c r="B54" i="2"/>
  <c r="C54" i="2"/>
  <c r="E54" i="2"/>
  <c r="B55" i="2"/>
  <c r="C55" i="2"/>
  <c r="E55" i="2"/>
  <c r="B56" i="2"/>
  <c r="C56" i="2"/>
  <c r="E56" i="2"/>
  <c r="B57" i="2"/>
  <c r="C57" i="2"/>
  <c r="E57" i="2"/>
  <c r="B58" i="2"/>
  <c r="C58" i="2"/>
  <c r="E58" i="2"/>
  <c r="B59" i="2"/>
  <c r="C59" i="2"/>
  <c r="E59" i="2"/>
  <c r="B60" i="2"/>
  <c r="C60" i="2"/>
  <c r="E60" i="2"/>
  <c r="B61" i="2"/>
  <c r="C61" i="2"/>
  <c r="E61" i="2"/>
  <c r="B62" i="2"/>
  <c r="C62" i="2"/>
  <c r="E62" i="2"/>
  <c r="B63" i="2"/>
  <c r="C63" i="2"/>
  <c r="E63" i="2"/>
  <c r="B64" i="2"/>
  <c r="C64" i="2"/>
  <c r="E64" i="2"/>
  <c r="B65" i="2"/>
  <c r="C65" i="2"/>
  <c r="E65" i="2"/>
  <c r="B66" i="2"/>
  <c r="C66" i="2"/>
  <c r="E66" i="2"/>
  <c r="B67" i="2"/>
  <c r="C67" i="2"/>
  <c r="E67" i="2"/>
  <c r="B68" i="2"/>
  <c r="C68" i="2"/>
  <c r="E68" i="2"/>
  <c r="B69" i="2"/>
  <c r="C69" i="2"/>
  <c r="E69" i="2"/>
  <c r="B70" i="2"/>
  <c r="C70" i="2"/>
  <c r="E70" i="2"/>
  <c r="B71" i="2"/>
  <c r="C71" i="2"/>
  <c r="E71" i="2"/>
  <c r="B72" i="2"/>
  <c r="C72" i="2"/>
  <c r="E72" i="2"/>
  <c r="B73" i="2"/>
  <c r="C73" i="2"/>
  <c r="E73" i="2"/>
  <c r="B74" i="2"/>
  <c r="C74" i="2"/>
  <c r="E74" i="2"/>
  <c r="B75" i="2"/>
  <c r="C75" i="2"/>
  <c r="E75" i="2"/>
  <c r="B76" i="2"/>
  <c r="C76" i="2"/>
  <c r="E76" i="2"/>
  <c r="B77" i="2"/>
  <c r="C77" i="2"/>
  <c r="E77" i="2"/>
  <c r="B78" i="2"/>
  <c r="C78" i="2"/>
  <c r="E78" i="2"/>
  <c r="B79" i="2"/>
  <c r="C79" i="2"/>
  <c r="E79" i="2"/>
  <c r="B80" i="2"/>
  <c r="C80" i="2"/>
  <c r="E80" i="2"/>
  <c r="B81" i="2"/>
  <c r="C81" i="2"/>
  <c r="E81" i="2"/>
  <c r="B82" i="2"/>
  <c r="C82" i="2"/>
  <c r="E82" i="2"/>
  <c r="B83" i="2"/>
  <c r="C83" i="2"/>
  <c r="E83" i="2"/>
  <c r="B84" i="2"/>
  <c r="C84" i="2"/>
  <c r="E84" i="2"/>
  <c r="B85" i="2"/>
  <c r="C85" i="2"/>
  <c r="E85" i="2"/>
  <c r="B86" i="2"/>
  <c r="C86" i="2"/>
  <c r="E86" i="2"/>
  <c r="B87" i="2"/>
  <c r="C87" i="2"/>
  <c r="E87" i="2"/>
  <c r="B88" i="2"/>
  <c r="C88" i="2"/>
  <c r="E88" i="2"/>
  <c r="B89" i="2"/>
  <c r="C89" i="2"/>
  <c r="E89" i="2"/>
  <c r="B90" i="2"/>
  <c r="C90" i="2"/>
  <c r="E90" i="2"/>
  <c r="B91" i="2"/>
  <c r="C91" i="2"/>
  <c r="E91" i="2"/>
  <c r="B92" i="2"/>
  <c r="C92" i="2"/>
  <c r="E92" i="2"/>
  <c r="B93" i="2"/>
  <c r="C93" i="2"/>
  <c r="E93" i="2"/>
  <c r="B94" i="2"/>
  <c r="C94" i="2"/>
  <c r="E94" i="2"/>
  <c r="G37" i="2"/>
  <c r="H37" i="2"/>
  <c r="I37" i="2"/>
  <c r="G38" i="2"/>
  <c r="H38" i="2"/>
  <c r="I38" i="2"/>
  <c r="G39" i="2"/>
  <c r="H39" i="2"/>
  <c r="I39" i="2"/>
  <c r="G40" i="2"/>
  <c r="H40" i="2"/>
  <c r="I40" i="2"/>
  <c r="G41" i="2"/>
  <c r="H41" i="2"/>
  <c r="I41" i="2"/>
  <c r="G42" i="2"/>
  <c r="H42" i="2"/>
  <c r="I42" i="2"/>
  <c r="G43" i="2"/>
  <c r="H43" i="2"/>
  <c r="I43" i="2"/>
  <c r="G44" i="2"/>
  <c r="H44" i="2"/>
  <c r="I44" i="2"/>
  <c r="G45" i="2"/>
  <c r="H45" i="2"/>
  <c r="I45" i="2"/>
  <c r="G46" i="2"/>
  <c r="H46" i="2"/>
  <c r="I46" i="2"/>
  <c r="G47" i="2"/>
  <c r="H47" i="2"/>
  <c r="I47" i="2"/>
  <c r="G48" i="2"/>
  <c r="H48" i="2"/>
  <c r="I48" i="2"/>
  <c r="G49" i="2"/>
  <c r="H49" i="2"/>
  <c r="I49" i="2"/>
  <c r="G50" i="2"/>
  <c r="H50" i="2"/>
  <c r="I50" i="2"/>
  <c r="G51" i="2"/>
  <c r="H51" i="2"/>
  <c r="I51" i="2"/>
  <c r="G52" i="2"/>
  <c r="H52" i="2"/>
  <c r="I52" i="2"/>
  <c r="G53" i="2"/>
  <c r="H53" i="2"/>
  <c r="I53" i="2"/>
  <c r="G54" i="2"/>
  <c r="H54" i="2"/>
  <c r="I54" i="2"/>
  <c r="G55" i="2"/>
  <c r="H55" i="2"/>
  <c r="I55" i="2"/>
  <c r="G56" i="2"/>
  <c r="H56" i="2"/>
  <c r="I56" i="2"/>
  <c r="G57" i="2"/>
  <c r="H57" i="2"/>
  <c r="I57" i="2"/>
  <c r="G58" i="2"/>
  <c r="H58" i="2"/>
  <c r="I58" i="2"/>
  <c r="G59" i="2"/>
  <c r="H59" i="2"/>
  <c r="I59" i="2"/>
  <c r="G60" i="2"/>
  <c r="H60" i="2"/>
  <c r="I60" i="2"/>
  <c r="G61" i="2"/>
  <c r="H61" i="2"/>
  <c r="I61" i="2"/>
  <c r="G62" i="2"/>
  <c r="H62" i="2"/>
  <c r="I62" i="2"/>
  <c r="G63" i="2"/>
  <c r="H63" i="2"/>
  <c r="I63" i="2"/>
  <c r="G64" i="2"/>
  <c r="H64" i="2"/>
  <c r="I64" i="2"/>
  <c r="G65" i="2"/>
  <c r="H65" i="2"/>
  <c r="I65" i="2"/>
  <c r="G66" i="2"/>
  <c r="H66" i="2"/>
  <c r="I66" i="2"/>
  <c r="G67" i="2"/>
  <c r="H67" i="2"/>
  <c r="I67" i="2"/>
  <c r="G68" i="2"/>
  <c r="H68" i="2"/>
  <c r="I68" i="2"/>
  <c r="G69" i="2"/>
  <c r="H69" i="2"/>
  <c r="I69" i="2"/>
  <c r="G70" i="2"/>
  <c r="H70" i="2"/>
  <c r="I70" i="2"/>
  <c r="G71" i="2"/>
  <c r="H71" i="2"/>
  <c r="I71" i="2"/>
  <c r="G72" i="2"/>
  <c r="H72" i="2"/>
  <c r="I72" i="2"/>
  <c r="G73" i="2"/>
  <c r="H73" i="2"/>
  <c r="I73" i="2"/>
  <c r="G74" i="2"/>
  <c r="H74" i="2"/>
  <c r="I74" i="2"/>
  <c r="G75" i="2"/>
  <c r="H75" i="2"/>
  <c r="I75" i="2"/>
  <c r="G76" i="2"/>
  <c r="H76" i="2"/>
  <c r="I76" i="2"/>
  <c r="G77" i="2"/>
  <c r="H77" i="2"/>
  <c r="I77" i="2"/>
  <c r="G78" i="2"/>
  <c r="H78" i="2"/>
  <c r="I78" i="2"/>
  <c r="G79" i="2"/>
  <c r="H79" i="2"/>
  <c r="I79" i="2"/>
  <c r="G80" i="2"/>
  <c r="H80" i="2"/>
  <c r="I80" i="2"/>
  <c r="G81" i="2"/>
  <c r="H81" i="2"/>
  <c r="I81" i="2"/>
  <c r="G82" i="2"/>
  <c r="H82" i="2"/>
  <c r="I82" i="2"/>
  <c r="G83" i="2"/>
  <c r="H83" i="2"/>
  <c r="I83" i="2"/>
  <c r="G84" i="2"/>
  <c r="H84" i="2"/>
  <c r="I84" i="2"/>
  <c r="G85" i="2"/>
  <c r="H85" i="2"/>
  <c r="I85" i="2"/>
  <c r="G86" i="2"/>
  <c r="H86" i="2"/>
  <c r="I86" i="2"/>
  <c r="G87" i="2"/>
  <c r="H87" i="2"/>
  <c r="I87" i="2"/>
  <c r="G88" i="2"/>
  <c r="H88" i="2"/>
  <c r="I88" i="2"/>
  <c r="G89" i="2"/>
  <c r="H89" i="2"/>
  <c r="I89" i="2"/>
  <c r="G90" i="2"/>
  <c r="H90" i="2"/>
  <c r="I90" i="2"/>
  <c r="G91" i="2"/>
  <c r="H91" i="2"/>
  <c r="I91" i="2"/>
  <c r="G92" i="2"/>
  <c r="H92" i="2"/>
  <c r="I92" i="2"/>
  <c r="G93" i="2"/>
  <c r="H93" i="2"/>
  <c r="I93" i="2"/>
  <c r="G94" i="2"/>
  <c r="H94" i="2"/>
  <c r="I94" i="2"/>
  <c r="BI91" i="2"/>
  <c r="AQ91" i="2" s="1"/>
  <c r="BJ91" i="2"/>
  <c r="AR91" i="2" s="1"/>
  <c r="BQ91" i="2"/>
  <c r="AP44" i="2" l="1"/>
  <c r="AQ44" i="2"/>
  <c r="AR44" i="2"/>
  <c r="AP64" i="2"/>
  <c r="AQ64" i="2"/>
  <c r="AR64" i="2"/>
  <c r="AQ63" i="2"/>
  <c r="AR63" i="2"/>
  <c r="AP63" i="2"/>
  <c r="AP94" i="2"/>
  <c r="AQ94" i="2"/>
  <c r="AR94" i="2"/>
  <c r="AP62" i="2"/>
  <c r="AQ62" i="2"/>
  <c r="AR62" i="2"/>
  <c r="AR92" i="2"/>
  <c r="AP92" i="2"/>
  <c r="AQ92" i="2"/>
  <c r="AP47" i="2"/>
  <c r="AQ47" i="2"/>
  <c r="AR47" i="2"/>
  <c r="AQ71" i="2"/>
  <c r="AR71" i="2"/>
  <c r="AP71" i="2"/>
  <c r="AP49" i="2"/>
  <c r="AR49" i="2"/>
  <c r="AQ49" i="2"/>
  <c r="AR48" i="2"/>
  <c r="AQ48" i="2"/>
  <c r="AP48" i="2"/>
  <c r="AP93" i="2"/>
  <c r="AQ93" i="2"/>
  <c r="AR93" i="2"/>
  <c r="AQ70" i="2"/>
  <c r="AR70" i="2"/>
  <c r="AP70" i="2"/>
  <c r="AP46" i="2"/>
  <c r="AR46" i="2"/>
  <c r="AQ46" i="2"/>
  <c r="AP67" i="2"/>
  <c r="AQ67" i="2"/>
  <c r="AR67" i="2"/>
  <c r="AR40" i="2"/>
  <c r="AP40" i="2"/>
  <c r="AQ40" i="2"/>
  <c r="AP37" i="2"/>
  <c r="AQ37" i="2"/>
  <c r="AR37" i="2"/>
  <c r="AQ45" i="2"/>
  <c r="AR45" i="2"/>
  <c r="AP45" i="2"/>
  <c r="Y101" i="33"/>
  <c r="Y115" i="33"/>
  <c r="Y114" i="33"/>
  <c r="Y100" i="33"/>
  <c r="Y103" i="33"/>
  <c r="Y134" i="33"/>
  <c r="Y132" i="33"/>
  <c r="Y111" i="33"/>
  <c r="Y142" i="33"/>
  <c r="Y133" i="33"/>
  <c r="Y131" i="33"/>
  <c r="Y141" i="33"/>
  <c r="Y112" i="33"/>
  <c r="Y130" i="33"/>
  <c r="Y109" i="33"/>
  <c r="Y108" i="33"/>
  <c r="Y140" i="33"/>
  <c r="Y137" i="33"/>
  <c r="Y122" i="33"/>
  <c r="Y121" i="33"/>
  <c r="Y120" i="33"/>
  <c r="Y99" i="33"/>
  <c r="Y118" i="33"/>
  <c r="Y128" i="33"/>
  <c r="Y136" i="33"/>
  <c r="Y126" i="33"/>
  <c r="Y106" i="33"/>
  <c r="Y135" i="33"/>
  <c r="Y125" i="33"/>
  <c r="Y127" i="33"/>
  <c r="Y105" i="33"/>
  <c r="Y139" i="33"/>
  <c r="Y124" i="33"/>
  <c r="Y119" i="33"/>
  <c r="Y123" i="33"/>
  <c r="Y113" i="33"/>
  <c r="Y104" i="33"/>
  <c r="Y129" i="33"/>
  <c r="Y138" i="33"/>
  <c r="Y102" i="33"/>
  <c r="Y110" i="33"/>
  <c r="Y117" i="33"/>
  <c r="Y107" i="33"/>
  <c r="Y116" i="33"/>
  <c r="CH140" i="33"/>
  <c r="DV140" i="33"/>
  <c r="CG140" i="33"/>
  <c r="CN140" i="33"/>
  <c r="DW140" i="33"/>
  <c r="CK140" i="33"/>
  <c r="CM140" i="33"/>
  <c r="CI140" i="33"/>
  <c r="CL140" i="33"/>
  <c r="DX140" i="33"/>
  <c r="EB140" i="33"/>
  <c r="EC140" i="33"/>
  <c r="DZ140" i="33"/>
  <c r="EA140" i="33"/>
  <c r="DV138" i="33"/>
  <c r="CK138" i="33"/>
  <c r="CH138" i="33"/>
  <c r="CG138" i="33"/>
  <c r="CI138" i="33"/>
  <c r="CN138" i="33"/>
  <c r="CM138" i="33"/>
  <c r="DW138" i="33"/>
  <c r="DZ138" i="33"/>
  <c r="EA138" i="33"/>
  <c r="CL138" i="33"/>
  <c r="EB138" i="33"/>
  <c r="DX138" i="33"/>
  <c r="EC138" i="33"/>
  <c r="CL123" i="33"/>
  <c r="CM123" i="33"/>
  <c r="CN123" i="33"/>
  <c r="DZ123" i="33"/>
  <c r="CK123" i="33"/>
  <c r="CI123" i="33"/>
  <c r="EA123" i="33"/>
  <c r="EB123" i="33"/>
  <c r="DX123" i="33"/>
  <c r="EC123" i="33"/>
  <c r="CI118" i="33"/>
  <c r="DX118" i="33"/>
  <c r="CG118" i="33"/>
  <c r="CH118" i="33"/>
  <c r="CK118" i="33"/>
  <c r="CM118" i="33"/>
  <c r="CN118" i="33"/>
  <c r="EB118" i="33"/>
  <c r="EC118" i="33"/>
  <c r="DV118" i="33"/>
  <c r="DW118" i="33"/>
  <c r="DZ118" i="33"/>
  <c r="CL118" i="33"/>
  <c r="EA118" i="33"/>
  <c r="Y98" i="33"/>
  <c r="AH5" i="12" a="1"/>
  <c r="AH5" i="12" s="1"/>
  <c r="AE36" i="12" a="1"/>
  <c r="AE36" i="12" s="1"/>
  <c r="CI95" i="33"/>
  <c r="AC45" i="12" a="1"/>
  <c r="AC45" i="12" s="1"/>
  <c r="AD48" i="12" a="1"/>
  <c r="AD48" i="12" s="1"/>
  <c r="AO33" i="12" a="1"/>
  <c r="AO33" i="12" s="1"/>
  <c r="AK33" i="12" a="1"/>
  <c r="AK33" i="12" s="1"/>
  <c r="AL30" i="12" a="1"/>
  <c r="AL30" i="12" s="1"/>
  <c r="AD30" i="12" a="1"/>
  <c r="AD30" i="12" s="1"/>
  <c r="AJ33" i="12" a="1"/>
  <c r="AJ33" i="12" s="1"/>
  <c r="AK30" i="12" a="1"/>
  <c r="AK30" i="12" s="1"/>
  <c r="AC30" i="12" a="1"/>
  <c r="AC30" i="12" s="1"/>
  <c r="CL95" i="33"/>
  <c r="CM95" i="33"/>
  <c r="EA95" i="33"/>
  <c r="AD36" i="12" a="1"/>
  <c r="AD36" i="12" s="1"/>
  <c r="AA36" i="12" s="1"/>
  <c r="AQ33" i="12"/>
  <c r="AK5" i="12" a="1"/>
  <c r="AK5" i="12" s="1"/>
  <c r="Y95" i="33"/>
  <c r="AE35" i="12" a="1"/>
  <c r="AE35" i="12" s="1"/>
  <c r="AG32" i="12" a="1"/>
  <c r="AG32" i="12" s="1"/>
  <c r="AL32" i="12" a="1"/>
  <c r="AL32" i="12" s="1"/>
  <c r="EC95" i="33"/>
  <c r="AC31" i="12" a="1"/>
  <c r="AC31" i="12" s="1"/>
  <c r="AD31" i="12" a="1"/>
  <c r="AD31" i="12" s="1"/>
  <c r="AQ31" i="12"/>
  <c r="AN31" i="12" a="1"/>
  <c r="AN31" i="12" s="1"/>
  <c r="AO31" i="12" a="1"/>
  <c r="AO31" i="12" s="1"/>
  <c r="EB95" i="33"/>
  <c r="DZ95" i="33"/>
  <c r="DW95" i="33"/>
  <c r="DV95" i="33"/>
  <c r="DX95" i="33"/>
  <c r="CG95" i="33"/>
  <c r="CH95" i="33"/>
  <c r="CN95" i="33"/>
  <c r="CK95" i="33"/>
  <c r="AC48" i="12" a="1"/>
  <c r="AC48" i="12" s="1"/>
  <c r="AH30" i="12" a="1"/>
  <c r="AH30" i="12" s="1"/>
  <c r="AC50" i="12" a="1"/>
  <c r="AC50" i="12" s="1"/>
  <c r="AF30" i="12" a="1"/>
  <c r="AF30" i="12" s="1"/>
  <c r="AJ30" i="12" a="1"/>
  <c r="AJ30" i="12" s="1"/>
  <c r="AG50" i="12" a="1"/>
  <c r="AG50" i="12" s="1"/>
  <c r="AE30" i="12" a="1"/>
  <c r="AE30" i="12" s="1"/>
  <c r="AJ36" i="12" a="1"/>
  <c r="AJ36" i="12" s="1"/>
  <c r="AQ16" i="12"/>
  <c r="AG58" i="12" a="1"/>
  <c r="AG58" i="12" s="1"/>
  <c r="AH36" i="12" a="1"/>
  <c r="AH36" i="12" s="1"/>
  <c r="AO16" i="12" a="1"/>
  <c r="AO16" i="12" s="1"/>
  <c r="AG36" i="12" a="1"/>
  <c r="AG36" i="12" s="1"/>
  <c r="AF36" i="12" a="1"/>
  <c r="AF36" i="12" s="1"/>
  <c r="AR23" i="16"/>
  <c r="AP23" i="16" a="1"/>
  <c r="AP23" i="16" s="1"/>
  <c r="AO23" i="16" a="1"/>
  <c r="AO23" i="16" s="1"/>
  <c r="AM23" i="16" a="1"/>
  <c r="AM23" i="16" s="1"/>
  <c r="AL23" i="16" a="1"/>
  <c r="AL23" i="16" s="1"/>
  <c r="AK23" i="16" a="1"/>
  <c r="AK23" i="16" s="1"/>
  <c r="AE23" i="16" a="1"/>
  <c r="AE23" i="16" s="1"/>
  <c r="AF23" i="16" a="1"/>
  <c r="AF23" i="16" s="1"/>
  <c r="AN23" i="16" a="1"/>
  <c r="AN23" i="16" s="1"/>
  <c r="AI23" i="16" a="1"/>
  <c r="AI23" i="16" s="1"/>
  <c r="AH23" i="16" a="1"/>
  <c r="AH23" i="16" s="1"/>
  <c r="AG23" i="16" a="1"/>
  <c r="AG23" i="16" s="1"/>
  <c r="AN20" i="12" a="1"/>
  <c r="AN20" i="12" s="1"/>
  <c r="AO37" i="12" a="1"/>
  <c r="AO37" i="12" s="1"/>
  <c r="AF20" i="12" a="1"/>
  <c r="AF20" i="12" s="1"/>
  <c r="AM18" i="12" a="1"/>
  <c r="AM18" i="12" s="1"/>
  <c r="AM50" i="12" a="1"/>
  <c r="AM50" i="12" s="1"/>
  <c r="AF32" i="12" a="1"/>
  <c r="AF32" i="12" s="1"/>
  <c r="AE18" i="12" a="1"/>
  <c r="AE18" i="12" s="1"/>
  <c r="AH20" i="12" a="1"/>
  <c r="AH20" i="12" s="1"/>
  <c r="AO18" i="12" a="1"/>
  <c r="AO18" i="12" s="1"/>
  <c r="AG20" i="12" a="1"/>
  <c r="AG20" i="12" s="1"/>
  <c r="AN18" i="12" a="1"/>
  <c r="AN18" i="12" s="1"/>
  <c r="AQ50" i="12"/>
  <c r="AK32" i="12" a="1"/>
  <c r="AK32" i="12" s="1"/>
  <c r="AE20" i="12" a="1"/>
  <c r="AE20" i="12" s="1"/>
  <c r="AH18" i="12" a="1"/>
  <c r="AH18" i="12" s="1"/>
  <c r="AQ52" i="12"/>
  <c r="AO50" i="12" a="1"/>
  <c r="AO50" i="12" s="1"/>
  <c r="AJ32" i="12" a="1"/>
  <c r="AJ32" i="12" s="1"/>
  <c r="AD20" i="12" a="1"/>
  <c r="AD20" i="12" s="1"/>
  <c r="AA20" i="12" s="1"/>
  <c r="AG18" i="12" a="1"/>
  <c r="AG18" i="12" s="1"/>
  <c r="AC52" i="12" a="1"/>
  <c r="AC52" i="12" s="1"/>
  <c r="AN50" i="12" a="1"/>
  <c r="AN50" i="12" s="1"/>
  <c r="AN48" i="12" a="1"/>
  <c r="AN48" i="12" s="1"/>
  <c r="AH32" i="12" a="1"/>
  <c r="AH32" i="12" s="1"/>
  <c r="AC20" i="12" a="1"/>
  <c r="AC20" i="12" s="1"/>
  <c r="AF18" i="12" a="1"/>
  <c r="AF18" i="12" s="1"/>
  <c r="AM6" i="12" a="1"/>
  <c r="AM6" i="12" s="1"/>
  <c r="AK50" i="12" a="1"/>
  <c r="AK50" i="12" s="1"/>
  <c r="AA50" i="12" s="1"/>
  <c r="AJ48" i="12" a="1"/>
  <c r="AJ48" i="12" s="1"/>
  <c r="AD32" i="12" a="1"/>
  <c r="AD32" i="12" s="1"/>
  <c r="AO30" i="12" a="1"/>
  <c r="AO30" i="12" s="1"/>
  <c r="AC18" i="12" a="1"/>
  <c r="AC18" i="12" s="1"/>
  <c r="AJ20" i="12" a="1"/>
  <c r="AJ20" i="12" s="1"/>
  <c r="AQ18" i="12"/>
  <c r="AL48" i="12" a="1"/>
  <c r="AL48" i="12" s="1"/>
  <c r="AL50" i="12" a="1"/>
  <c r="AL50" i="12" s="1"/>
  <c r="AK48" i="12" a="1"/>
  <c r="AK48" i="12" s="1"/>
  <c r="AE32" i="12" a="1"/>
  <c r="AE32" i="12" s="1"/>
  <c r="AD18" i="12" a="1"/>
  <c r="AD18" i="12" s="1"/>
  <c r="AJ50" i="12" a="1"/>
  <c r="AJ50" i="12" s="1"/>
  <c r="AH48" i="12" a="1"/>
  <c r="AH48" i="12" s="1"/>
  <c r="AC32" i="12" a="1"/>
  <c r="AC32" i="12" s="1"/>
  <c r="AN30" i="12" a="1"/>
  <c r="AN30" i="12" s="1"/>
  <c r="AH50" i="12" a="1"/>
  <c r="AH50" i="12" s="1"/>
  <c r="AG48" i="12" a="1"/>
  <c r="AG48" i="12" s="1"/>
  <c r="AM30" i="12" a="1"/>
  <c r="AM30" i="12" s="1"/>
  <c r="AH15" i="12" a="1"/>
  <c r="AH15" i="12" s="1"/>
  <c r="AN19" i="12" a="1"/>
  <c r="AN19" i="12" s="1"/>
  <c r="AL19" i="12" a="1"/>
  <c r="AL19" i="12" s="1"/>
  <c r="AG51" i="12" a="1"/>
  <c r="AG51" i="12" s="1"/>
  <c r="AL51" i="12" a="1"/>
  <c r="AL51" i="12" s="1"/>
  <c r="AQ56" i="12"/>
  <c r="AQ53" i="12"/>
  <c r="AK51" i="12" a="1"/>
  <c r="AK51" i="12" s="1"/>
  <c r="AM53" i="12" a="1"/>
  <c r="AM53" i="12" s="1"/>
  <c r="AE51" i="12" a="1"/>
  <c r="AE51" i="12" s="1"/>
  <c r="AQ49" i="12"/>
  <c r="AN47" i="12" a="1"/>
  <c r="AN47" i="12" s="1"/>
  <c r="AG33" i="12" a="1"/>
  <c r="AG33" i="12" s="1"/>
  <c r="AM31" i="12" a="1"/>
  <c r="AM31" i="12" s="1"/>
  <c r="AH53" i="12" a="1"/>
  <c r="AH53" i="12" s="1"/>
  <c r="AD51" i="12" a="1"/>
  <c r="AD51" i="12" s="1"/>
  <c r="AO49" i="12" a="1"/>
  <c r="AO49" i="12" s="1"/>
  <c r="AM47" i="12" a="1"/>
  <c r="AM47" i="12" s="1"/>
  <c r="AL31" i="12" a="1"/>
  <c r="AL31" i="12" s="1"/>
  <c r="AQ19" i="12"/>
  <c r="AL53" i="12" a="1"/>
  <c r="AL53" i="12" s="1"/>
  <c r="AG53" i="12" a="1"/>
  <c r="AG53" i="12" s="1"/>
  <c r="AG49" i="12" a="1"/>
  <c r="AG49" i="12" s="1"/>
  <c r="AL47" i="12" a="1"/>
  <c r="AL47" i="12" s="1"/>
  <c r="AK31" i="12" a="1"/>
  <c r="AK31" i="12" s="1"/>
  <c r="AJ23" i="12" a="1"/>
  <c r="AJ23" i="12" s="1"/>
  <c r="AQ21" i="12"/>
  <c r="AD21" i="12" a="1"/>
  <c r="AD21" i="12" s="1"/>
  <c r="AO56" i="12" a="1"/>
  <c r="AO56" i="12" s="1"/>
  <c r="AO53" i="12" a="1"/>
  <c r="AO53" i="12" s="1"/>
  <c r="AJ51" i="12" a="1"/>
  <c r="AJ51" i="12" s="1"/>
  <c r="AC21" i="12" a="1"/>
  <c r="AC21" i="12" s="1"/>
  <c r="AM19" i="12" a="1"/>
  <c r="AM19" i="12" s="1"/>
  <c r="AJ53" i="12" a="1"/>
  <c r="AJ53" i="12" s="1"/>
  <c r="AM38" i="12" a="1"/>
  <c r="AM38" i="12" s="1"/>
  <c r="AF49" i="12" a="1"/>
  <c r="AF49" i="12" s="1"/>
  <c r="AH47" i="12" a="1"/>
  <c r="AH47" i="12" s="1"/>
  <c r="AJ31" i="12" a="1"/>
  <c r="AJ31" i="12" s="1"/>
  <c r="AH23" i="12" a="1"/>
  <c r="AH23" i="12" s="1"/>
  <c r="AH51" i="12" a="1"/>
  <c r="AH51" i="12" s="1"/>
  <c r="AG47" i="12" a="1"/>
  <c r="AG47" i="12" s="1"/>
  <c r="AH31" i="12" a="1"/>
  <c r="AH31" i="12" s="1"/>
  <c r="AG23" i="12" a="1"/>
  <c r="AG23" i="12" s="1"/>
  <c r="AM51" i="12" a="1"/>
  <c r="AM51" i="12" s="1"/>
  <c r="AL21" i="12" a="1"/>
  <c r="AL21" i="12" s="1"/>
  <c r="AO19" i="12" a="1"/>
  <c r="AO19" i="12" s="1"/>
  <c r="AK53" i="12" a="1"/>
  <c r="AK53" i="12" s="1"/>
  <c r="AF51" i="12" a="1"/>
  <c r="AF51" i="12" s="1"/>
  <c r="AH33" i="12" a="1"/>
  <c r="AH33" i="12" s="1"/>
  <c r="AE31" i="12" a="1"/>
  <c r="AE31" i="12" s="1"/>
  <c r="AC4" i="12" a="1"/>
  <c r="AC4" i="12" s="1"/>
  <c r="AF29" i="12" a="1"/>
  <c r="AF29" i="12" s="1"/>
  <c r="AC29" i="12" a="1"/>
  <c r="AC29" i="12" s="1"/>
  <c r="AE23" i="12" a="1"/>
  <c r="AE23" i="12" s="1"/>
  <c r="AE60" i="12" a="1"/>
  <c r="AE60" i="12" s="1"/>
  <c r="AE58" i="12" a="1"/>
  <c r="AE58" i="12" s="1"/>
  <c r="AF56" i="12" a="1"/>
  <c r="AF56" i="12" s="1"/>
  <c r="AK47" i="12" a="1"/>
  <c r="AK47" i="12" s="1"/>
  <c r="AD23" i="12" a="1"/>
  <c r="AD23" i="12" s="1"/>
  <c r="AF58" i="12" a="1"/>
  <c r="AF58" i="12" s="1"/>
  <c r="AF60" i="12" a="1"/>
  <c r="AF60" i="12" s="1"/>
  <c r="AQ24" i="12"/>
  <c r="AN26" i="12" a="1"/>
  <c r="AN26" i="12" s="1"/>
  <c r="AN24" i="12" a="1"/>
  <c r="AN24" i="12" s="1"/>
  <c r="AC56" i="12" a="1"/>
  <c r="AC56" i="12" s="1"/>
  <c r="AF53" i="12" a="1"/>
  <c r="AF53" i="12" s="1"/>
  <c r="AC47" i="12" a="1"/>
  <c r="AC47" i="12" s="1"/>
  <c r="AL26" i="12" a="1"/>
  <c r="AL26" i="12" s="1"/>
  <c r="AM24" i="12" a="1"/>
  <c r="AM24" i="12" s="1"/>
  <c r="AK21" i="12" a="1"/>
  <c r="AK21" i="12" s="1"/>
  <c r="AE53" i="12" a="1"/>
  <c r="AE53" i="12" s="1"/>
  <c r="AG26" i="12" a="1"/>
  <c r="AG26" i="12" s="1"/>
  <c r="AL24" i="12" a="1"/>
  <c r="AL24" i="12" s="1"/>
  <c r="AJ21" i="12" a="1"/>
  <c r="AJ21" i="12" s="1"/>
  <c r="AQ54" i="12"/>
  <c r="AJ24" i="12" a="1"/>
  <c r="AJ24" i="12" s="1"/>
  <c r="AG21" i="12" a="1"/>
  <c r="AG21" i="12" s="1"/>
  <c r="AL18" i="12" a="1"/>
  <c r="AL18" i="12" s="1"/>
  <c r="AC58" i="12" a="1"/>
  <c r="AC58" i="12" s="1"/>
  <c r="AF47" i="12" a="1"/>
  <c r="AF47" i="12" s="1"/>
  <c r="AL38" i="12" a="1"/>
  <c r="AL38" i="12" s="1"/>
  <c r="AK24" i="12" a="1"/>
  <c r="AK24" i="12" s="1"/>
  <c r="AA24" i="12" s="1"/>
  <c r="AH21" i="12" a="1"/>
  <c r="AH21" i="12" s="1"/>
  <c r="AO54" i="12" a="1"/>
  <c r="AO54" i="12" s="1"/>
  <c r="AQ51" i="12"/>
  <c r="AF50" i="12" a="1"/>
  <c r="AF50" i="12" s="1"/>
  <c r="AK38" i="12" a="1"/>
  <c r="AK38" i="12" s="1"/>
  <c r="AC36" i="12" a="1"/>
  <c r="AC36" i="12" s="1"/>
  <c r="AN54" i="12" a="1"/>
  <c r="AN54" i="12" s="1"/>
  <c r="AO51" i="12" a="1"/>
  <c r="AO51" i="12" s="1"/>
  <c r="AE50" i="12" a="1"/>
  <c r="AE50" i="12" s="1"/>
  <c r="AH38" i="12" a="1"/>
  <c r="AH38" i="12" s="1"/>
  <c r="AH24" i="12" a="1"/>
  <c r="AH24" i="12" s="1"/>
  <c r="AF21" i="12" a="1"/>
  <c r="AF21" i="12" s="1"/>
  <c r="AK18" i="12" a="1"/>
  <c r="AK18" i="12" s="1"/>
  <c r="AM54" i="12" a="1"/>
  <c r="AM54" i="12" s="1"/>
  <c r="AN51" i="12" a="1"/>
  <c r="AN51" i="12" s="1"/>
  <c r="AL33" i="12" a="1"/>
  <c r="AL33" i="12" s="1"/>
  <c r="AG30" i="12" a="1"/>
  <c r="AG30" i="12" s="1"/>
  <c r="AF24" i="12" a="1"/>
  <c r="AF24" i="12" s="1"/>
  <c r="AE21" i="12" a="1"/>
  <c r="AE21" i="12" s="1"/>
  <c r="AE29" i="12" a="1"/>
  <c r="AE29" i="12" s="1"/>
  <c r="AK54" i="12" a="1"/>
  <c r="AK54" i="12" s="1"/>
  <c r="AD29" i="12" a="1"/>
  <c r="AD29" i="12" s="1"/>
  <c r="AF59" i="12" a="1"/>
  <c r="AF59" i="12" s="1"/>
  <c r="AF57" i="12" a="1"/>
  <c r="AF57" i="12" s="1"/>
  <c r="AQ55" i="12"/>
  <c r="AE57" i="12" a="1"/>
  <c r="AE57" i="12" s="1"/>
  <c r="AO55" i="12" a="1"/>
  <c r="AO55" i="12" s="1"/>
  <c r="AC25" i="12" a="1"/>
  <c r="AC25" i="12" s="1"/>
  <c r="AQ23" i="12"/>
  <c r="AD22" i="12" a="1"/>
  <c r="AD22" i="12" s="1"/>
  <c r="AE19" i="12" a="1"/>
  <c r="AE19" i="12" s="1"/>
  <c r="AQ15" i="12"/>
  <c r="AE56" i="12" a="1"/>
  <c r="AE56" i="12" s="1"/>
  <c r="AC60" i="12" a="1"/>
  <c r="AC60" i="12" s="1"/>
  <c r="AO26" i="12" a="1"/>
  <c r="AO26" i="12" s="1"/>
  <c r="AO24" i="12" a="1"/>
  <c r="AO24" i="12" s="1"/>
  <c r="AE28" i="12" a="1"/>
  <c r="AE28" i="12" s="1"/>
  <c r="AE24" i="12" a="1"/>
  <c r="AE24" i="12" s="1"/>
  <c r="AM46" i="12" a="1"/>
  <c r="AM46" i="12" s="1"/>
  <c r="AL54" i="12" a="1"/>
  <c r="AL54" i="12" s="1"/>
  <c r="AN22" i="12" a="1"/>
  <c r="AN22" i="12" s="1"/>
  <c r="AM22" i="12" a="1"/>
  <c r="AM22" i="12" s="1"/>
  <c r="AL22" i="12" a="1"/>
  <c r="AL22" i="12" s="1"/>
  <c r="AK46" i="12" a="1"/>
  <c r="AK46" i="12" s="1"/>
  <c r="AC59" i="12" a="1"/>
  <c r="AC59" i="12" s="1"/>
  <c r="AC57" i="12" a="1"/>
  <c r="AC57" i="12" s="1"/>
  <c r="AL55" i="12" a="1"/>
  <c r="AL55" i="12" s="1"/>
  <c r="AM52" i="12" a="1"/>
  <c r="AM52" i="12" s="1"/>
  <c r="AK25" i="12" a="1"/>
  <c r="AK25" i="12" s="1"/>
  <c r="AA25" i="12" s="1"/>
  <c r="AF22" i="12" a="1"/>
  <c r="AF22" i="12" s="1"/>
  <c r="AJ19" i="12" a="1"/>
  <c r="AJ19" i="12" s="1"/>
  <c r="AE55" i="12" a="1"/>
  <c r="AE55" i="12" s="1"/>
  <c r="AK52" i="12" a="1"/>
  <c r="AK52" i="12" s="1"/>
  <c r="AA52" i="12" s="1"/>
  <c r="AJ37" i="12" a="1"/>
  <c r="AJ37" i="12" s="1"/>
  <c r="AQ27" i="12"/>
  <c r="AO23" i="12" a="1"/>
  <c r="AO23" i="12" s="1"/>
  <c r="AC22" i="12" a="1"/>
  <c r="AC22" i="12" s="1"/>
  <c r="AD19" i="12" a="1"/>
  <c r="AD19" i="12" s="1"/>
  <c r="AO15" i="12" a="1"/>
  <c r="AO15" i="12" s="1"/>
  <c r="AG52" i="12" a="1"/>
  <c r="AG52" i="12" s="1"/>
  <c r="AM49" i="12" a="1"/>
  <c r="AM49" i="12" s="1"/>
  <c r="AQ32" i="12"/>
  <c r="AK29" i="12" a="1"/>
  <c r="AK29" i="12" s="1"/>
  <c r="AN23" i="12" a="1"/>
  <c r="AN23" i="12" s="1"/>
  <c r="AC19" i="12" a="1"/>
  <c r="AC19" i="12" s="1"/>
  <c r="AN15" i="12" a="1"/>
  <c r="AN15" i="12" s="1"/>
  <c r="AD60" i="12" a="1"/>
  <c r="AD60" i="12" s="1"/>
  <c r="AD58" i="12" a="1"/>
  <c r="AD58" i="12" s="1"/>
  <c r="AD56" i="12" a="1"/>
  <c r="AD56" i="12" s="1"/>
  <c r="AQ25" i="12"/>
  <c r="AK22" i="12" a="1"/>
  <c r="AK22" i="12" s="1"/>
  <c r="AL25" i="12" a="1"/>
  <c r="AL25" i="12" s="1"/>
  <c r="AG22" i="12" a="1"/>
  <c r="AG22" i="12" s="1"/>
  <c r="AK19" i="12" a="1"/>
  <c r="AK19" i="12" s="1"/>
  <c r="AG25" i="12" a="1"/>
  <c r="AG25" i="12" s="1"/>
  <c r="AE22" i="12" a="1"/>
  <c r="AE22" i="12" s="1"/>
  <c r="AH19" i="12" a="1"/>
  <c r="AH19" i="12" s="1"/>
  <c r="AD55" i="12" a="1"/>
  <c r="AD55" i="12" s="1"/>
  <c r="AJ52" i="12" a="1"/>
  <c r="AJ52" i="12" s="1"/>
  <c r="AH52" i="12" a="1"/>
  <c r="AH52" i="12" s="1"/>
  <c r="AN49" i="12" a="1"/>
  <c r="AN49" i="12" s="1"/>
  <c r="AL49" i="12" a="1"/>
  <c r="AL49" i="12" s="1"/>
  <c r="AM15" i="12" a="1"/>
  <c r="AM15" i="12" s="1"/>
  <c r="AK13" i="12" a="1"/>
  <c r="AK13" i="12" s="1"/>
  <c r="AQ59" i="12"/>
  <c r="AQ57" i="12"/>
  <c r="AG54" i="12" a="1"/>
  <c r="AG54" i="12" s="1"/>
  <c r="AL46" i="12" a="1"/>
  <c r="AL46" i="12" s="1"/>
  <c r="AO25" i="12" a="1"/>
  <c r="AO25" i="12" s="1"/>
  <c r="AJ22" i="12" a="1"/>
  <c r="AJ22" i="12" s="1"/>
  <c r="AN25" i="12" a="1"/>
  <c r="AN25" i="12" s="1"/>
  <c r="AH22" i="12" a="1"/>
  <c r="AH22" i="12" s="1"/>
  <c r="AH37" i="12" a="1"/>
  <c r="AH37" i="12" s="1"/>
  <c r="AC55" i="12" a="1"/>
  <c r="AC55" i="12" s="1"/>
  <c r="AD28" i="12" a="1"/>
  <c r="AD28" i="12" s="1"/>
  <c r="AC24" i="12" a="1"/>
  <c r="AC24" i="12" s="1"/>
  <c r="AQ22" i="12"/>
  <c r="AJ54" i="12" a="1"/>
  <c r="AJ54" i="12" s="1"/>
  <c r="AC28" i="12" a="1"/>
  <c r="AC28" i="12" s="1"/>
  <c r="AG59" i="12" a="1"/>
  <c r="AG59" i="12" s="1"/>
  <c r="AG57" i="12" a="1"/>
  <c r="AG57" i="12" s="1"/>
  <c r="AE59" i="12" a="1"/>
  <c r="AE59" i="12" s="1"/>
  <c r="AD57" i="12" a="1"/>
  <c r="AD57" i="12" s="1"/>
  <c r="AN55" i="12" a="1"/>
  <c r="AN55" i="12" s="1"/>
  <c r="AO52" i="12" a="1"/>
  <c r="AO52" i="12" s="1"/>
  <c r="AD59" i="12" a="1"/>
  <c r="AD59" i="12" s="1"/>
  <c r="AM55" i="12" a="1"/>
  <c r="AM55" i="12" s="1"/>
  <c r="AN52" i="12" a="1"/>
  <c r="AN52" i="12" s="1"/>
  <c r="AK55" i="12" a="1"/>
  <c r="AK55" i="12" s="1"/>
  <c r="AL52" i="12" a="1"/>
  <c r="AL52" i="12" s="1"/>
  <c r="AN37" i="12" a="1"/>
  <c r="AN37" i="12" s="1"/>
  <c r="AF52" i="12" a="1"/>
  <c r="AF52" i="12" s="1"/>
  <c r="AO32" i="12" a="1"/>
  <c r="AO32" i="12" s="1"/>
  <c r="AJ29" i="12" a="1"/>
  <c r="AJ29" i="12" s="1"/>
  <c r="AM23" i="12" a="1"/>
  <c r="AM23" i="12" s="1"/>
  <c r="AE52" i="12" a="1"/>
  <c r="AE52" i="12" s="1"/>
  <c r="AK49" i="12" a="1"/>
  <c r="AK49" i="12" s="1"/>
  <c r="AN32" i="12" a="1"/>
  <c r="AN32" i="12" s="1"/>
  <c r="AH29" i="12" a="1"/>
  <c r="AH29" i="12" s="1"/>
  <c r="AL23" i="12" a="1"/>
  <c r="AL23" i="12" s="1"/>
  <c r="AQ20" i="12"/>
  <c r="AL15" i="12" a="1"/>
  <c r="AL15" i="12" s="1"/>
  <c r="AM32" i="12" a="1"/>
  <c r="AM32" i="12" s="1"/>
  <c r="AG29" i="12" a="1"/>
  <c r="AG29" i="12" s="1"/>
  <c r="AK23" i="12" a="1"/>
  <c r="AK23" i="12" s="1"/>
  <c r="AO20" i="12" a="1"/>
  <c r="AO20" i="12" s="1"/>
  <c r="AE4" i="12" a="1"/>
  <c r="AE4" i="12" s="1"/>
  <c r="AJ39" i="12" a="1"/>
  <c r="AJ39" i="12" s="1"/>
  <c r="AD39" i="12" a="1"/>
  <c r="AD39" i="12" s="1"/>
  <c r="AC39" i="12" a="1"/>
  <c r="AC39" i="12" s="1"/>
  <c r="AF39" i="12" a="1"/>
  <c r="AF39" i="12" s="1"/>
  <c r="AE39" i="12" a="1"/>
  <c r="AE39" i="12" s="1"/>
  <c r="AG39" i="12" a="1"/>
  <c r="AG39" i="12" s="1"/>
  <c r="AH39" i="12" a="1"/>
  <c r="AH39" i="12" s="1"/>
  <c r="AL39" i="12" a="1"/>
  <c r="AL39" i="12" s="1"/>
  <c r="AM39" i="12" a="1"/>
  <c r="AM39" i="12" s="1"/>
  <c r="AN38" i="12" a="1"/>
  <c r="AN38" i="12" s="1"/>
  <c r="AC37" i="12" a="1"/>
  <c r="AC37" i="12" s="1"/>
  <c r="AG12" i="12" a="1"/>
  <c r="AG12" i="12" s="1"/>
  <c r="AQ8" i="12"/>
  <c r="AJ46" i="12" a="1"/>
  <c r="AJ46" i="12" s="1"/>
  <c r="AJ38" i="12" a="1"/>
  <c r="AJ38" i="12" s="1"/>
  <c r="AE12" i="12" a="1"/>
  <c r="AE12" i="12" s="1"/>
  <c r="AO8" i="12" a="1"/>
  <c r="AO8" i="12" s="1"/>
  <c r="AH46" i="12" a="1"/>
  <c r="AH46" i="12" s="1"/>
  <c r="AF46" i="12" a="1"/>
  <c r="AF46" i="12" s="1"/>
  <c r="AE43" i="12" a="1"/>
  <c r="AE43" i="12" s="1"/>
  <c r="AC35" i="12" a="1"/>
  <c r="AC35" i="12" s="1"/>
  <c r="AF5" i="12" a="1"/>
  <c r="AF5" i="12" s="1"/>
  <c r="AL8" i="12" a="1"/>
  <c r="AL8" i="12" s="1"/>
  <c r="AC12" i="12" a="1"/>
  <c r="AC12" i="12" s="1"/>
  <c r="AH8" i="12" a="1"/>
  <c r="AH8" i="12" s="1"/>
  <c r="AG5" i="12" a="1"/>
  <c r="AG5" i="12" s="1"/>
  <c r="AE46" i="12" a="1"/>
  <c r="AE46" i="12" s="1"/>
  <c r="AD43" i="12" a="1"/>
  <c r="AD43" i="12" s="1"/>
  <c r="AD46" i="12" a="1"/>
  <c r="AD46" i="12" s="1"/>
  <c r="AD5" i="12" a="1"/>
  <c r="AD5" i="12" s="1"/>
  <c r="AC49" i="12" a="1"/>
  <c r="AC49" i="12" s="1"/>
  <c r="AD49" i="12" a="1"/>
  <c r="AD49" i="12" s="1"/>
  <c r="AE49" i="12" a="1"/>
  <c r="AE49" i="12" s="1"/>
  <c r="AH49" i="12" a="1"/>
  <c r="AH49" i="12" s="1"/>
  <c r="AC17" i="12" a="1"/>
  <c r="AC17" i="12" s="1"/>
  <c r="AD17" i="12" a="1"/>
  <c r="AD17" i="12" s="1"/>
  <c r="AE17" i="12" a="1"/>
  <c r="AE17" i="12" s="1"/>
  <c r="AF17" i="12" a="1"/>
  <c r="AF17" i="12" s="1"/>
  <c r="AG17" i="12" a="1"/>
  <c r="AG17" i="12" s="1"/>
  <c r="AH17" i="12" a="1"/>
  <c r="AH17" i="12" s="1"/>
  <c r="AJ17" i="12" a="1"/>
  <c r="AJ17" i="12" s="1"/>
  <c r="AK17" i="12" a="1"/>
  <c r="AK17" i="12" s="1"/>
  <c r="AL17" i="12" a="1"/>
  <c r="AL17" i="12" s="1"/>
  <c r="AM17" i="12" a="1"/>
  <c r="AM17" i="12" s="1"/>
  <c r="AO17" i="12" a="1"/>
  <c r="AO17" i="12" s="1"/>
  <c r="AQ17" i="12"/>
  <c r="AC46" i="12" a="1"/>
  <c r="AC46" i="12" s="1"/>
  <c r="AC5" i="12" a="1"/>
  <c r="AC5" i="12" s="1"/>
  <c r="AE48" i="12" a="1"/>
  <c r="AE48" i="12" s="1"/>
  <c r="AF48" i="12" a="1"/>
  <c r="AF48" i="12" s="1"/>
  <c r="AC16" i="12" a="1"/>
  <c r="AC16" i="12" s="1"/>
  <c r="AD16" i="12" a="1"/>
  <c r="AD16" i="12" s="1"/>
  <c r="AE16" i="12" a="1"/>
  <c r="AE16" i="12" s="1"/>
  <c r="AF16" i="12" a="1"/>
  <c r="AF16" i="12" s="1"/>
  <c r="AG16" i="12" a="1"/>
  <c r="AG16" i="12" s="1"/>
  <c r="AJ16" i="12" a="1"/>
  <c r="AJ16" i="12" s="1"/>
  <c r="AK16" i="12" a="1"/>
  <c r="AK16" i="12" s="1"/>
  <c r="AN16" i="12" a="1"/>
  <c r="AN16" i="12" s="1"/>
  <c r="AM16" i="12" a="1"/>
  <c r="AM16" i="12" s="1"/>
  <c r="AQ48" i="12"/>
  <c r="AQ39" i="12"/>
  <c r="AQ47" i="12"/>
  <c r="AD47" i="12" a="1"/>
  <c r="AD47" i="12" s="1"/>
  <c r="AE47" i="12" a="1"/>
  <c r="AE47" i="12" s="1"/>
  <c r="AC15" i="12" a="1"/>
  <c r="AC15" i="12" s="1"/>
  <c r="AD15" i="12" a="1"/>
  <c r="AD15" i="12" s="1"/>
  <c r="AA15" i="12" s="1"/>
  <c r="AE15" i="12" a="1"/>
  <c r="AE15" i="12" s="1"/>
  <c r="AF15" i="12" a="1"/>
  <c r="AF15" i="12" s="1"/>
  <c r="AG15" i="12" a="1"/>
  <c r="AG15" i="12" s="1"/>
  <c r="AJ15" i="12" a="1"/>
  <c r="AJ15" i="12" s="1"/>
  <c r="AO48" i="12" a="1"/>
  <c r="AO48" i="12" s="1"/>
  <c r="AJ47" i="12" a="1"/>
  <c r="AJ47" i="12" s="1"/>
  <c r="AO39" i="12" a="1"/>
  <c r="AO39" i="12" s="1"/>
  <c r="AL16" i="12" a="1"/>
  <c r="AL16" i="12" s="1"/>
  <c r="AO6" i="12" a="1"/>
  <c r="AO6" i="12" s="1"/>
  <c r="AK45" i="12" a="1"/>
  <c r="AK45" i="12" s="1"/>
  <c r="AA45" i="12" s="1"/>
  <c r="AL45" i="12" a="1"/>
  <c r="AL45" i="12" s="1"/>
  <c r="AM45" i="12" a="1"/>
  <c r="AM45" i="12" s="1"/>
  <c r="AN45" i="12" a="1"/>
  <c r="AN45" i="12" s="1"/>
  <c r="AO45" i="12" a="1"/>
  <c r="AO45" i="12" s="1"/>
  <c r="AQ45" i="12"/>
  <c r="AN13" i="12" a="1"/>
  <c r="AN13" i="12" s="1"/>
  <c r="AQ13" i="12"/>
  <c r="AO13" i="12" a="1"/>
  <c r="AO13" i="12" s="1"/>
  <c r="AC13" i="12" a="1"/>
  <c r="AC13" i="12" s="1"/>
  <c r="AL13" i="12" a="1"/>
  <c r="AL13" i="12" s="1"/>
  <c r="AK39" i="12" a="1"/>
  <c r="AK39" i="12" s="1"/>
  <c r="AJ13" i="12" a="1"/>
  <c r="AJ13" i="12" s="1"/>
  <c r="AL6" i="12" a="1"/>
  <c r="AL6" i="12" s="1"/>
  <c r="AH13" i="12" a="1"/>
  <c r="AH13" i="12" s="1"/>
  <c r="AK6" i="12" a="1"/>
  <c r="AK6" i="12" s="1"/>
  <c r="AG13" i="12" a="1"/>
  <c r="AG13" i="12" s="1"/>
  <c r="AJ6" i="12" a="1"/>
  <c r="AJ6" i="12" s="1"/>
  <c r="AE42" i="12" a="1"/>
  <c r="AE42" i="12" s="1"/>
  <c r="AF42" i="12" a="1"/>
  <c r="AF42" i="12" s="1"/>
  <c r="AH42" i="12" a="1"/>
  <c r="AH42" i="12" s="1"/>
  <c r="AJ42" i="12" a="1"/>
  <c r="AJ42" i="12" s="1"/>
  <c r="AL42" i="12" a="1"/>
  <c r="AL42" i="12" s="1"/>
  <c r="AM42" i="12" a="1"/>
  <c r="AM42" i="12" s="1"/>
  <c r="AG42" i="12" a="1"/>
  <c r="AG42" i="12" s="1"/>
  <c r="AK42" i="12" a="1"/>
  <c r="AK42" i="12" s="1"/>
  <c r="AA42" i="12" s="1"/>
  <c r="AO42" i="12" a="1"/>
  <c r="AO42" i="12" s="1"/>
  <c r="AQ42" i="12"/>
  <c r="AN42" i="12" a="1"/>
  <c r="AN42" i="12" s="1"/>
  <c r="AC10" i="12" a="1"/>
  <c r="AC10" i="12" s="1"/>
  <c r="AD10" i="12" a="1"/>
  <c r="AD10" i="12" s="1"/>
  <c r="AE10" i="12" a="1"/>
  <c r="AE10" i="12" s="1"/>
  <c r="AF10" i="12" a="1"/>
  <c r="AF10" i="12" s="1"/>
  <c r="AG10" i="12" a="1"/>
  <c r="AG10" i="12" s="1"/>
  <c r="AH10" i="12" a="1"/>
  <c r="AH10" i="12" s="1"/>
  <c r="AJ10" i="12" a="1"/>
  <c r="AJ10" i="12" s="1"/>
  <c r="AK10" i="12" a="1"/>
  <c r="AK10" i="12" s="1"/>
  <c r="AL10" i="12" a="1"/>
  <c r="AL10" i="12" s="1"/>
  <c r="AM10" i="12" a="1"/>
  <c r="AM10" i="12" s="1"/>
  <c r="AN10" i="12" a="1"/>
  <c r="AN10" i="12" s="1"/>
  <c r="AO10" i="12" a="1"/>
  <c r="AO10" i="12" s="1"/>
  <c r="AQ10" i="12"/>
  <c r="AG44" i="12" a="1"/>
  <c r="AG44" i="12" s="1"/>
  <c r="AF13" i="12" a="1"/>
  <c r="AF13" i="12" s="1"/>
  <c r="AH6" i="12" a="1"/>
  <c r="AH6" i="12" s="1"/>
  <c r="AC41" i="12" a="1"/>
  <c r="AC41" i="12" s="1"/>
  <c r="AJ41" i="12" a="1"/>
  <c r="AJ41" i="12" s="1"/>
  <c r="AD41" i="12" a="1"/>
  <c r="AD41" i="12" s="1"/>
  <c r="AF41" i="12" a="1"/>
  <c r="AF41" i="12" s="1"/>
  <c r="AE41" i="12" a="1"/>
  <c r="AE41" i="12" s="1"/>
  <c r="AG41" i="12" a="1"/>
  <c r="AG41" i="12" s="1"/>
  <c r="AO41" i="12" a="1"/>
  <c r="AO41" i="12" s="1"/>
  <c r="AK41" i="12" a="1"/>
  <c r="AK41" i="12" s="1"/>
  <c r="AL41" i="12" a="1"/>
  <c r="AL41" i="12" s="1"/>
  <c r="AN41" i="12" a="1"/>
  <c r="AN41" i="12" s="1"/>
  <c r="AH41" i="12" a="1"/>
  <c r="AH41" i="12" s="1"/>
  <c r="AM41" i="12" a="1"/>
  <c r="AM41" i="12" s="1"/>
  <c r="AQ41" i="12"/>
  <c r="AC9" i="12" a="1"/>
  <c r="AC9" i="12" s="1"/>
  <c r="AD9" i="12" a="1"/>
  <c r="AD9" i="12" s="1"/>
  <c r="AE9" i="12" a="1"/>
  <c r="AE9" i="12" s="1"/>
  <c r="AF9" i="12" a="1"/>
  <c r="AF9" i="12" s="1"/>
  <c r="AG9" i="12" a="1"/>
  <c r="AG9" i="12" s="1"/>
  <c r="AH9" i="12" a="1"/>
  <c r="AH9" i="12" s="1"/>
  <c r="AJ9" i="12" a="1"/>
  <c r="AJ9" i="12" s="1"/>
  <c r="AK9" i="12" a="1"/>
  <c r="AK9" i="12" s="1"/>
  <c r="AL9" i="12" a="1"/>
  <c r="AL9" i="12" s="1"/>
  <c r="AN9" i="12" a="1"/>
  <c r="AN9" i="12" s="1"/>
  <c r="AO9" i="12" a="1"/>
  <c r="AO9" i="12" s="1"/>
  <c r="AE13" i="12" a="1"/>
  <c r="AE13" i="12" s="1"/>
  <c r="AQ9" i="12"/>
  <c r="AF44" i="12" a="1"/>
  <c r="AF44" i="12" s="1"/>
  <c r="AQ14" i="12"/>
  <c r="AD13" i="12" a="1"/>
  <c r="AD13" i="12" s="1"/>
  <c r="AM9" i="12" a="1"/>
  <c r="AM9" i="12" s="1"/>
  <c r="AG6" i="12" a="1"/>
  <c r="AG6" i="12" s="1"/>
  <c r="AN46" i="12" a="1"/>
  <c r="AN46" i="12" s="1"/>
  <c r="AO46" i="12" a="1"/>
  <c r="AO46" i="12" s="1"/>
  <c r="AQ46" i="12"/>
  <c r="AE44" i="12" a="1"/>
  <c r="AE44" i="12" s="1"/>
  <c r="AN14" i="12" a="1"/>
  <c r="AN14" i="12" s="1"/>
  <c r="AD38" i="12" a="1"/>
  <c r="AD38" i="12" s="1"/>
  <c r="AC38" i="12" a="1"/>
  <c r="AC38" i="12" s="1"/>
  <c r="AF38" i="12" a="1"/>
  <c r="AF38" i="12" s="1"/>
  <c r="AG38" i="12" a="1"/>
  <c r="AG38" i="12" s="1"/>
  <c r="AQ6" i="12"/>
  <c r="AC6" i="12" a="1"/>
  <c r="AC6" i="12" s="1"/>
  <c r="AF6" i="12" a="1"/>
  <c r="AF6" i="12" s="1"/>
  <c r="AN6" i="12" a="1"/>
  <c r="AN6" i="12" s="1"/>
  <c r="AD44" i="12" a="1"/>
  <c r="AD44" i="12" s="1"/>
  <c r="AM14" i="12" a="1"/>
  <c r="AM14" i="12" s="1"/>
  <c r="AQ7" i="12"/>
  <c r="AD6" i="12" a="1"/>
  <c r="AD6" i="12" s="1"/>
  <c r="AL5" i="12" a="1"/>
  <c r="AL5" i="12" s="1"/>
  <c r="AN5" i="12" a="1"/>
  <c r="AN5" i="12" s="1"/>
  <c r="AO5" i="12" a="1"/>
  <c r="AO5" i="12" s="1"/>
  <c r="AM5" i="12" a="1"/>
  <c r="AM5" i="12" s="1"/>
  <c r="AQ5" i="12"/>
  <c r="AJ5" i="12" a="1"/>
  <c r="AJ5" i="12" s="1"/>
  <c r="AM37" i="12" a="1"/>
  <c r="AM37" i="12" s="1"/>
  <c r="AO7" i="12" a="1"/>
  <c r="AO7" i="12" s="1"/>
  <c r="AE11" i="12" a="1"/>
  <c r="AE11" i="12" s="1"/>
  <c r="AG11" i="12" a="1"/>
  <c r="AG11" i="12" s="1"/>
  <c r="AH11" i="12" a="1"/>
  <c r="AH11" i="12" s="1"/>
  <c r="AF11" i="12" a="1"/>
  <c r="AF11" i="12" s="1"/>
  <c r="AJ11" i="12" a="1"/>
  <c r="AJ11" i="12" s="1"/>
  <c r="AK11" i="12" a="1"/>
  <c r="AK11" i="12" s="1"/>
  <c r="AA11" i="12" s="1"/>
  <c r="AL11" i="12" a="1"/>
  <c r="AL11" i="12" s="1"/>
  <c r="AM11" i="12" a="1"/>
  <c r="AM11" i="12" s="1"/>
  <c r="AN11" i="12" a="1"/>
  <c r="AN11" i="12" s="1"/>
  <c r="AO11" i="12" a="1"/>
  <c r="AO11" i="12" s="1"/>
  <c r="AQ11" i="12"/>
  <c r="AC11" i="12" a="1"/>
  <c r="AC11" i="12" s="1"/>
  <c r="AC8" i="12" a="1"/>
  <c r="AC8" i="12" s="1"/>
  <c r="AD8" i="12" a="1"/>
  <c r="AD8" i="12" s="1"/>
  <c r="AE8" i="12" a="1"/>
  <c r="AE8" i="12" s="1"/>
  <c r="AF8" i="12" a="1"/>
  <c r="AF8" i="12" s="1"/>
  <c r="AG8" i="12" a="1"/>
  <c r="AG8" i="12" s="1"/>
  <c r="AJ8" i="12" a="1"/>
  <c r="AJ8" i="12" s="1"/>
  <c r="AK8" i="12" a="1"/>
  <c r="AK8" i="12" s="1"/>
  <c r="AN8" i="12" a="1"/>
  <c r="AN8" i="12" s="1"/>
  <c r="AL37" i="12" a="1"/>
  <c r="AL37" i="12" s="1"/>
  <c r="AL14" i="12" a="1"/>
  <c r="AL14" i="12" s="1"/>
  <c r="AN7" i="12" a="1"/>
  <c r="AN7" i="12" s="1"/>
  <c r="AK37" i="12" a="1"/>
  <c r="AK37" i="12" s="1"/>
  <c r="AK14" i="12" a="1"/>
  <c r="AK14" i="12" s="1"/>
  <c r="AM7" i="12" a="1"/>
  <c r="AM7" i="12" s="1"/>
  <c r="AC34" i="12" a="1"/>
  <c r="AC34" i="12" s="1"/>
  <c r="AF34" i="12" a="1"/>
  <c r="AF34" i="12" s="1"/>
  <c r="AH34" i="12" a="1"/>
  <c r="AH34" i="12" s="1"/>
  <c r="AJ34" i="12" a="1"/>
  <c r="AJ34" i="12" s="1"/>
  <c r="AD34" i="12" a="1"/>
  <c r="AD34" i="12" s="1"/>
  <c r="AE34" i="12" a="1"/>
  <c r="AE34" i="12" s="1"/>
  <c r="AG34" i="12" a="1"/>
  <c r="AG34" i="12" s="1"/>
  <c r="AM34" i="12" a="1"/>
  <c r="AM34" i="12" s="1"/>
  <c r="AL34" i="12" a="1"/>
  <c r="AL34" i="12" s="1"/>
  <c r="AO34" i="12" a="1"/>
  <c r="AO34" i="12" s="1"/>
  <c r="AK34" i="12" a="1"/>
  <c r="AK34" i="12" s="1"/>
  <c r="AN34" i="12" a="1"/>
  <c r="AN34" i="12" s="1"/>
  <c r="AQ34" i="12"/>
  <c r="AL7" i="12" a="1"/>
  <c r="AL7" i="12" s="1"/>
  <c r="AD14" i="12" a="1"/>
  <c r="AD14" i="12" s="1"/>
  <c r="AE14" i="12" a="1"/>
  <c r="AE14" i="12" s="1"/>
  <c r="AO14" i="12" a="1"/>
  <c r="AO14" i="12" s="1"/>
  <c r="AH14" i="12" a="1"/>
  <c r="AH14" i="12" s="1"/>
  <c r="AK7" i="12" a="1"/>
  <c r="AK7" i="12" s="1"/>
  <c r="AH45" i="12" a="1"/>
  <c r="AH45" i="12" s="1"/>
  <c r="AC42" i="12" a="1"/>
  <c r="AC42" i="12" s="1"/>
  <c r="AG37" i="12" a="1"/>
  <c r="AG37" i="12" s="1"/>
  <c r="AG14" i="12" a="1"/>
  <c r="AG14" i="12" s="1"/>
  <c r="AH7" i="12" a="1"/>
  <c r="AH7" i="12" s="1"/>
  <c r="AH44" i="12" a="1"/>
  <c r="AH44" i="12" s="1"/>
  <c r="AJ44" i="12" a="1"/>
  <c r="AJ44" i="12" s="1"/>
  <c r="AO44" i="12" a="1"/>
  <c r="AO44" i="12" s="1"/>
  <c r="AK44" i="12" a="1"/>
  <c r="AK44" i="12" s="1"/>
  <c r="AL44" i="12" a="1"/>
  <c r="AL44" i="12" s="1"/>
  <c r="AM44" i="12" a="1"/>
  <c r="AM44" i="12" s="1"/>
  <c r="AN44" i="12" a="1"/>
  <c r="AN44" i="12" s="1"/>
  <c r="AQ44" i="12"/>
  <c r="AH12" i="12" a="1"/>
  <c r="AH12" i="12" s="1"/>
  <c r="AK12" i="12" a="1"/>
  <c r="AK12" i="12" s="1"/>
  <c r="AA12" i="12" s="1"/>
  <c r="AJ12" i="12" a="1"/>
  <c r="AJ12" i="12" s="1"/>
  <c r="AL12" i="12" a="1"/>
  <c r="AL12" i="12" s="1"/>
  <c r="AM12" i="12" a="1"/>
  <c r="AM12" i="12" s="1"/>
  <c r="AN12" i="12" a="1"/>
  <c r="AN12" i="12" s="1"/>
  <c r="AO12" i="12" a="1"/>
  <c r="AO12" i="12" s="1"/>
  <c r="AQ12" i="12"/>
  <c r="AF12" i="12" a="1"/>
  <c r="AF12" i="12" s="1"/>
  <c r="AF43" i="12" a="1"/>
  <c r="AF43" i="12" s="1"/>
  <c r="AG43" i="12" a="1"/>
  <c r="AG43" i="12" s="1"/>
  <c r="AJ43" i="12" a="1"/>
  <c r="AJ43" i="12" s="1"/>
  <c r="AM43" i="12" a="1"/>
  <c r="AM43" i="12" s="1"/>
  <c r="AH43" i="12" a="1"/>
  <c r="AH43" i="12" s="1"/>
  <c r="AK43" i="12" a="1"/>
  <c r="AK43" i="12" s="1"/>
  <c r="AL43" i="12" a="1"/>
  <c r="AL43" i="12" s="1"/>
  <c r="AN43" i="12" a="1"/>
  <c r="AN43" i="12" s="1"/>
  <c r="AO43" i="12" a="1"/>
  <c r="AO43" i="12" s="1"/>
  <c r="AQ43" i="12"/>
  <c r="AF40" i="12" a="1"/>
  <c r="AF40" i="12" s="1"/>
  <c r="AE40" i="12" a="1"/>
  <c r="AE40" i="12" s="1"/>
  <c r="AJ40" i="12" a="1"/>
  <c r="AJ40" i="12" s="1"/>
  <c r="AH40" i="12" a="1"/>
  <c r="AH40" i="12" s="1"/>
  <c r="AC40" i="12" a="1"/>
  <c r="AC40" i="12" s="1"/>
  <c r="AD40" i="12" a="1"/>
  <c r="AD40" i="12" s="1"/>
  <c r="AG40" i="12" a="1"/>
  <c r="AG40" i="12" s="1"/>
  <c r="AL40" i="12" a="1"/>
  <c r="AL40" i="12" s="1"/>
  <c r="AK40" i="12" a="1"/>
  <c r="AK40" i="12" s="1"/>
  <c r="AM40" i="12" a="1"/>
  <c r="AM40" i="12" s="1"/>
  <c r="AN40" i="12" a="1"/>
  <c r="AN40" i="12" s="1"/>
  <c r="AF35" i="12" a="1"/>
  <c r="AF35" i="12" s="1"/>
  <c r="AG35" i="12" a="1"/>
  <c r="AG35" i="12" s="1"/>
  <c r="AJ35" i="12" a="1"/>
  <c r="AJ35" i="12" s="1"/>
  <c r="AH35" i="12" a="1"/>
  <c r="AH35" i="12" s="1"/>
  <c r="AK35" i="12" a="1"/>
  <c r="AK35" i="12" s="1"/>
  <c r="AA35" i="12" s="1"/>
  <c r="AM35" i="12" a="1"/>
  <c r="AM35" i="12" s="1"/>
  <c r="AN35" i="12" a="1"/>
  <c r="AN35" i="12" s="1"/>
  <c r="AL35" i="12" a="1"/>
  <c r="AL35" i="12" s="1"/>
  <c r="AQ35" i="12"/>
  <c r="AO35" i="12" a="1"/>
  <c r="AO35" i="12" s="1"/>
  <c r="AJ45" i="12" a="1"/>
  <c r="AJ45" i="12" s="1"/>
  <c r="AG45" i="12" a="1"/>
  <c r="AG45" i="12" s="1"/>
  <c r="AO40" i="12" a="1"/>
  <c r="AO40" i="12" s="1"/>
  <c r="AF37" i="12" a="1"/>
  <c r="AF37" i="12" s="1"/>
  <c r="AF14" i="12" a="1"/>
  <c r="AF14" i="12" s="1"/>
  <c r="AG7" i="12" a="1"/>
  <c r="AG7" i="12" s="1"/>
  <c r="AC3" i="12" a="1"/>
  <c r="AC3" i="12" s="1"/>
  <c r="AD3" i="12" a="1"/>
  <c r="AD3" i="12" s="1"/>
  <c r="AE3" i="12" a="1"/>
  <c r="AE3" i="12" s="1"/>
  <c r="AF3" i="12" a="1"/>
  <c r="AF3" i="12" s="1"/>
  <c r="AG3" i="12" a="1"/>
  <c r="AG3" i="12" s="1"/>
  <c r="AH3" i="12" a="1"/>
  <c r="AH3" i="12" s="1"/>
  <c r="AJ3" i="12" a="1"/>
  <c r="AJ3" i="12" s="1"/>
  <c r="AK3" i="12" a="1"/>
  <c r="AK3" i="12" s="1"/>
  <c r="AL3" i="12" a="1"/>
  <c r="AL3" i="12" s="1"/>
  <c r="AM3" i="12" a="1"/>
  <c r="AM3" i="12" s="1"/>
  <c r="AN3" i="12" a="1"/>
  <c r="AN3" i="12" s="1"/>
  <c r="AO3" i="12" a="1"/>
  <c r="AO3" i="12" s="1"/>
  <c r="AQ3" i="12"/>
  <c r="AC14" i="12" a="1"/>
  <c r="AC14" i="12" s="1"/>
  <c r="AC7" i="12" a="1"/>
  <c r="AC7" i="12" s="1"/>
  <c r="AD7" i="12" a="1"/>
  <c r="AD7" i="12" s="1"/>
  <c r="AF7" i="12" a="1"/>
  <c r="AF7" i="12" s="1"/>
  <c r="AJ7" i="12" a="1"/>
  <c r="AJ7" i="12" s="1"/>
  <c r="AF45" i="12" a="1"/>
  <c r="AF45" i="12" s="1"/>
  <c r="AQ38" i="12"/>
  <c r="AE37" i="12" a="1"/>
  <c r="AE37" i="12" s="1"/>
  <c r="AE45" i="12" a="1"/>
  <c r="AE45" i="12" s="1"/>
  <c r="AO38" i="12" a="1"/>
  <c r="AO38" i="12" s="1"/>
  <c r="AD37" i="12" a="1"/>
  <c r="AD37" i="12" s="1"/>
  <c r="AD4" i="12" a="1"/>
  <c r="AD4" i="12" s="1"/>
  <c r="AG31" i="12" a="1"/>
  <c r="AG31" i="12" s="1"/>
  <c r="AF31" i="12" a="1"/>
  <c r="AF31" i="12" s="1"/>
  <c r="AQ26" i="12"/>
  <c r="AM25" i="12" a="1"/>
  <c r="AM25" i="12" s="1"/>
  <c r="AG24" i="12" a="1"/>
  <c r="AG24" i="12" s="1"/>
  <c r="AF23" i="12" a="1"/>
  <c r="AF23" i="12" s="1"/>
  <c r="AN33" i="12" a="1"/>
  <c r="AN33" i="12" s="1"/>
  <c r="AM26" i="12" a="1"/>
  <c r="AM26" i="12" s="1"/>
  <c r="AJ25" i="12" a="1"/>
  <c r="AJ25" i="12" s="1"/>
  <c r="AN53" i="12" a="1"/>
  <c r="AN53" i="12" s="1"/>
  <c r="AM33" i="12" a="1"/>
  <c r="AM33" i="12" s="1"/>
  <c r="AH25" i="12" a="1"/>
  <c r="AH25" i="12" s="1"/>
  <c r="AO27" i="12" a="1"/>
  <c r="AO27" i="12" s="1"/>
  <c r="AK26" i="12" a="1"/>
  <c r="AK26" i="12" s="1"/>
  <c r="AF25" i="12" a="1"/>
  <c r="AF25" i="12" s="1"/>
  <c r="AN27" i="12" a="1"/>
  <c r="AN27" i="12" s="1"/>
  <c r="AJ26" i="12" a="1"/>
  <c r="AJ26" i="12" s="1"/>
  <c r="AE25" i="12" a="1"/>
  <c r="AE25" i="12" s="1"/>
  <c r="AM27" i="12" a="1"/>
  <c r="AM27" i="12" s="1"/>
  <c r="AH26" i="12" a="1"/>
  <c r="AH26" i="12" s="1"/>
  <c r="AQ4" i="12"/>
  <c r="AK27" i="12" a="1"/>
  <c r="AK27" i="12" s="1"/>
  <c r="AF26" i="12" a="1"/>
  <c r="AF26" i="12" s="1"/>
  <c r="AO4" i="12" a="1"/>
  <c r="AO4" i="12" s="1"/>
  <c r="AL27" i="12" a="1"/>
  <c r="AL27" i="12" s="1"/>
  <c r="AN4" i="12" a="1"/>
  <c r="AN4" i="12" s="1"/>
  <c r="AQ28" i="12"/>
  <c r="AM4" i="12" a="1"/>
  <c r="AM4" i="12" s="1"/>
  <c r="AF33" i="12" a="1"/>
  <c r="AF33" i="12" s="1"/>
  <c r="AD33" i="12" a="1"/>
  <c r="AD33" i="12" s="1"/>
  <c r="AM28" i="12" a="1"/>
  <c r="AM28" i="12" s="1"/>
  <c r="AE26" i="12" a="1"/>
  <c r="AE26" i="12" s="1"/>
  <c r="AM60" i="12" a="1"/>
  <c r="AM60" i="12" s="1"/>
  <c r="AN58" i="12" a="1"/>
  <c r="AN58" i="12" s="1"/>
  <c r="AM57" i="12" a="1"/>
  <c r="AM57" i="12" s="1"/>
  <c r="AM56" i="12" a="1"/>
  <c r="AM56" i="12" s="1"/>
  <c r="AH54" i="12" a="1"/>
  <c r="AH54" i="12" s="1"/>
  <c r="AQ36" i="12"/>
  <c r="AC33" i="12" a="1"/>
  <c r="AC33" i="12" s="1"/>
  <c r="AQ29" i="12"/>
  <c r="AL28" i="12" a="1"/>
  <c r="AL28" i="12" s="1"/>
  <c r="AG27" i="12" a="1"/>
  <c r="AG27" i="12" s="1"/>
  <c r="AD26" i="12" a="1"/>
  <c r="AD26" i="12" s="1"/>
  <c r="AL4" i="12" a="1"/>
  <c r="AL4" i="12" s="1"/>
  <c r="AN28" i="12" a="1"/>
  <c r="AN28" i="12" s="1"/>
  <c r="AN60" i="12" a="1"/>
  <c r="AN60" i="12" s="1"/>
  <c r="AM59" i="12" a="1"/>
  <c r="AM59" i="12" s="1"/>
  <c r="AO58" i="12" a="1"/>
  <c r="AO58" i="12" s="1"/>
  <c r="AN57" i="12" a="1"/>
  <c r="AN57" i="12" s="1"/>
  <c r="AN56" i="12" a="1"/>
  <c r="AN56" i="12" s="1"/>
  <c r="AK4" i="12" a="1"/>
  <c r="AK4" i="12" s="1"/>
  <c r="AL60" i="12" a="1"/>
  <c r="AL60" i="12" s="1"/>
  <c r="AL59" i="12" a="1"/>
  <c r="AL59" i="12" s="1"/>
  <c r="AM58" i="12" a="1"/>
  <c r="AM58" i="12" s="1"/>
  <c r="AL57" i="12" a="1"/>
  <c r="AL57" i="12" s="1"/>
  <c r="AJ55" i="12" a="1"/>
  <c r="AJ55" i="12" s="1"/>
  <c r="AO59" i="12" a="1"/>
  <c r="AO59" i="12" s="1"/>
  <c r="AO36" i="12" a="1"/>
  <c r="AO36" i="12" s="1"/>
  <c r="AK28" i="12" a="1"/>
  <c r="AK28" i="12" s="1"/>
  <c r="AF27" i="12" a="1"/>
  <c r="AF27" i="12" s="1"/>
  <c r="AK58" i="12" a="1"/>
  <c r="AK58" i="12" s="1"/>
  <c r="AG55" i="12" a="1"/>
  <c r="AG55" i="12" s="1"/>
  <c r="AM36" i="12" a="1"/>
  <c r="AM36" i="12" s="1"/>
  <c r="AN29" i="12" a="1"/>
  <c r="AN29" i="12" s="1"/>
  <c r="AH28" i="12" a="1"/>
  <c r="AH28" i="12" s="1"/>
  <c r="AD27" i="12" a="1"/>
  <c r="AD27" i="12" s="1"/>
  <c r="AO21" i="12" a="1"/>
  <c r="AO21" i="12" s="1"/>
  <c r="AM20" i="12" a="1"/>
  <c r="AM20" i="12" s="1"/>
  <c r="AQ60" i="12"/>
  <c r="AL56" i="12" a="1"/>
  <c r="AL56" i="12" s="1"/>
  <c r="AK60" i="12" a="1"/>
  <c r="AK60" i="12" s="1"/>
  <c r="AK59" i="12" a="1"/>
  <c r="AK59" i="12" s="1"/>
  <c r="AL58" i="12" a="1"/>
  <c r="AL58" i="12" s="1"/>
  <c r="AK57" i="12" a="1"/>
  <c r="AK57" i="12" s="1"/>
  <c r="AK56" i="12" a="1"/>
  <c r="AK56" i="12" s="1"/>
  <c r="AH55" i="12" a="1"/>
  <c r="AH55" i="12" s="1"/>
  <c r="AF54" i="12" a="1"/>
  <c r="AF54" i="12" s="1"/>
  <c r="AD53" i="12" a="1"/>
  <c r="AD53" i="12" s="1"/>
  <c r="AJ28" i="12" a="1"/>
  <c r="AJ28" i="12" s="1"/>
  <c r="AJ60" i="12" a="1"/>
  <c r="AJ60" i="12" s="1"/>
  <c r="AE54" i="12" a="1"/>
  <c r="AE54" i="12" s="1"/>
  <c r="AL36" i="12" a="1"/>
  <c r="AL36" i="12" s="1"/>
  <c r="AM29" i="12" a="1"/>
  <c r="AM29" i="12" s="1"/>
  <c r="AG28" i="12" a="1"/>
  <c r="AG28" i="12" s="1"/>
  <c r="AC27" i="12" a="1"/>
  <c r="AC27" i="12" s="1"/>
  <c r="AL20" i="12" a="1"/>
  <c r="AL20" i="12" s="1"/>
  <c r="AG19" i="12" a="1"/>
  <c r="AG19" i="12" s="1"/>
  <c r="AG4" i="12" a="1"/>
  <c r="AG4" i="12" s="1"/>
  <c r="AO28" i="12" a="1"/>
  <c r="AO28" i="12" s="1"/>
  <c r="AO60" i="12" a="1"/>
  <c r="AO60" i="12" s="1"/>
  <c r="AN59" i="12" a="1"/>
  <c r="AN59" i="12" s="1"/>
  <c r="AQ58" i="12"/>
  <c r="AO57" i="12" a="1"/>
  <c r="AO57" i="12" s="1"/>
  <c r="AJ27" i="12" a="1"/>
  <c r="AJ27" i="12" s="1"/>
  <c r="AH27" i="12" a="1"/>
  <c r="AH27" i="12" s="1"/>
  <c r="AN36" i="12" a="1"/>
  <c r="AN36" i="12" s="1"/>
  <c r="AO29" i="12" a="1"/>
  <c r="AO29" i="12" s="1"/>
  <c r="AJ4" i="12" a="1"/>
  <c r="AJ4" i="12" s="1"/>
  <c r="AJ56" i="12" a="1"/>
  <c r="AJ56" i="12" s="1"/>
  <c r="AH4" i="12" a="1"/>
  <c r="AH4" i="12" s="1"/>
  <c r="AH60" i="12" a="1"/>
  <c r="AH60" i="12" s="1"/>
  <c r="AJ59" i="12" a="1"/>
  <c r="AJ59" i="12" s="1"/>
  <c r="AJ58" i="12" a="1"/>
  <c r="AJ58" i="12" s="1"/>
  <c r="AJ57" i="12" a="1"/>
  <c r="AJ57" i="12" s="1"/>
  <c r="AH56" i="12" a="1"/>
  <c r="AH56" i="12" s="1"/>
  <c r="AD54" i="12" a="1"/>
  <c r="AD54" i="12" s="1"/>
  <c r="AN21" i="12" a="1"/>
  <c r="AN21" i="12" s="1"/>
  <c r="BK85" i="2"/>
  <c r="AI85" i="2" s="1"/>
  <c r="Y5" i="2"/>
  <c r="Y6" i="2" s="1"/>
  <c r="Y7" i="2" s="1"/>
  <c r="BI35" i="2"/>
  <c r="BJ35" i="2"/>
  <c r="BK35" i="2"/>
  <c r="BL35" i="2"/>
  <c r="BH35" i="2"/>
  <c r="AG35" i="2"/>
  <c r="AH35" i="2"/>
  <c r="AI35" i="2"/>
  <c r="AJ35" i="2"/>
  <c r="AF35" i="2"/>
  <c r="AF414" i="2"/>
  <c r="AG414" i="2"/>
  <c r="AH414" i="2"/>
  <c r="AJ414" i="2"/>
  <c r="AK414" i="2"/>
  <c r="AL414" i="2"/>
  <c r="AM414" i="2"/>
  <c r="AN414" i="2"/>
  <c r="AO414" i="2"/>
  <c r="AO416" i="2"/>
  <c r="AO417" i="2"/>
  <c r="AO418" i="2"/>
  <c r="AO419" i="2"/>
  <c r="AO420" i="2"/>
  <c r="AO421" i="2"/>
  <c r="AO423" i="2"/>
  <c r="AO424" i="2"/>
  <c r="AO425" i="2"/>
  <c r="AO426" i="2"/>
  <c r="AO427" i="2"/>
  <c r="AO428" i="2"/>
  <c r="AO429" i="2"/>
  <c r="AO430" i="2"/>
  <c r="AO431" i="2"/>
  <c r="AO432" i="2"/>
  <c r="AO433" i="2"/>
  <c r="AO434" i="2"/>
  <c r="AO435" i="2"/>
  <c r="BA37" i="2"/>
  <c r="BB37" i="2"/>
  <c r="BA38" i="2"/>
  <c r="BB38" i="2"/>
  <c r="BA39" i="2"/>
  <c r="BB39" i="2"/>
  <c r="BA40" i="2"/>
  <c r="BB40" i="2"/>
  <c r="BA41" i="2"/>
  <c r="BB41" i="2"/>
  <c r="BA42" i="2"/>
  <c r="BB42" i="2"/>
  <c r="BA43" i="2"/>
  <c r="BB43" i="2"/>
  <c r="BA44" i="2"/>
  <c r="BB44" i="2"/>
  <c r="BA45" i="2"/>
  <c r="BB45" i="2"/>
  <c r="BA46" i="2"/>
  <c r="BB46" i="2"/>
  <c r="BA47" i="2"/>
  <c r="BB47" i="2"/>
  <c r="BA48" i="2"/>
  <c r="BB48" i="2"/>
  <c r="BA49" i="2"/>
  <c r="BB49" i="2"/>
  <c r="BA50" i="2"/>
  <c r="BB50" i="2"/>
  <c r="BA51" i="2"/>
  <c r="BB51" i="2"/>
  <c r="BA52" i="2"/>
  <c r="BB52" i="2"/>
  <c r="BA53" i="2"/>
  <c r="BB53" i="2"/>
  <c r="BA54" i="2"/>
  <c r="BB54" i="2"/>
  <c r="BA55" i="2"/>
  <c r="BB55" i="2"/>
  <c r="BA56" i="2"/>
  <c r="BB56" i="2"/>
  <c r="BA57" i="2"/>
  <c r="BB57" i="2"/>
  <c r="BA58" i="2"/>
  <c r="BB58" i="2"/>
  <c r="BA59" i="2"/>
  <c r="BB59" i="2"/>
  <c r="BA60" i="2"/>
  <c r="BB60" i="2"/>
  <c r="BA61" i="2"/>
  <c r="BB61" i="2"/>
  <c r="BA62" i="2"/>
  <c r="BB62" i="2"/>
  <c r="BA63" i="2"/>
  <c r="BB63" i="2"/>
  <c r="BA64" i="2"/>
  <c r="BB64" i="2"/>
  <c r="BA65" i="2"/>
  <c r="BB65" i="2"/>
  <c r="BA66" i="2"/>
  <c r="BB66" i="2"/>
  <c r="BA67" i="2"/>
  <c r="BB67" i="2"/>
  <c r="BA68" i="2"/>
  <c r="BB68" i="2"/>
  <c r="BA69" i="2"/>
  <c r="BB69" i="2"/>
  <c r="BA70" i="2"/>
  <c r="BB70" i="2"/>
  <c r="BA71" i="2"/>
  <c r="BB71" i="2"/>
  <c r="BA72" i="2"/>
  <c r="BB72" i="2"/>
  <c r="BA73" i="2"/>
  <c r="BB73" i="2"/>
  <c r="BA74" i="2"/>
  <c r="BB74" i="2"/>
  <c r="BA75" i="2"/>
  <c r="BB75" i="2"/>
  <c r="BA76" i="2"/>
  <c r="BB76" i="2"/>
  <c r="BA77" i="2"/>
  <c r="BB77" i="2"/>
  <c r="BA78" i="2"/>
  <c r="BB78" i="2"/>
  <c r="BA79" i="2"/>
  <c r="BB79" i="2"/>
  <c r="BA80" i="2"/>
  <c r="BB80" i="2"/>
  <c r="BA81" i="2"/>
  <c r="BB81" i="2"/>
  <c r="BA82" i="2"/>
  <c r="BB82" i="2"/>
  <c r="BA83" i="2"/>
  <c r="BB83" i="2"/>
  <c r="BA84" i="2"/>
  <c r="BB84" i="2"/>
  <c r="BA85" i="2"/>
  <c r="BB85" i="2"/>
  <c r="BA86" i="2"/>
  <c r="BB86" i="2"/>
  <c r="BA87" i="2"/>
  <c r="BB87" i="2"/>
  <c r="BB36" i="2"/>
  <c r="X14" i="33" a="1"/>
  <c r="X14" i="33" s="1"/>
  <c r="X15" i="33" a="1"/>
  <c r="X15" i="33" s="1"/>
  <c r="X16" i="33" a="1"/>
  <c r="X16" i="33" s="1"/>
  <c r="X17" i="33" a="1"/>
  <c r="X17" i="33" s="1"/>
  <c r="X18" i="33" a="1"/>
  <c r="X18" i="33" s="1"/>
  <c r="X19" i="33" a="1"/>
  <c r="X19" i="33" s="1"/>
  <c r="X20" i="33" a="1"/>
  <c r="X20" i="33" s="1"/>
  <c r="X21" i="33" a="1"/>
  <c r="X21" i="33" s="1"/>
  <c r="X22" i="33" a="1"/>
  <c r="X22" i="33" s="1"/>
  <c r="X23" i="33" a="1"/>
  <c r="X23" i="33" s="1"/>
  <c r="X24" i="33" a="1"/>
  <c r="X24" i="33" s="1"/>
  <c r="X25" i="33" a="1"/>
  <c r="X25" i="33" s="1"/>
  <c r="X26" i="33" a="1"/>
  <c r="X26" i="33" s="1"/>
  <c r="X27" i="33" a="1"/>
  <c r="X27" i="33" s="1"/>
  <c r="X28" i="33" a="1"/>
  <c r="X28" i="33" s="1"/>
  <c r="X29" i="33" a="1"/>
  <c r="X29" i="33" s="1"/>
  <c r="X30" i="33" a="1"/>
  <c r="X30" i="33" s="1"/>
  <c r="X31" i="33" a="1"/>
  <c r="X31" i="33" s="1"/>
  <c r="X32" i="33" a="1"/>
  <c r="X32" i="33" s="1"/>
  <c r="X33" i="33" a="1"/>
  <c r="X33" i="33" s="1"/>
  <c r="X34" i="33" a="1"/>
  <c r="X34" i="33" s="1"/>
  <c r="X35" i="33" a="1"/>
  <c r="X35" i="33" s="1"/>
  <c r="X36" i="33" a="1"/>
  <c r="X36" i="33" s="1"/>
  <c r="X37" i="33" a="1"/>
  <c r="X37" i="33" s="1"/>
  <c r="X38" i="33" a="1"/>
  <c r="X38" i="33" s="1"/>
  <c r="X39" i="33" a="1"/>
  <c r="X39" i="33" s="1"/>
  <c r="X40" i="33" a="1"/>
  <c r="X40" i="33" s="1"/>
  <c r="X41" i="33" a="1"/>
  <c r="X41" i="33" s="1"/>
  <c r="X42" i="33" a="1"/>
  <c r="X42" i="33" s="1"/>
  <c r="X43" i="33" a="1"/>
  <c r="X43" i="33" s="1"/>
  <c r="X44" i="33" a="1"/>
  <c r="X44" i="33" s="1"/>
  <c r="X45" i="33" a="1"/>
  <c r="X45" i="33" s="1"/>
  <c r="X46" i="33" a="1"/>
  <c r="X46" i="33" s="1"/>
  <c r="X47" i="33" a="1"/>
  <c r="X47" i="33" s="1"/>
  <c r="X48" i="33" a="1"/>
  <c r="X48" i="33" s="1"/>
  <c r="X49" i="33" a="1"/>
  <c r="X49" i="33" s="1"/>
  <c r="X50" i="33" a="1"/>
  <c r="X50" i="33" s="1"/>
  <c r="X51" i="33" a="1"/>
  <c r="X51" i="33" s="1"/>
  <c r="X52" i="33" a="1"/>
  <c r="X52" i="33" s="1"/>
  <c r="X53" i="33" a="1"/>
  <c r="X53" i="33" s="1"/>
  <c r="X54" i="33" a="1"/>
  <c r="X54" i="33" s="1"/>
  <c r="X55" i="33" a="1"/>
  <c r="X55" i="33" s="1"/>
  <c r="X56" i="33" a="1"/>
  <c r="X56" i="33" s="1"/>
  <c r="X57" i="33" a="1"/>
  <c r="X57" i="33" s="1"/>
  <c r="X58" i="33" a="1"/>
  <c r="X58" i="33" s="1"/>
  <c r="X59" i="33" a="1"/>
  <c r="X59" i="33" s="1"/>
  <c r="X60" i="33" a="1"/>
  <c r="X60" i="33" s="1"/>
  <c r="X61" i="33" a="1"/>
  <c r="X61" i="33" s="1"/>
  <c r="X62" i="33" a="1"/>
  <c r="X62" i="33" s="1"/>
  <c r="X63" i="33" a="1"/>
  <c r="X63" i="33" s="1"/>
  <c r="X64" i="33" a="1"/>
  <c r="X64" i="33" s="1"/>
  <c r="X65" i="33" a="1"/>
  <c r="X65" i="33" s="1"/>
  <c r="X66" i="33" a="1"/>
  <c r="X66" i="33" s="1"/>
  <c r="X67" i="33" a="1"/>
  <c r="X67" i="33" s="1"/>
  <c r="X68" i="33" a="1"/>
  <c r="X68" i="33" s="1"/>
  <c r="X69" i="33" a="1"/>
  <c r="X69" i="33" s="1"/>
  <c r="X70" i="33" a="1"/>
  <c r="X70" i="33" s="1"/>
  <c r="X71" i="33" a="1"/>
  <c r="X71" i="33" s="1"/>
  <c r="X13" i="33" a="1"/>
  <c r="X13" i="33" s="1"/>
  <c r="V14" i="33" a="1"/>
  <c r="V14" i="33" s="1"/>
  <c r="V15" i="33" a="1"/>
  <c r="V15" i="33" s="1"/>
  <c r="V16" i="33" a="1"/>
  <c r="V16" i="33" s="1"/>
  <c r="V17" i="33" a="1"/>
  <c r="V17" i="33" s="1"/>
  <c r="V18" i="33" a="1"/>
  <c r="V18" i="33" s="1"/>
  <c r="V19" i="33" a="1"/>
  <c r="V19" i="33" s="1"/>
  <c r="V20" i="33" a="1"/>
  <c r="V20" i="33" s="1"/>
  <c r="V21" i="33" a="1"/>
  <c r="V21" i="33" s="1"/>
  <c r="V22" i="33" a="1"/>
  <c r="V22" i="33" s="1"/>
  <c r="V23" i="33" a="1"/>
  <c r="V23" i="33" s="1"/>
  <c r="V24" i="33" a="1"/>
  <c r="V24" i="33" s="1"/>
  <c r="V25" i="33" a="1"/>
  <c r="V25" i="33" s="1"/>
  <c r="V26" i="33" a="1"/>
  <c r="V26" i="33" s="1"/>
  <c r="V27" i="33" a="1"/>
  <c r="V27" i="33" s="1"/>
  <c r="V28" i="33" a="1"/>
  <c r="V28" i="33" s="1"/>
  <c r="V29" i="33" a="1"/>
  <c r="V29" i="33" s="1"/>
  <c r="V30" i="33" a="1"/>
  <c r="V30" i="33" s="1"/>
  <c r="V31" i="33" a="1"/>
  <c r="V31" i="33" s="1"/>
  <c r="V32" i="33" a="1"/>
  <c r="V32" i="33" s="1"/>
  <c r="V33" i="33" a="1"/>
  <c r="V33" i="33" s="1"/>
  <c r="V34" i="33" a="1"/>
  <c r="V34" i="33" s="1"/>
  <c r="V35" i="33" a="1"/>
  <c r="V35" i="33" s="1"/>
  <c r="V36" i="33" a="1"/>
  <c r="V36" i="33" s="1"/>
  <c r="V37" i="33" a="1"/>
  <c r="V37" i="33" s="1"/>
  <c r="V38" i="33" a="1"/>
  <c r="V38" i="33" s="1"/>
  <c r="V39" i="33" a="1"/>
  <c r="V39" i="33" s="1"/>
  <c r="V40" i="33" a="1"/>
  <c r="V40" i="33" s="1"/>
  <c r="V41" i="33" a="1"/>
  <c r="V41" i="33" s="1"/>
  <c r="V42" i="33" a="1"/>
  <c r="V42" i="33" s="1"/>
  <c r="V43" i="33" a="1"/>
  <c r="V43" i="33" s="1"/>
  <c r="V44" i="33" a="1"/>
  <c r="V44" i="33" s="1"/>
  <c r="V45" i="33" a="1"/>
  <c r="V45" i="33" s="1"/>
  <c r="V46" i="33" a="1"/>
  <c r="V46" i="33" s="1"/>
  <c r="V47" i="33" a="1"/>
  <c r="V47" i="33" s="1"/>
  <c r="V48" i="33" a="1"/>
  <c r="V48" i="33" s="1"/>
  <c r="V49" i="33" a="1"/>
  <c r="V49" i="33" s="1"/>
  <c r="V50" i="33" a="1"/>
  <c r="V50" i="33" s="1"/>
  <c r="V51" i="33" a="1"/>
  <c r="V51" i="33" s="1"/>
  <c r="V52" i="33" a="1"/>
  <c r="V52" i="33" s="1"/>
  <c r="V53" i="33" a="1"/>
  <c r="V53" i="33" s="1"/>
  <c r="V54" i="33" a="1"/>
  <c r="V54" i="33" s="1"/>
  <c r="V55" i="33" a="1"/>
  <c r="V55" i="33" s="1"/>
  <c r="V56" i="33" a="1"/>
  <c r="V56" i="33" s="1"/>
  <c r="V57" i="33" a="1"/>
  <c r="V57" i="33" s="1"/>
  <c r="V58" i="33" a="1"/>
  <c r="V58" i="33" s="1"/>
  <c r="V59" i="33" a="1"/>
  <c r="V59" i="33" s="1"/>
  <c r="V60" i="33" a="1"/>
  <c r="V60" i="33" s="1"/>
  <c r="V61" i="33" a="1"/>
  <c r="V61" i="33" s="1"/>
  <c r="V62" i="33" a="1"/>
  <c r="V62" i="33" s="1"/>
  <c r="V63" i="33" a="1"/>
  <c r="V63" i="33" s="1"/>
  <c r="V64" i="33" a="1"/>
  <c r="V64" i="33" s="1"/>
  <c r="V65" i="33" a="1"/>
  <c r="V65" i="33" s="1"/>
  <c r="V66" i="33" a="1"/>
  <c r="V66" i="33" s="1"/>
  <c r="V67" i="33" a="1"/>
  <c r="V67" i="33" s="1"/>
  <c r="V68" i="33" a="1"/>
  <c r="V68" i="33" s="1"/>
  <c r="V69" i="33" a="1"/>
  <c r="V69" i="33" s="1"/>
  <c r="V70" i="33" a="1"/>
  <c r="V70" i="33" s="1"/>
  <c r="V71" i="33" a="1"/>
  <c r="V71" i="33" s="1"/>
  <c r="V13" i="33" a="1"/>
  <c r="V13" i="33" s="1"/>
  <c r="W14" i="33" a="1"/>
  <c r="W14" i="33" s="1"/>
  <c r="W15" i="33" a="1"/>
  <c r="W15" i="33" s="1"/>
  <c r="W16" i="33" a="1"/>
  <c r="W16" i="33" s="1"/>
  <c r="W17" i="33" a="1"/>
  <c r="W17" i="33" s="1"/>
  <c r="W18" i="33" a="1"/>
  <c r="W18" i="33" s="1"/>
  <c r="W19" i="33" a="1"/>
  <c r="W19" i="33" s="1"/>
  <c r="W20" i="33" a="1"/>
  <c r="W20" i="33" s="1"/>
  <c r="W21" i="33" a="1"/>
  <c r="W21" i="33" s="1"/>
  <c r="W22" i="33" a="1"/>
  <c r="W22" i="33" s="1"/>
  <c r="W23" i="33" a="1"/>
  <c r="W23" i="33" s="1"/>
  <c r="W24" i="33" a="1"/>
  <c r="W24" i="33" s="1"/>
  <c r="W25" i="33" a="1"/>
  <c r="W25" i="33" s="1"/>
  <c r="W26" i="33" a="1"/>
  <c r="W26" i="33" s="1"/>
  <c r="W27" i="33" a="1"/>
  <c r="W27" i="33" s="1"/>
  <c r="W28" i="33" a="1"/>
  <c r="W28" i="33" s="1"/>
  <c r="W29" i="33" a="1"/>
  <c r="W29" i="33" s="1"/>
  <c r="W30" i="33" a="1"/>
  <c r="W30" i="33" s="1"/>
  <c r="W31" i="33" a="1"/>
  <c r="W31" i="33" s="1"/>
  <c r="W32" i="33" a="1"/>
  <c r="W32" i="33" s="1"/>
  <c r="W33" i="33" a="1"/>
  <c r="W33" i="33" s="1"/>
  <c r="W34" i="33" a="1"/>
  <c r="W34" i="33" s="1"/>
  <c r="W35" i="33" a="1"/>
  <c r="W35" i="33" s="1"/>
  <c r="W36" i="33" a="1"/>
  <c r="W36" i="33" s="1"/>
  <c r="W37" i="33" a="1"/>
  <c r="W37" i="33" s="1"/>
  <c r="W38" i="33" a="1"/>
  <c r="W38" i="33" s="1"/>
  <c r="W39" i="33" a="1"/>
  <c r="W39" i="33" s="1"/>
  <c r="W40" i="33" a="1"/>
  <c r="W40" i="33" s="1"/>
  <c r="W41" i="33" a="1"/>
  <c r="W41" i="33" s="1"/>
  <c r="W42" i="33" a="1"/>
  <c r="W42" i="33" s="1"/>
  <c r="W43" i="33" a="1"/>
  <c r="W43" i="33" s="1"/>
  <c r="W44" i="33" a="1"/>
  <c r="W44" i="33" s="1"/>
  <c r="W45" i="33" a="1"/>
  <c r="W45" i="33" s="1"/>
  <c r="W46" i="33" a="1"/>
  <c r="W46" i="33" s="1"/>
  <c r="W47" i="33" a="1"/>
  <c r="W47" i="33" s="1"/>
  <c r="W48" i="33" a="1"/>
  <c r="W48" i="33" s="1"/>
  <c r="W49" i="33" a="1"/>
  <c r="W49" i="33" s="1"/>
  <c r="W50" i="33" a="1"/>
  <c r="W50" i="33" s="1"/>
  <c r="W51" i="33" a="1"/>
  <c r="W51" i="33" s="1"/>
  <c r="W52" i="33" a="1"/>
  <c r="W52" i="33" s="1"/>
  <c r="W53" i="33" a="1"/>
  <c r="W53" i="33" s="1"/>
  <c r="W54" i="33" a="1"/>
  <c r="W54" i="33" s="1"/>
  <c r="W55" i="33" a="1"/>
  <c r="W55" i="33" s="1"/>
  <c r="W56" i="33" a="1"/>
  <c r="W56" i="33" s="1"/>
  <c r="W57" i="33" a="1"/>
  <c r="W57" i="33" s="1"/>
  <c r="W58" i="33" a="1"/>
  <c r="W58" i="33" s="1"/>
  <c r="W59" i="33" a="1"/>
  <c r="W59" i="33" s="1"/>
  <c r="W60" i="33" a="1"/>
  <c r="W60" i="33" s="1"/>
  <c r="W61" i="33" a="1"/>
  <c r="W61" i="33" s="1"/>
  <c r="W62" i="33" a="1"/>
  <c r="W62" i="33" s="1"/>
  <c r="W63" i="33" a="1"/>
  <c r="W63" i="33" s="1"/>
  <c r="W64" i="33" a="1"/>
  <c r="W64" i="33" s="1"/>
  <c r="W65" i="33" a="1"/>
  <c r="W65" i="33" s="1"/>
  <c r="W66" i="33" a="1"/>
  <c r="W66" i="33" s="1"/>
  <c r="W67" i="33" a="1"/>
  <c r="W67" i="33" s="1"/>
  <c r="W68" i="33" a="1"/>
  <c r="W68" i="33" s="1"/>
  <c r="W69" i="33" a="1"/>
  <c r="W69" i="33" s="1"/>
  <c r="W70" i="33" a="1"/>
  <c r="W70" i="33" s="1"/>
  <c r="W71" i="33" a="1"/>
  <c r="W71" i="33" s="1"/>
  <c r="W13" i="33" a="1"/>
  <c r="W13" i="33" s="1"/>
  <c r="AA14" i="33"/>
  <c r="AB14" i="33"/>
  <c r="AA15" i="33"/>
  <c r="AB15" i="33"/>
  <c r="AA16" i="33"/>
  <c r="AB16" i="33"/>
  <c r="AA17" i="33"/>
  <c r="AB17" i="33"/>
  <c r="AA18" i="33"/>
  <c r="AB18" i="33"/>
  <c r="AA19" i="33"/>
  <c r="AB19" i="33"/>
  <c r="AA20" i="33"/>
  <c r="AB20" i="33"/>
  <c r="AA21" i="33"/>
  <c r="AB21" i="33"/>
  <c r="AA22" i="33"/>
  <c r="AB22" i="33"/>
  <c r="AA23" i="33"/>
  <c r="AB23" i="33"/>
  <c r="AA24" i="33"/>
  <c r="AB24" i="33"/>
  <c r="AA25" i="33"/>
  <c r="AB25" i="33"/>
  <c r="AA26" i="33"/>
  <c r="AB26" i="33"/>
  <c r="AA27" i="33"/>
  <c r="AB27" i="33"/>
  <c r="AA28" i="33"/>
  <c r="AB28" i="33"/>
  <c r="AA29" i="33"/>
  <c r="AB29" i="33"/>
  <c r="AA30" i="33"/>
  <c r="AB30" i="33"/>
  <c r="AA31" i="33"/>
  <c r="AB31" i="33"/>
  <c r="AA32" i="33"/>
  <c r="AB32" i="33"/>
  <c r="AA33" i="33"/>
  <c r="AB33" i="33"/>
  <c r="AA34" i="33"/>
  <c r="AB34" i="33"/>
  <c r="AA35" i="33"/>
  <c r="AB35" i="33"/>
  <c r="AA36" i="33"/>
  <c r="AB36" i="33"/>
  <c r="AA37" i="33"/>
  <c r="AB37" i="33"/>
  <c r="AA38" i="33"/>
  <c r="AB38" i="33"/>
  <c r="AA39" i="33"/>
  <c r="AB39" i="33"/>
  <c r="AA40" i="33"/>
  <c r="AB40" i="33"/>
  <c r="AA41" i="33"/>
  <c r="AB41" i="33"/>
  <c r="AA42" i="33"/>
  <c r="AB42" i="33"/>
  <c r="AA43" i="33"/>
  <c r="AB43" i="33"/>
  <c r="AA44" i="33"/>
  <c r="AB44" i="33"/>
  <c r="AA45" i="33"/>
  <c r="AB45" i="33"/>
  <c r="AA46" i="33"/>
  <c r="AB46" i="33"/>
  <c r="AA47" i="33"/>
  <c r="AB47" i="33"/>
  <c r="AA48" i="33"/>
  <c r="AB48" i="33"/>
  <c r="AA49" i="33"/>
  <c r="AB49" i="33"/>
  <c r="AA50" i="33"/>
  <c r="AB50" i="33"/>
  <c r="AA51" i="33"/>
  <c r="AB51" i="33"/>
  <c r="AA52" i="33"/>
  <c r="AB52" i="33"/>
  <c r="AA53" i="33"/>
  <c r="AB53" i="33"/>
  <c r="AA54" i="33"/>
  <c r="AB54" i="33"/>
  <c r="AA55" i="33"/>
  <c r="AB55" i="33"/>
  <c r="AA56" i="33"/>
  <c r="AB56" i="33"/>
  <c r="AA57" i="33"/>
  <c r="AB57" i="33"/>
  <c r="AA58" i="33"/>
  <c r="AB58" i="33"/>
  <c r="AA59" i="33"/>
  <c r="AB59" i="33"/>
  <c r="AA60" i="33"/>
  <c r="AB60" i="33"/>
  <c r="AA61" i="33"/>
  <c r="AB61" i="33"/>
  <c r="AA62" i="33"/>
  <c r="AB62" i="33"/>
  <c r="AA63" i="33"/>
  <c r="AB63" i="33"/>
  <c r="AA64" i="33"/>
  <c r="AB64" i="33"/>
  <c r="AA65" i="33"/>
  <c r="AB65" i="33"/>
  <c r="AA66" i="33"/>
  <c r="AB66" i="33"/>
  <c r="AA67" i="33"/>
  <c r="AB67" i="33"/>
  <c r="AA68" i="33"/>
  <c r="AB68" i="33"/>
  <c r="AA69" i="33"/>
  <c r="AB69" i="33"/>
  <c r="AA70" i="33"/>
  <c r="AB70" i="33"/>
  <c r="AA71" i="33"/>
  <c r="AB71" i="33"/>
  <c r="B51" i="6"/>
  <c r="C51" i="6"/>
  <c r="D51" i="6"/>
  <c r="B41" i="6"/>
  <c r="C41" i="6"/>
  <c r="D41" i="6"/>
  <c r="B42" i="6"/>
  <c r="C42" i="6"/>
  <c r="D42" i="6"/>
  <c r="B43" i="6"/>
  <c r="C43" i="6"/>
  <c r="D43" i="6"/>
  <c r="B44" i="6"/>
  <c r="C44" i="6"/>
  <c r="D44" i="6"/>
  <c r="B36" i="6"/>
  <c r="C36" i="6"/>
  <c r="D36" i="6"/>
  <c r="B74" i="6"/>
  <c r="C74" i="6"/>
  <c r="D74" i="6"/>
  <c r="B75" i="6"/>
  <c r="C75" i="6"/>
  <c r="D75" i="6"/>
  <c r="B47" i="6"/>
  <c r="C47" i="6"/>
  <c r="D47" i="6"/>
  <c r="A80" i="6"/>
  <c r="A77" i="6"/>
  <c r="A78" i="6"/>
  <c r="A79"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T3" i="15"/>
  <c r="T2" i="15"/>
  <c r="M3" i="8"/>
  <c r="L3" i="10"/>
  <c r="M3" i="21"/>
  <c r="L3" i="20"/>
  <c r="L4" i="20"/>
  <c r="L5" i="20"/>
  <c r="L6" i="20"/>
  <c r="L7" i="20"/>
  <c r="L8" i="20"/>
  <c r="L9" i="20"/>
  <c r="L10" i="20"/>
  <c r="L11" i="20"/>
  <c r="L12" i="20"/>
  <c r="L13" i="20"/>
  <c r="L14" i="20"/>
  <c r="L15" i="20"/>
  <c r="L16" i="20"/>
  <c r="L17" i="20"/>
  <c r="L18" i="20"/>
  <c r="L19" i="20"/>
  <c r="L20" i="20"/>
  <c r="L21" i="20"/>
  <c r="L23" i="20"/>
  <c r="L24" i="20"/>
  <c r="L25" i="20"/>
  <c r="L26" i="20"/>
  <c r="L27" i="20"/>
  <c r="L28" i="20"/>
  <c r="L29" i="20"/>
  <c r="L30" i="20"/>
  <c r="L31" i="20"/>
  <c r="L32" i="20"/>
  <c r="L33" i="20"/>
  <c r="L34" i="20"/>
  <c r="L35" i="20"/>
  <c r="L36" i="20"/>
  <c r="L37" i="20"/>
  <c r="L38" i="20"/>
  <c r="L40" i="20"/>
  <c r="L41" i="20"/>
  <c r="L42" i="20"/>
  <c r="L43" i="20"/>
  <c r="L44" i="20"/>
  <c r="L45" i="20"/>
  <c r="L46" i="20"/>
  <c r="L47" i="20"/>
  <c r="L48" i="20"/>
  <c r="L49" i="20"/>
  <c r="L50" i="20"/>
  <c r="L51" i="20"/>
  <c r="L53" i="20"/>
  <c r="L54" i="20"/>
  <c r="Z3" i="20"/>
  <c r="Z4" i="20"/>
  <c r="Z5" i="20"/>
  <c r="Z6" i="20"/>
  <c r="Z7" i="20"/>
  <c r="Z8" i="20"/>
  <c r="Z9" i="20"/>
  <c r="Z10" i="20"/>
  <c r="Z11" i="20"/>
  <c r="Z12" i="20"/>
  <c r="Z13" i="20"/>
  <c r="Z14" i="20"/>
  <c r="Z15" i="20"/>
  <c r="Z16" i="20"/>
  <c r="Z17" i="20"/>
  <c r="Z18" i="20"/>
  <c r="Z19" i="20"/>
  <c r="Z20" i="20"/>
  <c r="Z21" i="20"/>
  <c r="Z43" i="20"/>
  <c r="Z44" i="20"/>
  <c r="Z45" i="20"/>
  <c r="Z46" i="20"/>
  <c r="Z47" i="20"/>
  <c r="Z48" i="20"/>
  <c r="Z49" i="20"/>
  <c r="Z50" i="20"/>
  <c r="Z51" i="20"/>
  <c r="Z53" i="20"/>
  <c r="Z54" i="20"/>
  <c r="Z2" i="20"/>
  <c r="AA13" i="12" l="1"/>
  <c r="AA60" i="12"/>
  <c r="AA48" i="12"/>
  <c r="AA33" i="12"/>
  <c r="AA54" i="12"/>
  <c r="AA57" i="12"/>
  <c r="AA31" i="12"/>
  <c r="AA10" i="12"/>
  <c r="AA17" i="12"/>
  <c r="AA30" i="12"/>
  <c r="AA23" i="12"/>
  <c r="AA56" i="12"/>
  <c r="AA37" i="12"/>
  <c r="AA47" i="12"/>
  <c r="AA22" i="12"/>
  <c r="AA51" i="12"/>
  <c r="AA18" i="12"/>
  <c r="AA5" i="12"/>
  <c r="AA44" i="12"/>
  <c r="AA16" i="12"/>
  <c r="AA41" i="12"/>
  <c r="AA49" i="12"/>
  <c r="AA34" i="12"/>
  <c r="AA28" i="12"/>
  <c r="AA29" i="12"/>
  <c r="AA38" i="12"/>
  <c r="AA59" i="12"/>
  <c r="AA58" i="12"/>
  <c r="AA8" i="12"/>
  <c r="AA3" i="12"/>
  <c r="AA39" i="12"/>
  <c r="AA27" i="12"/>
  <c r="AA55" i="12"/>
  <c r="AA32" i="12"/>
  <c r="AA21" i="12"/>
  <c r="AB23" i="16"/>
  <c r="AA53" i="12"/>
  <c r="AA19" i="12"/>
  <c r="AA43" i="12"/>
  <c r="AA14" i="12"/>
  <c r="AA4" i="12"/>
  <c r="AA26" i="12"/>
  <c r="AA46" i="12"/>
  <c r="AA6" i="12"/>
  <c r="AA7" i="12"/>
  <c r="AA9" i="12"/>
  <c r="AA40" i="12"/>
  <c r="Y26" i="33"/>
  <c r="Y24" i="33"/>
  <c r="Y71" i="33"/>
  <c r="Y40" i="33"/>
  <c r="Y22" i="33"/>
  <c r="Y63" i="33"/>
  <c r="Y29" i="33"/>
  <c r="Y28" i="33"/>
  <c r="Y62" i="33"/>
  <c r="Y56" i="33"/>
  <c r="Y60" i="33"/>
  <c r="Y35" i="33"/>
  <c r="Y55" i="33"/>
  <c r="Y67" i="33"/>
  <c r="Y27" i="33"/>
  <c r="Y52" i="33"/>
  <c r="Y23" i="33"/>
  <c r="Y51" i="33"/>
  <c r="Y50" i="33"/>
  <c r="Y20" i="33"/>
  <c r="Y19" i="33"/>
  <c r="Y47" i="33"/>
  <c r="Y18" i="33"/>
  <c r="Y46" i="33"/>
  <c r="Y36" i="33"/>
  <c r="Y16" i="33"/>
  <c r="Y34" i="33"/>
  <c r="Y61" i="33"/>
  <c r="Y44" i="33"/>
  <c r="Y15" i="33"/>
  <c r="Y64" i="33"/>
  <c r="Y53" i="33"/>
  <c r="Y42" i="33"/>
  <c r="Y32" i="33"/>
  <c r="Y31" i="33"/>
  <c r="Y69" i="33"/>
  <c r="Y66" i="33"/>
  <c r="Y43" i="33"/>
  <c r="Y58" i="33"/>
  <c r="Y49" i="33"/>
  <c r="Y37" i="33"/>
  <c r="Y57" i="33"/>
  <c r="Y39" i="33"/>
  <c r="Y17" i="33"/>
  <c r="Y25" i="33"/>
  <c r="Y70" i="33"/>
  <c r="Y48" i="33"/>
  <c r="Y41" i="33"/>
  <c r="Y68" i="33"/>
  <c r="Y54" i="33"/>
  <c r="Y45" i="33"/>
  <c r="Y38" i="33"/>
  <c r="Y59" i="33"/>
  <c r="Y30" i="33"/>
  <c r="Y33" i="33"/>
  <c r="Y65" i="33"/>
  <c r="Y21" i="33"/>
  <c r="Y14" i="33"/>
  <c r="A3" i="20"/>
  <c r="AQ3" i="20" s="1"/>
  <c r="B3" i="20"/>
  <c r="C3" i="20"/>
  <c r="D3" i="20"/>
  <c r="E3" i="20"/>
  <c r="F3" i="20"/>
  <c r="G3" i="20"/>
  <c r="H3" i="20"/>
  <c r="A4" i="20"/>
  <c r="AQ4" i="20" s="1"/>
  <c r="B4" i="20"/>
  <c r="C4" i="20"/>
  <c r="D4" i="20"/>
  <c r="E4" i="20"/>
  <c r="F4" i="20"/>
  <c r="G4" i="20"/>
  <c r="H4" i="20"/>
  <c r="A5" i="20"/>
  <c r="AQ5" i="20" s="1"/>
  <c r="B5" i="20"/>
  <c r="C5" i="20"/>
  <c r="D5" i="20"/>
  <c r="E5" i="20"/>
  <c r="F5" i="20"/>
  <c r="G5" i="20"/>
  <c r="H5" i="20"/>
  <c r="A6" i="20"/>
  <c r="AQ6" i="20" s="1"/>
  <c r="B6" i="20"/>
  <c r="C6" i="20"/>
  <c r="D6" i="20"/>
  <c r="E6" i="20"/>
  <c r="F6" i="20"/>
  <c r="G6" i="20"/>
  <c r="H6" i="20"/>
  <c r="A7" i="20"/>
  <c r="AQ7" i="20" s="1"/>
  <c r="B7" i="20"/>
  <c r="C7" i="20"/>
  <c r="D7" i="20"/>
  <c r="E7" i="20"/>
  <c r="F7" i="20"/>
  <c r="G7" i="20"/>
  <c r="H7" i="20"/>
  <c r="A8" i="20"/>
  <c r="AQ8" i="20" s="1"/>
  <c r="B8" i="20"/>
  <c r="C8" i="20"/>
  <c r="D8" i="20"/>
  <c r="E8" i="20"/>
  <c r="F8" i="20"/>
  <c r="G8" i="20"/>
  <c r="H8" i="20"/>
  <c r="A9" i="20"/>
  <c r="AQ9" i="20" s="1"/>
  <c r="B9" i="20"/>
  <c r="C9" i="20"/>
  <c r="D9" i="20"/>
  <c r="E9" i="20"/>
  <c r="F9" i="20"/>
  <c r="G9" i="20"/>
  <c r="H9" i="20"/>
  <c r="A10" i="20"/>
  <c r="AQ10" i="20" s="1"/>
  <c r="B10" i="20"/>
  <c r="C10" i="20"/>
  <c r="D10" i="20"/>
  <c r="E10" i="20"/>
  <c r="F10" i="20"/>
  <c r="G10" i="20"/>
  <c r="H10" i="20"/>
  <c r="A11" i="20"/>
  <c r="AQ11" i="20" s="1"/>
  <c r="B11" i="20"/>
  <c r="C11" i="20"/>
  <c r="D11" i="20"/>
  <c r="E11" i="20"/>
  <c r="F11" i="20"/>
  <c r="G11" i="20"/>
  <c r="H11" i="20"/>
  <c r="A12" i="20"/>
  <c r="AQ12" i="20" s="1"/>
  <c r="B12" i="20"/>
  <c r="C12" i="20"/>
  <c r="D12" i="20"/>
  <c r="E12" i="20"/>
  <c r="F12" i="20"/>
  <c r="G12" i="20"/>
  <c r="H12" i="20"/>
  <c r="A13" i="20"/>
  <c r="AQ13" i="20" s="1"/>
  <c r="B13" i="20"/>
  <c r="C13" i="20"/>
  <c r="D13" i="20"/>
  <c r="E13" i="20"/>
  <c r="F13" i="20"/>
  <c r="G13" i="20"/>
  <c r="H13" i="20"/>
  <c r="A14" i="20"/>
  <c r="AQ14" i="20" s="1"/>
  <c r="B14" i="20"/>
  <c r="C14" i="20"/>
  <c r="D14" i="20"/>
  <c r="E14" i="20"/>
  <c r="F14" i="20"/>
  <c r="G14" i="20"/>
  <c r="H14" i="20"/>
  <c r="A15" i="20"/>
  <c r="AQ15" i="20" s="1"/>
  <c r="B15" i="20"/>
  <c r="C15" i="20"/>
  <c r="D15" i="20"/>
  <c r="E15" i="20"/>
  <c r="F15" i="20"/>
  <c r="G15" i="20"/>
  <c r="H15" i="20"/>
  <c r="A16" i="20"/>
  <c r="AQ16" i="20" s="1"/>
  <c r="B16" i="20"/>
  <c r="C16" i="20"/>
  <c r="D16" i="20"/>
  <c r="E16" i="20"/>
  <c r="F16" i="20"/>
  <c r="G16" i="20"/>
  <c r="H16" i="20"/>
  <c r="A17" i="20"/>
  <c r="AQ17" i="20" s="1"/>
  <c r="B17" i="20"/>
  <c r="C17" i="20"/>
  <c r="D17" i="20"/>
  <c r="E17" i="20"/>
  <c r="F17" i="20"/>
  <c r="G17" i="20"/>
  <c r="H17" i="20"/>
  <c r="A18" i="20"/>
  <c r="AQ18" i="20" s="1"/>
  <c r="B18" i="20"/>
  <c r="C18" i="20"/>
  <c r="D18" i="20"/>
  <c r="E18" i="20"/>
  <c r="F18" i="20"/>
  <c r="G18" i="20"/>
  <c r="H18" i="20"/>
  <c r="A19" i="20"/>
  <c r="AQ19" i="20" s="1"/>
  <c r="B19" i="20"/>
  <c r="C19" i="20"/>
  <c r="D19" i="20"/>
  <c r="E19" i="20"/>
  <c r="F19" i="20"/>
  <c r="G19" i="20"/>
  <c r="H19" i="20"/>
  <c r="A20" i="20"/>
  <c r="AQ20" i="20" s="1"/>
  <c r="B20" i="20"/>
  <c r="C20" i="20"/>
  <c r="D20" i="20"/>
  <c r="E20" i="20"/>
  <c r="F20" i="20"/>
  <c r="G20" i="20"/>
  <c r="H20" i="20"/>
  <c r="A21" i="20"/>
  <c r="AQ21" i="20" s="1"/>
  <c r="B21" i="20"/>
  <c r="C21" i="20"/>
  <c r="D21" i="20"/>
  <c r="E21" i="20"/>
  <c r="F21" i="20"/>
  <c r="G21" i="20"/>
  <c r="H21" i="20"/>
  <c r="A23" i="20"/>
  <c r="AQ23" i="20" s="1"/>
  <c r="B23" i="20"/>
  <c r="C23" i="20"/>
  <c r="D23" i="20"/>
  <c r="E23" i="20"/>
  <c r="F23" i="20"/>
  <c r="G23" i="20"/>
  <c r="H23" i="20"/>
  <c r="A24" i="20"/>
  <c r="AQ24" i="20" s="1"/>
  <c r="B24" i="20"/>
  <c r="C24" i="20"/>
  <c r="D24" i="20"/>
  <c r="E24" i="20"/>
  <c r="F24" i="20"/>
  <c r="G24" i="20"/>
  <c r="H24" i="20"/>
  <c r="A25" i="20"/>
  <c r="AQ25" i="20" s="1"/>
  <c r="B25" i="20"/>
  <c r="C25" i="20"/>
  <c r="D25" i="20"/>
  <c r="E25" i="20"/>
  <c r="F25" i="20"/>
  <c r="G25" i="20"/>
  <c r="H25" i="20"/>
  <c r="A26" i="20"/>
  <c r="AQ26" i="20" s="1"/>
  <c r="B26" i="20"/>
  <c r="C26" i="20"/>
  <c r="D26" i="20"/>
  <c r="E26" i="20"/>
  <c r="F26" i="20"/>
  <c r="G26" i="20"/>
  <c r="H26" i="20"/>
  <c r="A27" i="20"/>
  <c r="AQ27" i="20" s="1"/>
  <c r="B27" i="20"/>
  <c r="C27" i="20"/>
  <c r="D27" i="20"/>
  <c r="E27" i="20"/>
  <c r="F27" i="20"/>
  <c r="G27" i="20"/>
  <c r="H27" i="20"/>
  <c r="A28" i="20"/>
  <c r="AQ28" i="20" s="1"/>
  <c r="B28" i="20"/>
  <c r="C28" i="20"/>
  <c r="D28" i="20"/>
  <c r="E28" i="20"/>
  <c r="F28" i="20"/>
  <c r="G28" i="20"/>
  <c r="H28" i="20"/>
  <c r="A29" i="20"/>
  <c r="AQ29" i="20" s="1"/>
  <c r="B29" i="20"/>
  <c r="C29" i="20"/>
  <c r="D29" i="20"/>
  <c r="E29" i="20"/>
  <c r="F29" i="20"/>
  <c r="G29" i="20"/>
  <c r="H29" i="20"/>
  <c r="A30" i="20"/>
  <c r="AQ30" i="20" s="1"/>
  <c r="B30" i="20"/>
  <c r="C30" i="20"/>
  <c r="D30" i="20"/>
  <c r="E30" i="20"/>
  <c r="F30" i="20"/>
  <c r="G30" i="20"/>
  <c r="H30" i="20"/>
  <c r="A31" i="20"/>
  <c r="AQ31" i="20" s="1"/>
  <c r="B31" i="20"/>
  <c r="C31" i="20"/>
  <c r="D31" i="20"/>
  <c r="E31" i="20"/>
  <c r="F31" i="20"/>
  <c r="G31" i="20"/>
  <c r="H31" i="20"/>
  <c r="A32" i="20"/>
  <c r="AQ32" i="20" s="1"/>
  <c r="B32" i="20"/>
  <c r="C32" i="20"/>
  <c r="D32" i="20"/>
  <c r="E32" i="20"/>
  <c r="F32" i="20"/>
  <c r="G32" i="20"/>
  <c r="H32" i="20"/>
  <c r="A33" i="20"/>
  <c r="AQ33" i="20" s="1"/>
  <c r="B33" i="20"/>
  <c r="C33" i="20"/>
  <c r="D33" i="20"/>
  <c r="E33" i="20"/>
  <c r="F33" i="20"/>
  <c r="G33" i="20"/>
  <c r="H33" i="20"/>
  <c r="A34" i="20"/>
  <c r="AQ34" i="20" s="1"/>
  <c r="B34" i="20"/>
  <c r="C34" i="20"/>
  <c r="D34" i="20"/>
  <c r="E34" i="20"/>
  <c r="F34" i="20"/>
  <c r="G34" i="20"/>
  <c r="H34" i="20"/>
  <c r="A35" i="20"/>
  <c r="AQ35" i="20" s="1"/>
  <c r="B35" i="20"/>
  <c r="C35" i="20"/>
  <c r="D35" i="20"/>
  <c r="E35" i="20"/>
  <c r="F35" i="20"/>
  <c r="G35" i="20"/>
  <c r="H35" i="20"/>
  <c r="A36" i="20"/>
  <c r="AQ36" i="20" s="1"/>
  <c r="B36" i="20"/>
  <c r="C36" i="20"/>
  <c r="D36" i="20"/>
  <c r="E36" i="20"/>
  <c r="F36" i="20"/>
  <c r="G36" i="20"/>
  <c r="H36" i="20"/>
  <c r="A37" i="20"/>
  <c r="AQ37" i="20" s="1"/>
  <c r="B37" i="20"/>
  <c r="C37" i="20"/>
  <c r="D37" i="20"/>
  <c r="E37" i="20"/>
  <c r="F37" i="20"/>
  <c r="G37" i="20"/>
  <c r="H37" i="20"/>
  <c r="A38" i="20"/>
  <c r="AQ38" i="20" s="1"/>
  <c r="B38" i="20"/>
  <c r="C38" i="20"/>
  <c r="D38" i="20"/>
  <c r="E38" i="20"/>
  <c r="F38" i="20"/>
  <c r="G38" i="20"/>
  <c r="H38" i="20"/>
  <c r="A40" i="20"/>
  <c r="AQ40" i="20" s="1"/>
  <c r="B40" i="20"/>
  <c r="C40" i="20"/>
  <c r="D40" i="20"/>
  <c r="E40" i="20"/>
  <c r="F40" i="20"/>
  <c r="G40" i="20"/>
  <c r="H40" i="20"/>
  <c r="A41" i="20"/>
  <c r="AQ41" i="20" s="1"/>
  <c r="B41" i="20"/>
  <c r="C41" i="20"/>
  <c r="D41" i="20"/>
  <c r="E41" i="20"/>
  <c r="F41" i="20"/>
  <c r="G41" i="20"/>
  <c r="H41" i="20"/>
  <c r="A42" i="20"/>
  <c r="AQ42" i="20" s="1"/>
  <c r="B42" i="20"/>
  <c r="C42" i="20"/>
  <c r="D42" i="20"/>
  <c r="E42" i="20"/>
  <c r="F42" i="20"/>
  <c r="G42" i="20"/>
  <c r="H42" i="20"/>
  <c r="A43" i="20"/>
  <c r="AQ43" i="20" s="1"/>
  <c r="B43" i="20"/>
  <c r="C43" i="20"/>
  <c r="D43" i="20"/>
  <c r="E43" i="20"/>
  <c r="F43" i="20"/>
  <c r="G43" i="20"/>
  <c r="H43" i="20"/>
  <c r="A44" i="20"/>
  <c r="AQ44" i="20" s="1"/>
  <c r="B44" i="20"/>
  <c r="C44" i="20"/>
  <c r="D44" i="20"/>
  <c r="E44" i="20"/>
  <c r="F44" i="20"/>
  <c r="G44" i="20"/>
  <c r="H44" i="20"/>
  <c r="A45" i="20"/>
  <c r="AQ45" i="20" s="1"/>
  <c r="B45" i="20"/>
  <c r="C45" i="20"/>
  <c r="D45" i="20"/>
  <c r="E45" i="20"/>
  <c r="F45" i="20"/>
  <c r="G45" i="20"/>
  <c r="H45" i="20"/>
  <c r="A46" i="20"/>
  <c r="AQ46" i="20" s="1"/>
  <c r="B46" i="20"/>
  <c r="C46" i="20"/>
  <c r="D46" i="20"/>
  <c r="E46" i="20"/>
  <c r="F46" i="20"/>
  <c r="G46" i="20"/>
  <c r="H46" i="20"/>
  <c r="A47" i="20"/>
  <c r="AQ47" i="20" s="1"/>
  <c r="B47" i="20"/>
  <c r="C47" i="20"/>
  <c r="D47" i="20"/>
  <c r="E47" i="20"/>
  <c r="F47" i="20"/>
  <c r="G47" i="20"/>
  <c r="H47" i="20"/>
  <c r="A48" i="20"/>
  <c r="AQ48" i="20" s="1"/>
  <c r="B48" i="20"/>
  <c r="C48" i="20"/>
  <c r="D48" i="20"/>
  <c r="E48" i="20"/>
  <c r="F48" i="20"/>
  <c r="G48" i="20"/>
  <c r="H48" i="20"/>
  <c r="A49" i="20"/>
  <c r="AQ49" i="20" s="1"/>
  <c r="B49" i="20"/>
  <c r="C49" i="20"/>
  <c r="D49" i="20"/>
  <c r="E49" i="20"/>
  <c r="F49" i="20"/>
  <c r="G49" i="20"/>
  <c r="H49" i="20"/>
  <c r="A50" i="20"/>
  <c r="AQ50" i="20" s="1"/>
  <c r="B50" i="20"/>
  <c r="C50" i="20"/>
  <c r="D50" i="20"/>
  <c r="E50" i="20"/>
  <c r="F50" i="20"/>
  <c r="G50" i="20"/>
  <c r="H50" i="20"/>
  <c r="A51" i="20"/>
  <c r="AQ51" i="20" s="1"/>
  <c r="B51" i="20"/>
  <c r="C51" i="20"/>
  <c r="D51" i="20"/>
  <c r="E51" i="20"/>
  <c r="F51" i="20"/>
  <c r="G51" i="20"/>
  <c r="H51" i="20"/>
  <c r="A53" i="20"/>
  <c r="AQ53" i="20" s="1"/>
  <c r="B53" i="20"/>
  <c r="C53" i="20"/>
  <c r="D53" i="20"/>
  <c r="E53" i="20"/>
  <c r="F53" i="20"/>
  <c r="G53" i="20"/>
  <c r="H53" i="20"/>
  <c r="A54" i="20"/>
  <c r="AQ54" i="20" s="1"/>
  <c r="B54" i="20"/>
  <c r="C54" i="20"/>
  <c r="D54" i="20"/>
  <c r="E54" i="20"/>
  <c r="F54" i="20"/>
  <c r="G54" i="20"/>
  <c r="H54" i="20"/>
  <c r="F2" i="19"/>
  <c r="N3" i="19"/>
  <c r="O3" i="19"/>
  <c r="P3" i="19"/>
  <c r="Q3" i="19"/>
  <c r="R3" i="19"/>
  <c r="S3" i="19"/>
  <c r="S2" i="19"/>
  <c r="B3" i="19"/>
  <c r="C3" i="19"/>
  <c r="D3" i="19"/>
  <c r="E3" i="19"/>
  <c r="F3" i="19"/>
  <c r="G3" i="19"/>
  <c r="K3" i="19"/>
  <c r="Z468" i="2"/>
  <c r="AE468" i="2"/>
  <c r="X393" i="33" a="1"/>
  <c r="X393" i="33" s="1"/>
  <c r="W393" i="33" a="1"/>
  <c r="W393" i="33" s="1"/>
  <c r="V393" i="33" a="1"/>
  <c r="V393" i="33" s="1"/>
  <c r="AA393" i="33"/>
  <c r="Z401" i="2"/>
  <c r="AJ401" i="2" s="1"/>
  <c r="E3" i="14"/>
  <c r="E2" i="14"/>
  <c r="E3" i="15"/>
  <c r="E2" i="15"/>
  <c r="D361" i="6"/>
  <c r="S3" i="14"/>
  <c r="S2" i="14"/>
  <c r="K3" i="14"/>
  <c r="B3" i="14"/>
  <c r="C3" i="14"/>
  <c r="D3" i="14"/>
  <c r="F3" i="14"/>
  <c r="G3" i="14"/>
  <c r="A3" i="14"/>
  <c r="F2" i="15"/>
  <c r="G2" i="15"/>
  <c r="H2" i="15"/>
  <c r="L2" i="15"/>
  <c r="O2" i="15"/>
  <c r="P2" i="15"/>
  <c r="Q2" i="15"/>
  <c r="R2" i="15"/>
  <c r="S2" i="15"/>
  <c r="F3" i="15"/>
  <c r="G3" i="15"/>
  <c r="H3" i="15"/>
  <c r="L3" i="15"/>
  <c r="O3" i="15"/>
  <c r="P3" i="15"/>
  <c r="Q3" i="15"/>
  <c r="R3" i="15"/>
  <c r="S3" i="15"/>
  <c r="A3" i="15"/>
  <c r="F2" i="8"/>
  <c r="G2" i="8"/>
  <c r="H2" i="8"/>
  <c r="I2" i="8"/>
  <c r="M2" i="8"/>
  <c r="P2" i="8"/>
  <c r="Q2" i="8"/>
  <c r="R2" i="8"/>
  <c r="S2" i="8"/>
  <c r="T2" i="8"/>
  <c r="U2" i="8"/>
  <c r="AJ2" i="8"/>
  <c r="F3" i="8"/>
  <c r="G3" i="8"/>
  <c r="H3" i="8"/>
  <c r="I3" i="8"/>
  <c r="P3" i="8"/>
  <c r="Q3" i="8"/>
  <c r="R3" i="8"/>
  <c r="S3" i="8"/>
  <c r="T3" i="8"/>
  <c r="U3" i="8"/>
  <c r="E3" i="8"/>
  <c r="E2" i="8"/>
  <c r="A3" i="8"/>
  <c r="AK3" i="8" s="1" a="1"/>
  <c r="AK3" i="8" s="1"/>
  <c r="G375" i="2"/>
  <c r="H375" i="2"/>
  <c r="I375" i="2"/>
  <c r="AL369" i="6"/>
  <c r="AK369" i="6"/>
  <c r="AJ369" i="6"/>
  <c r="W335" i="33" a="1"/>
  <c r="W335" i="33" s="1"/>
  <c r="X335" i="33" a="1"/>
  <c r="X335" i="33" s="1"/>
  <c r="F276" i="2"/>
  <c r="AE284" i="2"/>
  <c r="AO284" i="2" s="1"/>
  <c r="E276" i="2"/>
  <c r="R41" i="28" l="1"/>
  <c r="AJ468" i="2"/>
  <c r="AO468" i="2"/>
  <c r="Y335" i="33"/>
  <c r="AK54" i="20" a="1"/>
  <c r="AK54" i="20" s="1"/>
  <c r="AC54" i="20" a="1"/>
  <c r="AC54" i="20" s="1"/>
  <c r="AJ54" i="20" a="1"/>
  <c r="AJ54" i="20" s="1"/>
  <c r="AL54" i="20" a="1"/>
  <c r="AL54" i="20" s="1"/>
  <c r="AM54" i="20" a="1"/>
  <c r="AM54" i="20" s="1"/>
  <c r="AN54" i="20" a="1"/>
  <c r="AN54" i="20" s="1"/>
  <c r="AO54" i="20" a="1"/>
  <c r="AO54" i="20" s="1"/>
  <c r="AG54" i="20" a="1"/>
  <c r="AG54" i="20" s="1"/>
  <c r="AD54" i="20" a="1"/>
  <c r="AD54" i="20" s="1"/>
  <c r="AE54" i="20" a="1"/>
  <c r="AE54" i="20" s="1"/>
  <c r="AF54" i="20" a="1"/>
  <c r="AF54" i="20" s="1"/>
  <c r="AH54" i="20" a="1"/>
  <c r="AH54" i="20" s="1"/>
  <c r="AG28" i="20" a="1"/>
  <c r="AG28" i="20" s="1"/>
  <c r="AH28" i="20" a="1"/>
  <c r="AH28" i="20" s="1"/>
  <c r="AO28" i="20" a="1"/>
  <c r="AO28" i="20" s="1"/>
  <c r="AC28" i="20" a="1"/>
  <c r="AC28" i="20" s="1"/>
  <c r="AF28" i="20" a="1"/>
  <c r="AF28" i="20" s="1"/>
  <c r="AJ28" i="20" a="1"/>
  <c r="AJ28" i="20" s="1"/>
  <c r="AK28" i="20" a="1"/>
  <c r="AK28" i="20" s="1"/>
  <c r="AL28" i="20" a="1"/>
  <c r="AL28" i="20" s="1"/>
  <c r="AN28" i="20" a="1"/>
  <c r="AN28" i="20" s="1"/>
  <c r="AM28" i="20" a="1"/>
  <c r="AM28" i="20" s="1"/>
  <c r="AD28" i="20" a="1"/>
  <c r="AD28" i="20" s="1"/>
  <c r="AE28" i="20" a="1"/>
  <c r="AE28" i="20" s="1"/>
  <c r="AO34" i="20" a="1"/>
  <c r="AO34" i="20" s="1"/>
  <c r="AF34" i="20" a="1"/>
  <c r="AF34" i="20" s="1"/>
  <c r="AK34" i="20" a="1"/>
  <c r="AK34" i="20" s="1"/>
  <c r="AM34" i="20" a="1"/>
  <c r="AM34" i="20" s="1"/>
  <c r="AH34" i="20" a="1"/>
  <c r="AH34" i="20" s="1"/>
  <c r="AL34" i="20" a="1"/>
  <c r="AL34" i="20" s="1"/>
  <c r="AJ34" i="20" a="1"/>
  <c r="AJ34" i="20" s="1"/>
  <c r="AN34" i="20" a="1"/>
  <c r="AN34" i="20" s="1"/>
  <c r="AD34" i="20" a="1"/>
  <c r="AD34" i="20" s="1"/>
  <c r="AC34" i="20" a="1"/>
  <c r="AC34" i="20" s="1"/>
  <c r="AE34" i="20" a="1"/>
  <c r="AE34" i="20" s="1"/>
  <c r="AG34" i="20" a="1"/>
  <c r="AG34" i="20" s="1"/>
  <c r="AE9" i="20" a="1"/>
  <c r="AE9" i="20" s="1"/>
  <c r="AL9" i="20" a="1"/>
  <c r="AL9" i="20" s="1"/>
  <c r="AM9" i="20" a="1"/>
  <c r="AM9" i="20" s="1"/>
  <c r="AN9" i="20" a="1"/>
  <c r="AN9" i="20" s="1"/>
  <c r="AO9" i="20" a="1"/>
  <c r="AO9" i="20" s="1"/>
  <c r="AH9" i="20" a="1"/>
  <c r="AH9" i="20" s="1"/>
  <c r="AC9" i="20" a="1"/>
  <c r="AC9" i="20" s="1"/>
  <c r="AD9" i="20" a="1"/>
  <c r="AD9" i="20" s="1"/>
  <c r="AJ9" i="20" a="1"/>
  <c r="AJ9" i="20" s="1"/>
  <c r="AG9" i="20" a="1"/>
  <c r="AG9" i="20" s="1"/>
  <c r="AK9" i="20" a="1"/>
  <c r="AK9" i="20" s="1"/>
  <c r="AF9" i="20" a="1"/>
  <c r="AF9" i="20" s="1"/>
  <c r="AF13" i="20" a="1"/>
  <c r="AF13" i="20" s="1"/>
  <c r="AJ13" i="20" a="1"/>
  <c r="AJ13" i="20" s="1"/>
  <c r="AG13" i="20" a="1"/>
  <c r="AG13" i="20" s="1"/>
  <c r="AL13" i="20" a="1"/>
  <c r="AL13" i="20" s="1"/>
  <c r="AM13" i="20" a="1"/>
  <c r="AM13" i="20" s="1"/>
  <c r="AN13" i="20" a="1"/>
  <c r="AN13" i="20" s="1"/>
  <c r="AO13" i="20" a="1"/>
  <c r="AO13" i="20" s="1"/>
  <c r="AK13" i="20" a="1"/>
  <c r="AK13" i="20" s="1"/>
  <c r="AC13" i="20" a="1"/>
  <c r="AC13" i="20" s="1"/>
  <c r="AD13" i="20" a="1"/>
  <c r="AD13" i="20" s="1"/>
  <c r="AH13" i="20" a="1"/>
  <c r="AH13" i="20" s="1"/>
  <c r="AE13" i="20" a="1"/>
  <c r="AE13" i="20" s="1"/>
  <c r="AD46" i="20" a="1"/>
  <c r="AD46" i="20" s="1"/>
  <c r="AJ46" i="20" a="1"/>
  <c r="AJ46" i="20" s="1"/>
  <c r="AF46" i="20" a="1"/>
  <c r="AF46" i="20" s="1"/>
  <c r="AE46" i="20" a="1"/>
  <c r="AE46" i="20" s="1"/>
  <c r="AC46" i="20" a="1"/>
  <c r="AC46" i="20" s="1"/>
  <c r="AK46" i="20" a="1"/>
  <c r="AK46" i="20" s="1"/>
  <c r="AL46" i="20" a="1"/>
  <c r="AL46" i="20" s="1"/>
  <c r="AM46" i="20" a="1"/>
  <c r="AM46" i="20" s="1"/>
  <c r="AG46" i="20" a="1"/>
  <c r="AG46" i="20" s="1"/>
  <c r="AH46" i="20" a="1"/>
  <c r="AH46" i="20" s="1"/>
  <c r="AN46" i="20" a="1"/>
  <c r="AN46" i="20" s="1"/>
  <c r="AO46" i="20" a="1"/>
  <c r="AO46" i="20" s="1"/>
  <c r="AN20" i="20" a="1"/>
  <c r="AN20" i="20" s="1"/>
  <c r="AO20" i="20" a="1"/>
  <c r="AO20" i="20" s="1"/>
  <c r="AG20" i="20" a="1"/>
  <c r="AG20" i="20" s="1"/>
  <c r="AM20" i="20" a="1"/>
  <c r="AM20" i="20" s="1"/>
  <c r="AD20" i="20" a="1"/>
  <c r="AD20" i="20" s="1"/>
  <c r="AH20" i="20" a="1"/>
  <c r="AH20" i="20" s="1"/>
  <c r="AE20" i="20" a="1"/>
  <c r="AE20" i="20" s="1"/>
  <c r="AF20" i="20" a="1"/>
  <c r="AF20" i="20" s="1"/>
  <c r="AL20" i="20" a="1"/>
  <c r="AL20" i="20" s="1"/>
  <c r="AK20" i="20" a="1"/>
  <c r="AK20" i="20" s="1"/>
  <c r="AJ20" i="20" a="1"/>
  <c r="AJ20" i="20" s="1"/>
  <c r="AC20" i="20" a="1"/>
  <c r="AC20" i="20" s="1"/>
  <c r="AC42" i="20" a="1"/>
  <c r="AC42" i="20" s="1"/>
  <c r="AD42" i="20" a="1"/>
  <c r="AD42" i="20" s="1"/>
  <c r="AE42" i="20" a="1"/>
  <c r="AE42" i="20" s="1"/>
  <c r="AJ42" i="20" a="1"/>
  <c r="AJ42" i="20" s="1"/>
  <c r="AO42" i="20" a="1"/>
  <c r="AO42" i="20" s="1"/>
  <c r="AH42" i="20" a="1"/>
  <c r="AH42" i="20" s="1"/>
  <c r="AL42" i="20" a="1"/>
  <c r="AL42" i="20" s="1"/>
  <c r="AM42" i="20" a="1"/>
  <c r="AM42" i="20" s="1"/>
  <c r="AN42" i="20" a="1"/>
  <c r="AN42" i="20" s="1"/>
  <c r="AK42" i="20" a="1"/>
  <c r="AK42" i="20" s="1"/>
  <c r="AF42" i="20" a="1"/>
  <c r="AF42" i="20" s="1"/>
  <c r="AG42" i="20" a="1"/>
  <c r="AG42" i="20" s="1"/>
  <c r="AE16" i="20" a="1"/>
  <c r="AE16" i="20" s="1"/>
  <c r="AF16" i="20" a="1"/>
  <c r="AF16" i="20" s="1"/>
  <c r="AO16" i="20" a="1"/>
  <c r="AO16" i="20" s="1"/>
  <c r="AD16" i="20" a="1"/>
  <c r="AD16" i="20" s="1"/>
  <c r="AK16" i="20" a="1"/>
  <c r="AK16" i="20" s="1"/>
  <c r="AC16" i="20" a="1"/>
  <c r="AC16" i="20" s="1"/>
  <c r="AG16" i="20" a="1"/>
  <c r="AG16" i="20" s="1"/>
  <c r="AJ16" i="20" a="1"/>
  <c r="AJ16" i="20" s="1"/>
  <c r="AM16" i="20" a="1"/>
  <c r="AM16" i="20" s="1"/>
  <c r="AL16" i="20" a="1"/>
  <c r="AL16" i="20" s="1"/>
  <c r="AN16" i="20" a="1"/>
  <c r="AN16" i="20" s="1"/>
  <c r="AH16" i="20" a="1"/>
  <c r="AH16" i="20" s="1"/>
  <c r="AK49" i="20" a="1"/>
  <c r="AK49" i="20" s="1"/>
  <c r="AL49" i="20" a="1"/>
  <c r="AL49" i="20" s="1"/>
  <c r="AM49" i="20" a="1"/>
  <c r="AM49" i="20" s="1"/>
  <c r="AH49" i="20" a="1"/>
  <c r="AH49" i="20" s="1"/>
  <c r="AC49" i="20" a="1"/>
  <c r="AC49" i="20" s="1"/>
  <c r="AN49" i="20" a="1"/>
  <c r="AN49" i="20" s="1"/>
  <c r="AE49" i="20" a="1"/>
  <c r="AE49" i="20" s="1"/>
  <c r="AF49" i="20" a="1"/>
  <c r="AF49" i="20" s="1"/>
  <c r="AJ49" i="20" a="1"/>
  <c r="AJ49" i="20" s="1"/>
  <c r="AO49" i="20" a="1"/>
  <c r="AO49" i="20" s="1"/>
  <c r="AD49" i="20" a="1"/>
  <c r="AD49" i="20" s="1"/>
  <c r="AG49" i="20" a="1"/>
  <c r="AG49" i="20" s="1"/>
  <c r="AL24" i="20" a="1"/>
  <c r="AL24" i="20" s="1"/>
  <c r="AM24" i="20" a="1"/>
  <c r="AM24" i="20" s="1"/>
  <c r="AO24" i="20" a="1"/>
  <c r="AO24" i="20" s="1"/>
  <c r="AN24" i="20" a="1"/>
  <c r="AN24" i="20" s="1"/>
  <c r="AF24" i="20" a="1"/>
  <c r="AF24" i="20" s="1"/>
  <c r="AH24" i="20" a="1"/>
  <c r="AH24" i="20" s="1"/>
  <c r="AJ24" i="20" a="1"/>
  <c r="AJ24" i="20" s="1"/>
  <c r="AK24" i="20" a="1"/>
  <c r="AK24" i="20" s="1"/>
  <c r="AD24" i="20" a="1"/>
  <c r="AD24" i="20" s="1"/>
  <c r="AE24" i="20" a="1"/>
  <c r="AE24" i="20" s="1"/>
  <c r="AG24" i="20" a="1"/>
  <c r="AG24" i="20" s="1"/>
  <c r="AC24" i="20" a="1"/>
  <c r="AC24" i="20" s="1"/>
  <c r="AE31" i="20" a="1"/>
  <c r="AE31" i="20" s="1"/>
  <c r="AG31" i="20" a="1"/>
  <c r="AG31" i="20" s="1"/>
  <c r="AF31" i="20" a="1"/>
  <c r="AF31" i="20" s="1"/>
  <c r="AN31" i="20" a="1"/>
  <c r="AN31" i="20" s="1"/>
  <c r="AM31" i="20" a="1"/>
  <c r="AM31" i="20" s="1"/>
  <c r="AH31" i="20" a="1"/>
  <c r="AH31" i="20" s="1"/>
  <c r="AK31" i="20" a="1"/>
  <c r="AK31" i="20" s="1"/>
  <c r="AO31" i="20" a="1"/>
  <c r="AO31" i="20" s="1"/>
  <c r="AL31" i="20" a="1"/>
  <c r="AL31" i="20" s="1"/>
  <c r="AJ31" i="20" a="1"/>
  <c r="AJ31" i="20" s="1"/>
  <c r="AC31" i="20" a="1"/>
  <c r="AC31" i="20" s="1"/>
  <c r="AD31" i="20" a="1"/>
  <c r="AD31" i="20" s="1"/>
  <c r="AJ5" i="20" a="1"/>
  <c r="AJ5" i="20" s="1"/>
  <c r="AD5" i="20" a="1"/>
  <c r="AD5" i="20" s="1"/>
  <c r="AE5" i="20" a="1"/>
  <c r="AE5" i="20" s="1"/>
  <c r="AC5" i="20" a="1"/>
  <c r="AC5" i="20" s="1"/>
  <c r="AO5" i="20" a="1"/>
  <c r="AO5" i="20" s="1"/>
  <c r="AH5" i="20" a="1"/>
  <c r="AH5" i="20" s="1"/>
  <c r="AF5" i="20" a="1"/>
  <c r="AF5" i="20" s="1"/>
  <c r="AG5" i="20" a="1"/>
  <c r="AG5" i="20" s="1"/>
  <c r="AM5" i="20" a="1"/>
  <c r="AM5" i="20" s="1"/>
  <c r="AN5" i="20" a="1"/>
  <c r="AN5" i="20" s="1"/>
  <c r="AK5" i="20" a="1"/>
  <c r="AK5" i="20" s="1"/>
  <c r="AL5" i="20" a="1"/>
  <c r="AL5" i="20" s="1"/>
  <c r="AJ50" i="20" a="1"/>
  <c r="AJ50" i="20" s="1"/>
  <c r="AC50" i="20" a="1"/>
  <c r="AC50" i="20" s="1"/>
  <c r="AE50" i="20" a="1"/>
  <c r="AE50" i="20" s="1"/>
  <c r="AL50" i="20" a="1"/>
  <c r="AL50" i="20" s="1"/>
  <c r="AK50" i="20" a="1"/>
  <c r="AK50" i="20" s="1"/>
  <c r="AD50" i="20" a="1"/>
  <c r="AD50" i="20" s="1"/>
  <c r="AH50" i="20" a="1"/>
  <c r="AH50" i="20" s="1"/>
  <c r="AN50" i="20" a="1"/>
  <c r="AN50" i="20" s="1"/>
  <c r="AF50" i="20" a="1"/>
  <c r="AF50" i="20" s="1"/>
  <c r="AO50" i="20" a="1"/>
  <c r="AO50" i="20" s="1"/>
  <c r="AG50" i="20" a="1"/>
  <c r="AG50" i="20" s="1"/>
  <c r="AM50" i="20" a="1"/>
  <c r="AM50" i="20" s="1"/>
  <c r="AH25" i="20" a="1"/>
  <c r="AH25" i="20" s="1"/>
  <c r="AD25" i="20" a="1"/>
  <c r="AD25" i="20" s="1"/>
  <c r="AM25" i="20" a="1"/>
  <c r="AM25" i="20" s="1"/>
  <c r="AN25" i="20" a="1"/>
  <c r="AN25" i="20" s="1"/>
  <c r="AO25" i="20" a="1"/>
  <c r="AO25" i="20" s="1"/>
  <c r="AF25" i="20" a="1"/>
  <c r="AF25" i="20" s="1"/>
  <c r="AJ25" i="20" a="1"/>
  <c r="AJ25" i="20" s="1"/>
  <c r="AK25" i="20" a="1"/>
  <c r="AK25" i="20" s="1"/>
  <c r="AE25" i="20" a="1"/>
  <c r="AE25" i="20" s="1"/>
  <c r="AC25" i="20" a="1"/>
  <c r="AC25" i="20" s="1"/>
  <c r="AG25" i="20" a="1"/>
  <c r="AG25" i="20" s="1"/>
  <c r="AL25" i="20" a="1"/>
  <c r="AL25" i="20" s="1"/>
  <c r="AK6" i="20" a="1"/>
  <c r="AK6" i="20" s="1"/>
  <c r="AF6" i="20" a="1"/>
  <c r="AF6" i="20" s="1"/>
  <c r="AD6" i="20" a="1"/>
  <c r="AD6" i="20" s="1"/>
  <c r="AJ6" i="20" a="1"/>
  <c r="AJ6" i="20" s="1"/>
  <c r="AE6" i="20" a="1"/>
  <c r="AE6" i="20" s="1"/>
  <c r="AG6" i="20" a="1"/>
  <c r="AG6" i="20" s="1"/>
  <c r="AL6" i="20" a="1"/>
  <c r="AL6" i="20" s="1"/>
  <c r="AC6" i="20" a="1"/>
  <c r="AC6" i="20" s="1"/>
  <c r="AN6" i="20" a="1"/>
  <c r="AN6" i="20" s="1"/>
  <c r="AO6" i="20" a="1"/>
  <c r="AO6" i="20" s="1"/>
  <c r="AM6" i="20" a="1"/>
  <c r="AM6" i="20" s="1"/>
  <c r="AH6" i="20" a="1"/>
  <c r="AH6" i="20" s="1"/>
  <c r="AE38" i="20" a="1"/>
  <c r="AE38" i="20" s="1"/>
  <c r="AJ38" i="20" a="1"/>
  <c r="AJ38" i="20" s="1"/>
  <c r="AG38" i="20" a="1"/>
  <c r="AG38" i="20" s="1"/>
  <c r="AF38" i="20" a="1"/>
  <c r="AF38" i="20" s="1"/>
  <c r="AD38" i="20" a="1"/>
  <c r="AD38" i="20" s="1"/>
  <c r="AN38" i="20" a="1"/>
  <c r="AN38" i="20" s="1"/>
  <c r="AO38" i="20" a="1"/>
  <c r="AO38" i="20" s="1"/>
  <c r="AC38" i="20" a="1"/>
  <c r="AC38" i="20" s="1"/>
  <c r="AK38" i="20" a="1"/>
  <c r="AK38" i="20" s="1"/>
  <c r="AL38" i="20" a="1"/>
  <c r="AL38" i="20" s="1"/>
  <c r="AM38" i="20" a="1"/>
  <c r="AM38" i="20" s="1"/>
  <c r="AH38" i="20" a="1"/>
  <c r="AH38" i="20" s="1"/>
  <c r="AN37" i="20" a="1"/>
  <c r="AN37" i="20" s="1"/>
  <c r="AO37" i="20" a="1"/>
  <c r="AO37" i="20" s="1"/>
  <c r="AD37" i="20" a="1"/>
  <c r="AD37" i="20" s="1"/>
  <c r="AG37" i="20" a="1"/>
  <c r="AG37" i="20" s="1"/>
  <c r="AJ37" i="20" a="1"/>
  <c r="AJ37" i="20" s="1"/>
  <c r="AH37" i="20" a="1"/>
  <c r="AH37" i="20" s="1"/>
  <c r="AK37" i="20" a="1"/>
  <c r="AK37" i="20" s="1"/>
  <c r="AL37" i="20" a="1"/>
  <c r="AL37" i="20" s="1"/>
  <c r="AM37" i="20" a="1"/>
  <c r="AM37" i="20" s="1"/>
  <c r="AC37" i="20" a="1"/>
  <c r="AC37" i="20" s="1"/>
  <c r="AE37" i="20" a="1"/>
  <c r="AE37" i="20" s="1"/>
  <c r="AF37" i="20" a="1"/>
  <c r="AF37" i="20" s="1"/>
  <c r="AN12" i="20" a="1"/>
  <c r="AN12" i="20" s="1"/>
  <c r="AO12" i="20" a="1"/>
  <c r="AO12" i="20" s="1"/>
  <c r="AD12" i="20" a="1"/>
  <c r="AD12" i="20" s="1"/>
  <c r="AF12" i="20" a="1"/>
  <c r="AF12" i="20" s="1"/>
  <c r="AL12" i="20" a="1"/>
  <c r="AL12" i="20" s="1"/>
  <c r="AM12" i="20" a="1"/>
  <c r="AM12" i="20" s="1"/>
  <c r="AG12" i="20" a="1"/>
  <c r="AG12" i="20" s="1"/>
  <c r="AH12" i="20" a="1"/>
  <c r="AH12" i="20" s="1"/>
  <c r="AE12" i="20" a="1"/>
  <c r="AE12" i="20" s="1"/>
  <c r="AC12" i="20" a="1"/>
  <c r="AC12" i="20" s="1"/>
  <c r="AJ12" i="20" a="1"/>
  <c r="AJ12" i="20" s="1"/>
  <c r="AK12" i="20" a="1"/>
  <c r="AK12" i="20" s="1"/>
  <c r="AC45" i="20" a="1"/>
  <c r="AC45" i="20" s="1"/>
  <c r="AL45" i="20" a="1"/>
  <c r="AL45" i="20" s="1"/>
  <c r="AM45" i="20" a="1"/>
  <c r="AM45" i="20" s="1"/>
  <c r="AG45" i="20" a="1"/>
  <c r="AG45" i="20" s="1"/>
  <c r="AK45" i="20" a="1"/>
  <c r="AK45" i="20" s="1"/>
  <c r="AN45" i="20" a="1"/>
  <c r="AN45" i="20" s="1"/>
  <c r="AH45" i="20" a="1"/>
  <c r="AH45" i="20" s="1"/>
  <c r="AO45" i="20" a="1"/>
  <c r="AO45" i="20" s="1"/>
  <c r="AD45" i="20" a="1"/>
  <c r="AD45" i="20" s="1"/>
  <c r="AF45" i="20" a="1"/>
  <c r="AF45" i="20" s="1"/>
  <c r="AE45" i="20" a="1"/>
  <c r="AE45" i="20" s="1"/>
  <c r="AJ45" i="20" a="1"/>
  <c r="AJ45" i="20" s="1"/>
  <c r="AD19" i="20" a="1"/>
  <c r="AD19" i="20" s="1"/>
  <c r="AE19" i="20" a="1"/>
  <c r="AE19" i="20" s="1"/>
  <c r="AM19" i="20" a="1"/>
  <c r="AM19" i="20" s="1"/>
  <c r="AJ19" i="20" a="1"/>
  <c r="AJ19" i="20" s="1"/>
  <c r="AF19" i="20" a="1"/>
  <c r="AF19" i="20" s="1"/>
  <c r="AG19" i="20" a="1"/>
  <c r="AG19" i="20" s="1"/>
  <c r="AK19" i="20" a="1"/>
  <c r="AK19" i="20" s="1"/>
  <c r="AL19" i="20" a="1"/>
  <c r="AL19" i="20" s="1"/>
  <c r="AN19" i="20" a="1"/>
  <c r="AN19" i="20" s="1"/>
  <c r="AO19" i="20" a="1"/>
  <c r="AO19" i="20" s="1"/>
  <c r="AC19" i="20" a="1"/>
  <c r="AC19" i="20" s="1"/>
  <c r="AH19" i="20" a="1"/>
  <c r="AH19" i="20" s="1"/>
  <c r="AO53" i="20" a="1"/>
  <c r="AO53" i="20" s="1"/>
  <c r="AG53" i="20" a="1"/>
  <c r="AG53" i="20" s="1"/>
  <c r="AH53" i="20" a="1"/>
  <c r="AH53" i="20" s="1"/>
  <c r="AK53" i="20" a="1"/>
  <c r="AK53" i="20" s="1"/>
  <c r="AM53" i="20" a="1"/>
  <c r="AM53" i="20" s="1"/>
  <c r="AN53" i="20" a="1"/>
  <c r="AN53" i="20" s="1"/>
  <c r="AJ53" i="20" a="1"/>
  <c r="AJ53" i="20" s="1"/>
  <c r="AL53" i="20" a="1"/>
  <c r="AL53" i="20" s="1"/>
  <c r="AF53" i="20" a="1"/>
  <c r="AF53" i="20" s="1"/>
  <c r="AC53" i="20" a="1"/>
  <c r="AC53" i="20" s="1"/>
  <c r="AD53" i="20" a="1"/>
  <c r="AD53" i="20" s="1"/>
  <c r="AE53" i="20" a="1"/>
  <c r="AE53" i="20" s="1"/>
  <c r="AL27" i="20" a="1"/>
  <c r="AL27" i="20" s="1"/>
  <c r="AN27" i="20" a="1"/>
  <c r="AN27" i="20" s="1"/>
  <c r="AM27" i="20" a="1"/>
  <c r="AM27" i="20" s="1"/>
  <c r="AE27" i="20" a="1"/>
  <c r="AE27" i="20" s="1"/>
  <c r="AO27" i="20" a="1"/>
  <c r="AO27" i="20" s="1"/>
  <c r="AF27" i="20" a="1"/>
  <c r="AF27" i="20" s="1"/>
  <c r="AC27" i="20" a="1"/>
  <c r="AC27" i="20" s="1"/>
  <c r="AD27" i="20" a="1"/>
  <c r="AD27" i="20" s="1"/>
  <c r="AG27" i="20" a="1"/>
  <c r="AG27" i="20" s="1"/>
  <c r="AJ27" i="20" a="1"/>
  <c r="AJ27" i="20" s="1"/>
  <c r="AK27" i="20" a="1"/>
  <c r="AK27" i="20" s="1"/>
  <c r="AH27" i="20" a="1"/>
  <c r="AH27" i="20" s="1"/>
  <c r="AO48" i="20" a="1"/>
  <c r="AO48" i="20" s="1"/>
  <c r="AH48" i="20" a="1"/>
  <c r="AH48" i="20" s="1"/>
  <c r="AD48" i="20" a="1"/>
  <c r="AD48" i="20" s="1"/>
  <c r="AE48" i="20" a="1"/>
  <c r="AE48" i="20" s="1"/>
  <c r="AL48" i="20" a="1"/>
  <c r="AL48" i="20" s="1"/>
  <c r="AK48" i="20" a="1"/>
  <c r="AK48" i="20" s="1"/>
  <c r="AF48" i="20" a="1"/>
  <c r="AF48" i="20" s="1"/>
  <c r="AM48" i="20" a="1"/>
  <c r="AM48" i="20" s="1"/>
  <c r="AG48" i="20" a="1"/>
  <c r="AG48" i="20" s="1"/>
  <c r="AN48" i="20" a="1"/>
  <c r="AN48" i="20" s="1"/>
  <c r="AC48" i="20" a="1"/>
  <c r="AC48" i="20" s="1"/>
  <c r="AJ48" i="20" a="1"/>
  <c r="AJ48" i="20" s="1"/>
  <c r="AL44" i="20" a="1"/>
  <c r="AL44" i="20" s="1"/>
  <c r="AG44" i="20" a="1"/>
  <c r="AG44" i="20" s="1"/>
  <c r="AN44" i="20" a="1"/>
  <c r="AN44" i="20" s="1"/>
  <c r="AM44" i="20" a="1"/>
  <c r="AM44" i="20" s="1"/>
  <c r="AH44" i="20" a="1"/>
  <c r="AH44" i="20" s="1"/>
  <c r="AE44" i="20" a="1"/>
  <c r="AE44" i="20" s="1"/>
  <c r="AF44" i="20" a="1"/>
  <c r="AF44" i="20" s="1"/>
  <c r="AK44" i="20" a="1"/>
  <c r="AK44" i="20" s="1"/>
  <c r="AJ44" i="20" a="1"/>
  <c r="AJ44" i="20" s="1"/>
  <c r="AD44" i="20" a="1"/>
  <c r="AD44" i="20" s="1"/>
  <c r="AC44" i="20" a="1"/>
  <c r="AC44" i="20" s="1"/>
  <c r="AO44" i="20" a="1"/>
  <c r="AO44" i="20" s="1"/>
  <c r="AF51" i="20" a="1"/>
  <c r="AF51" i="20" s="1"/>
  <c r="AN51" i="20" a="1"/>
  <c r="AN51" i="20" s="1"/>
  <c r="AG51" i="20" a="1"/>
  <c r="AG51" i="20" s="1"/>
  <c r="AH51" i="20" a="1"/>
  <c r="AH51" i="20" s="1"/>
  <c r="AL51" i="20" a="1"/>
  <c r="AL51" i="20" s="1"/>
  <c r="AJ51" i="20" a="1"/>
  <c r="AJ51" i="20" s="1"/>
  <c r="AK51" i="20" a="1"/>
  <c r="AK51" i="20" s="1"/>
  <c r="AC51" i="20" a="1"/>
  <c r="AC51" i="20" s="1"/>
  <c r="AM51" i="20" a="1"/>
  <c r="AM51" i="20" s="1"/>
  <c r="AD51" i="20" a="1"/>
  <c r="AD51" i="20" s="1"/>
  <c r="AO51" i="20" a="1"/>
  <c r="AO51" i="20" s="1"/>
  <c r="AE51" i="20" a="1"/>
  <c r="AE51" i="20" s="1"/>
  <c r="AD26" i="20" a="1"/>
  <c r="AD26" i="20" s="1"/>
  <c r="AC26" i="20" a="1"/>
  <c r="AC26" i="20" s="1"/>
  <c r="AJ26" i="20" a="1"/>
  <c r="AJ26" i="20" s="1"/>
  <c r="AG26" i="20" a="1"/>
  <c r="AG26" i="20" s="1"/>
  <c r="AH26" i="20" a="1"/>
  <c r="AH26" i="20" s="1"/>
  <c r="AF26" i="20" a="1"/>
  <c r="AF26" i="20" s="1"/>
  <c r="AO26" i="20" a="1"/>
  <c r="AO26" i="20" s="1"/>
  <c r="AM26" i="20" a="1"/>
  <c r="AM26" i="20" s="1"/>
  <c r="AE26" i="20" a="1"/>
  <c r="AE26" i="20" s="1"/>
  <c r="AN26" i="20" a="1"/>
  <c r="AN26" i="20" s="1"/>
  <c r="AK26" i="20" a="1"/>
  <c r="AK26" i="20" s="1"/>
  <c r="AL26" i="20" a="1"/>
  <c r="AL26" i="20" s="1"/>
  <c r="AJ32" i="20" a="1"/>
  <c r="AJ32" i="20" s="1"/>
  <c r="AL32" i="20" a="1"/>
  <c r="AL32" i="20" s="1"/>
  <c r="AK32" i="20" a="1"/>
  <c r="AK32" i="20" s="1"/>
  <c r="AG32" i="20" a="1"/>
  <c r="AG32" i="20" s="1"/>
  <c r="AN32" i="20" a="1"/>
  <c r="AN32" i="20" s="1"/>
  <c r="AH32" i="20" a="1"/>
  <c r="AH32" i="20" s="1"/>
  <c r="AO32" i="20" a="1"/>
  <c r="AO32" i="20" s="1"/>
  <c r="AC32" i="20" a="1"/>
  <c r="AC32" i="20" s="1"/>
  <c r="AM32" i="20" a="1"/>
  <c r="AM32" i="20" s="1"/>
  <c r="AD32" i="20" a="1"/>
  <c r="AD32" i="20" s="1"/>
  <c r="AE32" i="20" a="1"/>
  <c r="AE32" i="20" s="1"/>
  <c r="AF32" i="20" a="1"/>
  <c r="AF32" i="20" s="1"/>
  <c r="AL7" i="20" a="1"/>
  <c r="AL7" i="20" s="1"/>
  <c r="AG7" i="20" a="1"/>
  <c r="AG7" i="20" s="1"/>
  <c r="AM7" i="20" a="1"/>
  <c r="AM7" i="20" s="1"/>
  <c r="AH7" i="20" a="1"/>
  <c r="AH7" i="20" s="1"/>
  <c r="AN7" i="20" a="1"/>
  <c r="AN7" i="20" s="1"/>
  <c r="AO7" i="20" a="1"/>
  <c r="AO7" i="20" s="1"/>
  <c r="AJ7" i="20" a="1"/>
  <c r="AJ7" i="20" s="1"/>
  <c r="AK7" i="20" a="1"/>
  <c r="AK7" i="20" s="1"/>
  <c r="AC7" i="20" a="1"/>
  <c r="AC7" i="20" s="1"/>
  <c r="AD7" i="20" a="1"/>
  <c r="AD7" i="20" s="1"/>
  <c r="AF7" i="20" a="1"/>
  <c r="AF7" i="20" s="1"/>
  <c r="AE7" i="20" a="1"/>
  <c r="AE7" i="20" s="1"/>
  <c r="AK40" i="20" a="1"/>
  <c r="AK40" i="20" s="1"/>
  <c r="AH40" i="20" a="1"/>
  <c r="AH40" i="20" s="1"/>
  <c r="AO40" i="20" a="1"/>
  <c r="AO40" i="20" s="1"/>
  <c r="AL40" i="20" a="1"/>
  <c r="AL40" i="20" s="1"/>
  <c r="AD40" i="20" a="1"/>
  <c r="AD40" i="20" s="1"/>
  <c r="AG40" i="20" a="1"/>
  <c r="AG40" i="20" s="1"/>
  <c r="AJ40" i="20" a="1"/>
  <c r="AJ40" i="20" s="1"/>
  <c r="AM40" i="20" a="1"/>
  <c r="AM40" i="20" s="1"/>
  <c r="AN40" i="20" a="1"/>
  <c r="AN40" i="20" s="1"/>
  <c r="AC40" i="20" a="1"/>
  <c r="AC40" i="20" s="1"/>
  <c r="AF40" i="20" a="1"/>
  <c r="AF40" i="20" s="1"/>
  <c r="AE40" i="20" a="1"/>
  <c r="AE40" i="20" s="1"/>
  <c r="AK14" i="20" a="1"/>
  <c r="AK14" i="20" s="1"/>
  <c r="AD14" i="20" a="1"/>
  <c r="AD14" i="20" s="1"/>
  <c r="AE14" i="20" a="1"/>
  <c r="AE14" i="20" s="1"/>
  <c r="AF14" i="20" a="1"/>
  <c r="AF14" i="20" s="1"/>
  <c r="AJ14" i="20" a="1"/>
  <c r="AJ14" i="20" s="1"/>
  <c r="AG14" i="20" a="1"/>
  <c r="AG14" i="20" s="1"/>
  <c r="AC14" i="20" a="1"/>
  <c r="AC14" i="20" s="1"/>
  <c r="AH14" i="20" a="1"/>
  <c r="AH14" i="20" s="1"/>
  <c r="AM14" i="20" a="1"/>
  <c r="AM14" i="20" s="1"/>
  <c r="AN14" i="20" a="1"/>
  <c r="AN14" i="20" s="1"/>
  <c r="AO14" i="20" a="1"/>
  <c r="AO14" i="20" s="1"/>
  <c r="AL14" i="20" a="1"/>
  <c r="AL14" i="20" s="1"/>
  <c r="AK47" i="20" a="1"/>
  <c r="AK47" i="20" s="1"/>
  <c r="AE47" i="20" a="1"/>
  <c r="AE47" i="20" s="1"/>
  <c r="AM47" i="20" a="1"/>
  <c r="AM47" i="20" s="1"/>
  <c r="AG47" i="20" a="1"/>
  <c r="AG47" i="20" s="1"/>
  <c r="AL47" i="20" a="1"/>
  <c r="AL47" i="20" s="1"/>
  <c r="AF47" i="20" a="1"/>
  <c r="AF47" i="20" s="1"/>
  <c r="AN47" i="20" a="1"/>
  <c r="AN47" i="20" s="1"/>
  <c r="AC47" i="20" a="1"/>
  <c r="AC47" i="20" s="1"/>
  <c r="AD47" i="20" a="1"/>
  <c r="AD47" i="20" s="1"/>
  <c r="AH47" i="20" a="1"/>
  <c r="AH47" i="20" s="1"/>
  <c r="AO47" i="20" a="1"/>
  <c r="AO47" i="20" s="1"/>
  <c r="AJ47" i="20" a="1"/>
  <c r="AJ47" i="20" s="1"/>
  <c r="AJ21" i="20" a="1"/>
  <c r="AJ21" i="20" s="1"/>
  <c r="AE21" i="20" a="1"/>
  <c r="AE21" i="20" s="1"/>
  <c r="AG21" i="20" a="1"/>
  <c r="AG21" i="20" s="1"/>
  <c r="AK21" i="20" a="1"/>
  <c r="AK21" i="20" s="1"/>
  <c r="AH21" i="20" a="1"/>
  <c r="AH21" i="20" s="1"/>
  <c r="AL21" i="20" a="1"/>
  <c r="AL21" i="20" s="1"/>
  <c r="AC21" i="20" a="1"/>
  <c r="AC21" i="20" s="1"/>
  <c r="AD21" i="20" a="1"/>
  <c r="AD21" i="20" s="1"/>
  <c r="AN21" i="20" a="1"/>
  <c r="AN21" i="20" s="1"/>
  <c r="AM21" i="20" a="1"/>
  <c r="AM21" i="20" s="1"/>
  <c r="AO21" i="20" a="1"/>
  <c r="AO21" i="20" s="1"/>
  <c r="AF21" i="20" a="1"/>
  <c r="AF21" i="20" s="1"/>
  <c r="AC23" i="20" a="1"/>
  <c r="AC23" i="20" s="1"/>
  <c r="AD23" i="20" a="1"/>
  <c r="AD23" i="20" s="1"/>
  <c r="AK23" i="20" a="1"/>
  <c r="AK23" i="20" s="1"/>
  <c r="AE23" i="20" a="1"/>
  <c r="AE23" i="20" s="1"/>
  <c r="AN23" i="20" a="1"/>
  <c r="AN23" i="20" s="1"/>
  <c r="AO23" i="20" a="1"/>
  <c r="AO23" i="20" s="1"/>
  <c r="AJ23" i="20" a="1"/>
  <c r="AJ23" i="20" s="1"/>
  <c r="AF23" i="20" a="1"/>
  <c r="AF23" i="20" s="1"/>
  <c r="AG23" i="20" a="1"/>
  <c r="AG23" i="20" s="1"/>
  <c r="AH23" i="20" a="1"/>
  <c r="AH23" i="20" s="1"/>
  <c r="AL23" i="20" a="1"/>
  <c r="AL23" i="20" s="1"/>
  <c r="AM23" i="20" a="1"/>
  <c r="AM23" i="20" s="1"/>
  <c r="AC11" i="20" a="1"/>
  <c r="AC11" i="20" s="1"/>
  <c r="AM11" i="20" a="1"/>
  <c r="AM11" i="20" s="1"/>
  <c r="AN11" i="20" a="1"/>
  <c r="AN11" i="20" s="1"/>
  <c r="AD11" i="20" a="1"/>
  <c r="AD11" i="20" s="1"/>
  <c r="AE11" i="20" a="1"/>
  <c r="AE11" i="20" s="1"/>
  <c r="AF11" i="20" a="1"/>
  <c r="AF11" i="20" s="1"/>
  <c r="AJ11" i="20" a="1"/>
  <c r="AJ11" i="20" s="1"/>
  <c r="AL11" i="20" a="1"/>
  <c r="AL11" i="20" s="1"/>
  <c r="AG11" i="20" a="1"/>
  <c r="AG11" i="20" s="1"/>
  <c r="AH11" i="20" a="1"/>
  <c r="AH11" i="20" s="1"/>
  <c r="AO11" i="20" a="1"/>
  <c r="AO11" i="20" s="1"/>
  <c r="AK11" i="20" a="1"/>
  <c r="AK11" i="20" s="1"/>
  <c r="AJ18" i="20" a="1"/>
  <c r="AJ18" i="20" s="1"/>
  <c r="AL18" i="20" a="1"/>
  <c r="AL18" i="20" s="1"/>
  <c r="AK18" i="20" a="1"/>
  <c r="AK18" i="20" s="1"/>
  <c r="AC18" i="20" a="1"/>
  <c r="AC18" i="20" s="1"/>
  <c r="AD18" i="20" a="1"/>
  <c r="AD18" i="20" s="1"/>
  <c r="AM18" i="20" a="1"/>
  <c r="AM18" i="20" s="1"/>
  <c r="AN18" i="20" a="1"/>
  <c r="AN18" i="20" s="1"/>
  <c r="AO18" i="20" a="1"/>
  <c r="AO18" i="20" s="1"/>
  <c r="AE18" i="20" a="1"/>
  <c r="AE18" i="20" s="1"/>
  <c r="AF18" i="20" a="1"/>
  <c r="AF18" i="20" s="1"/>
  <c r="AG18" i="20" a="1"/>
  <c r="AG18" i="20" s="1"/>
  <c r="AH18" i="20" a="1"/>
  <c r="AH18" i="20" s="1"/>
  <c r="AD8" i="20" a="1"/>
  <c r="AD8" i="20" s="1"/>
  <c r="AC8" i="20" a="1"/>
  <c r="AC8" i="20" s="1"/>
  <c r="AO8" i="20" a="1"/>
  <c r="AO8" i="20" s="1"/>
  <c r="AJ8" i="20" a="1"/>
  <c r="AJ8" i="20" s="1"/>
  <c r="AG8" i="20" a="1"/>
  <c r="AG8" i="20" s="1"/>
  <c r="AK8" i="20" a="1"/>
  <c r="AK8" i="20" s="1"/>
  <c r="AL8" i="20" a="1"/>
  <c r="AL8" i="20" s="1"/>
  <c r="AM8" i="20" a="1"/>
  <c r="AM8" i="20" s="1"/>
  <c r="AE8" i="20" a="1"/>
  <c r="AE8" i="20" s="1"/>
  <c r="AF8" i="20" a="1"/>
  <c r="AF8" i="20" s="1"/>
  <c r="AN8" i="20" a="1"/>
  <c r="AN8" i="20" s="1"/>
  <c r="AH8" i="20" a="1"/>
  <c r="AH8" i="20" s="1"/>
  <c r="AC36" i="20" a="1"/>
  <c r="AC36" i="20" s="1"/>
  <c r="AM36" i="20" a="1"/>
  <c r="AM36" i="20" s="1"/>
  <c r="AL36" i="20" a="1"/>
  <c r="AL36" i="20" s="1"/>
  <c r="AF36" i="20" a="1"/>
  <c r="AF36" i="20" s="1"/>
  <c r="AN36" i="20" a="1"/>
  <c r="AN36" i="20" s="1"/>
  <c r="AG36" i="20" a="1"/>
  <c r="AG36" i="20" s="1"/>
  <c r="AO36" i="20" a="1"/>
  <c r="AO36" i="20" s="1"/>
  <c r="AD36" i="20" a="1"/>
  <c r="AD36" i="20" s="1"/>
  <c r="AE36" i="20" a="1"/>
  <c r="AE36" i="20" s="1"/>
  <c r="AH36" i="20" a="1"/>
  <c r="AH36" i="20" s="1"/>
  <c r="AK36" i="20" a="1"/>
  <c r="AK36" i="20" s="1"/>
  <c r="AJ36" i="20" a="1"/>
  <c r="AJ36" i="20" s="1"/>
  <c r="AC29" i="20" a="1"/>
  <c r="AC29" i="20" s="1"/>
  <c r="AL29" i="20" a="1"/>
  <c r="AL29" i="20" s="1"/>
  <c r="AK29" i="20" a="1"/>
  <c r="AK29" i="20" s="1"/>
  <c r="AM29" i="20" a="1"/>
  <c r="AM29" i="20" s="1"/>
  <c r="AF29" i="20" a="1"/>
  <c r="AF29" i="20" s="1"/>
  <c r="AJ29" i="20" a="1"/>
  <c r="AJ29" i="20" s="1"/>
  <c r="AN29" i="20" a="1"/>
  <c r="AN29" i="20" s="1"/>
  <c r="AO29" i="20" a="1"/>
  <c r="AO29" i="20" s="1"/>
  <c r="AE29" i="20" a="1"/>
  <c r="AE29" i="20" s="1"/>
  <c r="AG29" i="20" a="1"/>
  <c r="AG29" i="20" s="1"/>
  <c r="AD29" i="20" a="1"/>
  <c r="AD29" i="20" s="1"/>
  <c r="AH29" i="20" a="1"/>
  <c r="AH29" i="20" s="1"/>
  <c r="AM3" i="20" a="1"/>
  <c r="AM3" i="20" s="1"/>
  <c r="AG3" i="20" a="1"/>
  <c r="AG3" i="20" s="1"/>
  <c r="AJ3" i="20" a="1"/>
  <c r="AJ3" i="20" s="1"/>
  <c r="AK3" i="20" a="1"/>
  <c r="AK3" i="20" s="1"/>
  <c r="AL3" i="20" a="1"/>
  <c r="AL3" i="20" s="1"/>
  <c r="AN3" i="20" a="1"/>
  <c r="AN3" i="20" s="1"/>
  <c r="AO3" i="20" a="1"/>
  <c r="AO3" i="20" s="1"/>
  <c r="AC3" i="20" a="1"/>
  <c r="AC3" i="20" s="1"/>
  <c r="AD3" i="20" a="1"/>
  <c r="AD3" i="20" s="1"/>
  <c r="AE3" i="20" a="1"/>
  <c r="AE3" i="20" s="1"/>
  <c r="AH3" i="20" a="1"/>
  <c r="AH3" i="20" s="1"/>
  <c r="AF3" i="20" a="1"/>
  <c r="AF3" i="20" s="1"/>
  <c r="AL15" i="20" a="1"/>
  <c r="AL15" i="20" s="1"/>
  <c r="AN15" i="20" a="1"/>
  <c r="AN15" i="20" s="1"/>
  <c r="AM15" i="20" a="1"/>
  <c r="AM15" i="20" s="1"/>
  <c r="AC15" i="20" a="1"/>
  <c r="AC15" i="20" s="1"/>
  <c r="AK15" i="20" a="1"/>
  <c r="AK15" i="20" s="1"/>
  <c r="AE15" i="20" a="1"/>
  <c r="AE15" i="20" s="1"/>
  <c r="AF15" i="20" a="1"/>
  <c r="AF15" i="20" s="1"/>
  <c r="AG15" i="20" a="1"/>
  <c r="AG15" i="20" s="1"/>
  <c r="AH15" i="20" a="1"/>
  <c r="AH15" i="20" s="1"/>
  <c r="AO15" i="20" a="1"/>
  <c r="AO15" i="20" s="1"/>
  <c r="AD15" i="20" a="1"/>
  <c r="AD15" i="20" s="1"/>
  <c r="AJ15" i="20" a="1"/>
  <c r="AJ15" i="20" s="1"/>
  <c r="AG35" i="20" a="1"/>
  <c r="AG35" i="20" s="1"/>
  <c r="AK35" i="20" a="1"/>
  <c r="AK35" i="20" s="1"/>
  <c r="AJ35" i="20" a="1"/>
  <c r="AJ35" i="20" s="1"/>
  <c r="AH35" i="20" a="1"/>
  <c r="AH35" i="20" s="1"/>
  <c r="AC35" i="20" a="1"/>
  <c r="AC35" i="20" s="1"/>
  <c r="AD35" i="20" a="1"/>
  <c r="AD35" i="20" s="1"/>
  <c r="AE35" i="20" a="1"/>
  <c r="AE35" i="20" s="1"/>
  <c r="AF35" i="20" a="1"/>
  <c r="AF35" i="20" s="1"/>
  <c r="AN35" i="20" a="1"/>
  <c r="AN35" i="20" s="1"/>
  <c r="AL35" i="20" a="1"/>
  <c r="AL35" i="20" s="1"/>
  <c r="AO35" i="20" a="1"/>
  <c r="AO35" i="20" s="1"/>
  <c r="AM35" i="20" a="1"/>
  <c r="AM35" i="20" s="1"/>
  <c r="AJ10" i="20" a="1"/>
  <c r="AJ10" i="20" s="1"/>
  <c r="AF10" i="20" a="1"/>
  <c r="AF10" i="20" s="1"/>
  <c r="AL10" i="20" a="1"/>
  <c r="AL10" i="20" s="1"/>
  <c r="AG10" i="20" a="1"/>
  <c r="AG10" i="20" s="1"/>
  <c r="AK10" i="20" a="1"/>
  <c r="AK10" i="20" s="1"/>
  <c r="AH10" i="20" a="1"/>
  <c r="AH10" i="20" s="1"/>
  <c r="AD10" i="20" a="1"/>
  <c r="AD10" i="20" s="1"/>
  <c r="AE10" i="20" a="1"/>
  <c r="AE10" i="20" s="1"/>
  <c r="AC10" i="20" a="1"/>
  <c r="AC10" i="20" s="1"/>
  <c r="AN10" i="20" a="1"/>
  <c r="AN10" i="20" s="1"/>
  <c r="AO10" i="20" a="1"/>
  <c r="AO10" i="20" s="1"/>
  <c r="AM10" i="20" a="1"/>
  <c r="AM10" i="20" s="1"/>
  <c r="AC33" i="20" a="1"/>
  <c r="AC33" i="20" s="1"/>
  <c r="AE33" i="20" a="1"/>
  <c r="AE33" i="20" s="1"/>
  <c r="AD33" i="20" a="1"/>
  <c r="AD33" i="20" s="1"/>
  <c r="AM33" i="20" a="1"/>
  <c r="AM33" i="20" s="1"/>
  <c r="AN33" i="20" a="1"/>
  <c r="AN33" i="20" s="1"/>
  <c r="AO33" i="20" a="1"/>
  <c r="AO33" i="20" s="1"/>
  <c r="AF33" i="20" a="1"/>
  <c r="AF33" i="20" s="1"/>
  <c r="AG33" i="20" a="1"/>
  <c r="AG33" i="20" s="1"/>
  <c r="AH33" i="20" a="1"/>
  <c r="AH33" i="20" s="1"/>
  <c r="AJ33" i="20" a="1"/>
  <c r="AJ33" i="20" s="1"/>
  <c r="AK33" i="20" a="1"/>
  <c r="AK33" i="20" s="1"/>
  <c r="AL33" i="20" a="1"/>
  <c r="AL33" i="20" s="1"/>
  <c r="AM41" i="20" a="1"/>
  <c r="AM41" i="20" s="1"/>
  <c r="AO41" i="20" a="1"/>
  <c r="AO41" i="20" s="1"/>
  <c r="AN41" i="20" a="1"/>
  <c r="AN41" i="20" s="1"/>
  <c r="AK41" i="20" a="1"/>
  <c r="AK41" i="20" s="1"/>
  <c r="AC41" i="20" a="1"/>
  <c r="AC41" i="20" s="1"/>
  <c r="AL41" i="20" a="1"/>
  <c r="AL41" i="20" s="1"/>
  <c r="AD41" i="20" a="1"/>
  <c r="AD41" i="20" s="1"/>
  <c r="AE41" i="20" a="1"/>
  <c r="AE41" i="20" s="1"/>
  <c r="AF41" i="20" a="1"/>
  <c r="AF41" i="20" s="1"/>
  <c r="AG41" i="20" a="1"/>
  <c r="AG41" i="20" s="1"/>
  <c r="AH41" i="20" a="1"/>
  <c r="AH41" i="20" s="1"/>
  <c r="AJ41" i="20" a="1"/>
  <c r="AJ41" i="20" s="1"/>
  <c r="AK30" i="20" a="1"/>
  <c r="AK30" i="20" s="1"/>
  <c r="AM30" i="20" a="1"/>
  <c r="AM30" i="20" s="1"/>
  <c r="AL30" i="20" a="1"/>
  <c r="AL30" i="20" s="1"/>
  <c r="AD30" i="20" a="1"/>
  <c r="AD30" i="20" s="1"/>
  <c r="AE30" i="20" a="1"/>
  <c r="AE30" i="20" s="1"/>
  <c r="AF30" i="20" a="1"/>
  <c r="AF30" i="20" s="1"/>
  <c r="AN30" i="20" a="1"/>
  <c r="AN30" i="20" s="1"/>
  <c r="AJ30" i="20" a="1"/>
  <c r="AJ30" i="20" s="1"/>
  <c r="AO30" i="20" a="1"/>
  <c r="AO30" i="20" s="1"/>
  <c r="AC30" i="20" a="1"/>
  <c r="AC30" i="20" s="1"/>
  <c r="AG30" i="20" a="1"/>
  <c r="AG30" i="20" s="1"/>
  <c r="AH30" i="20" a="1"/>
  <c r="AH30" i="20" s="1"/>
  <c r="AN4" i="20" a="1"/>
  <c r="AN4" i="20" s="1"/>
  <c r="AH4" i="20" a="1"/>
  <c r="AH4" i="20" s="1"/>
  <c r="AO4" i="20" a="1"/>
  <c r="AO4" i="20" s="1"/>
  <c r="AL4" i="20" a="1"/>
  <c r="AL4" i="20" s="1"/>
  <c r="AF4" i="20" a="1"/>
  <c r="AF4" i="20" s="1"/>
  <c r="AG4" i="20" a="1"/>
  <c r="AG4" i="20" s="1"/>
  <c r="AC4" i="20" a="1"/>
  <c r="AC4" i="20" s="1"/>
  <c r="AD4" i="20" a="1"/>
  <c r="AD4" i="20" s="1"/>
  <c r="AJ4" i="20" a="1"/>
  <c r="AJ4" i="20" s="1"/>
  <c r="AK4" i="20" a="1"/>
  <c r="AK4" i="20" s="1"/>
  <c r="AM4" i="20" a="1"/>
  <c r="AM4" i="20" s="1"/>
  <c r="AE4" i="20" a="1"/>
  <c r="AE4" i="20" s="1"/>
  <c r="AK43" i="20" a="1"/>
  <c r="AK43" i="20" s="1"/>
  <c r="AF43" i="20" a="1"/>
  <c r="AF43" i="20" s="1"/>
  <c r="AM43" i="20" a="1"/>
  <c r="AM43" i="20" s="1"/>
  <c r="AC43" i="20" a="1"/>
  <c r="AC43" i="20" s="1"/>
  <c r="AG43" i="20" a="1"/>
  <c r="AG43" i="20" s="1"/>
  <c r="AE43" i="20" a="1"/>
  <c r="AE43" i="20" s="1"/>
  <c r="AJ43" i="20" a="1"/>
  <c r="AJ43" i="20" s="1"/>
  <c r="AL43" i="20" a="1"/>
  <c r="AL43" i="20" s="1"/>
  <c r="AH43" i="20" a="1"/>
  <c r="AH43" i="20" s="1"/>
  <c r="AN43" i="20" a="1"/>
  <c r="AN43" i="20" s="1"/>
  <c r="AO43" i="20" a="1"/>
  <c r="AO43" i="20" s="1"/>
  <c r="AD43" i="20" a="1"/>
  <c r="AD43" i="20" s="1"/>
  <c r="AH17" i="20" a="1"/>
  <c r="AH17" i="20" s="1"/>
  <c r="AJ17" i="20" a="1"/>
  <c r="AJ17" i="20" s="1"/>
  <c r="AK17" i="20" a="1"/>
  <c r="AK17" i="20" s="1"/>
  <c r="AL17" i="20" a="1"/>
  <c r="AL17" i="20" s="1"/>
  <c r="AD17" i="20" a="1"/>
  <c r="AD17" i="20" s="1"/>
  <c r="AO17" i="20" a="1"/>
  <c r="AO17" i="20" s="1"/>
  <c r="AM17" i="20" a="1"/>
  <c r="AM17" i="20" s="1"/>
  <c r="AN17" i="20" a="1"/>
  <c r="AN17" i="20" s="1"/>
  <c r="AC17" i="20" a="1"/>
  <c r="AC17" i="20" s="1"/>
  <c r="AE17" i="20" a="1"/>
  <c r="AE17" i="20" s="1"/>
  <c r="AF17" i="20" a="1"/>
  <c r="AF17" i="20" s="1"/>
  <c r="AG17" i="20" a="1"/>
  <c r="AG17" i="20" s="1"/>
  <c r="AN3" i="8" a="1"/>
  <c r="AN3" i="8" s="1"/>
  <c r="AO3" i="8" a="1"/>
  <c r="AO3" i="8" s="1"/>
  <c r="AE3" i="8" a="1"/>
  <c r="AE3" i="8" s="1"/>
  <c r="AF3" i="8" a="1"/>
  <c r="AF3" i="8" s="1"/>
  <c r="AL3" i="8" a="1"/>
  <c r="AL3" i="8" s="1"/>
  <c r="AM3" i="8" a="1"/>
  <c r="AM3" i="8" s="1"/>
  <c r="AP3" i="8" a="1"/>
  <c r="AP3" i="8" s="1"/>
  <c r="AR3" i="8"/>
  <c r="AH3" i="8" a="1"/>
  <c r="AH3" i="8" s="1"/>
  <c r="AD3" i="8" a="1"/>
  <c r="AD3" i="8" s="1"/>
  <c r="AB3" i="8" s="1"/>
  <c r="AG3" i="8" a="1"/>
  <c r="AG3" i="8" s="1"/>
  <c r="AI3" i="8" a="1"/>
  <c r="AI3" i="8" s="1"/>
  <c r="E3" i="10"/>
  <c r="E2" i="10"/>
  <c r="D3" i="10"/>
  <c r="D2" i="10"/>
  <c r="B3" i="10"/>
  <c r="C3" i="10"/>
  <c r="F2" i="21"/>
  <c r="G2" i="21"/>
  <c r="H2" i="21"/>
  <c r="I2" i="21"/>
  <c r="M2" i="21"/>
  <c r="P2" i="21"/>
  <c r="Q2" i="21"/>
  <c r="R2" i="21"/>
  <c r="S2" i="21"/>
  <c r="T2" i="21"/>
  <c r="U2" i="21"/>
  <c r="AJ2" i="21"/>
  <c r="F3" i="21"/>
  <c r="G3" i="21"/>
  <c r="H3" i="21"/>
  <c r="I3" i="21"/>
  <c r="P3" i="21"/>
  <c r="Q3" i="21"/>
  <c r="R3" i="21"/>
  <c r="S3" i="21"/>
  <c r="T3" i="21"/>
  <c r="U3" i="21"/>
  <c r="A3" i="21"/>
  <c r="B3" i="21"/>
  <c r="C3" i="21"/>
  <c r="D3" i="21"/>
  <c r="E3" i="21"/>
  <c r="E2" i="21"/>
  <c r="BA275" i="2"/>
  <c r="BA276" i="2"/>
  <c r="W218" i="33" a="1"/>
  <c r="W218" i="33" s="1"/>
  <c r="X218" i="33" a="1"/>
  <c r="X218" i="33" s="1"/>
  <c r="V218" i="33" a="1"/>
  <c r="V218" i="33" s="1"/>
  <c r="AP3" i="21" l="1" a="1"/>
  <c r="AP3" i="21" s="1"/>
  <c r="AE3" i="21" a="1"/>
  <c r="AE3" i="21" s="1"/>
  <c r="AF3" i="21" a="1"/>
  <c r="AF3" i="21" s="1"/>
  <c r="AG3" i="21" a="1"/>
  <c r="AG3" i="21" s="1"/>
  <c r="AK3" i="21" a="1"/>
  <c r="AK3" i="21" s="1"/>
  <c r="AH3" i="21" a="1"/>
  <c r="AH3" i="21" s="1"/>
  <c r="AL3" i="21" a="1"/>
  <c r="AL3" i="21" s="1"/>
  <c r="AO3" i="21" a="1"/>
  <c r="AO3" i="21" s="1"/>
  <c r="AM3" i="21" a="1"/>
  <c r="AM3" i="21" s="1"/>
  <c r="AN3" i="21" a="1"/>
  <c r="AN3" i="21" s="1"/>
  <c r="AI3" i="21" a="1"/>
  <c r="AI3" i="21" s="1"/>
  <c r="AD3" i="21" a="1"/>
  <c r="AD3" i="21" s="1"/>
  <c r="AA21" i="20"/>
  <c r="AA36" i="20"/>
  <c r="AA4" i="20"/>
  <c r="AA48" i="20"/>
  <c r="AA14" i="20"/>
  <c r="AA10" i="20"/>
  <c r="AA9" i="20"/>
  <c r="AA6" i="20"/>
  <c r="AA42" i="20"/>
  <c r="AA18" i="20"/>
  <c r="AA51" i="20"/>
  <c r="AA8" i="20"/>
  <c r="AA27" i="20"/>
  <c r="AA15" i="20"/>
  <c r="AA37" i="20"/>
  <c r="AA53" i="20"/>
  <c r="AA38" i="20"/>
  <c r="AA40" i="20"/>
  <c r="AA31" i="20"/>
  <c r="AA33" i="20"/>
  <c r="AA44" i="20"/>
  <c r="AA13" i="20"/>
  <c r="AA32" i="20"/>
  <c r="AA11" i="20"/>
  <c r="AA45" i="20"/>
  <c r="AA30" i="20"/>
  <c r="AA5" i="20"/>
  <c r="AA20" i="20"/>
  <c r="AA28" i="20"/>
  <c r="AA12" i="20"/>
  <c r="AA25" i="20"/>
  <c r="AA3" i="20"/>
  <c r="AA47" i="20"/>
  <c r="AA26" i="20"/>
  <c r="AA16" i="20"/>
  <c r="AA19" i="20"/>
  <c r="AA43" i="20"/>
  <c r="AA35" i="20"/>
  <c r="AA29" i="20"/>
  <c r="AA49" i="20"/>
  <c r="AA41" i="20"/>
  <c r="AA50" i="20"/>
  <c r="AA46" i="20"/>
  <c r="AA17" i="20"/>
  <c r="AA7" i="20"/>
  <c r="AA23" i="20"/>
  <c r="AA24" i="20"/>
  <c r="AA34" i="20"/>
  <c r="AA54" i="20"/>
  <c r="AR3" i="21"/>
  <c r="Y218" i="33"/>
  <c r="AB3" i="21" l="1"/>
  <c r="B239" i="6" l="1"/>
  <c r="C239" i="6"/>
  <c r="B240" i="6"/>
  <c r="C240" i="6"/>
  <c r="B241" i="6"/>
  <c r="C241" i="6"/>
  <c r="B242" i="6"/>
  <c r="C242" i="6"/>
  <c r="B243" i="6"/>
  <c r="C243" i="6"/>
  <c r="B244" i="6"/>
  <c r="C244" i="6"/>
  <c r="B245" i="6"/>
  <c r="C245" i="6"/>
  <c r="B246" i="6"/>
  <c r="C246" i="6"/>
  <c r="B247" i="6"/>
  <c r="C247" i="6"/>
  <c r="B248" i="6"/>
  <c r="C248" i="6"/>
  <c r="B249" i="6"/>
  <c r="C249" i="6"/>
  <c r="B250" i="6"/>
  <c r="C250" i="6"/>
  <c r="B251" i="6"/>
  <c r="C251" i="6"/>
  <c r="B252" i="6"/>
  <c r="C252" i="6"/>
  <c r="B253" i="6"/>
  <c r="C253" i="6"/>
  <c r="B254" i="6"/>
  <c r="C254" i="6"/>
  <c r="B255" i="6"/>
  <c r="C255" i="6"/>
  <c r="B256" i="6"/>
  <c r="C256" i="6"/>
  <c r="B257" i="6"/>
  <c r="C257" i="6"/>
  <c r="B258" i="6"/>
  <c r="C258" i="6"/>
  <c r="B259" i="6"/>
  <c r="C259" i="6"/>
  <c r="B204" i="6"/>
  <c r="D212" i="6"/>
  <c r="D213" i="6"/>
  <c r="D214" i="6"/>
  <c r="D215" i="6"/>
  <c r="D216" i="6"/>
  <c r="D217" i="6"/>
  <c r="D218" i="6"/>
  <c r="D219" i="6"/>
  <c r="D220" i="6"/>
  <c r="D221" i="6"/>
  <c r="D222" i="6"/>
  <c r="D223" i="6"/>
  <c r="D224" i="6"/>
  <c r="B209" i="6"/>
  <c r="D209" i="6"/>
  <c r="A224" i="6"/>
  <c r="A155" i="6"/>
  <c r="A156" i="6"/>
  <c r="A157" i="6"/>
  <c r="A158" i="6"/>
  <c r="A159" i="6"/>
  <c r="A160" i="6"/>
  <c r="A161" i="6"/>
  <c r="A162" i="6"/>
  <c r="A179" i="6"/>
  <c r="A180" i="6"/>
  <c r="A181" i="6"/>
  <c r="A182" i="6"/>
  <c r="A183" i="6"/>
  <c r="A184" i="6"/>
  <c r="A185" i="6"/>
  <c r="A186" i="6"/>
  <c r="A187" i="6"/>
  <c r="A188" i="6"/>
  <c r="A189" i="6"/>
  <c r="A190" i="6"/>
  <c r="A191" i="6"/>
  <c r="A192" i="6"/>
  <c r="A193"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154" i="6"/>
  <c r="ET199" i="33"/>
  <c r="ET200" i="33"/>
  <c r="FB200" i="33" s="1"/>
  <c r="DF157" i="33"/>
  <c r="DG157" i="33"/>
  <c r="DF158" i="33"/>
  <c r="DG158" i="33"/>
  <c r="DF159" i="33"/>
  <c r="DG159" i="33"/>
  <c r="DF160" i="33"/>
  <c r="DG160" i="33"/>
  <c r="DF161" i="33"/>
  <c r="DG161" i="33"/>
  <c r="DF162" i="33"/>
  <c r="DG162" i="33"/>
  <c r="DF163" i="33"/>
  <c r="DG163" i="33"/>
  <c r="DF164" i="33"/>
  <c r="DG164" i="33"/>
  <c r="DF165" i="33"/>
  <c r="DG165" i="33"/>
  <c r="DF166" i="33"/>
  <c r="DG166" i="33"/>
  <c r="DF167" i="33"/>
  <c r="DG167" i="33"/>
  <c r="DF169" i="33"/>
  <c r="DG169" i="33"/>
  <c r="DF170" i="33"/>
  <c r="DG170" i="33"/>
  <c r="DF171" i="33"/>
  <c r="DG171" i="33"/>
  <c r="DF172" i="33"/>
  <c r="DG172" i="33"/>
  <c r="DF173" i="33"/>
  <c r="DG173" i="33"/>
  <c r="DF174" i="33"/>
  <c r="DG174" i="33"/>
  <c r="DF175" i="33"/>
  <c r="DG175" i="33"/>
  <c r="DF176" i="33"/>
  <c r="DG176" i="33"/>
  <c r="DF177" i="33"/>
  <c r="DG177" i="33"/>
  <c r="DF178" i="33"/>
  <c r="DG178" i="33"/>
  <c r="DF179" i="33"/>
  <c r="DG179" i="33"/>
  <c r="DF180" i="33"/>
  <c r="DG180" i="33"/>
  <c r="DF181" i="33"/>
  <c r="DG181" i="33"/>
  <c r="DF182" i="33"/>
  <c r="DG182" i="33"/>
  <c r="DF183" i="33"/>
  <c r="DG183" i="33"/>
  <c r="DF184" i="33"/>
  <c r="DG184" i="33"/>
  <c r="DF188" i="33"/>
  <c r="DG188" i="33"/>
  <c r="DF189" i="33"/>
  <c r="DG189" i="33"/>
  <c r="DF190" i="33"/>
  <c r="DG190" i="33"/>
  <c r="DF191" i="33"/>
  <c r="DG191" i="33"/>
  <c r="DF192" i="33"/>
  <c r="DG192" i="33"/>
  <c r="DF193" i="33"/>
  <c r="DG193" i="33"/>
  <c r="DF194" i="33"/>
  <c r="DG194" i="33"/>
  <c r="DF195" i="33"/>
  <c r="DG195" i="33"/>
  <c r="DF196" i="33"/>
  <c r="DG196" i="33"/>
  <c r="DF197" i="33"/>
  <c r="DG197" i="33"/>
  <c r="DF198" i="33"/>
  <c r="DG198" i="33"/>
  <c r="DF199" i="33"/>
  <c r="DG199" i="33"/>
  <c r="DF200" i="33"/>
  <c r="DN200" i="33" s="1"/>
  <c r="DG200" i="33"/>
  <c r="DO200" i="33" s="1"/>
  <c r="DF201" i="33"/>
  <c r="DG201" i="33"/>
  <c r="DF202" i="33"/>
  <c r="DG202" i="33"/>
  <c r="DF203" i="33"/>
  <c r="DG203" i="33"/>
  <c r="DF204" i="33"/>
  <c r="DG204" i="33"/>
  <c r="DF205" i="33"/>
  <c r="DG205" i="33"/>
  <c r="DF206" i="33"/>
  <c r="DG206" i="33"/>
  <c r="DF207" i="33"/>
  <c r="DG207" i="33"/>
  <c r="DF208" i="33"/>
  <c r="DG208" i="33"/>
  <c r="DF209" i="33"/>
  <c r="DG209" i="33"/>
  <c r="DF210" i="33"/>
  <c r="DG210" i="33"/>
  <c r="DF211" i="33"/>
  <c r="DG211" i="33"/>
  <c r="DF212" i="33"/>
  <c r="DG212" i="33"/>
  <c r="DF213" i="33"/>
  <c r="DG213" i="33"/>
  <c r="DF215" i="33"/>
  <c r="DF214" i="33"/>
  <c r="DF186" i="33"/>
  <c r="DG186" i="33"/>
  <c r="DF187" i="33"/>
  <c r="DG187" i="33"/>
  <c r="BS64" i="33"/>
  <c r="BQ14" i="33"/>
  <c r="BR14" i="33"/>
  <c r="BS14" i="33"/>
  <c r="BU14" i="33"/>
  <c r="BV14" i="33"/>
  <c r="BW14" i="33"/>
  <c r="BX14" i="33"/>
  <c r="BQ15" i="33"/>
  <c r="BR15" i="33"/>
  <c r="BS15" i="33"/>
  <c r="BU15" i="33"/>
  <c r="BV15" i="33"/>
  <c r="BW15" i="33"/>
  <c r="BX15" i="33"/>
  <c r="BQ16" i="33"/>
  <c r="BR16" i="33"/>
  <c r="BS16" i="33"/>
  <c r="BU16" i="33"/>
  <c r="BV16" i="33"/>
  <c r="BW16" i="33"/>
  <c r="BX16" i="33"/>
  <c r="BQ17" i="33"/>
  <c r="BR17" i="33"/>
  <c r="BS17" i="33"/>
  <c r="BU17" i="33"/>
  <c r="BV17" i="33"/>
  <c r="BW17" i="33"/>
  <c r="BX17" i="33"/>
  <c r="BQ18" i="33"/>
  <c r="BR18" i="33"/>
  <c r="BS18" i="33"/>
  <c r="BU18" i="33"/>
  <c r="BV18" i="33"/>
  <c r="BW18" i="33"/>
  <c r="BX18" i="33"/>
  <c r="BQ19" i="33"/>
  <c r="BR19" i="33"/>
  <c r="BS19" i="33"/>
  <c r="BU19" i="33"/>
  <c r="BV19" i="33"/>
  <c r="BW19" i="33"/>
  <c r="BX19" i="33"/>
  <c r="BQ20" i="33"/>
  <c r="BR20" i="33"/>
  <c r="BS20" i="33"/>
  <c r="BU20" i="33"/>
  <c r="BV20" i="33"/>
  <c r="BW20" i="33"/>
  <c r="BX20" i="33"/>
  <c r="BQ21" i="33"/>
  <c r="BR21" i="33"/>
  <c r="BS21" i="33"/>
  <c r="BU21" i="33"/>
  <c r="BV21" i="33"/>
  <c r="BW21" i="33"/>
  <c r="BX21" i="33"/>
  <c r="BQ22" i="33"/>
  <c r="BR22" i="33"/>
  <c r="BS22" i="33"/>
  <c r="BU22" i="33"/>
  <c r="BV22" i="33"/>
  <c r="BW22" i="33"/>
  <c r="BX22" i="33"/>
  <c r="BQ23" i="33"/>
  <c r="BR23" i="33"/>
  <c r="BS23" i="33"/>
  <c r="BU23" i="33"/>
  <c r="BV23" i="33"/>
  <c r="BW23" i="33"/>
  <c r="BX23" i="33"/>
  <c r="BQ24" i="33"/>
  <c r="BR24" i="33"/>
  <c r="BS24" i="33"/>
  <c r="BU24" i="33"/>
  <c r="BV24" i="33"/>
  <c r="BW24" i="33"/>
  <c r="BX24" i="33"/>
  <c r="BQ25" i="33"/>
  <c r="BR25" i="33"/>
  <c r="BS25" i="33"/>
  <c r="BU25" i="33"/>
  <c r="BV25" i="33"/>
  <c r="BW25" i="33"/>
  <c r="BX25" i="33"/>
  <c r="BQ26" i="33"/>
  <c r="BR26" i="33"/>
  <c r="BS26" i="33"/>
  <c r="BU26" i="33"/>
  <c r="BV26" i="33"/>
  <c r="BW26" i="33"/>
  <c r="BX26" i="33"/>
  <c r="BQ28" i="33"/>
  <c r="BR28" i="33"/>
  <c r="BS28" i="33"/>
  <c r="BU28" i="33"/>
  <c r="BV28" i="33"/>
  <c r="BW28" i="33"/>
  <c r="BX28" i="33"/>
  <c r="BQ29" i="33"/>
  <c r="BR29" i="33"/>
  <c r="BS29" i="33"/>
  <c r="BU29" i="33"/>
  <c r="BV29" i="33"/>
  <c r="BW29" i="33"/>
  <c r="BX29" i="33"/>
  <c r="BQ30" i="33"/>
  <c r="BR30" i="33"/>
  <c r="BS30" i="33"/>
  <c r="BU30" i="33"/>
  <c r="BV30" i="33"/>
  <c r="BW30" i="33"/>
  <c r="BX30" i="33"/>
  <c r="BQ31" i="33"/>
  <c r="BR31" i="33"/>
  <c r="BS31" i="33"/>
  <c r="BU31" i="33"/>
  <c r="BV31" i="33"/>
  <c r="BW31" i="33"/>
  <c r="BX31" i="33"/>
  <c r="BQ33" i="33"/>
  <c r="BR33" i="33"/>
  <c r="BS33" i="33"/>
  <c r="BU33" i="33"/>
  <c r="BV33" i="33"/>
  <c r="BW33" i="33"/>
  <c r="BX33" i="33"/>
  <c r="BQ34" i="33"/>
  <c r="BR34" i="33"/>
  <c r="BS34" i="33"/>
  <c r="BU34" i="33"/>
  <c r="BV34" i="33"/>
  <c r="BW34" i="33"/>
  <c r="BX34" i="33"/>
  <c r="BQ36" i="33"/>
  <c r="BR36" i="33"/>
  <c r="BS36" i="33"/>
  <c r="BU36" i="33"/>
  <c r="BV36" i="33"/>
  <c r="BW36" i="33"/>
  <c r="BX36" i="33"/>
  <c r="BQ37" i="33"/>
  <c r="BR37" i="33"/>
  <c r="BS37" i="33"/>
  <c r="BU37" i="33"/>
  <c r="BV37" i="33"/>
  <c r="BW37" i="33"/>
  <c r="BX37" i="33"/>
  <c r="BQ39" i="33"/>
  <c r="BR39" i="33"/>
  <c r="BS39" i="33"/>
  <c r="BU39" i="33"/>
  <c r="BV39" i="33"/>
  <c r="BW39" i="33"/>
  <c r="BX39" i="33"/>
  <c r="BQ40" i="33"/>
  <c r="BR40" i="33"/>
  <c r="BS40" i="33"/>
  <c r="BU40" i="33"/>
  <c r="BV40" i="33"/>
  <c r="BW40" i="33"/>
  <c r="BX40" i="33"/>
  <c r="BQ41" i="33"/>
  <c r="BR41" i="33"/>
  <c r="BS41" i="33"/>
  <c r="BU41" i="33"/>
  <c r="BV41" i="33"/>
  <c r="BW41" i="33"/>
  <c r="BX41" i="33"/>
  <c r="BQ43" i="33"/>
  <c r="BR43" i="33"/>
  <c r="BS43" i="33"/>
  <c r="BU43" i="33"/>
  <c r="BV43" i="33"/>
  <c r="BW43" i="33"/>
  <c r="BX43" i="33"/>
  <c r="BQ44" i="33"/>
  <c r="BR44" i="33"/>
  <c r="BS44" i="33"/>
  <c r="BU44" i="33"/>
  <c r="BV44" i="33"/>
  <c r="BW44" i="33"/>
  <c r="BX44" i="33"/>
  <c r="BQ45" i="33"/>
  <c r="BR45" i="33"/>
  <c r="BS45" i="33"/>
  <c r="BU45" i="33"/>
  <c r="BV45" i="33"/>
  <c r="BW45" i="33"/>
  <c r="BX45" i="33"/>
  <c r="BQ46" i="33"/>
  <c r="BR46" i="33"/>
  <c r="BS46" i="33"/>
  <c r="BU46" i="33"/>
  <c r="BV46" i="33"/>
  <c r="BW46" i="33"/>
  <c r="BX46" i="33"/>
  <c r="BQ47" i="33"/>
  <c r="BR47" i="33"/>
  <c r="BS47" i="33"/>
  <c r="BU47" i="33"/>
  <c r="BV47" i="33"/>
  <c r="BW47" i="33"/>
  <c r="BX47" i="33"/>
  <c r="BQ48" i="33"/>
  <c r="BR48" i="33"/>
  <c r="BS48" i="33"/>
  <c r="BU48" i="33"/>
  <c r="BV48" i="33"/>
  <c r="BW48" i="33"/>
  <c r="BX48" i="33"/>
  <c r="BQ49" i="33"/>
  <c r="BR49" i="33"/>
  <c r="BS49" i="33"/>
  <c r="BU49" i="33"/>
  <c r="BV49" i="33"/>
  <c r="BW49" i="33"/>
  <c r="BX49" i="33"/>
  <c r="BQ50" i="33"/>
  <c r="BR50" i="33"/>
  <c r="BS50" i="33"/>
  <c r="BU50" i="33"/>
  <c r="BV50" i="33"/>
  <c r="BW50" i="33"/>
  <c r="BX50" i="33"/>
  <c r="BQ51" i="33"/>
  <c r="BR51" i="33"/>
  <c r="BS51" i="33"/>
  <c r="BU51" i="33"/>
  <c r="BV51" i="33"/>
  <c r="BW51" i="33"/>
  <c r="BX51" i="33"/>
  <c r="BQ52" i="33"/>
  <c r="BR52" i="33"/>
  <c r="BS52" i="33"/>
  <c r="BU52" i="33"/>
  <c r="BV52" i="33"/>
  <c r="BW52" i="33"/>
  <c r="BX52" i="33"/>
  <c r="BQ53" i="33"/>
  <c r="BR53" i="33"/>
  <c r="BS53" i="33"/>
  <c r="BU53" i="33"/>
  <c r="BV53" i="33"/>
  <c r="BW53" i="33"/>
  <c r="BX53" i="33"/>
  <c r="BQ54" i="33"/>
  <c r="BR54" i="33"/>
  <c r="BS54" i="33"/>
  <c r="BU54" i="33"/>
  <c r="BV54" i="33"/>
  <c r="BW54" i="33"/>
  <c r="BX54" i="33"/>
  <c r="BQ55" i="33"/>
  <c r="BR55" i="33"/>
  <c r="BS55" i="33"/>
  <c r="BU55" i="33"/>
  <c r="BV55" i="33"/>
  <c r="BW55" i="33"/>
  <c r="BX55" i="33"/>
  <c r="BQ56" i="33"/>
  <c r="BR56" i="33"/>
  <c r="BS56" i="33"/>
  <c r="BU56" i="33"/>
  <c r="BV56" i="33"/>
  <c r="BW56" i="33"/>
  <c r="BX56" i="33"/>
  <c r="BQ57" i="33"/>
  <c r="BR57" i="33"/>
  <c r="BS57" i="33"/>
  <c r="BU57" i="33"/>
  <c r="BV57" i="33"/>
  <c r="BW57" i="33"/>
  <c r="BX57" i="33"/>
  <c r="BQ58" i="33"/>
  <c r="BR58" i="33"/>
  <c r="BS58" i="33"/>
  <c r="BU58" i="33"/>
  <c r="BV58" i="33"/>
  <c r="BW58" i="33"/>
  <c r="BX58" i="33"/>
  <c r="BQ59" i="33"/>
  <c r="BR59" i="33"/>
  <c r="BS59" i="33"/>
  <c r="BU59" i="33"/>
  <c r="BV59" i="33"/>
  <c r="BW59" i="33"/>
  <c r="BX59" i="33"/>
  <c r="BQ60" i="33"/>
  <c r="BR60" i="33"/>
  <c r="BS60" i="33"/>
  <c r="BU60" i="33"/>
  <c r="BV60" i="33"/>
  <c r="BW60" i="33"/>
  <c r="BX60" i="33"/>
  <c r="BQ61" i="33"/>
  <c r="BR61" i="33"/>
  <c r="BS61" i="33"/>
  <c r="BU61" i="33"/>
  <c r="BV61" i="33"/>
  <c r="BW61" i="33"/>
  <c r="BX61" i="33"/>
  <c r="BQ62" i="33"/>
  <c r="BR62" i="33"/>
  <c r="BS62" i="33"/>
  <c r="BU62" i="33"/>
  <c r="BV62" i="33"/>
  <c r="BW62" i="33"/>
  <c r="BX62" i="33"/>
  <c r="BQ63" i="33"/>
  <c r="BR63" i="33"/>
  <c r="BS63" i="33"/>
  <c r="BU63" i="33"/>
  <c r="BV63" i="33"/>
  <c r="BW63" i="33"/>
  <c r="BX63" i="33"/>
  <c r="BQ64" i="33"/>
  <c r="BR64" i="33"/>
  <c r="BU64" i="33"/>
  <c r="BV64" i="33"/>
  <c r="BW64" i="33"/>
  <c r="BX64" i="33"/>
  <c r="BQ67" i="33"/>
  <c r="BR67" i="33"/>
  <c r="BS67" i="33"/>
  <c r="BU67" i="33"/>
  <c r="BV67" i="33"/>
  <c r="BW67" i="33"/>
  <c r="BX67" i="33"/>
  <c r="BQ68" i="33"/>
  <c r="BR68" i="33"/>
  <c r="BS68" i="33"/>
  <c r="BU68" i="33"/>
  <c r="BV68" i="33"/>
  <c r="BW68" i="33"/>
  <c r="BX68" i="33"/>
  <c r="BQ69" i="33"/>
  <c r="BR69" i="33"/>
  <c r="BS69" i="33"/>
  <c r="BU69" i="33"/>
  <c r="BV69" i="33"/>
  <c r="BW69" i="33"/>
  <c r="BX69" i="33"/>
  <c r="BQ70" i="33"/>
  <c r="BR70" i="33"/>
  <c r="BS70" i="33"/>
  <c r="BU70" i="33"/>
  <c r="BV70" i="33"/>
  <c r="BW70" i="33"/>
  <c r="BX70" i="33"/>
  <c r="BQ71" i="33"/>
  <c r="BR71" i="33"/>
  <c r="BS71" i="33"/>
  <c r="BU71" i="33"/>
  <c r="BV71" i="33"/>
  <c r="BW71" i="33"/>
  <c r="BX71" i="33"/>
  <c r="BQ74" i="33"/>
  <c r="BR74" i="33"/>
  <c r="BS74" i="33"/>
  <c r="BU74" i="33"/>
  <c r="BV74" i="33"/>
  <c r="BW74" i="33"/>
  <c r="BX74" i="33"/>
  <c r="BQ75" i="33"/>
  <c r="BR75" i="33"/>
  <c r="BS75" i="33"/>
  <c r="BU75" i="33"/>
  <c r="BV75" i="33"/>
  <c r="BW75" i="33"/>
  <c r="BX75" i="33"/>
  <c r="BQ76" i="33"/>
  <c r="BR76" i="33"/>
  <c r="BS76" i="33"/>
  <c r="BU76" i="33"/>
  <c r="BV76" i="33"/>
  <c r="BW76" i="33"/>
  <c r="BX76" i="33"/>
  <c r="BQ77" i="33"/>
  <c r="BR77" i="33"/>
  <c r="BS77" i="33"/>
  <c r="BU77" i="33"/>
  <c r="BV77" i="33"/>
  <c r="BW77" i="33"/>
  <c r="BX77" i="33"/>
  <c r="BQ78" i="33"/>
  <c r="BR78" i="33"/>
  <c r="BS78" i="33"/>
  <c r="BU78" i="33"/>
  <c r="BV78" i="33"/>
  <c r="BW78" i="33"/>
  <c r="BX78" i="33"/>
  <c r="BQ79" i="33"/>
  <c r="BR79" i="33"/>
  <c r="BS79" i="33"/>
  <c r="BU79" i="33"/>
  <c r="BV79" i="33"/>
  <c r="BW79" i="33"/>
  <c r="BX79" i="33"/>
  <c r="BQ80" i="33"/>
  <c r="BR80" i="33"/>
  <c r="BS80" i="33"/>
  <c r="BU80" i="33"/>
  <c r="BV80" i="33"/>
  <c r="BW80" i="33"/>
  <c r="BX80" i="33"/>
  <c r="BQ81" i="33"/>
  <c r="BR81" i="33"/>
  <c r="BS81" i="33"/>
  <c r="BU81" i="33"/>
  <c r="BV81" i="33"/>
  <c r="BW81" i="33"/>
  <c r="BX81" i="33"/>
  <c r="BQ82" i="33"/>
  <c r="BR82" i="33"/>
  <c r="BS82" i="33"/>
  <c r="BU82" i="33"/>
  <c r="BV82" i="33"/>
  <c r="BW82" i="33"/>
  <c r="BX82" i="33"/>
  <c r="BQ83" i="33"/>
  <c r="BR83" i="33"/>
  <c r="BS83" i="33"/>
  <c r="BU83" i="33"/>
  <c r="BV83" i="33"/>
  <c r="BW83" i="33"/>
  <c r="BX83" i="33"/>
  <c r="BQ84" i="33"/>
  <c r="BR84" i="33"/>
  <c r="BS84" i="33"/>
  <c r="BU84" i="33"/>
  <c r="BV84" i="33"/>
  <c r="BW84" i="33"/>
  <c r="BX84" i="33"/>
  <c r="BQ85" i="33"/>
  <c r="BR85" i="33"/>
  <c r="BS85" i="33"/>
  <c r="BU85" i="33"/>
  <c r="BV85" i="33"/>
  <c r="BW85" i="33"/>
  <c r="BX85" i="33"/>
  <c r="BQ86" i="33"/>
  <c r="BR86" i="33"/>
  <c r="BS86" i="33"/>
  <c r="BU86" i="33"/>
  <c r="BV86" i="33"/>
  <c r="BW86" i="33"/>
  <c r="BX86" i="33"/>
  <c r="BQ87" i="33"/>
  <c r="BR87" i="33"/>
  <c r="BS87" i="33"/>
  <c r="BU87" i="33"/>
  <c r="BV87" i="33"/>
  <c r="BW87" i="33"/>
  <c r="BX87" i="33"/>
  <c r="BQ88" i="33"/>
  <c r="BR88" i="33"/>
  <c r="BS88" i="33"/>
  <c r="BU88" i="33"/>
  <c r="BV88" i="33"/>
  <c r="BW88" i="33"/>
  <c r="BX88" i="33"/>
  <c r="BQ89" i="33"/>
  <c r="BR89" i="33"/>
  <c r="BS89" i="33"/>
  <c r="BU89" i="33"/>
  <c r="BV89" i="33"/>
  <c r="BW89" i="33"/>
  <c r="BX89" i="33"/>
  <c r="BQ90" i="33"/>
  <c r="BR90" i="33"/>
  <c r="BS90" i="33"/>
  <c r="BU90" i="33"/>
  <c r="BV90" i="33"/>
  <c r="BW90" i="33"/>
  <c r="BX90" i="33"/>
  <c r="BQ91" i="33"/>
  <c r="BR91" i="33"/>
  <c r="BS91" i="33"/>
  <c r="BU91" i="33"/>
  <c r="BV91" i="33"/>
  <c r="BW91" i="33"/>
  <c r="BX91" i="33"/>
  <c r="BQ92" i="33"/>
  <c r="BR92" i="33"/>
  <c r="BS92" i="33"/>
  <c r="BU92" i="33"/>
  <c r="BV92" i="33"/>
  <c r="BW92" i="33"/>
  <c r="BX92" i="33"/>
  <c r="BQ93" i="33"/>
  <c r="BR93" i="33"/>
  <c r="BS93" i="33"/>
  <c r="BU93" i="33"/>
  <c r="BV93" i="33"/>
  <c r="BW93" i="33"/>
  <c r="BX93" i="33"/>
  <c r="BQ94" i="33"/>
  <c r="BR94" i="33"/>
  <c r="BS94" i="33"/>
  <c r="BU94" i="33"/>
  <c r="BV94" i="33"/>
  <c r="BW94" i="33"/>
  <c r="BX94" i="33"/>
  <c r="BQ13" i="33"/>
  <c r="DF14" i="33"/>
  <c r="DG14" i="33"/>
  <c r="DH14" i="33"/>
  <c r="DJ14" i="33"/>
  <c r="DK14" i="33"/>
  <c r="DL14" i="33"/>
  <c r="DM14" i="33"/>
  <c r="DF15" i="33"/>
  <c r="DG15" i="33"/>
  <c r="DH15" i="33"/>
  <c r="DJ15" i="33"/>
  <c r="DK15" i="33"/>
  <c r="DL15" i="33"/>
  <c r="DM15" i="33"/>
  <c r="DF16" i="33"/>
  <c r="DG16" i="33"/>
  <c r="DH16" i="33"/>
  <c r="DJ16" i="33"/>
  <c r="DK16" i="33"/>
  <c r="DL16" i="33"/>
  <c r="DM16" i="33"/>
  <c r="DF17" i="33"/>
  <c r="DG17" i="33"/>
  <c r="DH17" i="33"/>
  <c r="DJ17" i="33"/>
  <c r="DK17" i="33"/>
  <c r="DL17" i="33"/>
  <c r="DM17" i="33"/>
  <c r="DF18" i="33"/>
  <c r="DG18" i="33"/>
  <c r="DH18" i="33"/>
  <c r="DJ18" i="33"/>
  <c r="DK18" i="33"/>
  <c r="DL18" i="33"/>
  <c r="DM18" i="33"/>
  <c r="DF19" i="33"/>
  <c r="DG19" i="33"/>
  <c r="DH19" i="33"/>
  <c r="DJ19" i="33"/>
  <c r="DK19" i="33"/>
  <c r="DL19" i="33"/>
  <c r="DM19" i="33"/>
  <c r="DF20" i="33"/>
  <c r="DG20" i="33"/>
  <c r="DH20" i="33"/>
  <c r="DJ20" i="33"/>
  <c r="DK20" i="33"/>
  <c r="DL20" i="33"/>
  <c r="DM20" i="33"/>
  <c r="DF21" i="33"/>
  <c r="DG21" i="33"/>
  <c r="DH21" i="33"/>
  <c r="DJ21" i="33"/>
  <c r="DK21" i="33"/>
  <c r="DL21" i="33"/>
  <c r="DM21" i="33"/>
  <c r="DF22" i="33"/>
  <c r="DG22" i="33"/>
  <c r="DH22" i="33"/>
  <c r="DJ22" i="33"/>
  <c r="DK22" i="33"/>
  <c r="DL22" i="33"/>
  <c r="DM22" i="33"/>
  <c r="DF23" i="33"/>
  <c r="DG23" i="33"/>
  <c r="DH23" i="33"/>
  <c r="DJ23" i="33"/>
  <c r="DK23" i="33"/>
  <c r="DL23" i="33"/>
  <c r="DM23" i="33"/>
  <c r="DF24" i="33"/>
  <c r="DG24" i="33"/>
  <c r="DH24" i="33"/>
  <c r="DJ24" i="33"/>
  <c r="DK24" i="33"/>
  <c r="DL24" i="33"/>
  <c r="DM24" i="33"/>
  <c r="DF25" i="33"/>
  <c r="DG25" i="33"/>
  <c r="DH25" i="33"/>
  <c r="DJ25" i="33"/>
  <c r="DK25" i="33"/>
  <c r="DL25" i="33"/>
  <c r="DM25" i="33"/>
  <c r="DF26" i="33"/>
  <c r="DG26" i="33"/>
  <c r="DH26" i="33"/>
  <c r="DJ26" i="33"/>
  <c r="DK26" i="33"/>
  <c r="DL26" i="33"/>
  <c r="DM26" i="33"/>
  <c r="DF28" i="33"/>
  <c r="DG28" i="33"/>
  <c r="DH28" i="33"/>
  <c r="DJ28" i="33"/>
  <c r="DK28" i="33"/>
  <c r="DL28" i="33"/>
  <c r="DM28" i="33"/>
  <c r="DF29" i="33"/>
  <c r="DG29" i="33"/>
  <c r="DH29" i="33"/>
  <c r="DJ29" i="33"/>
  <c r="DK29" i="33"/>
  <c r="DL29" i="33"/>
  <c r="DM29" i="33"/>
  <c r="DF30" i="33"/>
  <c r="DG30" i="33"/>
  <c r="DH30" i="33"/>
  <c r="DJ30" i="33"/>
  <c r="DK30" i="33"/>
  <c r="DL30" i="33"/>
  <c r="DM30" i="33"/>
  <c r="DF31" i="33"/>
  <c r="DG31" i="33"/>
  <c r="DH31" i="33"/>
  <c r="DJ31" i="33"/>
  <c r="DK31" i="33"/>
  <c r="DL31" i="33"/>
  <c r="DM31" i="33"/>
  <c r="DF33" i="33"/>
  <c r="DG33" i="33"/>
  <c r="DH33" i="33"/>
  <c r="DJ33" i="33"/>
  <c r="DK33" i="33"/>
  <c r="DL33" i="33"/>
  <c r="DM33" i="33"/>
  <c r="DF34" i="33"/>
  <c r="DG34" i="33"/>
  <c r="DH34" i="33"/>
  <c r="DJ34" i="33"/>
  <c r="DK34" i="33"/>
  <c r="DL34" i="33"/>
  <c r="DM34" i="33"/>
  <c r="DF36" i="33"/>
  <c r="DG36" i="33"/>
  <c r="DH36" i="33"/>
  <c r="DJ36" i="33"/>
  <c r="DK36" i="33"/>
  <c r="DL36" i="33"/>
  <c r="DM36" i="33"/>
  <c r="DF37" i="33"/>
  <c r="DG37" i="33"/>
  <c r="DH37" i="33"/>
  <c r="DJ37" i="33"/>
  <c r="DK37" i="33"/>
  <c r="DL37" i="33"/>
  <c r="DM37" i="33"/>
  <c r="DF39" i="33"/>
  <c r="DG39" i="33"/>
  <c r="DH39" i="33"/>
  <c r="DJ39" i="33"/>
  <c r="DK39" i="33"/>
  <c r="DL39" i="33"/>
  <c r="DM39" i="33"/>
  <c r="DF40" i="33"/>
  <c r="DG40" i="33"/>
  <c r="DH40" i="33"/>
  <c r="DJ40" i="33"/>
  <c r="DK40" i="33"/>
  <c r="DL40" i="33"/>
  <c r="DM40" i="33"/>
  <c r="DF41" i="33"/>
  <c r="DG41" i="33"/>
  <c r="DH41" i="33"/>
  <c r="DJ41" i="33"/>
  <c r="DK41" i="33"/>
  <c r="DL41" i="33"/>
  <c r="DM41" i="33"/>
  <c r="DF43" i="33"/>
  <c r="DG43" i="33"/>
  <c r="DH43" i="33"/>
  <c r="DJ43" i="33"/>
  <c r="DK43" i="33"/>
  <c r="DL43" i="33"/>
  <c r="DM43" i="33"/>
  <c r="DF44" i="33"/>
  <c r="DG44" i="33"/>
  <c r="DH44" i="33"/>
  <c r="DJ44" i="33"/>
  <c r="DK44" i="33"/>
  <c r="DL44" i="33"/>
  <c r="DM44" i="33"/>
  <c r="DF45" i="33"/>
  <c r="DG45" i="33"/>
  <c r="DH45" i="33"/>
  <c r="DJ45" i="33"/>
  <c r="DK45" i="33"/>
  <c r="DL45" i="33"/>
  <c r="DM45" i="33"/>
  <c r="DF46" i="33"/>
  <c r="DG46" i="33"/>
  <c r="DH46" i="33"/>
  <c r="DJ46" i="33"/>
  <c r="DK46" i="33"/>
  <c r="DL46" i="33"/>
  <c r="DM46" i="33"/>
  <c r="DF47" i="33"/>
  <c r="DG47" i="33"/>
  <c r="DH47" i="33"/>
  <c r="DJ47" i="33"/>
  <c r="DK47" i="33"/>
  <c r="DL47" i="33"/>
  <c r="DM47" i="33"/>
  <c r="DF48" i="33"/>
  <c r="DG48" i="33"/>
  <c r="DH48" i="33"/>
  <c r="DJ48" i="33"/>
  <c r="DK48" i="33"/>
  <c r="DL48" i="33"/>
  <c r="DM48" i="33"/>
  <c r="DF49" i="33"/>
  <c r="DG49" i="33"/>
  <c r="DH49" i="33"/>
  <c r="DJ49" i="33"/>
  <c r="DK49" i="33"/>
  <c r="DL49" i="33"/>
  <c r="DM49" i="33"/>
  <c r="DF50" i="33"/>
  <c r="DG50" i="33"/>
  <c r="DH50" i="33"/>
  <c r="DJ50" i="33"/>
  <c r="DK50" i="33"/>
  <c r="DL50" i="33"/>
  <c r="DM50" i="33"/>
  <c r="DF51" i="33"/>
  <c r="DG51" i="33"/>
  <c r="DH51" i="33"/>
  <c r="DJ51" i="33"/>
  <c r="DK51" i="33"/>
  <c r="DL51" i="33"/>
  <c r="DM51" i="33"/>
  <c r="DF52" i="33"/>
  <c r="DG52" i="33"/>
  <c r="DH52" i="33"/>
  <c r="DJ52" i="33"/>
  <c r="DK52" i="33"/>
  <c r="DL52" i="33"/>
  <c r="DM52" i="33"/>
  <c r="DF53" i="33"/>
  <c r="DG53" i="33"/>
  <c r="DH53" i="33"/>
  <c r="DJ53" i="33"/>
  <c r="DK53" i="33"/>
  <c r="DL53" i="33"/>
  <c r="DM53" i="33"/>
  <c r="DF54" i="33"/>
  <c r="DG54" i="33"/>
  <c r="DH54" i="33"/>
  <c r="DJ54" i="33"/>
  <c r="DK54" i="33"/>
  <c r="DL54" i="33"/>
  <c r="DM54" i="33"/>
  <c r="DF55" i="33"/>
  <c r="DG55" i="33"/>
  <c r="DH55" i="33"/>
  <c r="DJ55" i="33"/>
  <c r="DK55" i="33"/>
  <c r="DL55" i="33"/>
  <c r="DM55" i="33"/>
  <c r="DF56" i="33"/>
  <c r="DG56" i="33"/>
  <c r="DH56" i="33"/>
  <c r="DJ56" i="33"/>
  <c r="DK56" i="33"/>
  <c r="DL56" i="33"/>
  <c r="DM56" i="33"/>
  <c r="DF57" i="33"/>
  <c r="DG57" i="33"/>
  <c r="DH57" i="33"/>
  <c r="DJ57" i="33"/>
  <c r="DK57" i="33"/>
  <c r="DL57" i="33"/>
  <c r="DM57" i="33"/>
  <c r="DF58" i="33"/>
  <c r="DG58" i="33"/>
  <c r="DH58" i="33"/>
  <c r="DJ58" i="33"/>
  <c r="DK58" i="33"/>
  <c r="DL58" i="33"/>
  <c r="DM58" i="33"/>
  <c r="DF59" i="33"/>
  <c r="DG59" i="33"/>
  <c r="DH59" i="33"/>
  <c r="DJ59" i="33"/>
  <c r="DK59" i="33"/>
  <c r="DL59" i="33"/>
  <c r="DM59" i="33"/>
  <c r="DF60" i="33"/>
  <c r="DG60" i="33"/>
  <c r="DH60" i="33"/>
  <c r="DJ60" i="33"/>
  <c r="DK60" i="33"/>
  <c r="DL60" i="33"/>
  <c r="DM60" i="33"/>
  <c r="DF61" i="33"/>
  <c r="DG61" i="33"/>
  <c r="DH61" i="33"/>
  <c r="DJ61" i="33"/>
  <c r="DK61" i="33"/>
  <c r="DL61" i="33"/>
  <c r="DM61" i="33"/>
  <c r="DF62" i="33"/>
  <c r="DG62" i="33"/>
  <c r="DH62" i="33"/>
  <c r="DJ62" i="33"/>
  <c r="DK62" i="33"/>
  <c r="DL62" i="33"/>
  <c r="DM62" i="33"/>
  <c r="DF63" i="33"/>
  <c r="DG63" i="33"/>
  <c r="DH63" i="33"/>
  <c r="DJ63" i="33"/>
  <c r="DK63" i="33"/>
  <c r="DL63" i="33"/>
  <c r="DM63" i="33"/>
  <c r="DF64" i="33"/>
  <c r="DG64" i="33"/>
  <c r="DH64" i="33"/>
  <c r="DJ64" i="33"/>
  <c r="DK64" i="33"/>
  <c r="DL64" i="33"/>
  <c r="DM64" i="33"/>
  <c r="DF67" i="33"/>
  <c r="DG67" i="33"/>
  <c r="DH67" i="33"/>
  <c r="DJ67" i="33"/>
  <c r="DK67" i="33"/>
  <c r="DL67" i="33"/>
  <c r="DM67" i="33"/>
  <c r="DF68" i="33"/>
  <c r="DG68" i="33"/>
  <c r="DH68" i="33"/>
  <c r="DJ68" i="33"/>
  <c r="DK68" i="33"/>
  <c r="DL68" i="33"/>
  <c r="DM68" i="33"/>
  <c r="DF69" i="33"/>
  <c r="DG69" i="33"/>
  <c r="DH69" i="33"/>
  <c r="DJ69" i="33"/>
  <c r="DK69" i="33"/>
  <c r="DL69" i="33"/>
  <c r="DM69" i="33"/>
  <c r="DF70" i="33"/>
  <c r="DG70" i="33"/>
  <c r="DH70" i="33"/>
  <c r="DJ70" i="33"/>
  <c r="DK70" i="33"/>
  <c r="DL70" i="33"/>
  <c r="DM70" i="33"/>
  <c r="DF71" i="33"/>
  <c r="DG71" i="33"/>
  <c r="DH71" i="33"/>
  <c r="DJ71" i="33"/>
  <c r="DK71" i="33"/>
  <c r="DL71" i="33"/>
  <c r="DM71" i="33"/>
  <c r="DM13" i="33"/>
  <c r="DL13" i="33"/>
  <c r="DK13" i="33"/>
  <c r="DJ13" i="33"/>
  <c r="DH13" i="33"/>
  <c r="DG13" i="33"/>
  <c r="DF13" i="33"/>
  <c r="DF75" i="33"/>
  <c r="DG75" i="33"/>
  <c r="DH75" i="33"/>
  <c r="DJ75" i="33"/>
  <c r="DK75" i="33"/>
  <c r="DL75" i="33"/>
  <c r="DM75" i="33"/>
  <c r="DF76" i="33"/>
  <c r="DG76" i="33"/>
  <c r="DH76" i="33"/>
  <c r="DJ76" i="33"/>
  <c r="DK76" i="33"/>
  <c r="DL76" i="33"/>
  <c r="DM76" i="33"/>
  <c r="DF77" i="33"/>
  <c r="DG77" i="33"/>
  <c r="DH77" i="33"/>
  <c r="DJ77" i="33"/>
  <c r="DK77" i="33"/>
  <c r="DL77" i="33"/>
  <c r="DM77" i="33"/>
  <c r="DF78" i="33"/>
  <c r="DG78" i="33"/>
  <c r="DH78" i="33"/>
  <c r="DJ78" i="33"/>
  <c r="DK78" i="33"/>
  <c r="DL78" i="33"/>
  <c r="DM78" i="33"/>
  <c r="DF79" i="33"/>
  <c r="DG79" i="33"/>
  <c r="DH79" i="33"/>
  <c r="DJ79" i="33"/>
  <c r="DK79" i="33"/>
  <c r="DL79" i="33"/>
  <c r="DM79" i="33"/>
  <c r="DF80" i="33"/>
  <c r="DG80" i="33"/>
  <c r="DH80" i="33"/>
  <c r="DJ80" i="33"/>
  <c r="DK80" i="33"/>
  <c r="DL80" i="33"/>
  <c r="DM80" i="33"/>
  <c r="DF81" i="33"/>
  <c r="DG81" i="33"/>
  <c r="DH81" i="33"/>
  <c r="DJ81" i="33"/>
  <c r="DK81" i="33"/>
  <c r="DL81" i="33"/>
  <c r="DM81" i="33"/>
  <c r="DF82" i="33"/>
  <c r="DG82" i="33"/>
  <c r="DH82" i="33"/>
  <c r="DJ82" i="33"/>
  <c r="DK82" i="33"/>
  <c r="DL82" i="33"/>
  <c r="DM82" i="33"/>
  <c r="DF83" i="33"/>
  <c r="DG83" i="33"/>
  <c r="DH83" i="33"/>
  <c r="DJ83" i="33"/>
  <c r="DK83" i="33"/>
  <c r="DL83" i="33"/>
  <c r="DM83" i="33"/>
  <c r="DF84" i="33"/>
  <c r="DG84" i="33"/>
  <c r="DH84" i="33"/>
  <c r="DJ84" i="33"/>
  <c r="DK84" i="33"/>
  <c r="DL84" i="33"/>
  <c r="DM84" i="33"/>
  <c r="DF85" i="33"/>
  <c r="DG85" i="33"/>
  <c r="DH85" i="33"/>
  <c r="DJ85" i="33"/>
  <c r="DK85" i="33"/>
  <c r="DL85" i="33"/>
  <c r="DM85" i="33"/>
  <c r="DF86" i="33"/>
  <c r="DG86" i="33"/>
  <c r="DH86" i="33"/>
  <c r="DJ86" i="33"/>
  <c r="DK86" i="33"/>
  <c r="DL86" i="33"/>
  <c r="DM86" i="33"/>
  <c r="DF87" i="33"/>
  <c r="DG87" i="33"/>
  <c r="DH87" i="33"/>
  <c r="DJ87" i="33"/>
  <c r="DK87" i="33"/>
  <c r="DL87" i="33"/>
  <c r="DM87" i="33"/>
  <c r="DF88" i="33"/>
  <c r="DG88" i="33"/>
  <c r="DH88" i="33"/>
  <c r="DJ88" i="33"/>
  <c r="DK88" i="33"/>
  <c r="DL88" i="33"/>
  <c r="DM88" i="33"/>
  <c r="DF89" i="33"/>
  <c r="DG89" i="33"/>
  <c r="DH89" i="33"/>
  <c r="DJ89" i="33"/>
  <c r="DK89" i="33"/>
  <c r="DL89" i="33"/>
  <c r="DM89" i="33"/>
  <c r="DF90" i="33"/>
  <c r="DG90" i="33"/>
  <c r="DH90" i="33"/>
  <c r="DJ90" i="33"/>
  <c r="DK90" i="33"/>
  <c r="DL90" i="33"/>
  <c r="DM90" i="33"/>
  <c r="DF91" i="33"/>
  <c r="DG91" i="33"/>
  <c r="DH91" i="33"/>
  <c r="DJ91" i="33"/>
  <c r="DK91" i="33"/>
  <c r="DL91" i="33"/>
  <c r="DM91" i="33"/>
  <c r="DF92" i="33"/>
  <c r="DG92" i="33"/>
  <c r="DH92" i="33"/>
  <c r="DJ92" i="33"/>
  <c r="DK92" i="33"/>
  <c r="DL92" i="33"/>
  <c r="DM92" i="33"/>
  <c r="DF93" i="33"/>
  <c r="DG93" i="33"/>
  <c r="DH93" i="33"/>
  <c r="DJ93" i="33"/>
  <c r="DK93" i="33"/>
  <c r="DL93" i="33"/>
  <c r="DM93" i="33"/>
  <c r="DF94" i="33"/>
  <c r="DG94" i="33"/>
  <c r="DH94" i="33"/>
  <c r="DJ94" i="33"/>
  <c r="DK94" i="33"/>
  <c r="DL94" i="33"/>
  <c r="DM94" i="33"/>
  <c r="DF74" i="33"/>
  <c r="BQ119" i="33"/>
  <c r="BR119" i="33"/>
  <c r="BS119" i="33"/>
  <c r="BU119" i="33"/>
  <c r="BV119" i="33"/>
  <c r="BW119" i="33"/>
  <c r="BX119" i="33"/>
  <c r="BQ106" i="33"/>
  <c r="BR106" i="33"/>
  <c r="BS106" i="33"/>
  <c r="BU106" i="33"/>
  <c r="BV106" i="33"/>
  <c r="BW106" i="33"/>
  <c r="BX106" i="33"/>
  <c r="BQ107" i="33"/>
  <c r="BR107" i="33"/>
  <c r="BS107" i="33"/>
  <c r="BU107" i="33"/>
  <c r="BV107" i="33"/>
  <c r="BW107" i="33"/>
  <c r="BX107" i="33"/>
  <c r="BQ108" i="33"/>
  <c r="BR108" i="33"/>
  <c r="BS108" i="33"/>
  <c r="BU108" i="33"/>
  <c r="BV108" i="33"/>
  <c r="BW108" i="33"/>
  <c r="BX108" i="33"/>
  <c r="BQ109" i="33"/>
  <c r="BR109" i="33"/>
  <c r="BS109" i="33"/>
  <c r="BU109" i="33"/>
  <c r="BV109" i="33"/>
  <c r="BW109" i="33"/>
  <c r="BX109" i="33"/>
  <c r="BQ110" i="33"/>
  <c r="BR110" i="33"/>
  <c r="BS110" i="33"/>
  <c r="BU110" i="33"/>
  <c r="BV110" i="33"/>
  <c r="BW110" i="33"/>
  <c r="BX110" i="33"/>
  <c r="BQ141" i="33"/>
  <c r="BR141" i="33"/>
  <c r="BS141" i="33"/>
  <c r="BU141" i="33"/>
  <c r="BV141" i="33"/>
  <c r="BW141" i="33"/>
  <c r="BX141" i="33"/>
  <c r="BQ116" i="33"/>
  <c r="BR116" i="33"/>
  <c r="BS116" i="33"/>
  <c r="BU116" i="33"/>
  <c r="BV116" i="33"/>
  <c r="BW116" i="33"/>
  <c r="BX116" i="33"/>
  <c r="BQ131" i="33"/>
  <c r="BR131" i="33"/>
  <c r="BS131" i="33"/>
  <c r="BU131" i="33"/>
  <c r="BV131" i="33"/>
  <c r="BW131" i="33"/>
  <c r="BX131" i="33"/>
  <c r="BQ111" i="33"/>
  <c r="BR111" i="33"/>
  <c r="BS111" i="33"/>
  <c r="BU111" i="33"/>
  <c r="BV111" i="33"/>
  <c r="BW111" i="33"/>
  <c r="BX111" i="33"/>
  <c r="BQ112" i="33"/>
  <c r="BR112" i="33"/>
  <c r="BS112" i="33"/>
  <c r="BU112" i="33"/>
  <c r="BV112" i="33"/>
  <c r="BW112" i="33"/>
  <c r="BX112" i="33"/>
  <c r="BQ113" i="33"/>
  <c r="BR113" i="33"/>
  <c r="BS113" i="33"/>
  <c r="BU113" i="33"/>
  <c r="BV113" i="33"/>
  <c r="BW113" i="33"/>
  <c r="BX113" i="33"/>
  <c r="BQ114" i="33"/>
  <c r="BR114" i="33"/>
  <c r="BS114" i="33"/>
  <c r="BU114" i="33"/>
  <c r="BV114" i="33"/>
  <c r="BW114" i="33"/>
  <c r="BX114" i="33"/>
  <c r="BQ115" i="33"/>
  <c r="BR115" i="33"/>
  <c r="BS115" i="33"/>
  <c r="BU115" i="33"/>
  <c r="BV115" i="33"/>
  <c r="BW115" i="33"/>
  <c r="BX115" i="33"/>
  <c r="BQ122" i="33"/>
  <c r="BR122" i="33"/>
  <c r="BS122" i="33"/>
  <c r="BU122" i="33"/>
  <c r="BV122" i="33"/>
  <c r="BW122" i="33"/>
  <c r="BX122" i="33"/>
  <c r="BQ125" i="33"/>
  <c r="BR125" i="33"/>
  <c r="BS125" i="33"/>
  <c r="BU125" i="33"/>
  <c r="BV125" i="33"/>
  <c r="BW125" i="33"/>
  <c r="BX125" i="33"/>
  <c r="BQ127" i="33"/>
  <c r="BR127" i="33"/>
  <c r="BS127" i="33"/>
  <c r="BU127" i="33"/>
  <c r="BV127" i="33"/>
  <c r="BW127" i="33"/>
  <c r="BX127" i="33"/>
  <c r="BQ128" i="33"/>
  <c r="BR128" i="33"/>
  <c r="BS128" i="33"/>
  <c r="BU128" i="33"/>
  <c r="BV128" i="33"/>
  <c r="BW128" i="33"/>
  <c r="BX128" i="33"/>
  <c r="BQ129" i="33"/>
  <c r="BR129" i="33"/>
  <c r="BS129" i="33"/>
  <c r="BU129" i="33"/>
  <c r="BV129" i="33"/>
  <c r="BW129" i="33"/>
  <c r="BX129" i="33"/>
  <c r="BQ124" i="33"/>
  <c r="BR124" i="33"/>
  <c r="BS124" i="33"/>
  <c r="BU124" i="33"/>
  <c r="BV124" i="33"/>
  <c r="BW124" i="33"/>
  <c r="BX124" i="33"/>
  <c r="BQ130" i="33"/>
  <c r="BR130" i="33"/>
  <c r="BS130" i="33"/>
  <c r="BU130" i="33"/>
  <c r="BV130" i="33"/>
  <c r="BW130" i="33"/>
  <c r="BX130" i="33"/>
  <c r="BQ132" i="33"/>
  <c r="BR132" i="33"/>
  <c r="BS132" i="33"/>
  <c r="BU132" i="33"/>
  <c r="BV132" i="33"/>
  <c r="BW132" i="33"/>
  <c r="BX132" i="33"/>
  <c r="BQ120" i="33"/>
  <c r="BR120" i="33"/>
  <c r="BS120" i="33"/>
  <c r="BU120" i="33"/>
  <c r="BV120" i="33"/>
  <c r="BW120" i="33"/>
  <c r="BX120" i="33"/>
  <c r="BQ133" i="33"/>
  <c r="BR133" i="33"/>
  <c r="BS133" i="33"/>
  <c r="BU133" i="33"/>
  <c r="BV133" i="33"/>
  <c r="BW133" i="33"/>
  <c r="BX133" i="33"/>
  <c r="BQ121" i="33"/>
  <c r="BR121" i="33"/>
  <c r="BS121" i="33"/>
  <c r="BU121" i="33"/>
  <c r="BV121" i="33"/>
  <c r="BW121" i="33"/>
  <c r="BX121" i="33"/>
  <c r="BQ134" i="33"/>
  <c r="BR134" i="33"/>
  <c r="BS134" i="33"/>
  <c r="BU134" i="33"/>
  <c r="BV134" i="33"/>
  <c r="BW134" i="33"/>
  <c r="BX134" i="33"/>
  <c r="BQ135" i="33"/>
  <c r="BR135" i="33"/>
  <c r="BS135" i="33"/>
  <c r="BU135" i="33"/>
  <c r="BV135" i="33"/>
  <c r="BW135" i="33"/>
  <c r="BX135" i="33"/>
  <c r="BQ136" i="33"/>
  <c r="BR136" i="33"/>
  <c r="BS136" i="33"/>
  <c r="BU136" i="33"/>
  <c r="BV136" i="33"/>
  <c r="BW136" i="33"/>
  <c r="BX136" i="33"/>
  <c r="BQ137" i="33"/>
  <c r="BR137" i="33"/>
  <c r="BS137" i="33"/>
  <c r="BU137" i="33"/>
  <c r="BV137" i="33"/>
  <c r="BW137" i="33"/>
  <c r="BX137" i="33"/>
  <c r="BQ139" i="33"/>
  <c r="BR139" i="33"/>
  <c r="BS139" i="33"/>
  <c r="BU139" i="33"/>
  <c r="BV139" i="33"/>
  <c r="BW139" i="33"/>
  <c r="BX139" i="33"/>
  <c r="BQ142" i="33"/>
  <c r="BR142" i="33"/>
  <c r="BS142" i="33"/>
  <c r="BU142" i="33"/>
  <c r="BV142" i="33"/>
  <c r="BW142" i="33"/>
  <c r="BX142" i="33"/>
  <c r="BQ105" i="33"/>
  <c r="BU146" i="33"/>
  <c r="BV146" i="33"/>
  <c r="BW146" i="33"/>
  <c r="BX146" i="33"/>
  <c r="BU147" i="33"/>
  <c r="BV147" i="33"/>
  <c r="BW147" i="33"/>
  <c r="BX147" i="33"/>
  <c r="BU148" i="33"/>
  <c r="BV148" i="33"/>
  <c r="BW148" i="33"/>
  <c r="BX148" i="33"/>
  <c r="BU149" i="33"/>
  <c r="BV149" i="33"/>
  <c r="BW149" i="33"/>
  <c r="BX149" i="33"/>
  <c r="BU150" i="33"/>
  <c r="BV150" i="33"/>
  <c r="BW150" i="33"/>
  <c r="BX150" i="33"/>
  <c r="BU151" i="33"/>
  <c r="BV151" i="33"/>
  <c r="BW151" i="33"/>
  <c r="BX151" i="33"/>
  <c r="BU152" i="33"/>
  <c r="BV152" i="33"/>
  <c r="BW152" i="33"/>
  <c r="BX152" i="33"/>
  <c r="BU153" i="33"/>
  <c r="BV153" i="33"/>
  <c r="BW153" i="33"/>
  <c r="BX153" i="33"/>
  <c r="BU155" i="33"/>
  <c r="BV155" i="33"/>
  <c r="BW155" i="33"/>
  <c r="BX155" i="33"/>
  <c r="BU156" i="33"/>
  <c r="BV156" i="33"/>
  <c r="BW156" i="33"/>
  <c r="BX156" i="33"/>
  <c r="BU157" i="33"/>
  <c r="BV157" i="33"/>
  <c r="BW157" i="33"/>
  <c r="BX157" i="33"/>
  <c r="BU158" i="33"/>
  <c r="BV158" i="33"/>
  <c r="BW158" i="33"/>
  <c r="BX158" i="33"/>
  <c r="BU159" i="33"/>
  <c r="BV159" i="33"/>
  <c r="BW159" i="33"/>
  <c r="BX159" i="33"/>
  <c r="BU160" i="33"/>
  <c r="BV160" i="33"/>
  <c r="BW160" i="33"/>
  <c r="BX160" i="33"/>
  <c r="BU161" i="33"/>
  <c r="BV161" i="33"/>
  <c r="BW161" i="33"/>
  <c r="BX161" i="33"/>
  <c r="BU162" i="33"/>
  <c r="BV162" i="33"/>
  <c r="BW162" i="33"/>
  <c r="BX162" i="33"/>
  <c r="BU163" i="33"/>
  <c r="BV163" i="33"/>
  <c r="BW163" i="33"/>
  <c r="BX163" i="33"/>
  <c r="BU164" i="33"/>
  <c r="BV164" i="33"/>
  <c r="BW164" i="33"/>
  <c r="BX164" i="33"/>
  <c r="BU165" i="33"/>
  <c r="BV165" i="33"/>
  <c r="BW165" i="33"/>
  <c r="BX165" i="33"/>
  <c r="BU166" i="33"/>
  <c r="BV166" i="33"/>
  <c r="BW166" i="33"/>
  <c r="BX166" i="33"/>
  <c r="BU167" i="33"/>
  <c r="BV167" i="33"/>
  <c r="BW167" i="33"/>
  <c r="BX167" i="33"/>
  <c r="BU169" i="33"/>
  <c r="BV169" i="33"/>
  <c r="BW169" i="33"/>
  <c r="BX169" i="33"/>
  <c r="BU170" i="33"/>
  <c r="BV170" i="33"/>
  <c r="BW170" i="33"/>
  <c r="BX170" i="33"/>
  <c r="BU171" i="33"/>
  <c r="BV171" i="33"/>
  <c r="BW171" i="33"/>
  <c r="BX171" i="33"/>
  <c r="BU172" i="33"/>
  <c r="BV172" i="33"/>
  <c r="BW172" i="33"/>
  <c r="BX172" i="33"/>
  <c r="BU173" i="33"/>
  <c r="BV173" i="33"/>
  <c r="BW173" i="33"/>
  <c r="BX173" i="33"/>
  <c r="BU174" i="33"/>
  <c r="BV174" i="33"/>
  <c r="BW174" i="33"/>
  <c r="BX174" i="33"/>
  <c r="BU175" i="33"/>
  <c r="BV175" i="33"/>
  <c r="BW175" i="33"/>
  <c r="BX175" i="33"/>
  <c r="BU176" i="33"/>
  <c r="BV176" i="33"/>
  <c r="BW176" i="33"/>
  <c r="BX176" i="33"/>
  <c r="BU177" i="33"/>
  <c r="BV177" i="33"/>
  <c r="BW177" i="33"/>
  <c r="BX177" i="33"/>
  <c r="BU178" i="33"/>
  <c r="BV178" i="33"/>
  <c r="BW178" i="33"/>
  <c r="BX178" i="33"/>
  <c r="BU179" i="33"/>
  <c r="BV179" i="33"/>
  <c r="BW179" i="33"/>
  <c r="BX179" i="33"/>
  <c r="BU180" i="33"/>
  <c r="BV180" i="33"/>
  <c r="BW180" i="33"/>
  <c r="BX180" i="33"/>
  <c r="BU181" i="33"/>
  <c r="BV181" i="33"/>
  <c r="BW181" i="33"/>
  <c r="BX181" i="33"/>
  <c r="BU182" i="33"/>
  <c r="BV182" i="33"/>
  <c r="BW182" i="33"/>
  <c r="BX182" i="33"/>
  <c r="BU183" i="33"/>
  <c r="BV183" i="33"/>
  <c r="BW183" i="33"/>
  <c r="BX183" i="33"/>
  <c r="BU184" i="33"/>
  <c r="BV184" i="33"/>
  <c r="BW184" i="33"/>
  <c r="BX184" i="33"/>
  <c r="BU186" i="33"/>
  <c r="BV186" i="33"/>
  <c r="BW186" i="33"/>
  <c r="BX186" i="33"/>
  <c r="BU187" i="33"/>
  <c r="BV187" i="33"/>
  <c r="BW187" i="33"/>
  <c r="BX187" i="33"/>
  <c r="BU188" i="33"/>
  <c r="BV188" i="33"/>
  <c r="BW188" i="33"/>
  <c r="BX188" i="33"/>
  <c r="BU189" i="33"/>
  <c r="BV189" i="33"/>
  <c r="BW189" i="33"/>
  <c r="BX189" i="33"/>
  <c r="BU190" i="33"/>
  <c r="BV190" i="33"/>
  <c r="BW190" i="33"/>
  <c r="BX190" i="33"/>
  <c r="BU191" i="33"/>
  <c r="BV191" i="33"/>
  <c r="BW191" i="33"/>
  <c r="BX191" i="33"/>
  <c r="BU192" i="33"/>
  <c r="BV192" i="33"/>
  <c r="BW192" i="33"/>
  <c r="BX192" i="33"/>
  <c r="BU193" i="33"/>
  <c r="BV193" i="33"/>
  <c r="BW193" i="33"/>
  <c r="BX193" i="33"/>
  <c r="BU194" i="33"/>
  <c r="BV194" i="33"/>
  <c r="BW194" i="33"/>
  <c r="BX194" i="33"/>
  <c r="BU195" i="33"/>
  <c r="BV195" i="33"/>
  <c r="BW195" i="33"/>
  <c r="BX195" i="33"/>
  <c r="BU196" i="33"/>
  <c r="BV196" i="33"/>
  <c r="BW196" i="33"/>
  <c r="BX196" i="33"/>
  <c r="BU197" i="33"/>
  <c r="BV197" i="33"/>
  <c r="BW197" i="33"/>
  <c r="BX197" i="33"/>
  <c r="BU198" i="33"/>
  <c r="BV198" i="33"/>
  <c r="BW198" i="33"/>
  <c r="BX198" i="33"/>
  <c r="BU199" i="33"/>
  <c r="BV199" i="33"/>
  <c r="BW199" i="33"/>
  <c r="BX199" i="33"/>
  <c r="BY200" i="33"/>
  <c r="BZ200" i="33"/>
  <c r="CA200" i="33"/>
  <c r="BU200" i="33"/>
  <c r="CC200" i="33" s="1"/>
  <c r="BV200" i="33"/>
  <c r="CD200" i="33" s="1"/>
  <c r="BW200" i="33"/>
  <c r="CE200" i="33" s="1"/>
  <c r="BX200" i="33"/>
  <c r="CF200" i="33" s="1"/>
  <c r="BU201" i="33"/>
  <c r="BV201" i="33"/>
  <c r="BW201" i="33"/>
  <c r="BX201" i="33"/>
  <c r="BU202" i="33"/>
  <c r="BV202" i="33"/>
  <c r="BW202" i="33"/>
  <c r="BX202" i="33"/>
  <c r="BU203" i="33"/>
  <c r="BV203" i="33"/>
  <c r="BW203" i="33"/>
  <c r="BX203" i="33"/>
  <c r="BU204" i="33"/>
  <c r="BV204" i="33"/>
  <c r="BW204" i="33"/>
  <c r="BX204" i="33"/>
  <c r="BU205" i="33"/>
  <c r="BV205" i="33"/>
  <c r="BW205" i="33"/>
  <c r="BX205" i="33"/>
  <c r="BU206" i="33"/>
  <c r="BV206" i="33"/>
  <c r="BW206" i="33"/>
  <c r="BX206" i="33"/>
  <c r="BU207" i="33"/>
  <c r="BV207" i="33"/>
  <c r="BW207" i="33"/>
  <c r="BX207" i="33"/>
  <c r="BU208" i="33"/>
  <c r="BV208" i="33"/>
  <c r="BW208" i="33"/>
  <c r="BX208" i="33"/>
  <c r="BU209" i="33"/>
  <c r="BV209" i="33"/>
  <c r="BW209" i="33"/>
  <c r="BX209" i="33"/>
  <c r="BU210" i="33"/>
  <c r="BV210" i="33"/>
  <c r="BW210" i="33"/>
  <c r="BX210" i="33"/>
  <c r="BU211" i="33"/>
  <c r="BV211" i="33"/>
  <c r="BW211" i="33"/>
  <c r="BX211" i="33"/>
  <c r="BU212" i="33"/>
  <c r="BV212" i="33"/>
  <c r="BW212" i="33"/>
  <c r="BX212" i="33"/>
  <c r="BU213" i="33"/>
  <c r="BV213" i="33"/>
  <c r="BW213" i="33"/>
  <c r="BX213" i="33"/>
  <c r="BU214" i="33"/>
  <c r="BV214" i="33"/>
  <c r="BW214" i="33"/>
  <c r="BX214" i="33"/>
  <c r="BU215" i="33"/>
  <c r="BV215" i="33"/>
  <c r="BW215" i="33"/>
  <c r="BX215" i="33"/>
  <c r="DF146" i="33"/>
  <c r="DG146" i="33"/>
  <c r="DH146" i="33"/>
  <c r="DJ146" i="33"/>
  <c r="DK146" i="33"/>
  <c r="DL146" i="33"/>
  <c r="DM146" i="33"/>
  <c r="DF147" i="33"/>
  <c r="DG147" i="33"/>
  <c r="DH147" i="33"/>
  <c r="DJ147" i="33"/>
  <c r="DK147" i="33"/>
  <c r="DL147" i="33"/>
  <c r="DM147" i="33"/>
  <c r="DF148" i="33"/>
  <c r="DG148" i="33"/>
  <c r="DH148" i="33"/>
  <c r="DJ148" i="33"/>
  <c r="DK148" i="33"/>
  <c r="DL148" i="33"/>
  <c r="DM148" i="33"/>
  <c r="DF149" i="33"/>
  <c r="DG149" i="33"/>
  <c r="DH149" i="33"/>
  <c r="DJ149" i="33"/>
  <c r="DK149" i="33"/>
  <c r="DL149" i="33"/>
  <c r="DM149" i="33"/>
  <c r="DF150" i="33"/>
  <c r="DG150" i="33"/>
  <c r="DH150" i="33"/>
  <c r="DJ150" i="33"/>
  <c r="DK150" i="33"/>
  <c r="DL150" i="33"/>
  <c r="DM150" i="33"/>
  <c r="DF151" i="33"/>
  <c r="DG151" i="33"/>
  <c r="DH151" i="33"/>
  <c r="DJ151" i="33"/>
  <c r="DK151" i="33"/>
  <c r="DL151" i="33"/>
  <c r="DM151" i="33"/>
  <c r="DF152" i="33"/>
  <c r="DG152" i="33"/>
  <c r="DH152" i="33"/>
  <c r="DJ152" i="33"/>
  <c r="DK152" i="33"/>
  <c r="DL152" i="33"/>
  <c r="DM152" i="33"/>
  <c r="DF153" i="33"/>
  <c r="DG153" i="33"/>
  <c r="DH153" i="33"/>
  <c r="DJ153" i="33"/>
  <c r="DK153" i="33"/>
  <c r="DL153" i="33"/>
  <c r="DM153" i="33"/>
  <c r="DF155" i="33"/>
  <c r="DG155" i="33"/>
  <c r="DH155" i="33"/>
  <c r="DJ155" i="33"/>
  <c r="DK155" i="33"/>
  <c r="DL155" i="33"/>
  <c r="DM155" i="33"/>
  <c r="DF156" i="33"/>
  <c r="DG156" i="33"/>
  <c r="DH156" i="33"/>
  <c r="DJ156" i="33"/>
  <c r="DK156" i="33"/>
  <c r="DL156" i="33"/>
  <c r="DM156" i="33"/>
  <c r="DH157" i="33"/>
  <c r="DJ157" i="33"/>
  <c r="DK157" i="33"/>
  <c r="DL157" i="33"/>
  <c r="DM157" i="33"/>
  <c r="DH158" i="33"/>
  <c r="DJ158" i="33"/>
  <c r="DK158" i="33"/>
  <c r="DL158" i="33"/>
  <c r="DM158" i="33"/>
  <c r="DH159" i="33"/>
  <c r="DJ159" i="33"/>
  <c r="DK159" i="33"/>
  <c r="DL159" i="33"/>
  <c r="DM159" i="33"/>
  <c r="DH160" i="33"/>
  <c r="DJ160" i="33"/>
  <c r="DK160" i="33"/>
  <c r="DL160" i="33"/>
  <c r="DM160" i="33"/>
  <c r="DH161" i="33"/>
  <c r="DJ161" i="33"/>
  <c r="DK161" i="33"/>
  <c r="DL161" i="33"/>
  <c r="DM161" i="33"/>
  <c r="DH162" i="33"/>
  <c r="DJ162" i="33"/>
  <c r="DK162" i="33"/>
  <c r="DL162" i="33"/>
  <c r="DM162" i="33"/>
  <c r="DH163" i="33"/>
  <c r="DJ163" i="33"/>
  <c r="DK163" i="33"/>
  <c r="DL163" i="33"/>
  <c r="DM163" i="33"/>
  <c r="DH164" i="33"/>
  <c r="DJ164" i="33"/>
  <c r="DK164" i="33"/>
  <c r="DL164" i="33"/>
  <c r="DM164" i="33"/>
  <c r="DH165" i="33"/>
  <c r="DJ165" i="33"/>
  <c r="DK165" i="33"/>
  <c r="DL165" i="33"/>
  <c r="DM165" i="33"/>
  <c r="DH166" i="33"/>
  <c r="DJ166" i="33"/>
  <c r="DK166" i="33"/>
  <c r="DL166" i="33"/>
  <c r="DM166" i="33"/>
  <c r="DH167" i="33"/>
  <c r="DJ167" i="33"/>
  <c r="DK167" i="33"/>
  <c r="DL167" i="33"/>
  <c r="DM167" i="33"/>
  <c r="DH169" i="33"/>
  <c r="DJ169" i="33"/>
  <c r="DK169" i="33"/>
  <c r="DL169" i="33"/>
  <c r="DM169" i="33"/>
  <c r="DH170" i="33"/>
  <c r="DJ170" i="33"/>
  <c r="DK170" i="33"/>
  <c r="DL170" i="33"/>
  <c r="DM170" i="33"/>
  <c r="DH171" i="33"/>
  <c r="DJ171" i="33"/>
  <c r="DK171" i="33"/>
  <c r="DL171" i="33"/>
  <c r="DM171" i="33"/>
  <c r="DH172" i="33"/>
  <c r="DJ172" i="33"/>
  <c r="DK172" i="33"/>
  <c r="DL172" i="33"/>
  <c r="DM172" i="33"/>
  <c r="DH173" i="33"/>
  <c r="DJ173" i="33"/>
  <c r="DK173" i="33"/>
  <c r="DL173" i="33"/>
  <c r="DM173" i="33"/>
  <c r="DH174" i="33"/>
  <c r="DJ174" i="33"/>
  <c r="DK174" i="33"/>
  <c r="DL174" i="33"/>
  <c r="DM174" i="33"/>
  <c r="DH175" i="33"/>
  <c r="DJ175" i="33"/>
  <c r="DK175" i="33"/>
  <c r="DL175" i="33"/>
  <c r="DM175" i="33"/>
  <c r="DH176" i="33"/>
  <c r="DJ176" i="33"/>
  <c r="DK176" i="33"/>
  <c r="DL176" i="33"/>
  <c r="DM176" i="33"/>
  <c r="DH177" i="33"/>
  <c r="DJ177" i="33"/>
  <c r="DK177" i="33"/>
  <c r="DL177" i="33"/>
  <c r="DM177" i="33"/>
  <c r="DH178" i="33"/>
  <c r="DJ178" i="33"/>
  <c r="DK178" i="33"/>
  <c r="DL178" i="33"/>
  <c r="DM178" i="33"/>
  <c r="DH179" i="33"/>
  <c r="DJ179" i="33"/>
  <c r="DK179" i="33"/>
  <c r="DL179" i="33"/>
  <c r="DM179" i="33"/>
  <c r="DH180" i="33"/>
  <c r="DJ180" i="33"/>
  <c r="DK180" i="33"/>
  <c r="DL180" i="33"/>
  <c r="DM180" i="33"/>
  <c r="DH181" i="33"/>
  <c r="DJ181" i="33"/>
  <c r="DK181" i="33"/>
  <c r="DL181" i="33"/>
  <c r="DM181" i="33"/>
  <c r="DH182" i="33"/>
  <c r="DJ182" i="33"/>
  <c r="DK182" i="33"/>
  <c r="DL182" i="33"/>
  <c r="DM182" i="33"/>
  <c r="DH183" i="33"/>
  <c r="DJ183" i="33"/>
  <c r="DK183" i="33"/>
  <c r="DL183" i="33"/>
  <c r="DM183" i="33"/>
  <c r="DH184" i="33"/>
  <c r="DJ184" i="33"/>
  <c r="DK184" i="33"/>
  <c r="DL184" i="33"/>
  <c r="DM184" i="33"/>
  <c r="DH186" i="33"/>
  <c r="DJ186" i="33"/>
  <c r="DK186" i="33"/>
  <c r="DL186" i="33"/>
  <c r="DM186" i="33"/>
  <c r="DH187" i="33"/>
  <c r="DJ187" i="33"/>
  <c r="DK187" i="33"/>
  <c r="DL187" i="33"/>
  <c r="DM187" i="33"/>
  <c r="DH188" i="33"/>
  <c r="DJ188" i="33"/>
  <c r="DK188" i="33"/>
  <c r="DL188" i="33"/>
  <c r="DM188" i="33"/>
  <c r="DH189" i="33"/>
  <c r="DJ189" i="33"/>
  <c r="DK189" i="33"/>
  <c r="DL189" i="33"/>
  <c r="DM189" i="33"/>
  <c r="DH190" i="33"/>
  <c r="DJ190" i="33"/>
  <c r="DK190" i="33"/>
  <c r="DL190" i="33"/>
  <c r="DM190" i="33"/>
  <c r="DH191" i="33"/>
  <c r="DJ191" i="33"/>
  <c r="DK191" i="33"/>
  <c r="DL191" i="33"/>
  <c r="DM191" i="33"/>
  <c r="DH192" i="33"/>
  <c r="DJ192" i="33"/>
  <c r="DK192" i="33"/>
  <c r="DL192" i="33"/>
  <c r="DM192" i="33"/>
  <c r="DH193" i="33"/>
  <c r="DJ193" i="33"/>
  <c r="DK193" i="33"/>
  <c r="DL193" i="33"/>
  <c r="DM193" i="33"/>
  <c r="DH194" i="33"/>
  <c r="DJ194" i="33"/>
  <c r="DK194" i="33"/>
  <c r="DL194" i="33"/>
  <c r="DM194" i="33"/>
  <c r="DH195" i="33"/>
  <c r="DJ195" i="33"/>
  <c r="DK195" i="33"/>
  <c r="DL195" i="33"/>
  <c r="DM195" i="33"/>
  <c r="DH196" i="33"/>
  <c r="DJ196" i="33"/>
  <c r="DK196" i="33"/>
  <c r="DL196" i="33"/>
  <c r="DM196" i="33"/>
  <c r="DH197" i="33"/>
  <c r="DJ197" i="33"/>
  <c r="DK197" i="33"/>
  <c r="DL197" i="33"/>
  <c r="DM197" i="33"/>
  <c r="DH198" i="33"/>
  <c r="DJ198" i="33"/>
  <c r="DK198" i="33"/>
  <c r="DL198" i="33"/>
  <c r="DM198" i="33"/>
  <c r="DH199" i="33"/>
  <c r="DJ199" i="33"/>
  <c r="DK199" i="33"/>
  <c r="DL199" i="33"/>
  <c r="DM199" i="33"/>
  <c r="DH200" i="33"/>
  <c r="DP200" i="33" s="1"/>
  <c r="DJ200" i="33"/>
  <c r="DR200" i="33" s="1"/>
  <c r="DK200" i="33"/>
  <c r="DS200" i="33" s="1"/>
  <c r="DL200" i="33"/>
  <c r="DT200" i="33" s="1"/>
  <c r="DM200" i="33"/>
  <c r="DU200" i="33" s="1"/>
  <c r="DH201" i="33"/>
  <c r="DJ201" i="33"/>
  <c r="DK201" i="33"/>
  <c r="DL201" i="33"/>
  <c r="DM201" i="33"/>
  <c r="DH202" i="33"/>
  <c r="DJ202" i="33"/>
  <c r="DK202" i="33"/>
  <c r="DL202" i="33"/>
  <c r="DM202" i="33"/>
  <c r="DH203" i="33"/>
  <c r="DJ203" i="33"/>
  <c r="DK203" i="33"/>
  <c r="DL203" i="33"/>
  <c r="DM203" i="33"/>
  <c r="DH204" i="33"/>
  <c r="DJ204" i="33"/>
  <c r="DK204" i="33"/>
  <c r="DL204" i="33"/>
  <c r="DM204" i="33"/>
  <c r="DH205" i="33"/>
  <c r="DJ205" i="33"/>
  <c r="DK205" i="33"/>
  <c r="DL205" i="33"/>
  <c r="DM205" i="33"/>
  <c r="DH206" i="33"/>
  <c r="DJ206" i="33"/>
  <c r="DK206" i="33"/>
  <c r="DL206" i="33"/>
  <c r="DM206" i="33"/>
  <c r="DH207" i="33"/>
  <c r="DJ207" i="33"/>
  <c r="DK207" i="33"/>
  <c r="DL207" i="33"/>
  <c r="DM207" i="33"/>
  <c r="DH208" i="33"/>
  <c r="DJ208" i="33"/>
  <c r="DK208" i="33"/>
  <c r="DL208" i="33"/>
  <c r="DM208" i="33"/>
  <c r="DH209" i="33"/>
  <c r="DJ209" i="33"/>
  <c r="DK209" i="33"/>
  <c r="DL209" i="33"/>
  <c r="DM209" i="33"/>
  <c r="DH210" i="33"/>
  <c r="DJ210" i="33"/>
  <c r="DK210" i="33"/>
  <c r="DL210" i="33"/>
  <c r="DM210" i="33"/>
  <c r="DH211" i="33"/>
  <c r="DJ211" i="33"/>
  <c r="DK211" i="33"/>
  <c r="DL211" i="33"/>
  <c r="DM211" i="33"/>
  <c r="DH212" i="33"/>
  <c r="DJ212" i="33"/>
  <c r="DK212" i="33"/>
  <c r="DL212" i="33"/>
  <c r="DM212" i="33"/>
  <c r="DH213" i="33"/>
  <c r="DJ213" i="33"/>
  <c r="DK213" i="33"/>
  <c r="DL213" i="33"/>
  <c r="DM213" i="33"/>
  <c r="DG214" i="33"/>
  <c r="DH214" i="33"/>
  <c r="DJ214" i="33"/>
  <c r="DK214" i="33"/>
  <c r="DL214" i="33"/>
  <c r="DM214" i="33"/>
  <c r="DG215" i="33"/>
  <c r="DH215" i="33"/>
  <c r="DJ215" i="33"/>
  <c r="DK215" i="33"/>
  <c r="DL215" i="33"/>
  <c r="DM215" i="33"/>
  <c r="DF145" i="33"/>
  <c r="ET146" i="33"/>
  <c r="EU146" i="33"/>
  <c r="EV146" i="33"/>
  <c r="EW146" i="33"/>
  <c r="EX146" i="33"/>
  <c r="EY146" i="33"/>
  <c r="EZ146" i="33"/>
  <c r="FA146" i="33"/>
  <c r="ET147" i="33"/>
  <c r="EU147" i="33"/>
  <c r="EV147" i="33"/>
  <c r="EW147" i="33"/>
  <c r="EX147" i="33"/>
  <c r="EY147" i="33"/>
  <c r="EZ147" i="33"/>
  <c r="FA147" i="33"/>
  <c r="ET148" i="33"/>
  <c r="EU148" i="33"/>
  <c r="EV148" i="33"/>
  <c r="EW148" i="33"/>
  <c r="EX148" i="33"/>
  <c r="EY148" i="33"/>
  <c r="EZ148" i="33"/>
  <c r="FA148" i="33"/>
  <c r="ET149" i="33"/>
  <c r="EU149" i="33"/>
  <c r="EV149" i="33"/>
  <c r="EW149" i="33"/>
  <c r="EX149" i="33"/>
  <c r="EY149" i="33"/>
  <c r="EZ149" i="33"/>
  <c r="FA149" i="33"/>
  <c r="ET150" i="33"/>
  <c r="EU150" i="33"/>
  <c r="EV150" i="33"/>
  <c r="EW150" i="33"/>
  <c r="EX150" i="33"/>
  <c r="EY150" i="33"/>
  <c r="EZ150" i="33"/>
  <c r="FA150" i="33"/>
  <c r="ET151" i="33"/>
  <c r="EU151" i="33"/>
  <c r="EV151" i="33"/>
  <c r="EW151" i="33"/>
  <c r="EX151" i="33"/>
  <c r="EY151" i="33"/>
  <c r="EZ151" i="33"/>
  <c r="FA151" i="33"/>
  <c r="ET152" i="33"/>
  <c r="EU152" i="33"/>
  <c r="EV152" i="33"/>
  <c r="EW152" i="33"/>
  <c r="EX152" i="33"/>
  <c r="EY152" i="33"/>
  <c r="EZ152" i="33"/>
  <c r="FA152" i="33"/>
  <c r="ET153" i="33"/>
  <c r="EU153" i="33"/>
  <c r="EV153" i="33"/>
  <c r="EW153" i="33"/>
  <c r="EX153" i="33"/>
  <c r="EY153" i="33"/>
  <c r="EZ153" i="33"/>
  <c r="FA153" i="33"/>
  <c r="ET155" i="33"/>
  <c r="EU155" i="33"/>
  <c r="EV155" i="33"/>
  <c r="EW155" i="33"/>
  <c r="EX155" i="33"/>
  <c r="EY155" i="33"/>
  <c r="EZ155" i="33"/>
  <c r="FA155" i="33"/>
  <c r="ET156" i="33"/>
  <c r="EU156" i="33"/>
  <c r="EV156" i="33"/>
  <c r="EW156" i="33"/>
  <c r="EX156" i="33"/>
  <c r="EY156" i="33"/>
  <c r="EZ156" i="33"/>
  <c r="FA156" i="33"/>
  <c r="ET157" i="33"/>
  <c r="EU157" i="33"/>
  <c r="EV157" i="33"/>
  <c r="EW157" i="33"/>
  <c r="EX157" i="33"/>
  <c r="EY157" i="33"/>
  <c r="EZ157" i="33"/>
  <c r="FA157" i="33"/>
  <c r="ET158" i="33"/>
  <c r="EU158" i="33"/>
  <c r="EV158" i="33"/>
  <c r="EW158" i="33"/>
  <c r="EX158" i="33"/>
  <c r="EY158" i="33"/>
  <c r="EZ158" i="33"/>
  <c r="FA158" i="33"/>
  <c r="ET159" i="33"/>
  <c r="FB159" i="33" s="1"/>
  <c r="EU159" i="33"/>
  <c r="FC159" i="33" s="1"/>
  <c r="EV159" i="33"/>
  <c r="FD159" i="33" s="1"/>
  <c r="EW159" i="33"/>
  <c r="FE159" i="33" s="1"/>
  <c r="EX159" i="33"/>
  <c r="FF159" i="33" s="1"/>
  <c r="EY159" i="33"/>
  <c r="FG159" i="33" s="1"/>
  <c r="EZ159" i="33"/>
  <c r="FH159" i="33" s="1"/>
  <c r="FA159" i="33"/>
  <c r="FI159" i="33" s="1"/>
  <c r="ET160" i="33"/>
  <c r="FB160" i="33" s="1"/>
  <c r="EU160" i="33"/>
  <c r="FC160" i="33" s="1"/>
  <c r="EV160" i="33"/>
  <c r="FD160" i="33" s="1"/>
  <c r="EW160" i="33"/>
  <c r="FE160" i="33" s="1"/>
  <c r="EX160" i="33"/>
  <c r="FF160" i="33" s="1"/>
  <c r="EY160" i="33"/>
  <c r="FG160" i="33" s="1"/>
  <c r="EZ160" i="33"/>
  <c r="FH160" i="33" s="1"/>
  <c r="FA160" i="33"/>
  <c r="FI160" i="33" s="1"/>
  <c r="ET161" i="33"/>
  <c r="FB161" i="33" s="1"/>
  <c r="EU161" i="33"/>
  <c r="FC161" i="33" s="1"/>
  <c r="EV161" i="33"/>
  <c r="FD161" i="33" s="1"/>
  <c r="EW161" i="33"/>
  <c r="FE161" i="33" s="1"/>
  <c r="EX161" i="33"/>
  <c r="FF161" i="33" s="1"/>
  <c r="EY161" i="33"/>
  <c r="FG161" i="33" s="1"/>
  <c r="EZ161" i="33"/>
  <c r="FH161" i="33" s="1"/>
  <c r="FA161" i="33"/>
  <c r="FI161" i="33" s="1"/>
  <c r="ET162" i="33"/>
  <c r="FB162" i="33" s="1"/>
  <c r="EU162" i="33"/>
  <c r="FC162" i="33" s="1"/>
  <c r="EV162" i="33"/>
  <c r="FD162" i="33" s="1"/>
  <c r="EW162" i="33"/>
  <c r="FE162" i="33" s="1"/>
  <c r="EX162" i="33"/>
  <c r="FF162" i="33" s="1"/>
  <c r="EY162" i="33"/>
  <c r="FG162" i="33" s="1"/>
  <c r="EZ162" i="33"/>
  <c r="FH162" i="33" s="1"/>
  <c r="FA162" i="33"/>
  <c r="FI162" i="33" s="1"/>
  <c r="ET163" i="33"/>
  <c r="FB163" i="33" s="1"/>
  <c r="EU163" i="33"/>
  <c r="FC163" i="33" s="1"/>
  <c r="EV163" i="33"/>
  <c r="FD163" i="33" s="1"/>
  <c r="EW163" i="33"/>
  <c r="FE163" i="33" s="1"/>
  <c r="EX163" i="33"/>
  <c r="FF163" i="33" s="1"/>
  <c r="EY163" i="33"/>
  <c r="FG163" i="33" s="1"/>
  <c r="EZ163" i="33"/>
  <c r="FH163" i="33" s="1"/>
  <c r="FA163" i="33"/>
  <c r="FI163" i="33" s="1"/>
  <c r="ET164" i="33"/>
  <c r="FB164" i="33" s="1"/>
  <c r="EU164" i="33"/>
  <c r="FC164" i="33" s="1"/>
  <c r="EV164" i="33"/>
  <c r="FD164" i="33" s="1"/>
  <c r="EW164" i="33"/>
  <c r="FE164" i="33" s="1"/>
  <c r="EX164" i="33"/>
  <c r="FF164" i="33" s="1"/>
  <c r="EY164" i="33"/>
  <c r="FG164" i="33" s="1"/>
  <c r="EZ164" i="33"/>
  <c r="FH164" i="33" s="1"/>
  <c r="FA164" i="33"/>
  <c r="FI164" i="33" s="1"/>
  <c r="ET165" i="33"/>
  <c r="FB165" i="33" s="1"/>
  <c r="EU165" i="33"/>
  <c r="FC165" i="33" s="1"/>
  <c r="EV165" i="33"/>
  <c r="FD165" i="33" s="1"/>
  <c r="EW165" i="33"/>
  <c r="FE165" i="33" s="1"/>
  <c r="EX165" i="33"/>
  <c r="FF165" i="33" s="1"/>
  <c r="EY165" i="33"/>
  <c r="FG165" i="33" s="1"/>
  <c r="EZ165" i="33"/>
  <c r="FH165" i="33" s="1"/>
  <c r="FA165" i="33"/>
  <c r="FI165" i="33" s="1"/>
  <c r="ET166" i="33"/>
  <c r="FB166" i="33" s="1"/>
  <c r="EU166" i="33"/>
  <c r="FC166" i="33" s="1"/>
  <c r="EV166" i="33"/>
  <c r="FD166" i="33" s="1"/>
  <c r="EW166" i="33"/>
  <c r="FE166" i="33" s="1"/>
  <c r="EX166" i="33"/>
  <c r="FF166" i="33" s="1"/>
  <c r="EY166" i="33"/>
  <c r="FG166" i="33" s="1"/>
  <c r="EZ166" i="33"/>
  <c r="FH166" i="33" s="1"/>
  <c r="FA166" i="33"/>
  <c r="FI166" i="33" s="1"/>
  <c r="ET167" i="33"/>
  <c r="FB167" i="33" s="1"/>
  <c r="EU167" i="33"/>
  <c r="FC167" i="33" s="1"/>
  <c r="EV167" i="33"/>
  <c r="FD167" i="33" s="1"/>
  <c r="EW167" i="33"/>
  <c r="FE167" i="33" s="1"/>
  <c r="EX167" i="33"/>
  <c r="FF167" i="33" s="1"/>
  <c r="EY167" i="33"/>
  <c r="FG167" i="33" s="1"/>
  <c r="EZ167" i="33"/>
  <c r="FH167" i="33" s="1"/>
  <c r="FA167" i="33"/>
  <c r="FI167" i="33" s="1"/>
  <c r="ET169" i="33"/>
  <c r="FB169" i="33" s="1"/>
  <c r="EU169" i="33"/>
  <c r="FC169" i="33" s="1"/>
  <c r="EV169" i="33"/>
  <c r="FD169" i="33" s="1"/>
  <c r="EW169" i="33"/>
  <c r="FE169" i="33" s="1"/>
  <c r="EX169" i="33"/>
  <c r="FF169" i="33" s="1"/>
  <c r="EY169" i="33"/>
  <c r="FG169" i="33" s="1"/>
  <c r="EZ169" i="33"/>
  <c r="FH169" i="33" s="1"/>
  <c r="FA169" i="33"/>
  <c r="FI169" i="33" s="1"/>
  <c r="ET170" i="33"/>
  <c r="EU170" i="33"/>
  <c r="EV170" i="33"/>
  <c r="EW170" i="33"/>
  <c r="EX170" i="33"/>
  <c r="EY170" i="33"/>
  <c r="EZ170" i="33"/>
  <c r="FA170" i="33"/>
  <c r="ET171" i="33"/>
  <c r="EU171" i="33"/>
  <c r="EV171" i="33"/>
  <c r="EW171" i="33"/>
  <c r="EX171" i="33"/>
  <c r="EY171" i="33"/>
  <c r="EZ171" i="33"/>
  <c r="FA171" i="33"/>
  <c r="ET172" i="33"/>
  <c r="EU172" i="33"/>
  <c r="EV172" i="33"/>
  <c r="EW172" i="33"/>
  <c r="EX172" i="33"/>
  <c r="EY172" i="33"/>
  <c r="EZ172" i="33"/>
  <c r="FA172" i="33"/>
  <c r="ET173" i="33"/>
  <c r="EU173" i="33"/>
  <c r="EV173" i="33"/>
  <c r="EW173" i="33"/>
  <c r="EX173" i="33"/>
  <c r="EY173" i="33"/>
  <c r="EZ173" i="33"/>
  <c r="FA173" i="33"/>
  <c r="ET174" i="33"/>
  <c r="EU174" i="33"/>
  <c r="EV174" i="33"/>
  <c r="EW174" i="33"/>
  <c r="EX174" i="33"/>
  <c r="EY174" i="33"/>
  <c r="EZ174" i="33"/>
  <c r="FA174" i="33"/>
  <c r="ET175" i="33"/>
  <c r="EU175" i="33"/>
  <c r="EV175" i="33"/>
  <c r="EW175" i="33"/>
  <c r="EX175" i="33"/>
  <c r="EY175" i="33"/>
  <c r="EZ175" i="33"/>
  <c r="FA175" i="33"/>
  <c r="ET176" i="33"/>
  <c r="EU176" i="33"/>
  <c r="EV176" i="33"/>
  <c r="EW176" i="33"/>
  <c r="EX176" i="33"/>
  <c r="EY176" i="33"/>
  <c r="EZ176" i="33"/>
  <c r="FA176" i="33"/>
  <c r="ET177" i="33"/>
  <c r="EU177" i="33"/>
  <c r="EV177" i="33"/>
  <c r="EW177" i="33"/>
  <c r="EX177" i="33"/>
  <c r="EY177" i="33"/>
  <c r="EZ177" i="33"/>
  <c r="FA177" i="33"/>
  <c r="ET178" i="33"/>
  <c r="EU178" i="33"/>
  <c r="EV178" i="33"/>
  <c r="EW178" i="33"/>
  <c r="EX178" i="33"/>
  <c r="EY178" i="33"/>
  <c r="EZ178" i="33"/>
  <c r="FA178" i="33"/>
  <c r="ET179" i="33"/>
  <c r="EU179" i="33"/>
  <c r="EV179" i="33"/>
  <c r="EW179" i="33"/>
  <c r="EX179" i="33"/>
  <c r="EY179" i="33"/>
  <c r="EZ179" i="33"/>
  <c r="FA179" i="33"/>
  <c r="ET180" i="33"/>
  <c r="EU180" i="33"/>
  <c r="EV180" i="33"/>
  <c r="EW180" i="33"/>
  <c r="EX180" i="33"/>
  <c r="EY180" i="33"/>
  <c r="EZ180" i="33"/>
  <c r="FA180" i="33"/>
  <c r="ET181" i="33"/>
  <c r="EU181" i="33"/>
  <c r="EV181" i="33"/>
  <c r="EW181" i="33"/>
  <c r="EX181" i="33"/>
  <c r="EY181" i="33"/>
  <c r="EZ181" i="33"/>
  <c r="FA181" i="33"/>
  <c r="ET182" i="33"/>
  <c r="EU182" i="33"/>
  <c r="EV182" i="33"/>
  <c r="EW182" i="33"/>
  <c r="EX182" i="33"/>
  <c r="EY182" i="33"/>
  <c r="EZ182" i="33"/>
  <c r="FA182" i="33"/>
  <c r="ET183" i="33"/>
  <c r="EU183" i="33"/>
  <c r="EV183" i="33"/>
  <c r="EW183" i="33"/>
  <c r="EX183" i="33"/>
  <c r="EY183" i="33"/>
  <c r="EZ183" i="33"/>
  <c r="FA183" i="33"/>
  <c r="ET184" i="33"/>
  <c r="EU184" i="33"/>
  <c r="EV184" i="33"/>
  <c r="EW184" i="33"/>
  <c r="EX184" i="33"/>
  <c r="EY184" i="33"/>
  <c r="EZ184" i="33"/>
  <c r="FA184" i="33"/>
  <c r="ET186" i="33"/>
  <c r="EU186" i="33"/>
  <c r="EV186" i="33"/>
  <c r="EW186" i="33"/>
  <c r="EX186" i="33"/>
  <c r="EY186" i="33"/>
  <c r="EZ186" i="33"/>
  <c r="FA186" i="33"/>
  <c r="ET187" i="33"/>
  <c r="EU187" i="33"/>
  <c r="EV187" i="33"/>
  <c r="EW187" i="33"/>
  <c r="EX187" i="33"/>
  <c r="EY187" i="33"/>
  <c r="EZ187" i="33"/>
  <c r="FA187" i="33"/>
  <c r="ET188" i="33"/>
  <c r="EU188" i="33"/>
  <c r="EV188" i="33"/>
  <c r="EW188" i="33"/>
  <c r="EX188" i="33"/>
  <c r="EY188" i="33"/>
  <c r="EZ188" i="33"/>
  <c r="FA188" i="33"/>
  <c r="ET189" i="33"/>
  <c r="EU189" i="33"/>
  <c r="EV189" i="33"/>
  <c r="EW189" i="33"/>
  <c r="EX189" i="33"/>
  <c r="EY189" i="33"/>
  <c r="EZ189" i="33"/>
  <c r="FA189" i="33"/>
  <c r="ET190" i="33"/>
  <c r="EU190" i="33"/>
  <c r="EV190" i="33"/>
  <c r="EW190" i="33"/>
  <c r="EX190" i="33"/>
  <c r="EY190" i="33"/>
  <c r="EZ190" i="33"/>
  <c r="FA190" i="33"/>
  <c r="ET191" i="33"/>
  <c r="EU191" i="33"/>
  <c r="EV191" i="33"/>
  <c r="EW191" i="33"/>
  <c r="EX191" i="33"/>
  <c r="EY191" i="33"/>
  <c r="EZ191" i="33"/>
  <c r="FA191" i="33"/>
  <c r="ET192" i="33"/>
  <c r="EU192" i="33"/>
  <c r="EV192" i="33"/>
  <c r="EW192" i="33"/>
  <c r="EX192" i="33"/>
  <c r="EY192" i="33"/>
  <c r="EZ192" i="33"/>
  <c r="FA192" i="33"/>
  <c r="ET193" i="33"/>
  <c r="EU193" i="33"/>
  <c r="EV193" i="33"/>
  <c r="EW193" i="33"/>
  <c r="EX193" i="33"/>
  <c r="EY193" i="33"/>
  <c r="EZ193" i="33"/>
  <c r="FA193" i="33"/>
  <c r="ET194" i="33"/>
  <c r="EU194" i="33"/>
  <c r="EV194" i="33"/>
  <c r="EW194" i="33"/>
  <c r="EX194" i="33"/>
  <c r="EY194" i="33"/>
  <c r="EZ194" i="33"/>
  <c r="FA194" i="33"/>
  <c r="ET195" i="33"/>
  <c r="EU195" i="33"/>
  <c r="EV195" i="33"/>
  <c r="EW195" i="33"/>
  <c r="EX195" i="33"/>
  <c r="EY195" i="33"/>
  <c r="EZ195" i="33"/>
  <c r="FA195" i="33"/>
  <c r="ET196" i="33"/>
  <c r="EU196" i="33"/>
  <c r="EV196" i="33"/>
  <c r="EW196" i="33"/>
  <c r="EX196" i="33"/>
  <c r="EY196" i="33"/>
  <c r="EZ196" i="33"/>
  <c r="FA196" i="33"/>
  <c r="ET197" i="33"/>
  <c r="EU197" i="33"/>
  <c r="EV197" i="33"/>
  <c r="EW197" i="33"/>
  <c r="EX197" i="33"/>
  <c r="EY197" i="33"/>
  <c r="EZ197" i="33"/>
  <c r="FA197" i="33"/>
  <c r="ET198" i="33"/>
  <c r="EU198" i="33"/>
  <c r="EV198" i="33"/>
  <c r="EW198" i="33"/>
  <c r="EX198" i="33"/>
  <c r="EY198" i="33"/>
  <c r="EZ198" i="33"/>
  <c r="FA198" i="33"/>
  <c r="EU199" i="33"/>
  <c r="EV199" i="33"/>
  <c r="EW199" i="33"/>
  <c r="EX199" i="33"/>
  <c r="EY199" i="33"/>
  <c r="EZ199" i="33"/>
  <c r="FA199" i="33"/>
  <c r="EU200" i="33"/>
  <c r="FC200" i="33" s="1"/>
  <c r="EV200" i="33"/>
  <c r="FD200" i="33" s="1"/>
  <c r="EW200" i="33"/>
  <c r="FE200" i="33" s="1"/>
  <c r="EX200" i="33"/>
  <c r="FF200" i="33" s="1"/>
  <c r="EY200" i="33"/>
  <c r="FG200" i="33" s="1"/>
  <c r="EZ200" i="33"/>
  <c r="FH200" i="33" s="1"/>
  <c r="FA200" i="33"/>
  <c r="FI200" i="33" s="1"/>
  <c r="ET201" i="33"/>
  <c r="EU201" i="33"/>
  <c r="EV201" i="33"/>
  <c r="EW201" i="33"/>
  <c r="EX201" i="33"/>
  <c r="EY201" i="33"/>
  <c r="EZ201" i="33"/>
  <c r="FA201" i="33"/>
  <c r="ET202" i="33"/>
  <c r="EU202" i="33"/>
  <c r="EV202" i="33"/>
  <c r="EW202" i="33"/>
  <c r="EX202" i="33"/>
  <c r="EY202" i="33"/>
  <c r="EZ202" i="33"/>
  <c r="FA202" i="33"/>
  <c r="ET203" i="33"/>
  <c r="EU203" i="33"/>
  <c r="EV203" i="33"/>
  <c r="EW203" i="33"/>
  <c r="EX203" i="33"/>
  <c r="EY203" i="33"/>
  <c r="EZ203" i="33"/>
  <c r="FA203" i="33"/>
  <c r="ET204" i="33"/>
  <c r="EU204" i="33"/>
  <c r="EV204" i="33"/>
  <c r="EW204" i="33"/>
  <c r="EX204" i="33"/>
  <c r="EY204" i="33"/>
  <c r="EZ204" i="33"/>
  <c r="FA204" i="33"/>
  <c r="ET205" i="33"/>
  <c r="EU205" i="33"/>
  <c r="EV205" i="33"/>
  <c r="EW205" i="33"/>
  <c r="EX205" i="33"/>
  <c r="EY205" i="33"/>
  <c r="EZ205" i="33"/>
  <c r="FA205" i="33"/>
  <c r="ET206" i="33"/>
  <c r="EU206" i="33"/>
  <c r="EV206" i="33"/>
  <c r="EW206" i="33"/>
  <c r="EX206" i="33"/>
  <c r="EY206" i="33"/>
  <c r="EZ206" i="33"/>
  <c r="FA206" i="33"/>
  <c r="ET207" i="33"/>
  <c r="EU207" i="33"/>
  <c r="EV207" i="33"/>
  <c r="EW207" i="33"/>
  <c r="EX207" i="33"/>
  <c r="EY207" i="33"/>
  <c r="EZ207" i="33"/>
  <c r="FA207" i="33"/>
  <c r="ET208" i="33"/>
  <c r="EU208" i="33"/>
  <c r="EV208" i="33"/>
  <c r="EW208" i="33"/>
  <c r="EX208" i="33"/>
  <c r="EY208" i="33"/>
  <c r="EZ208" i="33"/>
  <c r="FA208" i="33"/>
  <c r="ET209" i="33"/>
  <c r="FB209" i="33" s="1"/>
  <c r="EU209" i="33"/>
  <c r="FC209" i="33" s="1"/>
  <c r="EV209" i="33"/>
  <c r="FD209" i="33" s="1"/>
  <c r="EW209" i="33"/>
  <c r="FE209" i="33" s="1"/>
  <c r="EX209" i="33"/>
  <c r="FF209" i="33" s="1"/>
  <c r="EY209" i="33"/>
  <c r="FG209" i="33" s="1"/>
  <c r="EZ209" i="33"/>
  <c r="FH209" i="33" s="1"/>
  <c r="FA209" i="33"/>
  <c r="FI209" i="33" s="1"/>
  <c r="ET210" i="33"/>
  <c r="EU210" i="33"/>
  <c r="EV210" i="33"/>
  <c r="EW210" i="33"/>
  <c r="EX210" i="33"/>
  <c r="EY210" i="33"/>
  <c r="EZ210" i="33"/>
  <c r="FA210" i="33"/>
  <c r="ET211" i="33"/>
  <c r="EU211" i="33"/>
  <c r="EV211" i="33"/>
  <c r="EW211" i="33"/>
  <c r="EX211" i="33"/>
  <c r="EY211" i="33"/>
  <c r="EZ211" i="33"/>
  <c r="FA211" i="33"/>
  <c r="ET212" i="33"/>
  <c r="EU212" i="33"/>
  <c r="EV212" i="33"/>
  <c r="EW212" i="33"/>
  <c r="EX212" i="33"/>
  <c r="EY212" i="33"/>
  <c r="EZ212" i="33"/>
  <c r="FA212" i="33"/>
  <c r="ET213" i="33"/>
  <c r="EU213" i="33"/>
  <c r="EV213" i="33"/>
  <c r="EW213" i="33"/>
  <c r="EX213" i="33"/>
  <c r="EY213" i="33"/>
  <c r="EZ213" i="33"/>
  <c r="FA213" i="33"/>
  <c r="ET214" i="33"/>
  <c r="EU214" i="33"/>
  <c r="EV214" i="33"/>
  <c r="EW214" i="33"/>
  <c r="EX214" i="33"/>
  <c r="EY214" i="33"/>
  <c r="EZ214" i="33"/>
  <c r="FA214" i="33"/>
  <c r="ET215" i="33"/>
  <c r="EU215" i="33"/>
  <c r="EV215" i="33"/>
  <c r="EW215" i="33"/>
  <c r="EX215" i="33"/>
  <c r="EY215" i="33"/>
  <c r="EZ215" i="33"/>
  <c r="FA215" i="33"/>
  <c r="ET145" i="33"/>
  <c r="EW145" i="33"/>
  <c r="FM200" i="33" l="1"/>
  <c r="FQ200" i="33"/>
  <c r="FP200" i="33"/>
  <c r="FO200" i="33"/>
  <c r="FN200" i="33"/>
  <c r="FJ200" i="33"/>
  <c r="FL200" i="33"/>
  <c r="FK200" i="33"/>
  <c r="DV200" i="33"/>
  <c r="DW200" i="33"/>
  <c r="DX200" i="33"/>
  <c r="DZ200" i="33"/>
  <c r="EA200" i="33"/>
  <c r="EB200" i="33"/>
  <c r="EC200" i="33"/>
  <c r="CN200" i="33"/>
  <c r="CI200" i="33"/>
  <c r="CH200" i="33"/>
  <c r="CG200" i="33"/>
  <c r="CK200" i="33"/>
  <c r="CL200" i="33"/>
  <c r="CM200" i="33"/>
  <c r="O3" i="41"/>
  <c r="P3" i="41"/>
  <c r="Q3" i="41"/>
  <c r="R3" i="41"/>
  <c r="S3" i="41"/>
  <c r="T3" i="41"/>
  <c r="U3" i="41"/>
  <c r="V3" i="41"/>
  <c r="O4" i="41"/>
  <c r="P4" i="41"/>
  <c r="Q4" i="41"/>
  <c r="R4" i="41"/>
  <c r="S4" i="41"/>
  <c r="T4" i="41"/>
  <c r="U4" i="41"/>
  <c r="V4" i="41"/>
  <c r="O5" i="41"/>
  <c r="P5" i="41"/>
  <c r="Q5" i="41"/>
  <c r="R5" i="41"/>
  <c r="S5" i="41"/>
  <c r="T5" i="41"/>
  <c r="U5" i="41"/>
  <c r="V5" i="41"/>
  <c r="O6" i="41"/>
  <c r="P6" i="41"/>
  <c r="Q6" i="41"/>
  <c r="R6" i="41"/>
  <c r="S6" i="41"/>
  <c r="T6" i="41"/>
  <c r="U6" i="41"/>
  <c r="V6" i="41"/>
  <c r="O7" i="41"/>
  <c r="P7" i="41"/>
  <c r="Q7" i="41"/>
  <c r="R7" i="41"/>
  <c r="S7" i="41"/>
  <c r="T7" i="41"/>
  <c r="U7" i="41"/>
  <c r="V7" i="41"/>
  <c r="O8" i="41"/>
  <c r="P8" i="41"/>
  <c r="Q8" i="41"/>
  <c r="R8" i="41"/>
  <c r="S8" i="41"/>
  <c r="T8" i="41"/>
  <c r="U8" i="41"/>
  <c r="V8" i="41"/>
  <c r="O9" i="41"/>
  <c r="P9" i="41"/>
  <c r="Q9" i="41"/>
  <c r="R9" i="41"/>
  <c r="S9" i="41"/>
  <c r="T9" i="41"/>
  <c r="U9" i="41"/>
  <c r="V9" i="41"/>
  <c r="O10" i="41"/>
  <c r="P10" i="41"/>
  <c r="Q10" i="41"/>
  <c r="R10" i="41"/>
  <c r="S10" i="41"/>
  <c r="T10" i="41"/>
  <c r="U10" i="41"/>
  <c r="V10" i="41"/>
  <c r="O11" i="41"/>
  <c r="P11" i="41"/>
  <c r="Q11" i="41"/>
  <c r="R11" i="41"/>
  <c r="S11" i="41"/>
  <c r="T11" i="41"/>
  <c r="U11" i="41"/>
  <c r="V11" i="41"/>
  <c r="O12" i="41"/>
  <c r="P12" i="41"/>
  <c r="Q12" i="41"/>
  <c r="R12" i="41"/>
  <c r="S12" i="41"/>
  <c r="T12" i="41"/>
  <c r="U12" i="41"/>
  <c r="V12" i="41"/>
  <c r="O13" i="41"/>
  <c r="P13" i="41"/>
  <c r="Q13" i="41"/>
  <c r="R13" i="41"/>
  <c r="S13" i="41"/>
  <c r="T13" i="41"/>
  <c r="U13" i="41"/>
  <c r="V13" i="41"/>
  <c r="O14" i="41"/>
  <c r="P14" i="41"/>
  <c r="Q14" i="41"/>
  <c r="R14" i="41"/>
  <c r="S14" i="41"/>
  <c r="T14" i="41"/>
  <c r="U14" i="41"/>
  <c r="V14" i="41"/>
  <c r="O15" i="41"/>
  <c r="P15" i="41"/>
  <c r="Q15" i="41"/>
  <c r="R15" i="41"/>
  <c r="S15" i="41"/>
  <c r="T15" i="41"/>
  <c r="U15" i="41"/>
  <c r="V15" i="41"/>
  <c r="O16" i="41"/>
  <c r="P16" i="41"/>
  <c r="Q16" i="41"/>
  <c r="R16" i="41"/>
  <c r="S16" i="41"/>
  <c r="T16" i="41"/>
  <c r="U16" i="41"/>
  <c r="V16" i="41"/>
  <c r="O17" i="41"/>
  <c r="P17" i="41"/>
  <c r="Q17" i="41"/>
  <c r="R17" i="41"/>
  <c r="S17" i="41"/>
  <c r="T17" i="41"/>
  <c r="U17" i="41"/>
  <c r="V17" i="41"/>
  <c r="O18" i="41"/>
  <c r="P18" i="41"/>
  <c r="Q18" i="41"/>
  <c r="R18" i="41"/>
  <c r="S18" i="41"/>
  <c r="T18" i="41"/>
  <c r="U18" i="41"/>
  <c r="V18" i="41"/>
  <c r="O19" i="41"/>
  <c r="P19" i="41"/>
  <c r="Q19" i="41"/>
  <c r="R19" i="41"/>
  <c r="S19" i="41"/>
  <c r="T19" i="41"/>
  <c r="U19" i="41"/>
  <c r="V19" i="41"/>
  <c r="O20" i="41"/>
  <c r="P20" i="41"/>
  <c r="Q20" i="41"/>
  <c r="R20" i="41"/>
  <c r="S20" i="41"/>
  <c r="T20" i="41"/>
  <c r="U20" i="41"/>
  <c r="V20" i="41"/>
  <c r="O21" i="41"/>
  <c r="P21" i="41"/>
  <c r="Q21" i="41"/>
  <c r="R21" i="41"/>
  <c r="S21" i="41"/>
  <c r="T21" i="41"/>
  <c r="U21" i="41"/>
  <c r="V21" i="41"/>
  <c r="O22" i="41"/>
  <c r="P22" i="41"/>
  <c r="Q22" i="41"/>
  <c r="R22" i="41"/>
  <c r="S22" i="41"/>
  <c r="T22" i="41"/>
  <c r="U22" i="41"/>
  <c r="V22" i="41"/>
  <c r="O23" i="41"/>
  <c r="P23" i="41"/>
  <c r="Q23" i="41"/>
  <c r="R23" i="41"/>
  <c r="S23" i="41"/>
  <c r="T23" i="41"/>
  <c r="U23" i="41"/>
  <c r="V23" i="41"/>
  <c r="O24" i="41"/>
  <c r="P24" i="41"/>
  <c r="Q24" i="41"/>
  <c r="R24" i="41"/>
  <c r="S24" i="41"/>
  <c r="T24" i="41"/>
  <c r="U24" i="41"/>
  <c r="V24" i="41"/>
  <c r="O25" i="41"/>
  <c r="P25" i="41"/>
  <c r="Q25" i="41"/>
  <c r="R25" i="41"/>
  <c r="S25" i="41"/>
  <c r="T25" i="41"/>
  <c r="U25" i="41"/>
  <c r="V25" i="41"/>
  <c r="O26" i="41"/>
  <c r="P26" i="41"/>
  <c r="Q26" i="41"/>
  <c r="R26" i="41"/>
  <c r="S26" i="41"/>
  <c r="T26" i="41"/>
  <c r="U26" i="41"/>
  <c r="V26" i="41"/>
  <c r="O27" i="41"/>
  <c r="P27" i="41"/>
  <c r="Q27" i="41"/>
  <c r="R27" i="41"/>
  <c r="S27" i="41"/>
  <c r="T27" i="41"/>
  <c r="U27" i="41"/>
  <c r="V27" i="41"/>
  <c r="O28" i="41"/>
  <c r="P28" i="41"/>
  <c r="Q28" i="41"/>
  <c r="R28" i="41"/>
  <c r="S28" i="41"/>
  <c r="T28" i="41"/>
  <c r="U28" i="41"/>
  <c r="V28" i="41"/>
  <c r="O29" i="41"/>
  <c r="P29" i="41"/>
  <c r="Q29" i="41"/>
  <c r="R29" i="41"/>
  <c r="S29" i="41"/>
  <c r="T29" i="41"/>
  <c r="U29" i="41"/>
  <c r="V29" i="41"/>
  <c r="O30" i="41"/>
  <c r="P30" i="41"/>
  <c r="Q30" i="41"/>
  <c r="R30" i="41"/>
  <c r="S30" i="41"/>
  <c r="T30" i="41"/>
  <c r="U30" i="41"/>
  <c r="V30" i="41"/>
  <c r="O31" i="41"/>
  <c r="P31" i="41"/>
  <c r="Q31" i="41"/>
  <c r="R31" i="41"/>
  <c r="S31" i="41"/>
  <c r="T31" i="41"/>
  <c r="U31" i="41"/>
  <c r="V31" i="41"/>
  <c r="O32" i="41"/>
  <c r="P32" i="41"/>
  <c r="Q32" i="41"/>
  <c r="R32" i="41"/>
  <c r="S32" i="41"/>
  <c r="T32" i="41"/>
  <c r="U32" i="41"/>
  <c r="V32" i="41"/>
  <c r="O33" i="41"/>
  <c r="P33" i="41"/>
  <c r="Q33" i="41"/>
  <c r="R33" i="41"/>
  <c r="S33" i="41"/>
  <c r="T33" i="41"/>
  <c r="U33" i="41"/>
  <c r="V33" i="41"/>
  <c r="O34" i="41"/>
  <c r="P34" i="41"/>
  <c r="Q34" i="41"/>
  <c r="R34" i="41"/>
  <c r="S34" i="41"/>
  <c r="T34" i="41"/>
  <c r="U34" i="41"/>
  <c r="V34" i="41"/>
  <c r="O35" i="41"/>
  <c r="P35" i="41"/>
  <c r="Q35" i="41"/>
  <c r="R35" i="41"/>
  <c r="S35" i="41"/>
  <c r="T35" i="41"/>
  <c r="U35" i="41"/>
  <c r="V35" i="41"/>
  <c r="O36" i="41"/>
  <c r="P36" i="41"/>
  <c r="Q36" i="41"/>
  <c r="R36" i="41"/>
  <c r="S36" i="41"/>
  <c r="T36" i="41"/>
  <c r="U36" i="41"/>
  <c r="V36" i="41"/>
  <c r="O37" i="41"/>
  <c r="P37" i="41"/>
  <c r="Q37" i="41"/>
  <c r="R37" i="41"/>
  <c r="S37" i="41"/>
  <c r="T37" i="41"/>
  <c r="U37" i="41"/>
  <c r="V37" i="41"/>
  <c r="O38" i="41"/>
  <c r="P38" i="41"/>
  <c r="Q38" i="41"/>
  <c r="R38" i="41"/>
  <c r="S38" i="41"/>
  <c r="T38" i="41"/>
  <c r="U38" i="41"/>
  <c r="V38" i="41"/>
  <c r="O39" i="41"/>
  <c r="P39" i="41"/>
  <c r="Q39" i="41"/>
  <c r="R39" i="41"/>
  <c r="S39" i="41"/>
  <c r="T39" i="41"/>
  <c r="U39" i="41"/>
  <c r="V39" i="41"/>
  <c r="O40" i="41"/>
  <c r="P40" i="41"/>
  <c r="Q40" i="41"/>
  <c r="R40" i="41"/>
  <c r="S40" i="41"/>
  <c r="T40" i="41"/>
  <c r="U40" i="41"/>
  <c r="V40" i="41"/>
  <c r="O41" i="41"/>
  <c r="P41" i="41"/>
  <c r="Q41" i="41"/>
  <c r="R41" i="41"/>
  <c r="S41" i="41"/>
  <c r="T41" i="41"/>
  <c r="U41" i="41"/>
  <c r="V41" i="41"/>
  <c r="O42" i="41"/>
  <c r="P42" i="41"/>
  <c r="Q42" i="41"/>
  <c r="R42" i="41"/>
  <c r="S42" i="41"/>
  <c r="T42" i="41"/>
  <c r="U42" i="41"/>
  <c r="V42" i="41"/>
  <c r="O43" i="41"/>
  <c r="P43" i="41"/>
  <c r="Q43" i="41"/>
  <c r="R43" i="41"/>
  <c r="S43" i="41"/>
  <c r="T43" i="41"/>
  <c r="U43" i="41"/>
  <c r="V43" i="41"/>
  <c r="O44" i="41"/>
  <c r="P44" i="41"/>
  <c r="Q44" i="41"/>
  <c r="R44" i="41"/>
  <c r="S44" i="41"/>
  <c r="T44" i="41"/>
  <c r="U44" i="41"/>
  <c r="V44" i="41"/>
  <c r="O45" i="41"/>
  <c r="P45" i="41"/>
  <c r="Q45" i="41"/>
  <c r="R45" i="41"/>
  <c r="S45" i="41"/>
  <c r="T45" i="41"/>
  <c r="U45" i="41"/>
  <c r="V45" i="41"/>
  <c r="O46" i="41"/>
  <c r="P46" i="41"/>
  <c r="Q46" i="41"/>
  <c r="R46" i="41"/>
  <c r="S46" i="41"/>
  <c r="T46" i="41"/>
  <c r="U46" i="41"/>
  <c r="V46" i="41"/>
  <c r="O47" i="41"/>
  <c r="P47" i="41"/>
  <c r="Q47" i="41"/>
  <c r="R47" i="41"/>
  <c r="S47" i="41"/>
  <c r="T47" i="41"/>
  <c r="U47" i="41"/>
  <c r="V47" i="41"/>
  <c r="O48" i="41"/>
  <c r="P48" i="41"/>
  <c r="Q48" i="41"/>
  <c r="R48" i="41"/>
  <c r="S48" i="41"/>
  <c r="T48" i="41"/>
  <c r="U48" i="41"/>
  <c r="V48" i="41"/>
  <c r="O49" i="41"/>
  <c r="P49" i="41"/>
  <c r="Q49" i="41"/>
  <c r="R49" i="41"/>
  <c r="S49" i="41"/>
  <c r="T49" i="41"/>
  <c r="U49" i="41"/>
  <c r="V49" i="41"/>
  <c r="O50" i="41"/>
  <c r="P50" i="41"/>
  <c r="Q50" i="41"/>
  <c r="R50" i="41"/>
  <c r="S50" i="41"/>
  <c r="T50" i="41"/>
  <c r="U50" i="41"/>
  <c r="V50" i="41"/>
  <c r="O51" i="41"/>
  <c r="P51" i="41"/>
  <c r="Q51" i="41"/>
  <c r="R51" i="41"/>
  <c r="S51" i="41"/>
  <c r="T51" i="41"/>
  <c r="U51" i="41"/>
  <c r="V51" i="41"/>
  <c r="O52" i="41"/>
  <c r="P52" i="41"/>
  <c r="Q52" i="41"/>
  <c r="R52" i="41"/>
  <c r="S52" i="41"/>
  <c r="T52" i="41"/>
  <c r="U52" i="41"/>
  <c r="V52" i="41"/>
  <c r="O53" i="41"/>
  <c r="P53" i="41"/>
  <c r="Q53" i="41"/>
  <c r="R53" i="41"/>
  <c r="S53" i="41"/>
  <c r="T53" i="41"/>
  <c r="U53" i="41"/>
  <c r="V53" i="41"/>
  <c r="O54" i="41"/>
  <c r="P54" i="41"/>
  <c r="Q54" i="41"/>
  <c r="R54" i="41"/>
  <c r="S54" i="41"/>
  <c r="T54" i="41"/>
  <c r="U54" i="41"/>
  <c r="V54" i="41"/>
  <c r="O55" i="41"/>
  <c r="P55" i="41"/>
  <c r="Q55" i="41"/>
  <c r="R55" i="41"/>
  <c r="S55" i="41"/>
  <c r="T55" i="41"/>
  <c r="U55" i="41"/>
  <c r="V55" i="41"/>
  <c r="O56" i="41"/>
  <c r="P56" i="41"/>
  <c r="Q56" i="41"/>
  <c r="R56" i="41"/>
  <c r="S56" i="41"/>
  <c r="T56" i="41"/>
  <c r="U56" i="41"/>
  <c r="V56" i="41"/>
  <c r="O57" i="41"/>
  <c r="P57" i="41"/>
  <c r="Q57" i="41"/>
  <c r="R57" i="41"/>
  <c r="S57" i="41"/>
  <c r="T57" i="41"/>
  <c r="U57" i="41"/>
  <c r="V57" i="41"/>
  <c r="O58" i="41"/>
  <c r="P58" i="41"/>
  <c r="Q58" i="41"/>
  <c r="R58" i="41"/>
  <c r="S58" i="41"/>
  <c r="T58" i="41"/>
  <c r="U58" i="41"/>
  <c r="V58" i="41"/>
  <c r="O59" i="41"/>
  <c r="P59" i="41"/>
  <c r="Q59" i="41"/>
  <c r="R59" i="41"/>
  <c r="S59" i="41"/>
  <c r="T59" i="41"/>
  <c r="U59" i="41"/>
  <c r="V59" i="41"/>
  <c r="O60" i="41"/>
  <c r="P60" i="41"/>
  <c r="Q60" i="41"/>
  <c r="R60" i="41"/>
  <c r="S60" i="41"/>
  <c r="T60" i="41"/>
  <c r="U60" i="41"/>
  <c r="V60" i="41"/>
  <c r="O61" i="41"/>
  <c r="P61" i="41"/>
  <c r="Q61" i="41"/>
  <c r="R61" i="41"/>
  <c r="S61" i="41"/>
  <c r="T61" i="41"/>
  <c r="U61" i="41"/>
  <c r="V61" i="41"/>
  <c r="O62" i="41"/>
  <c r="P62" i="41"/>
  <c r="Q62" i="41"/>
  <c r="R62" i="41"/>
  <c r="S62" i="41"/>
  <c r="T62" i="41"/>
  <c r="U62" i="41"/>
  <c r="V62" i="41"/>
  <c r="O63" i="41"/>
  <c r="P63" i="41"/>
  <c r="Q63" i="41"/>
  <c r="R63" i="41"/>
  <c r="S63" i="41"/>
  <c r="T63" i="41"/>
  <c r="U63" i="41"/>
  <c r="V63" i="41"/>
  <c r="O64" i="41"/>
  <c r="P64" i="41"/>
  <c r="Q64" i="41"/>
  <c r="R64" i="41"/>
  <c r="S64" i="41"/>
  <c r="T64" i="41"/>
  <c r="U64" i="41"/>
  <c r="V64" i="41"/>
  <c r="O65" i="41"/>
  <c r="P65" i="41"/>
  <c r="Q65" i="41"/>
  <c r="R65" i="41"/>
  <c r="S65" i="41"/>
  <c r="T65" i="41"/>
  <c r="U65" i="41"/>
  <c r="V65" i="41"/>
  <c r="O66" i="41"/>
  <c r="P66" i="41"/>
  <c r="Q66" i="41"/>
  <c r="R66" i="41"/>
  <c r="S66" i="41"/>
  <c r="T66" i="41"/>
  <c r="U66" i="41"/>
  <c r="V66" i="41"/>
  <c r="O67" i="41"/>
  <c r="P67" i="41"/>
  <c r="Q67" i="41"/>
  <c r="R67" i="41"/>
  <c r="S67" i="41"/>
  <c r="T67" i="41"/>
  <c r="U67" i="41"/>
  <c r="V67" i="41"/>
  <c r="O68" i="41"/>
  <c r="P68" i="41"/>
  <c r="Q68" i="41"/>
  <c r="R68" i="41"/>
  <c r="S68" i="41"/>
  <c r="T68" i="41"/>
  <c r="U68" i="41"/>
  <c r="V68" i="41"/>
  <c r="O69" i="41"/>
  <c r="P69" i="41"/>
  <c r="Q69" i="41"/>
  <c r="R69" i="41"/>
  <c r="S69" i="41"/>
  <c r="T69" i="41"/>
  <c r="U69" i="41"/>
  <c r="V69" i="41"/>
  <c r="O70" i="41"/>
  <c r="P70" i="41"/>
  <c r="Q70" i="41"/>
  <c r="R70" i="41"/>
  <c r="S70" i="41"/>
  <c r="T70" i="41"/>
  <c r="U70" i="41"/>
  <c r="V70" i="41"/>
  <c r="O71" i="41"/>
  <c r="P71" i="41"/>
  <c r="Q71" i="41"/>
  <c r="R71" i="41"/>
  <c r="S71" i="41"/>
  <c r="T71" i="41"/>
  <c r="U71" i="41"/>
  <c r="V71" i="41"/>
  <c r="O72" i="41"/>
  <c r="P72" i="41"/>
  <c r="Q72" i="41"/>
  <c r="R72" i="41"/>
  <c r="S72" i="41"/>
  <c r="T72" i="41"/>
  <c r="U72" i="41"/>
  <c r="V72" i="41"/>
  <c r="O73" i="41"/>
  <c r="P73" i="41"/>
  <c r="Q73" i="41"/>
  <c r="R73" i="41"/>
  <c r="S73" i="41"/>
  <c r="T73" i="41"/>
  <c r="U73" i="41"/>
  <c r="V73" i="41"/>
  <c r="O74" i="41"/>
  <c r="P74" i="41"/>
  <c r="Q74" i="41"/>
  <c r="R74" i="41"/>
  <c r="S74" i="41"/>
  <c r="T74" i="41"/>
  <c r="U74" i="41"/>
  <c r="V74" i="41"/>
  <c r="O75" i="41"/>
  <c r="P75" i="41"/>
  <c r="Q75" i="41"/>
  <c r="R75" i="41"/>
  <c r="S75" i="41"/>
  <c r="T75" i="41"/>
  <c r="U75" i="41"/>
  <c r="V75" i="41"/>
  <c r="O76" i="41"/>
  <c r="P76" i="41"/>
  <c r="Q76" i="41"/>
  <c r="R76" i="41"/>
  <c r="S76" i="41"/>
  <c r="T76" i="41"/>
  <c r="U76" i="41"/>
  <c r="V76" i="41"/>
  <c r="O77" i="41"/>
  <c r="P77" i="41"/>
  <c r="Q77" i="41"/>
  <c r="R77" i="41"/>
  <c r="S77" i="41"/>
  <c r="T77" i="41"/>
  <c r="U77" i="41"/>
  <c r="V77" i="41"/>
  <c r="O78" i="41"/>
  <c r="P78" i="41"/>
  <c r="Q78" i="41"/>
  <c r="R78" i="41"/>
  <c r="S78" i="41"/>
  <c r="T78" i="41"/>
  <c r="U78" i="41"/>
  <c r="V78" i="41"/>
  <c r="O79" i="41"/>
  <c r="P79" i="41"/>
  <c r="Q79" i="41"/>
  <c r="R79" i="41"/>
  <c r="S79" i="41"/>
  <c r="T79" i="41"/>
  <c r="U79" i="41"/>
  <c r="V79" i="41"/>
  <c r="O80" i="41"/>
  <c r="P80" i="41"/>
  <c r="Q80" i="41"/>
  <c r="R80" i="41"/>
  <c r="S80" i="41"/>
  <c r="T80" i="41"/>
  <c r="U80" i="41"/>
  <c r="V80" i="41"/>
  <c r="O81" i="41"/>
  <c r="P81" i="41"/>
  <c r="Q81" i="41"/>
  <c r="R81" i="41"/>
  <c r="S81" i="41"/>
  <c r="T81" i="41"/>
  <c r="U81" i="41"/>
  <c r="V81" i="41"/>
  <c r="O82" i="41"/>
  <c r="P82" i="41"/>
  <c r="Q82" i="41"/>
  <c r="R82" i="41"/>
  <c r="S82" i="41"/>
  <c r="T82" i="41"/>
  <c r="U82" i="41"/>
  <c r="V82" i="41"/>
  <c r="O83" i="41"/>
  <c r="P83" i="41"/>
  <c r="Q83" i="41"/>
  <c r="R83" i="41"/>
  <c r="S83" i="41"/>
  <c r="T83" i="41"/>
  <c r="U83" i="41"/>
  <c r="V83" i="41"/>
  <c r="O84" i="41"/>
  <c r="P84" i="41"/>
  <c r="Q84" i="41"/>
  <c r="R84" i="41"/>
  <c r="S84" i="41"/>
  <c r="T84" i="41"/>
  <c r="U84" i="41"/>
  <c r="V84" i="41"/>
  <c r="O85" i="41"/>
  <c r="P85" i="41"/>
  <c r="Q85" i="41"/>
  <c r="R85" i="41"/>
  <c r="S85" i="41"/>
  <c r="T85" i="41"/>
  <c r="U85" i="41"/>
  <c r="V85" i="41"/>
  <c r="O86" i="41"/>
  <c r="P86" i="41"/>
  <c r="Q86" i="41"/>
  <c r="R86" i="41"/>
  <c r="S86" i="41"/>
  <c r="T86" i="41"/>
  <c r="U86" i="41"/>
  <c r="V86" i="41"/>
  <c r="O87" i="41"/>
  <c r="P87" i="41"/>
  <c r="Q87" i="41"/>
  <c r="R87" i="41"/>
  <c r="S87" i="41"/>
  <c r="T87" i="41"/>
  <c r="U87" i="41"/>
  <c r="V87" i="41"/>
  <c r="O88" i="41"/>
  <c r="P88" i="41"/>
  <c r="Q88" i="41"/>
  <c r="R88" i="41"/>
  <c r="S88" i="41"/>
  <c r="T88" i="41"/>
  <c r="U88" i="41"/>
  <c r="V88" i="41"/>
  <c r="O89" i="41"/>
  <c r="P89" i="41"/>
  <c r="Q89" i="41"/>
  <c r="R89" i="41"/>
  <c r="S89" i="41"/>
  <c r="T89" i="41"/>
  <c r="U89" i="41"/>
  <c r="V89" i="41"/>
  <c r="O90" i="41"/>
  <c r="P90" i="41"/>
  <c r="Q90" i="41"/>
  <c r="R90" i="41"/>
  <c r="S90" i="41"/>
  <c r="T90" i="41"/>
  <c r="U90" i="41"/>
  <c r="V90" i="41"/>
  <c r="O91" i="41"/>
  <c r="P91" i="41"/>
  <c r="Q91" i="41"/>
  <c r="R91" i="41"/>
  <c r="S91" i="41"/>
  <c r="T91" i="41"/>
  <c r="U91" i="41"/>
  <c r="V91" i="41"/>
  <c r="O92" i="41"/>
  <c r="P92" i="41"/>
  <c r="Q92" i="41"/>
  <c r="R92" i="41"/>
  <c r="S92" i="41"/>
  <c r="T92" i="41"/>
  <c r="U92" i="41"/>
  <c r="V92" i="41"/>
  <c r="O93" i="41"/>
  <c r="P93" i="41"/>
  <c r="Q93" i="41"/>
  <c r="R93" i="41"/>
  <c r="S93" i="41"/>
  <c r="T93" i="41"/>
  <c r="U93" i="41"/>
  <c r="V93" i="41"/>
  <c r="O94" i="41"/>
  <c r="P94" i="41"/>
  <c r="Q94" i="41"/>
  <c r="R94" i="41"/>
  <c r="S94" i="41"/>
  <c r="T94" i="41"/>
  <c r="U94" i="41"/>
  <c r="V94" i="41"/>
  <c r="O95" i="41"/>
  <c r="P95" i="41"/>
  <c r="Q95" i="41"/>
  <c r="R95" i="41"/>
  <c r="S95" i="41"/>
  <c r="T95" i="41"/>
  <c r="U95" i="41"/>
  <c r="V95" i="41"/>
  <c r="O96" i="41"/>
  <c r="P96" i="41"/>
  <c r="Q96" i="41"/>
  <c r="R96" i="41"/>
  <c r="S96" i="41"/>
  <c r="T96" i="41"/>
  <c r="U96" i="41"/>
  <c r="V96" i="41"/>
  <c r="O97" i="41"/>
  <c r="P97" i="41"/>
  <c r="Q97" i="41"/>
  <c r="R97" i="41"/>
  <c r="S97" i="41"/>
  <c r="T97" i="41"/>
  <c r="U97" i="41"/>
  <c r="V97" i="41"/>
  <c r="O98" i="41"/>
  <c r="P98" i="41"/>
  <c r="Q98" i="41"/>
  <c r="R98" i="41"/>
  <c r="S98" i="41"/>
  <c r="T98" i="41"/>
  <c r="U98" i="41"/>
  <c r="V98" i="41"/>
  <c r="O99" i="41"/>
  <c r="P99" i="41"/>
  <c r="Q99" i="41"/>
  <c r="R99" i="41"/>
  <c r="S99" i="41"/>
  <c r="T99" i="41"/>
  <c r="U99" i="41"/>
  <c r="V99" i="41"/>
  <c r="O100" i="41"/>
  <c r="P100" i="41"/>
  <c r="Q100" i="41"/>
  <c r="R100" i="41"/>
  <c r="S100" i="41"/>
  <c r="T100" i="41"/>
  <c r="U100" i="41"/>
  <c r="V100" i="41"/>
  <c r="O101" i="41"/>
  <c r="P101" i="41"/>
  <c r="Q101" i="41"/>
  <c r="R101" i="41"/>
  <c r="S101" i="41"/>
  <c r="T101" i="41"/>
  <c r="U101" i="41"/>
  <c r="V101" i="41"/>
  <c r="O102" i="41"/>
  <c r="P102" i="41"/>
  <c r="Q102" i="41"/>
  <c r="R102" i="41"/>
  <c r="S102" i="41"/>
  <c r="T102" i="41"/>
  <c r="U102" i="41"/>
  <c r="V102" i="41"/>
  <c r="O103" i="41"/>
  <c r="P103" i="41"/>
  <c r="Q103" i="41"/>
  <c r="R103" i="41"/>
  <c r="S103" i="41"/>
  <c r="T103" i="41"/>
  <c r="U103" i="41"/>
  <c r="V103" i="41"/>
  <c r="O104" i="41"/>
  <c r="P104" i="41"/>
  <c r="Q104" i="41"/>
  <c r="R104" i="41"/>
  <c r="S104" i="41"/>
  <c r="T104" i="41"/>
  <c r="U104" i="41"/>
  <c r="V104" i="41"/>
  <c r="O105" i="41"/>
  <c r="P105" i="41"/>
  <c r="Q105" i="41"/>
  <c r="R105" i="41"/>
  <c r="S105" i="41"/>
  <c r="T105" i="41"/>
  <c r="U105" i="41"/>
  <c r="V105" i="41"/>
  <c r="O106" i="41"/>
  <c r="P106" i="41"/>
  <c r="Q106" i="41"/>
  <c r="R106" i="41"/>
  <c r="S106" i="41"/>
  <c r="T106" i="41"/>
  <c r="U106" i="41"/>
  <c r="V106" i="41"/>
  <c r="O107" i="41"/>
  <c r="P107" i="41"/>
  <c r="Q107" i="41"/>
  <c r="R107" i="41"/>
  <c r="S107" i="41"/>
  <c r="T107" i="41"/>
  <c r="U107" i="41"/>
  <c r="V107" i="41"/>
  <c r="O108" i="41"/>
  <c r="P108" i="41"/>
  <c r="Q108" i="41"/>
  <c r="R108" i="41"/>
  <c r="S108" i="41"/>
  <c r="T108" i="41"/>
  <c r="U108" i="41"/>
  <c r="V108" i="41"/>
  <c r="O109" i="41"/>
  <c r="P109" i="41"/>
  <c r="Q109" i="41"/>
  <c r="R109" i="41"/>
  <c r="S109" i="41"/>
  <c r="T109" i="41"/>
  <c r="U109" i="41"/>
  <c r="V109" i="41"/>
  <c r="O110" i="41"/>
  <c r="P110" i="41"/>
  <c r="Q110" i="41"/>
  <c r="R110" i="41"/>
  <c r="S110" i="41"/>
  <c r="T110" i="41"/>
  <c r="U110" i="41"/>
  <c r="V110" i="41"/>
  <c r="O111" i="41"/>
  <c r="P111" i="41"/>
  <c r="Q111" i="41"/>
  <c r="R111" i="41"/>
  <c r="S111" i="41"/>
  <c r="T111" i="41"/>
  <c r="U111" i="41"/>
  <c r="V111" i="41"/>
  <c r="O112" i="41"/>
  <c r="P112" i="41"/>
  <c r="Q112" i="41"/>
  <c r="R112" i="41"/>
  <c r="S112" i="41"/>
  <c r="T112" i="41"/>
  <c r="U112" i="41"/>
  <c r="V112" i="41"/>
  <c r="O113" i="41"/>
  <c r="P113" i="41"/>
  <c r="Q113" i="41"/>
  <c r="R113" i="41"/>
  <c r="S113" i="41"/>
  <c r="T113" i="41"/>
  <c r="U113" i="41"/>
  <c r="V113" i="41"/>
  <c r="O114" i="41"/>
  <c r="P114" i="41"/>
  <c r="Q114" i="41"/>
  <c r="R114" i="41"/>
  <c r="S114" i="41"/>
  <c r="T114" i="41"/>
  <c r="U114" i="41"/>
  <c r="V114" i="41"/>
  <c r="O115" i="41"/>
  <c r="P115" i="41"/>
  <c r="Q115" i="41"/>
  <c r="R115" i="41"/>
  <c r="S115" i="41"/>
  <c r="T115" i="41"/>
  <c r="U115" i="41"/>
  <c r="V115" i="41"/>
  <c r="O116" i="41"/>
  <c r="P116" i="41"/>
  <c r="Q116" i="41"/>
  <c r="R116" i="41"/>
  <c r="S116" i="41"/>
  <c r="T116" i="41"/>
  <c r="U116" i="41"/>
  <c r="V116" i="41"/>
  <c r="O117" i="41"/>
  <c r="P117" i="41"/>
  <c r="Q117" i="41"/>
  <c r="R117" i="41"/>
  <c r="S117" i="41"/>
  <c r="T117" i="41"/>
  <c r="U117" i="41"/>
  <c r="V117" i="41"/>
  <c r="O118" i="41"/>
  <c r="P118" i="41"/>
  <c r="Q118" i="41"/>
  <c r="R118" i="41"/>
  <c r="S118" i="41"/>
  <c r="T118" i="41"/>
  <c r="U118" i="41"/>
  <c r="V118" i="41"/>
  <c r="O119" i="41"/>
  <c r="P119" i="41"/>
  <c r="Q119" i="41"/>
  <c r="R119" i="41"/>
  <c r="S119" i="41"/>
  <c r="T119" i="41"/>
  <c r="U119" i="41"/>
  <c r="V119" i="41"/>
  <c r="O120" i="41"/>
  <c r="P120" i="41"/>
  <c r="Q120" i="41"/>
  <c r="R120" i="41"/>
  <c r="S120" i="41"/>
  <c r="T120" i="41"/>
  <c r="U120" i="41"/>
  <c r="V120" i="41"/>
  <c r="O121" i="41"/>
  <c r="P121" i="41"/>
  <c r="Q121" i="41"/>
  <c r="R121" i="41"/>
  <c r="S121" i="41"/>
  <c r="T121" i="41"/>
  <c r="U121" i="41"/>
  <c r="V121" i="41"/>
  <c r="O122" i="41"/>
  <c r="P122" i="41"/>
  <c r="Q122" i="41"/>
  <c r="R122" i="41"/>
  <c r="S122" i="41"/>
  <c r="T122" i="41"/>
  <c r="U122" i="41"/>
  <c r="V122" i="41"/>
  <c r="O123" i="41"/>
  <c r="P123" i="41"/>
  <c r="Q123" i="41"/>
  <c r="R123" i="41"/>
  <c r="S123" i="41"/>
  <c r="T123" i="41"/>
  <c r="U123" i="41"/>
  <c r="V123" i="41"/>
  <c r="O124" i="41"/>
  <c r="P124" i="41"/>
  <c r="Q124" i="41"/>
  <c r="R124" i="41"/>
  <c r="S124" i="41"/>
  <c r="T124" i="41"/>
  <c r="U124" i="41"/>
  <c r="V124" i="41"/>
  <c r="O125" i="41"/>
  <c r="P125" i="41"/>
  <c r="Q125" i="41"/>
  <c r="R125" i="41"/>
  <c r="S125" i="41"/>
  <c r="T125" i="41"/>
  <c r="U125" i="41"/>
  <c r="V125" i="41"/>
  <c r="O126" i="41"/>
  <c r="P126" i="41"/>
  <c r="Q126" i="41"/>
  <c r="R126" i="41"/>
  <c r="S126" i="41"/>
  <c r="T126" i="41"/>
  <c r="U126" i="41"/>
  <c r="V126" i="41"/>
  <c r="O127" i="41"/>
  <c r="P127" i="41"/>
  <c r="Q127" i="41"/>
  <c r="R127" i="41"/>
  <c r="S127" i="41"/>
  <c r="T127" i="41"/>
  <c r="U127" i="41"/>
  <c r="V127" i="41"/>
  <c r="O128" i="41"/>
  <c r="P128" i="41"/>
  <c r="Q128" i="41"/>
  <c r="R128" i="41"/>
  <c r="S128" i="41"/>
  <c r="T128" i="41"/>
  <c r="U128" i="41"/>
  <c r="V128" i="41"/>
  <c r="O129" i="41"/>
  <c r="P129" i="41"/>
  <c r="Q129" i="41"/>
  <c r="R129" i="41"/>
  <c r="S129" i="41"/>
  <c r="T129" i="41"/>
  <c r="U129" i="41"/>
  <c r="V129" i="41"/>
  <c r="O130" i="41"/>
  <c r="P130" i="41"/>
  <c r="Q130" i="41"/>
  <c r="R130" i="41"/>
  <c r="S130" i="41"/>
  <c r="T130" i="41"/>
  <c r="U130" i="41"/>
  <c r="V130" i="41"/>
  <c r="O131" i="41"/>
  <c r="P131" i="41"/>
  <c r="Q131" i="41"/>
  <c r="R131" i="41"/>
  <c r="S131" i="41"/>
  <c r="T131" i="41"/>
  <c r="U131" i="41"/>
  <c r="V131" i="41"/>
  <c r="O132" i="41"/>
  <c r="P132" i="41"/>
  <c r="Q132" i="41"/>
  <c r="R132" i="41"/>
  <c r="S132" i="41"/>
  <c r="T132" i="41"/>
  <c r="U132" i="41"/>
  <c r="V132" i="41"/>
  <c r="O133" i="41"/>
  <c r="P133" i="41"/>
  <c r="Q133" i="41"/>
  <c r="R133" i="41"/>
  <c r="S133" i="41"/>
  <c r="T133" i="41"/>
  <c r="U133" i="41"/>
  <c r="V133" i="41"/>
  <c r="O134" i="41"/>
  <c r="P134" i="41"/>
  <c r="Q134" i="41"/>
  <c r="R134" i="41"/>
  <c r="S134" i="41"/>
  <c r="T134" i="41"/>
  <c r="U134" i="41"/>
  <c r="V134" i="41"/>
  <c r="O135" i="41"/>
  <c r="P135" i="41"/>
  <c r="Q135" i="41"/>
  <c r="R135" i="41"/>
  <c r="S135" i="41"/>
  <c r="T135" i="41"/>
  <c r="U135" i="41"/>
  <c r="V135" i="41"/>
  <c r="O136" i="41"/>
  <c r="P136" i="41"/>
  <c r="Q136" i="41"/>
  <c r="R136" i="41"/>
  <c r="S136" i="41"/>
  <c r="T136" i="41"/>
  <c r="U136" i="41"/>
  <c r="V136" i="41"/>
  <c r="O137" i="41"/>
  <c r="P137" i="41"/>
  <c r="Q137" i="41"/>
  <c r="R137" i="41"/>
  <c r="S137" i="41"/>
  <c r="T137" i="41"/>
  <c r="U137" i="41"/>
  <c r="V137" i="41"/>
  <c r="O138" i="41"/>
  <c r="P138" i="41"/>
  <c r="Q138" i="41"/>
  <c r="R138" i="41"/>
  <c r="S138" i="41"/>
  <c r="T138" i="41"/>
  <c r="U138" i="41"/>
  <c r="V138" i="41"/>
  <c r="O139" i="41"/>
  <c r="P139" i="41"/>
  <c r="Q139" i="41"/>
  <c r="R139" i="41"/>
  <c r="S139" i="41"/>
  <c r="T139" i="41"/>
  <c r="U139" i="41"/>
  <c r="V139" i="41"/>
  <c r="O140" i="41"/>
  <c r="P140" i="41"/>
  <c r="Q140" i="41"/>
  <c r="R140" i="41"/>
  <c r="S140" i="41"/>
  <c r="T140" i="41"/>
  <c r="U140" i="41"/>
  <c r="V140" i="41"/>
  <c r="O141" i="41"/>
  <c r="P141" i="41"/>
  <c r="Q141" i="41"/>
  <c r="R141" i="41"/>
  <c r="S141" i="41"/>
  <c r="T141" i="41"/>
  <c r="U141" i="41"/>
  <c r="V141" i="41"/>
  <c r="O142" i="41"/>
  <c r="P142" i="41"/>
  <c r="Q142" i="41"/>
  <c r="R142" i="41"/>
  <c r="S142" i="41"/>
  <c r="T142" i="41"/>
  <c r="U142" i="41"/>
  <c r="V142" i="41"/>
  <c r="O143" i="41"/>
  <c r="P143" i="41"/>
  <c r="Q143" i="41"/>
  <c r="R143" i="41"/>
  <c r="S143" i="41"/>
  <c r="T143" i="41"/>
  <c r="U143" i="41"/>
  <c r="V143" i="41"/>
  <c r="O144" i="41"/>
  <c r="P144" i="41"/>
  <c r="Q144" i="41"/>
  <c r="R144" i="41"/>
  <c r="S144" i="41"/>
  <c r="T144" i="41"/>
  <c r="U144" i="41"/>
  <c r="V144" i="41"/>
  <c r="O145" i="41"/>
  <c r="P145" i="41"/>
  <c r="Q145" i="41"/>
  <c r="R145" i="41"/>
  <c r="S145" i="41"/>
  <c r="T145" i="41"/>
  <c r="U145" i="41"/>
  <c r="V145" i="41"/>
  <c r="O146" i="41"/>
  <c r="P146" i="41"/>
  <c r="Q146" i="41"/>
  <c r="R146" i="41"/>
  <c r="S146" i="41"/>
  <c r="T146" i="41"/>
  <c r="U146" i="41"/>
  <c r="V146" i="41"/>
  <c r="O147" i="41"/>
  <c r="P147" i="41"/>
  <c r="Q147" i="41"/>
  <c r="R147" i="41"/>
  <c r="S147" i="41"/>
  <c r="T147" i="41"/>
  <c r="U147" i="41"/>
  <c r="V147" i="41"/>
  <c r="O148" i="41"/>
  <c r="P148" i="41"/>
  <c r="Q148" i="41"/>
  <c r="R148" i="41"/>
  <c r="S148" i="41"/>
  <c r="T148" i="41"/>
  <c r="U148" i="41"/>
  <c r="V148" i="41"/>
  <c r="O149" i="41"/>
  <c r="P149" i="41"/>
  <c r="Q149" i="41"/>
  <c r="R149" i="41"/>
  <c r="S149" i="41"/>
  <c r="T149" i="41"/>
  <c r="U149" i="41"/>
  <c r="V149" i="41"/>
  <c r="O150" i="41"/>
  <c r="P150" i="41"/>
  <c r="Q150" i="41"/>
  <c r="R150" i="41"/>
  <c r="S150" i="41"/>
  <c r="T150" i="41"/>
  <c r="U150" i="41"/>
  <c r="V150" i="41"/>
  <c r="O151" i="41"/>
  <c r="P151" i="41"/>
  <c r="Q151" i="41"/>
  <c r="R151" i="41"/>
  <c r="S151" i="41"/>
  <c r="T151" i="41"/>
  <c r="U151" i="41"/>
  <c r="V151" i="41"/>
  <c r="O152" i="41"/>
  <c r="P152" i="41"/>
  <c r="Q152" i="41"/>
  <c r="R152" i="41"/>
  <c r="S152" i="41"/>
  <c r="T152" i="41"/>
  <c r="U152" i="41"/>
  <c r="V152" i="41"/>
  <c r="O153" i="41"/>
  <c r="P153" i="41"/>
  <c r="Q153" i="41"/>
  <c r="R153" i="41"/>
  <c r="S153" i="41"/>
  <c r="T153" i="41"/>
  <c r="U153" i="41"/>
  <c r="V153" i="41"/>
  <c r="O154" i="41"/>
  <c r="P154" i="41"/>
  <c r="Q154" i="41"/>
  <c r="R154" i="41"/>
  <c r="S154" i="41"/>
  <c r="T154" i="41"/>
  <c r="U154" i="41"/>
  <c r="V154" i="41"/>
  <c r="O155" i="41"/>
  <c r="P155" i="41"/>
  <c r="Q155" i="41"/>
  <c r="R155" i="41"/>
  <c r="S155" i="41"/>
  <c r="T155" i="41"/>
  <c r="U155" i="41"/>
  <c r="V155" i="41"/>
  <c r="O156" i="41"/>
  <c r="P156" i="41"/>
  <c r="Q156" i="41"/>
  <c r="R156" i="41"/>
  <c r="S156" i="41"/>
  <c r="T156" i="41"/>
  <c r="U156" i="41"/>
  <c r="V156" i="41"/>
  <c r="O157" i="41"/>
  <c r="P157" i="41"/>
  <c r="Q157" i="41"/>
  <c r="R157" i="41"/>
  <c r="S157" i="41"/>
  <c r="T157" i="41"/>
  <c r="U157" i="41"/>
  <c r="V157" i="41"/>
  <c r="O158" i="41"/>
  <c r="P158" i="41"/>
  <c r="Q158" i="41"/>
  <c r="R158" i="41"/>
  <c r="S158" i="41"/>
  <c r="T158" i="41"/>
  <c r="U158" i="41"/>
  <c r="V158" i="41"/>
  <c r="O159" i="41"/>
  <c r="P159" i="41"/>
  <c r="Q159" i="41"/>
  <c r="R159" i="41"/>
  <c r="S159" i="41"/>
  <c r="T159" i="41"/>
  <c r="U159" i="41"/>
  <c r="V159" i="41"/>
  <c r="O160" i="41"/>
  <c r="P160" i="41"/>
  <c r="Q160" i="41"/>
  <c r="R160" i="41"/>
  <c r="S160" i="41"/>
  <c r="T160" i="41"/>
  <c r="U160" i="41"/>
  <c r="V160" i="41"/>
  <c r="O161" i="41"/>
  <c r="P161" i="41"/>
  <c r="Q161" i="41"/>
  <c r="R161" i="41"/>
  <c r="S161" i="41"/>
  <c r="T161" i="41"/>
  <c r="U161" i="41"/>
  <c r="V161" i="41"/>
  <c r="O162" i="41"/>
  <c r="P162" i="41"/>
  <c r="Q162" i="41"/>
  <c r="R162" i="41"/>
  <c r="S162" i="41"/>
  <c r="T162" i="41"/>
  <c r="U162" i="41"/>
  <c r="V162" i="41"/>
  <c r="O163" i="41"/>
  <c r="P163" i="41"/>
  <c r="Q163" i="41"/>
  <c r="R163" i="41"/>
  <c r="S163" i="41"/>
  <c r="T163" i="41"/>
  <c r="U163" i="41"/>
  <c r="V163" i="41"/>
  <c r="O164" i="41"/>
  <c r="P164" i="41"/>
  <c r="Q164" i="41"/>
  <c r="R164" i="41"/>
  <c r="S164" i="41"/>
  <c r="T164" i="41"/>
  <c r="U164" i="41"/>
  <c r="V164" i="41"/>
  <c r="O165" i="41"/>
  <c r="P165" i="41"/>
  <c r="Q165" i="41"/>
  <c r="R165" i="41"/>
  <c r="S165" i="41"/>
  <c r="T165" i="41"/>
  <c r="U165" i="41"/>
  <c r="V165" i="41"/>
  <c r="O166" i="41"/>
  <c r="P166" i="41"/>
  <c r="Q166" i="41"/>
  <c r="R166" i="41"/>
  <c r="S166" i="41"/>
  <c r="T166" i="41"/>
  <c r="U166" i="41"/>
  <c r="V166" i="41"/>
  <c r="O167" i="41"/>
  <c r="P167" i="41"/>
  <c r="Q167" i="41"/>
  <c r="R167" i="41"/>
  <c r="S167" i="41"/>
  <c r="T167" i="41"/>
  <c r="U167" i="41"/>
  <c r="V167" i="41"/>
  <c r="O168" i="41"/>
  <c r="P168" i="41"/>
  <c r="Q168" i="41"/>
  <c r="R168" i="41"/>
  <c r="S168" i="41"/>
  <c r="T168" i="41"/>
  <c r="U168" i="41"/>
  <c r="V168" i="41"/>
  <c r="O169" i="41"/>
  <c r="P169" i="41"/>
  <c r="Q169" i="41"/>
  <c r="R169" i="41"/>
  <c r="S169" i="41"/>
  <c r="T169" i="41"/>
  <c r="U169" i="41"/>
  <c r="V169" i="41"/>
  <c r="O170" i="41"/>
  <c r="P170" i="41"/>
  <c r="Q170" i="41"/>
  <c r="R170" i="41"/>
  <c r="S170" i="41"/>
  <c r="T170" i="41"/>
  <c r="U170" i="41"/>
  <c r="V170" i="41"/>
  <c r="O171" i="41"/>
  <c r="P171" i="41"/>
  <c r="Q171" i="41"/>
  <c r="R171" i="41"/>
  <c r="S171" i="41"/>
  <c r="T171" i="41"/>
  <c r="U171" i="41"/>
  <c r="V171" i="41"/>
  <c r="O172" i="41"/>
  <c r="P172" i="41"/>
  <c r="Q172" i="41"/>
  <c r="R172" i="41"/>
  <c r="S172" i="41"/>
  <c r="T172" i="41"/>
  <c r="U172" i="41"/>
  <c r="V172" i="41"/>
  <c r="O173" i="41"/>
  <c r="P173" i="41"/>
  <c r="Q173" i="41"/>
  <c r="R173" i="41"/>
  <c r="S173" i="41"/>
  <c r="T173" i="41"/>
  <c r="U173" i="41"/>
  <c r="V173" i="41"/>
  <c r="O174" i="41"/>
  <c r="P174" i="41"/>
  <c r="Q174" i="41"/>
  <c r="R174" i="41"/>
  <c r="S174" i="41"/>
  <c r="T174" i="41"/>
  <c r="U174" i="41"/>
  <c r="V174" i="41"/>
  <c r="O175" i="41"/>
  <c r="P175" i="41"/>
  <c r="Q175" i="41"/>
  <c r="R175" i="41"/>
  <c r="S175" i="41"/>
  <c r="T175" i="41"/>
  <c r="U175" i="41"/>
  <c r="V175" i="41"/>
  <c r="O176" i="41"/>
  <c r="P176" i="41"/>
  <c r="Q176" i="41"/>
  <c r="R176" i="41"/>
  <c r="S176" i="41"/>
  <c r="T176" i="41"/>
  <c r="U176" i="41"/>
  <c r="V176" i="41"/>
  <c r="O177" i="41"/>
  <c r="P177" i="41"/>
  <c r="Q177" i="41"/>
  <c r="R177" i="41"/>
  <c r="S177" i="41"/>
  <c r="T177" i="41"/>
  <c r="U177" i="41"/>
  <c r="V177" i="41"/>
  <c r="O178" i="41"/>
  <c r="P178" i="41"/>
  <c r="Q178" i="41"/>
  <c r="R178" i="41"/>
  <c r="S178" i="41"/>
  <c r="T178" i="41"/>
  <c r="U178" i="41"/>
  <c r="V178" i="41"/>
  <c r="O179" i="41"/>
  <c r="P179" i="41"/>
  <c r="Q179" i="41"/>
  <c r="R179" i="41"/>
  <c r="S179" i="41"/>
  <c r="T179" i="41"/>
  <c r="U179" i="41"/>
  <c r="V179" i="41"/>
  <c r="O180" i="41"/>
  <c r="P180" i="41"/>
  <c r="Q180" i="41"/>
  <c r="R180" i="41"/>
  <c r="S180" i="41"/>
  <c r="T180" i="41"/>
  <c r="U180" i="41"/>
  <c r="V180" i="41"/>
  <c r="O181" i="41"/>
  <c r="P181" i="41"/>
  <c r="Q181" i="41"/>
  <c r="R181" i="41"/>
  <c r="S181" i="41"/>
  <c r="T181" i="41"/>
  <c r="U181" i="41"/>
  <c r="V181" i="41"/>
  <c r="O182" i="41"/>
  <c r="P182" i="41"/>
  <c r="Q182" i="41"/>
  <c r="R182" i="41"/>
  <c r="S182" i="41"/>
  <c r="T182" i="41"/>
  <c r="U182" i="41"/>
  <c r="V182" i="41"/>
  <c r="O183" i="41"/>
  <c r="P183" i="41"/>
  <c r="Q183" i="41"/>
  <c r="R183" i="41"/>
  <c r="S183" i="41"/>
  <c r="T183" i="41"/>
  <c r="U183" i="41"/>
  <c r="V183" i="41"/>
  <c r="O184" i="41"/>
  <c r="P184" i="41"/>
  <c r="Q184" i="41"/>
  <c r="R184" i="41"/>
  <c r="S184" i="41"/>
  <c r="T184" i="41"/>
  <c r="U184" i="41"/>
  <c r="V184" i="41"/>
  <c r="O185" i="41"/>
  <c r="P185" i="41"/>
  <c r="Q185" i="41"/>
  <c r="R185" i="41"/>
  <c r="S185" i="41"/>
  <c r="T185" i="41"/>
  <c r="U185" i="41"/>
  <c r="V185" i="41"/>
  <c r="O186" i="41"/>
  <c r="P186" i="41"/>
  <c r="Q186" i="41"/>
  <c r="R186" i="41"/>
  <c r="S186" i="41"/>
  <c r="T186" i="41"/>
  <c r="U186" i="41"/>
  <c r="V186" i="41"/>
  <c r="O187" i="41"/>
  <c r="P187" i="41"/>
  <c r="Q187" i="41"/>
  <c r="R187" i="41"/>
  <c r="S187" i="41"/>
  <c r="T187" i="41"/>
  <c r="U187" i="41"/>
  <c r="V187" i="41"/>
  <c r="O188" i="41"/>
  <c r="P188" i="41"/>
  <c r="Q188" i="41"/>
  <c r="R188" i="41"/>
  <c r="S188" i="41"/>
  <c r="T188" i="41"/>
  <c r="U188" i="41"/>
  <c r="V188" i="41"/>
  <c r="O189" i="41"/>
  <c r="P189" i="41"/>
  <c r="Q189" i="41"/>
  <c r="R189" i="41"/>
  <c r="S189" i="41"/>
  <c r="T189" i="41"/>
  <c r="U189" i="41"/>
  <c r="V189" i="41"/>
  <c r="O190" i="41"/>
  <c r="P190" i="41"/>
  <c r="Q190" i="41"/>
  <c r="R190" i="41"/>
  <c r="S190" i="41"/>
  <c r="T190" i="41"/>
  <c r="U190" i="41"/>
  <c r="V190" i="41"/>
  <c r="O191" i="41"/>
  <c r="P191" i="41"/>
  <c r="Q191" i="41"/>
  <c r="R191" i="41"/>
  <c r="S191" i="41"/>
  <c r="T191" i="41"/>
  <c r="U191" i="41"/>
  <c r="V191" i="41"/>
  <c r="O192" i="41"/>
  <c r="P192" i="41"/>
  <c r="Q192" i="41"/>
  <c r="R192" i="41"/>
  <c r="S192" i="41"/>
  <c r="T192" i="41"/>
  <c r="U192" i="41"/>
  <c r="V192" i="41"/>
  <c r="O193" i="41"/>
  <c r="P193" i="41"/>
  <c r="Q193" i="41"/>
  <c r="R193" i="41"/>
  <c r="S193" i="41"/>
  <c r="T193" i="41"/>
  <c r="U193" i="41"/>
  <c r="V193" i="41"/>
  <c r="O194" i="41"/>
  <c r="P194" i="41"/>
  <c r="Q194" i="41"/>
  <c r="R194" i="41"/>
  <c r="S194" i="41"/>
  <c r="T194" i="41"/>
  <c r="U194" i="41"/>
  <c r="V194" i="41"/>
  <c r="O195" i="41"/>
  <c r="P195" i="41"/>
  <c r="Q195" i="41"/>
  <c r="R195" i="41"/>
  <c r="S195" i="41"/>
  <c r="T195" i="41"/>
  <c r="U195" i="41"/>
  <c r="V195" i="41"/>
  <c r="O196" i="41"/>
  <c r="P196" i="41"/>
  <c r="Q196" i="41"/>
  <c r="R196" i="41"/>
  <c r="S196" i="41"/>
  <c r="T196" i="41"/>
  <c r="U196" i="41"/>
  <c r="V196" i="41"/>
  <c r="O197" i="41"/>
  <c r="P197" i="41"/>
  <c r="Q197" i="41"/>
  <c r="R197" i="41"/>
  <c r="S197" i="41"/>
  <c r="T197" i="41"/>
  <c r="U197" i="41"/>
  <c r="V197" i="41"/>
  <c r="O198" i="41"/>
  <c r="P198" i="41"/>
  <c r="Q198" i="41"/>
  <c r="R198" i="41"/>
  <c r="S198" i="41"/>
  <c r="T198" i="41"/>
  <c r="U198" i="41"/>
  <c r="V198" i="41"/>
  <c r="O199" i="41"/>
  <c r="P199" i="41"/>
  <c r="Q199" i="41"/>
  <c r="R199" i="41"/>
  <c r="S199" i="41"/>
  <c r="T199" i="41"/>
  <c r="U199" i="41"/>
  <c r="V199" i="41"/>
  <c r="O200" i="41"/>
  <c r="P200" i="41"/>
  <c r="Q200" i="41"/>
  <c r="R200" i="41"/>
  <c r="S200" i="41"/>
  <c r="T200" i="41"/>
  <c r="U200" i="41"/>
  <c r="V200" i="41"/>
  <c r="O201" i="41"/>
  <c r="P201" i="41"/>
  <c r="Q201" i="41"/>
  <c r="R201" i="41"/>
  <c r="S201" i="41"/>
  <c r="T201" i="41"/>
  <c r="U201" i="41"/>
  <c r="V201" i="41"/>
  <c r="O202" i="41"/>
  <c r="P202" i="41"/>
  <c r="Q202" i="41"/>
  <c r="R202" i="41"/>
  <c r="S202" i="41"/>
  <c r="T202" i="41"/>
  <c r="U202" i="41"/>
  <c r="V202" i="41"/>
  <c r="O203" i="41"/>
  <c r="P203" i="41"/>
  <c r="Q203" i="41"/>
  <c r="R203" i="41"/>
  <c r="S203" i="41"/>
  <c r="T203" i="41"/>
  <c r="U203" i="41"/>
  <c r="V203" i="41"/>
  <c r="O204" i="41"/>
  <c r="P204" i="41"/>
  <c r="Q204" i="41"/>
  <c r="R204" i="41"/>
  <c r="S204" i="41"/>
  <c r="T204" i="41"/>
  <c r="U204" i="41"/>
  <c r="V204" i="41"/>
  <c r="O205" i="41"/>
  <c r="P205" i="41"/>
  <c r="Q205" i="41"/>
  <c r="R205" i="41"/>
  <c r="S205" i="41"/>
  <c r="T205" i="41"/>
  <c r="U205" i="41"/>
  <c r="V205" i="41"/>
  <c r="O206" i="41"/>
  <c r="P206" i="41"/>
  <c r="Q206" i="41"/>
  <c r="R206" i="41"/>
  <c r="S206" i="41"/>
  <c r="T206" i="41"/>
  <c r="U206" i="41"/>
  <c r="V206" i="41"/>
  <c r="O207" i="41"/>
  <c r="P207" i="41"/>
  <c r="Q207" i="41"/>
  <c r="R207" i="41"/>
  <c r="S207" i="41"/>
  <c r="T207" i="41"/>
  <c r="U207" i="41"/>
  <c r="V207" i="41"/>
  <c r="O208" i="41"/>
  <c r="P208" i="41"/>
  <c r="Q208" i="41"/>
  <c r="R208" i="41"/>
  <c r="S208" i="41"/>
  <c r="T208" i="41"/>
  <c r="U208" i="41"/>
  <c r="V208" i="41"/>
  <c r="O209" i="41"/>
  <c r="P209" i="41"/>
  <c r="Q209" i="41"/>
  <c r="R209" i="41"/>
  <c r="S209" i="41"/>
  <c r="T209" i="41"/>
  <c r="U209" i="41"/>
  <c r="V209" i="41"/>
  <c r="O210" i="41"/>
  <c r="P210" i="41"/>
  <c r="Q210" i="41"/>
  <c r="R210" i="41"/>
  <c r="S210" i="41"/>
  <c r="T210" i="41"/>
  <c r="U210" i="41"/>
  <c r="V210" i="41"/>
  <c r="O211" i="41"/>
  <c r="P211" i="41"/>
  <c r="Q211" i="41"/>
  <c r="R211" i="41"/>
  <c r="S211" i="41"/>
  <c r="T211" i="41"/>
  <c r="U211" i="41"/>
  <c r="V211" i="41"/>
  <c r="O212" i="41"/>
  <c r="P212" i="41"/>
  <c r="Q212" i="41"/>
  <c r="R212" i="41"/>
  <c r="S212" i="41"/>
  <c r="T212" i="41"/>
  <c r="U212" i="41"/>
  <c r="V212" i="41"/>
  <c r="O213" i="41"/>
  <c r="P213" i="41"/>
  <c r="Q213" i="41"/>
  <c r="R213" i="41"/>
  <c r="S213" i="41"/>
  <c r="T213" i="41"/>
  <c r="U213" i="41"/>
  <c r="V213" i="41"/>
  <c r="O214" i="41"/>
  <c r="P214" i="41"/>
  <c r="Q214" i="41"/>
  <c r="R214" i="41"/>
  <c r="S214" i="41"/>
  <c r="T214" i="41"/>
  <c r="U214" i="41"/>
  <c r="V214" i="41"/>
  <c r="E3" i="16"/>
  <c r="E4" i="16"/>
  <c r="E5" i="16"/>
  <c r="E6" i="16"/>
  <c r="E7" i="16"/>
  <c r="E8" i="16"/>
  <c r="E9" i="16"/>
  <c r="E10" i="16"/>
  <c r="E11" i="16"/>
  <c r="E12" i="16"/>
  <c r="E13" i="16"/>
  <c r="E14" i="16"/>
  <c r="E15" i="16"/>
  <c r="E16" i="16"/>
  <c r="E17" i="16"/>
  <c r="E18" i="16"/>
  <c r="E19" i="16"/>
  <c r="E20" i="16"/>
  <c r="E21" i="16"/>
  <c r="E22" i="16"/>
  <c r="E2" i="16"/>
  <c r="F3" i="16"/>
  <c r="F4" i="16"/>
  <c r="F5" i="16"/>
  <c r="F6" i="16"/>
  <c r="F7" i="16"/>
  <c r="F8" i="16"/>
  <c r="F9" i="16"/>
  <c r="F10" i="16"/>
  <c r="F11" i="16"/>
  <c r="F12" i="16"/>
  <c r="F13" i="16"/>
  <c r="F14" i="16"/>
  <c r="F15" i="16"/>
  <c r="F16" i="16"/>
  <c r="F17" i="16"/>
  <c r="F18" i="16"/>
  <c r="F19" i="16"/>
  <c r="F20" i="16"/>
  <c r="F21" i="16"/>
  <c r="A3" i="16"/>
  <c r="B3" i="16"/>
  <c r="C3" i="16"/>
  <c r="D3" i="16"/>
  <c r="A4" i="16"/>
  <c r="B4" i="16"/>
  <c r="C4" i="16"/>
  <c r="D4" i="16"/>
  <c r="A5" i="16"/>
  <c r="B5" i="16"/>
  <c r="C5" i="16"/>
  <c r="D5" i="16"/>
  <c r="A6" i="16"/>
  <c r="B6" i="16"/>
  <c r="C6" i="16"/>
  <c r="D6" i="16"/>
  <c r="A7" i="16"/>
  <c r="B7" i="16"/>
  <c r="C7" i="16"/>
  <c r="D7" i="16"/>
  <c r="A8" i="16"/>
  <c r="B8" i="16"/>
  <c r="C8" i="16"/>
  <c r="D8" i="16"/>
  <c r="A9" i="16"/>
  <c r="B9" i="16"/>
  <c r="C9" i="16"/>
  <c r="D9" i="16"/>
  <c r="A10" i="16"/>
  <c r="B10" i="16"/>
  <c r="C10" i="16"/>
  <c r="D10" i="16"/>
  <c r="A11" i="16"/>
  <c r="B11" i="16"/>
  <c r="C11" i="16"/>
  <c r="D11" i="16"/>
  <c r="A12" i="16"/>
  <c r="B12" i="16"/>
  <c r="C12" i="16"/>
  <c r="D12" i="16"/>
  <c r="A13" i="16"/>
  <c r="B13" i="16"/>
  <c r="C13" i="16"/>
  <c r="D13" i="16"/>
  <c r="A14" i="16"/>
  <c r="B14" i="16"/>
  <c r="C14" i="16"/>
  <c r="D14" i="16"/>
  <c r="A15" i="16"/>
  <c r="B15" i="16"/>
  <c r="C15" i="16"/>
  <c r="D15" i="16"/>
  <c r="A16" i="16"/>
  <c r="B16" i="16"/>
  <c r="C16" i="16"/>
  <c r="D16" i="16"/>
  <c r="A17" i="16"/>
  <c r="B17" i="16"/>
  <c r="C17" i="16"/>
  <c r="D17" i="16"/>
  <c r="A18" i="16"/>
  <c r="B18" i="16"/>
  <c r="C18" i="16"/>
  <c r="D18" i="16"/>
  <c r="A19" i="16"/>
  <c r="B19" i="16"/>
  <c r="C19" i="16"/>
  <c r="D19" i="16"/>
  <c r="A20" i="16"/>
  <c r="B20" i="16"/>
  <c r="C20" i="16"/>
  <c r="D20" i="16"/>
  <c r="A21" i="16"/>
  <c r="B21" i="16"/>
  <c r="C21" i="16"/>
  <c r="D21" i="16"/>
  <c r="A22" i="16"/>
  <c r="B22" i="16"/>
  <c r="C22" i="16"/>
  <c r="D22" i="16"/>
  <c r="G98" i="2"/>
  <c r="H98" i="2"/>
  <c r="I98" i="2"/>
  <c r="G99" i="2"/>
  <c r="H99" i="2"/>
  <c r="I99" i="2"/>
  <c r="G100" i="2"/>
  <c r="H100" i="2"/>
  <c r="AE100" i="2" s="1"/>
  <c r="AO100" i="2" s="1"/>
  <c r="I100" i="2"/>
  <c r="G101" i="2"/>
  <c r="H101" i="2"/>
  <c r="AE101" i="2" s="1"/>
  <c r="AO101" i="2" s="1"/>
  <c r="I101" i="2"/>
  <c r="G102" i="2"/>
  <c r="H102" i="2"/>
  <c r="I102" i="2"/>
  <c r="G103" i="2"/>
  <c r="H103" i="2"/>
  <c r="I103" i="2"/>
  <c r="G104" i="2"/>
  <c r="H104" i="2"/>
  <c r="I104" i="2"/>
  <c r="G105" i="2"/>
  <c r="H105" i="2"/>
  <c r="I105" i="2"/>
  <c r="G106" i="2"/>
  <c r="H106" i="2"/>
  <c r="AE106" i="2" s="1"/>
  <c r="AO106" i="2" s="1"/>
  <c r="I106" i="2"/>
  <c r="G107" i="2"/>
  <c r="H107" i="2"/>
  <c r="AE107" i="2" s="1"/>
  <c r="AO107" i="2" s="1"/>
  <c r="I107" i="2"/>
  <c r="G108" i="2"/>
  <c r="H108" i="2"/>
  <c r="I108" i="2"/>
  <c r="G109" i="2"/>
  <c r="H109" i="2"/>
  <c r="I109" i="2"/>
  <c r="G110" i="2"/>
  <c r="H110" i="2"/>
  <c r="AE110" i="2" s="1"/>
  <c r="AO110" i="2" s="1"/>
  <c r="I110" i="2"/>
  <c r="G111" i="2"/>
  <c r="H111" i="2"/>
  <c r="I111" i="2"/>
  <c r="G112" i="2"/>
  <c r="H112" i="2"/>
  <c r="I112" i="2"/>
  <c r="G113" i="2"/>
  <c r="H113" i="2"/>
  <c r="I113" i="2"/>
  <c r="G114" i="2"/>
  <c r="H114" i="2"/>
  <c r="I114" i="2"/>
  <c r="G115" i="2"/>
  <c r="H115" i="2"/>
  <c r="I115" i="2"/>
  <c r="G116" i="2"/>
  <c r="H116" i="2"/>
  <c r="I116" i="2"/>
  <c r="G117" i="2"/>
  <c r="H117" i="2"/>
  <c r="I117" i="2"/>
  <c r="G97" i="2"/>
  <c r="H97" i="2"/>
  <c r="I97" i="2"/>
  <c r="B45" i="6"/>
  <c r="BA90" i="2"/>
  <c r="BA91" i="2"/>
  <c r="BA92" i="2"/>
  <c r="BA93" i="2"/>
  <c r="BA94" i="2"/>
  <c r="E36" i="2"/>
  <c r="G36" i="2"/>
  <c r="H36" i="2"/>
  <c r="I36" i="2"/>
  <c r="BA36" i="2"/>
  <c r="K200" i="33" l="1"/>
  <c r="L200" i="33"/>
  <c r="M200" i="33"/>
  <c r="AQ36" i="2"/>
  <c r="AR36" i="2"/>
  <c r="AP36" i="2"/>
  <c r="Y200" i="33"/>
  <c r="S15" i="2" l="1"/>
  <c r="R15" i="2"/>
  <c r="Q15" i="2"/>
  <c r="C84" i="6"/>
  <c r="C85" i="6"/>
  <c r="C86" i="6"/>
  <c r="C87" i="6"/>
  <c r="C88" i="6"/>
  <c r="C89" i="6"/>
  <c r="C90" i="6"/>
  <c r="C91" i="6"/>
  <c r="C92" i="6"/>
  <c r="C93" i="6"/>
  <c r="C94" i="6"/>
  <c r="C95" i="6"/>
  <c r="C96" i="6"/>
  <c r="C97" i="6"/>
  <c r="C98" i="6"/>
  <c r="C99" i="6"/>
  <c r="C100" i="6"/>
  <c r="C101" i="6"/>
  <c r="C102" i="6"/>
  <c r="C103" i="6"/>
  <c r="D23" i="6"/>
  <c r="D24" i="6"/>
  <c r="D25" i="6"/>
  <c r="D26" i="6"/>
  <c r="D27" i="6"/>
  <c r="D28" i="6"/>
  <c r="D29" i="6"/>
  <c r="D30" i="6"/>
  <c r="D31" i="6"/>
  <c r="D32" i="6"/>
  <c r="D33" i="6"/>
  <c r="D34" i="6"/>
  <c r="D35" i="6"/>
  <c r="D37" i="6"/>
  <c r="D38" i="6"/>
  <c r="D39" i="6"/>
  <c r="D40" i="6"/>
  <c r="D45" i="6"/>
  <c r="D46" i="6"/>
  <c r="D48" i="6"/>
  <c r="D49" i="6"/>
  <c r="D50" i="6"/>
  <c r="D52" i="6"/>
  <c r="D53" i="6"/>
  <c r="D54" i="6"/>
  <c r="D55" i="6"/>
  <c r="D56" i="6"/>
  <c r="D57" i="6"/>
  <c r="D58" i="6"/>
  <c r="D59" i="6"/>
  <c r="D60" i="6"/>
  <c r="D61" i="6"/>
  <c r="D62" i="6"/>
  <c r="D63" i="6"/>
  <c r="D64" i="6"/>
  <c r="D65" i="6"/>
  <c r="D66" i="6"/>
  <c r="D67" i="6"/>
  <c r="D68" i="6"/>
  <c r="D69" i="6"/>
  <c r="D70" i="6"/>
  <c r="D71" i="6"/>
  <c r="D72" i="6"/>
  <c r="D73" i="6"/>
  <c r="D76" i="6"/>
  <c r="D77" i="6"/>
  <c r="D78" i="6"/>
  <c r="D79" i="6"/>
  <c r="D80" i="6"/>
  <c r="B84" i="6"/>
  <c r="B85" i="6"/>
  <c r="B86" i="6"/>
  <c r="B87" i="6"/>
  <c r="B88" i="6"/>
  <c r="B89" i="6"/>
  <c r="B90" i="6"/>
  <c r="B91" i="6"/>
  <c r="B92" i="6"/>
  <c r="B93" i="6"/>
  <c r="B94" i="6"/>
  <c r="B95" i="6"/>
  <c r="B96" i="6"/>
  <c r="B97" i="6"/>
  <c r="B98" i="6"/>
  <c r="B99" i="6"/>
  <c r="B100" i="6"/>
  <c r="B101" i="6"/>
  <c r="B102" i="6"/>
  <c r="B103" i="6"/>
  <c r="B23" i="6"/>
  <c r="B24" i="6"/>
  <c r="B25" i="6"/>
  <c r="B26" i="6"/>
  <c r="B27" i="6"/>
  <c r="B28" i="6"/>
  <c r="B29" i="6"/>
  <c r="B30" i="6"/>
  <c r="B31" i="6"/>
  <c r="B32" i="6"/>
  <c r="B33" i="6"/>
  <c r="B34" i="6"/>
  <c r="B35" i="6"/>
  <c r="B37" i="6"/>
  <c r="B38" i="6"/>
  <c r="B39" i="6"/>
  <c r="B40" i="6"/>
  <c r="B46" i="6"/>
  <c r="B48" i="6"/>
  <c r="B49" i="6"/>
  <c r="B50" i="6"/>
  <c r="B52" i="6"/>
  <c r="B53" i="6"/>
  <c r="B54" i="6"/>
  <c r="B55" i="6"/>
  <c r="B56" i="6"/>
  <c r="B57" i="6"/>
  <c r="B58" i="6"/>
  <c r="B59" i="6"/>
  <c r="B60" i="6"/>
  <c r="B61" i="6"/>
  <c r="B62" i="6"/>
  <c r="B63" i="6"/>
  <c r="B64" i="6"/>
  <c r="B65" i="6"/>
  <c r="B66" i="6"/>
  <c r="B67" i="6"/>
  <c r="B68" i="6"/>
  <c r="B69" i="6"/>
  <c r="B70" i="6"/>
  <c r="B71" i="6"/>
  <c r="B72" i="6"/>
  <c r="B73" i="6"/>
  <c r="B76" i="6"/>
  <c r="B77" i="6"/>
  <c r="B78" i="6"/>
  <c r="B79" i="6"/>
  <c r="B80" i="6"/>
  <c r="E2" i="12"/>
  <c r="E14" i="2"/>
  <c r="E15" i="2"/>
  <c r="A1" i="17"/>
  <c r="AZ169" i="2"/>
  <c r="AZ170" i="2"/>
  <c r="AZ171" i="2"/>
  <c r="AZ172" i="2"/>
  <c r="AZ173" i="2"/>
  <c r="AZ174" i="2"/>
  <c r="AZ175" i="2"/>
  <c r="AZ176" i="2"/>
  <c r="AZ178" i="2"/>
  <c r="AZ179" i="2"/>
  <c r="AZ180" i="2"/>
  <c r="AZ181" i="2"/>
  <c r="AZ182" i="2"/>
  <c r="AZ183" i="2"/>
  <c r="AZ184" i="2"/>
  <c r="AZ185" i="2"/>
  <c r="AZ189" i="2"/>
  <c r="AZ190" i="2"/>
  <c r="AZ192" i="2"/>
  <c r="AZ193" i="2"/>
  <c r="AZ194" i="2"/>
  <c r="AZ195" i="2"/>
  <c r="AZ196" i="2"/>
  <c r="AZ197" i="2"/>
  <c r="AZ198" i="2"/>
  <c r="AZ199" i="2"/>
  <c r="AZ200" i="2"/>
  <c r="AZ201" i="2"/>
  <c r="AZ202" i="2"/>
  <c r="AZ203" i="2"/>
  <c r="AZ204" i="2"/>
  <c r="AZ205" i="2"/>
  <c r="AZ206" i="2"/>
  <c r="AZ207" i="2"/>
  <c r="AZ209" i="2"/>
  <c r="AZ210" i="2"/>
  <c r="AZ211" i="2"/>
  <c r="AZ212" i="2"/>
  <c r="AZ213" i="2"/>
  <c r="AZ214" i="2"/>
  <c r="AZ215" i="2"/>
  <c r="AZ216" i="2"/>
  <c r="AZ217" i="2"/>
  <c r="AZ218" i="2"/>
  <c r="AZ219" i="2"/>
  <c r="AZ220" i="2"/>
  <c r="AZ221" i="2"/>
  <c r="AZ222" i="2"/>
  <c r="AZ224" i="2"/>
  <c r="AZ225" i="2"/>
  <c r="AZ226" i="2"/>
  <c r="AZ227" i="2"/>
  <c r="AZ228" i="2"/>
  <c r="AZ229" i="2"/>
  <c r="AZ230" i="2"/>
  <c r="AZ231" i="2"/>
  <c r="AZ232" i="2"/>
  <c r="AZ233" i="2"/>
  <c r="AZ234" i="2"/>
  <c r="AZ235" i="2"/>
  <c r="AZ236" i="2"/>
  <c r="AZ237" i="2"/>
  <c r="AZ238" i="2"/>
  <c r="AZ168" i="2"/>
  <c r="I29" i="28"/>
  <c r="I26" i="28"/>
  <c r="I27" i="28"/>
  <c r="I28" i="28"/>
  <c r="I25" i="28"/>
  <c r="I24" i="28"/>
  <c r="I18" i="28"/>
  <c r="I19" i="28"/>
  <c r="I20" i="28"/>
  <c r="I21" i="28"/>
  <c r="I22" i="28"/>
  <c r="I23" i="28"/>
  <c r="I14" i="28"/>
  <c r="I15" i="28"/>
  <c r="I16" i="28"/>
  <c r="I17" i="28"/>
  <c r="I13" i="28"/>
  <c r="D14" i="28"/>
  <c r="D15" i="28"/>
  <c r="D16" i="28"/>
  <c r="D17" i="28"/>
  <c r="D18" i="28"/>
  <c r="D19" i="28"/>
  <c r="D20" i="28"/>
  <c r="D21" i="28"/>
  <c r="D22" i="28"/>
  <c r="D23" i="28"/>
  <c r="D24" i="28"/>
  <c r="D25" i="28"/>
  <c r="D26" i="28"/>
  <c r="D27" i="28"/>
  <c r="D28" i="28"/>
  <c r="D29" i="28"/>
  <c r="D13" i="28"/>
  <c r="C14" i="28"/>
  <c r="C15" i="28"/>
  <c r="C16" i="28"/>
  <c r="C17" i="28"/>
  <c r="C18" i="28"/>
  <c r="C19" i="28"/>
  <c r="C20" i="28"/>
  <c r="C21" i="28"/>
  <c r="C22" i="28"/>
  <c r="C23" i="28"/>
  <c r="C24" i="28"/>
  <c r="C25" i="28"/>
  <c r="C26" i="28"/>
  <c r="C27" i="28"/>
  <c r="C28" i="28"/>
  <c r="C29" i="28"/>
  <c r="C13" i="28"/>
  <c r="BX289" i="2"/>
  <c r="E2" i="19"/>
  <c r="D3" i="15"/>
  <c r="D2" i="15"/>
  <c r="F2" i="16"/>
  <c r="T33" i="28"/>
  <c r="F33" i="28"/>
  <c r="G33" i="28"/>
  <c r="E33" i="28"/>
  <c r="D33" i="28"/>
  <c r="C33" i="28"/>
  <c r="S33" i="28"/>
  <c r="B33" i="28"/>
  <c r="L2" i="20"/>
  <c r="E2" i="20"/>
  <c r="B2" i="20"/>
  <c r="C2" i="20"/>
  <c r="D2" i="20"/>
  <c r="K2" i="19"/>
  <c r="D2" i="19"/>
  <c r="AN3" i="19" a="1"/>
  <c r="AN3" i="19" s="1"/>
  <c r="G2" i="19"/>
  <c r="B2" i="19"/>
  <c r="C2" i="19"/>
  <c r="A2" i="19"/>
  <c r="N3" i="14"/>
  <c r="O3" i="14"/>
  <c r="P3" i="14"/>
  <c r="Q3" i="14"/>
  <c r="R3" i="14"/>
  <c r="K2" i="14"/>
  <c r="D2" i="14"/>
  <c r="AL3" i="15" a="1"/>
  <c r="AL3" i="15" s="1"/>
  <c r="B3" i="15"/>
  <c r="B3" i="8"/>
  <c r="C3" i="8"/>
  <c r="D3" i="8"/>
  <c r="L2" i="10"/>
  <c r="H3" i="10"/>
  <c r="H2" i="10"/>
  <c r="G3" i="10"/>
  <c r="G2" i="10"/>
  <c r="F3" i="10"/>
  <c r="F2" i="10"/>
  <c r="AN3" i="10" a="1"/>
  <c r="AN3" i="10" s="1"/>
  <c r="AM2" i="9" a="1"/>
  <c r="AM2" i="9" s="1"/>
  <c r="D2" i="21"/>
  <c r="M3" i="16"/>
  <c r="M4" i="16"/>
  <c r="M5" i="16"/>
  <c r="M6" i="16"/>
  <c r="M7" i="16"/>
  <c r="M8" i="16"/>
  <c r="M9" i="16"/>
  <c r="M10" i="16"/>
  <c r="M11" i="16"/>
  <c r="M12" i="16"/>
  <c r="M13" i="16"/>
  <c r="M14" i="16"/>
  <c r="M15" i="16"/>
  <c r="M16" i="16"/>
  <c r="M17" i="16"/>
  <c r="M18" i="16"/>
  <c r="M19" i="16"/>
  <c r="M20" i="16"/>
  <c r="M21" i="16"/>
  <c r="M22" i="16"/>
  <c r="M2" i="16"/>
  <c r="AM3" i="16" a="1"/>
  <c r="AM3" i="16" s="1"/>
  <c r="AD5" i="16" a="1"/>
  <c r="AD5" i="16" s="1"/>
  <c r="AK6" i="16" a="1"/>
  <c r="AK6" i="16" s="1"/>
  <c r="AM7" i="16" a="1"/>
  <c r="AM7" i="16" s="1"/>
  <c r="AO8" i="16" a="1"/>
  <c r="AO8" i="16" s="1"/>
  <c r="AD9" i="16" a="1"/>
  <c r="AD9" i="16" s="1"/>
  <c r="AM11" i="16" a="1"/>
  <c r="AM11" i="16" s="1"/>
  <c r="AO12" i="16" a="1"/>
  <c r="AO12" i="16" s="1"/>
  <c r="AD13" i="16" a="1"/>
  <c r="AD13" i="16" s="1"/>
  <c r="AK14" i="16" a="1"/>
  <c r="AK14" i="16" s="1"/>
  <c r="AM15" i="16" a="1"/>
  <c r="AM15" i="16" s="1"/>
  <c r="AO16" i="16" a="1"/>
  <c r="AO16" i="16" s="1"/>
  <c r="AD17" i="16" a="1"/>
  <c r="AD17" i="16" s="1"/>
  <c r="AN18" i="16" a="1"/>
  <c r="AN18" i="16" s="1"/>
  <c r="AM19" i="16" a="1"/>
  <c r="AM19" i="16" s="1"/>
  <c r="AR20" i="16"/>
  <c r="AD21" i="16" a="1"/>
  <c r="AD21" i="16" s="1"/>
  <c r="AK22" i="16" a="1"/>
  <c r="AK22" i="16" s="1"/>
  <c r="Z467" i="2"/>
  <c r="AE467" i="2"/>
  <c r="D417" i="2"/>
  <c r="D418" i="2"/>
  <c r="D419" i="2"/>
  <c r="D420" i="2"/>
  <c r="D422" i="2"/>
  <c r="E416" i="2"/>
  <c r="Z386" i="2"/>
  <c r="AJ386" i="2" s="1"/>
  <c r="Z387" i="2"/>
  <c r="AJ387" i="2" s="1"/>
  <c r="Z395" i="2"/>
  <c r="AJ395" i="2" s="1"/>
  <c r="Z396" i="2"/>
  <c r="AJ396" i="2" s="1"/>
  <c r="H386" i="2"/>
  <c r="I386" i="2"/>
  <c r="G386" i="2"/>
  <c r="B386" i="2"/>
  <c r="C386" i="2"/>
  <c r="E386" i="2"/>
  <c r="G359" i="2"/>
  <c r="H359" i="2"/>
  <c r="I359" i="2"/>
  <c r="G360" i="2"/>
  <c r="H360" i="2"/>
  <c r="I360" i="2"/>
  <c r="G361" i="2"/>
  <c r="H361" i="2"/>
  <c r="I361" i="2"/>
  <c r="G362" i="2"/>
  <c r="H362" i="2"/>
  <c r="I362" i="2"/>
  <c r="G363" i="2"/>
  <c r="H363" i="2"/>
  <c r="I363" i="2"/>
  <c r="G364" i="2"/>
  <c r="H364" i="2"/>
  <c r="I364" i="2"/>
  <c r="G365" i="2"/>
  <c r="H365" i="2"/>
  <c r="I365" i="2"/>
  <c r="G366" i="2"/>
  <c r="H366" i="2"/>
  <c r="I366" i="2"/>
  <c r="G367" i="2"/>
  <c r="H367" i="2"/>
  <c r="I367" i="2"/>
  <c r="G368" i="2"/>
  <c r="H368" i="2"/>
  <c r="I368" i="2"/>
  <c r="G369" i="2"/>
  <c r="H369" i="2"/>
  <c r="I369" i="2"/>
  <c r="G370" i="2"/>
  <c r="H370" i="2"/>
  <c r="I370" i="2"/>
  <c r="G371" i="2"/>
  <c r="H371" i="2"/>
  <c r="I371" i="2"/>
  <c r="G372" i="2"/>
  <c r="H372" i="2"/>
  <c r="I372" i="2"/>
  <c r="G373" i="2"/>
  <c r="H373" i="2"/>
  <c r="I373" i="2"/>
  <c r="G374" i="2"/>
  <c r="H374" i="2"/>
  <c r="I374" i="2"/>
  <c r="G376" i="2"/>
  <c r="H376" i="2"/>
  <c r="I376" i="2"/>
  <c r="BA277" i="2"/>
  <c r="BB277" i="2"/>
  <c r="BA278" i="2"/>
  <c r="BB278" i="2"/>
  <c r="BA279" i="2"/>
  <c r="BB279" i="2"/>
  <c r="BA280" i="2"/>
  <c r="BB280" i="2"/>
  <c r="BA282" i="2"/>
  <c r="BB282" i="2"/>
  <c r="BA284" i="2"/>
  <c r="BB284" i="2"/>
  <c r="BA285" i="2"/>
  <c r="BB285" i="2"/>
  <c r="BA286" i="2"/>
  <c r="BB286" i="2"/>
  <c r="BA287" i="2"/>
  <c r="BB287" i="2"/>
  <c r="BA288" i="2"/>
  <c r="BB288" i="2"/>
  <c r="BA289" i="2"/>
  <c r="BB289" i="2"/>
  <c r="BA290" i="2"/>
  <c r="BB290" i="2"/>
  <c r="BA291" i="2"/>
  <c r="BB291" i="2"/>
  <c r="BA292" i="2"/>
  <c r="BB292" i="2"/>
  <c r="BA293" i="2"/>
  <c r="BB293" i="2"/>
  <c r="BA294" i="2"/>
  <c r="BB294" i="2"/>
  <c r="BA295" i="2"/>
  <c r="BB295" i="2"/>
  <c r="BA296" i="2"/>
  <c r="BB296" i="2"/>
  <c r="BA297" i="2"/>
  <c r="BB297" i="2"/>
  <c r="BA298" i="2"/>
  <c r="BB298" i="2"/>
  <c r="BA304" i="2"/>
  <c r="BB304" i="2"/>
  <c r="BA305" i="2"/>
  <c r="BB305" i="2"/>
  <c r="BA307" i="2"/>
  <c r="BB307" i="2"/>
  <c r="BA308" i="2"/>
  <c r="BB308" i="2"/>
  <c r="BA309" i="2"/>
  <c r="BB309" i="2"/>
  <c r="BA310" i="2"/>
  <c r="BB310" i="2"/>
  <c r="BA311" i="2"/>
  <c r="BB311" i="2"/>
  <c r="BA312" i="2"/>
  <c r="BB312" i="2"/>
  <c r="BA313" i="2"/>
  <c r="BB313" i="2"/>
  <c r="BA314" i="2"/>
  <c r="BB314" i="2"/>
  <c r="BA315" i="2"/>
  <c r="BB315" i="2"/>
  <c r="BB276" i="2"/>
  <c r="C267" i="2"/>
  <c r="C253" i="2"/>
  <c r="C254" i="2"/>
  <c r="C255" i="2"/>
  <c r="C256" i="2"/>
  <c r="C257" i="2"/>
  <c r="C258" i="2"/>
  <c r="C259" i="2"/>
  <c r="C260" i="2"/>
  <c r="C261" i="2"/>
  <c r="C262" i="2"/>
  <c r="C263" i="2"/>
  <c r="C264" i="2"/>
  <c r="C265" i="2"/>
  <c r="C266" i="2"/>
  <c r="C268" i="2"/>
  <c r="C269" i="2"/>
  <c r="C270" i="2"/>
  <c r="C271" i="2"/>
  <c r="C272" i="2"/>
  <c r="C273" i="2"/>
  <c r="B267" i="2"/>
  <c r="AZ267" i="2" s="1"/>
  <c r="B253" i="2"/>
  <c r="AZ253" i="2" s="1"/>
  <c r="B254" i="2"/>
  <c r="AZ254" i="2" s="1"/>
  <c r="B255" i="2"/>
  <c r="AZ255" i="2" s="1"/>
  <c r="B256" i="2"/>
  <c r="AZ256" i="2" s="1"/>
  <c r="B257" i="2"/>
  <c r="AZ257" i="2" s="1"/>
  <c r="B258" i="2"/>
  <c r="AZ258" i="2" s="1"/>
  <c r="B259" i="2"/>
  <c r="AZ259" i="2" s="1"/>
  <c r="B260" i="2"/>
  <c r="AZ260" i="2" s="1"/>
  <c r="B261" i="2"/>
  <c r="AZ261" i="2" s="1"/>
  <c r="B262" i="2"/>
  <c r="AZ262" i="2" s="1"/>
  <c r="B263" i="2"/>
  <c r="AZ263" i="2" s="1"/>
  <c r="B264" i="2"/>
  <c r="AZ264" i="2" s="1"/>
  <c r="B265" i="2"/>
  <c r="AZ265" i="2" s="1"/>
  <c r="B266" i="2"/>
  <c r="AZ266" i="2" s="1"/>
  <c r="B268" i="2"/>
  <c r="AZ268" i="2" s="1"/>
  <c r="B269" i="2"/>
  <c r="AZ269" i="2" s="1"/>
  <c r="B270" i="2"/>
  <c r="AZ270" i="2" s="1"/>
  <c r="B271" i="2"/>
  <c r="AZ271" i="2" s="1"/>
  <c r="B272" i="2"/>
  <c r="AZ272" i="2" s="1"/>
  <c r="B273" i="2"/>
  <c r="AZ273" i="2" s="1"/>
  <c r="BA168" i="2"/>
  <c r="D128" i="2"/>
  <c r="AJ467" i="2" l="1"/>
  <c r="AO467" i="2"/>
  <c r="AH3" i="10" a="1"/>
  <c r="AH3" i="10" s="1"/>
  <c r="AM3" i="10" a="1"/>
  <c r="AM3" i="10" s="1"/>
  <c r="AK3" i="10" a="1"/>
  <c r="AK3" i="10" s="1"/>
  <c r="AI21" i="16" a="1"/>
  <c r="AI21" i="16" s="1"/>
  <c r="AF20" i="16" a="1"/>
  <c r="AF20" i="16" s="1"/>
  <c r="AE20" i="16" a="1"/>
  <c r="AE20" i="16" s="1"/>
  <c r="AM18" i="16" a="1"/>
  <c r="AM18" i="16" s="1"/>
  <c r="AK10" i="16" a="1"/>
  <c r="AK10" i="16" s="1"/>
  <c r="AI10" i="16" a="1"/>
  <c r="AI10" i="16" s="1"/>
  <c r="AH10" i="16" a="1"/>
  <c r="AH10" i="16" s="1"/>
  <c r="AK18" i="16" a="1"/>
  <c r="AK18" i="16" s="1"/>
  <c r="AR18" i="16"/>
  <c r="AO18" i="16" a="1"/>
  <c r="AO18" i="16" s="1"/>
  <c r="AM10" i="16" a="1"/>
  <c r="AM10" i="16" s="1"/>
  <c r="AO4" i="16" a="1"/>
  <c r="AO4" i="16" s="1"/>
  <c r="AD4" i="16" a="1"/>
  <c r="AD4" i="16" s="1"/>
  <c r="AI3" i="14" a="1"/>
  <c r="AI3" i="14" s="1"/>
  <c r="AE3" i="14" a="1"/>
  <c r="AE3" i="14" s="1"/>
  <c r="AF2" i="19" a="1"/>
  <c r="AF2" i="19" s="1"/>
  <c r="AE2" i="19" a="1"/>
  <c r="AE2" i="19" s="1"/>
  <c r="AD3" i="14" a="1"/>
  <c r="AD3" i="14" s="1"/>
  <c r="AB2" i="19" a="1"/>
  <c r="AB2" i="19" s="1"/>
  <c r="AF3" i="10" a="1"/>
  <c r="AF3" i="10" s="1"/>
  <c r="AL3" i="10" a="1"/>
  <c r="AL3" i="10" s="1"/>
  <c r="AO3" i="16" a="1"/>
  <c r="AO3" i="16" s="1"/>
  <c r="AI17" i="16" a="1"/>
  <c r="AI17" i="16" s="1"/>
  <c r="AE11" i="16" a="1"/>
  <c r="AE11" i="16" s="1"/>
  <c r="AG8" i="16" a="1"/>
  <c r="AG8" i="16" s="1"/>
  <c r="AO19" i="16" a="1"/>
  <c r="AO19" i="16" s="1"/>
  <c r="AK17" i="16" a="1"/>
  <c r="AK17" i="16" s="1"/>
  <c r="AG20" i="16" a="1"/>
  <c r="AG20" i="16" s="1"/>
  <c r="AH17" i="16" a="1"/>
  <c r="AH17" i="16" s="1"/>
  <c r="AD11" i="16" a="1"/>
  <c r="AD11" i="16" s="1"/>
  <c r="AF8" i="16" a="1"/>
  <c r="AF8" i="16" s="1"/>
  <c r="AP18" i="16" a="1"/>
  <c r="AP18" i="16" s="1"/>
  <c r="AL16" i="16" a="1"/>
  <c r="AL16" i="16" s="1"/>
  <c r="AN9" i="16" a="1"/>
  <c r="AN9" i="16" s="1"/>
  <c r="AR17" i="16"/>
  <c r="AG17" i="16" a="1"/>
  <c r="AG17" i="16" s="1"/>
  <c r="AE8" i="16" a="1"/>
  <c r="AE8" i="16" s="1"/>
  <c r="AK16" i="16" a="1"/>
  <c r="AK16" i="16" s="1"/>
  <c r="AM9" i="16" a="1"/>
  <c r="AM9" i="16" s="1"/>
  <c r="AD8" i="16" a="1"/>
  <c r="AD8" i="16" s="1"/>
  <c r="AP11" i="16" a="1"/>
  <c r="AP11" i="16" s="1"/>
  <c r="AL9" i="16" a="1"/>
  <c r="AL9" i="16" s="1"/>
  <c r="AR19" i="16"/>
  <c r="AO11" i="16" a="1"/>
  <c r="AO11" i="16" s="1"/>
  <c r="AK9" i="16" a="1"/>
  <c r="AK9" i="16" s="1"/>
  <c r="AG16" i="16" a="1"/>
  <c r="AG16" i="16" s="1"/>
  <c r="AD19" i="16" a="1"/>
  <c r="AD19" i="16" s="1"/>
  <c r="AF16" i="16" a="1"/>
  <c r="AF16" i="16" s="1"/>
  <c r="AH9" i="16" a="1"/>
  <c r="AH9" i="16" s="1"/>
  <c r="AE3" i="16" a="1"/>
  <c r="AE3" i="16" s="1"/>
  <c r="AN17" i="16" a="1"/>
  <c r="AN17" i="16" s="1"/>
  <c r="AP10" i="16" a="1"/>
  <c r="AP10" i="16" s="1"/>
  <c r="AL8" i="16" a="1"/>
  <c r="AL8" i="16" s="1"/>
  <c r="AE19" i="16" a="1"/>
  <c r="AE19" i="16" s="1"/>
  <c r="AI9" i="16" a="1"/>
  <c r="AI9" i="16" s="1"/>
  <c r="AI18" i="16" a="1"/>
  <c r="AI18" i="16" s="1"/>
  <c r="AE16" i="16" a="1"/>
  <c r="AE16" i="16" s="1"/>
  <c r="AG9" i="16" a="1"/>
  <c r="AG9" i="16" s="1"/>
  <c r="AD3" i="16" a="1"/>
  <c r="AD3" i="16" s="1"/>
  <c r="AM17" i="16" a="1"/>
  <c r="AM17" i="16" s="1"/>
  <c r="AO10" i="16" a="1"/>
  <c r="AO10" i="16" s="1"/>
  <c r="AK8" i="16" a="1"/>
  <c r="AK8" i="16" s="1"/>
  <c r="AF17" i="16" a="1"/>
  <c r="AF17" i="16" s="1"/>
  <c r="AH18" i="16" a="1"/>
  <c r="AH18" i="16" s="1"/>
  <c r="AD16" i="16" a="1"/>
  <c r="AD16" i="16" s="1"/>
  <c r="AF9" i="16" a="1"/>
  <c r="AF9" i="16" s="1"/>
  <c r="AP19" i="16" a="1"/>
  <c r="AP19" i="16" s="1"/>
  <c r="AL17" i="16" a="1"/>
  <c r="AL17" i="16" s="1"/>
  <c r="AN10" i="16" a="1"/>
  <c r="AN10" i="16" s="1"/>
  <c r="AP3" i="16" a="1"/>
  <c r="AP3" i="16" s="1"/>
  <c r="AG3" i="10" a="1"/>
  <c r="AG3" i="10" s="1"/>
  <c r="AJ3" i="10" a="1"/>
  <c r="AJ3" i="10" s="1"/>
  <c r="AE3" i="10" a="1"/>
  <c r="AE3" i="10" s="1"/>
  <c r="AD3" i="10" a="1"/>
  <c r="AD3" i="10" s="1"/>
  <c r="AO3" i="10" a="1"/>
  <c r="AO3" i="10" s="1"/>
  <c r="AC3" i="10" a="1"/>
  <c r="AC3" i="10" s="1"/>
  <c r="AC3" i="14" a="1"/>
  <c r="AC3" i="14" s="1"/>
  <c r="AN3" i="14" a="1"/>
  <c r="AN3" i="14" s="1"/>
  <c r="AM3" i="14" a="1"/>
  <c r="AM3" i="14" s="1"/>
  <c r="AL3" i="14" a="1"/>
  <c r="AL3" i="14" s="1"/>
  <c r="AK3" i="14" a="1"/>
  <c r="AK3" i="14" s="1"/>
  <c r="AG3" i="14" a="1"/>
  <c r="AG3" i="14" s="1"/>
  <c r="AJ3" i="14" a="1"/>
  <c r="AJ3" i="14" s="1"/>
  <c r="AB3" i="14" a="1"/>
  <c r="AB3" i="14" s="1"/>
  <c r="AF3" i="14" a="1"/>
  <c r="AF3" i="14" s="1"/>
  <c r="AI2" i="19" a="1"/>
  <c r="AI2" i="19" s="1"/>
  <c r="AN2" i="19" a="1"/>
  <c r="AN2" i="19" s="1"/>
  <c r="AG3" i="19" a="1"/>
  <c r="AG3" i="19" s="1"/>
  <c r="AM3" i="19" a="1"/>
  <c r="AM3" i="19" s="1"/>
  <c r="AD2" i="19" a="1"/>
  <c r="AD2" i="19" s="1"/>
  <c r="AJ2" i="19" a="1"/>
  <c r="AJ2" i="19" s="1"/>
  <c r="AL3" i="19" a="1"/>
  <c r="AL3" i="19" s="1"/>
  <c r="AK3" i="19" a="1"/>
  <c r="AK3" i="19" s="1"/>
  <c r="AE3" i="19" a="1"/>
  <c r="AE3" i="19" s="1"/>
  <c r="AM2" i="19" a="1"/>
  <c r="AM2" i="19" s="1"/>
  <c r="AJ3" i="19" a="1"/>
  <c r="AJ3" i="19" s="1"/>
  <c r="AF3" i="19" a="1"/>
  <c r="AF3" i="19" s="1"/>
  <c r="AC2" i="19" a="1"/>
  <c r="AC2" i="19" s="1"/>
  <c r="AD3" i="19" a="1"/>
  <c r="AD3" i="19" s="1"/>
  <c r="AL2" i="19" a="1"/>
  <c r="AL2" i="19" s="1"/>
  <c r="AI3" i="19" a="1"/>
  <c r="AI3" i="19" s="1"/>
  <c r="AG2" i="19" a="1"/>
  <c r="AG2" i="19" s="1"/>
  <c r="AC3" i="19" a="1"/>
  <c r="AC3" i="19" s="1"/>
  <c r="AK2" i="19" a="1"/>
  <c r="AK2" i="19" s="1"/>
  <c r="AP3" i="19"/>
  <c r="AB3" i="19" a="1"/>
  <c r="AB3" i="19" s="1"/>
  <c r="AD3" i="15" a="1"/>
  <c r="AD3" i="15" s="1"/>
  <c r="AH3" i="15" a="1"/>
  <c r="AH3" i="15" s="1"/>
  <c r="AK3" i="15" a="1"/>
  <c r="AK3" i="15" s="1"/>
  <c r="AG3" i="15" a="1"/>
  <c r="AG3" i="15" s="1"/>
  <c r="AJ3" i="15" a="1"/>
  <c r="AJ3" i="15" s="1"/>
  <c r="AF3" i="15" a="1"/>
  <c r="AF3" i="15" s="1"/>
  <c r="AE3" i="15" a="1"/>
  <c r="AE3" i="15" s="1"/>
  <c r="AO3" i="15" a="1"/>
  <c r="AO3" i="15" s="1"/>
  <c r="AC3" i="15" a="1"/>
  <c r="AC3" i="15" s="1"/>
  <c r="AN3" i="15" a="1"/>
  <c r="AN3" i="15" s="1"/>
  <c r="AM3" i="15" a="1"/>
  <c r="AM3" i="15" s="1"/>
  <c r="AI2" i="9" a="1"/>
  <c r="AI2" i="9" s="1"/>
  <c r="AL2" i="9" a="1"/>
  <c r="AL2" i="9" s="1"/>
  <c r="AR2" i="9"/>
  <c r="AE2" i="9" a="1"/>
  <c r="AE2" i="9" s="1"/>
  <c r="AK2" i="9" a="1"/>
  <c r="AK2" i="9" s="1"/>
  <c r="AP2" i="9" a="1"/>
  <c r="AP2" i="9" s="1"/>
  <c r="AO2" i="9" a="1"/>
  <c r="AO2" i="9" s="1"/>
  <c r="AN2" i="9" a="1"/>
  <c r="AN2" i="9" s="1"/>
  <c r="AF2" i="9" a="1"/>
  <c r="AF2" i="9" s="1"/>
  <c r="AH2" i="9" a="1"/>
  <c r="AH2" i="9" s="1"/>
  <c r="AG2" i="9" a="1"/>
  <c r="AG2" i="9" s="1"/>
  <c r="AE22" i="16" a="1"/>
  <c r="AE22" i="16" s="1"/>
  <c r="AI20" i="16" a="1"/>
  <c r="AI20" i="16" s="1"/>
  <c r="AG19" i="16" a="1"/>
  <c r="AG19" i="16" s="1"/>
  <c r="AE18" i="16" a="1"/>
  <c r="AE18" i="16" s="1"/>
  <c r="AI16" i="16" a="1"/>
  <c r="AI16" i="16" s="1"/>
  <c r="AG15" i="16" a="1"/>
  <c r="AG15" i="16" s="1"/>
  <c r="AE14" i="16" a="1"/>
  <c r="AE14" i="16" s="1"/>
  <c r="AI12" i="16" a="1"/>
  <c r="AI12" i="16" s="1"/>
  <c r="AG11" i="16" a="1"/>
  <c r="AG11" i="16" s="1"/>
  <c r="AE10" i="16" a="1"/>
  <c r="AE10" i="16" s="1"/>
  <c r="AI8" i="16" a="1"/>
  <c r="AI8" i="16" s="1"/>
  <c r="AG7" i="16" a="1"/>
  <c r="AG7" i="16" s="1"/>
  <c r="AE6" i="16" a="1"/>
  <c r="AE6" i="16" s="1"/>
  <c r="AI4" i="16" a="1"/>
  <c r="AI4" i="16" s="1"/>
  <c r="AG3" i="16" a="1"/>
  <c r="AG3" i="16" s="1"/>
  <c r="AP21" i="16" a="1"/>
  <c r="AP21" i="16" s="1"/>
  <c r="AN20" i="16" a="1"/>
  <c r="AN20" i="16" s="1"/>
  <c r="AL19" i="16" a="1"/>
  <c r="AL19" i="16" s="1"/>
  <c r="AP17" i="16" a="1"/>
  <c r="AP17" i="16" s="1"/>
  <c r="AN16" i="16" a="1"/>
  <c r="AN16" i="16" s="1"/>
  <c r="AL15" i="16" a="1"/>
  <c r="AL15" i="16" s="1"/>
  <c r="AP13" i="16" a="1"/>
  <c r="AP13" i="16" s="1"/>
  <c r="AN12" i="16" a="1"/>
  <c r="AN12" i="16" s="1"/>
  <c r="AL11" i="16" a="1"/>
  <c r="AL11" i="16" s="1"/>
  <c r="AP9" i="16" a="1"/>
  <c r="AP9" i="16" s="1"/>
  <c r="AN8" i="16" a="1"/>
  <c r="AN8" i="16" s="1"/>
  <c r="AL7" i="16" a="1"/>
  <c r="AL7" i="16" s="1"/>
  <c r="AP5" i="16" a="1"/>
  <c r="AP5" i="16" s="1"/>
  <c r="AN4" i="16" a="1"/>
  <c r="AN4" i="16" s="1"/>
  <c r="AL3" i="16" a="1"/>
  <c r="AL3" i="16" s="1"/>
  <c r="AD22" i="16" a="1"/>
  <c r="AD22" i="16" s="1"/>
  <c r="AH20" i="16" a="1"/>
  <c r="AH20" i="16" s="1"/>
  <c r="AF19" i="16" a="1"/>
  <c r="AF19" i="16" s="1"/>
  <c r="AD18" i="16" a="1"/>
  <c r="AD18" i="16" s="1"/>
  <c r="AH16" i="16" a="1"/>
  <c r="AH16" i="16" s="1"/>
  <c r="AF15" i="16" a="1"/>
  <c r="AF15" i="16" s="1"/>
  <c r="AD14" i="16" a="1"/>
  <c r="AD14" i="16" s="1"/>
  <c r="AH12" i="16" a="1"/>
  <c r="AH12" i="16" s="1"/>
  <c r="AF11" i="16" a="1"/>
  <c r="AF11" i="16" s="1"/>
  <c r="AD10" i="16" a="1"/>
  <c r="AD10" i="16" s="1"/>
  <c r="AH8" i="16" a="1"/>
  <c r="AH8" i="16" s="1"/>
  <c r="AF7" i="16" a="1"/>
  <c r="AF7" i="16" s="1"/>
  <c r="AD6" i="16" a="1"/>
  <c r="AD6" i="16" s="1"/>
  <c r="AH4" i="16" a="1"/>
  <c r="AH4" i="16" s="1"/>
  <c r="AF3" i="16" a="1"/>
  <c r="AF3" i="16" s="1"/>
  <c r="AO21" i="16" a="1"/>
  <c r="AO21" i="16" s="1"/>
  <c r="AM20" i="16" a="1"/>
  <c r="AM20" i="16" s="1"/>
  <c r="AK19" i="16" a="1"/>
  <c r="AK19" i="16" s="1"/>
  <c r="AO17" i="16" a="1"/>
  <c r="AO17" i="16" s="1"/>
  <c r="AM16" i="16" a="1"/>
  <c r="AM16" i="16" s="1"/>
  <c r="AK15" i="16" a="1"/>
  <c r="AK15" i="16" s="1"/>
  <c r="AO13" i="16" a="1"/>
  <c r="AO13" i="16" s="1"/>
  <c r="AM12" i="16" a="1"/>
  <c r="AM12" i="16" s="1"/>
  <c r="AK11" i="16" a="1"/>
  <c r="AK11" i="16" s="1"/>
  <c r="AO9" i="16" a="1"/>
  <c r="AO9" i="16" s="1"/>
  <c r="AM8" i="16" a="1"/>
  <c r="AM8" i="16" s="1"/>
  <c r="AK7" i="16" a="1"/>
  <c r="AK7" i="16" s="1"/>
  <c r="AO5" i="16" a="1"/>
  <c r="AO5" i="16" s="1"/>
  <c r="AM4" i="16" a="1"/>
  <c r="AM4" i="16" s="1"/>
  <c r="AK3" i="16" a="1"/>
  <c r="AK3" i="16" s="1"/>
  <c r="AE15" i="16" a="1"/>
  <c r="AE15" i="16" s="1"/>
  <c r="AI13" i="16" a="1"/>
  <c r="AI13" i="16" s="1"/>
  <c r="AG12" i="16" a="1"/>
  <c r="AG12" i="16" s="1"/>
  <c r="AE7" i="16" a="1"/>
  <c r="AE7" i="16" s="1"/>
  <c r="AI5" i="16" a="1"/>
  <c r="AI5" i="16" s="1"/>
  <c r="AG4" i="16" a="1"/>
  <c r="AG4" i="16" s="1"/>
  <c r="AP22" i="16" a="1"/>
  <c r="AP22" i="16" s="1"/>
  <c r="AN21" i="16" a="1"/>
  <c r="AN21" i="16" s="1"/>
  <c r="AL20" i="16" a="1"/>
  <c r="AL20" i="16" s="1"/>
  <c r="AP14" i="16" a="1"/>
  <c r="AP14" i="16" s="1"/>
  <c r="AN13" i="16" a="1"/>
  <c r="AN13" i="16" s="1"/>
  <c r="AL12" i="16" a="1"/>
  <c r="AL12" i="16" s="1"/>
  <c r="AP6" i="16" a="1"/>
  <c r="AP6" i="16" s="1"/>
  <c r="AN5" i="16" a="1"/>
  <c r="AN5" i="16" s="1"/>
  <c r="AL4" i="16" a="1"/>
  <c r="AL4" i="16" s="1"/>
  <c r="AH21" i="16" a="1"/>
  <c r="AH21" i="16" s="1"/>
  <c r="AD15" i="16" a="1"/>
  <c r="AD15" i="16" s="1"/>
  <c r="AH13" i="16" a="1"/>
  <c r="AH13" i="16" s="1"/>
  <c r="AF12" i="16" a="1"/>
  <c r="AF12" i="16" s="1"/>
  <c r="AD7" i="16" a="1"/>
  <c r="AD7" i="16" s="1"/>
  <c r="AH5" i="16" a="1"/>
  <c r="AH5" i="16" s="1"/>
  <c r="AF4" i="16" a="1"/>
  <c r="AF4" i="16" s="1"/>
  <c r="AO22" i="16" a="1"/>
  <c r="AO22" i="16" s="1"/>
  <c r="AM21" i="16" a="1"/>
  <c r="AM21" i="16" s="1"/>
  <c r="AK20" i="16" a="1"/>
  <c r="AK20" i="16" s="1"/>
  <c r="AO14" i="16" a="1"/>
  <c r="AO14" i="16" s="1"/>
  <c r="AM13" i="16" a="1"/>
  <c r="AM13" i="16" s="1"/>
  <c r="AK12" i="16" a="1"/>
  <c r="AK12" i="16" s="1"/>
  <c r="AO6" i="16" a="1"/>
  <c r="AO6" i="16" s="1"/>
  <c r="AM5" i="16" a="1"/>
  <c r="AM5" i="16" s="1"/>
  <c r="AK4" i="16" a="1"/>
  <c r="AK4" i="16" s="1"/>
  <c r="AI22" i="16" a="1"/>
  <c r="AI22" i="16" s="1"/>
  <c r="AG21" i="16" a="1"/>
  <c r="AG21" i="16" s="1"/>
  <c r="AI14" i="16" a="1"/>
  <c r="AI14" i="16" s="1"/>
  <c r="AG13" i="16" a="1"/>
  <c r="AG13" i="16" s="1"/>
  <c r="AE12" i="16" a="1"/>
  <c r="AE12" i="16" s="1"/>
  <c r="AI6" i="16" a="1"/>
  <c r="AI6" i="16" s="1"/>
  <c r="AG5" i="16" a="1"/>
  <c r="AG5" i="16" s="1"/>
  <c r="AE4" i="16" a="1"/>
  <c r="AE4" i="16" s="1"/>
  <c r="AN22" i="16" a="1"/>
  <c r="AN22" i="16" s="1"/>
  <c r="AL21" i="16" a="1"/>
  <c r="AL21" i="16" s="1"/>
  <c r="AP15" i="16" a="1"/>
  <c r="AP15" i="16" s="1"/>
  <c r="AN14" i="16" a="1"/>
  <c r="AN14" i="16" s="1"/>
  <c r="AL13" i="16" a="1"/>
  <c r="AL13" i="16" s="1"/>
  <c r="AP7" i="16" a="1"/>
  <c r="AP7" i="16" s="1"/>
  <c r="AN6" i="16" a="1"/>
  <c r="AN6" i="16" s="1"/>
  <c r="AL5" i="16" a="1"/>
  <c r="AL5" i="16" s="1"/>
  <c r="AH14" i="16" a="1"/>
  <c r="AH14" i="16" s="1"/>
  <c r="AF13" i="16" a="1"/>
  <c r="AF13" i="16" s="1"/>
  <c r="AD12" i="16" a="1"/>
  <c r="AD12" i="16" s="1"/>
  <c r="AH6" i="16" a="1"/>
  <c r="AH6" i="16" s="1"/>
  <c r="AF5" i="16" a="1"/>
  <c r="AF5" i="16" s="1"/>
  <c r="AO15" i="16" a="1"/>
  <c r="AO15" i="16" s="1"/>
  <c r="AM14" i="16" a="1"/>
  <c r="AM14" i="16" s="1"/>
  <c r="AK13" i="16" a="1"/>
  <c r="AK13" i="16" s="1"/>
  <c r="AO7" i="16" a="1"/>
  <c r="AO7" i="16" s="1"/>
  <c r="AM6" i="16" a="1"/>
  <c r="AM6" i="16" s="1"/>
  <c r="AK5" i="16" a="1"/>
  <c r="AK5" i="16" s="1"/>
  <c r="AR21" i="16"/>
  <c r="AH22" i="16" a="1"/>
  <c r="AH22" i="16" s="1"/>
  <c r="AF21" i="16" a="1"/>
  <c r="AF21" i="16" s="1"/>
  <c r="AD20" i="16" a="1"/>
  <c r="AD20" i="16" s="1"/>
  <c r="AM22" i="16" a="1"/>
  <c r="AM22" i="16" s="1"/>
  <c r="AG22" i="16" a="1"/>
  <c r="AG22" i="16" s="1"/>
  <c r="AE21" i="16" a="1"/>
  <c r="AE21" i="16" s="1"/>
  <c r="AI19" i="16" a="1"/>
  <c r="AI19" i="16" s="1"/>
  <c r="AG18" i="16" a="1"/>
  <c r="AG18" i="16" s="1"/>
  <c r="AE17" i="16" a="1"/>
  <c r="AE17" i="16" s="1"/>
  <c r="AI15" i="16" a="1"/>
  <c r="AI15" i="16" s="1"/>
  <c r="AG14" i="16" a="1"/>
  <c r="AG14" i="16" s="1"/>
  <c r="AE13" i="16" a="1"/>
  <c r="AE13" i="16" s="1"/>
  <c r="AI11" i="16" a="1"/>
  <c r="AI11" i="16" s="1"/>
  <c r="AG10" i="16" a="1"/>
  <c r="AG10" i="16" s="1"/>
  <c r="AE9" i="16" a="1"/>
  <c r="AE9" i="16" s="1"/>
  <c r="AI7" i="16" a="1"/>
  <c r="AI7" i="16" s="1"/>
  <c r="AG6" i="16" a="1"/>
  <c r="AG6" i="16" s="1"/>
  <c r="AE5" i="16" a="1"/>
  <c r="AE5" i="16" s="1"/>
  <c r="AI3" i="16" a="1"/>
  <c r="AI3" i="16" s="1"/>
  <c r="AL22" i="16" a="1"/>
  <c r="AL22" i="16" s="1"/>
  <c r="AP20" i="16" a="1"/>
  <c r="AP20" i="16" s="1"/>
  <c r="AN19" i="16" a="1"/>
  <c r="AN19" i="16" s="1"/>
  <c r="AL18" i="16" a="1"/>
  <c r="AL18" i="16" s="1"/>
  <c r="AP16" i="16" a="1"/>
  <c r="AP16" i="16" s="1"/>
  <c r="AN15" i="16" a="1"/>
  <c r="AN15" i="16" s="1"/>
  <c r="AL14" i="16" a="1"/>
  <c r="AL14" i="16" s="1"/>
  <c r="AP12" i="16" a="1"/>
  <c r="AP12" i="16" s="1"/>
  <c r="AN11" i="16" a="1"/>
  <c r="AN11" i="16" s="1"/>
  <c r="AL10" i="16" a="1"/>
  <c r="AL10" i="16" s="1"/>
  <c r="AP8" i="16" a="1"/>
  <c r="AP8" i="16" s="1"/>
  <c r="AN7" i="16" a="1"/>
  <c r="AN7" i="16" s="1"/>
  <c r="AL6" i="16" a="1"/>
  <c r="AL6" i="16" s="1"/>
  <c r="AP4" i="16" a="1"/>
  <c r="AP4" i="16" s="1"/>
  <c r="AN3" i="16" a="1"/>
  <c r="AN3" i="16" s="1"/>
  <c r="AR22" i="16"/>
  <c r="AK21" i="16" a="1"/>
  <c r="AK21" i="16" s="1"/>
  <c r="AF22" i="16" a="1"/>
  <c r="AF22" i="16" s="1"/>
  <c r="AH19" i="16" a="1"/>
  <c r="AH19" i="16" s="1"/>
  <c r="AF18" i="16" a="1"/>
  <c r="AF18" i="16" s="1"/>
  <c r="AH15" i="16" a="1"/>
  <c r="AH15" i="16" s="1"/>
  <c r="AF14" i="16" a="1"/>
  <c r="AF14" i="16" s="1"/>
  <c r="AH11" i="16" a="1"/>
  <c r="AH11" i="16" s="1"/>
  <c r="AF10" i="16" a="1"/>
  <c r="AF10" i="16" s="1"/>
  <c r="AH7" i="16" a="1"/>
  <c r="AH7" i="16" s="1"/>
  <c r="AF6" i="16" a="1"/>
  <c r="AF6" i="16" s="1"/>
  <c r="AH3" i="16" a="1"/>
  <c r="AH3" i="16" s="1"/>
  <c r="AO20" i="16" a="1"/>
  <c r="AO20" i="16" s="1"/>
  <c r="Z3" i="19" l="1"/>
  <c r="Z3" i="14"/>
  <c r="AB2" i="9"/>
  <c r="B98" i="2" l="1"/>
  <c r="C98" i="2"/>
  <c r="B99" i="2"/>
  <c r="C99" i="2"/>
  <c r="B100" i="2"/>
  <c r="C100" i="2"/>
  <c r="B101" i="2"/>
  <c r="C101" i="2"/>
  <c r="B102" i="2"/>
  <c r="C102" i="2"/>
  <c r="B103" i="2"/>
  <c r="C103" i="2"/>
  <c r="B104" i="2"/>
  <c r="C104" i="2"/>
  <c r="B105" i="2"/>
  <c r="C105" i="2"/>
  <c r="B106" i="2"/>
  <c r="C106" i="2"/>
  <c r="B107" i="2"/>
  <c r="C107" i="2"/>
  <c r="B108" i="2"/>
  <c r="C108" i="2"/>
  <c r="B109" i="2"/>
  <c r="C109" i="2"/>
  <c r="B110" i="2"/>
  <c r="C110" i="2"/>
  <c r="B111" i="2"/>
  <c r="C111" i="2"/>
  <c r="B112" i="2"/>
  <c r="C112" i="2"/>
  <c r="B113" i="2"/>
  <c r="C113" i="2"/>
  <c r="B114" i="2"/>
  <c r="C114" i="2"/>
  <c r="B115" i="2"/>
  <c r="C115" i="2"/>
  <c r="B116" i="2"/>
  <c r="C116" i="2"/>
  <c r="B117" i="2"/>
  <c r="C117" i="2"/>
  <c r="AB363" i="33" l="1"/>
  <c r="AA363" i="33"/>
  <c r="AB290" i="33"/>
  <c r="AB291" i="33"/>
  <c r="AB292" i="33"/>
  <c r="AB293" i="33"/>
  <c r="AB294" i="33"/>
  <c r="AB295" i="33"/>
  <c r="AB296" i="33"/>
  <c r="AB297" i="33"/>
  <c r="AB298" i="33"/>
  <c r="AB299" i="33"/>
  <c r="AB300" i="33"/>
  <c r="AB303" i="33"/>
  <c r="AB304" i="33"/>
  <c r="AB305" i="33"/>
  <c r="AB306" i="33"/>
  <c r="AB254" i="33"/>
  <c r="AB255" i="33"/>
  <c r="AB256" i="33"/>
  <c r="AB257" i="33"/>
  <c r="AB259" i="33"/>
  <c r="AB261" i="33"/>
  <c r="AB262" i="33"/>
  <c r="AB263" i="33"/>
  <c r="AB264" i="33"/>
  <c r="AB265" i="33"/>
  <c r="AB266" i="33"/>
  <c r="AB267" i="33"/>
  <c r="AB268" i="33"/>
  <c r="AB269" i="33"/>
  <c r="AB270" i="33"/>
  <c r="AB271" i="33"/>
  <c r="AB272" i="33"/>
  <c r="AB273" i="33"/>
  <c r="AB274" i="33"/>
  <c r="AB275" i="33"/>
  <c r="AB281" i="33"/>
  <c r="AB282" i="33"/>
  <c r="AB284" i="33"/>
  <c r="AB285" i="33"/>
  <c r="AB286" i="33"/>
  <c r="AB287" i="33"/>
  <c r="AB288" i="33"/>
  <c r="AB289" i="33"/>
  <c r="AA75" i="33"/>
  <c r="AB75" i="33"/>
  <c r="AA76" i="33"/>
  <c r="AB76" i="33"/>
  <c r="AA77" i="33"/>
  <c r="AB77" i="33"/>
  <c r="AA78" i="33"/>
  <c r="AB78" i="33"/>
  <c r="AA79" i="33"/>
  <c r="AB79" i="33"/>
  <c r="AA80" i="33"/>
  <c r="AB80" i="33"/>
  <c r="AA81" i="33"/>
  <c r="AB81" i="33"/>
  <c r="AA82" i="33"/>
  <c r="AB82" i="33"/>
  <c r="AA83" i="33"/>
  <c r="AB83" i="33"/>
  <c r="AA84" i="33"/>
  <c r="AB84" i="33"/>
  <c r="AA85" i="33"/>
  <c r="AB85" i="33"/>
  <c r="AA86" i="33"/>
  <c r="AB86" i="33"/>
  <c r="AA87" i="33"/>
  <c r="AB87" i="33"/>
  <c r="AA88" i="33"/>
  <c r="AB88" i="33"/>
  <c r="AA89" i="33"/>
  <c r="AB89" i="33"/>
  <c r="AA90" i="33"/>
  <c r="AB90" i="33"/>
  <c r="AA91" i="33"/>
  <c r="AB91" i="33"/>
  <c r="AA92" i="33"/>
  <c r="AB92" i="33"/>
  <c r="AA93" i="33"/>
  <c r="AB93" i="33"/>
  <c r="AA94" i="33"/>
  <c r="AB94" i="33"/>
  <c r="AA74" i="33"/>
  <c r="AB74" i="33"/>
  <c r="AA145" i="33"/>
  <c r="AB145" i="33"/>
  <c r="AA218" i="33"/>
  <c r="AB218" i="33"/>
  <c r="AA253" i="33"/>
  <c r="AB253" i="33"/>
  <c r="AA310" i="33"/>
  <c r="AB310" i="33"/>
  <c r="AA335" i="33"/>
  <c r="AB335" i="33"/>
  <c r="AB393" i="33"/>
  <c r="AN286" i="6"/>
  <c r="A22" i="6"/>
  <c r="A83" i="6"/>
  <c r="D402" i="6"/>
  <c r="D372" i="6"/>
  <c r="C372" i="6"/>
  <c r="D345" i="6"/>
  <c r="D346" i="6"/>
  <c r="D347" i="6"/>
  <c r="D348" i="6"/>
  <c r="D349" i="6"/>
  <c r="D350" i="6"/>
  <c r="D351" i="6"/>
  <c r="D352" i="6"/>
  <c r="D353" i="6"/>
  <c r="D354" i="6"/>
  <c r="D355" i="6"/>
  <c r="D356" i="6"/>
  <c r="D357" i="6"/>
  <c r="D358" i="6"/>
  <c r="D359" i="6"/>
  <c r="D360" i="6"/>
  <c r="D362" i="6"/>
  <c r="D364" i="6"/>
  <c r="D365" i="6"/>
  <c r="D366" i="6"/>
  <c r="D368" i="6"/>
  <c r="D369" i="6"/>
  <c r="D344" i="6"/>
  <c r="D341" i="6"/>
  <c r="D320" i="6"/>
  <c r="D321" i="6"/>
  <c r="D322" i="6"/>
  <c r="D328" i="6"/>
  <c r="D329" i="6"/>
  <c r="D330" i="6"/>
  <c r="D331" i="6"/>
  <c r="D332" i="6"/>
  <c r="D333" i="6"/>
  <c r="D334" i="6"/>
  <c r="D335" i="6"/>
  <c r="D337" i="6"/>
  <c r="D338" i="6"/>
  <c r="D339" i="6"/>
  <c r="D340" i="6"/>
  <c r="D319" i="6"/>
  <c r="D262" i="6"/>
  <c r="D227" i="6"/>
  <c r="D210" i="6"/>
  <c r="D211" i="6"/>
  <c r="B210" i="6"/>
  <c r="D201" i="6"/>
  <c r="D202" i="6"/>
  <c r="D203" i="6"/>
  <c r="D204" i="6"/>
  <c r="D205" i="6"/>
  <c r="D206" i="6"/>
  <c r="D207" i="6"/>
  <c r="D208" i="6"/>
  <c r="D184" i="6"/>
  <c r="D185" i="6"/>
  <c r="D186" i="6"/>
  <c r="D187" i="6"/>
  <c r="D188" i="6"/>
  <c r="D189" i="6"/>
  <c r="D190" i="6"/>
  <c r="D191" i="6"/>
  <c r="D192" i="6"/>
  <c r="D193" i="6"/>
  <c r="D195" i="6"/>
  <c r="D196" i="6"/>
  <c r="D197" i="6"/>
  <c r="D198" i="6"/>
  <c r="D199" i="6"/>
  <c r="D200" i="6"/>
  <c r="D155" i="6"/>
  <c r="D156" i="6"/>
  <c r="D157" i="6"/>
  <c r="D158" i="6"/>
  <c r="D159" i="6"/>
  <c r="D160" i="6"/>
  <c r="D161" i="6"/>
  <c r="D162" i="6"/>
  <c r="D154" i="6"/>
  <c r="D93" i="6"/>
  <c r="D94" i="6"/>
  <c r="D95" i="6"/>
  <c r="D96" i="6"/>
  <c r="D97" i="6"/>
  <c r="D98" i="6"/>
  <c r="D99" i="6"/>
  <c r="D100" i="6"/>
  <c r="D101" i="6"/>
  <c r="D102" i="6"/>
  <c r="D103" i="6"/>
  <c r="D84" i="6"/>
  <c r="D85" i="6"/>
  <c r="D86" i="6"/>
  <c r="D87" i="6"/>
  <c r="D88" i="6"/>
  <c r="D89" i="6"/>
  <c r="D90" i="6"/>
  <c r="D91" i="6"/>
  <c r="D92" i="6"/>
  <c r="D83" i="6"/>
  <c r="DN201" i="33" l="1"/>
  <c r="V2" i="41"/>
  <c r="P2" i="41"/>
  <c r="Q2" i="41"/>
  <c r="R2" i="41"/>
  <c r="S2" i="41"/>
  <c r="T2" i="41"/>
  <c r="U2" i="41"/>
  <c r="O2" i="41"/>
  <c r="FI215" i="33"/>
  <c r="FH215" i="33"/>
  <c r="FG215" i="33"/>
  <c r="FF215" i="33"/>
  <c r="FE215" i="33"/>
  <c r="FD215" i="33"/>
  <c r="FC215" i="33"/>
  <c r="FB215" i="33"/>
  <c r="FI214" i="33"/>
  <c r="FH214" i="33"/>
  <c r="FG214" i="33"/>
  <c r="FF214" i="33"/>
  <c r="FE214" i="33"/>
  <c r="FD214" i="33"/>
  <c r="FC214" i="33"/>
  <c r="FB214" i="33"/>
  <c r="FI213" i="33"/>
  <c r="FH213" i="33"/>
  <c r="FG213" i="33"/>
  <c r="FF213" i="33"/>
  <c r="FE213" i="33"/>
  <c r="FD213" i="33"/>
  <c r="FC213" i="33"/>
  <c r="FB213" i="33"/>
  <c r="FI212" i="33"/>
  <c r="FH212" i="33"/>
  <c r="FG212" i="33"/>
  <c r="FF212" i="33"/>
  <c r="FE212" i="33"/>
  <c r="FD212" i="33"/>
  <c r="FC212" i="33"/>
  <c r="FB212" i="33"/>
  <c r="FI211" i="33"/>
  <c r="FH211" i="33"/>
  <c r="FG211" i="33"/>
  <c r="FF211" i="33"/>
  <c r="FE211" i="33"/>
  <c r="FD211" i="33"/>
  <c r="FC211" i="33"/>
  <c r="FB211" i="33"/>
  <c r="FI210" i="33"/>
  <c r="FH210" i="33"/>
  <c r="FG210" i="33"/>
  <c r="FF210" i="33"/>
  <c r="FE210" i="33"/>
  <c r="FD210" i="33"/>
  <c r="FC210" i="33"/>
  <c r="FB210" i="33"/>
  <c r="FI208" i="33"/>
  <c r="FH208" i="33"/>
  <c r="FG208" i="33"/>
  <c r="FF208" i="33"/>
  <c r="FE208" i="33"/>
  <c r="FD208" i="33"/>
  <c r="FC208" i="33"/>
  <c r="FB208" i="33"/>
  <c r="FI207" i="33"/>
  <c r="FH207" i="33"/>
  <c r="FG207" i="33"/>
  <c r="FF207" i="33"/>
  <c r="FE207" i="33"/>
  <c r="FD207" i="33"/>
  <c r="FC207" i="33"/>
  <c r="FB207" i="33"/>
  <c r="FI206" i="33"/>
  <c r="FH206" i="33"/>
  <c r="FG206" i="33"/>
  <c r="FF206" i="33"/>
  <c r="FE206" i="33"/>
  <c r="FD206" i="33"/>
  <c r="FC206" i="33"/>
  <c r="FB206" i="33"/>
  <c r="FI205" i="33"/>
  <c r="FH205" i="33"/>
  <c r="FG205" i="33"/>
  <c r="FF205" i="33"/>
  <c r="FE205" i="33"/>
  <c r="FD205" i="33"/>
  <c r="FC205" i="33"/>
  <c r="FB205" i="33"/>
  <c r="FI204" i="33"/>
  <c r="FH204" i="33"/>
  <c r="FG204" i="33"/>
  <c r="FF204" i="33"/>
  <c r="FE204" i="33"/>
  <c r="FD204" i="33"/>
  <c r="FC204" i="33"/>
  <c r="FB204" i="33"/>
  <c r="FI203" i="33"/>
  <c r="FH203" i="33"/>
  <c r="FG203" i="33"/>
  <c r="FF203" i="33"/>
  <c r="FE203" i="33"/>
  <c r="FD203" i="33"/>
  <c r="FC203" i="33"/>
  <c r="FB203" i="33"/>
  <c r="FI202" i="33"/>
  <c r="FH202" i="33"/>
  <c r="FG202" i="33"/>
  <c r="FF202" i="33"/>
  <c r="FE202" i="33"/>
  <c r="FD202" i="33"/>
  <c r="FC202" i="33"/>
  <c r="FB202" i="33"/>
  <c r="FI201" i="33"/>
  <c r="FH201" i="33"/>
  <c r="FG201" i="33"/>
  <c r="FF201" i="33"/>
  <c r="FE201" i="33"/>
  <c r="FD201" i="33"/>
  <c r="FC201" i="33"/>
  <c r="FB201" i="33"/>
  <c r="FI199" i="33"/>
  <c r="FH199" i="33"/>
  <c r="FG199" i="33"/>
  <c r="FF199" i="33"/>
  <c r="FE199" i="33"/>
  <c r="FD199" i="33"/>
  <c r="FC199" i="33"/>
  <c r="FB199" i="33"/>
  <c r="FI198" i="33"/>
  <c r="FH198" i="33"/>
  <c r="FG198" i="33"/>
  <c r="FF198" i="33"/>
  <c r="FE198" i="33"/>
  <c r="FD198" i="33"/>
  <c r="FC198" i="33"/>
  <c r="FB198" i="33"/>
  <c r="FI197" i="33"/>
  <c r="FH197" i="33"/>
  <c r="FG197" i="33"/>
  <c r="FF197" i="33"/>
  <c r="FE197" i="33"/>
  <c r="FD197" i="33"/>
  <c r="FC197" i="33"/>
  <c r="FB197" i="33"/>
  <c r="FI196" i="33"/>
  <c r="FH196" i="33"/>
  <c r="FG196" i="33"/>
  <c r="FF196" i="33"/>
  <c r="FE196" i="33"/>
  <c r="FD196" i="33"/>
  <c r="FC196" i="33"/>
  <c r="FB196" i="33"/>
  <c r="FI195" i="33"/>
  <c r="FH195" i="33"/>
  <c r="FG195" i="33"/>
  <c r="FF195" i="33"/>
  <c r="FE195" i="33"/>
  <c r="FD195" i="33"/>
  <c r="FC195" i="33"/>
  <c r="FB195" i="33"/>
  <c r="FI194" i="33"/>
  <c r="FH194" i="33"/>
  <c r="FG194" i="33"/>
  <c r="FF194" i="33"/>
  <c r="FE194" i="33"/>
  <c r="FD194" i="33"/>
  <c r="FC194" i="33"/>
  <c r="FB194" i="33"/>
  <c r="FI193" i="33"/>
  <c r="FH193" i="33"/>
  <c r="FG193" i="33"/>
  <c r="FF193" i="33"/>
  <c r="FE193" i="33"/>
  <c r="FD193" i="33"/>
  <c r="FC193" i="33"/>
  <c r="FB193" i="33"/>
  <c r="FI192" i="33"/>
  <c r="FH192" i="33"/>
  <c r="FG192" i="33"/>
  <c r="FF192" i="33"/>
  <c r="FE192" i="33"/>
  <c r="FD192" i="33"/>
  <c r="FC192" i="33"/>
  <c r="FB192" i="33"/>
  <c r="FI191" i="33"/>
  <c r="FH191" i="33"/>
  <c r="FG191" i="33"/>
  <c r="FF191" i="33"/>
  <c r="FE191" i="33"/>
  <c r="FD191" i="33"/>
  <c r="FC191" i="33"/>
  <c r="FB191" i="33"/>
  <c r="FI190" i="33"/>
  <c r="FH190" i="33"/>
  <c r="FG190" i="33"/>
  <c r="FF190" i="33"/>
  <c r="FE190" i="33"/>
  <c r="FD190" i="33"/>
  <c r="FC190" i="33"/>
  <c r="FB190" i="33"/>
  <c r="FI189" i="33"/>
  <c r="FH189" i="33"/>
  <c r="FG189" i="33"/>
  <c r="FF189" i="33"/>
  <c r="FE189" i="33"/>
  <c r="FD189" i="33"/>
  <c r="FC189" i="33"/>
  <c r="FB189" i="33"/>
  <c r="FI188" i="33"/>
  <c r="FH188" i="33"/>
  <c r="FG188" i="33"/>
  <c r="FF188" i="33"/>
  <c r="FE188" i="33"/>
  <c r="FD188" i="33"/>
  <c r="FC188" i="33"/>
  <c r="FB188" i="33"/>
  <c r="FI187" i="33"/>
  <c r="FH187" i="33"/>
  <c r="FG187" i="33"/>
  <c r="FF187" i="33"/>
  <c r="FE187" i="33"/>
  <c r="FD187" i="33"/>
  <c r="FC187" i="33"/>
  <c r="FB187" i="33"/>
  <c r="FI186" i="33"/>
  <c r="FH186" i="33"/>
  <c r="FG186" i="33"/>
  <c r="FF186" i="33"/>
  <c r="FE186" i="33"/>
  <c r="FD186" i="33"/>
  <c r="FC186" i="33"/>
  <c r="FB186" i="33"/>
  <c r="FI184" i="33"/>
  <c r="FH184" i="33"/>
  <c r="FG184" i="33"/>
  <c r="FF184" i="33"/>
  <c r="FE184" i="33"/>
  <c r="FD184" i="33"/>
  <c r="FC184" i="33"/>
  <c r="FB184" i="33"/>
  <c r="FI183" i="33"/>
  <c r="FH183" i="33"/>
  <c r="FG183" i="33"/>
  <c r="FF183" i="33"/>
  <c r="FE183" i="33"/>
  <c r="FD183" i="33"/>
  <c r="FC183" i="33"/>
  <c r="FB183" i="33"/>
  <c r="FI182" i="33"/>
  <c r="FH182" i="33"/>
  <c r="FG182" i="33"/>
  <c r="FF182" i="33"/>
  <c r="FE182" i="33"/>
  <c r="FD182" i="33"/>
  <c r="FC182" i="33"/>
  <c r="FB182" i="33"/>
  <c r="FI181" i="33"/>
  <c r="FH181" i="33"/>
  <c r="FG181" i="33"/>
  <c r="FF181" i="33"/>
  <c r="FE181" i="33"/>
  <c r="FD181" i="33"/>
  <c r="FC181" i="33"/>
  <c r="FB181" i="33"/>
  <c r="FI180" i="33"/>
  <c r="FH180" i="33"/>
  <c r="FG180" i="33"/>
  <c r="FF180" i="33"/>
  <c r="FE180" i="33"/>
  <c r="FD180" i="33"/>
  <c r="FC180" i="33"/>
  <c r="FB180" i="33"/>
  <c r="FI179" i="33"/>
  <c r="FH179" i="33"/>
  <c r="FG179" i="33"/>
  <c r="FF179" i="33"/>
  <c r="FE179" i="33"/>
  <c r="FD179" i="33"/>
  <c r="FC179" i="33"/>
  <c r="FB179" i="33"/>
  <c r="FI178" i="33"/>
  <c r="FH178" i="33"/>
  <c r="FG178" i="33"/>
  <c r="FF178" i="33"/>
  <c r="FE178" i="33"/>
  <c r="FD178" i="33"/>
  <c r="FC178" i="33"/>
  <c r="FB178" i="33"/>
  <c r="FI177" i="33"/>
  <c r="FH177" i="33"/>
  <c r="FG177" i="33"/>
  <c r="FF177" i="33"/>
  <c r="FE177" i="33"/>
  <c r="FD177" i="33"/>
  <c r="FC177" i="33"/>
  <c r="FB177" i="33"/>
  <c r="FI176" i="33"/>
  <c r="FH176" i="33"/>
  <c r="FG176" i="33"/>
  <c r="FF176" i="33"/>
  <c r="FE176" i="33"/>
  <c r="FD176" i="33"/>
  <c r="FC176" i="33"/>
  <c r="FB176" i="33"/>
  <c r="FI175" i="33"/>
  <c r="FH175" i="33"/>
  <c r="FG175" i="33"/>
  <c r="FF175" i="33"/>
  <c r="FE175" i="33"/>
  <c r="FD175" i="33"/>
  <c r="FC175" i="33"/>
  <c r="FB175" i="33"/>
  <c r="FI174" i="33"/>
  <c r="FH174" i="33"/>
  <c r="FG174" i="33"/>
  <c r="FF174" i="33"/>
  <c r="FE174" i="33"/>
  <c r="FD174" i="33"/>
  <c r="FC174" i="33"/>
  <c r="FB174" i="33"/>
  <c r="FI173" i="33"/>
  <c r="FH173" i="33"/>
  <c r="FG173" i="33"/>
  <c r="FF173" i="33"/>
  <c r="FE173" i="33"/>
  <c r="FD173" i="33"/>
  <c r="FC173" i="33"/>
  <c r="FB173" i="33"/>
  <c r="FI172" i="33"/>
  <c r="FH172" i="33"/>
  <c r="FG172" i="33"/>
  <c r="FF172" i="33"/>
  <c r="FE172" i="33"/>
  <c r="FD172" i="33"/>
  <c r="FC172" i="33"/>
  <c r="FB172" i="33"/>
  <c r="FI171" i="33"/>
  <c r="FH171" i="33"/>
  <c r="FG171" i="33"/>
  <c r="FF171" i="33"/>
  <c r="FE171" i="33"/>
  <c r="FD171" i="33"/>
  <c r="FC171" i="33"/>
  <c r="FB171" i="33"/>
  <c r="FI170" i="33"/>
  <c r="FH170" i="33"/>
  <c r="FG170" i="33"/>
  <c r="FF170" i="33"/>
  <c r="FE170" i="33"/>
  <c r="FD170" i="33"/>
  <c r="FC170" i="33"/>
  <c r="FB170" i="33"/>
  <c r="FI158" i="33"/>
  <c r="FH158" i="33"/>
  <c r="FG158" i="33"/>
  <c r="FF158" i="33"/>
  <c r="FE158" i="33"/>
  <c r="FD158" i="33"/>
  <c r="FC158" i="33"/>
  <c r="FB158" i="33"/>
  <c r="FI157" i="33"/>
  <c r="FH157" i="33"/>
  <c r="FG157" i="33"/>
  <c r="FF157" i="33"/>
  <c r="FE157" i="33"/>
  <c r="FD157" i="33"/>
  <c r="FC157" i="33"/>
  <c r="FB157" i="33"/>
  <c r="FI156" i="33"/>
  <c r="FH156" i="33"/>
  <c r="FG156" i="33"/>
  <c r="FF156" i="33"/>
  <c r="FE156" i="33"/>
  <c r="FD156" i="33"/>
  <c r="FC156" i="33"/>
  <c r="FB156" i="33"/>
  <c r="FJ156" i="33" s="1"/>
  <c r="FI155" i="33"/>
  <c r="FH155" i="33"/>
  <c r="FG155" i="33"/>
  <c r="FF155" i="33"/>
  <c r="FE155" i="33"/>
  <c r="FD155" i="33"/>
  <c r="FC155" i="33"/>
  <c r="FB155" i="33"/>
  <c r="FI153" i="33"/>
  <c r="FH153" i="33"/>
  <c r="FG153" i="33"/>
  <c r="FF153" i="33"/>
  <c r="FE153" i="33"/>
  <c r="FD153" i="33"/>
  <c r="FC153" i="33"/>
  <c r="FB153" i="33"/>
  <c r="FI152" i="33"/>
  <c r="FH152" i="33"/>
  <c r="FG152" i="33"/>
  <c r="FF152" i="33"/>
  <c r="FE152" i="33"/>
  <c r="FD152" i="33"/>
  <c r="FC152" i="33"/>
  <c r="FB152" i="33"/>
  <c r="FI151" i="33"/>
  <c r="FH151" i="33"/>
  <c r="FG151" i="33"/>
  <c r="FF151" i="33"/>
  <c r="FE151" i="33"/>
  <c r="FD151" i="33"/>
  <c r="FC151" i="33"/>
  <c r="FB151" i="33"/>
  <c r="FI150" i="33"/>
  <c r="FH150" i="33"/>
  <c r="FG150" i="33"/>
  <c r="FF150" i="33"/>
  <c r="FE150" i="33"/>
  <c r="FD150" i="33"/>
  <c r="FC150" i="33"/>
  <c r="FB150" i="33"/>
  <c r="FI149" i="33"/>
  <c r="FH149" i="33"/>
  <c r="FG149" i="33"/>
  <c r="FF149" i="33"/>
  <c r="FE149" i="33"/>
  <c r="FD149" i="33"/>
  <c r="FC149" i="33"/>
  <c r="FB149" i="33"/>
  <c r="FI148" i="33"/>
  <c r="FH148" i="33"/>
  <c r="FG148" i="33"/>
  <c r="FF148" i="33"/>
  <c r="FE148" i="33"/>
  <c r="FD148" i="33"/>
  <c r="FC148" i="33"/>
  <c r="FB148" i="33"/>
  <c r="FI147" i="33"/>
  <c r="FH147" i="33"/>
  <c r="FG147" i="33"/>
  <c r="FF147" i="33"/>
  <c r="FE147" i="33"/>
  <c r="FD147" i="33"/>
  <c r="FC147" i="33"/>
  <c r="FB147" i="33"/>
  <c r="FI146" i="33"/>
  <c r="FH146" i="33"/>
  <c r="FG146" i="33"/>
  <c r="FF146" i="33"/>
  <c r="FE146" i="33"/>
  <c r="FD146" i="33"/>
  <c r="FC146" i="33"/>
  <c r="FB146" i="33"/>
  <c r="FA145" i="33"/>
  <c r="FI145" i="33" s="1"/>
  <c r="EZ145" i="33"/>
  <c r="FH145" i="33" s="1"/>
  <c r="EY145" i="33"/>
  <c r="FG145" i="33" s="1"/>
  <c r="EX145" i="33"/>
  <c r="FF145" i="33" s="1"/>
  <c r="FE145" i="33"/>
  <c r="EV145" i="33"/>
  <c r="FD145" i="33" s="1"/>
  <c r="EU145" i="33"/>
  <c r="FC145" i="33" s="1"/>
  <c r="FB145" i="33"/>
  <c r="DU215" i="33"/>
  <c r="DT215" i="33"/>
  <c r="DS215" i="33"/>
  <c r="DR215" i="33"/>
  <c r="DP215" i="33"/>
  <c r="DO215" i="33"/>
  <c r="DN215" i="33"/>
  <c r="DU214" i="33"/>
  <c r="DT214" i="33"/>
  <c r="DS214" i="33"/>
  <c r="DR214" i="33"/>
  <c r="DP214" i="33"/>
  <c r="DO214" i="33"/>
  <c r="DN214" i="33"/>
  <c r="DU213" i="33"/>
  <c r="DT213" i="33"/>
  <c r="DS213" i="33"/>
  <c r="DR213" i="33"/>
  <c r="DP213" i="33"/>
  <c r="DO213" i="33"/>
  <c r="DN213" i="33"/>
  <c r="DU212" i="33"/>
  <c r="DT212" i="33"/>
  <c r="DS212" i="33"/>
  <c r="DR212" i="33"/>
  <c r="DP212" i="33"/>
  <c r="DO212" i="33"/>
  <c r="DN212" i="33"/>
  <c r="DU211" i="33"/>
  <c r="DT211" i="33"/>
  <c r="DS211" i="33"/>
  <c r="DR211" i="33"/>
  <c r="DP211" i="33"/>
  <c r="DO211" i="33"/>
  <c r="DN211" i="33"/>
  <c r="DU210" i="33"/>
  <c r="DT210" i="33"/>
  <c r="DS210" i="33"/>
  <c r="DR210" i="33"/>
  <c r="DP210" i="33"/>
  <c r="DO210" i="33"/>
  <c r="DN210" i="33"/>
  <c r="DU209" i="33"/>
  <c r="DT209" i="33"/>
  <c r="DS209" i="33"/>
  <c r="DR209" i="33"/>
  <c r="DP209" i="33"/>
  <c r="DO209" i="33"/>
  <c r="DN209" i="33"/>
  <c r="DU208" i="33"/>
  <c r="DT208" i="33"/>
  <c r="DS208" i="33"/>
  <c r="DR208" i="33"/>
  <c r="DP208" i="33"/>
  <c r="DO208" i="33"/>
  <c r="DN208" i="33"/>
  <c r="DU207" i="33"/>
  <c r="DT207" i="33"/>
  <c r="DS207" i="33"/>
  <c r="DR207" i="33"/>
  <c r="DP207" i="33"/>
  <c r="DO207" i="33"/>
  <c r="DN207" i="33"/>
  <c r="DU206" i="33"/>
  <c r="DT206" i="33"/>
  <c r="DS206" i="33"/>
  <c r="DR206" i="33"/>
  <c r="DP206" i="33"/>
  <c r="DO206" i="33"/>
  <c r="DN206" i="33"/>
  <c r="DU205" i="33"/>
  <c r="DT205" i="33"/>
  <c r="DS205" i="33"/>
  <c r="DR205" i="33"/>
  <c r="DP205" i="33"/>
  <c r="DO205" i="33"/>
  <c r="DN205" i="33"/>
  <c r="DU204" i="33"/>
  <c r="DT204" i="33"/>
  <c r="DS204" i="33"/>
  <c r="DR204" i="33"/>
  <c r="DP204" i="33"/>
  <c r="DO204" i="33"/>
  <c r="DN204" i="33"/>
  <c r="DU203" i="33"/>
  <c r="DT203" i="33"/>
  <c r="DS203" i="33"/>
  <c r="DR203" i="33"/>
  <c r="DP203" i="33"/>
  <c r="DO203" i="33"/>
  <c r="DN203" i="33"/>
  <c r="DU202" i="33"/>
  <c r="DT202" i="33"/>
  <c r="DS202" i="33"/>
  <c r="DR202" i="33"/>
  <c r="DP202" i="33"/>
  <c r="DO202" i="33"/>
  <c r="DN202" i="33"/>
  <c r="DU201" i="33"/>
  <c r="DT201" i="33"/>
  <c r="DS201" i="33"/>
  <c r="DR201" i="33"/>
  <c r="DP201" i="33"/>
  <c r="DO201" i="33"/>
  <c r="DU199" i="33"/>
  <c r="DT199" i="33"/>
  <c r="DS199" i="33"/>
  <c r="DR199" i="33"/>
  <c r="DP199" i="33"/>
  <c r="DO199" i="33"/>
  <c r="DN199" i="33"/>
  <c r="DU198" i="33"/>
  <c r="DT198" i="33"/>
  <c r="DS198" i="33"/>
  <c r="DR198" i="33"/>
  <c r="DP198" i="33"/>
  <c r="DO198" i="33"/>
  <c r="DN198" i="33"/>
  <c r="DU197" i="33"/>
  <c r="DT197" i="33"/>
  <c r="DS197" i="33"/>
  <c r="DR197" i="33"/>
  <c r="DP197" i="33"/>
  <c r="DO197" i="33"/>
  <c r="DN197" i="33"/>
  <c r="DU196" i="33"/>
  <c r="DT196" i="33"/>
  <c r="DS196" i="33"/>
  <c r="DR196" i="33"/>
  <c r="DP196" i="33"/>
  <c r="DO196" i="33"/>
  <c r="DN196" i="33"/>
  <c r="DU195" i="33"/>
  <c r="DT195" i="33"/>
  <c r="DS195" i="33"/>
  <c r="DR195" i="33"/>
  <c r="DP195" i="33"/>
  <c r="DO195" i="33"/>
  <c r="DN195" i="33"/>
  <c r="DU194" i="33"/>
  <c r="DT194" i="33"/>
  <c r="DS194" i="33"/>
  <c r="DR194" i="33"/>
  <c r="DP194" i="33"/>
  <c r="DO194" i="33"/>
  <c r="DN194" i="33"/>
  <c r="DU193" i="33"/>
  <c r="DT193" i="33"/>
  <c r="DS193" i="33"/>
  <c r="DR193" i="33"/>
  <c r="DP193" i="33"/>
  <c r="DO193" i="33"/>
  <c r="DN193" i="33"/>
  <c r="DU192" i="33"/>
  <c r="DT192" i="33"/>
  <c r="DS192" i="33"/>
  <c r="DR192" i="33"/>
  <c r="DP192" i="33"/>
  <c r="DO192" i="33"/>
  <c r="DN192" i="33"/>
  <c r="DU191" i="33"/>
  <c r="DT191" i="33"/>
  <c r="DS191" i="33"/>
  <c r="DR191" i="33"/>
  <c r="DP191" i="33"/>
  <c r="DO191" i="33"/>
  <c r="DN191" i="33"/>
  <c r="DU190" i="33"/>
  <c r="DT190" i="33"/>
  <c r="DS190" i="33"/>
  <c r="DR190" i="33"/>
  <c r="DP190" i="33"/>
  <c r="DO190" i="33"/>
  <c r="DN190" i="33"/>
  <c r="DU189" i="33"/>
  <c r="DT189" i="33"/>
  <c r="DS189" i="33"/>
  <c r="DR189" i="33"/>
  <c r="DP189" i="33"/>
  <c r="DO189" i="33"/>
  <c r="DN189" i="33"/>
  <c r="DU188" i="33"/>
  <c r="DT188" i="33"/>
  <c r="DS188" i="33"/>
  <c r="DR188" i="33"/>
  <c r="DP188" i="33"/>
  <c r="DO188" i="33"/>
  <c r="DN188" i="33"/>
  <c r="DU187" i="33"/>
  <c r="DT187" i="33"/>
  <c r="DS187" i="33"/>
  <c r="DR187" i="33"/>
  <c r="DP187" i="33"/>
  <c r="DO187" i="33"/>
  <c r="DN187" i="33"/>
  <c r="DU186" i="33"/>
  <c r="DT186" i="33"/>
  <c r="DS186" i="33"/>
  <c r="DR186" i="33"/>
  <c r="DP186" i="33"/>
  <c r="DO186" i="33"/>
  <c r="DN186" i="33"/>
  <c r="DU184" i="33"/>
  <c r="DT184" i="33"/>
  <c r="DS184" i="33"/>
  <c r="DR184" i="33"/>
  <c r="DP184" i="33"/>
  <c r="DO184" i="33"/>
  <c r="DN184" i="33"/>
  <c r="DU183" i="33"/>
  <c r="DT183" i="33"/>
  <c r="DS183" i="33"/>
  <c r="DR183" i="33"/>
  <c r="DP183" i="33"/>
  <c r="DO183" i="33"/>
  <c r="DN183" i="33"/>
  <c r="DU182" i="33"/>
  <c r="DT182" i="33"/>
  <c r="DS182" i="33"/>
  <c r="DR182" i="33"/>
  <c r="DP182" i="33"/>
  <c r="DO182" i="33"/>
  <c r="DN182" i="33"/>
  <c r="DU181" i="33"/>
  <c r="DT181" i="33"/>
  <c r="DS181" i="33"/>
  <c r="DR181" i="33"/>
  <c r="DP181" i="33"/>
  <c r="DO181" i="33"/>
  <c r="DN181" i="33"/>
  <c r="DU180" i="33"/>
  <c r="DT180" i="33"/>
  <c r="DS180" i="33"/>
  <c r="DR180" i="33"/>
  <c r="DP180" i="33"/>
  <c r="DO180" i="33"/>
  <c r="DN180" i="33"/>
  <c r="DU179" i="33"/>
  <c r="DT179" i="33"/>
  <c r="DS179" i="33"/>
  <c r="DR179" i="33"/>
  <c r="DP179" i="33"/>
  <c r="DO179" i="33"/>
  <c r="DN179" i="33"/>
  <c r="DU178" i="33"/>
  <c r="DT178" i="33"/>
  <c r="DS178" i="33"/>
  <c r="DR178" i="33"/>
  <c r="DP178" i="33"/>
  <c r="DO178" i="33"/>
  <c r="DN178" i="33"/>
  <c r="DU177" i="33"/>
  <c r="DT177" i="33"/>
  <c r="DS177" i="33"/>
  <c r="DR177" i="33"/>
  <c r="DP177" i="33"/>
  <c r="DO177" i="33"/>
  <c r="DN177" i="33"/>
  <c r="DU176" i="33"/>
  <c r="DT176" i="33"/>
  <c r="DS176" i="33"/>
  <c r="DR176" i="33"/>
  <c r="DP176" i="33"/>
  <c r="DO176" i="33"/>
  <c r="DN176" i="33"/>
  <c r="DU175" i="33"/>
  <c r="DT175" i="33"/>
  <c r="DS175" i="33"/>
  <c r="DR175" i="33"/>
  <c r="DP175" i="33"/>
  <c r="DO175" i="33"/>
  <c r="DN175" i="33"/>
  <c r="DU174" i="33"/>
  <c r="DT174" i="33"/>
  <c r="DS174" i="33"/>
  <c r="DR174" i="33"/>
  <c r="DP174" i="33"/>
  <c r="DO174" i="33"/>
  <c r="DN174" i="33"/>
  <c r="DU173" i="33"/>
  <c r="DT173" i="33"/>
  <c r="DS173" i="33"/>
  <c r="DR173" i="33"/>
  <c r="DP173" i="33"/>
  <c r="DO173" i="33"/>
  <c r="DN173" i="33"/>
  <c r="DU172" i="33"/>
  <c r="DT172" i="33"/>
  <c r="DS172" i="33"/>
  <c r="DR172" i="33"/>
  <c r="DP172" i="33"/>
  <c r="DO172" i="33"/>
  <c r="DN172" i="33"/>
  <c r="DU171" i="33"/>
  <c r="DT171" i="33"/>
  <c r="DS171" i="33"/>
  <c r="DR171" i="33"/>
  <c r="DP171" i="33"/>
  <c r="DO171" i="33"/>
  <c r="DN171" i="33"/>
  <c r="DU170" i="33"/>
  <c r="DT170" i="33"/>
  <c r="DS170" i="33"/>
  <c r="DR170" i="33"/>
  <c r="DP170" i="33"/>
  <c r="DO170" i="33"/>
  <c r="DN170" i="33"/>
  <c r="DU169" i="33"/>
  <c r="DT169" i="33"/>
  <c r="DS169" i="33"/>
  <c r="DR169" i="33"/>
  <c r="DP169" i="33"/>
  <c r="DO169" i="33"/>
  <c r="DN169" i="33"/>
  <c r="DU167" i="33"/>
  <c r="DT167" i="33"/>
  <c r="DS167" i="33"/>
  <c r="DR167" i="33"/>
  <c r="DP167" i="33"/>
  <c r="DO167" i="33"/>
  <c r="DN167" i="33"/>
  <c r="DU166" i="33"/>
  <c r="DT166" i="33"/>
  <c r="DS166" i="33"/>
  <c r="DR166" i="33"/>
  <c r="DP166" i="33"/>
  <c r="DO166" i="33"/>
  <c r="DN166" i="33"/>
  <c r="DU165" i="33"/>
  <c r="DT165" i="33"/>
  <c r="DS165" i="33"/>
  <c r="DR165" i="33"/>
  <c r="DP165" i="33"/>
  <c r="DO165" i="33"/>
  <c r="DN165" i="33"/>
  <c r="DU164" i="33"/>
  <c r="DT164" i="33"/>
  <c r="DS164" i="33"/>
  <c r="DR164" i="33"/>
  <c r="DP164" i="33"/>
  <c r="DO164" i="33"/>
  <c r="DN164" i="33"/>
  <c r="DU163" i="33"/>
  <c r="DT163" i="33"/>
  <c r="DS163" i="33"/>
  <c r="DR163" i="33"/>
  <c r="DP163" i="33"/>
  <c r="DO163" i="33"/>
  <c r="DN163" i="33"/>
  <c r="DU162" i="33"/>
  <c r="DT162" i="33"/>
  <c r="DS162" i="33"/>
  <c r="DR162" i="33"/>
  <c r="DP162" i="33"/>
  <c r="DO162" i="33"/>
  <c r="DN162" i="33"/>
  <c r="DU161" i="33"/>
  <c r="DT161" i="33"/>
  <c r="DS161" i="33"/>
  <c r="DR161" i="33"/>
  <c r="DP161" i="33"/>
  <c r="DO161" i="33"/>
  <c r="DN161" i="33"/>
  <c r="DU160" i="33"/>
  <c r="DT160" i="33"/>
  <c r="DS160" i="33"/>
  <c r="DR160" i="33"/>
  <c r="DP160" i="33"/>
  <c r="DO160" i="33"/>
  <c r="DN160" i="33"/>
  <c r="DU159" i="33"/>
  <c r="DT159" i="33"/>
  <c r="DS159" i="33"/>
  <c r="DR159" i="33"/>
  <c r="DP159" i="33"/>
  <c r="DO159" i="33"/>
  <c r="DN159" i="33"/>
  <c r="DU158" i="33"/>
  <c r="DT158" i="33"/>
  <c r="DS158" i="33"/>
  <c r="DR158" i="33"/>
  <c r="DP158" i="33"/>
  <c r="DO158" i="33"/>
  <c r="DN158" i="33"/>
  <c r="DU157" i="33"/>
  <c r="DT157" i="33"/>
  <c r="DS157" i="33"/>
  <c r="DR157" i="33"/>
  <c r="DP157" i="33"/>
  <c r="DO157" i="33"/>
  <c r="DN157" i="33"/>
  <c r="DU156" i="33"/>
  <c r="DT156" i="33"/>
  <c r="DS156" i="33"/>
  <c r="DR156" i="33"/>
  <c r="DP156" i="33"/>
  <c r="DO156" i="33"/>
  <c r="DN156" i="33"/>
  <c r="DV156" i="33" s="1"/>
  <c r="DU155" i="33"/>
  <c r="DT155" i="33"/>
  <c r="DS155" i="33"/>
  <c r="DR155" i="33"/>
  <c r="DP155" i="33"/>
  <c r="DO155" i="33"/>
  <c r="DN155" i="33"/>
  <c r="DU153" i="33"/>
  <c r="DT153" i="33"/>
  <c r="DS153" i="33"/>
  <c r="DR153" i="33"/>
  <c r="DP153" i="33"/>
  <c r="DO153" i="33"/>
  <c r="DN153" i="33"/>
  <c r="DU152" i="33"/>
  <c r="DT152" i="33"/>
  <c r="DS152" i="33"/>
  <c r="DR152" i="33"/>
  <c r="DP152" i="33"/>
  <c r="DO152" i="33"/>
  <c r="DN152" i="33"/>
  <c r="DU151" i="33"/>
  <c r="DT151" i="33"/>
  <c r="DS151" i="33"/>
  <c r="DR151" i="33"/>
  <c r="DP151" i="33"/>
  <c r="DO151" i="33"/>
  <c r="DN151" i="33"/>
  <c r="DU150" i="33"/>
  <c r="DT150" i="33"/>
  <c r="DS150" i="33"/>
  <c r="DR150" i="33"/>
  <c r="DP150" i="33"/>
  <c r="DO150" i="33"/>
  <c r="DN150" i="33"/>
  <c r="DU149" i="33"/>
  <c r="DT149" i="33"/>
  <c r="DS149" i="33"/>
  <c r="DR149" i="33"/>
  <c r="DP149" i="33"/>
  <c r="DO149" i="33"/>
  <c r="DN149" i="33"/>
  <c r="DU148" i="33"/>
  <c r="DT148" i="33"/>
  <c r="DS148" i="33"/>
  <c r="DR148" i="33"/>
  <c r="DP148" i="33"/>
  <c r="DO148" i="33"/>
  <c r="DN148" i="33"/>
  <c r="DU147" i="33"/>
  <c r="DT147" i="33"/>
  <c r="DS147" i="33"/>
  <c r="DR147" i="33"/>
  <c r="DP147" i="33"/>
  <c r="DO147" i="33"/>
  <c r="DN147" i="33"/>
  <c r="DU146" i="33"/>
  <c r="DT146" i="33"/>
  <c r="DS146" i="33"/>
  <c r="DR146" i="33"/>
  <c r="DP146" i="33"/>
  <c r="DO146" i="33"/>
  <c r="DN146" i="33"/>
  <c r="DM145" i="33"/>
  <c r="DU145" i="33" s="1"/>
  <c r="DL145" i="33"/>
  <c r="DT145" i="33" s="1"/>
  <c r="DK145" i="33"/>
  <c r="DS145" i="33" s="1"/>
  <c r="DJ145" i="33"/>
  <c r="DR145" i="33" s="1"/>
  <c r="DH145" i="33"/>
  <c r="DP145" i="33" s="1"/>
  <c r="DG145" i="33"/>
  <c r="DO145" i="33" s="1"/>
  <c r="DN145" i="33"/>
  <c r="BY210" i="33"/>
  <c r="BZ210" i="33"/>
  <c r="CA210" i="33"/>
  <c r="CC210" i="33"/>
  <c r="CD210" i="33"/>
  <c r="CE210" i="33"/>
  <c r="CF210" i="33"/>
  <c r="BY211" i="33"/>
  <c r="BZ211" i="33"/>
  <c r="CA211" i="33"/>
  <c r="CC211" i="33"/>
  <c r="CD211" i="33"/>
  <c r="CE211" i="33"/>
  <c r="CF211" i="33"/>
  <c r="BY212" i="33"/>
  <c r="BZ212" i="33"/>
  <c r="CA212" i="33"/>
  <c r="CC212" i="33"/>
  <c r="CD212" i="33"/>
  <c r="CE212" i="33"/>
  <c r="CF212" i="33"/>
  <c r="BY213" i="33"/>
  <c r="BZ213" i="33"/>
  <c r="CA213" i="33"/>
  <c r="CC213" i="33"/>
  <c r="CD213" i="33"/>
  <c r="CE213" i="33"/>
  <c r="CF213" i="33"/>
  <c r="BY214" i="33"/>
  <c r="BZ214" i="33"/>
  <c r="CA214" i="33"/>
  <c r="CC214" i="33"/>
  <c r="CD214" i="33"/>
  <c r="CE214" i="33"/>
  <c r="CF214" i="33"/>
  <c r="BY215" i="33"/>
  <c r="BZ215" i="33"/>
  <c r="CA215" i="33"/>
  <c r="CC215" i="33"/>
  <c r="CD215" i="33"/>
  <c r="CE215" i="33"/>
  <c r="CF215" i="33"/>
  <c r="BY199" i="33"/>
  <c r="BZ199" i="33"/>
  <c r="CA199" i="33"/>
  <c r="CC199" i="33"/>
  <c r="CD199" i="33"/>
  <c r="CE199" i="33"/>
  <c r="CF199" i="33"/>
  <c r="BY201" i="33"/>
  <c r="BZ201" i="33"/>
  <c r="CA201" i="33"/>
  <c r="CC201" i="33"/>
  <c r="CD201" i="33"/>
  <c r="CE201" i="33"/>
  <c r="CF201" i="33"/>
  <c r="BY202" i="33"/>
  <c r="BZ202" i="33"/>
  <c r="CA202" i="33"/>
  <c r="CC202" i="33"/>
  <c r="CD202" i="33"/>
  <c r="CE202" i="33"/>
  <c r="CF202" i="33"/>
  <c r="BY203" i="33"/>
  <c r="BZ203" i="33"/>
  <c r="CA203" i="33"/>
  <c r="CC203" i="33"/>
  <c r="CD203" i="33"/>
  <c r="CE203" i="33"/>
  <c r="CF203" i="33"/>
  <c r="BY204" i="33"/>
  <c r="BZ204" i="33"/>
  <c r="CA204" i="33"/>
  <c r="CC204" i="33"/>
  <c r="CD204" i="33"/>
  <c r="CE204" i="33"/>
  <c r="CF204" i="33"/>
  <c r="BY205" i="33"/>
  <c r="BZ205" i="33"/>
  <c r="CA205" i="33"/>
  <c r="CC205" i="33"/>
  <c r="CD205" i="33"/>
  <c r="CE205" i="33"/>
  <c r="CF205" i="33"/>
  <c r="BY206" i="33"/>
  <c r="BZ206" i="33"/>
  <c r="CA206" i="33"/>
  <c r="CC206" i="33"/>
  <c r="CD206" i="33"/>
  <c r="CE206" i="33"/>
  <c r="CF206" i="33"/>
  <c r="BY207" i="33"/>
  <c r="BZ207" i="33"/>
  <c r="CA207" i="33"/>
  <c r="CC207" i="33"/>
  <c r="CD207" i="33"/>
  <c r="CE207" i="33"/>
  <c r="CF207" i="33"/>
  <c r="BY208" i="33"/>
  <c r="BZ208" i="33"/>
  <c r="CA208" i="33"/>
  <c r="CC208" i="33"/>
  <c r="CD208" i="33"/>
  <c r="CE208" i="33"/>
  <c r="CF208" i="33"/>
  <c r="BY209" i="33"/>
  <c r="BZ209" i="33"/>
  <c r="CA209" i="33"/>
  <c r="CC209" i="33"/>
  <c r="CD209" i="33"/>
  <c r="CE209" i="33"/>
  <c r="CF209" i="33"/>
  <c r="BY169" i="33"/>
  <c r="BZ169" i="33"/>
  <c r="CA169" i="33"/>
  <c r="CC169" i="33"/>
  <c r="CD169" i="33"/>
  <c r="CE169" i="33"/>
  <c r="CF169" i="33"/>
  <c r="BY170" i="33"/>
  <c r="BZ170" i="33"/>
  <c r="CA170" i="33"/>
  <c r="CC170" i="33"/>
  <c r="CD170" i="33"/>
  <c r="CE170" i="33"/>
  <c r="CF170" i="33"/>
  <c r="BY171" i="33"/>
  <c r="BZ171" i="33"/>
  <c r="CA171" i="33"/>
  <c r="CC171" i="33"/>
  <c r="CD171" i="33"/>
  <c r="CE171" i="33"/>
  <c r="CF171" i="33"/>
  <c r="BY172" i="33"/>
  <c r="BZ172" i="33"/>
  <c r="CA172" i="33"/>
  <c r="CC172" i="33"/>
  <c r="CD172" i="33"/>
  <c r="CE172" i="33"/>
  <c r="CF172" i="33"/>
  <c r="BY173" i="33"/>
  <c r="BZ173" i="33"/>
  <c r="CA173" i="33"/>
  <c r="CC173" i="33"/>
  <c r="CD173" i="33"/>
  <c r="CE173" i="33"/>
  <c r="CF173" i="33"/>
  <c r="BY174" i="33"/>
  <c r="BZ174" i="33"/>
  <c r="CA174" i="33"/>
  <c r="CC174" i="33"/>
  <c r="CD174" i="33"/>
  <c r="CE174" i="33"/>
  <c r="CF174" i="33"/>
  <c r="BY175" i="33"/>
  <c r="BZ175" i="33"/>
  <c r="CA175" i="33"/>
  <c r="CC175" i="33"/>
  <c r="CD175" i="33"/>
  <c r="CE175" i="33"/>
  <c r="CF175" i="33"/>
  <c r="BY176" i="33"/>
  <c r="BZ176" i="33"/>
  <c r="CA176" i="33"/>
  <c r="CC176" i="33"/>
  <c r="CD176" i="33"/>
  <c r="CE176" i="33"/>
  <c r="CF176" i="33"/>
  <c r="BY177" i="33"/>
  <c r="BZ177" i="33"/>
  <c r="CA177" i="33"/>
  <c r="CC177" i="33"/>
  <c r="CD177" i="33"/>
  <c r="CE177" i="33"/>
  <c r="CF177" i="33"/>
  <c r="BY178" i="33"/>
  <c r="BZ178" i="33"/>
  <c r="CA178" i="33"/>
  <c r="CC178" i="33"/>
  <c r="CD178" i="33"/>
  <c r="CE178" i="33"/>
  <c r="CF178" i="33"/>
  <c r="BY179" i="33"/>
  <c r="BZ179" i="33"/>
  <c r="CA179" i="33"/>
  <c r="CC179" i="33"/>
  <c r="CD179" i="33"/>
  <c r="CE179" i="33"/>
  <c r="CF179" i="33"/>
  <c r="BY180" i="33"/>
  <c r="BZ180" i="33"/>
  <c r="CA180" i="33"/>
  <c r="CC180" i="33"/>
  <c r="CD180" i="33"/>
  <c r="CE180" i="33"/>
  <c r="CF180" i="33"/>
  <c r="BY181" i="33"/>
  <c r="BZ181" i="33"/>
  <c r="CA181" i="33"/>
  <c r="CC181" i="33"/>
  <c r="CD181" i="33"/>
  <c r="CE181" i="33"/>
  <c r="CF181" i="33"/>
  <c r="BY182" i="33"/>
  <c r="BZ182" i="33"/>
  <c r="CA182" i="33"/>
  <c r="CC182" i="33"/>
  <c r="CD182" i="33"/>
  <c r="CE182" i="33"/>
  <c r="CF182" i="33"/>
  <c r="BY183" i="33"/>
  <c r="BZ183" i="33"/>
  <c r="CA183" i="33"/>
  <c r="CC183" i="33"/>
  <c r="CD183" i="33"/>
  <c r="CE183" i="33"/>
  <c r="CF183" i="33"/>
  <c r="BY184" i="33"/>
  <c r="BZ184" i="33"/>
  <c r="CA184" i="33"/>
  <c r="CC184" i="33"/>
  <c r="CD184" i="33"/>
  <c r="CE184" i="33"/>
  <c r="CF184" i="33"/>
  <c r="BY186" i="33"/>
  <c r="BZ186" i="33"/>
  <c r="CA186" i="33"/>
  <c r="CC186" i="33"/>
  <c r="CD186" i="33"/>
  <c r="CE186" i="33"/>
  <c r="CF186" i="33"/>
  <c r="BY187" i="33"/>
  <c r="BZ187" i="33"/>
  <c r="CA187" i="33"/>
  <c r="CC187" i="33"/>
  <c r="CD187" i="33"/>
  <c r="CE187" i="33"/>
  <c r="CF187" i="33"/>
  <c r="BY188" i="33"/>
  <c r="BZ188" i="33"/>
  <c r="CA188" i="33"/>
  <c r="CC188" i="33"/>
  <c r="CD188" i="33"/>
  <c r="CE188" i="33"/>
  <c r="CF188" i="33"/>
  <c r="BY189" i="33"/>
  <c r="BZ189" i="33"/>
  <c r="CA189" i="33"/>
  <c r="CC189" i="33"/>
  <c r="CD189" i="33"/>
  <c r="CE189" i="33"/>
  <c r="CF189" i="33"/>
  <c r="BY190" i="33"/>
  <c r="BZ190" i="33"/>
  <c r="CA190" i="33"/>
  <c r="CC190" i="33"/>
  <c r="CD190" i="33"/>
  <c r="CE190" i="33"/>
  <c r="CF190" i="33"/>
  <c r="BY191" i="33"/>
  <c r="BZ191" i="33"/>
  <c r="CA191" i="33"/>
  <c r="CC191" i="33"/>
  <c r="CD191" i="33"/>
  <c r="CE191" i="33"/>
  <c r="CF191" i="33"/>
  <c r="BY192" i="33"/>
  <c r="BZ192" i="33"/>
  <c r="CA192" i="33"/>
  <c r="CC192" i="33"/>
  <c r="CD192" i="33"/>
  <c r="CE192" i="33"/>
  <c r="CF192" i="33"/>
  <c r="BY193" i="33"/>
  <c r="BZ193" i="33"/>
  <c r="CA193" i="33"/>
  <c r="CC193" i="33"/>
  <c r="CD193" i="33"/>
  <c r="CE193" i="33"/>
  <c r="CF193" i="33"/>
  <c r="BY194" i="33"/>
  <c r="BZ194" i="33"/>
  <c r="CA194" i="33"/>
  <c r="CC194" i="33"/>
  <c r="CD194" i="33"/>
  <c r="CE194" i="33"/>
  <c r="CF194" i="33"/>
  <c r="BY195" i="33"/>
  <c r="BZ195" i="33"/>
  <c r="CA195" i="33"/>
  <c r="CC195" i="33"/>
  <c r="CD195" i="33"/>
  <c r="CE195" i="33"/>
  <c r="CF195" i="33"/>
  <c r="BY196" i="33"/>
  <c r="BZ196" i="33"/>
  <c r="CA196" i="33"/>
  <c r="CC196" i="33"/>
  <c r="CD196" i="33"/>
  <c r="CE196" i="33"/>
  <c r="CF196" i="33"/>
  <c r="BY197" i="33"/>
  <c r="BZ197" i="33"/>
  <c r="CA197" i="33"/>
  <c r="CC197" i="33"/>
  <c r="CD197" i="33"/>
  <c r="CE197" i="33"/>
  <c r="CF197" i="33"/>
  <c r="BY198" i="33"/>
  <c r="BZ198" i="33"/>
  <c r="CA198" i="33"/>
  <c r="CC198" i="33"/>
  <c r="CD198" i="33"/>
  <c r="CE198" i="33"/>
  <c r="CF198" i="33"/>
  <c r="BY146" i="33"/>
  <c r="BZ146" i="33"/>
  <c r="CA146" i="33"/>
  <c r="CC146" i="33"/>
  <c r="CD146" i="33"/>
  <c r="CE146" i="33"/>
  <c r="CF146" i="33"/>
  <c r="BY147" i="33"/>
  <c r="BZ147" i="33"/>
  <c r="CA147" i="33"/>
  <c r="CC147" i="33"/>
  <c r="CD147" i="33"/>
  <c r="CE147" i="33"/>
  <c r="CF147" i="33"/>
  <c r="BY148" i="33"/>
  <c r="BZ148" i="33"/>
  <c r="CA148" i="33"/>
  <c r="CC148" i="33"/>
  <c r="CD148" i="33"/>
  <c r="CE148" i="33"/>
  <c r="CF148" i="33"/>
  <c r="BY149" i="33"/>
  <c r="BZ149" i="33"/>
  <c r="CA149" i="33"/>
  <c r="CC149" i="33"/>
  <c r="CD149" i="33"/>
  <c r="CE149" i="33"/>
  <c r="CF149" i="33"/>
  <c r="BY150" i="33"/>
  <c r="BZ150" i="33"/>
  <c r="CA150" i="33"/>
  <c r="CC150" i="33"/>
  <c r="CD150" i="33"/>
  <c r="CE150" i="33"/>
  <c r="CF150" i="33"/>
  <c r="BY151" i="33"/>
  <c r="BZ151" i="33"/>
  <c r="CA151" i="33"/>
  <c r="CC151" i="33"/>
  <c r="CD151" i="33"/>
  <c r="CE151" i="33"/>
  <c r="CF151" i="33"/>
  <c r="BY152" i="33"/>
  <c r="BZ152" i="33"/>
  <c r="CA152" i="33"/>
  <c r="CC152" i="33"/>
  <c r="CD152" i="33"/>
  <c r="CE152" i="33"/>
  <c r="CF152" i="33"/>
  <c r="BY153" i="33"/>
  <c r="BZ153" i="33"/>
  <c r="CA153" i="33"/>
  <c r="CC153" i="33"/>
  <c r="CD153" i="33"/>
  <c r="CE153" i="33"/>
  <c r="CF153" i="33"/>
  <c r="BY155" i="33"/>
  <c r="BZ155" i="33"/>
  <c r="CA155" i="33"/>
  <c r="CC155" i="33"/>
  <c r="CD155" i="33"/>
  <c r="CE155" i="33"/>
  <c r="CF155" i="33"/>
  <c r="BY156" i="33"/>
  <c r="CG156" i="33" s="1"/>
  <c r="BZ156" i="33"/>
  <c r="CA156" i="33"/>
  <c r="CC156" i="33"/>
  <c r="CD156" i="33"/>
  <c r="CE156" i="33"/>
  <c r="CF156" i="33"/>
  <c r="BY157" i="33"/>
  <c r="BZ157" i="33"/>
  <c r="CA157" i="33"/>
  <c r="CC157" i="33"/>
  <c r="CD157" i="33"/>
  <c r="CE157" i="33"/>
  <c r="CF157" i="33"/>
  <c r="BY158" i="33"/>
  <c r="BZ158" i="33"/>
  <c r="CA158" i="33"/>
  <c r="CC158" i="33"/>
  <c r="CD158" i="33"/>
  <c r="CE158" i="33"/>
  <c r="CF158" i="33"/>
  <c r="BY159" i="33"/>
  <c r="BZ159" i="33"/>
  <c r="CA159" i="33"/>
  <c r="CC159" i="33"/>
  <c r="CD159" i="33"/>
  <c r="CE159" i="33"/>
  <c r="CF159" i="33"/>
  <c r="BY160" i="33"/>
  <c r="BZ160" i="33"/>
  <c r="CA160" i="33"/>
  <c r="CC160" i="33"/>
  <c r="CD160" i="33"/>
  <c r="CE160" i="33"/>
  <c r="CF160" i="33"/>
  <c r="BY161" i="33"/>
  <c r="BZ161" i="33"/>
  <c r="CA161" i="33"/>
  <c r="CC161" i="33"/>
  <c r="CD161" i="33"/>
  <c r="CE161" i="33"/>
  <c r="CF161" i="33"/>
  <c r="BY162" i="33"/>
  <c r="BZ162" i="33"/>
  <c r="CA162" i="33"/>
  <c r="CC162" i="33"/>
  <c r="CD162" i="33"/>
  <c r="CE162" i="33"/>
  <c r="CF162" i="33"/>
  <c r="BY163" i="33"/>
  <c r="BZ163" i="33"/>
  <c r="CA163" i="33"/>
  <c r="CC163" i="33"/>
  <c r="CD163" i="33"/>
  <c r="CE163" i="33"/>
  <c r="CF163" i="33"/>
  <c r="BY164" i="33"/>
  <c r="BZ164" i="33"/>
  <c r="CA164" i="33"/>
  <c r="CC164" i="33"/>
  <c r="CD164" i="33"/>
  <c r="CE164" i="33"/>
  <c r="CF164" i="33"/>
  <c r="BY165" i="33"/>
  <c r="BZ165" i="33"/>
  <c r="CA165" i="33"/>
  <c r="CC165" i="33"/>
  <c r="CD165" i="33"/>
  <c r="CE165" i="33"/>
  <c r="CF165" i="33"/>
  <c r="BY166" i="33"/>
  <c r="BZ166" i="33"/>
  <c r="CA166" i="33"/>
  <c r="CC166" i="33"/>
  <c r="CD166" i="33"/>
  <c r="CE166" i="33"/>
  <c r="CF166" i="33"/>
  <c r="BY167" i="33"/>
  <c r="BZ167" i="33"/>
  <c r="CA167" i="33"/>
  <c r="CC167" i="33"/>
  <c r="CD167" i="33"/>
  <c r="CE167" i="33"/>
  <c r="CF167" i="33"/>
  <c r="BX145" i="33"/>
  <c r="CF145" i="33" s="1"/>
  <c r="BW145" i="33"/>
  <c r="CE145" i="33" s="1"/>
  <c r="BV145" i="33"/>
  <c r="CD145" i="33" s="1"/>
  <c r="BU145" i="33"/>
  <c r="CC145" i="33" s="1"/>
  <c r="CA145" i="33"/>
  <c r="BZ145" i="33"/>
  <c r="BY145" i="33"/>
  <c r="BY142" i="33"/>
  <c r="BR13" i="33"/>
  <c r="BS13" i="33"/>
  <c r="BU13" i="33"/>
  <c r="BV13" i="33"/>
  <c r="BW13" i="33"/>
  <c r="BX13" i="33"/>
  <c r="DN74" i="33"/>
  <c r="DG74" i="33"/>
  <c r="DO74" i="33" s="1"/>
  <c r="DH74" i="33"/>
  <c r="DP74" i="33" s="1"/>
  <c r="DJ74" i="33"/>
  <c r="DR74" i="33" s="1"/>
  <c r="DK74" i="33"/>
  <c r="DS74" i="33" s="1"/>
  <c r="DL74" i="33"/>
  <c r="DT74" i="33" s="1"/>
  <c r="DM74" i="33"/>
  <c r="DU74" i="33" s="1"/>
  <c r="DN75" i="33"/>
  <c r="DO75" i="33"/>
  <c r="DP75" i="33"/>
  <c r="DR75" i="33"/>
  <c r="DS75" i="33"/>
  <c r="DT75" i="33"/>
  <c r="DU75" i="33"/>
  <c r="DN76" i="33"/>
  <c r="DO76" i="33"/>
  <c r="DP76" i="33"/>
  <c r="DR76" i="33"/>
  <c r="DS76" i="33"/>
  <c r="DT76" i="33"/>
  <c r="DU76" i="33"/>
  <c r="DN77" i="33"/>
  <c r="DO77" i="33"/>
  <c r="DP77" i="33"/>
  <c r="DR77" i="33"/>
  <c r="DS77" i="33"/>
  <c r="DT77" i="33"/>
  <c r="DU77" i="33"/>
  <c r="DN78" i="33"/>
  <c r="DO78" i="33"/>
  <c r="DP78" i="33"/>
  <c r="DR78" i="33"/>
  <c r="DS78" i="33"/>
  <c r="DT78" i="33"/>
  <c r="DU78" i="33"/>
  <c r="DN79" i="33"/>
  <c r="DO79" i="33"/>
  <c r="DP79" i="33"/>
  <c r="DR79" i="33"/>
  <c r="DS79" i="33"/>
  <c r="DT79" i="33"/>
  <c r="DU79" i="33"/>
  <c r="DN80" i="33"/>
  <c r="DO80" i="33"/>
  <c r="DP80" i="33"/>
  <c r="DR80" i="33"/>
  <c r="DS80" i="33"/>
  <c r="DT80" i="33"/>
  <c r="DU80" i="33"/>
  <c r="DN81" i="33"/>
  <c r="DO81" i="33"/>
  <c r="DP81" i="33"/>
  <c r="DR81" i="33"/>
  <c r="DS81" i="33"/>
  <c r="DT81" i="33"/>
  <c r="DU81" i="33"/>
  <c r="DN82" i="33"/>
  <c r="DO82" i="33"/>
  <c r="DP82" i="33"/>
  <c r="DR82" i="33"/>
  <c r="DS82" i="33"/>
  <c r="DT82" i="33"/>
  <c r="DU82" i="33"/>
  <c r="DN83" i="33"/>
  <c r="DO83" i="33"/>
  <c r="DP83" i="33"/>
  <c r="DR83" i="33"/>
  <c r="DS83" i="33"/>
  <c r="DT83" i="33"/>
  <c r="DU83" i="33"/>
  <c r="DN84" i="33"/>
  <c r="DO84" i="33"/>
  <c r="DP84" i="33"/>
  <c r="DR84" i="33"/>
  <c r="DS84" i="33"/>
  <c r="DT84" i="33"/>
  <c r="DU84" i="33"/>
  <c r="DN85" i="33"/>
  <c r="DO85" i="33"/>
  <c r="DP85" i="33"/>
  <c r="DR85" i="33"/>
  <c r="DS85" i="33"/>
  <c r="DT85" i="33"/>
  <c r="DU85" i="33"/>
  <c r="DN86" i="33"/>
  <c r="DO86" i="33"/>
  <c r="DP86" i="33"/>
  <c r="DR86" i="33"/>
  <c r="DS86" i="33"/>
  <c r="DT86" i="33"/>
  <c r="DU86" i="33"/>
  <c r="DN87" i="33"/>
  <c r="DO87" i="33"/>
  <c r="DP87" i="33"/>
  <c r="DR87" i="33"/>
  <c r="DS87" i="33"/>
  <c r="DT87" i="33"/>
  <c r="DU87" i="33"/>
  <c r="DN88" i="33"/>
  <c r="DO88" i="33"/>
  <c r="DP88" i="33"/>
  <c r="DR88" i="33"/>
  <c r="DS88" i="33"/>
  <c r="DT88" i="33"/>
  <c r="DU88" i="33"/>
  <c r="DN89" i="33"/>
  <c r="DO89" i="33"/>
  <c r="DP89" i="33"/>
  <c r="DR89" i="33"/>
  <c r="DS89" i="33"/>
  <c r="DT89" i="33"/>
  <c r="DU89" i="33"/>
  <c r="DN90" i="33"/>
  <c r="DO90" i="33"/>
  <c r="DP90" i="33"/>
  <c r="DR90" i="33"/>
  <c r="DS90" i="33"/>
  <c r="DT90" i="33"/>
  <c r="DU90" i="33"/>
  <c r="DN91" i="33"/>
  <c r="DO91" i="33"/>
  <c r="DP91" i="33"/>
  <c r="DR91" i="33"/>
  <c r="DS91" i="33"/>
  <c r="DT91" i="33"/>
  <c r="DU91" i="33"/>
  <c r="DN92" i="33"/>
  <c r="DO92" i="33"/>
  <c r="DP92" i="33"/>
  <c r="DR92" i="33"/>
  <c r="DS92" i="33"/>
  <c r="DT92" i="33"/>
  <c r="DU92" i="33"/>
  <c r="DN93" i="33"/>
  <c r="DO93" i="33"/>
  <c r="DP93" i="33"/>
  <c r="DR93" i="33"/>
  <c r="DS93" i="33"/>
  <c r="DT93" i="33"/>
  <c r="DU93" i="33"/>
  <c r="DU94" i="33"/>
  <c r="DT94" i="33"/>
  <c r="DS94" i="33"/>
  <c r="DR94" i="33"/>
  <c r="DP94" i="33"/>
  <c r="DO94" i="33"/>
  <c r="DN94" i="33"/>
  <c r="DF119" i="33"/>
  <c r="DN119" i="33" s="1"/>
  <c r="DG119" i="33"/>
  <c r="DO119" i="33" s="1"/>
  <c r="DH119" i="33"/>
  <c r="DP119" i="33" s="1"/>
  <c r="DJ119" i="33"/>
  <c r="DR119" i="33" s="1"/>
  <c r="DK119" i="33"/>
  <c r="DS119" i="33" s="1"/>
  <c r="DL119" i="33"/>
  <c r="DT119" i="33" s="1"/>
  <c r="DM119" i="33"/>
  <c r="DU119" i="33" s="1"/>
  <c r="DF106" i="33"/>
  <c r="DN106" i="33" s="1"/>
  <c r="DG106" i="33"/>
  <c r="DO106" i="33" s="1"/>
  <c r="DH106" i="33"/>
  <c r="DP106" i="33" s="1"/>
  <c r="DJ106" i="33"/>
  <c r="DR106" i="33" s="1"/>
  <c r="DK106" i="33"/>
  <c r="DS106" i="33" s="1"/>
  <c r="DL106" i="33"/>
  <c r="DT106" i="33" s="1"/>
  <c r="DM106" i="33"/>
  <c r="DU106" i="33" s="1"/>
  <c r="DF107" i="33"/>
  <c r="DN107" i="33" s="1"/>
  <c r="DG107" i="33"/>
  <c r="DO107" i="33" s="1"/>
  <c r="DH107" i="33"/>
  <c r="DP107" i="33" s="1"/>
  <c r="DJ107" i="33"/>
  <c r="DR107" i="33" s="1"/>
  <c r="DK107" i="33"/>
  <c r="DS107" i="33" s="1"/>
  <c r="DL107" i="33"/>
  <c r="DT107" i="33" s="1"/>
  <c r="DM107" i="33"/>
  <c r="DU107" i="33" s="1"/>
  <c r="DF108" i="33"/>
  <c r="DN108" i="33" s="1"/>
  <c r="DG108" i="33"/>
  <c r="DO108" i="33" s="1"/>
  <c r="DH108" i="33"/>
  <c r="DP108" i="33" s="1"/>
  <c r="DJ108" i="33"/>
  <c r="DR108" i="33" s="1"/>
  <c r="DK108" i="33"/>
  <c r="DS108" i="33" s="1"/>
  <c r="DL108" i="33"/>
  <c r="DT108" i="33" s="1"/>
  <c r="DM108" i="33"/>
  <c r="DU108" i="33" s="1"/>
  <c r="DF109" i="33"/>
  <c r="DN109" i="33" s="1"/>
  <c r="DG109" i="33"/>
  <c r="DO109" i="33" s="1"/>
  <c r="DH109" i="33"/>
  <c r="DP109" i="33" s="1"/>
  <c r="DJ109" i="33"/>
  <c r="DR109" i="33" s="1"/>
  <c r="DK109" i="33"/>
  <c r="DS109" i="33" s="1"/>
  <c r="DL109" i="33"/>
  <c r="DT109" i="33" s="1"/>
  <c r="DM109" i="33"/>
  <c r="DU109" i="33" s="1"/>
  <c r="DF110" i="33"/>
  <c r="DN110" i="33" s="1"/>
  <c r="DG110" i="33"/>
  <c r="DO110" i="33" s="1"/>
  <c r="DH110" i="33"/>
  <c r="DP110" i="33" s="1"/>
  <c r="DJ110" i="33"/>
  <c r="DR110" i="33" s="1"/>
  <c r="DK110" i="33"/>
  <c r="DS110" i="33" s="1"/>
  <c r="DL110" i="33"/>
  <c r="DT110" i="33" s="1"/>
  <c r="DM110" i="33"/>
  <c r="DU110" i="33" s="1"/>
  <c r="DF141" i="33"/>
  <c r="DN141" i="33" s="1"/>
  <c r="DG141" i="33"/>
  <c r="DO141" i="33" s="1"/>
  <c r="DH141" i="33"/>
  <c r="DP141" i="33" s="1"/>
  <c r="DJ141" i="33"/>
  <c r="DR141" i="33" s="1"/>
  <c r="DK141" i="33"/>
  <c r="DS141" i="33" s="1"/>
  <c r="DL141" i="33"/>
  <c r="DT141" i="33" s="1"/>
  <c r="DM141" i="33"/>
  <c r="DU141" i="33" s="1"/>
  <c r="DF116" i="33"/>
  <c r="DN116" i="33" s="1"/>
  <c r="DG116" i="33"/>
  <c r="DO116" i="33" s="1"/>
  <c r="DH116" i="33"/>
  <c r="DP116" i="33" s="1"/>
  <c r="DJ116" i="33"/>
  <c r="DR116" i="33" s="1"/>
  <c r="DK116" i="33"/>
  <c r="DS116" i="33" s="1"/>
  <c r="DL116" i="33"/>
  <c r="DT116" i="33" s="1"/>
  <c r="DM116" i="33"/>
  <c r="DU116" i="33" s="1"/>
  <c r="DF131" i="33"/>
  <c r="DN131" i="33" s="1"/>
  <c r="DG131" i="33"/>
  <c r="DO131" i="33" s="1"/>
  <c r="DH131" i="33"/>
  <c r="DP131" i="33" s="1"/>
  <c r="DJ131" i="33"/>
  <c r="DR131" i="33" s="1"/>
  <c r="DK131" i="33"/>
  <c r="DS131" i="33" s="1"/>
  <c r="DL131" i="33"/>
  <c r="DT131" i="33" s="1"/>
  <c r="DM131" i="33"/>
  <c r="DU131" i="33" s="1"/>
  <c r="DF111" i="33"/>
  <c r="DN111" i="33" s="1"/>
  <c r="DG111" i="33"/>
  <c r="DO111" i="33" s="1"/>
  <c r="DH111" i="33"/>
  <c r="DP111" i="33" s="1"/>
  <c r="DJ111" i="33"/>
  <c r="DR111" i="33" s="1"/>
  <c r="DK111" i="33"/>
  <c r="DS111" i="33" s="1"/>
  <c r="DL111" i="33"/>
  <c r="DT111" i="33" s="1"/>
  <c r="DM111" i="33"/>
  <c r="DU111" i="33" s="1"/>
  <c r="DF112" i="33"/>
  <c r="DN112" i="33" s="1"/>
  <c r="DG112" i="33"/>
  <c r="DO112" i="33" s="1"/>
  <c r="DH112" i="33"/>
  <c r="DP112" i="33" s="1"/>
  <c r="DJ112" i="33"/>
  <c r="DR112" i="33" s="1"/>
  <c r="DK112" i="33"/>
  <c r="DS112" i="33" s="1"/>
  <c r="DL112" i="33"/>
  <c r="DT112" i="33" s="1"/>
  <c r="DM112" i="33"/>
  <c r="DU112" i="33" s="1"/>
  <c r="DF113" i="33"/>
  <c r="DN113" i="33" s="1"/>
  <c r="DG113" i="33"/>
  <c r="DO113" i="33" s="1"/>
  <c r="DH113" i="33"/>
  <c r="DP113" i="33" s="1"/>
  <c r="DJ113" i="33"/>
  <c r="DR113" i="33" s="1"/>
  <c r="DK113" i="33"/>
  <c r="DS113" i="33" s="1"/>
  <c r="DL113" i="33"/>
  <c r="DT113" i="33" s="1"/>
  <c r="DM113" i="33"/>
  <c r="DU113" i="33" s="1"/>
  <c r="DF114" i="33"/>
  <c r="DN114" i="33" s="1"/>
  <c r="DG114" i="33"/>
  <c r="DO114" i="33" s="1"/>
  <c r="DH114" i="33"/>
  <c r="DP114" i="33" s="1"/>
  <c r="DJ114" i="33"/>
  <c r="DR114" i="33" s="1"/>
  <c r="DK114" i="33"/>
  <c r="DS114" i="33" s="1"/>
  <c r="DL114" i="33"/>
  <c r="DT114" i="33" s="1"/>
  <c r="DM114" i="33"/>
  <c r="DU114" i="33" s="1"/>
  <c r="DF115" i="33"/>
  <c r="DN115" i="33" s="1"/>
  <c r="DG115" i="33"/>
  <c r="DO115" i="33" s="1"/>
  <c r="DH115" i="33"/>
  <c r="DP115" i="33" s="1"/>
  <c r="DJ115" i="33"/>
  <c r="DR115" i="33" s="1"/>
  <c r="DK115" i="33"/>
  <c r="DS115" i="33" s="1"/>
  <c r="DL115" i="33"/>
  <c r="DT115" i="33" s="1"/>
  <c r="DM115" i="33"/>
  <c r="DU115" i="33" s="1"/>
  <c r="DF122" i="33"/>
  <c r="DN122" i="33" s="1"/>
  <c r="DG122" i="33"/>
  <c r="DO122" i="33" s="1"/>
  <c r="DH122" i="33"/>
  <c r="DP122" i="33" s="1"/>
  <c r="DJ122" i="33"/>
  <c r="DR122" i="33" s="1"/>
  <c r="DK122" i="33"/>
  <c r="DS122" i="33" s="1"/>
  <c r="DL122" i="33"/>
  <c r="DT122" i="33" s="1"/>
  <c r="DM122" i="33"/>
  <c r="DU122" i="33" s="1"/>
  <c r="DF125" i="33"/>
  <c r="DN125" i="33" s="1"/>
  <c r="DG125" i="33"/>
  <c r="DO125" i="33" s="1"/>
  <c r="DH125" i="33"/>
  <c r="DP125" i="33" s="1"/>
  <c r="DJ125" i="33"/>
  <c r="DR125" i="33" s="1"/>
  <c r="DK125" i="33"/>
  <c r="DS125" i="33" s="1"/>
  <c r="DL125" i="33"/>
  <c r="DT125" i="33" s="1"/>
  <c r="DM125" i="33"/>
  <c r="DU125" i="33" s="1"/>
  <c r="DF127" i="33"/>
  <c r="DN127" i="33" s="1"/>
  <c r="DG127" i="33"/>
  <c r="DO127" i="33" s="1"/>
  <c r="DH127" i="33"/>
  <c r="DP127" i="33" s="1"/>
  <c r="DJ127" i="33"/>
  <c r="DR127" i="33" s="1"/>
  <c r="DK127" i="33"/>
  <c r="DS127" i="33" s="1"/>
  <c r="DL127" i="33"/>
  <c r="DT127" i="33" s="1"/>
  <c r="DM127" i="33"/>
  <c r="DU127" i="33" s="1"/>
  <c r="DF128" i="33"/>
  <c r="DN128" i="33" s="1"/>
  <c r="DG128" i="33"/>
  <c r="DO128" i="33" s="1"/>
  <c r="DH128" i="33"/>
  <c r="DP128" i="33" s="1"/>
  <c r="DJ128" i="33"/>
  <c r="DR128" i="33" s="1"/>
  <c r="DK128" i="33"/>
  <c r="DS128" i="33" s="1"/>
  <c r="DL128" i="33"/>
  <c r="DT128" i="33" s="1"/>
  <c r="DM128" i="33"/>
  <c r="DU128" i="33" s="1"/>
  <c r="DF129" i="33"/>
  <c r="DN129" i="33" s="1"/>
  <c r="DG129" i="33"/>
  <c r="DO129" i="33" s="1"/>
  <c r="DH129" i="33"/>
  <c r="DP129" i="33" s="1"/>
  <c r="DJ129" i="33"/>
  <c r="DR129" i="33" s="1"/>
  <c r="DK129" i="33"/>
  <c r="DS129" i="33" s="1"/>
  <c r="DL129" i="33"/>
  <c r="DT129" i="33" s="1"/>
  <c r="DM129" i="33"/>
  <c r="DU129" i="33" s="1"/>
  <c r="DF124" i="33"/>
  <c r="DN124" i="33" s="1"/>
  <c r="DG124" i="33"/>
  <c r="DO124" i="33" s="1"/>
  <c r="DH124" i="33"/>
  <c r="DP124" i="33" s="1"/>
  <c r="DJ124" i="33"/>
  <c r="DR124" i="33" s="1"/>
  <c r="DK124" i="33"/>
  <c r="DS124" i="33" s="1"/>
  <c r="DL124" i="33"/>
  <c r="DT124" i="33" s="1"/>
  <c r="DM124" i="33"/>
  <c r="DU124" i="33" s="1"/>
  <c r="DF130" i="33"/>
  <c r="DN130" i="33" s="1"/>
  <c r="DG130" i="33"/>
  <c r="DO130" i="33" s="1"/>
  <c r="DH130" i="33"/>
  <c r="DP130" i="33" s="1"/>
  <c r="DJ130" i="33"/>
  <c r="DR130" i="33" s="1"/>
  <c r="DK130" i="33"/>
  <c r="DS130" i="33" s="1"/>
  <c r="DL130" i="33"/>
  <c r="DT130" i="33" s="1"/>
  <c r="DM130" i="33"/>
  <c r="DU130" i="33" s="1"/>
  <c r="DF132" i="33"/>
  <c r="DN132" i="33" s="1"/>
  <c r="DG132" i="33"/>
  <c r="DO132" i="33" s="1"/>
  <c r="DH132" i="33"/>
  <c r="DP132" i="33" s="1"/>
  <c r="DJ132" i="33"/>
  <c r="DR132" i="33" s="1"/>
  <c r="DK132" i="33"/>
  <c r="DS132" i="33" s="1"/>
  <c r="DL132" i="33"/>
  <c r="DT132" i="33" s="1"/>
  <c r="DM132" i="33"/>
  <c r="DU132" i="33" s="1"/>
  <c r="DF120" i="33"/>
  <c r="DN120" i="33" s="1"/>
  <c r="DG120" i="33"/>
  <c r="DO120" i="33" s="1"/>
  <c r="DH120" i="33"/>
  <c r="DP120" i="33" s="1"/>
  <c r="DJ120" i="33"/>
  <c r="DR120" i="33" s="1"/>
  <c r="DK120" i="33"/>
  <c r="DS120" i="33" s="1"/>
  <c r="DL120" i="33"/>
  <c r="DT120" i="33" s="1"/>
  <c r="DM120" i="33"/>
  <c r="DU120" i="33" s="1"/>
  <c r="DF133" i="33"/>
  <c r="DN133" i="33" s="1"/>
  <c r="DG133" i="33"/>
  <c r="DO133" i="33" s="1"/>
  <c r="DH133" i="33"/>
  <c r="DP133" i="33" s="1"/>
  <c r="DJ133" i="33"/>
  <c r="DR133" i="33" s="1"/>
  <c r="DK133" i="33"/>
  <c r="DS133" i="33" s="1"/>
  <c r="DL133" i="33"/>
  <c r="DT133" i="33" s="1"/>
  <c r="DM133" i="33"/>
  <c r="DU133" i="33" s="1"/>
  <c r="DF121" i="33"/>
  <c r="DN121" i="33" s="1"/>
  <c r="DG121" i="33"/>
  <c r="DO121" i="33" s="1"/>
  <c r="DH121" i="33"/>
  <c r="DP121" i="33" s="1"/>
  <c r="DJ121" i="33"/>
  <c r="DR121" i="33" s="1"/>
  <c r="DK121" i="33"/>
  <c r="DS121" i="33" s="1"/>
  <c r="DL121" i="33"/>
  <c r="DT121" i="33" s="1"/>
  <c r="DM121" i="33"/>
  <c r="DU121" i="33" s="1"/>
  <c r="DF134" i="33"/>
  <c r="DN134" i="33" s="1"/>
  <c r="DG134" i="33"/>
  <c r="DO134" i="33" s="1"/>
  <c r="DH134" i="33"/>
  <c r="DP134" i="33" s="1"/>
  <c r="DJ134" i="33"/>
  <c r="DR134" i="33" s="1"/>
  <c r="DK134" i="33"/>
  <c r="DS134" i="33" s="1"/>
  <c r="DL134" i="33"/>
  <c r="DT134" i="33" s="1"/>
  <c r="DM134" i="33"/>
  <c r="DU134" i="33" s="1"/>
  <c r="DF135" i="33"/>
  <c r="DN135" i="33" s="1"/>
  <c r="DG135" i="33"/>
  <c r="DO135" i="33" s="1"/>
  <c r="DH135" i="33"/>
  <c r="DP135" i="33" s="1"/>
  <c r="DJ135" i="33"/>
  <c r="DR135" i="33" s="1"/>
  <c r="DK135" i="33"/>
  <c r="DS135" i="33" s="1"/>
  <c r="DL135" i="33"/>
  <c r="DT135" i="33" s="1"/>
  <c r="DM135" i="33"/>
  <c r="DU135" i="33" s="1"/>
  <c r="DF136" i="33"/>
  <c r="DN136" i="33" s="1"/>
  <c r="DG136" i="33"/>
  <c r="DO136" i="33" s="1"/>
  <c r="DH136" i="33"/>
  <c r="DP136" i="33" s="1"/>
  <c r="DJ136" i="33"/>
  <c r="DR136" i="33" s="1"/>
  <c r="DK136" i="33"/>
  <c r="DS136" i="33" s="1"/>
  <c r="DL136" i="33"/>
  <c r="DT136" i="33" s="1"/>
  <c r="DM136" i="33"/>
  <c r="DU136" i="33" s="1"/>
  <c r="DF137" i="33"/>
  <c r="DN137" i="33" s="1"/>
  <c r="DG137" i="33"/>
  <c r="DO137" i="33" s="1"/>
  <c r="DH137" i="33"/>
  <c r="DP137" i="33" s="1"/>
  <c r="DJ137" i="33"/>
  <c r="DR137" i="33" s="1"/>
  <c r="DK137" i="33"/>
  <c r="DS137" i="33" s="1"/>
  <c r="DL137" i="33"/>
  <c r="DT137" i="33" s="1"/>
  <c r="DM137" i="33"/>
  <c r="DU137" i="33" s="1"/>
  <c r="DF139" i="33"/>
  <c r="DN139" i="33" s="1"/>
  <c r="DG139" i="33"/>
  <c r="DO139" i="33" s="1"/>
  <c r="DH139" i="33"/>
  <c r="DP139" i="33" s="1"/>
  <c r="DJ139" i="33"/>
  <c r="DR139" i="33" s="1"/>
  <c r="DK139" i="33"/>
  <c r="DS139" i="33" s="1"/>
  <c r="DL139" i="33"/>
  <c r="DT139" i="33" s="1"/>
  <c r="DM139" i="33"/>
  <c r="DU139" i="33" s="1"/>
  <c r="DF142" i="33"/>
  <c r="DN142" i="33" s="1"/>
  <c r="DG142" i="33"/>
  <c r="DO142" i="33" s="1"/>
  <c r="DH142" i="33"/>
  <c r="DP142" i="33" s="1"/>
  <c r="DJ142" i="33"/>
  <c r="DR142" i="33" s="1"/>
  <c r="DK142" i="33"/>
  <c r="DS142" i="33" s="1"/>
  <c r="DL142" i="33"/>
  <c r="DT142" i="33" s="1"/>
  <c r="DM142" i="33"/>
  <c r="DU142" i="33" s="1"/>
  <c r="DM105" i="33"/>
  <c r="DU105" i="33" s="1"/>
  <c r="DL105" i="33"/>
  <c r="DT105" i="33" s="1"/>
  <c r="DK105" i="33"/>
  <c r="DS105" i="33" s="1"/>
  <c r="DJ105" i="33"/>
  <c r="DR105" i="33" s="1"/>
  <c r="DH105" i="33"/>
  <c r="DP105" i="33" s="1"/>
  <c r="DG105" i="33"/>
  <c r="DO105" i="33" s="1"/>
  <c r="DF105" i="33"/>
  <c r="DN105" i="33" s="1"/>
  <c r="DV129" i="33"/>
  <c r="DW129" i="33"/>
  <c r="DX129" i="33"/>
  <c r="DZ129" i="33"/>
  <c r="EA129" i="33"/>
  <c r="EB129" i="33"/>
  <c r="EC129" i="33"/>
  <c r="CK129" i="33"/>
  <c r="CL129" i="33"/>
  <c r="CM129" i="33"/>
  <c r="CN129" i="33"/>
  <c r="BY74" i="33"/>
  <c r="BZ74" i="33"/>
  <c r="CA74" i="33"/>
  <c r="CC74" i="33"/>
  <c r="CD74" i="33"/>
  <c r="CE74" i="33"/>
  <c r="CF74" i="33"/>
  <c r="BY75" i="33"/>
  <c r="BZ75" i="33"/>
  <c r="CA75" i="33"/>
  <c r="CC75" i="33"/>
  <c r="CD75" i="33"/>
  <c r="CE75" i="33"/>
  <c r="CF75" i="33"/>
  <c r="BY76" i="33"/>
  <c r="BZ76" i="33"/>
  <c r="CA76" i="33"/>
  <c r="CC76" i="33"/>
  <c r="CD76" i="33"/>
  <c r="CE76" i="33"/>
  <c r="CF76" i="33"/>
  <c r="BY77" i="33"/>
  <c r="BZ77" i="33"/>
  <c r="CA77" i="33"/>
  <c r="CC77" i="33"/>
  <c r="CD77" i="33"/>
  <c r="CE77" i="33"/>
  <c r="CF77" i="33"/>
  <c r="BY78" i="33"/>
  <c r="BZ78" i="33"/>
  <c r="CA78" i="33"/>
  <c r="CC78" i="33"/>
  <c r="CD78" i="33"/>
  <c r="CE78" i="33"/>
  <c r="CF78" i="33"/>
  <c r="BY79" i="33"/>
  <c r="BZ79" i="33"/>
  <c r="CA79" i="33"/>
  <c r="CC79" i="33"/>
  <c r="CD79" i="33"/>
  <c r="CE79" i="33"/>
  <c r="CF79" i="33"/>
  <c r="BY80" i="33"/>
  <c r="BZ80" i="33"/>
  <c r="CA80" i="33"/>
  <c r="CC80" i="33"/>
  <c r="CD80" i="33"/>
  <c r="CE80" i="33"/>
  <c r="CF80" i="33"/>
  <c r="BY81" i="33"/>
  <c r="BZ81" i="33"/>
  <c r="CA81" i="33"/>
  <c r="CC81" i="33"/>
  <c r="CD81" i="33"/>
  <c r="CE81" i="33"/>
  <c r="CF81" i="33"/>
  <c r="BY82" i="33"/>
  <c r="BZ82" i="33"/>
  <c r="CA82" i="33"/>
  <c r="CC82" i="33"/>
  <c r="CD82" i="33"/>
  <c r="CE82" i="33"/>
  <c r="CF82" i="33"/>
  <c r="BY83" i="33"/>
  <c r="BZ83" i="33"/>
  <c r="CA83" i="33"/>
  <c r="CC83" i="33"/>
  <c r="CD83" i="33"/>
  <c r="CE83" i="33"/>
  <c r="CF83" i="33"/>
  <c r="BY84" i="33"/>
  <c r="BZ84" i="33"/>
  <c r="CA84" i="33"/>
  <c r="CC84" i="33"/>
  <c r="CD84" i="33"/>
  <c r="CE84" i="33"/>
  <c r="CF84" i="33"/>
  <c r="BY85" i="33"/>
  <c r="BZ85" i="33"/>
  <c r="CA85" i="33"/>
  <c r="CC85" i="33"/>
  <c r="CD85" i="33"/>
  <c r="CE85" i="33"/>
  <c r="CF85" i="33"/>
  <c r="BY86" i="33"/>
  <c r="BZ86" i="33"/>
  <c r="CA86" i="33"/>
  <c r="CC86" i="33"/>
  <c r="CD86" i="33"/>
  <c r="CE86" i="33"/>
  <c r="CF86" i="33"/>
  <c r="BY87" i="33"/>
  <c r="BZ87" i="33"/>
  <c r="CA87" i="33"/>
  <c r="CC87" i="33"/>
  <c r="CD87" i="33"/>
  <c r="CE87" i="33"/>
  <c r="CF87" i="33"/>
  <c r="BY88" i="33"/>
  <c r="BZ88" i="33"/>
  <c r="CA88" i="33"/>
  <c r="CC88" i="33"/>
  <c r="CD88" i="33"/>
  <c r="CE88" i="33"/>
  <c r="CF88" i="33"/>
  <c r="BY89" i="33"/>
  <c r="BZ89" i="33"/>
  <c r="CA89" i="33"/>
  <c r="CC89" i="33"/>
  <c r="CD89" i="33"/>
  <c r="CE89" i="33"/>
  <c r="CF89" i="33"/>
  <c r="BY90" i="33"/>
  <c r="BZ90" i="33"/>
  <c r="CA90" i="33"/>
  <c r="CC90" i="33"/>
  <c r="CD90" i="33"/>
  <c r="CE90" i="33"/>
  <c r="CF90" i="33"/>
  <c r="BY91" i="33"/>
  <c r="BZ91" i="33"/>
  <c r="CA91" i="33"/>
  <c r="CC91" i="33"/>
  <c r="CD91" i="33"/>
  <c r="CE91" i="33"/>
  <c r="CF91" i="33"/>
  <c r="BY92" i="33"/>
  <c r="BZ92" i="33"/>
  <c r="CA92" i="33"/>
  <c r="CC92" i="33"/>
  <c r="CD92" i="33"/>
  <c r="CE92" i="33"/>
  <c r="CF92" i="33"/>
  <c r="BY93" i="33"/>
  <c r="BZ93" i="33"/>
  <c r="CA93" i="33"/>
  <c r="CC93" i="33"/>
  <c r="CD93" i="33"/>
  <c r="CE93" i="33"/>
  <c r="CF93" i="33"/>
  <c r="BY94" i="33"/>
  <c r="BZ94" i="33"/>
  <c r="CA94" i="33"/>
  <c r="CC94" i="33"/>
  <c r="CD94" i="33"/>
  <c r="CE94" i="33"/>
  <c r="CF94" i="33"/>
  <c r="BY119" i="33"/>
  <c r="BZ119" i="33"/>
  <c r="CA119" i="33"/>
  <c r="CC119" i="33"/>
  <c r="CD119" i="33"/>
  <c r="CE119" i="33"/>
  <c r="CF119" i="33"/>
  <c r="BY106" i="33"/>
  <c r="BZ106" i="33"/>
  <c r="CA106" i="33"/>
  <c r="CC106" i="33"/>
  <c r="CD106" i="33"/>
  <c r="CE106" i="33"/>
  <c r="CF106" i="33"/>
  <c r="BY107" i="33"/>
  <c r="BZ107" i="33"/>
  <c r="CA107" i="33"/>
  <c r="CC107" i="33"/>
  <c r="CD107" i="33"/>
  <c r="CE107" i="33"/>
  <c r="CF107" i="33"/>
  <c r="BY108" i="33"/>
  <c r="BZ108" i="33"/>
  <c r="CA108" i="33"/>
  <c r="CC108" i="33"/>
  <c r="CD108" i="33"/>
  <c r="CE108" i="33"/>
  <c r="CF108" i="33"/>
  <c r="BY109" i="33"/>
  <c r="BZ109" i="33"/>
  <c r="CA109" i="33"/>
  <c r="CC109" i="33"/>
  <c r="CD109" i="33"/>
  <c r="CE109" i="33"/>
  <c r="CF109" i="33"/>
  <c r="BY110" i="33"/>
  <c r="BZ110" i="33"/>
  <c r="CA110" i="33"/>
  <c r="CC110" i="33"/>
  <c r="CD110" i="33"/>
  <c r="CE110" i="33"/>
  <c r="CF110" i="33"/>
  <c r="BY141" i="33"/>
  <c r="BZ141" i="33"/>
  <c r="CA141" i="33"/>
  <c r="CC141" i="33"/>
  <c r="CD141" i="33"/>
  <c r="CE141" i="33"/>
  <c r="CF141" i="33"/>
  <c r="BY116" i="33"/>
  <c r="BZ116" i="33"/>
  <c r="CA116" i="33"/>
  <c r="CC116" i="33"/>
  <c r="CD116" i="33"/>
  <c r="CE116" i="33"/>
  <c r="CF116" i="33"/>
  <c r="BY131" i="33"/>
  <c r="BZ131" i="33"/>
  <c r="CA131" i="33"/>
  <c r="CC131" i="33"/>
  <c r="CD131" i="33"/>
  <c r="CE131" i="33"/>
  <c r="CF131" i="33"/>
  <c r="BY111" i="33"/>
  <c r="BZ111" i="33"/>
  <c r="CA111" i="33"/>
  <c r="CC111" i="33"/>
  <c r="CD111" i="33"/>
  <c r="CE111" i="33"/>
  <c r="CF111" i="33"/>
  <c r="BY112" i="33"/>
  <c r="BZ112" i="33"/>
  <c r="CA112" i="33"/>
  <c r="CC112" i="33"/>
  <c r="CD112" i="33"/>
  <c r="CE112" i="33"/>
  <c r="CF112" i="33"/>
  <c r="BY113" i="33"/>
  <c r="BZ113" i="33"/>
  <c r="CA113" i="33"/>
  <c r="CC113" i="33"/>
  <c r="CD113" i="33"/>
  <c r="CE113" i="33"/>
  <c r="CF113" i="33"/>
  <c r="BY114" i="33"/>
  <c r="BZ114" i="33"/>
  <c r="CA114" i="33"/>
  <c r="CC114" i="33"/>
  <c r="CD114" i="33"/>
  <c r="CE114" i="33"/>
  <c r="CF114" i="33"/>
  <c r="BY115" i="33"/>
  <c r="BZ115" i="33"/>
  <c r="CA115" i="33"/>
  <c r="CC115" i="33"/>
  <c r="CD115" i="33"/>
  <c r="CE115" i="33"/>
  <c r="CF115" i="33"/>
  <c r="BY122" i="33"/>
  <c r="BZ122" i="33"/>
  <c r="CA122" i="33"/>
  <c r="CC122" i="33"/>
  <c r="CD122" i="33"/>
  <c r="CE122" i="33"/>
  <c r="CF122" i="33"/>
  <c r="BY125" i="33"/>
  <c r="BZ125" i="33"/>
  <c r="CA125" i="33"/>
  <c r="CC125" i="33"/>
  <c r="CD125" i="33"/>
  <c r="CE125" i="33"/>
  <c r="CF125" i="33"/>
  <c r="BY127" i="33"/>
  <c r="BZ127" i="33"/>
  <c r="CA127" i="33"/>
  <c r="CC127" i="33"/>
  <c r="CD127" i="33"/>
  <c r="CE127" i="33"/>
  <c r="CF127" i="33"/>
  <c r="BY128" i="33"/>
  <c r="BZ128" i="33"/>
  <c r="CA128" i="33"/>
  <c r="CC128" i="33"/>
  <c r="CD128" i="33"/>
  <c r="CE128" i="33"/>
  <c r="CF128" i="33"/>
  <c r="BY129" i="33"/>
  <c r="BZ129" i="33"/>
  <c r="CA129" i="33"/>
  <c r="CC129" i="33"/>
  <c r="CD129" i="33"/>
  <c r="CE129" i="33"/>
  <c r="CF129" i="33"/>
  <c r="BY124" i="33"/>
  <c r="BZ124" i="33"/>
  <c r="CA124" i="33"/>
  <c r="CC124" i="33"/>
  <c r="CD124" i="33"/>
  <c r="CE124" i="33"/>
  <c r="CF124" i="33"/>
  <c r="BY130" i="33"/>
  <c r="BZ130" i="33"/>
  <c r="CA130" i="33"/>
  <c r="CC130" i="33"/>
  <c r="CD130" i="33"/>
  <c r="CE130" i="33"/>
  <c r="CF130" i="33"/>
  <c r="BY132" i="33"/>
  <c r="BZ132" i="33"/>
  <c r="CA132" i="33"/>
  <c r="CC132" i="33"/>
  <c r="CD132" i="33"/>
  <c r="CE132" i="33"/>
  <c r="CF132" i="33"/>
  <c r="BY120" i="33"/>
  <c r="BZ120" i="33"/>
  <c r="CA120" i="33"/>
  <c r="CC120" i="33"/>
  <c r="CD120" i="33"/>
  <c r="CE120" i="33"/>
  <c r="CF120" i="33"/>
  <c r="BY133" i="33"/>
  <c r="BZ133" i="33"/>
  <c r="CA133" i="33"/>
  <c r="CC133" i="33"/>
  <c r="CD133" i="33"/>
  <c r="CE133" i="33"/>
  <c r="CF133" i="33"/>
  <c r="BY121" i="33"/>
  <c r="BZ121" i="33"/>
  <c r="CA121" i="33"/>
  <c r="CC121" i="33"/>
  <c r="CD121" i="33"/>
  <c r="CE121" i="33"/>
  <c r="CF121" i="33"/>
  <c r="BY134" i="33"/>
  <c r="BZ134" i="33"/>
  <c r="CA134" i="33"/>
  <c r="CC134" i="33"/>
  <c r="CD134" i="33"/>
  <c r="CE134" i="33"/>
  <c r="CF134" i="33"/>
  <c r="BY135" i="33"/>
  <c r="BZ135" i="33"/>
  <c r="CA135" i="33"/>
  <c r="CC135" i="33"/>
  <c r="CD135" i="33"/>
  <c r="CE135" i="33"/>
  <c r="CF135" i="33"/>
  <c r="BY136" i="33"/>
  <c r="BZ136" i="33"/>
  <c r="CA136" i="33"/>
  <c r="CC136" i="33"/>
  <c r="CD136" i="33"/>
  <c r="CE136" i="33"/>
  <c r="CF136" i="33"/>
  <c r="BY137" i="33"/>
  <c r="BZ137" i="33"/>
  <c r="CA137" i="33"/>
  <c r="CC137" i="33"/>
  <c r="CD137" i="33"/>
  <c r="CE137" i="33"/>
  <c r="CF137" i="33"/>
  <c r="BY139" i="33"/>
  <c r="BZ139" i="33"/>
  <c r="CA139" i="33"/>
  <c r="CC139" i="33"/>
  <c r="CD139" i="33"/>
  <c r="CE139" i="33"/>
  <c r="CF139" i="33"/>
  <c r="BZ142" i="33"/>
  <c r="CA142" i="33"/>
  <c r="CC142" i="33"/>
  <c r="CD142" i="33"/>
  <c r="CE142" i="33"/>
  <c r="CF142" i="33"/>
  <c r="BX105" i="33"/>
  <c r="CF105" i="33" s="1"/>
  <c r="BW105" i="33"/>
  <c r="CE105" i="33" s="1"/>
  <c r="BV105" i="33"/>
  <c r="CD105" i="33" s="1"/>
  <c r="BU105" i="33"/>
  <c r="CC105" i="33" s="1"/>
  <c r="BS105" i="33"/>
  <c r="CA105" i="33" s="1"/>
  <c r="BR105" i="33"/>
  <c r="BZ105" i="33" s="1"/>
  <c r="BY105" i="33"/>
  <c r="CH129" i="33"/>
  <c r="CI129" i="33"/>
  <c r="CG129" i="33"/>
  <c r="FO156" i="33" l="1"/>
  <c r="FP156" i="33"/>
  <c r="FQ156" i="33"/>
  <c r="CL164" i="33"/>
  <c r="CG160" i="33"/>
  <c r="CK155" i="33"/>
  <c r="CN149" i="33"/>
  <c r="CI198" i="33"/>
  <c r="CH189" i="33"/>
  <c r="CN169" i="33"/>
  <c r="DZ156" i="33"/>
  <c r="DV161" i="33"/>
  <c r="EA156" i="33"/>
  <c r="EB156" i="33"/>
  <c r="CN148" i="33"/>
  <c r="CN209" i="33"/>
  <c r="DV196" i="33"/>
  <c r="DW171" i="33"/>
  <c r="CN190" i="33"/>
  <c r="CN214" i="33"/>
  <c r="CN146" i="33"/>
  <c r="CN207" i="33"/>
  <c r="DV164" i="33"/>
  <c r="DV198" i="33"/>
  <c r="CK153" i="33"/>
  <c r="CI197" i="33"/>
  <c r="EC186" i="33"/>
  <c r="EC151" i="33"/>
  <c r="CK173" i="33"/>
  <c r="DX206" i="33"/>
  <c r="CG178" i="33"/>
  <c r="CI206" i="33"/>
  <c r="CH213" i="33"/>
  <c r="DX146" i="33"/>
  <c r="EC150" i="33"/>
  <c r="EA165" i="33"/>
  <c r="EB175" i="33"/>
  <c r="DX180" i="33"/>
  <c r="EC184" i="33"/>
  <c r="DZ190" i="33"/>
  <c r="DV195" i="33"/>
  <c r="EA199" i="33"/>
  <c r="EC209" i="33"/>
  <c r="CM199" i="33"/>
  <c r="CL163" i="33"/>
  <c r="CI205" i="33"/>
  <c r="DZ191" i="33"/>
  <c r="DW172" i="33"/>
  <c r="CM145" i="33"/>
  <c r="EA166" i="33"/>
  <c r="CG191" i="33"/>
  <c r="CK195" i="33"/>
  <c r="EB212" i="33"/>
  <c r="CN156" i="33"/>
  <c r="DV155" i="33"/>
  <c r="DV189" i="33"/>
  <c r="DV213" i="33"/>
  <c r="CN165" i="33"/>
  <c r="CM156" i="33"/>
  <c r="DV145" i="33"/>
  <c r="CM161" i="33"/>
  <c r="CG147" i="33"/>
  <c r="CI186" i="33"/>
  <c r="CL171" i="33"/>
  <c r="CG208" i="33"/>
  <c r="CI210" i="33"/>
  <c r="EC163" i="33"/>
  <c r="EC197" i="33"/>
  <c r="CL151" i="33"/>
  <c r="CM180" i="33"/>
  <c r="DW149" i="33"/>
  <c r="DZ169" i="33"/>
  <c r="EA203" i="33"/>
  <c r="CI166" i="33"/>
  <c r="CH176" i="33"/>
  <c r="CK203" i="33"/>
  <c r="EB153" i="33"/>
  <c r="EB188" i="33"/>
  <c r="DW208" i="33"/>
  <c r="CH157" i="33"/>
  <c r="DX159" i="33"/>
  <c r="CL156" i="33"/>
  <c r="CK156" i="33"/>
  <c r="CI156" i="33"/>
  <c r="CM150" i="33"/>
  <c r="CM170" i="33"/>
  <c r="CL202" i="33"/>
  <c r="DW160" i="33"/>
  <c r="DX170" i="33"/>
  <c r="CH156" i="33"/>
  <c r="DX156" i="33"/>
  <c r="DX205" i="33"/>
  <c r="DZ214" i="33"/>
  <c r="EC156" i="33"/>
  <c r="DZ151" i="33"/>
  <c r="DX176" i="33"/>
  <c r="DV191" i="33"/>
  <c r="DZ210" i="33"/>
  <c r="CL212" i="33"/>
  <c r="DZ186" i="33"/>
  <c r="CG159" i="33"/>
  <c r="EC210" i="33"/>
  <c r="CM167" i="33"/>
  <c r="CL158" i="33"/>
  <c r="CN196" i="33"/>
  <c r="CM187" i="33"/>
  <c r="CM211" i="33"/>
  <c r="EB147" i="33"/>
  <c r="DX152" i="33"/>
  <c r="EC157" i="33"/>
  <c r="DZ162" i="33"/>
  <c r="EC191" i="33"/>
  <c r="DZ196" i="33"/>
  <c r="EB206" i="33"/>
  <c r="DX211" i="33"/>
  <c r="CH162" i="33"/>
  <c r="CG152" i="33"/>
  <c r="CI191" i="33"/>
  <c r="CH181" i="33"/>
  <c r="EB148" i="33"/>
  <c r="EC158" i="33"/>
  <c r="EA173" i="33"/>
  <c r="EB207" i="33"/>
  <c r="CK166" i="33"/>
  <c r="CN161" i="33"/>
  <c r="CI157" i="33"/>
  <c r="CM151" i="33"/>
  <c r="CH147" i="33"/>
  <c r="CL195" i="33"/>
  <c r="CK186" i="33"/>
  <c r="CN180" i="33"/>
  <c r="CI176" i="33"/>
  <c r="CM171" i="33"/>
  <c r="CH208" i="33"/>
  <c r="CL203" i="33"/>
  <c r="CK210" i="33"/>
  <c r="DV149" i="33"/>
  <c r="EA153" i="33"/>
  <c r="DW159" i="33"/>
  <c r="EB163" i="33"/>
  <c r="DX169" i="33"/>
  <c r="EC173" i="33"/>
  <c r="EA188" i="33"/>
  <c r="EB197" i="33"/>
  <c r="DZ203" i="33"/>
  <c r="DV208" i="33"/>
  <c r="EA212" i="33"/>
  <c r="CG157" i="33"/>
  <c r="CL190" i="33"/>
  <c r="CH203" i="33"/>
  <c r="CL146" i="33"/>
  <c r="DX164" i="33"/>
  <c r="DX198" i="33"/>
  <c r="EA208" i="33"/>
  <c r="DW213" i="33"/>
  <c r="CG166" i="33"/>
  <c r="CH195" i="33"/>
  <c r="DZ149" i="33"/>
  <c r="DW198" i="33"/>
  <c r="CI180" i="33"/>
  <c r="EC169" i="33"/>
  <c r="CM165" i="33"/>
  <c r="CH161" i="33"/>
  <c r="CG151" i="33"/>
  <c r="CK146" i="33"/>
  <c r="CI190" i="33"/>
  <c r="CH180" i="33"/>
  <c r="CG171" i="33"/>
  <c r="CK207" i="33"/>
  <c r="CN202" i="33"/>
  <c r="CI214" i="33"/>
  <c r="DW145" i="33"/>
  <c r="EB149" i="33"/>
  <c r="DX155" i="33"/>
  <c r="EC159" i="33"/>
  <c r="DZ164" i="33"/>
  <c r="DV170" i="33"/>
  <c r="DX189" i="33"/>
  <c r="DZ198" i="33"/>
  <c r="EB208" i="33"/>
  <c r="DX213" i="33"/>
  <c r="CM190" i="33"/>
  <c r="CI151" i="33"/>
  <c r="CI171" i="33"/>
  <c r="DW164" i="33"/>
  <c r="EC203" i="33"/>
  <c r="CG195" i="33"/>
  <c r="CK214" i="33"/>
  <c r="CL165" i="33"/>
  <c r="CG161" i="33"/>
  <c r="CN150" i="33"/>
  <c r="CI146" i="33"/>
  <c r="CH190" i="33"/>
  <c r="CG180" i="33"/>
  <c r="CN170" i="33"/>
  <c r="CI207" i="33"/>
  <c r="CM202" i="33"/>
  <c r="CH214" i="33"/>
  <c r="DX145" i="33"/>
  <c r="EC149" i="33"/>
  <c r="DZ155" i="33"/>
  <c r="DV160" i="33"/>
  <c r="EA164" i="33"/>
  <c r="DW170" i="33"/>
  <c r="DZ189" i="33"/>
  <c r="EA198" i="33"/>
  <c r="EC208" i="33"/>
  <c r="DZ213" i="33"/>
  <c r="CK161" i="33"/>
  <c r="CJ186" i="33"/>
  <c r="CG186" i="33"/>
  <c r="EA159" i="33"/>
  <c r="CI161" i="33"/>
  <c r="CG203" i="33"/>
  <c r="DW189" i="33"/>
  <c r="CK165" i="33"/>
  <c r="CH146" i="33"/>
  <c r="CG190" i="33"/>
  <c r="CH207" i="33"/>
  <c r="CG214" i="33"/>
  <c r="DZ145" i="33"/>
  <c r="DV150" i="33"/>
  <c r="EA155" i="33"/>
  <c r="EB164" i="33"/>
  <c r="DV184" i="33"/>
  <c r="EA189" i="33"/>
  <c r="EB198" i="33"/>
  <c r="DV209" i="33"/>
  <c r="EA213" i="33"/>
  <c r="CI203" i="33"/>
  <c r="EB203" i="33"/>
  <c r="CH151" i="33"/>
  <c r="DW155" i="33"/>
  <c r="EC164" i="33"/>
  <c r="CK151" i="33"/>
  <c r="CL214" i="33"/>
  <c r="CK190" i="33"/>
  <c r="EB159" i="33"/>
  <c r="CK202" i="33"/>
  <c r="CI195" i="33"/>
  <c r="CK180" i="33"/>
  <c r="CG210" i="33"/>
  <c r="CH171" i="33"/>
  <c r="EA149" i="33"/>
  <c r="CM160" i="33"/>
  <c r="CG146" i="33"/>
  <c r="CN189" i="33"/>
  <c r="CG207" i="33"/>
  <c r="EA145" i="33"/>
  <c r="EB155" i="33"/>
  <c r="DZ170" i="33"/>
  <c r="DW184" i="33"/>
  <c r="DW209" i="33"/>
  <c r="CL160" i="33"/>
  <c r="CK150" i="33"/>
  <c r="CN198" i="33"/>
  <c r="CM189" i="33"/>
  <c r="CN206" i="33"/>
  <c r="CI202" i="33"/>
  <c r="CM213" i="33"/>
  <c r="EB145" i="33"/>
  <c r="DX150" i="33"/>
  <c r="EC155" i="33"/>
  <c r="DZ160" i="33"/>
  <c r="DV165" i="33"/>
  <c r="EA170" i="33"/>
  <c r="DW175" i="33"/>
  <c r="DX184" i="33"/>
  <c r="EC189" i="33"/>
  <c r="DV199" i="33"/>
  <c r="DX209" i="33"/>
  <c r="EC213" i="33"/>
  <c r="FK156" i="33"/>
  <c r="CG165" i="33"/>
  <c r="CK160" i="33"/>
  <c r="CN155" i="33"/>
  <c r="CI150" i="33"/>
  <c r="CM198" i="33"/>
  <c r="CL189" i="33"/>
  <c r="CI170" i="33"/>
  <c r="CM206" i="33"/>
  <c r="CH202" i="33"/>
  <c r="CL213" i="33"/>
  <c r="EC145" i="33"/>
  <c r="DZ150" i="33"/>
  <c r="EA160" i="33"/>
  <c r="DW165" i="33"/>
  <c r="EB170" i="33"/>
  <c r="DX175" i="33"/>
  <c r="DZ184" i="33"/>
  <c r="DV190" i="33"/>
  <c r="DW199" i="33"/>
  <c r="DZ209" i="33"/>
  <c r="DV214" i="33"/>
  <c r="FL156" i="33"/>
  <c r="CM214" i="33"/>
  <c r="CM146" i="33"/>
  <c r="CM207" i="33"/>
  <c r="EB169" i="33"/>
  <c r="DZ208" i="33"/>
  <c r="CL207" i="33"/>
  <c r="CI165" i="33"/>
  <c r="CL150" i="33"/>
  <c r="CL170" i="33"/>
  <c r="CN213" i="33"/>
  <c r="DW150" i="33"/>
  <c r="DX160" i="33"/>
  <c r="DV175" i="33"/>
  <c r="EB189" i="33"/>
  <c r="EC198" i="33"/>
  <c r="EB213" i="33"/>
  <c r="CH165" i="33"/>
  <c r="CK170" i="33"/>
  <c r="CN164" i="33"/>
  <c r="CI160" i="33"/>
  <c r="CM155" i="33"/>
  <c r="CH150" i="33"/>
  <c r="CL198" i="33"/>
  <c r="CK189" i="33"/>
  <c r="CH170" i="33"/>
  <c r="CL206" i="33"/>
  <c r="CG202" i="33"/>
  <c r="CK213" i="33"/>
  <c r="DV146" i="33"/>
  <c r="EA150" i="33"/>
  <c r="DW156" i="33"/>
  <c r="EB160" i="33"/>
  <c r="DX165" i="33"/>
  <c r="EC170" i="33"/>
  <c r="DZ175" i="33"/>
  <c r="DV180" i="33"/>
  <c r="EA184" i="33"/>
  <c r="DW190" i="33"/>
  <c r="DX199" i="33"/>
  <c r="DV205" i="33"/>
  <c r="EA209" i="33"/>
  <c r="DW214" i="33"/>
  <c r="FM156" i="33"/>
  <c r="CN160" i="33"/>
  <c r="CM164" i="33"/>
  <c r="CH160" i="33"/>
  <c r="CL155" i="33"/>
  <c r="CG150" i="33"/>
  <c r="CK198" i="33"/>
  <c r="CI189" i="33"/>
  <c r="CG170" i="33"/>
  <c r="CK206" i="33"/>
  <c r="CI213" i="33"/>
  <c r="DW146" i="33"/>
  <c r="EB150" i="33"/>
  <c r="EC160" i="33"/>
  <c r="DZ165" i="33"/>
  <c r="DV171" i="33"/>
  <c r="EA175" i="33"/>
  <c r="DW180" i="33"/>
  <c r="EB184" i="33"/>
  <c r="DX190" i="33"/>
  <c r="DZ199" i="33"/>
  <c r="DW205" i="33"/>
  <c r="EB209" i="33"/>
  <c r="DX214" i="33"/>
  <c r="FN156" i="33"/>
  <c r="DZ159" i="33"/>
  <c r="CK164" i="33"/>
  <c r="CN159" i="33"/>
  <c r="CI155" i="33"/>
  <c r="CM149" i="33"/>
  <c r="CH198" i="33"/>
  <c r="CG189" i="33"/>
  <c r="CN178" i="33"/>
  <c r="CM169" i="33"/>
  <c r="CH206" i="33"/>
  <c r="CG213" i="33"/>
  <c r="DZ146" i="33"/>
  <c r="DV151" i="33"/>
  <c r="DW161" i="33"/>
  <c r="EB165" i="33"/>
  <c r="DX171" i="33"/>
  <c r="EC175" i="33"/>
  <c r="DZ180" i="33"/>
  <c r="DY186" i="33"/>
  <c r="DV186" i="33"/>
  <c r="EA190" i="33"/>
  <c r="DW195" i="33"/>
  <c r="EB199" i="33"/>
  <c r="DZ205" i="33"/>
  <c r="DV210" i="33"/>
  <c r="EA214" i="33"/>
  <c r="CK171" i="33"/>
  <c r="CG145" i="33"/>
  <c r="CI164" i="33"/>
  <c r="CM159" i="33"/>
  <c r="CH155" i="33"/>
  <c r="CL149" i="33"/>
  <c r="CG198" i="33"/>
  <c r="CM178" i="33"/>
  <c r="CL169" i="33"/>
  <c r="CG206" i="33"/>
  <c r="CN212" i="33"/>
  <c r="EA146" i="33"/>
  <c r="DW151" i="33"/>
  <c r="DX161" i="33"/>
  <c r="EC165" i="33"/>
  <c r="DZ171" i="33"/>
  <c r="DV176" i="33"/>
  <c r="EA180" i="33"/>
  <c r="DW186" i="33"/>
  <c r="EB190" i="33"/>
  <c r="DX195" i="33"/>
  <c r="EC199" i="33"/>
  <c r="EA205" i="33"/>
  <c r="DW210" i="33"/>
  <c r="EB214" i="33"/>
  <c r="CH145" i="33"/>
  <c r="CH164" i="33"/>
  <c r="CL159" i="33"/>
  <c r="CG155" i="33"/>
  <c r="CK149" i="33"/>
  <c r="CN197" i="33"/>
  <c r="CL178" i="33"/>
  <c r="CK169" i="33"/>
  <c r="CN205" i="33"/>
  <c r="CM212" i="33"/>
  <c r="EB146" i="33"/>
  <c r="DX151" i="33"/>
  <c r="DZ161" i="33"/>
  <c r="DV166" i="33"/>
  <c r="EA171" i="33"/>
  <c r="DW176" i="33"/>
  <c r="EB180" i="33"/>
  <c r="DX186" i="33"/>
  <c r="EC190" i="33"/>
  <c r="DZ195" i="33"/>
  <c r="EB205" i="33"/>
  <c r="DX210" i="33"/>
  <c r="EC214" i="33"/>
  <c r="EC153" i="33"/>
  <c r="CG164" i="33"/>
  <c r="CN153" i="33"/>
  <c r="CM197" i="33"/>
  <c r="CK178" i="33"/>
  <c r="CN173" i="33"/>
  <c r="CI169" i="33"/>
  <c r="CM205" i="33"/>
  <c r="EC146" i="33"/>
  <c r="DV157" i="33"/>
  <c r="EA161" i="33"/>
  <c r="DW166" i="33"/>
  <c r="EB171" i="33"/>
  <c r="EC180" i="33"/>
  <c r="EA195" i="33"/>
  <c r="EC205" i="33"/>
  <c r="CH186" i="33"/>
  <c r="CK159" i="33"/>
  <c r="CK145" i="33"/>
  <c r="CN163" i="33"/>
  <c r="CI159" i="33"/>
  <c r="CM153" i="33"/>
  <c r="CH149" i="33"/>
  <c r="CL197" i="33"/>
  <c r="CI178" i="33"/>
  <c r="CM173" i="33"/>
  <c r="CH169" i="33"/>
  <c r="CL205" i="33"/>
  <c r="CK212" i="33"/>
  <c r="DV147" i="33"/>
  <c r="EA151" i="33"/>
  <c r="DW157" i="33"/>
  <c r="EB161" i="33"/>
  <c r="DX166" i="33"/>
  <c r="EC171" i="33"/>
  <c r="DZ176" i="33"/>
  <c r="EA186" i="33"/>
  <c r="DW191" i="33"/>
  <c r="EB195" i="33"/>
  <c r="DV206" i="33"/>
  <c r="EA210" i="33"/>
  <c r="CG176" i="33"/>
  <c r="EC188" i="33"/>
  <c r="CI145" i="33"/>
  <c r="CI149" i="33"/>
  <c r="CL145" i="33"/>
  <c r="CM163" i="33"/>
  <c r="CH159" i="33"/>
  <c r="CL153" i="33"/>
  <c r="CG149" i="33"/>
  <c r="CK197" i="33"/>
  <c r="CH178" i="33"/>
  <c r="CL173" i="33"/>
  <c r="CG169" i="33"/>
  <c r="CK205" i="33"/>
  <c r="CN199" i="33"/>
  <c r="CI212" i="33"/>
  <c r="DW147" i="33"/>
  <c r="EB151" i="33"/>
  <c r="DX157" i="33"/>
  <c r="EC161" i="33"/>
  <c r="DZ166" i="33"/>
  <c r="DV172" i="33"/>
  <c r="EA176" i="33"/>
  <c r="EB186" i="33"/>
  <c r="DX191" i="33"/>
  <c r="EC195" i="33"/>
  <c r="DW206" i="33"/>
  <c r="EB210" i="33"/>
  <c r="CH210" i="33"/>
  <c r="CH212" i="33"/>
  <c r="DX147" i="33"/>
  <c r="DZ157" i="33"/>
  <c r="DV162" i="33"/>
  <c r="EB176" i="33"/>
  <c r="CN145" i="33"/>
  <c r="CK163" i="33"/>
  <c r="CN158" i="33"/>
  <c r="CI153" i="33"/>
  <c r="CM148" i="33"/>
  <c r="CH197" i="33"/>
  <c r="CI173" i="33"/>
  <c r="CM209" i="33"/>
  <c r="CH205" i="33"/>
  <c r="CL199" i="33"/>
  <c r="CG212" i="33"/>
  <c r="DZ147" i="33"/>
  <c r="DV152" i="33"/>
  <c r="EA157" i="33"/>
  <c r="DW162" i="33"/>
  <c r="EB166" i="33"/>
  <c r="DX172" i="33"/>
  <c r="EC176" i="33"/>
  <c r="EA191" i="33"/>
  <c r="DW196" i="33"/>
  <c r="DZ206" i="33"/>
  <c r="DV211" i="33"/>
  <c r="CN167" i="33"/>
  <c r="CI163" i="33"/>
  <c r="CM158" i="33"/>
  <c r="CH153" i="33"/>
  <c r="CL148" i="33"/>
  <c r="CG197" i="33"/>
  <c r="CN187" i="33"/>
  <c r="CH173" i="33"/>
  <c r="CL209" i="33"/>
  <c r="CG205" i="33"/>
  <c r="CK199" i="33"/>
  <c r="CN211" i="33"/>
  <c r="EA147" i="33"/>
  <c r="DW152" i="33"/>
  <c r="EB157" i="33"/>
  <c r="DX162" i="33"/>
  <c r="EC166" i="33"/>
  <c r="DZ172" i="33"/>
  <c r="EB191" i="33"/>
  <c r="DX196" i="33"/>
  <c r="EA206" i="33"/>
  <c r="DW211" i="33"/>
  <c r="CH166" i="33"/>
  <c r="EA169" i="33"/>
  <c r="EC212" i="33"/>
  <c r="CG153" i="33"/>
  <c r="CK209" i="33"/>
  <c r="CI199" i="33"/>
  <c r="EA172" i="33"/>
  <c r="DX149" i="33"/>
  <c r="CK148" i="33"/>
  <c r="CL167" i="33"/>
  <c r="CG163" i="33"/>
  <c r="CK158" i="33"/>
  <c r="CN152" i="33"/>
  <c r="CI148" i="33"/>
  <c r="CM196" i="33"/>
  <c r="CL187" i="33"/>
  <c r="CI209" i="33"/>
  <c r="CH199" i="33"/>
  <c r="CL211" i="33"/>
  <c r="EC147" i="33"/>
  <c r="DZ152" i="33"/>
  <c r="DV158" i="33"/>
  <c r="EA162" i="33"/>
  <c r="EB172" i="33"/>
  <c r="EA196" i="33"/>
  <c r="EC206" i="33"/>
  <c r="DZ211" i="33"/>
  <c r="DX208" i="33"/>
  <c r="CK167" i="33"/>
  <c r="CN162" i="33"/>
  <c r="CI158" i="33"/>
  <c r="CM152" i="33"/>
  <c r="CH148" i="33"/>
  <c r="CL196" i="33"/>
  <c r="CK187" i="33"/>
  <c r="CN181" i="33"/>
  <c r="CH209" i="33"/>
  <c r="CG199" i="33"/>
  <c r="CK211" i="33"/>
  <c r="DV148" i="33"/>
  <c r="EA152" i="33"/>
  <c r="DW158" i="33"/>
  <c r="EB162" i="33"/>
  <c r="EC172" i="33"/>
  <c r="EB196" i="33"/>
  <c r="DV207" i="33"/>
  <c r="EA211" i="33"/>
  <c r="CL161" i="33"/>
  <c r="CI167" i="33"/>
  <c r="CM162" i="33"/>
  <c r="CH158" i="33"/>
  <c r="CL152" i="33"/>
  <c r="CG148" i="33"/>
  <c r="CK196" i="33"/>
  <c r="CN191" i="33"/>
  <c r="CI187" i="33"/>
  <c r="CM181" i="33"/>
  <c r="CG209" i="33"/>
  <c r="CI211" i="33"/>
  <c r="DW148" i="33"/>
  <c r="EB152" i="33"/>
  <c r="DX158" i="33"/>
  <c r="EC162" i="33"/>
  <c r="DV173" i="33"/>
  <c r="EC196" i="33"/>
  <c r="DW207" i="33"/>
  <c r="EB211" i="33"/>
  <c r="CL180" i="33"/>
  <c r="CH163" i="33"/>
  <c r="CG173" i="33"/>
  <c r="CH167" i="33"/>
  <c r="CL162" i="33"/>
  <c r="CG158" i="33"/>
  <c r="CK152" i="33"/>
  <c r="CN147" i="33"/>
  <c r="CI196" i="33"/>
  <c r="CM191" i="33"/>
  <c r="CH187" i="33"/>
  <c r="CL181" i="33"/>
  <c r="CN208" i="33"/>
  <c r="CH211" i="33"/>
  <c r="DX148" i="33"/>
  <c r="EC152" i="33"/>
  <c r="DZ158" i="33"/>
  <c r="DV163" i="33"/>
  <c r="DW173" i="33"/>
  <c r="DV197" i="33"/>
  <c r="DX207" i="33"/>
  <c r="EC211" i="33"/>
  <c r="CG167" i="33"/>
  <c r="CK162" i="33"/>
  <c r="CN157" i="33"/>
  <c r="CI152" i="33"/>
  <c r="CM147" i="33"/>
  <c r="CH196" i="33"/>
  <c r="CL191" i="33"/>
  <c r="CJ187" i="33"/>
  <c r="CG187" i="33"/>
  <c r="CK181" i="33"/>
  <c r="CN176" i="33"/>
  <c r="CM208" i="33"/>
  <c r="CG211" i="33"/>
  <c r="DZ148" i="33"/>
  <c r="EA158" i="33"/>
  <c r="DW163" i="33"/>
  <c r="DX173" i="33"/>
  <c r="DV188" i="33"/>
  <c r="DW197" i="33"/>
  <c r="DZ207" i="33"/>
  <c r="DV212" i="33"/>
  <c r="CN166" i="33"/>
  <c r="CI162" i="33"/>
  <c r="CM157" i="33"/>
  <c r="CH152" i="33"/>
  <c r="CL147" i="33"/>
  <c r="CG196" i="33"/>
  <c r="CK191" i="33"/>
  <c r="CN186" i="33"/>
  <c r="CI181" i="33"/>
  <c r="CM176" i="33"/>
  <c r="CL208" i="33"/>
  <c r="CN210" i="33"/>
  <c r="EA148" i="33"/>
  <c r="EB158" i="33"/>
  <c r="DX163" i="33"/>
  <c r="DZ173" i="33"/>
  <c r="DW188" i="33"/>
  <c r="DX197" i="33"/>
  <c r="DV203" i="33"/>
  <c r="EA207" i="33"/>
  <c r="DW212" i="33"/>
  <c r="CM166" i="33"/>
  <c r="CL157" i="33"/>
  <c r="CK147" i="33"/>
  <c r="CN195" i="33"/>
  <c r="CM186" i="33"/>
  <c r="CL176" i="33"/>
  <c r="CK208" i="33"/>
  <c r="CN203" i="33"/>
  <c r="CM210" i="33"/>
  <c r="DX153" i="33"/>
  <c r="DZ163" i="33"/>
  <c r="DV169" i="33"/>
  <c r="DX188" i="33"/>
  <c r="DZ197" i="33"/>
  <c r="DW203" i="33"/>
  <c r="DX212" i="33"/>
  <c r="CL166" i="33"/>
  <c r="CG162" i="33"/>
  <c r="CK157" i="33"/>
  <c r="CN151" i="33"/>
  <c r="CI147" i="33"/>
  <c r="CM195" i="33"/>
  <c r="CH191" i="33"/>
  <c r="CL186" i="33"/>
  <c r="CG181" i="33"/>
  <c r="CK176" i="33"/>
  <c r="CN171" i="33"/>
  <c r="CI208" i="33"/>
  <c r="CM203" i="33"/>
  <c r="CL210" i="33"/>
  <c r="EC148" i="33"/>
  <c r="DZ153" i="33"/>
  <c r="DV159" i="33"/>
  <c r="EA163" i="33"/>
  <c r="DW169" i="33"/>
  <c r="EB173" i="33"/>
  <c r="DZ188" i="33"/>
  <c r="EA197" i="33"/>
  <c r="DX203" i="33"/>
  <c r="EC207" i="33"/>
  <c r="DZ212" i="33"/>
  <c r="DW193" i="33"/>
  <c r="DZ193" i="33"/>
  <c r="EA193" i="33"/>
  <c r="DX193" i="33"/>
  <c r="EB193" i="33"/>
  <c r="DV193" i="33"/>
  <c r="EC193" i="33"/>
  <c r="DV194" i="33"/>
  <c r="DW194" i="33"/>
  <c r="DX194" i="33"/>
  <c r="EC194" i="33"/>
  <c r="DZ194" i="33"/>
  <c r="EA194" i="33"/>
  <c r="EB194" i="33"/>
  <c r="DV201" i="33"/>
  <c r="DW201" i="33"/>
  <c r="DX201" i="33"/>
  <c r="DZ201" i="33"/>
  <c r="EA201" i="33"/>
  <c r="EB201" i="33"/>
  <c r="EC201" i="33"/>
  <c r="DV202" i="33"/>
  <c r="DW202" i="33"/>
  <c r="DX202" i="33"/>
  <c r="DZ202" i="33"/>
  <c r="EA202" i="33"/>
  <c r="EB202" i="33"/>
  <c r="EC202" i="33"/>
  <c r="DV204" i="33"/>
  <c r="DW204" i="33"/>
  <c r="DX204" i="33"/>
  <c r="DZ204" i="33"/>
  <c r="EA204" i="33"/>
  <c r="EC204" i="33"/>
  <c r="EB204" i="33"/>
  <c r="CG204" i="33"/>
  <c r="CH204" i="33"/>
  <c r="CI204" i="33"/>
  <c r="CK204" i="33"/>
  <c r="CL204" i="33"/>
  <c r="CM204" i="33"/>
  <c r="CN204" i="33"/>
  <c r="CN201" i="33"/>
  <c r="CH201" i="33"/>
  <c r="CI201" i="33"/>
  <c r="CG201" i="33"/>
  <c r="CK201" i="33"/>
  <c r="CL201" i="33"/>
  <c r="CM201" i="33"/>
  <c r="CG194" i="33"/>
  <c r="CH194" i="33"/>
  <c r="CI194" i="33"/>
  <c r="CK194" i="33"/>
  <c r="CL194" i="33"/>
  <c r="CM194" i="33"/>
  <c r="CN194" i="33"/>
  <c r="CI193" i="33"/>
  <c r="CK193" i="33"/>
  <c r="CG193" i="33"/>
  <c r="CH193" i="33"/>
  <c r="CL193" i="33"/>
  <c r="CM193" i="33"/>
  <c r="CN193" i="33"/>
  <c r="CG172" i="33"/>
  <c r="CH172" i="33"/>
  <c r="CI172" i="33"/>
  <c r="CK172" i="33"/>
  <c r="CL172" i="33"/>
  <c r="CM172" i="33"/>
  <c r="CN172" i="33"/>
  <c r="CM174" i="33"/>
  <c r="CH174" i="33"/>
  <c r="CI174" i="33"/>
  <c r="CK174" i="33"/>
  <c r="CG174" i="33"/>
  <c r="CL174" i="33"/>
  <c r="CN174" i="33"/>
  <c r="CG175" i="33"/>
  <c r="CH175" i="33"/>
  <c r="CI175" i="33"/>
  <c r="CK175" i="33"/>
  <c r="CL175" i="33"/>
  <c r="CM175" i="33"/>
  <c r="CN175" i="33"/>
  <c r="CM177" i="33"/>
  <c r="CN177" i="33"/>
  <c r="CG177" i="33"/>
  <c r="CH177" i="33"/>
  <c r="CI177" i="33"/>
  <c r="CK177" i="33"/>
  <c r="CL177" i="33"/>
  <c r="CN179" i="33"/>
  <c r="CG179" i="33"/>
  <c r="CH179" i="33"/>
  <c r="CI179" i="33"/>
  <c r="CK179" i="33"/>
  <c r="CL179" i="33"/>
  <c r="CM179" i="33"/>
  <c r="CI184" i="33"/>
  <c r="CK184" i="33"/>
  <c r="CL184" i="33"/>
  <c r="CM184" i="33"/>
  <c r="CN184" i="33"/>
  <c r="CG184" i="33"/>
  <c r="CH184" i="33"/>
  <c r="CI183" i="33"/>
  <c r="CK183" i="33"/>
  <c r="CL183" i="33"/>
  <c r="CM183" i="33"/>
  <c r="CN183" i="33"/>
  <c r="CG183" i="33"/>
  <c r="CH183" i="33"/>
  <c r="CI182" i="33"/>
  <c r="CK182" i="33"/>
  <c r="CL182" i="33"/>
  <c r="CM182" i="33"/>
  <c r="CN182" i="33"/>
  <c r="CG182" i="33"/>
  <c r="CH182" i="33"/>
  <c r="CG192" i="33"/>
  <c r="CI192" i="33"/>
  <c r="CH192" i="33"/>
  <c r="CK192" i="33"/>
  <c r="CL192" i="33"/>
  <c r="CM192" i="33"/>
  <c r="CN192" i="33"/>
  <c r="EA192" i="33"/>
  <c r="EB192" i="33"/>
  <c r="EC192" i="33"/>
  <c r="DZ192" i="33"/>
  <c r="DV215" i="33"/>
  <c r="DW215" i="33"/>
  <c r="DX215" i="33"/>
  <c r="DZ215" i="33"/>
  <c r="EA215" i="33"/>
  <c r="EB215" i="33"/>
  <c r="EC215" i="33"/>
  <c r="CG215" i="33"/>
  <c r="CH215" i="33"/>
  <c r="CI215" i="33"/>
  <c r="CK215" i="33"/>
  <c r="CL215" i="33"/>
  <c r="CM215" i="33"/>
  <c r="CN215" i="33"/>
  <c r="FK186" i="33"/>
  <c r="FL186" i="33"/>
  <c r="FM186" i="33"/>
  <c r="FN186" i="33"/>
  <c r="FO186" i="33"/>
  <c r="FP186" i="33"/>
  <c r="FQ186" i="33"/>
  <c r="FJ186" i="33"/>
  <c r="DX187" i="33"/>
  <c r="DY187" i="33"/>
  <c r="DW187" i="33"/>
  <c r="DZ187" i="33"/>
  <c r="EA187" i="33"/>
  <c r="EB187" i="33"/>
  <c r="EC187" i="33"/>
  <c r="DV187" i="33"/>
  <c r="FK187" i="33"/>
  <c r="FL187" i="33"/>
  <c r="FM187" i="33"/>
  <c r="FN187" i="33"/>
  <c r="FO187" i="33"/>
  <c r="FJ187" i="33"/>
  <c r="FP187" i="33"/>
  <c r="FQ187" i="33"/>
  <c r="CG188" i="33"/>
  <c r="CH188" i="33"/>
  <c r="CN188" i="33"/>
  <c r="CI188" i="33"/>
  <c r="CK188" i="33"/>
  <c r="CL188" i="33"/>
  <c r="CM188" i="33"/>
  <c r="DW183" i="33"/>
  <c r="DX183" i="33"/>
  <c r="DZ183" i="33"/>
  <c r="DV183" i="33"/>
  <c r="EA183" i="33"/>
  <c r="EB183" i="33"/>
  <c r="EC183" i="33"/>
  <c r="DW182" i="33"/>
  <c r="DX182" i="33"/>
  <c r="EA182" i="33"/>
  <c r="DZ182" i="33"/>
  <c r="EB182" i="33"/>
  <c r="EC182" i="33"/>
  <c r="DV182" i="33"/>
  <c r="DW181" i="33"/>
  <c r="DX181" i="33"/>
  <c r="DZ181" i="33"/>
  <c r="EA181" i="33"/>
  <c r="EB181" i="33"/>
  <c r="EC181" i="33"/>
  <c r="DV181" i="33"/>
  <c r="EA179" i="33"/>
  <c r="DZ179" i="33"/>
  <c r="DW179" i="33"/>
  <c r="DV179" i="33"/>
  <c r="EB179" i="33"/>
  <c r="EC179" i="33"/>
  <c r="DX179" i="33"/>
  <c r="DZ178" i="33"/>
  <c r="EA178" i="33"/>
  <c r="DX178" i="33"/>
  <c r="DV178" i="33"/>
  <c r="DW178" i="33"/>
  <c r="EB178" i="33"/>
  <c r="EC178" i="33"/>
  <c r="DV177" i="33"/>
  <c r="DW177" i="33"/>
  <c r="DX177" i="33"/>
  <c r="DZ177" i="33"/>
  <c r="EA177" i="33"/>
  <c r="EB177" i="33"/>
  <c r="EC177" i="33"/>
  <c r="DX174" i="33"/>
  <c r="DV174" i="33"/>
  <c r="DW174" i="33"/>
  <c r="DZ174" i="33"/>
  <c r="EA174" i="33"/>
  <c r="EB174" i="33"/>
  <c r="EC174" i="33"/>
  <c r="DV167" i="33"/>
  <c r="DW167" i="33"/>
  <c r="DX167" i="33"/>
  <c r="DZ167" i="33"/>
  <c r="EA167" i="33"/>
  <c r="EC167" i="33"/>
  <c r="EB167" i="33"/>
  <c r="FJ155" i="33"/>
  <c r="FN155" i="33"/>
  <c r="FO155" i="33"/>
  <c r="FK155" i="33"/>
  <c r="FM155" i="33"/>
  <c r="FL155" i="33"/>
  <c r="FP155" i="33"/>
  <c r="FQ155" i="33"/>
  <c r="FJ167" i="33"/>
  <c r="FN167" i="33"/>
  <c r="FO167" i="33"/>
  <c r="FQ167" i="33"/>
  <c r="FL167" i="33"/>
  <c r="FM167" i="33"/>
  <c r="FK167" i="33"/>
  <c r="FP167" i="33"/>
  <c r="FK180" i="33"/>
  <c r="FM180" i="33"/>
  <c r="FP180" i="33"/>
  <c r="FQ180" i="33"/>
  <c r="FJ180" i="33"/>
  <c r="FN180" i="33"/>
  <c r="FO180" i="33"/>
  <c r="FL180" i="33"/>
  <c r="FL193" i="33"/>
  <c r="FJ193" i="33"/>
  <c r="FM193" i="33"/>
  <c r="FO193" i="33"/>
  <c r="FP193" i="33"/>
  <c r="FQ193" i="33"/>
  <c r="FN193" i="33"/>
  <c r="FK193" i="33"/>
  <c r="FP210" i="33"/>
  <c r="FO210" i="33"/>
  <c r="FJ210" i="33"/>
  <c r="FQ210" i="33"/>
  <c r="FK210" i="33"/>
  <c r="FL210" i="33"/>
  <c r="FM210" i="33"/>
  <c r="FN210" i="33"/>
  <c r="FL146" i="33"/>
  <c r="FK146" i="33"/>
  <c r="FJ146" i="33"/>
  <c r="FM146" i="33"/>
  <c r="FN146" i="33"/>
  <c r="FO146" i="33"/>
  <c r="FP146" i="33"/>
  <c r="FQ146" i="33"/>
  <c r="FJ159" i="33"/>
  <c r="FK159" i="33"/>
  <c r="FM159" i="33"/>
  <c r="FN159" i="33"/>
  <c r="FO159" i="33"/>
  <c r="FL159" i="33"/>
  <c r="FP159" i="33"/>
  <c r="FQ159" i="33"/>
  <c r="FM172" i="33"/>
  <c r="FN172" i="33"/>
  <c r="FO172" i="33"/>
  <c r="FL172" i="33"/>
  <c r="FP172" i="33"/>
  <c r="FJ172" i="33"/>
  <c r="FK172" i="33"/>
  <c r="FQ172" i="33"/>
  <c r="FJ184" i="33"/>
  <c r="FK184" i="33"/>
  <c r="FN184" i="33"/>
  <c r="FO184" i="33"/>
  <c r="FP184" i="33"/>
  <c r="FQ184" i="33"/>
  <c r="FL184" i="33"/>
  <c r="FM184" i="33"/>
  <c r="FL197" i="33"/>
  <c r="FQ197" i="33"/>
  <c r="FM197" i="33"/>
  <c r="FN197" i="33"/>
  <c r="FO197" i="33"/>
  <c r="FP197" i="33"/>
  <c r="FJ197" i="33"/>
  <c r="FK197" i="33"/>
  <c r="FO206" i="33"/>
  <c r="FQ206" i="33"/>
  <c r="FJ206" i="33"/>
  <c r="FK206" i="33"/>
  <c r="FN206" i="33"/>
  <c r="FL206" i="33"/>
  <c r="FP206" i="33"/>
  <c r="FM206" i="33"/>
  <c r="FL163" i="33"/>
  <c r="FM163" i="33"/>
  <c r="FO163" i="33"/>
  <c r="FN163" i="33"/>
  <c r="FP163" i="33"/>
  <c r="FQ163" i="33"/>
  <c r="FJ163" i="33"/>
  <c r="FK163" i="33"/>
  <c r="FO176" i="33"/>
  <c r="FM176" i="33"/>
  <c r="FN176" i="33"/>
  <c r="FQ176" i="33"/>
  <c r="FL176" i="33"/>
  <c r="FP176" i="33"/>
  <c r="FJ176" i="33"/>
  <c r="FK176" i="33"/>
  <c r="FL189" i="33"/>
  <c r="FP189" i="33"/>
  <c r="FM189" i="33"/>
  <c r="FN189" i="33"/>
  <c r="FO189" i="33"/>
  <c r="FQ189" i="33"/>
  <c r="FJ189" i="33"/>
  <c r="FK189" i="33"/>
  <c r="FP214" i="33"/>
  <c r="FJ214" i="33"/>
  <c r="FK214" i="33"/>
  <c r="FQ214" i="33"/>
  <c r="FL214" i="33"/>
  <c r="FN214" i="33"/>
  <c r="FO214" i="33"/>
  <c r="FM214" i="33"/>
  <c r="FQ202" i="33"/>
  <c r="FJ202" i="33"/>
  <c r="FO202" i="33"/>
  <c r="FP202" i="33"/>
  <c r="FK202" i="33"/>
  <c r="FL202" i="33"/>
  <c r="FN202" i="33"/>
  <c r="FM202" i="33"/>
  <c r="FK147" i="33"/>
  <c r="FQ147" i="33"/>
  <c r="FL147" i="33"/>
  <c r="FM147" i="33"/>
  <c r="FP147" i="33"/>
  <c r="FJ147" i="33"/>
  <c r="FN147" i="33"/>
  <c r="FO147" i="33"/>
  <c r="FN160" i="33"/>
  <c r="FO160" i="33"/>
  <c r="FM160" i="33"/>
  <c r="FQ160" i="33"/>
  <c r="FP160" i="33"/>
  <c r="FJ160" i="33"/>
  <c r="FL160" i="33"/>
  <c r="FK160" i="33"/>
  <c r="FL173" i="33"/>
  <c r="FP173" i="33"/>
  <c r="FM173" i="33"/>
  <c r="FO173" i="33"/>
  <c r="FQ173" i="33"/>
  <c r="FN173" i="33"/>
  <c r="FK173" i="33"/>
  <c r="FJ173" i="33"/>
  <c r="FN207" i="33"/>
  <c r="FK207" i="33"/>
  <c r="FM207" i="33"/>
  <c r="FJ207" i="33"/>
  <c r="FL207" i="33"/>
  <c r="FO207" i="33"/>
  <c r="FQ207" i="33"/>
  <c r="FP207" i="33"/>
  <c r="FL169" i="33"/>
  <c r="FP169" i="33"/>
  <c r="FQ169" i="33"/>
  <c r="FM169" i="33"/>
  <c r="FN169" i="33"/>
  <c r="FO169" i="33"/>
  <c r="FJ169" i="33"/>
  <c r="FK169" i="33"/>
  <c r="FL177" i="33"/>
  <c r="FM177" i="33"/>
  <c r="FO177" i="33"/>
  <c r="FP177" i="33"/>
  <c r="FJ177" i="33"/>
  <c r="FN177" i="33"/>
  <c r="FQ177" i="33"/>
  <c r="FK177" i="33"/>
  <c r="FL181" i="33"/>
  <c r="FP181" i="33"/>
  <c r="FQ181" i="33"/>
  <c r="FK181" i="33"/>
  <c r="FM181" i="33"/>
  <c r="FN181" i="33"/>
  <c r="FO181" i="33"/>
  <c r="FJ181" i="33"/>
  <c r="FQ190" i="33"/>
  <c r="FJ190" i="33"/>
  <c r="FK190" i="33"/>
  <c r="FO190" i="33"/>
  <c r="FL190" i="33"/>
  <c r="FN190" i="33"/>
  <c r="FP190" i="33"/>
  <c r="FM190" i="33"/>
  <c r="FJ194" i="33"/>
  <c r="FK194" i="33"/>
  <c r="FN194" i="33"/>
  <c r="FP194" i="33"/>
  <c r="FQ194" i="33"/>
  <c r="FL194" i="33"/>
  <c r="FO194" i="33"/>
  <c r="FM194" i="33"/>
  <c r="FP198" i="33"/>
  <c r="FO198" i="33"/>
  <c r="FJ198" i="33"/>
  <c r="FQ198" i="33"/>
  <c r="FK198" i="33"/>
  <c r="FL198" i="33"/>
  <c r="FM198" i="33"/>
  <c r="FN198" i="33"/>
  <c r="FL211" i="33"/>
  <c r="FM211" i="33"/>
  <c r="FP211" i="33"/>
  <c r="FN211" i="33"/>
  <c r="FO211" i="33"/>
  <c r="FK211" i="33"/>
  <c r="FJ211" i="33"/>
  <c r="FQ211" i="33"/>
  <c r="FL151" i="33"/>
  <c r="FM151" i="33"/>
  <c r="FJ151" i="33"/>
  <c r="FK151" i="33"/>
  <c r="FN151" i="33"/>
  <c r="FO151" i="33"/>
  <c r="FP151" i="33"/>
  <c r="FQ151" i="33"/>
  <c r="FQ215" i="33"/>
  <c r="FJ215" i="33"/>
  <c r="FK215" i="33"/>
  <c r="FL215" i="33"/>
  <c r="FN215" i="33"/>
  <c r="FM215" i="33"/>
  <c r="FP215" i="33"/>
  <c r="FO215" i="33"/>
  <c r="FO199" i="33"/>
  <c r="FP199" i="33"/>
  <c r="FJ199" i="33"/>
  <c r="FK199" i="33"/>
  <c r="FM199" i="33"/>
  <c r="FL199" i="33"/>
  <c r="FN199" i="33"/>
  <c r="FQ199" i="33"/>
  <c r="FJ174" i="33"/>
  <c r="FP174" i="33"/>
  <c r="FK174" i="33"/>
  <c r="FO174" i="33"/>
  <c r="FQ174" i="33"/>
  <c r="FL174" i="33"/>
  <c r="FM174" i="33"/>
  <c r="FN174" i="33"/>
  <c r="FL203" i="33"/>
  <c r="FM203" i="33"/>
  <c r="FJ203" i="33"/>
  <c r="FN203" i="33"/>
  <c r="FP203" i="33"/>
  <c r="FK203" i="33"/>
  <c r="FQ203" i="33"/>
  <c r="FO203" i="33"/>
  <c r="FK161" i="33"/>
  <c r="FL161" i="33"/>
  <c r="FP161" i="33"/>
  <c r="FM161" i="33"/>
  <c r="FN161" i="33"/>
  <c r="FO161" i="33"/>
  <c r="FQ161" i="33"/>
  <c r="FJ161" i="33"/>
  <c r="FN148" i="33"/>
  <c r="FP148" i="33"/>
  <c r="FJ148" i="33"/>
  <c r="FL148" i="33"/>
  <c r="FO148" i="33"/>
  <c r="FQ148" i="33"/>
  <c r="FM148" i="33"/>
  <c r="FK148" i="33"/>
  <c r="FN152" i="33"/>
  <c r="FO152" i="33"/>
  <c r="FP152" i="33"/>
  <c r="FK152" i="33"/>
  <c r="FM152" i="33"/>
  <c r="FL152" i="33"/>
  <c r="FJ152" i="33"/>
  <c r="FQ152" i="33"/>
  <c r="FP157" i="33"/>
  <c r="FM157" i="33"/>
  <c r="FN157" i="33"/>
  <c r="FO157" i="33"/>
  <c r="FQ157" i="33"/>
  <c r="FL157" i="33"/>
  <c r="FJ157" i="33"/>
  <c r="FK157" i="33"/>
  <c r="FP165" i="33"/>
  <c r="FO165" i="33"/>
  <c r="FJ165" i="33"/>
  <c r="FQ165" i="33"/>
  <c r="FK165" i="33"/>
  <c r="FN165" i="33"/>
  <c r="FL165" i="33"/>
  <c r="FM165" i="33"/>
  <c r="FQ170" i="33"/>
  <c r="FJ170" i="33"/>
  <c r="FK170" i="33"/>
  <c r="FL170" i="33"/>
  <c r="FN170" i="33"/>
  <c r="FO170" i="33"/>
  <c r="FP170" i="33"/>
  <c r="FM170" i="33"/>
  <c r="FQ178" i="33"/>
  <c r="FO178" i="33"/>
  <c r="FJ178" i="33"/>
  <c r="FK178" i="33"/>
  <c r="FP178" i="33"/>
  <c r="FL178" i="33"/>
  <c r="FN178" i="33"/>
  <c r="FM178" i="33"/>
  <c r="FP182" i="33"/>
  <c r="FJ182" i="33"/>
  <c r="FQ182" i="33"/>
  <c r="FK182" i="33"/>
  <c r="FN182" i="33"/>
  <c r="FL182" i="33"/>
  <c r="FO182" i="33"/>
  <c r="FM182" i="33"/>
  <c r="FQ191" i="33"/>
  <c r="FJ191" i="33"/>
  <c r="FK191" i="33"/>
  <c r="FN191" i="33"/>
  <c r="FL191" i="33"/>
  <c r="FM191" i="33"/>
  <c r="FP191" i="33"/>
  <c r="FO191" i="33"/>
  <c r="FO195" i="33"/>
  <c r="FK195" i="33"/>
  <c r="FQ195" i="33"/>
  <c r="FJ195" i="33"/>
  <c r="FN195" i="33"/>
  <c r="FL195" i="33"/>
  <c r="FM195" i="33"/>
  <c r="FP195" i="33"/>
  <c r="FQ204" i="33"/>
  <c r="FJ204" i="33"/>
  <c r="FL204" i="33"/>
  <c r="FM204" i="33"/>
  <c r="FN204" i="33"/>
  <c r="FP204" i="33"/>
  <c r="FK204" i="33"/>
  <c r="FO204" i="33"/>
  <c r="FJ208" i="33"/>
  <c r="FN208" i="33"/>
  <c r="FO208" i="33"/>
  <c r="FQ208" i="33"/>
  <c r="FK208" i="33"/>
  <c r="FL208" i="33"/>
  <c r="FM208" i="33"/>
  <c r="FP208" i="33"/>
  <c r="FJ212" i="33"/>
  <c r="FM212" i="33"/>
  <c r="FP212" i="33"/>
  <c r="FK212" i="33"/>
  <c r="FL212" i="33"/>
  <c r="FN212" i="33"/>
  <c r="FO212" i="33"/>
  <c r="FQ212" i="33"/>
  <c r="FP145" i="33"/>
  <c r="FL145" i="33"/>
  <c r="FN145" i="33"/>
  <c r="FQ145" i="33"/>
  <c r="FK145" i="33"/>
  <c r="FM145" i="33"/>
  <c r="FO145" i="33"/>
  <c r="FJ145" i="33"/>
  <c r="FP149" i="33"/>
  <c r="FQ149" i="33"/>
  <c r="FL149" i="33"/>
  <c r="FN149" i="33"/>
  <c r="FJ149" i="33"/>
  <c r="FM149" i="33"/>
  <c r="FK149" i="33"/>
  <c r="FO149" i="33"/>
  <c r="FK153" i="33"/>
  <c r="FJ153" i="33"/>
  <c r="FM153" i="33"/>
  <c r="FN153" i="33"/>
  <c r="FP153" i="33"/>
  <c r="FO153" i="33"/>
  <c r="FL153" i="33"/>
  <c r="FQ153" i="33"/>
  <c r="FJ158" i="33"/>
  <c r="FK158" i="33"/>
  <c r="FL158" i="33"/>
  <c r="FM158" i="33"/>
  <c r="FP158" i="33"/>
  <c r="FN158" i="33"/>
  <c r="FQ158" i="33"/>
  <c r="FO158" i="33"/>
  <c r="FP162" i="33"/>
  <c r="FM162" i="33"/>
  <c r="FO162" i="33"/>
  <c r="FL162" i="33"/>
  <c r="FN162" i="33"/>
  <c r="FQ162" i="33"/>
  <c r="FM171" i="33"/>
  <c r="FJ171" i="33"/>
  <c r="FK171" i="33"/>
  <c r="FL171" i="33"/>
  <c r="FN171" i="33"/>
  <c r="FP171" i="33"/>
  <c r="FO171" i="33"/>
  <c r="FQ171" i="33"/>
  <c r="FM175" i="33"/>
  <c r="FP175" i="33"/>
  <c r="FJ175" i="33"/>
  <c r="FK175" i="33"/>
  <c r="FO175" i="33"/>
  <c r="FN175" i="33"/>
  <c r="FL175" i="33"/>
  <c r="FQ175" i="33"/>
  <c r="FN179" i="33"/>
  <c r="FQ179" i="33"/>
  <c r="FP179" i="33"/>
  <c r="FK179" i="33"/>
  <c r="FM179" i="33"/>
  <c r="FJ179" i="33"/>
  <c r="FL179" i="33"/>
  <c r="FO179" i="33"/>
  <c r="FL183" i="33"/>
  <c r="FJ183" i="33"/>
  <c r="FN183" i="33"/>
  <c r="FK183" i="33"/>
  <c r="FO183" i="33"/>
  <c r="FP183" i="33"/>
  <c r="FQ183" i="33"/>
  <c r="FM183" i="33"/>
  <c r="FK188" i="33"/>
  <c r="FM188" i="33"/>
  <c r="FO188" i="33"/>
  <c r="FP188" i="33"/>
  <c r="FN188" i="33"/>
  <c r="FQ188" i="33"/>
  <c r="FJ188" i="33"/>
  <c r="FL188" i="33"/>
  <c r="FO192" i="33"/>
  <c r="FL192" i="33"/>
  <c r="FK192" i="33"/>
  <c r="FN192" i="33"/>
  <c r="FJ192" i="33"/>
  <c r="FQ192" i="33"/>
  <c r="FP192" i="33"/>
  <c r="FM192" i="33"/>
  <c r="FP196" i="33"/>
  <c r="FL196" i="33"/>
  <c r="FM196" i="33"/>
  <c r="FQ196" i="33"/>
  <c r="FK196" i="33"/>
  <c r="FJ196" i="33"/>
  <c r="FO196" i="33"/>
  <c r="FN196" i="33"/>
  <c r="FL201" i="33"/>
  <c r="FP201" i="33"/>
  <c r="FK201" i="33"/>
  <c r="FM201" i="33"/>
  <c r="FO201" i="33"/>
  <c r="FQ201" i="33"/>
  <c r="FN201" i="33"/>
  <c r="FJ201" i="33"/>
  <c r="FL205" i="33"/>
  <c r="FM205" i="33"/>
  <c r="FP205" i="33"/>
  <c r="FN205" i="33"/>
  <c r="FO205" i="33"/>
  <c r="FQ205" i="33"/>
  <c r="FK205" i="33"/>
  <c r="FJ205" i="33"/>
  <c r="FL209" i="33"/>
  <c r="FQ209" i="33"/>
  <c r="FM209" i="33"/>
  <c r="FO209" i="33"/>
  <c r="FJ209" i="33"/>
  <c r="FN209" i="33"/>
  <c r="FP209" i="33"/>
  <c r="FK209" i="33"/>
  <c r="FL213" i="33"/>
  <c r="FP213" i="33"/>
  <c r="FM213" i="33"/>
  <c r="FQ213" i="33"/>
  <c r="FN213" i="33"/>
  <c r="FO213" i="33"/>
  <c r="FJ213" i="33"/>
  <c r="FK213" i="33"/>
  <c r="FM166" i="33"/>
  <c r="FJ166" i="33"/>
  <c r="FK166" i="33"/>
  <c r="FN166" i="33"/>
  <c r="FO166" i="33"/>
  <c r="FP166" i="33"/>
  <c r="FJ164" i="33"/>
  <c r="FK164" i="33"/>
  <c r="FL164" i="33"/>
  <c r="FM164" i="33"/>
  <c r="FN164" i="33"/>
  <c r="FO164" i="33"/>
  <c r="FP164" i="33"/>
  <c r="FQ164" i="33"/>
  <c r="FJ150" i="33"/>
  <c r="FK150" i="33"/>
  <c r="FL150" i="33"/>
  <c r="FM150" i="33"/>
  <c r="FN150" i="33"/>
  <c r="FO150" i="33"/>
  <c r="FP150" i="33"/>
  <c r="FQ150" i="33"/>
  <c r="CH125" i="33"/>
  <c r="DX125" i="33"/>
  <c r="DV137" i="33"/>
  <c r="DV130" i="33"/>
  <c r="DW125" i="33"/>
  <c r="DX137" i="33"/>
  <c r="DX130" i="33"/>
  <c r="DW137" i="33"/>
  <c r="DW130" i="33"/>
  <c r="CI130" i="33"/>
  <c r="CH137" i="33"/>
  <c r="CH130" i="33"/>
  <c r="DV125" i="33"/>
  <c r="CI137" i="33"/>
  <c r="CG137" i="33"/>
  <c r="CI125" i="33"/>
  <c r="CG125" i="33"/>
  <c r="CG130" i="33"/>
  <c r="DZ92" i="33"/>
  <c r="CK80" i="33"/>
  <c r="DZ88" i="33"/>
  <c r="CK92" i="33"/>
  <c r="CM91" i="33"/>
  <c r="CM87" i="33"/>
  <c r="CM79" i="33"/>
  <c r="CM75" i="33"/>
  <c r="EB91" i="33"/>
  <c r="EB83" i="33"/>
  <c r="EB79" i="33"/>
  <c r="EB75" i="33"/>
  <c r="CM83" i="33"/>
  <c r="EB87" i="33"/>
  <c r="CK76" i="33"/>
  <c r="CK84" i="33"/>
  <c r="DZ76" i="33"/>
  <c r="EB93" i="33"/>
  <c r="CM85" i="33"/>
  <c r="EB77" i="33"/>
  <c r="DZ80" i="33"/>
  <c r="CM82" i="33"/>
  <c r="EB74" i="33"/>
  <c r="EA74" i="33"/>
  <c r="CI94" i="33"/>
  <c r="DX74" i="33"/>
  <c r="CH74" i="33"/>
  <c r="EB94" i="33"/>
  <c r="DW90" i="33"/>
  <c r="DW86" i="33"/>
  <c r="DW74" i="33"/>
  <c r="CM89" i="33"/>
  <c r="CM77" i="33"/>
  <c r="EB85" i="33"/>
  <c r="DZ84" i="33"/>
  <c r="CM74" i="33"/>
  <c r="EA82" i="33"/>
  <c r="EA78" i="33"/>
  <c r="CI90" i="33"/>
  <c r="CI86" i="33"/>
  <c r="CI82" i="33"/>
  <c r="CI78" i="33"/>
  <c r="CI74" i="33"/>
  <c r="EA94" i="33"/>
  <c r="CH86" i="33"/>
  <c r="CM93" i="33"/>
  <c r="EB81" i="33"/>
  <c r="CM81" i="33"/>
  <c r="EB89" i="33"/>
  <c r="CL92" i="33"/>
  <c r="CL84" i="33"/>
  <c r="CL80" i="33"/>
  <c r="CL76" i="33"/>
  <c r="EA92" i="33"/>
  <c r="EA88" i="33"/>
  <c r="EA84" i="33"/>
  <c r="EA80" i="33"/>
  <c r="EA76" i="33"/>
  <c r="CI84" i="33"/>
  <c r="DX88" i="33"/>
  <c r="CH84" i="33"/>
  <c r="CH80" i="33"/>
  <c r="CH76" i="33"/>
  <c r="DW92" i="33"/>
  <c r="DW88" i="33"/>
  <c r="DW84" i="33"/>
  <c r="DW80" i="33"/>
  <c r="DW76" i="33"/>
  <c r="CI92" i="33"/>
  <c r="CH92" i="33"/>
  <c r="CG92" i="33"/>
  <c r="CG84" i="33"/>
  <c r="CG80" i="33"/>
  <c r="CG76" i="33"/>
  <c r="DV92" i="33"/>
  <c r="DV88" i="33"/>
  <c r="DV84" i="33"/>
  <c r="DV80" i="33"/>
  <c r="DV76" i="33"/>
  <c r="CN91" i="33"/>
  <c r="CN87" i="33"/>
  <c r="CN83" i="33"/>
  <c r="CN79" i="33"/>
  <c r="CN75" i="33"/>
  <c r="EC91" i="33"/>
  <c r="EC87" i="33"/>
  <c r="EC83" i="33"/>
  <c r="EC79" i="33"/>
  <c r="EC75" i="33"/>
  <c r="DX80" i="33"/>
  <c r="DX84" i="33"/>
  <c r="CL87" i="33"/>
  <c r="CL75" i="33"/>
  <c r="EA91" i="33"/>
  <c r="EA87" i="33"/>
  <c r="EA83" i="33"/>
  <c r="EA79" i="33"/>
  <c r="EA75" i="33"/>
  <c r="CK91" i="33"/>
  <c r="CK83" i="33"/>
  <c r="CK75" i="33"/>
  <c r="DZ91" i="33"/>
  <c r="DZ87" i="33"/>
  <c r="DZ83" i="33"/>
  <c r="DZ79" i="33"/>
  <c r="DZ75" i="33"/>
  <c r="CI76" i="33"/>
  <c r="CI91" i="33"/>
  <c r="CI87" i="33"/>
  <c r="CI83" i="33"/>
  <c r="CI79" i="33"/>
  <c r="CI75" i="33"/>
  <c r="DX91" i="33"/>
  <c r="DX87" i="33"/>
  <c r="DX83" i="33"/>
  <c r="DX79" i="33"/>
  <c r="DX75" i="33"/>
  <c r="CL83" i="33"/>
  <c r="CK79" i="33"/>
  <c r="CH83" i="33"/>
  <c r="DW87" i="33"/>
  <c r="DW75" i="33"/>
  <c r="CL91" i="33"/>
  <c r="CK87" i="33"/>
  <c r="CH91" i="33"/>
  <c r="CH75" i="33"/>
  <c r="DW91" i="33"/>
  <c r="DW83" i="33"/>
  <c r="CG87" i="33"/>
  <c r="DV91" i="33"/>
  <c r="DV75" i="33"/>
  <c r="CL79" i="33"/>
  <c r="CH87" i="33"/>
  <c r="CH79" i="33"/>
  <c r="DW79" i="33"/>
  <c r="CG91" i="33"/>
  <c r="CG83" i="33"/>
  <c r="CG79" i="33"/>
  <c r="CG75" i="33"/>
  <c r="DV87" i="33"/>
  <c r="DV83" i="33"/>
  <c r="DV79" i="33"/>
  <c r="CN94" i="33"/>
  <c r="CN90" i="33"/>
  <c r="CN86" i="33"/>
  <c r="CN82" i="33"/>
  <c r="CN78" i="33"/>
  <c r="CN74" i="33"/>
  <c r="DV94" i="33"/>
  <c r="EC90" i="33"/>
  <c r="EC86" i="33"/>
  <c r="EC82" i="33"/>
  <c r="EC78" i="33"/>
  <c r="EC74" i="33"/>
  <c r="CM90" i="33"/>
  <c r="DW94" i="33"/>
  <c r="EB90" i="33"/>
  <c r="EB86" i="33"/>
  <c r="EB82" i="33"/>
  <c r="EB78" i="33"/>
  <c r="CL90" i="33"/>
  <c r="CL78" i="33"/>
  <c r="DX94" i="33"/>
  <c r="EA90" i="33"/>
  <c r="EA86" i="33"/>
  <c r="CM94" i="33"/>
  <c r="CL86" i="33"/>
  <c r="CK90" i="33"/>
  <c r="CK78" i="33"/>
  <c r="DZ78" i="33"/>
  <c r="CM86" i="33"/>
  <c r="CM78" i="33"/>
  <c r="CL94" i="33"/>
  <c r="CL82" i="33"/>
  <c r="CL74" i="33"/>
  <c r="CK94" i="33"/>
  <c r="CK86" i="33"/>
  <c r="CK82" i="33"/>
  <c r="CK74" i="33"/>
  <c r="DZ90" i="33"/>
  <c r="DZ86" i="33"/>
  <c r="DZ82" i="33"/>
  <c r="DZ74" i="33"/>
  <c r="DZ94" i="33"/>
  <c r="DX90" i="33"/>
  <c r="DX86" i="33"/>
  <c r="DX82" i="33"/>
  <c r="DX78" i="33"/>
  <c r="CI80" i="33"/>
  <c r="CH94" i="33"/>
  <c r="CH90" i="33"/>
  <c r="CH82" i="33"/>
  <c r="DW82" i="33"/>
  <c r="DW78" i="33"/>
  <c r="CH78" i="33"/>
  <c r="CG94" i="33"/>
  <c r="CG90" i="33"/>
  <c r="CG86" i="33"/>
  <c r="CG82" i="33"/>
  <c r="CG78" i="33"/>
  <c r="CG74" i="33"/>
  <c r="EC94" i="33"/>
  <c r="DV90" i="33"/>
  <c r="DV86" i="33"/>
  <c r="DV82" i="33"/>
  <c r="DV78" i="33"/>
  <c r="DV74" i="33"/>
  <c r="DX76" i="33"/>
  <c r="CN93" i="33"/>
  <c r="CN89" i="33"/>
  <c r="CN85" i="33"/>
  <c r="CN81" i="33"/>
  <c r="CN77" i="33"/>
  <c r="EC93" i="33"/>
  <c r="EC89" i="33"/>
  <c r="EC85" i="33"/>
  <c r="EC81" i="33"/>
  <c r="EC77" i="33"/>
  <c r="CL93" i="33"/>
  <c r="CL89" i="33"/>
  <c r="CL85" i="33"/>
  <c r="CL81" i="33"/>
  <c r="CL77" i="33"/>
  <c r="EA93" i="33"/>
  <c r="EA89" i="33"/>
  <c r="EA85" i="33"/>
  <c r="EA81" i="33"/>
  <c r="EA77" i="33"/>
  <c r="DX92" i="33"/>
  <c r="CK93" i="33"/>
  <c r="CK89" i="33"/>
  <c r="CK85" i="33"/>
  <c r="CK81" i="33"/>
  <c r="CK77" i="33"/>
  <c r="DZ93" i="33"/>
  <c r="DZ89" i="33"/>
  <c r="DZ85" i="33"/>
  <c r="DZ81" i="33"/>
  <c r="DZ77" i="33"/>
  <c r="CI85" i="33"/>
  <c r="DX89" i="33"/>
  <c r="DX81" i="33"/>
  <c r="DX77" i="33"/>
  <c r="CI89" i="33"/>
  <c r="CH93" i="33"/>
  <c r="CH89" i="33"/>
  <c r="DW85" i="33"/>
  <c r="CI77" i="33"/>
  <c r="DX85" i="33"/>
  <c r="CH77" i="33"/>
  <c r="DW93" i="33"/>
  <c r="DW89" i="33"/>
  <c r="DW81" i="33"/>
  <c r="DW77" i="33"/>
  <c r="CG93" i="33"/>
  <c r="CG89" i="33"/>
  <c r="CG85" i="33"/>
  <c r="CG81" i="33"/>
  <c r="CG77" i="33"/>
  <c r="DV93" i="33"/>
  <c r="DV89" i="33"/>
  <c r="DV85" i="33"/>
  <c r="DV81" i="33"/>
  <c r="DV77" i="33"/>
  <c r="CI93" i="33"/>
  <c r="CI81" i="33"/>
  <c r="DX93" i="33"/>
  <c r="CH85" i="33"/>
  <c r="CH81" i="33"/>
  <c r="CN92" i="33"/>
  <c r="CN84" i="33"/>
  <c r="CN80" i="33"/>
  <c r="CN76" i="33"/>
  <c r="EC92" i="33"/>
  <c r="EC88" i="33"/>
  <c r="EC84" i="33"/>
  <c r="EC80" i="33"/>
  <c r="EC76" i="33"/>
  <c r="CM92" i="33"/>
  <c r="CM84" i="33"/>
  <c r="CM80" i="33"/>
  <c r="CM76" i="33"/>
  <c r="EB92" i="33"/>
  <c r="EB88" i="33"/>
  <c r="EB84" i="33"/>
  <c r="EB80" i="33"/>
  <c r="EB76" i="33"/>
  <c r="CM88" i="33"/>
  <c r="CN88" i="33"/>
  <c r="CH88" i="33"/>
  <c r="CI88" i="33"/>
  <c r="CK88" i="33"/>
  <c r="CL88" i="33"/>
  <c r="CG88" i="33"/>
  <c r="DX107" i="33"/>
  <c r="DW107" i="33"/>
  <c r="DV107" i="33"/>
  <c r="DZ107" i="33"/>
  <c r="CN105" i="33"/>
  <c r="EA107" i="33"/>
  <c r="CH107" i="33"/>
  <c r="CG105" i="33"/>
  <c r="CL107" i="33"/>
  <c r="CH105" i="33"/>
  <c r="CK105" i="33"/>
  <c r="CI105" i="33"/>
  <c r="CL105" i="33"/>
  <c r="EC107" i="33"/>
  <c r="CM105" i="33"/>
  <c r="EB107" i="33"/>
  <c r="CG107" i="33"/>
  <c r="CK107" i="33"/>
  <c r="CN107" i="33"/>
  <c r="CM107" i="33"/>
  <c r="CI107" i="33"/>
  <c r="G17" i="28"/>
  <c r="DZ122" i="33"/>
  <c r="DX115" i="33"/>
  <c r="DZ124" i="33"/>
  <c r="DX122" i="33"/>
  <c r="EC124" i="33"/>
  <c r="EC122" i="33"/>
  <c r="EB124" i="33"/>
  <c r="EB122" i="33"/>
  <c r="EA124" i="33"/>
  <c r="EA122" i="33"/>
  <c r="DX124" i="33"/>
  <c r="CK122" i="33"/>
  <c r="EB105" i="33"/>
  <c r="CI124" i="33"/>
  <c r="CI122" i="33"/>
  <c r="CH108" i="33"/>
  <c r="CN124" i="33"/>
  <c r="CN122" i="33"/>
  <c r="CM124" i="33"/>
  <c r="CM122" i="33"/>
  <c r="CL124" i="33"/>
  <c r="CL122" i="33"/>
  <c r="CK137" i="33"/>
  <c r="CK130" i="33"/>
  <c r="CK124" i="33"/>
  <c r="CK125" i="33"/>
  <c r="EB142" i="33"/>
  <c r="EB139" i="33"/>
  <c r="EB137" i="33"/>
  <c r="EB136" i="33"/>
  <c r="EB135" i="33"/>
  <c r="EB134" i="33"/>
  <c r="EB121" i="33"/>
  <c r="EB133" i="33"/>
  <c r="EB120" i="33"/>
  <c r="EB132" i="33"/>
  <c r="EB130" i="33"/>
  <c r="EB128" i="33"/>
  <c r="DZ141" i="33"/>
  <c r="DZ110" i="33"/>
  <c r="DZ109" i="33"/>
  <c r="DZ108" i="33"/>
  <c r="DZ106" i="33"/>
  <c r="DZ119" i="33"/>
  <c r="EC105" i="33"/>
  <c r="EC141" i="33"/>
  <c r="EC110" i="33"/>
  <c r="EC109" i="33"/>
  <c r="EC108" i="33"/>
  <c r="EC106" i="33"/>
  <c r="EC119" i="33"/>
  <c r="CK142" i="33"/>
  <c r="CK139" i="33"/>
  <c r="CK135" i="33"/>
  <c r="CK134" i="33"/>
  <c r="CK121" i="33"/>
  <c r="CK133" i="33"/>
  <c r="CK120" i="33"/>
  <c r="CK132" i="33"/>
  <c r="CK128" i="33"/>
  <c r="CK127" i="33"/>
  <c r="CK113" i="33"/>
  <c r="CK112" i="33"/>
  <c r="CK131" i="33"/>
  <c r="CK110" i="33"/>
  <c r="CK108" i="33"/>
  <c r="CK119" i="33"/>
  <c r="EB127" i="33"/>
  <c r="EB125" i="33"/>
  <c r="EB115" i="33"/>
  <c r="EB114" i="33"/>
  <c r="EB113" i="33"/>
  <c r="EB112" i="33"/>
  <c r="EB111" i="33"/>
  <c r="EB131" i="33"/>
  <c r="EB116" i="33"/>
  <c r="EB141" i="33"/>
  <c r="EB110" i="33"/>
  <c r="EB109" i="33"/>
  <c r="EB108" i="33"/>
  <c r="EB119" i="33"/>
  <c r="EA105" i="33"/>
  <c r="EA141" i="33"/>
  <c r="EA110" i="33"/>
  <c r="EA109" i="33"/>
  <c r="EA108" i="33"/>
  <c r="EA106" i="33"/>
  <c r="EA119" i="33"/>
  <c r="DV105" i="33"/>
  <c r="DV141" i="33"/>
  <c r="DV110" i="33"/>
  <c r="DV109" i="33"/>
  <c r="DV108" i="33"/>
  <c r="DV119" i="33"/>
  <c r="CH136" i="33"/>
  <c r="CK136" i="33"/>
  <c r="CK115" i="33"/>
  <c r="CI114" i="33"/>
  <c r="CK114" i="33"/>
  <c r="CK111" i="33"/>
  <c r="CK116" i="33"/>
  <c r="CI109" i="33"/>
  <c r="CK109" i="33"/>
  <c r="CK106" i="33"/>
  <c r="EA142" i="33"/>
  <c r="EA139" i="33"/>
  <c r="EA137" i="33"/>
  <c r="EA136" i="33"/>
  <c r="EA135" i="33"/>
  <c r="EA134" i="33"/>
  <c r="EA121" i="33"/>
  <c r="EA133" i="33"/>
  <c r="EA120" i="33"/>
  <c r="EA132" i="33"/>
  <c r="EA130" i="33"/>
  <c r="EA128" i="33"/>
  <c r="EA127" i="33"/>
  <c r="EA125" i="33"/>
  <c r="EA115" i="33"/>
  <c r="EA114" i="33"/>
  <c r="EA113" i="33"/>
  <c r="EA112" i="33"/>
  <c r="EA111" i="33"/>
  <c r="EA131" i="33"/>
  <c r="EA116" i="33"/>
  <c r="DZ142" i="33"/>
  <c r="DZ139" i="33"/>
  <c r="DZ137" i="33"/>
  <c r="DZ136" i="33"/>
  <c r="DZ135" i="33"/>
  <c r="DZ134" i="33"/>
  <c r="DZ121" i="33"/>
  <c r="DZ133" i="33"/>
  <c r="DZ120" i="33"/>
  <c r="DZ132" i="33"/>
  <c r="DZ130" i="33"/>
  <c r="DZ128" i="33"/>
  <c r="DZ127" i="33"/>
  <c r="DZ125" i="33"/>
  <c r="DZ115" i="33"/>
  <c r="DZ114" i="33"/>
  <c r="DZ113" i="33"/>
  <c r="DZ112" i="33"/>
  <c r="DZ111" i="33"/>
  <c r="DZ131" i="33"/>
  <c r="DZ116" i="33"/>
  <c r="CG109" i="33"/>
  <c r="DW105" i="33"/>
  <c r="CN142" i="33"/>
  <c r="CN139" i="33"/>
  <c r="CN137" i="33"/>
  <c r="CN136" i="33"/>
  <c r="CN135" i="33"/>
  <c r="CN134" i="33"/>
  <c r="CN121" i="33"/>
  <c r="CN133" i="33"/>
  <c r="CN120" i="33"/>
  <c r="CN132" i="33"/>
  <c r="CN130" i="33"/>
  <c r="CN128" i="33"/>
  <c r="CN127" i="33"/>
  <c r="CN125" i="33"/>
  <c r="CN115" i="33"/>
  <c r="CN114" i="33"/>
  <c r="CN113" i="33"/>
  <c r="CN112" i="33"/>
  <c r="CN111" i="33"/>
  <c r="CN131" i="33"/>
  <c r="CN116" i="33"/>
  <c r="CN141" i="33"/>
  <c r="CN110" i="33"/>
  <c r="CN109" i="33"/>
  <c r="CN108" i="33"/>
  <c r="CN106" i="33"/>
  <c r="CN119" i="33"/>
  <c r="CL106" i="33"/>
  <c r="DV142" i="33"/>
  <c r="DV139" i="33"/>
  <c r="DV136" i="33"/>
  <c r="DV135" i="33"/>
  <c r="DV134" i="33"/>
  <c r="DV121" i="33"/>
  <c r="DV133" i="33"/>
  <c r="DV120" i="33"/>
  <c r="DV132" i="33"/>
  <c r="DV128" i="33"/>
  <c r="DV127" i="33"/>
  <c r="DV115" i="33"/>
  <c r="DV114" i="33"/>
  <c r="DV113" i="33"/>
  <c r="DV112" i="33"/>
  <c r="DV111" i="33"/>
  <c r="DV131" i="33"/>
  <c r="DV116" i="33"/>
  <c r="CM142" i="33"/>
  <c r="CM139" i="33"/>
  <c r="CM137" i="33"/>
  <c r="CM136" i="33"/>
  <c r="CM135" i="33"/>
  <c r="CM134" i="33"/>
  <c r="CM121" i="33"/>
  <c r="CM133" i="33"/>
  <c r="CM120" i="33"/>
  <c r="CM132" i="33"/>
  <c r="CM130" i="33"/>
  <c r="CM128" i="33"/>
  <c r="CM127" i="33"/>
  <c r="CM125" i="33"/>
  <c r="CM115" i="33"/>
  <c r="CM114" i="33"/>
  <c r="CM113" i="33"/>
  <c r="CM112" i="33"/>
  <c r="CM111" i="33"/>
  <c r="CM141" i="33"/>
  <c r="CM110" i="33"/>
  <c r="CM109" i="33"/>
  <c r="CM108" i="33"/>
  <c r="CM106" i="33"/>
  <c r="EC142" i="33"/>
  <c r="EC139" i="33"/>
  <c r="EC137" i="33"/>
  <c r="EC136" i="33"/>
  <c r="EC135" i="33"/>
  <c r="EC134" i="33"/>
  <c r="EC121" i="33"/>
  <c r="EC133" i="33"/>
  <c r="EC120" i="33"/>
  <c r="EC132" i="33"/>
  <c r="EC130" i="33"/>
  <c r="EC128" i="33"/>
  <c r="EC127" i="33"/>
  <c r="EC125" i="33"/>
  <c r="EC115" i="33"/>
  <c r="EC114" i="33"/>
  <c r="EC113" i="33"/>
  <c r="EC112" i="33"/>
  <c r="EC111" i="33"/>
  <c r="EC131" i="33"/>
  <c r="EC116" i="33"/>
  <c r="CH113" i="33"/>
  <c r="CL142" i="33"/>
  <c r="CL139" i="33"/>
  <c r="CL137" i="33"/>
  <c r="CL136" i="33"/>
  <c r="CL135" i="33"/>
  <c r="CL134" i="33"/>
  <c r="CL121" i="33"/>
  <c r="CL133" i="33"/>
  <c r="CL120" i="33"/>
  <c r="CL132" i="33"/>
  <c r="CL130" i="33"/>
  <c r="CL128" i="33"/>
  <c r="CL127" i="33"/>
  <c r="CL125" i="33"/>
  <c r="CL115" i="33"/>
  <c r="CL114" i="33"/>
  <c r="CL113" i="33"/>
  <c r="CL112" i="33"/>
  <c r="CL111" i="33"/>
  <c r="CL131" i="33"/>
  <c r="CL116" i="33"/>
  <c r="CL110" i="33"/>
  <c r="CL109" i="33"/>
  <c r="CL108" i="33"/>
  <c r="CL119" i="33"/>
  <c r="DW142" i="33"/>
  <c r="DW139" i="33"/>
  <c r="DW136" i="33"/>
  <c r="DW135" i="33"/>
  <c r="DW134" i="33"/>
  <c r="DW121" i="33"/>
  <c r="DW133" i="33"/>
  <c r="DW120" i="33"/>
  <c r="DW132" i="33"/>
  <c r="DW128" i="33"/>
  <c r="DW127" i="33"/>
  <c r="DW115" i="33"/>
  <c r="DW114" i="33"/>
  <c r="DW113" i="33"/>
  <c r="DW112" i="33"/>
  <c r="DW111" i="33"/>
  <c r="DW131" i="33"/>
  <c r="DW116" i="33"/>
  <c r="DW141" i="33"/>
  <c r="DW110" i="33"/>
  <c r="DW109" i="33"/>
  <c r="DW108" i="33"/>
  <c r="DW106" i="33"/>
  <c r="DW119" i="33"/>
  <c r="DV106" i="33"/>
  <c r="CM131" i="33"/>
  <c r="CM116" i="33"/>
  <c r="CM119" i="33"/>
  <c r="EB106" i="33"/>
  <c r="CL141" i="33"/>
  <c r="CK141" i="33"/>
  <c r="DZ105" i="33"/>
  <c r="DX105" i="33"/>
  <c r="DX142" i="33"/>
  <c r="DX139" i="33"/>
  <c r="DX136" i="33"/>
  <c r="DX135" i="33"/>
  <c r="DX134" i="33"/>
  <c r="DX121" i="33"/>
  <c r="DX133" i="33"/>
  <c r="DX120" i="33"/>
  <c r="DX132" i="33"/>
  <c r="DX128" i="33"/>
  <c r="DX127" i="33"/>
  <c r="DX114" i="33"/>
  <c r="DX113" i="33"/>
  <c r="DX112" i="33"/>
  <c r="DX111" i="33"/>
  <c r="DX131" i="33"/>
  <c r="DX116" i="33"/>
  <c r="DX141" i="33"/>
  <c r="DX110" i="33"/>
  <c r="DX109" i="33"/>
  <c r="DX108" i="33"/>
  <c r="DX106" i="33"/>
  <c r="DX119" i="33"/>
  <c r="CG112" i="33"/>
  <c r="CG135" i="33"/>
  <c r="CI121" i="33"/>
  <c r="CI133" i="33"/>
  <c r="CI120" i="33"/>
  <c r="CI132" i="33"/>
  <c r="CI127" i="33"/>
  <c r="CI115" i="33"/>
  <c r="CI131" i="33"/>
  <c r="CI116" i="33"/>
  <c r="CI141" i="33"/>
  <c r="CI110" i="33"/>
  <c r="CI119" i="33"/>
  <c r="CI142" i="33"/>
  <c r="CG121" i="33"/>
  <c r="CH133" i="33"/>
  <c r="CH120" i="33"/>
  <c r="CH132" i="33"/>
  <c r="CG127" i="33"/>
  <c r="CH115" i="33"/>
  <c r="CH114" i="33"/>
  <c r="CG131" i="33"/>
  <c r="CH116" i="33"/>
  <c r="CH141" i="33"/>
  <c r="CH110" i="33"/>
  <c r="CH109" i="33"/>
  <c r="CG119" i="33"/>
  <c r="CH142" i="33"/>
  <c r="CH139" i="33"/>
  <c r="CG141" i="33"/>
  <c r="CG134" i="33"/>
  <c r="CG133" i="33"/>
  <c r="CG128" i="33"/>
  <c r="CG111" i="33"/>
  <c r="CG116" i="33"/>
  <c r="CG106" i="33"/>
  <c r="CG142" i="33"/>
  <c r="CG120" i="33"/>
  <c r="CI134" i="33"/>
  <c r="CH121" i="33"/>
  <c r="CI128" i="33"/>
  <c r="CH127" i="33"/>
  <c r="CI111" i="33"/>
  <c r="CH131" i="33"/>
  <c r="CI106" i="33"/>
  <c r="CH119" i="33"/>
  <c r="CG139" i="33"/>
  <c r="CG132" i="33"/>
  <c r="CG115" i="33"/>
  <c r="CG110" i="33"/>
  <c r="CI135" i="33"/>
  <c r="CH134" i="33"/>
  <c r="CH128" i="33"/>
  <c r="CI112" i="33"/>
  <c r="CH111" i="33"/>
  <c r="CH106" i="33"/>
  <c r="CG114" i="33"/>
  <c r="CI136" i="33"/>
  <c r="CH135" i="33"/>
  <c r="CI113" i="33"/>
  <c r="CH112" i="33"/>
  <c r="CI108" i="33"/>
  <c r="CG136" i="33"/>
  <c r="CG113" i="33"/>
  <c r="CG108" i="33"/>
  <c r="CI139" i="33"/>
  <c r="M162" i="33" l="1"/>
  <c r="L156" i="33"/>
  <c r="M156" i="33"/>
  <c r="K201" i="33"/>
  <c r="K187" i="33"/>
  <c r="K150" i="33"/>
  <c r="K170" i="33"/>
  <c r="K153" i="33"/>
  <c r="L170" i="33"/>
  <c r="L153" i="33"/>
  <c r="M153" i="33"/>
  <c r="M170" i="33"/>
  <c r="L201" i="33"/>
  <c r="M165" i="33"/>
  <c r="M172" i="33"/>
  <c r="M171" i="33"/>
  <c r="M201" i="33"/>
  <c r="K171" i="33"/>
  <c r="L171" i="33"/>
  <c r="J93" i="33"/>
  <c r="I93" i="33"/>
  <c r="I74" i="33"/>
  <c r="I91" i="33"/>
  <c r="I87" i="33"/>
  <c r="I89" i="33"/>
  <c r="I88" i="33"/>
  <c r="I86" i="33"/>
  <c r="I85" i="33"/>
  <c r="J87" i="33"/>
  <c r="I81" i="33"/>
  <c r="J91" i="33"/>
  <c r="I90" i="33"/>
  <c r="I92" i="33"/>
  <c r="I94" i="33"/>
  <c r="I76" i="33"/>
  <c r="J86" i="33"/>
  <c r="J89" i="33"/>
  <c r="J88" i="33"/>
  <c r="J79" i="33"/>
  <c r="J85" i="33"/>
  <c r="I84" i="33"/>
  <c r="I83" i="33"/>
  <c r="I82" i="33"/>
  <c r="J82" i="33"/>
  <c r="J81" i="33"/>
  <c r="I80" i="33"/>
  <c r="I79" i="33"/>
  <c r="I78" i="33"/>
  <c r="I77" i="33"/>
  <c r="J76" i="33"/>
  <c r="I75" i="33"/>
  <c r="J90" i="33"/>
  <c r="J84" i="33"/>
  <c r="J78" i="33"/>
  <c r="J94" i="33"/>
  <c r="J80" i="33"/>
  <c r="J77" i="33"/>
  <c r="J74" i="33"/>
  <c r="J83" i="33"/>
  <c r="J92" i="33"/>
  <c r="J75" i="33"/>
  <c r="G22" i="28"/>
  <c r="G23" i="28"/>
  <c r="G11" i="16" l="1"/>
  <c r="H7" i="16"/>
  <c r="H16" i="16"/>
  <c r="H17" i="16"/>
  <c r="H14" i="16"/>
  <c r="G4" i="16"/>
  <c r="G22" i="16"/>
  <c r="G20" i="16"/>
  <c r="G18" i="16"/>
  <c r="G9" i="16"/>
  <c r="H5" i="16"/>
  <c r="H8" i="16"/>
  <c r="G19" i="16"/>
  <c r="H12" i="16"/>
  <c r="G21" i="16"/>
  <c r="H21" i="16"/>
  <c r="G12" i="16"/>
  <c r="H15" i="16"/>
  <c r="G13" i="16"/>
  <c r="G16" i="16"/>
  <c r="H18" i="16"/>
  <c r="G5" i="16"/>
  <c r="G6" i="16"/>
  <c r="G7" i="16"/>
  <c r="H13" i="16"/>
  <c r="H19" i="16"/>
  <c r="H3" i="16"/>
  <c r="H20" i="16"/>
  <c r="H11" i="16"/>
  <c r="G14" i="16"/>
  <c r="G17" i="16"/>
  <c r="G15" i="16"/>
  <c r="H22" i="16"/>
  <c r="H6" i="16"/>
  <c r="G3" i="16"/>
  <c r="H4" i="16"/>
  <c r="G8" i="16"/>
  <c r="H9" i="16"/>
  <c r="H10" i="16"/>
  <c r="G10" i="16"/>
  <c r="V75" i="33" a="1"/>
  <c r="V75" i="33" s="1"/>
  <c r="W75" i="33" a="1"/>
  <c r="W75" i="33" s="1"/>
  <c r="X75" i="33" a="1"/>
  <c r="X75" i="33" s="1"/>
  <c r="Y75" i="33" l="1"/>
  <c r="V335" i="33" a="1"/>
  <c r="V335" i="33" s="1"/>
  <c r="W310" i="33" a="1"/>
  <c r="W310" i="33" s="1"/>
  <c r="V310" i="33" a="1"/>
  <c r="V310" i="33" s="1"/>
  <c r="V76" i="33" a="1"/>
  <c r="V76" i="33" s="1"/>
  <c r="V77" i="33" a="1"/>
  <c r="V77" i="33" s="1"/>
  <c r="V78" i="33" a="1"/>
  <c r="V78" i="33" s="1"/>
  <c r="V79" i="33" a="1"/>
  <c r="V79" i="33" s="1"/>
  <c r="V80" i="33" a="1"/>
  <c r="V80" i="33" s="1"/>
  <c r="V81" i="33" a="1"/>
  <c r="V81" i="33" s="1"/>
  <c r="V82" i="33" a="1"/>
  <c r="V82" i="33" s="1"/>
  <c r="V83" i="33" a="1"/>
  <c r="V83" i="33" s="1"/>
  <c r="V84" i="33" a="1"/>
  <c r="V84" i="33" s="1"/>
  <c r="V85" i="33" a="1"/>
  <c r="V85" i="33" s="1"/>
  <c r="V86" i="33" a="1"/>
  <c r="V86" i="33" s="1"/>
  <c r="V87" i="33" a="1"/>
  <c r="V87" i="33" s="1"/>
  <c r="V88" i="33" a="1"/>
  <c r="V88" i="33" s="1"/>
  <c r="V89" i="33" a="1"/>
  <c r="V89" i="33" s="1"/>
  <c r="V90" i="33" a="1"/>
  <c r="V90" i="33" s="1"/>
  <c r="V91" i="33" a="1"/>
  <c r="V91" i="33" s="1"/>
  <c r="V92" i="33" a="1"/>
  <c r="V92" i="33" s="1"/>
  <c r="V93" i="33" a="1"/>
  <c r="V93" i="33" s="1"/>
  <c r="V94" i="33" a="1"/>
  <c r="V94" i="33" s="1"/>
  <c r="V74" i="33" a="1"/>
  <c r="V74" i="33" s="1"/>
  <c r="X76" i="33" a="1"/>
  <c r="X76" i="33" s="1"/>
  <c r="X77" i="33" a="1"/>
  <c r="X77" i="33" s="1"/>
  <c r="X78" i="33" a="1"/>
  <c r="X78" i="33" s="1"/>
  <c r="X79" i="33" a="1"/>
  <c r="X79" i="33" s="1"/>
  <c r="X80" i="33" a="1"/>
  <c r="X80" i="33" s="1"/>
  <c r="X81" i="33" a="1"/>
  <c r="X81" i="33" s="1"/>
  <c r="X82" i="33" a="1"/>
  <c r="X82" i="33" s="1"/>
  <c r="X83" i="33" a="1"/>
  <c r="X83" i="33" s="1"/>
  <c r="X84" i="33" a="1"/>
  <c r="X84" i="33" s="1"/>
  <c r="X85" i="33" a="1"/>
  <c r="X85" i="33" s="1"/>
  <c r="X86" i="33" a="1"/>
  <c r="X86" i="33" s="1"/>
  <c r="X87" i="33" a="1"/>
  <c r="X87" i="33" s="1"/>
  <c r="X88" i="33" a="1"/>
  <c r="X88" i="33" s="1"/>
  <c r="X89" i="33" a="1"/>
  <c r="X89" i="33" s="1"/>
  <c r="X90" i="33" a="1"/>
  <c r="X90" i="33" s="1"/>
  <c r="X91" i="33" a="1"/>
  <c r="X91" i="33" s="1"/>
  <c r="X92" i="33" a="1"/>
  <c r="X92" i="33" s="1"/>
  <c r="X93" i="33" a="1"/>
  <c r="X93" i="33" s="1"/>
  <c r="X94" i="33" a="1"/>
  <c r="X94" i="33" s="1"/>
  <c r="W76" i="33" a="1"/>
  <c r="W76" i="33" s="1"/>
  <c r="W77" i="33" a="1"/>
  <c r="W77" i="33" s="1"/>
  <c r="W78" i="33" a="1"/>
  <c r="W78" i="33" s="1"/>
  <c r="W79" i="33" a="1"/>
  <c r="W79" i="33" s="1"/>
  <c r="W80" i="33" a="1"/>
  <c r="W80" i="33" s="1"/>
  <c r="W81" i="33" a="1"/>
  <c r="W81" i="33" s="1"/>
  <c r="W82" i="33" a="1"/>
  <c r="W82" i="33" s="1"/>
  <c r="W83" i="33" a="1"/>
  <c r="W83" i="33" s="1"/>
  <c r="W84" i="33" a="1"/>
  <c r="W84" i="33" s="1"/>
  <c r="W85" i="33" a="1"/>
  <c r="W85" i="33" s="1"/>
  <c r="W86" i="33" a="1"/>
  <c r="W86" i="33" s="1"/>
  <c r="W87" i="33" a="1"/>
  <c r="W87" i="33" s="1"/>
  <c r="W88" i="33" a="1"/>
  <c r="W88" i="33" s="1"/>
  <c r="W89" i="33" a="1"/>
  <c r="W89" i="33" s="1"/>
  <c r="W90" i="33" a="1"/>
  <c r="W90" i="33" s="1"/>
  <c r="W91" i="33" a="1"/>
  <c r="W91" i="33" s="1"/>
  <c r="W92" i="33" a="1"/>
  <c r="W92" i="33" s="1"/>
  <c r="W93" i="33" a="1"/>
  <c r="W93" i="33" s="1"/>
  <c r="W94" i="33" a="1"/>
  <c r="W94" i="33" s="1"/>
  <c r="W74" i="33" a="1"/>
  <c r="W74" i="33" s="1"/>
  <c r="X74" i="33" a="1"/>
  <c r="X74" i="33" s="1"/>
  <c r="K21" i="17"/>
  <c r="J21" i="17"/>
  <c r="D22" i="6"/>
  <c r="Y78" i="33" l="1"/>
  <c r="Y86" i="33"/>
  <c r="Y74" i="33"/>
  <c r="Y85" i="33"/>
  <c r="Y92" i="33"/>
  <c r="Y91" i="33"/>
  <c r="Y88" i="33"/>
  <c r="Y87" i="33"/>
  <c r="Y93" i="33"/>
  <c r="Y90" i="33"/>
  <c r="Y89" i="33"/>
  <c r="Y84" i="33"/>
  <c r="Y83" i="33"/>
  <c r="Y94" i="33"/>
  <c r="Y79" i="33"/>
  <c r="Y82" i="33"/>
  <c r="Y77" i="33"/>
  <c r="Y76" i="33"/>
  <c r="Y81" i="33"/>
  <c r="Y80" i="33"/>
  <c r="Y166" i="33"/>
  <c r="Y175" i="33"/>
  <c r="Y13" i="33"/>
  <c r="L21" i="17" s="1"/>
  <c r="Y198" i="33"/>
  <c r="Y190" i="33"/>
  <c r="Y213" i="33"/>
  <c r="Y176" i="33"/>
  <c r="Y210" i="33"/>
  <c r="Y206" i="33"/>
  <c r="Y202" i="33"/>
  <c r="Y193" i="33"/>
  <c r="Y204" i="33"/>
  <c r="Y147" i="33"/>
  <c r="Y363" i="33"/>
  <c r="Y162" i="33"/>
  <c r="Y184" i="33"/>
  <c r="Y158" i="33"/>
  <c r="Y209" i="33"/>
  <c r="Y205" i="33"/>
  <c r="Y201" i="33"/>
  <c r="Y196" i="33"/>
  <c r="Y192" i="33"/>
  <c r="Y188" i="33"/>
  <c r="Y183" i="33"/>
  <c r="Y164" i="33"/>
  <c r="Y212" i="33"/>
  <c r="Y208" i="33"/>
  <c r="Y199" i="33"/>
  <c r="Y179" i="33"/>
  <c r="Y167" i="33"/>
  <c r="Y215" i="33"/>
  <c r="Y211" i="33"/>
  <c r="Y207" i="33"/>
  <c r="Y203" i="33"/>
  <c r="Y181" i="33"/>
  <c r="Y171" i="33"/>
  <c r="Y149" i="33"/>
  <c r="Y194" i="33"/>
  <c r="Y214" i="33"/>
  <c r="Y173" i="33"/>
  <c r="Y186" i="33"/>
  <c r="Y177" i="33"/>
  <c r="Y160" i="33"/>
  <c r="Y151" i="33"/>
  <c r="Y153" i="33"/>
  <c r="Y159" i="33"/>
  <c r="Y150" i="33"/>
  <c r="Y393" i="33"/>
  <c r="Y310" i="33"/>
  <c r="Y197" i="33"/>
  <c r="Y189" i="33"/>
  <c r="Y180" i="33"/>
  <c r="Y172" i="33"/>
  <c r="Y163" i="33"/>
  <c r="Y155" i="33"/>
  <c r="Y191" i="33"/>
  <c r="Y182" i="33"/>
  <c r="Y174" i="33"/>
  <c r="Y165" i="33"/>
  <c r="Y157" i="33"/>
  <c r="Y148" i="33"/>
  <c r="Y195" i="33"/>
  <c r="Y187" i="33"/>
  <c r="Y178" i="33"/>
  <c r="Y161" i="33"/>
  <c r="Y152" i="33"/>
  <c r="Y146" i="33"/>
  <c r="Y145" i="33"/>
  <c r="D147" i="2"/>
  <c r="D153" i="2"/>
  <c r="D155" i="2"/>
  <c r="D143" i="2"/>
  <c r="D157" i="2"/>
  <c r="D158" i="2"/>
  <c r="B24" i="2"/>
  <c r="D416" i="2"/>
  <c r="C416" i="2"/>
  <c r="B416" i="2"/>
  <c r="Z415" i="2"/>
  <c r="AJ415" i="2" s="1"/>
  <c r="X415" i="2"/>
  <c r="AH415" i="2" s="1"/>
  <c r="W415" i="2"/>
  <c r="AG415" i="2" s="1"/>
  <c r="V415" i="2"/>
  <c r="AF415" i="2" s="1"/>
  <c r="H416" i="2"/>
  <c r="I416" i="2"/>
  <c r="G416" i="2"/>
  <c r="H4" i="28"/>
  <c r="G4" i="33"/>
  <c r="AN441" i="6"/>
  <c r="A2" i="20"/>
  <c r="AQ2" i="20" s="1"/>
  <c r="C402" i="6"/>
  <c r="B402" i="6"/>
  <c r="H2" i="20"/>
  <c r="G2" i="20"/>
  <c r="F2" i="20"/>
  <c r="BZ399" i="33"/>
  <c r="CA399" i="33"/>
  <c r="CC399" i="33"/>
  <c r="CD399" i="33"/>
  <c r="CE399" i="33"/>
  <c r="CF399" i="33"/>
  <c r="BY399" i="33"/>
  <c r="FC399" i="33"/>
  <c r="FD399" i="33"/>
  <c r="FE399" i="33"/>
  <c r="FF399" i="33"/>
  <c r="FG399" i="33"/>
  <c r="FH399" i="33"/>
  <c r="FI399" i="33"/>
  <c r="FB399" i="33"/>
  <c r="B41" i="1"/>
  <c r="F7" i="28" s="1"/>
  <c r="B40" i="1"/>
  <c r="F6" i="28" s="1"/>
  <c r="B39" i="1"/>
  <c r="F5" i="28" s="1"/>
  <c r="B42" i="1"/>
  <c r="F8" i="28" s="1"/>
  <c r="B38" i="1"/>
  <c r="F4" i="28" s="1"/>
  <c r="Z388" i="2"/>
  <c r="AJ388" i="2" s="1"/>
  <c r="Z389" i="2"/>
  <c r="AJ389" i="2" s="1"/>
  <c r="Z390" i="2"/>
  <c r="AJ390" i="2" s="1"/>
  <c r="Z391" i="2"/>
  <c r="AJ391" i="2" s="1"/>
  <c r="Z392" i="2"/>
  <c r="AJ392" i="2" s="1"/>
  <c r="Z393" i="2"/>
  <c r="AJ393" i="2" s="1"/>
  <c r="Z394" i="2"/>
  <c r="AJ394" i="2" s="1"/>
  <c r="Z398" i="2"/>
  <c r="AJ398" i="2" s="1"/>
  <c r="Z399" i="2"/>
  <c r="AJ399" i="2" s="1"/>
  <c r="Z400" i="2"/>
  <c r="AJ400" i="2" s="1"/>
  <c r="Z402" i="2"/>
  <c r="AJ402" i="2" s="1"/>
  <c r="Z403" i="2"/>
  <c r="AJ403" i="2" s="1"/>
  <c r="Z404" i="2"/>
  <c r="AJ404" i="2" s="1"/>
  <c r="Z406" i="2"/>
  <c r="AJ406" i="2" s="1"/>
  <c r="Z407" i="2"/>
  <c r="AJ407" i="2" s="1"/>
  <c r="Z408" i="2"/>
  <c r="AJ408" i="2" s="1"/>
  <c r="Z409" i="2"/>
  <c r="AJ409" i="2" s="1"/>
  <c r="Z410" i="2"/>
  <c r="AJ410" i="2" s="1"/>
  <c r="Z411" i="2"/>
  <c r="AJ411" i="2" s="1"/>
  <c r="Z412" i="2"/>
  <c r="AJ412" i="2" s="1"/>
  <c r="Z385" i="2"/>
  <c r="AJ385" i="2" s="1"/>
  <c r="X385" i="2"/>
  <c r="AH385" i="2" s="1"/>
  <c r="W385" i="2"/>
  <c r="AG385" i="2" s="1"/>
  <c r="V385" i="2"/>
  <c r="AF385" i="2" s="1"/>
  <c r="O2" i="14"/>
  <c r="P2" i="14"/>
  <c r="Q2" i="14"/>
  <c r="R2" i="14"/>
  <c r="N2" i="14"/>
  <c r="H358" i="2"/>
  <c r="I358" i="2"/>
  <c r="G358" i="2"/>
  <c r="G2" i="14"/>
  <c r="F2" i="14"/>
  <c r="C2" i="14"/>
  <c r="B2" i="14"/>
  <c r="O2" i="19"/>
  <c r="P2" i="19"/>
  <c r="Q2" i="19"/>
  <c r="R2" i="19"/>
  <c r="N2" i="19"/>
  <c r="AP2" i="19"/>
  <c r="AN361" i="6"/>
  <c r="E358" i="2"/>
  <c r="C358" i="2"/>
  <c r="B358" i="2"/>
  <c r="C344" i="6"/>
  <c r="B344" i="6"/>
  <c r="A2" i="15"/>
  <c r="B2" i="15"/>
  <c r="E333" i="2"/>
  <c r="C3" i="15"/>
  <c r="C333" i="2"/>
  <c r="C2" i="15" s="1"/>
  <c r="B333" i="2"/>
  <c r="H333" i="2"/>
  <c r="I333" i="2"/>
  <c r="G333" i="2"/>
  <c r="Z332" i="2"/>
  <c r="AJ332" i="2" s="1"/>
  <c r="X332" i="2"/>
  <c r="AH332" i="2" s="1"/>
  <c r="W332" i="2"/>
  <c r="AG332" i="2" s="1"/>
  <c r="V332" i="2"/>
  <c r="AF332" i="2" s="1"/>
  <c r="C319" i="6"/>
  <c r="B319" i="6"/>
  <c r="C2" i="8"/>
  <c r="B2" i="8"/>
  <c r="D2" i="8"/>
  <c r="A2" i="8"/>
  <c r="CG297" i="2"/>
  <c r="CE297" i="2"/>
  <c r="CD297" i="2"/>
  <c r="CC297" i="2"/>
  <c r="CK293" i="2"/>
  <c r="CI293" i="2"/>
  <c r="CH293" i="2"/>
  <c r="CG293" i="2"/>
  <c r="CI289" i="2"/>
  <c r="CG289" i="2"/>
  <c r="CF289" i="2"/>
  <c r="CE289" i="2"/>
  <c r="CG285" i="2"/>
  <c r="CE285" i="2"/>
  <c r="CD285" i="2"/>
  <c r="CC285" i="2"/>
  <c r="CD281" i="2"/>
  <c r="CE281" i="2"/>
  <c r="CG281" i="2"/>
  <c r="CC281" i="2"/>
  <c r="AE322" i="2"/>
  <c r="AO322" i="2" s="1"/>
  <c r="AE326" i="2"/>
  <c r="AO326" i="2" s="1"/>
  <c r="H276" i="2"/>
  <c r="I276" i="2"/>
  <c r="AE285" i="2"/>
  <c r="AO285" i="2" s="1"/>
  <c r="AE286" i="2"/>
  <c r="AO286" i="2" s="1"/>
  <c r="AE287" i="2"/>
  <c r="AO287" i="2" s="1"/>
  <c r="AE288" i="2"/>
  <c r="AO288" i="2" s="1"/>
  <c r="AE289" i="2"/>
  <c r="AO289" i="2" s="1"/>
  <c r="AE290" i="2"/>
  <c r="AO290" i="2" s="1"/>
  <c r="AE291" i="2"/>
  <c r="AO291" i="2" s="1"/>
  <c r="AE292" i="2"/>
  <c r="AO292" i="2" s="1"/>
  <c r="AE293" i="2"/>
  <c r="AO293" i="2" s="1"/>
  <c r="AE294" i="2"/>
  <c r="AO294" i="2" s="1"/>
  <c r="AE295" i="2"/>
  <c r="AO295" i="2" s="1"/>
  <c r="AE296" i="2"/>
  <c r="AO296" i="2" s="1"/>
  <c r="AE297" i="2"/>
  <c r="R54" i="28" s="1"/>
  <c r="AE298" i="2"/>
  <c r="AO298" i="2" s="1"/>
  <c r="AE307" i="2"/>
  <c r="AO307" i="2" s="1"/>
  <c r="AE308" i="2"/>
  <c r="AO308" i="2" s="1"/>
  <c r="AE310" i="2"/>
  <c r="AO310" i="2" s="1"/>
  <c r="AE313" i="2"/>
  <c r="AO313" i="2" s="1"/>
  <c r="AE314" i="2"/>
  <c r="AO314" i="2" s="1"/>
  <c r="AE315" i="2"/>
  <c r="AO315" i="2" s="1"/>
  <c r="AE316" i="2"/>
  <c r="AO316" i="2" s="1"/>
  <c r="AE317" i="2"/>
  <c r="AO317" i="2" s="1"/>
  <c r="AE318" i="2"/>
  <c r="AO318" i="2" s="1"/>
  <c r="C276" i="2"/>
  <c r="B276" i="2"/>
  <c r="Z275" i="2"/>
  <c r="AJ275" i="2" s="1"/>
  <c r="X275" i="2"/>
  <c r="AH275" i="2" s="1"/>
  <c r="W275" i="2"/>
  <c r="AG275" i="2" s="1"/>
  <c r="V275" i="2"/>
  <c r="AF275" i="2" s="1"/>
  <c r="C262" i="6"/>
  <c r="B262" i="6"/>
  <c r="BX273" i="2"/>
  <c r="CI273" i="2"/>
  <c r="CG273" i="2"/>
  <c r="CF273" i="2"/>
  <c r="CE273" i="2"/>
  <c r="CE268" i="2"/>
  <c r="CI268" i="2"/>
  <c r="CG268" i="2"/>
  <c r="CF268" i="2"/>
  <c r="CE264" i="2"/>
  <c r="CI264" i="2"/>
  <c r="CG264" i="2"/>
  <c r="CF264" i="2"/>
  <c r="BX264" i="2"/>
  <c r="BX249" i="2"/>
  <c r="CH245" i="2"/>
  <c r="BX245" i="2"/>
  <c r="CI260" i="2"/>
  <c r="CG260" i="2"/>
  <c r="CF260" i="2"/>
  <c r="CE260" i="2"/>
  <c r="CE270" i="2"/>
  <c r="CI270" i="2"/>
  <c r="CG270" i="2"/>
  <c r="CF270" i="2"/>
  <c r="CL249" i="2"/>
  <c r="CJ249" i="2"/>
  <c r="CI249" i="2"/>
  <c r="CH249" i="2"/>
  <c r="W240" i="2"/>
  <c r="AG240" i="2" s="1"/>
  <c r="X240" i="2"/>
  <c r="AH240" i="2" s="1"/>
  <c r="Z240" i="2"/>
  <c r="AJ240" i="2" s="1"/>
  <c r="V240" i="2"/>
  <c r="AF240" i="2" s="1"/>
  <c r="W167" i="2"/>
  <c r="AG167" i="2" s="1"/>
  <c r="X167" i="2"/>
  <c r="AH167" i="2" s="1"/>
  <c r="Z167" i="2"/>
  <c r="AJ167" i="2" s="1"/>
  <c r="V167" i="2"/>
  <c r="AF167" i="2" s="1"/>
  <c r="W120" i="2"/>
  <c r="AG120" i="2" s="1"/>
  <c r="X120" i="2"/>
  <c r="AH120" i="2" s="1"/>
  <c r="Z120" i="2"/>
  <c r="AJ120" i="2" s="1"/>
  <c r="V120" i="2"/>
  <c r="AF120" i="2" s="1"/>
  <c r="W96" i="2"/>
  <c r="AG96" i="2" s="1"/>
  <c r="X96" i="2"/>
  <c r="AH96" i="2" s="1"/>
  <c r="Z96" i="2"/>
  <c r="AJ96" i="2" s="1"/>
  <c r="V96" i="2"/>
  <c r="AF96" i="2" s="1"/>
  <c r="CI245" i="2"/>
  <c r="CJ245" i="2"/>
  <c r="CL245" i="2"/>
  <c r="CF241" i="2"/>
  <c r="CG241" i="2"/>
  <c r="CE241" i="2"/>
  <c r="CI241" i="2"/>
  <c r="BX241" i="2"/>
  <c r="G273" i="2"/>
  <c r="H273" i="2"/>
  <c r="AE273" i="2" s="1"/>
  <c r="I273" i="2"/>
  <c r="G267" i="2"/>
  <c r="H267" i="2"/>
  <c r="AE267" i="2" s="1"/>
  <c r="I267" i="2"/>
  <c r="G254" i="2"/>
  <c r="H254" i="2"/>
  <c r="AE254" i="2" s="1"/>
  <c r="AO254" i="2" s="1"/>
  <c r="I254" i="2"/>
  <c r="G255" i="2"/>
  <c r="H255" i="2"/>
  <c r="AE255" i="2" s="1"/>
  <c r="AO255" i="2" s="1"/>
  <c r="I255" i="2"/>
  <c r="G256" i="2"/>
  <c r="H256" i="2"/>
  <c r="AE256" i="2" s="1"/>
  <c r="I256" i="2"/>
  <c r="G257" i="2"/>
  <c r="H257" i="2"/>
  <c r="AE257" i="2" s="1"/>
  <c r="AO257" i="2" s="1"/>
  <c r="I257" i="2"/>
  <c r="G258" i="2"/>
  <c r="H258" i="2"/>
  <c r="AE258" i="2" s="1"/>
  <c r="AO258" i="2" s="1"/>
  <c r="I258" i="2"/>
  <c r="G259" i="2"/>
  <c r="H259" i="2"/>
  <c r="AE259" i="2" s="1"/>
  <c r="AO259" i="2" s="1"/>
  <c r="I259" i="2"/>
  <c r="G260" i="2"/>
  <c r="H260" i="2"/>
  <c r="AE260" i="2" s="1"/>
  <c r="AO260" i="2" s="1"/>
  <c r="I260" i="2"/>
  <c r="G261" i="2"/>
  <c r="H261" i="2"/>
  <c r="AE261" i="2" s="1"/>
  <c r="AO261" i="2" s="1"/>
  <c r="I261" i="2"/>
  <c r="G262" i="2"/>
  <c r="H262" i="2"/>
  <c r="AE262" i="2" s="1"/>
  <c r="AO262" i="2" s="1"/>
  <c r="I262" i="2"/>
  <c r="G263" i="2"/>
  <c r="H263" i="2"/>
  <c r="AE263" i="2" s="1"/>
  <c r="I263" i="2"/>
  <c r="G264" i="2"/>
  <c r="H264" i="2"/>
  <c r="I264" i="2"/>
  <c r="G265" i="2"/>
  <c r="H265" i="2"/>
  <c r="AE265" i="2" s="1"/>
  <c r="AO265" i="2" s="1"/>
  <c r="I265" i="2"/>
  <c r="G266" i="2"/>
  <c r="H266" i="2"/>
  <c r="AE266" i="2" s="1"/>
  <c r="AO266" i="2" s="1"/>
  <c r="I266" i="2"/>
  <c r="G268" i="2"/>
  <c r="H268" i="2"/>
  <c r="AE268" i="2" s="1"/>
  <c r="I268" i="2"/>
  <c r="G269" i="2"/>
  <c r="H269" i="2"/>
  <c r="I269" i="2"/>
  <c r="G270" i="2"/>
  <c r="H270" i="2"/>
  <c r="AE270" i="2" s="1"/>
  <c r="I270" i="2"/>
  <c r="G271" i="2"/>
  <c r="H271" i="2"/>
  <c r="AE271" i="2" s="1"/>
  <c r="AO271" i="2" s="1"/>
  <c r="I271" i="2"/>
  <c r="G272" i="2"/>
  <c r="H272" i="2"/>
  <c r="AE272" i="2" s="1"/>
  <c r="I272" i="2"/>
  <c r="H241" i="2"/>
  <c r="AE241" i="2" s="1"/>
  <c r="AO241" i="2" s="1"/>
  <c r="I241" i="2"/>
  <c r="G241" i="2"/>
  <c r="E241" i="2"/>
  <c r="D241" i="2"/>
  <c r="C241" i="2"/>
  <c r="B241" i="2"/>
  <c r="AZ241" i="2" s="1"/>
  <c r="P2" i="10"/>
  <c r="Q2" i="10"/>
  <c r="R2" i="10"/>
  <c r="S2" i="10"/>
  <c r="T2" i="10"/>
  <c r="P3" i="10"/>
  <c r="Q3" i="10"/>
  <c r="R3" i="10"/>
  <c r="S3" i="10"/>
  <c r="T3" i="10"/>
  <c r="O3" i="10"/>
  <c r="O2" i="10"/>
  <c r="AN248" i="6"/>
  <c r="AN230" i="6"/>
  <c r="F21" i="17"/>
  <c r="E21" i="17"/>
  <c r="D21" i="17"/>
  <c r="C21" i="17"/>
  <c r="B21" i="17"/>
  <c r="A21" i="17"/>
  <c r="C227" i="6"/>
  <c r="B227" i="6"/>
  <c r="B2" i="10"/>
  <c r="C2" i="10"/>
  <c r="A2" i="10"/>
  <c r="CC225" i="2"/>
  <c r="BU224" i="2"/>
  <c r="BV224" i="2"/>
  <c r="BX224" i="2"/>
  <c r="BT224" i="2"/>
  <c r="BX180" i="2"/>
  <c r="BU175" i="2"/>
  <c r="BU174" i="2"/>
  <c r="BV174" i="2"/>
  <c r="BW174" i="2"/>
  <c r="BX174" i="2"/>
  <c r="BT174" i="2"/>
  <c r="AE215" i="2"/>
  <c r="AO215" i="2" s="1"/>
  <c r="AE216" i="2"/>
  <c r="AO216" i="2" s="1"/>
  <c r="AE217" i="2"/>
  <c r="AO217" i="2" s="1"/>
  <c r="H168" i="2"/>
  <c r="I168" i="2"/>
  <c r="G168" i="2"/>
  <c r="E168" i="2"/>
  <c r="C168" i="2"/>
  <c r="B168" i="2"/>
  <c r="M198" i="33"/>
  <c r="AM200" i="6"/>
  <c r="AN200" i="6"/>
  <c r="AJ200" i="6"/>
  <c r="AK200" i="6"/>
  <c r="AL200" i="6"/>
  <c r="C2" i="21"/>
  <c r="B2" i="21"/>
  <c r="A2" i="21"/>
  <c r="AN191" i="6"/>
  <c r="AN162" i="6"/>
  <c r="AN175" i="6"/>
  <c r="AN171" i="6"/>
  <c r="AN166" i="6"/>
  <c r="C211" i="6"/>
  <c r="C212" i="6"/>
  <c r="C213" i="6"/>
  <c r="C214" i="6"/>
  <c r="C215" i="6"/>
  <c r="C216" i="6"/>
  <c r="C217" i="6"/>
  <c r="C218" i="6"/>
  <c r="C219" i="6"/>
  <c r="C220" i="6"/>
  <c r="C221" i="6"/>
  <c r="C222" i="6"/>
  <c r="C223" i="6"/>
  <c r="C224" i="6"/>
  <c r="C154" i="6"/>
  <c r="B224" i="6"/>
  <c r="B221" i="6"/>
  <c r="B222" i="6"/>
  <c r="B223" i="6"/>
  <c r="B219" i="6"/>
  <c r="B220" i="6"/>
  <c r="B155" i="6"/>
  <c r="B156" i="6"/>
  <c r="B157" i="6"/>
  <c r="B158" i="6"/>
  <c r="B159" i="6"/>
  <c r="B160" i="6"/>
  <c r="B161" i="6"/>
  <c r="B162" i="6"/>
  <c r="B164" i="6"/>
  <c r="B165" i="6"/>
  <c r="B166" i="6"/>
  <c r="B167" i="6"/>
  <c r="B168" i="6"/>
  <c r="B169" i="6"/>
  <c r="B170" i="6"/>
  <c r="B171" i="6"/>
  <c r="B172" i="6"/>
  <c r="B173" i="6"/>
  <c r="B174" i="6"/>
  <c r="B175" i="6"/>
  <c r="B176" i="6"/>
  <c r="B179" i="6"/>
  <c r="B180" i="6"/>
  <c r="B181" i="6"/>
  <c r="B182" i="6"/>
  <c r="B183" i="6"/>
  <c r="B184" i="6"/>
  <c r="B185" i="6"/>
  <c r="B186" i="6"/>
  <c r="B187" i="6"/>
  <c r="B188" i="6"/>
  <c r="B189" i="6"/>
  <c r="B190" i="6"/>
  <c r="B191" i="6"/>
  <c r="B192" i="6"/>
  <c r="B193" i="6"/>
  <c r="B195" i="6"/>
  <c r="B196" i="6"/>
  <c r="B197" i="6"/>
  <c r="B198" i="6"/>
  <c r="B199" i="6"/>
  <c r="B200" i="6"/>
  <c r="B201" i="6"/>
  <c r="B202" i="6"/>
  <c r="B203" i="6"/>
  <c r="B205" i="6"/>
  <c r="B206" i="6"/>
  <c r="B207" i="6"/>
  <c r="B208" i="6"/>
  <c r="B211" i="6"/>
  <c r="B212" i="6"/>
  <c r="B213" i="6"/>
  <c r="B214" i="6"/>
  <c r="B215" i="6"/>
  <c r="B216" i="6"/>
  <c r="B217" i="6"/>
  <c r="B218" i="6"/>
  <c r="B154" i="6"/>
  <c r="AJ2" i="9"/>
  <c r="D142" i="2"/>
  <c r="D129" i="2"/>
  <c r="D130" i="2"/>
  <c r="D132" i="2"/>
  <c r="D133" i="2"/>
  <c r="D139" i="2"/>
  <c r="D135" i="2"/>
  <c r="D136" i="2"/>
  <c r="D137" i="2"/>
  <c r="D150" i="2"/>
  <c r="D159" i="2"/>
  <c r="D144" i="2"/>
  <c r="D156" i="2"/>
  <c r="C97" i="2"/>
  <c r="Q2" i="16"/>
  <c r="R2" i="16"/>
  <c r="S2" i="16"/>
  <c r="T2" i="16"/>
  <c r="U2" i="16"/>
  <c r="AI60" i="16" s="1"/>
  <c r="P2" i="16"/>
  <c r="B97" i="2"/>
  <c r="AE77" i="2"/>
  <c r="AO77" i="2" s="1"/>
  <c r="AE93" i="2"/>
  <c r="AO93" i="2" s="1"/>
  <c r="C83" i="6"/>
  <c r="B83" i="6"/>
  <c r="C23" i="6"/>
  <c r="C24" i="6"/>
  <c r="C25" i="6"/>
  <c r="C26" i="6"/>
  <c r="C27" i="6"/>
  <c r="C28" i="6"/>
  <c r="C29" i="6"/>
  <c r="C30" i="6"/>
  <c r="C31" i="6"/>
  <c r="C32" i="6"/>
  <c r="C33" i="6"/>
  <c r="C34" i="6"/>
  <c r="C35" i="6"/>
  <c r="C37" i="6"/>
  <c r="C38" i="6"/>
  <c r="C39" i="6"/>
  <c r="C40" i="6"/>
  <c r="C45" i="6"/>
  <c r="C46" i="6"/>
  <c r="C48" i="6"/>
  <c r="C49" i="6"/>
  <c r="C50" i="6"/>
  <c r="C52" i="6"/>
  <c r="C53" i="6"/>
  <c r="C54" i="6"/>
  <c r="C55" i="6"/>
  <c r="C56" i="6"/>
  <c r="C57" i="6"/>
  <c r="C58" i="6"/>
  <c r="C59" i="6"/>
  <c r="C60" i="6"/>
  <c r="C61" i="6"/>
  <c r="C62" i="6"/>
  <c r="C63" i="6"/>
  <c r="C64" i="6"/>
  <c r="C65" i="6"/>
  <c r="C66" i="6"/>
  <c r="C67" i="6"/>
  <c r="C68" i="6"/>
  <c r="C69" i="6"/>
  <c r="C70" i="6"/>
  <c r="C71" i="6"/>
  <c r="C72" i="6"/>
  <c r="C73" i="6"/>
  <c r="C76" i="6"/>
  <c r="C77" i="6"/>
  <c r="C78" i="6"/>
  <c r="C79" i="6"/>
  <c r="C80" i="6"/>
  <c r="C22" i="6"/>
  <c r="B22" i="6"/>
  <c r="B2" i="16"/>
  <c r="AR8" i="16"/>
  <c r="D2" i="16"/>
  <c r="C2" i="16"/>
  <c r="D2" i="12"/>
  <c r="C2" i="12"/>
  <c r="B2" i="12"/>
  <c r="A2" i="12"/>
  <c r="A2" i="16"/>
  <c r="W22" i="2"/>
  <c r="X22" i="2"/>
  <c r="Z22" i="2"/>
  <c r="V22" i="2"/>
  <c r="BU75" i="2"/>
  <c r="BV75" i="2"/>
  <c r="BU45" i="2"/>
  <c r="BV45" i="2"/>
  <c r="BX92" i="2"/>
  <c r="BU92" i="2"/>
  <c r="BV92" i="2"/>
  <c r="BW92" i="2"/>
  <c r="BT92" i="2"/>
  <c r="BU82" i="2"/>
  <c r="BV82" i="2"/>
  <c r="BX82" i="2"/>
  <c r="BT82" i="2"/>
  <c r="BX75" i="2"/>
  <c r="BW75" i="2"/>
  <c r="BT75" i="2"/>
  <c r="BX72" i="2"/>
  <c r="BV68" i="2"/>
  <c r="BT68" i="2"/>
  <c r="BX64" i="2"/>
  <c r="BX45" i="2"/>
  <c r="BX42" i="2"/>
  <c r="BT45" i="2"/>
  <c r="W35" i="2"/>
  <c r="X35" i="2"/>
  <c r="Z35" i="2"/>
  <c r="V35" i="2"/>
  <c r="C36" i="2"/>
  <c r="B36" i="2"/>
  <c r="B3" i="33"/>
  <c r="B4" i="33" s="1"/>
  <c r="AB13" i="33"/>
  <c r="AA13" i="33"/>
  <c r="V2" i="6"/>
  <c r="T1" i="2"/>
  <c r="AA11" i="2" s="1"/>
  <c r="Q2" i="6"/>
  <c r="U2" i="6"/>
  <c r="T2" i="6"/>
  <c r="S2" i="6"/>
  <c r="R2" i="6"/>
  <c r="B18" i="6"/>
  <c r="W15" i="2"/>
  <c r="P1" i="2"/>
  <c r="Q1" i="2"/>
  <c r="R1" i="2"/>
  <c r="H8" i="28"/>
  <c r="H7" i="28"/>
  <c r="H6" i="28"/>
  <c r="H5" i="28"/>
  <c r="D8" i="28"/>
  <c r="D7" i="28"/>
  <c r="D6" i="28"/>
  <c r="D5" i="28"/>
  <c r="D4" i="28"/>
  <c r="B4" i="28"/>
  <c r="B5" i="28"/>
  <c r="B6" i="28"/>
  <c r="B7" i="28"/>
  <c r="B8" i="28"/>
  <c r="F3" i="28"/>
  <c r="B3" i="28"/>
  <c r="B30" i="3"/>
  <c r="B31" i="3"/>
  <c r="B32" i="3"/>
  <c r="B29" i="3"/>
  <c r="AQ3" i="10"/>
  <c r="A17" i="17"/>
  <c r="AI2" i="20"/>
  <c r="AH2" i="19"/>
  <c r="AH2" i="14"/>
  <c r="AI2" i="15"/>
  <c r="AG5" i="2"/>
  <c r="AG6" i="2" s="1"/>
  <c r="AD5" i="2"/>
  <c r="AD6" i="2" s="1"/>
  <c r="AC5" i="2"/>
  <c r="AC6" i="2" s="1"/>
  <c r="AC7" i="2" s="1"/>
  <c r="AF5" i="2"/>
  <c r="AF6" i="2" s="1"/>
  <c r="AE5" i="2"/>
  <c r="AE6" i="2" s="1"/>
  <c r="AE7" i="2" s="1"/>
  <c r="C40" i="1" s="1"/>
  <c r="G6" i="28" s="1"/>
  <c r="AI2" i="10"/>
  <c r="AL60" i="16"/>
  <c r="AM60" i="16"/>
  <c r="AN60" i="16"/>
  <c r="AP60" i="16"/>
  <c r="AK60" i="16"/>
  <c r="AO60" i="16"/>
  <c r="A18" i="17"/>
  <c r="A16" i="17"/>
  <c r="AB5" i="2"/>
  <c r="AA5" i="2"/>
  <c r="AA7" i="2" s="1"/>
  <c r="Z5" i="2"/>
  <c r="Z6" i="2" s="1"/>
  <c r="X5" i="2"/>
  <c r="X6" i="2" s="1"/>
  <c r="S1" i="2"/>
  <c r="D152" i="2"/>
  <c r="AZ23" i="2" l="1"/>
  <c r="AZ24" i="2" s="1"/>
  <c r="BG23" i="2"/>
  <c r="BG24" i="2" s="1"/>
  <c r="AG7" i="2"/>
  <c r="C42" i="1" s="1"/>
  <c r="G8" i="28" s="1"/>
  <c r="AM358" i="6"/>
  <c r="AM428" i="6"/>
  <c r="AM442" i="6"/>
  <c r="AM408" i="6"/>
  <c r="AM427" i="6"/>
  <c r="AM409" i="6"/>
  <c r="AM430" i="6"/>
  <c r="AM405" i="6"/>
  <c r="AL427" i="6"/>
  <c r="AL409" i="6"/>
  <c r="AL408" i="6"/>
  <c r="AL430" i="6"/>
  <c r="AL428" i="6"/>
  <c r="AL442" i="6"/>
  <c r="AL405" i="6"/>
  <c r="R44" i="28"/>
  <c r="R43" i="28"/>
  <c r="R42" i="28"/>
  <c r="R65" i="28"/>
  <c r="R55" i="28"/>
  <c r="R83" i="28"/>
  <c r="R79" i="28"/>
  <c r="R53" i="28"/>
  <c r="R51" i="28"/>
  <c r="R50" i="28"/>
  <c r="R71" i="28"/>
  <c r="R70" i="28"/>
  <c r="R67" i="28"/>
  <c r="R52" i="28"/>
  <c r="R49" i="28"/>
  <c r="R64" i="28"/>
  <c r="R75" i="28"/>
  <c r="R48" i="28"/>
  <c r="R74" i="28"/>
  <c r="R47" i="28"/>
  <c r="R73" i="28"/>
  <c r="R46" i="28"/>
  <c r="R72" i="28"/>
  <c r="R45" i="28"/>
  <c r="AK408" i="6"/>
  <c r="AK427" i="6"/>
  <c r="AK409" i="6"/>
  <c r="AK405" i="6"/>
  <c r="AJ409" i="6"/>
  <c r="AJ427" i="6"/>
  <c r="AJ408" i="6"/>
  <c r="AJ405" i="6"/>
  <c r="S383" i="2"/>
  <c r="S371" i="2"/>
  <c r="S362" i="2"/>
  <c r="S359" i="2"/>
  <c r="S372" i="2"/>
  <c r="S370" i="2"/>
  <c r="S382" i="2"/>
  <c r="S361" i="2"/>
  <c r="S379" i="2"/>
  <c r="S368" i="2"/>
  <c r="S358" i="2"/>
  <c r="S367" i="2"/>
  <c r="S378" i="2"/>
  <c r="S365" i="2"/>
  <c r="S376" i="2"/>
  <c r="S364" i="2"/>
  <c r="AD357" i="2"/>
  <c r="AN357" i="2" s="1"/>
  <c r="S375" i="2"/>
  <c r="S363" i="2"/>
  <c r="S380" i="2"/>
  <c r="P371" i="2"/>
  <c r="P362" i="2"/>
  <c r="P359" i="2"/>
  <c r="P383" i="2"/>
  <c r="P372" i="2"/>
  <c r="P361" i="2"/>
  <c r="P382" i="2"/>
  <c r="P380" i="2"/>
  <c r="P368" i="2"/>
  <c r="P358" i="2"/>
  <c r="P379" i="2"/>
  <c r="P367" i="2"/>
  <c r="P378" i="2"/>
  <c r="P365" i="2"/>
  <c r="P376" i="2"/>
  <c r="P364" i="2"/>
  <c r="P375" i="2"/>
  <c r="AA357" i="2"/>
  <c r="AK357" i="2" s="1"/>
  <c r="P363" i="2"/>
  <c r="P370" i="2"/>
  <c r="R383" i="2"/>
  <c r="R372" i="2"/>
  <c r="R361" i="2"/>
  <c r="R382" i="2"/>
  <c r="R370" i="2"/>
  <c r="R359" i="2"/>
  <c r="R380" i="2"/>
  <c r="R368" i="2"/>
  <c r="R358" i="2"/>
  <c r="R379" i="2"/>
  <c r="R367" i="2"/>
  <c r="R378" i="2"/>
  <c r="R365" i="2"/>
  <c r="R376" i="2"/>
  <c r="AC357" i="2"/>
  <c r="AM357" i="2" s="1"/>
  <c r="R364" i="2"/>
  <c r="R375" i="2"/>
  <c r="R363" i="2"/>
  <c r="R371" i="2"/>
  <c r="R362" i="2"/>
  <c r="Q383" i="2"/>
  <c r="Q361" i="2"/>
  <c r="Q358" i="2"/>
  <c r="Q368" i="2"/>
  <c r="Q372" i="2"/>
  <c r="Q382" i="2"/>
  <c r="Q370" i="2"/>
  <c r="Q359" i="2"/>
  <c r="Q380" i="2"/>
  <c r="Q367" i="2"/>
  <c r="Q379" i="2"/>
  <c r="Q378" i="2"/>
  <c r="Q365" i="2"/>
  <c r="Q376" i="2"/>
  <c r="Q364" i="2"/>
  <c r="Q375" i="2"/>
  <c r="Q363" i="2"/>
  <c r="AB357" i="2"/>
  <c r="AL357" i="2" s="1"/>
  <c r="Q371" i="2"/>
  <c r="Q362" i="2"/>
  <c r="BQ275" i="2"/>
  <c r="AE357" i="2"/>
  <c r="AO357" i="2" s="1"/>
  <c r="AL352" i="6"/>
  <c r="AL349" i="6"/>
  <c r="AL362" i="6"/>
  <c r="AL365" i="6"/>
  <c r="AL345" i="6"/>
  <c r="AM352" i="6"/>
  <c r="AM349" i="6"/>
  <c r="AM362" i="6"/>
  <c r="AM353" i="6"/>
  <c r="AM366" i="6"/>
  <c r="AM365" i="6"/>
  <c r="AM345" i="6"/>
  <c r="AJ352" i="6"/>
  <c r="AJ353" i="6"/>
  <c r="AJ365" i="6"/>
  <c r="AK353" i="6"/>
  <c r="AK352" i="6"/>
  <c r="AK366" i="6"/>
  <c r="AK365" i="6"/>
  <c r="CE336" i="2"/>
  <c r="S340" i="2"/>
  <c r="S341" i="2"/>
  <c r="S339" i="2"/>
  <c r="S338" i="2"/>
  <c r="S335" i="2"/>
  <c r="S343" i="2"/>
  <c r="S334" i="2"/>
  <c r="S350" i="2"/>
  <c r="S337" i="2"/>
  <c r="S355" i="2"/>
  <c r="CC336" i="2"/>
  <c r="Q341" i="2"/>
  <c r="Q339" i="2"/>
  <c r="Q338" i="2"/>
  <c r="Q355" i="2"/>
  <c r="Q343" i="2"/>
  <c r="Q334" i="2"/>
  <c r="Q350" i="2"/>
  <c r="Q340" i="2"/>
  <c r="Q337" i="2"/>
  <c r="Q335" i="2"/>
  <c r="CD336" i="2"/>
  <c r="R341" i="2"/>
  <c r="R339" i="2"/>
  <c r="R338" i="2"/>
  <c r="R355" i="2"/>
  <c r="R335" i="2"/>
  <c r="R343" i="2"/>
  <c r="R334" i="2"/>
  <c r="R350" i="2"/>
  <c r="R340" i="2"/>
  <c r="R337" i="2"/>
  <c r="CB336" i="2"/>
  <c r="P341" i="2"/>
  <c r="P339" i="2"/>
  <c r="P338" i="2"/>
  <c r="P355" i="2"/>
  <c r="P335" i="2"/>
  <c r="P343" i="2"/>
  <c r="P334" i="2"/>
  <c r="P350" i="2"/>
  <c r="P340" i="2"/>
  <c r="P337" i="2"/>
  <c r="AK297" i="6"/>
  <c r="AK314" i="6"/>
  <c r="AK293" i="6"/>
  <c r="AM287" i="6"/>
  <c r="AM315" i="6"/>
  <c r="AM298" i="6"/>
  <c r="AM297" i="6"/>
  <c r="AM283" i="6"/>
  <c r="AM314" i="6"/>
  <c r="AM294" i="6"/>
  <c r="AM293" i="6"/>
  <c r="AM268" i="6"/>
  <c r="AM269" i="6"/>
  <c r="AJ314" i="6"/>
  <c r="AJ297" i="6"/>
  <c r="AJ293" i="6"/>
  <c r="S330" i="2"/>
  <c r="S326" i="2"/>
  <c r="S315" i="2"/>
  <c r="BW302" i="2"/>
  <c r="BW301" i="2"/>
  <c r="BT301" i="2"/>
  <c r="P330" i="2"/>
  <c r="P326" i="2"/>
  <c r="P315" i="2"/>
  <c r="R330" i="2"/>
  <c r="R326" i="2"/>
  <c r="Q330" i="2"/>
  <c r="BU301" i="2"/>
  <c r="Q326" i="2"/>
  <c r="Q315" i="2"/>
  <c r="BV301" i="2"/>
  <c r="R315" i="2"/>
  <c r="AL314" i="6"/>
  <c r="AL297" i="6"/>
  <c r="AL293" i="6"/>
  <c r="AL268" i="6"/>
  <c r="BP275" i="2"/>
  <c r="S318" i="2"/>
  <c r="BO275" i="2"/>
  <c r="R318" i="2"/>
  <c r="BN275" i="2"/>
  <c r="Q318" i="2"/>
  <c r="BM275" i="2"/>
  <c r="P318" i="2"/>
  <c r="AK268" i="6"/>
  <c r="AJ268" i="6"/>
  <c r="CC200" i="2"/>
  <c r="BQ240" i="2"/>
  <c r="BP240" i="2"/>
  <c r="BO240" i="2"/>
  <c r="BN240" i="2"/>
  <c r="BM240" i="2"/>
  <c r="AM2" i="21" a="1"/>
  <c r="AM2" i="21" s="1"/>
  <c r="AN2" i="21" a="1"/>
  <c r="AN2" i="21" s="1"/>
  <c r="AD2" i="21" a="1"/>
  <c r="AD2" i="21" s="1"/>
  <c r="AO2" i="21" a="1"/>
  <c r="AO2" i="21" s="1"/>
  <c r="AP2" i="21" a="1"/>
  <c r="AP2" i="21" s="1"/>
  <c r="AL2" i="21" a="1"/>
  <c r="AL2" i="21" s="1"/>
  <c r="AF2" i="21" a="1"/>
  <c r="AF2" i="21" s="1"/>
  <c r="AE2" i="21" a="1"/>
  <c r="AE2" i="21" s="1"/>
  <c r="AG2" i="21" a="1"/>
  <c r="AG2" i="21" s="1"/>
  <c r="AK2" i="21" a="1"/>
  <c r="AK2" i="21" s="1"/>
  <c r="AH2" i="21" a="1"/>
  <c r="AH2" i="21" s="1"/>
  <c r="AI2" i="21" a="1"/>
  <c r="AI2" i="21" s="1"/>
  <c r="CI185" i="2"/>
  <c r="CI184" i="2"/>
  <c r="S217" i="2"/>
  <c r="AA6" i="2"/>
  <c r="CH184" i="2"/>
  <c r="R217" i="2"/>
  <c r="CG184" i="2"/>
  <c r="Q217" i="2"/>
  <c r="CF184" i="2"/>
  <c r="P217" i="2"/>
  <c r="P215" i="2"/>
  <c r="P200" i="2"/>
  <c r="P199" i="2"/>
  <c r="P197" i="2"/>
  <c r="BY200" i="2"/>
  <c r="R215" i="2"/>
  <c r="R200" i="2"/>
  <c r="R199" i="2"/>
  <c r="R197" i="2"/>
  <c r="CA200" i="2"/>
  <c r="AL187" i="6"/>
  <c r="AP107" i="6"/>
  <c r="AK187" i="6"/>
  <c r="AK221" i="6"/>
  <c r="AK158" i="6"/>
  <c r="AK217" i="6"/>
  <c r="Q215" i="2"/>
  <c r="Q200" i="2"/>
  <c r="Q199" i="2"/>
  <c r="Q197" i="2"/>
  <c r="BZ200" i="2"/>
  <c r="S215" i="2"/>
  <c r="S200" i="2"/>
  <c r="S199" i="2"/>
  <c r="S197" i="2"/>
  <c r="CB200" i="2"/>
  <c r="CB193" i="2"/>
  <c r="CB189" i="2"/>
  <c r="CA193" i="2"/>
  <c r="BV210" i="2"/>
  <c r="CA189" i="2"/>
  <c r="BO167" i="2"/>
  <c r="BO120" i="2"/>
  <c r="BU210" i="2"/>
  <c r="BZ193" i="2"/>
  <c r="BZ189" i="2"/>
  <c r="BN120" i="2"/>
  <c r="BN167" i="2"/>
  <c r="BY193" i="2"/>
  <c r="BY189" i="2"/>
  <c r="BQ120" i="2"/>
  <c r="CC193" i="2"/>
  <c r="CC189" i="2"/>
  <c r="BQ167" i="2"/>
  <c r="BP167" i="2"/>
  <c r="BW211" i="2"/>
  <c r="BP120" i="2"/>
  <c r="BW210" i="2"/>
  <c r="AR107" i="6"/>
  <c r="AM187" i="6"/>
  <c r="AM158" i="6"/>
  <c r="AM159" i="6"/>
  <c r="AM188" i="6"/>
  <c r="AM222" i="6"/>
  <c r="AM217" i="6"/>
  <c r="AM221" i="6"/>
  <c r="AM218" i="6"/>
  <c r="BM167" i="2"/>
  <c r="BT210" i="2"/>
  <c r="BM120" i="2"/>
  <c r="AO107" i="6"/>
  <c r="AJ158" i="6"/>
  <c r="AJ187" i="6"/>
  <c r="AJ221" i="6"/>
  <c r="AJ217" i="6"/>
  <c r="K175" i="33"/>
  <c r="K198" i="33"/>
  <c r="L175" i="33"/>
  <c r="M177" i="33"/>
  <c r="K174" i="33"/>
  <c r="K194" i="33"/>
  <c r="K180" i="33"/>
  <c r="K177" i="33"/>
  <c r="K181" i="33"/>
  <c r="K176" i="33"/>
  <c r="K199" i="33"/>
  <c r="L181" i="33"/>
  <c r="L180" i="33"/>
  <c r="L176" i="33"/>
  <c r="L199" i="33"/>
  <c r="L177" i="33"/>
  <c r="L198" i="33"/>
  <c r="L174" i="33"/>
  <c r="L194" i="33"/>
  <c r="M180" i="33"/>
  <c r="M194" i="33"/>
  <c r="M176" i="33"/>
  <c r="M199" i="33"/>
  <c r="M175" i="33"/>
  <c r="M181" i="33"/>
  <c r="M174" i="33"/>
  <c r="AQ107" i="6"/>
  <c r="AL159" i="6"/>
  <c r="AL221" i="6"/>
  <c r="AL158" i="6"/>
  <c r="AL217" i="6"/>
  <c r="R123" i="2"/>
  <c r="R154" i="2"/>
  <c r="R121" i="2"/>
  <c r="R141" i="2"/>
  <c r="R148" i="2"/>
  <c r="R161" i="2"/>
  <c r="R157" i="2"/>
  <c r="R147" i="2"/>
  <c r="R129" i="2"/>
  <c r="R155" i="2"/>
  <c r="R143" i="2"/>
  <c r="R162" i="2"/>
  <c r="R124" i="2"/>
  <c r="R130" i="2"/>
  <c r="R134" i="2"/>
  <c r="R156" i="2"/>
  <c r="R122" i="2"/>
  <c r="R131" i="2"/>
  <c r="R163" i="2"/>
  <c r="R125" i="2"/>
  <c r="R164" i="2"/>
  <c r="R132" i="2"/>
  <c r="R138" i="2"/>
  <c r="R145" i="2"/>
  <c r="R126" i="2"/>
  <c r="R165" i="2"/>
  <c r="R133" i="2"/>
  <c r="R139" i="2"/>
  <c r="R146" i="2"/>
  <c r="R158" i="2"/>
  <c r="R150" i="2"/>
  <c r="R160" i="2"/>
  <c r="R159" i="2"/>
  <c r="R135" i="2"/>
  <c r="R152" i="2"/>
  <c r="R151" i="2"/>
  <c r="R127" i="2"/>
  <c r="R144" i="2"/>
  <c r="R136" i="2"/>
  <c r="R149" i="2"/>
  <c r="R128" i="2"/>
  <c r="R142" i="2"/>
  <c r="R153" i="2"/>
  <c r="R137" i="2"/>
  <c r="R140" i="2"/>
  <c r="P161" i="2"/>
  <c r="P151" i="2"/>
  <c r="P145" i="2"/>
  <c r="P129" i="2"/>
  <c r="P148" i="2"/>
  <c r="P142" i="2"/>
  <c r="P149" i="2"/>
  <c r="P132" i="2"/>
  <c r="P122" i="2"/>
  <c r="P134" i="2"/>
  <c r="P150" i="2"/>
  <c r="P125" i="2"/>
  <c r="P163" i="2"/>
  <c r="P157" i="2"/>
  <c r="P126" i="2"/>
  <c r="P158" i="2"/>
  <c r="P165" i="2"/>
  <c r="P154" i="2"/>
  <c r="P133" i="2"/>
  <c r="P152" i="2"/>
  <c r="P141" i="2"/>
  <c r="P128" i="2"/>
  <c r="P124" i="2"/>
  <c r="P121" i="2"/>
  <c r="P162" i="2"/>
  <c r="P146" i="2"/>
  <c r="P131" i="2"/>
  <c r="P138" i="2"/>
  <c r="P130" i="2"/>
  <c r="P147" i="2"/>
  <c r="P136" i="2"/>
  <c r="P143" i="2"/>
  <c r="P135" i="2"/>
  <c r="P153" i="2"/>
  <c r="P164" i="2"/>
  <c r="P144" i="2"/>
  <c r="P155" i="2"/>
  <c r="P159" i="2"/>
  <c r="P140" i="2"/>
  <c r="P160" i="2"/>
  <c r="P123" i="2"/>
  <c r="P139" i="2"/>
  <c r="P156" i="2"/>
  <c r="P127" i="2"/>
  <c r="P137" i="2"/>
  <c r="Q141" i="2"/>
  <c r="Q161" i="2"/>
  <c r="Q129" i="2"/>
  <c r="Q155" i="2"/>
  <c r="Q124" i="2"/>
  <c r="Q149" i="2"/>
  <c r="Q150" i="2"/>
  <c r="Q157" i="2"/>
  <c r="Q125" i="2"/>
  <c r="Q133" i="2"/>
  <c r="Q132" i="2"/>
  <c r="Q145" i="2"/>
  <c r="Q165" i="2"/>
  <c r="Q139" i="2"/>
  <c r="Q123" i="2"/>
  <c r="Q154" i="2"/>
  <c r="Q122" i="2"/>
  <c r="Q164" i="2"/>
  <c r="Q153" i="2"/>
  <c r="Q137" i="2"/>
  <c r="Q148" i="2"/>
  <c r="Q158" i="2"/>
  <c r="Q140" i="2"/>
  <c r="Q159" i="2"/>
  <c r="Q142" i="2"/>
  <c r="Q160" i="2"/>
  <c r="Q152" i="2"/>
  <c r="Q151" i="2"/>
  <c r="Q143" i="2"/>
  <c r="Q144" i="2"/>
  <c r="Q135" i="2"/>
  <c r="Q127" i="2"/>
  <c r="Q136" i="2"/>
  <c r="Q131" i="2"/>
  <c r="Q128" i="2"/>
  <c r="Q126" i="2"/>
  <c r="Q121" i="2"/>
  <c r="Q134" i="2"/>
  <c r="Q163" i="2"/>
  <c r="Q147" i="2"/>
  <c r="Q156" i="2"/>
  <c r="Q138" i="2"/>
  <c r="Q162" i="2"/>
  <c r="Q146" i="2"/>
  <c r="Q130" i="2"/>
  <c r="S151" i="2"/>
  <c r="S123" i="2"/>
  <c r="S135" i="2"/>
  <c r="S154" i="2"/>
  <c r="S141" i="2"/>
  <c r="S146" i="2"/>
  <c r="S160" i="2"/>
  <c r="S148" i="2"/>
  <c r="S161" i="2"/>
  <c r="S157" i="2"/>
  <c r="S129" i="2"/>
  <c r="S142" i="2"/>
  <c r="S155" i="2"/>
  <c r="S133" i="2"/>
  <c r="S136" i="2"/>
  <c r="S128" i="2"/>
  <c r="S152" i="2"/>
  <c r="S140" i="2"/>
  <c r="S143" i="2"/>
  <c r="S149" i="2"/>
  <c r="S162" i="2"/>
  <c r="S124" i="2"/>
  <c r="S130" i="2"/>
  <c r="S156" i="2"/>
  <c r="S122" i="2"/>
  <c r="S137" i="2"/>
  <c r="S150" i="2"/>
  <c r="S131" i="2"/>
  <c r="S144" i="2"/>
  <c r="S163" i="2"/>
  <c r="S125" i="2"/>
  <c r="S132" i="2"/>
  <c r="S138" i="2"/>
  <c r="S145" i="2"/>
  <c r="S158" i="2"/>
  <c r="S126" i="2"/>
  <c r="S121" i="2"/>
  <c r="S159" i="2"/>
  <c r="S153" i="2"/>
  <c r="S147" i="2"/>
  <c r="S165" i="2"/>
  <c r="S127" i="2"/>
  <c r="S139" i="2"/>
  <c r="S164" i="2"/>
  <c r="S134" i="2"/>
  <c r="AN53" i="6"/>
  <c r="AS107" i="6"/>
  <c r="S111" i="2"/>
  <c r="BP96" i="2"/>
  <c r="T89" i="2"/>
  <c r="BQ96" i="2"/>
  <c r="P107" i="2"/>
  <c r="P111" i="2"/>
  <c r="P105" i="2"/>
  <c r="P106" i="2"/>
  <c r="BM96" i="2"/>
  <c r="R107" i="2"/>
  <c r="BO96" i="2"/>
  <c r="R105" i="2"/>
  <c r="R106" i="2"/>
  <c r="R111" i="2"/>
  <c r="BN96" i="2"/>
  <c r="Q106" i="2"/>
  <c r="Q105" i="2"/>
  <c r="Q107" i="2"/>
  <c r="Q111" i="2"/>
  <c r="BP35" i="2"/>
  <c r="S89" i="2"/>
  <c r="BW53" i="2"/>
  <c r="BW51" i="2"/>
  <c r="BW50" i="2"/>
  <c r="P89" i="2"/>
  <c r="BT50" i="2"/>
  <c r="BT53" i="2"/>
  <c r="BO35" i="2"/>
  <c r="R89" i="2"/>
  <c r="BV53" i="2"/>
  <c r="BV50" i="2"/>
  <c r="BU53" i="2"/>
  <c r="BU50" i="2"/>
  <c r="Q89" i="2"/>
  <c r="AC2" i="12" a="1"/>
  <c r="AC2" i="12" s="1"/>
  <c r="AD2" i="12" a="1"/>
  <c r="AD2" i="12" s="1"/>
  <c r="AE2" i="12" a="1"/>
  <c r="AE2" i="12" s="1"/>
  <c r="AF2" i="12" a="1"/>
  <c r="AF2" i="12" s="1"/>
  <c r="AG2" i="12" a="1"/>
  <c r="AG2" i="12" s="1"/>
  <c r="AH2" i="12" a="1"/>
  <c r="AH2" i="12" s="1"/>
  <c r="AJ2" i="12" a="1"/>
  <c r="AJ2" i="12" s="1"/>
  <c r="AK2" i="12" a="1"/>
  <c r="AK2" i="12" s="1"/>
  <c r="AL2" i="12" a="1"/>
  <c r="AL2" i="12" s="1"/>
  <c r="AM2" i="12" a="1"/>
  <c r="AM2" i="12" s="1"/>
  <c r="AO2" i="12" a="1"/>
  <c r="AO2" i="12" s="1"/>
  <c r="AQ2" i="12"/>
  <c r="AN2" i="12" a="1"/>
  <c r="AN2" i="12" s="1"/>
  <c r="AO35" i="2"/>
  <c r="BQ35" i="2"/>
  <c r="BN35" i="2"/>
  <c r="AL35" i="2"/>
  <c r="BM35" i="2"/>
  <c r="AK35" i="2"/>
  <c r="AN35" i="2"/>
  <c r="AM35" i="2"/>
  <c r="AM38" i="6"/>
  <c r="AM53" i="6"/>
  <c r="G18" i="17"/>
  <c r="E18" i="17"/>
  <c r="F18" i="17"/>
  <c r="C18" i="17"/>
  <c r="D18" i="17"/>
  <c r="H18" i="17"/>
  <c r="J18" i="17"/>
  <c r="L18" i="17"/>
  <c r="K18" i="17"/>
  <c r="B18" i="17"/>
  <c r="E17" i="17"/>
  <c r="D17" i="17"/>
  <c r="C17" i="17"/>
  <c r="F17" i="17"/>
  <c r="G17" i="17"/>
  <c r="H17" i="17"/>
  <c r="J17" i="17"/>
  <c r="K17" i="17"/>
  <c r="L17" i="17"/>
  <c r="B17" i="17"/>
  <c r="B26" i="2"/>
  <c r="BF25" i="2" s="1"/>
  <c r="BF26" i="2" s="1"/>
  <c r="E16" i="17"/>
  <c r="F16" i="17"/>
  <c r="C16" i="17"/>
  <c r="D16" i="17"/>
  <c r="G16" i="17"/>
  <c r="H16" i="17"/>
  <c r="J16" i="17"/>
  <c r="K16" i="17"/>
  <c r="L16" i="17"/>
  <c r="B16" i="17"/>
  <c r="AB18" i="6"/>
  <c r="AC18" i="6"/>
  <c r="AD18" i="6"/>
  <c r="N18" i="6"/>
  <c r="O18" i="6"/>
  <c r="P18" i="6"/>
  <c r="Q18" i="6"/>
  <c r="L18" i="6"/>
  <c r="M18" i="6"/>
  <c r="AJ2" i="20" a="1"/>
  <c r="AJ2" i="20" s="1"/>
  <c r="AK2" i="20" a="1"/>
  <c r="AK2" i="20" s="1"/>
  <c r="AL2" i="20" a="1"/>
  <c r="AL2" i="20" s="1"/>
  <c r="AM2" i="20" a="1"/>
  <c r="AM2" i="20" s="1"/>
  <c r="AO2" i="20" a="1"/>
  <c r="AO2" i="20" s="1"/>
  <c r="AN2" i="20" a="1"/>
  <c r="AN2" i="20" s="1"/>
  <c r="AS200" i="6"/>
  <c r="AQ369" i="6"/>
  <c r="AM305" i="6"/>
  <c r="AP369" i="6"/>
  <c r="AM304" i="6"/>
  <c r="AN369" i="6"/>
  <c r="AK304" i="6"/>
  <c r="AO369" i="6"/>
  <c r="AL304" i="6"/>
  <c r="AM369" i="6"/>
  <c r="AJ304" i="6"/>
  <c r="AD2" i="8" a="1"/>
  <c r="AD2" i="8" s="1"/>
  <c r="AE2" i="8" a="1"/>
  <c r="AE2" i="8" s="1"/>
  <c r="AM2" i="8" a="1"/>
  <c r="AM2" i="8" s="1"/>
  <c r="AN2" i="8" a="1"/>
  <c r="AN2" i="8" s="1"/>
  <c r="AF2" i="8" a="1"/>
  <c r="AF2" i="8" s="1"/>
  <c r="AP2" i="8" a="1"/>
  <c r="AP2" i="8" s="1"/>
  <c r="AR2" i="8"/>
  <c r="AG2" i="8" a="1"/>
  <c r="AG2" i="8" s="1"/>
  <c r="AH2" i="8" a="1"/>
  <c r="AH2" i="8" s="1"/>
  <c r="AI2" i="8" a="1"/>
  <c r="AI2" i="8" s="1"/>
  <c r="AL2" i="8" a="1"/>
  <c r="AL2" i="8" s="1"/>
  <c r="AK2" i="8" a="1"/>
  <c r="AK2" i="8" s="1"/>
  <c r="AO2" i="8" a="1"/>
  <c r="AO2" i="8" s="1"/>
  <c r="R344" i="2"/>
  <c r="S344" i="2"/>
  <c r="Q344" i="2"/>
  <c r="P344" i="2"/>
  <c r="Q223" i="2"/>
  <c r="Q297" i="2"/>
  <c r="P223" i="2"/>
  <c r="P297" i="2"/>
  <c r="R223" i="2"/>
  <c r="R297" i="2"/>
  <c r="AM241" i="6"/>
  <c r="AM237" i="6"/>
  <c r="AM231" i="6"/>
  <c r="AM245" i="6"/>
  <c r="AM249" i="6"/>
  <c r="S297" i="2"/>
  <c r="BW282" i="2"/>
  <c r="AR2" i="21"/>
  <c r="S223" i="2"/>
  <c r="BW246" i="2"/>
  <c r="BW274" i="2"/>
  <c r="BW250" i="2"/>
  <c r="BW242" i="2"/>
  <c r="S228" i="2"/>
  <c r="S222" i="2"/>
  <c r="S219" i="2"/>
  <c r="AL213" i="6"/>
  <c r="AL209" i="6"/>
  <c r="AM196" i="6"/>
  <c r="AM214" i="6"/>
  <c r="AM213" i="6"/>
  <c r="AM209" i="6"/>
  <c r="AM210" i="6"/>
  <c r="AM192" i="6"/>
  <c r="AJ213" i="6"/>
  <c r="AJ209" i="6"/>
  <c r="AK213" i="6"/>
  <c r="AK209" i="6"/>
  <c r="AM163" i="6"/>
  <c r="AM172" i="6"/>
  <c r="AM176" i="6"/>
  <c r="AM167" i="6"/>
  <c r="P219" i="2"/>
  <c r="P228" i="2"/>
  <c r="P222" i="2"/>
  <c r="Q219" i="2"/>
  <c r="Q222" i="2"/>
  <c r="Q228" i="2"/>
  <c r="R219" i="2"/>
  <c r="R228" i="2"/>
  <c r="R222" i="2"/>
  <c r="Q204" i="2"/>
  <c r="Q203" i="2"/>
  <c r="Q206" i="2"/>
  <c r="Q205" i="2"/>
  <c r="Q201" i="2"/>
  <c r="BU217" i="2"/>
  <c r="Q198" i="2"/>
  <c r="BU184" i="2"/>
  <c r="Q207" i="2"/>
  <c r="P204" i="2"/>
  <c r="BT184" i="2"/>
  <c r="P201" i="2"/>
  <c r="P203" i="2"/>
  <c r="BT217" i="2"/>
  <c r="P206" i="2"/>
  <c r="P198" i="2"/>
  <c r="P207" i="2"/>
  <c r="P205" i="2"/>
  <c r="BV217" i="2"/>
  <c r="T92" i="2"/>
  <c r="S201" i="2"/>
  <c r="S204" i="2"/>
  <c r="BW184" i="2"/>
  <c r="S205" i="2"/>
  <c r="S203" i="2"/>
  <c r="BW218" i="2"/>
  <c r="BW217" i="2"/>
  <c r="S198" i="2"/>
  <c r="BW185" i="2"/>
  <c r="S207" i="2"/>
  <c r="S206" i="2"/>
  <c r="R201" i="2"/>
  <c r="R207" i="2"/>
  <c r="R198" i="2"/>
  <c r="R206" i="2"/>
  <c r="R204" i="2"/>
  <c r="R203" i="2"/>
  <c r="BV184" i="2"/>
  <c r="R205" i="2"/>
  <c r="AM30" i="6"/>
  <c r="AM36" i="6"/>
  <c r="AX51" i="6"/>
  <c r="AM34" i="6"/>
  <c r="AM51" i="6"/>
  <c r="AM71" i="6"/>
  <c r="AM28" i="6"/>
  <c r="AM55" i="6"/>
  <c r="AM32" i="6"/>
  <c r="AM42" i="6"/>
  <c r="AM65" i="6"/>
  <c r="AM40" i="6"/>
  <c r="AM26" i="6"/>
  <c r="AL26" i="6"/>
  <c r="S94" i="2"/>
  <c r="S86" i="2"/>
  <c r="S105" i="2"/>
  <c r="S92" i="2"/>
  <c r="S106" i="2"/>
  <c r="S87" i="2"/>
  <c r="BW65" i="2"/>
  <c r="S107" i="2"/>
  <c r="S77" i="2"/>
  <c r="S93" i="2"/>
  <c r="S85" i="2"/>
  <c r="R94" i="2"/>
  <c r="R86" i="2"/>
  <c r="R77" i="2"/>
  <c r="R87" i="2"/>
  <c r="R93" i="2"/>
  <c r="R85" i="2"/>
  <c r="R92" i="2"/>
  <c r="Q94" i="2"/>
  <c r="Q86" i="2"/>
  <c r="Q85" i="2"/>
  <c r="Q77" i="2"/>
  <c r="Q93" i="2"/>
  <c r="Q92" i="2"/>
  <c r="Q87" i="2"/>
  <c r="P94" i="2"/>
  <c r="P86" i="2"/>
  <c r="P77" i="2"/>
  <c r="P85" i="2"/>
  <c r="P87" i="2"/>
  <c r="P92" i="2"/>
  <c r="P93" i="2"/>
  <c r="BW40" i="2"/>
  <c r="P2" i="2"/>
  <c r="T2" i="2"/>
  <c r="C17" i="3"/>
  <c r="C10" i="3"/>
  <c r="R2" i="2"/>
  <c r="AE3" i="33"/>
  <c r="AE4" i="33" s="1"/>
  <c r="G33" i="34" s="1"/>
  <c r="AD3" i="33"/>
  <c r="AD4" i="33" s="1"/>
  <c r="G32" i="34" s="1"/>
  <c r="C38" i="1"/>
  <c r="G4" i="28" s="1"/>
  <c r="C21" i="3"/>
  <c r="C19" i="3"/>
  <c r="C12" i="3"/>
  <c r="C16" i="3"/>
  <c r="C18" i="3"/>
  <c r="C3" i="3"/>
  <c r="C6" i="3"/>
  <c r="C25" i="3"/>
  <c r="C24" i="3"/>
  <c r="C5" i="3"/>
  <c r="C9" i="3"/>
  <c r="C15" i="3"/>
  <c r="C20" i="3"/>
  <c r="C23" i="3"/>
  <c r="C8" i="3"/>
  <c r="C22" i="3"/>
  <c r="C4" i="3"/>
  <c r="C7" i="3"/>
  <c r="C13" i="3"/>
  <c r="AM310" i="6"/>
  <c r="AM309" i="6"/>
  <c r="C14" i="3"/>
  <c r="C11" i="3"/>
  <c r="R32" i="28"/>
  <c r="S441" i="2"/>
  <c r="S442" i="2"/>
  <c r="Q32" i="28"/>
  <c r="AT3" i="33"/>
  <c r="AT4" i="33" s="1"/>
  <c r="O59" i="34" s="1"/>
  <c r="AU3" i="33"/>
  <c r="AU4" i="33" s="1"/>
  <c r="O60" i="34" s="1"/>
  <c r="R442" i="2"/>
  <c r="P32" i="28"/>
  <c r="R441" i="2"/>
  <c r="O32" i="28"/>
  <c r="Q442" i="2"/>
  <c r="Q441" i="2"/>
  <c r="AK39" i="6"/>
  <c r="AK309" i="6"/>
  <c r="N32" i="28"/>
  <c r="P441" i="2"/>
  <c r="P442" i="2"/>
  <c r="AG2" i="20" a="1"/>
  <c r="AG2" i="20" s="1"/>
  <c r="AH2" i="20" a="1"/>
  <c r="AH2" i="20" s="1"/>
  <c r="AD2" i="20" a="1"/>
  <c r="AD2" i="20" s="1"/>
  <c r="AE2" i="20" a="1"/>
  <c r="AE2" i="20" s="1"/>
  <c r="AC2" i="20" a="1"/>
  <c r="AC2" i="20" s="1"/>
  <c r="AF2" i="20" a="1"/>
  <c r="AF2" i="20" s="1"/>
  <c r="AG2" i="10" a="1"/>
  <c r="AG2" i="10" s="1"/>
  <c r="AM2" i="10" a="1"/>
  <c r="AM2" i="10" s="1"/>
  <c r="AC2" i="10" a="1"/>
  <c r="AC2" i="10" s="1"/>
  <c r="AK2" i="10" a="1"/>
  <c r="AK2" i="10" s="1"/>
  <c r="AH2" i="10" a="1"/>
  <c r="AH2" i="10" s="1"/>
  <c r="AO2" i="10" a="1"/>
  <c r="AO2" i="10" s="1"/>
  <c r="AJ2" i="10" a="1"/>
  <c r="AJ2" i="10" s="1"/>
  <c r="AL2" i="10" a="1"/>
  <c r="AL2" i="10" s="1"/>
  <c r="AD2" i="10" a="1"/>
  <c r="AD2" i="10" s="1"/>
  <c r="AE2" i="10" a="1"/>
  <c r="AE2" i="10" s="1"/>
  <c r="AF2" i="10" a="1"/>
  <c r="AF2" i="10" s="1"/>
  <c r="AN2" i="10" a="1"/>
  <c r="AN2" i="10" s="1"/>
  <c r="AL2" i="14" a="1"/>
  <c r="AL2" i="14" s="1"/>
  <c r="AM2" i="14" a="1"/>
  <c r="AM2" i="14" s="1"/>
  <c r="AK2" i="14" a="1"/>
  <c r="AK2" i="14" s="1"/>
  <c r="AC2" i="14" a="1"/>
  <c r="AC2" i="14" s="1"/>
  <c r="AN2" i="14" a="1"/>
  <c r="AN2" i="14" s="1"/>
  <c r="AJ2" i="14" a="1"/>
  <c r="AJ2" i="14" s="1"/>
  <c r="AD2" i="14" a="1"/>
  <c r="AD2" i="14" s="1"/>
  <c r="AI2" i="14" a="1"/>
  <c r="AI2" i="14" s="1"/>
  <c r="AE2" i="14" a="1"/>
  <c r="AE2" i="14" s="1"/>
  <c r="AB2" i="14" a="1"/>
  <c r="AB2" i="14" s="1"/>
  <c r="AF2" i="14" a="1"/>
  <c r="AF2" i="14" s="1"/>
  <c r="AG2" i="14" a="1"/>
  <c r="AG2" i="14" s="1"/>
  <c r="AK2" i="15" a="1"/>
  <c r="AK2" i="15" s="1"/>
  <c r="AE2" i="15" a="1"/>
  <c r="AE2" i="15" s="1"/>
  <c r="AJ2" i="15" a="1"/>
  <c r="AJ2" i="15" s="1"/>
  <c r="AF2" i="15" a="1"/>
  <c r="AF2" i="15" s="1"/>
  <c r="AG2" i="15" a="1"/>
  <c r="AG2" i="15" s="1"/>
  <c r="AH2" i="15" a="1"/>
  <c r="AH2" i="15" s="1"/>
  <c r="AO2" i="15" a="1"/>
  <c r="AO2" i="15" s="1"/>
  <c r="AD2" i="15" a="1"/>
  <c r="AD2" i="15" s="1"/>
  <c r="AL2" i="15" a="1"/>
  <c r="AL2" i="15" s="1"/>
  <c r="AC2" i="15" a="1"/>
  <c r="AC2" i="15" s="1"/>
  <c r="AM2" i="15" a="1"/>
  <c r="AM2" i="15" s="1"/>
  <c r="AN2" i="15" a="1"/>
  <c r="AN2" i="15" s="1"/>
  <c r="AO2" i="16" a="1"/>
  <c r="AO2" i="16" s="1"/>
  <c r="AE2" i="16" a="1"/>
  <c r="AE2" i="16" s="1"/>
  <c r="AP2" i="16" a="1"/>
  <c r="AP2" i="16" s="1"/>
  <c r="AD2" i="16" a="1"/>
  <c r="AD2" i="16" s="1"/>
  <c r="AK2" i="16" a="1"/>
  <c r="AK2" i="16" s="1"/>
  <c r="AF2" i="16" a="1"/>
  <c r="AF2" i="16" s="1"/>
  <c r="AG2" i="16" a="1"/>
  <c r="AG2" i="16" s="1"/>
  <c r="AM2" i="16" a="1"/>
  <c r="AM2" i="16" s="1"/>
  <c r="AH2" i="16" a="1"/>
  <c r="AH2" i="16" s="1"/>
  <c r="AN2" i="16" a="1"/>
  <c r="AN2" i="16" s="1"/>
  <c r="AI2" i="16" a="1"/>
  <c r="AI2" i="16" s="1"/>
  <c r="AL2" i="16" a="1"/>
  <c r="AL2" i="16" s="1"/>
  <c r="P406" i="2"/>
  <c r="P404" i="2"/>
  <c r="R406" i="2"/>
  <c r="R404" i="2"/>
  <c r="Q404" i="2"/>
  <c r="Q406" i="2"/>
  <c r="S406" i="2"/>
  <c r="S404" i="2"/>
  <c r="BW249" i="2"/>
  <c r="S333" i="2"/>
  <c r="S353" i="2"/>
  <c r="S345" i="2"/>
  <c r="S348" i="2"/>
  <c r="CE335" i="2"/>
  <c r="CD335" i="2"/>
  <c r="R353" i="2"/>
  <c r="R345" i="2"/>
  <c r="R348" i="2"/>
  <c r="Q348" i="2"/>
  <c r="CC335" i="2"/>
  <c r="Q353" i="2"/>
  <c r="Q345" i="2"/>
  <c r="Q333" i="2"/>
  <c r="P348" i="2"/>
  <c r="P353" i="2"/>
  <c r="P345" i="2"/>
  <c r="T442" i="2"/>
  <c r="AJ309" i="6"/>
  <c r="CB335" i="2"/>
  <c r="AL309" i="6"/>
  <c r="D4" i="3"/>
  <c r="BZ68" i="2"/>
  <c r="AD35" i="2"/>
  <c r="CB224" i="2"/>
  <c r="AE332" i="2"/>
  <c r="AO332" i="2" s="1"/>
  <c r="P68" i="2"/>
  <c r="CJ260" i="2"/>
  <c r="BY45" i="2"/>
  <c r="AE167" i="2"/>
  <c r="AO167" i="2" s="1"/>
  <c r="CJ241" i="2"/>
  <c r="AE275" i="2"/>
  <c r="AO275" i="2" s="1"/>
  <c r="AB240" i="2"/>
  <c r="AL240" i="2" s="1"/>
  <c r="AE96" i="2"/>
  <c r="AO96" i="2" s="1"/>
  <c r="O51" i="34"/>
  <c r="BW273" i="2"/>
  <c r="S84" i="2"/>
  <c r="CB45" i="2"/>
  <c r="CM264" i="2"/>
  <c r="AD385" i="2"/>
  <c r="AN385" i="2" s="1"/>
  <c r="AB6" i="2"/>
  <c r="AB7" i="2" s="1"/>
  <c r="S336" i="2"/>
  <c r="AD22" i="2"/>
  <c r="BW39" i="2"/>
  <c r="AD275" i="2"/>
  <c r="AN275" i="2" s="1"/>
  <c r="CO293" i="2"/>
  <c r="CC45" i="2"/>
  <c r="S78" i="2"/>
  <c r="BT241" i="2"/>
  <c r="BW260" i="2"/>
  <c r="BW88" i="2"/>
  <c r="CK297" i="2"/>
  <c r="BW64" i="2"/>
  <c r="BW42" i="2"/>
  <c r="AD120" i="2"/>
  <c r="AN120" i="2" s="1"/>
  <c r="AE415" i="2"/>
  <c r="AO415" i="2" s="1"/>
  <c r="AC415" i="2"/>
  <c r="AM415" i="2" s="1"/>
  <c r="BX68" i="2"/>
  <c r="CM249" i="2"/>
  <c r="BU180" i="2"/>
  <c r="BU72" i="2"/>
  <c r="CB75" i="2"/>
  <c r="CC92" i="2"/>
  <c r="BV180" i="2"/>
  <c r="BT245" i="2"/>
  <c r="BW261" i="2"/>
  <c r="BU289" i="2"/>
  <c r="S351" i="2"/>
  <c r="AE35" i="2"/>
  <c r="S68" i="2"/>
  <c r="S80" i="2"/>
  <c r="CC82" i="2"/>
  <c r="CC174" i="2"/>
  <c r="BW181" i="2"/>
  <c r="BT264" i="2"/>
  <c r="AB332" i="2"/>
  <c r="AL332" i="2" s="1"/>
  <c r="AE385" i="2"/>
  <c r="AO385" i="2" s="1"/>
  <c r="Q67" i="2"/>
  <c r="CA75" i="2"/>
  <c r="CL268" i="2"/>
  <c r="AE240" i="2"/>
  <c r="AO240" i="2" s="1"/>
  <c r="CL285" i="2"/>
  <c r="CC224" i="2"/>
  <c r="BW68" i="2"/>
  <c r="R78" i="2"/>
  <c r="AE22" i="2"/>
  <c r="T219" i="2"/>
  <c r="CL260" i="2"/>
  <c r="M51" i="34"/>
  <c r="P67" i="2"/>
  <c r="R81" i="2"/>
  <c r="BV270" i="2"/>
  <c r="AA332" i="2"/>
  <c r="AK332" i="2" s="1"/>
  <c r="CL270" i="2"/>
  <c r="BV289" i="2"/>
  <c r="AC240" i="2"/>
  <c r="AM240" i="2" s="1"/>
  <c r="BV264" i="2"/>
  <c r="CJ281" i="2"/>
  <c r="P336" i="2"/>
  <c r="AC332" i="2"/>
  <c r="AM332" i="2" s="1"/>
  <c r="P76" i="2"/>
  <c r="Q76" i="2"/>
  <c r="AB96" i="2"/>
  <c r="AL96" i="2" s="1"/>
  <c r="R68" i="2"/>
  <c r="R80" i="2"/>
  <c r="CA82" i="2"/>
  <c r="Q82" i="2"/>
  <c r="BV72" i="2"/>
  <c r="R84" i="2"/>
  <c r="BV245" i="2"/>
  <c r="AF7" i="2"/>
  <c r="AB35" i="2"/>
  <c r="BV42" i="2"/>
  <c r="R82" i="2"/>
  <c r="BY68" i="2"/>
  <c r="CA92" i="2"/>
  <c r="AC96" i="2"/>
  <c r="AM96" i="2" s="1"/>
  <c r="AB167" i="2"/>
  <c r="AL167" i="2" s="1"/>
  <c r="BV281" i="2"/>
  <c r="N51" i="34"/>
  <c r="AC35" i="2"/>
  <c r="BT39" i="2"/>
  <c r="R67" i="2"/>
  <c r="R76" i="2"/>
  <c r="CC75" i="2"/>
  <c r="S76" i="2"/>
  <c r="BW89" i="2"/>
  <c r="CA224" i="2"/>
  <c r="AC167" i="2"/>
  <c r="AM167" i="2" s="1"/>
  <c r="AB120" i="2"/>
  <c r="AL120" i="2" s="1"/>
  <c r="CH285" i="2"/>
  <c r="CL289" i="2"/>
  <c r="R351" i="2"/>
  <c r="K70" i="34"/>
  <c r="P202" i="2"/>
  <c r="CJ270" i="2"/>
  <c r="BU260" i="2"/>
  <c r="CI281" i="2"/>
  <c r="AA35" i="2"/>
  <c r="BT64" i="2"/>
  <c r="BY75" i="2"/>
  <c r="BT42" i="2"/>
  <c r="Q84" i="2"/>
  <c r="BZ82" i="2"/>
  <c r="CB225" i="2"/>
  <c r="BW241" i="2"/>
  <c r="AA167" i="2"/>
  <c r="AK167" i="2" s="1"/>
  <c r="BT249" i="2"/>
  <c r="BU249" i="2"/>
  <c r="CK264" i="2"/>
  <c r="BW245" i="2"/>
  <c r="BW256" i="2"/>
  <c r="BW269" i="2"/>
  <c r="CK285" i="2"/>
  <c r="BT289" i="2"/>
  <c r="CK289" i="2"/>
  <c r="AC385" i="2"/>
  <c r="AM385" i="2" s="1"/>
  <c r="CN293" i="2"/>
  <c r="BV273" i="2"/>
  <c r="CL264" i="2"/>
  <c r="CO245" i="2"/>
  <c r="CA174" i="2"/>
  <c r="AC22" i="2"/>
  <c r="BV88" i="2"/>
  <c r="R83" i="2"/>
  <c r="CA45" i="2"/>
  <c r="M70" i="34"/>
  <c r="CJ297" i="2"/>
  <c r="BV268" i="2"/>
  <c r="BV249" i="2"/>
  <c r="AB415" i="2"/>
  <c r="AL415" i="2" s="1"/>
  <c r="AB385" i="2"/>
  <c r="AL385" i="2" s="1"/>
  <c r="Q336" i="2"/>
  <c r="CI285" i="2"/>
  <c r="BU273" i="2"/>
  <c r="CK270" i="2"/>
  <c r="BZ224" i="2"/>
  <c r="Q80" i="2"/>
  <c r="Q81" i="2"/>
  <c r="BZ45" i="2"/>
  <c r="L51" i="34"/>
  <c r="CK273" i="2"/>
  <c r="P351" i="2"/>
  <c r="CL293" i="2"/>
  <c r="CJ273" i="2"/>
  <c r="BT260" i="2"/>
  <c r="BY224" i="2"/>
  <c r="P78" i="2"/>
  <c r="BT72" i="2"/>
  <c r="CH281" i="2"/>
  <c r="CJ264" i="2"/>
  <c r="CK260" i="2"/>
  <c r="CH297" i="2"/>
  <c r="CI297" i="2"/>
  <c r="AA385" i="2"/>
  <c r="AK385" i="2" s="1"/>
  <c r="BW268" i="2"/>
  <c r="AD96" i="2"/>
  <c r="AN96" i="2" s="1"/>
  <c r="CM268" i="2"/>
  <c r="BW180" i="2"/>
  <c r="CB92" i="2"/>
  <c r="S67" i="2"/>
  <c r="S83" i="2"/>
  <c r="BW72" i="2"/>
  <c r="AD332" i="2"/>
  <c r="AN332" i="2" s="1"/>
  <c r="BW290" i="2"/>
  <c r="BW264" i="2"/>
  <c r="CM260" i="2"/>
  <c r="CM270" i="2"/>
  <c r="S443" i="2"/>
  <c r="BU42" i="2"/>
  <c r="P80" i="2"/>
  <c r="BU64" i="2"/>
  <c r="Q78" i="2"/>
  <c r="BV64" i="2"/>
  <c r="BV39" i="2"/>
  <c r="BW73" i="2"/>
  <c r="BY82" i="2"/>
  <c r="CB82" i="2"/>
  <c r="BZ174" i="2"/>
  <c r="BV241" i="2"/>
  <c r="CO249" i="2"/>
  <c r="AA240" i="2"/>
  <c r="AK240" i="2" s="1"/>
  <c r="BT273" i="2"/>
  <c r="CN249" i="2"/>
  <c r="BV260" i="2"/>
  <c r="AB275" i="2"/>
  <c r="AL275" i="2" s="1"/>
  <c r="AD167" i="2"/>
  <c r="AN167" i="2" s="1"/>
  <c r="CP245" i="2"/>
  <c r="CK281" i="2"/>
  <c r="BW281" i="2"/>
  <c r="BT281" i="2"/>
  <c r="CJ285" i="2"/>
  <c r="R336" i="2"/>
  <c r="L70" i="34"/>
  <c r="CK241" i="2"/>
  <c r="CJ268" i="2"/>
  <c r="K51" i="34"/>
  <c r="P81" i="2"/>
  <c r="P83" i="2"/>
  <c r="BT88" i="2"/>
  <c r="BY174" i="2"/>
  <c r="BU241" i="2"/>
  <c r="AA120" i="2"/>
  <c r="AK120" i="2" s="1"/>
  <c r="BT268" i="2"/>
  <c r="BU268" i="2"/>
  <c r="CN245" i="2"/>
  <c r="AA275" i="2"/>
  <c r="AK275" i="2" s="1"/>
  <c r="BU39" i="2"/>
  <c r="P82" i="2"/>
  <c r="P84" i="2"/>
  <c r="BZ75" i="2"/>
  <c r="Q83" i="2"/>
  <c r="S81" i="2"/>
  <c r="S82" i="2"/>
  <c r="BY92" i="2"/>
  <c r="AA22" i="2"/>
  <c r="Q202" i="2"/>
  <c r="R202" i="2"/>
  <c r="CB174" i="2"/>
  <c r="CL241" i="2"/>
  <c r="AC120" i="2"/>
  <c r="AM120" i="2" s="1"/>
  <c r="BT270" i="2"/>
  <c r="BU264" i="2"/>
  <c r="BU270" i="2"/>
  <c r="CL273" i="2"/>
  <c r="AC275" i="2"/>
  <c r="AM275" i="2" s="1"/>
  <c r="CP249" i="2"/>
  <c r="AD240" i="2"/>
  <c r="AN240" i="2" s="1"/>
  <c r="BW289" i="2"/>
  <c r="CM293" i="2"/>
  <c r="AA415" i="2"/>
  <c r="AK415" i="2" s="1"/>
  <c r="Q68" i="2"/>
  <c r="BU88" i="2"/>
  <c r="BZ92" i="2"/>
  <c r="AB22" i="2"/>
  <c r="BT180" i="2"/>
  <c r="S202" i="2"/>
  <c r="CM241" i="2"/>
  <c r="AA96" i="2"/>
  <c r="AK96" i="2" s="1"/>
  <c r="CM245" i="2"/>
  <c r="CK268" i="2"/>
  <c r="BU245" i="2"/>
  <c r="CM273" i="2"/>
  <c r="BW270" i="2"/>
  <c r="CM289" i="2"/>
  <c r="CJ289" i="2"/>
  <c r="BU281" i="2"/>
  <c r="Q351" i="2"/>
  <c r="AD415" i="2"/>
  <c r="AN415" i="2" s="1"/>
  <c r="Q443" i="2"/>
  <c r="CA68" i="2"/>
  <c r="AE120" i="2"/>
  <c r="AO120" i="2" s="1"/>
  <c r="T326" i="2"/>
  <c r="AL404" i="6"/>
  <c r="AL452" i="6"/>
  <c r="AM198" i="6"/>
  <c r="AM453" i="6"/>
  <c r="AM452" i="6"/>
  <c r="AK452" i="6"/>
  <c r="E9" i="3"/>
  <c r="E3" i="3"/>
  <c r="E23" i="3"/>
  <c r="F4" i="3"/>
  <c r="D8" i="3"/>
  <c r="E11" i="3"/>
  <c r="E21" i="3"/>
  <c r="D7" i="3"/>
  <c r="D10" i="3"/>
  <c r="D19" i="3"/>
  <c r="E12" i="3"/>
  <c r="D25" i="3"/>
  <c r="D17" i="3"/>
  <c r="D11" i="3"/>
  <c r="E8" i="3"/>
  <c r="D13" i="3"/>
  <c r="D14" i="3"/>
  <c r="E15" i="3"/>
  <c r="AJ348" i="6"/>
  <c r="AJ452" i="6"/>
  <c r="E5" i="3"/>
  <c r="D23" i="3"/>
  <c r="D15" i="3"/>
  <c r="E25" i="3"/>
  <c r="E17" i="3"/>
  <c r="E14" i="3"/>
  <c r="D9" i="3"/>
  <c r="D6" i="3"/>
  <c r="E24" i="3"/>
  <c r="E4" i="3"/>
  <c r="E16" i="3"/>
  <c r="D18" i="3"/>
  <c r="D22" i="3"/>
  <c r="D12" i="3"/>
  <c r="E13" i="3"/>
  <c r="D20" i="3"/>
  <c r="D24" i="3"/>
  <c r="D21" i="3"/>
  <c r="E22" i="3"/>
  <c r="F5" i="3"/>
  <c r="F6" i="3"/>
  <c r="E7" i="3"/>
  <c r="E18" i="3"/>
  <c r="D3" i="3"/>
  <c r="E19" i="3"/>
  <c r="E6" i="3"/>
  <c r="E10" i="3"/>
  <c r="F3" i="3"/>
  <c r="E20" i="3"/>
  <c r="D16" i="3"/>
  <c r="D5" i="3"/>
  <c r="AK183" i="6"/>
  <c r="AK441" i="6"/>
  <c r="AK27" i="6"/>
  <c r="AK417" i="6"/>
  <c r="AK35" i="6"/>
  <c r="AK25" i="6"/>
  <c r="AK54" i="6"/>
  <c r="AK166" i="6"/>
  <c r="AK282" i="6"/>
  <c r="AK361" i="6"/>
  <c r="AK52" i="6"/>
  <c r="AK87" i="6"/>
  <c r="AK162" i="6"/>
  <c r="AK244" i="6"/>
  <c r="AK64" i="6"/>
  <c r="AK171" i="6"/>
  <c r="AP200" i="6"/>
  <c r="AK41" i="6"/>
  <c r="AK230" i="6"/>
  <c r="AK286" i="6"/>
  <c r="AK445" i="6"/>
  <c r="AK48" i="6"/>
  <c r="AK278" i="6"/>
  <c r="AK70" i="6"/>
  <c r="AK248" i="6"/>
  <c r="AK56" i="6"/>
  <c r="AK273" i="6"/>
  <c r="AK33" i="6"/>
  <c r="AV50" i="6"/>
  <c r="AK195" i="6"/>
  <c r="AK348" i="6"/>
  <c r="AK421" i="6"/>
  <c r="AJ35" i="6"/>
  <c r="AK31" i="6"/>
  <c r="AJ52" i="6"/>
  <c r="AK357" i="6"/>
  <c r="AK37" i="6"/>
  <c r="AK62" i="6"/>
  <c r="AK240" i="6"/>
  <c r="AK413" i="6"/>
  <c r="AK191" i="6"/>
  <c r="AK264" i="6"/>
  <c r="AK344" i="6"/>
  <c r="AK404" i="6"/>
  <c r="AM39" i="6"/>
  <c r="AM88" i="6"/>
  <c r="AK29" i="6"/>
  <c r="AK50" i="6"/>
  <c r="AK84" i="6"/>
  <c r="AK175" i="6"/>
  <c r="AK236" i="6"/>
  <c r="AM248" i="6"/>
  <c r="AM37" i="6"/>
  <c r="AM49" i="6"/>
  <c r="AM63" i="6"/>
  <c r="AE92" i="2"/>
  <c r="AO92" i="2" s="1"/>
  <c r="AJ62" i="6"/>
  <c r="AJ230" i="6"/>
  <c r="AJ413" i="6"/>
  <c r="AJ25" i="6"/>
  <c r="AM29" i="6"/>
  <c r="AU50" i="6"/>
  <c r="AJ50" i="6"/>
  <c r="AM57" i="6"/>
  <c r="AM84" i="6"/>
  <c r="AJ175" i="6"/>
  <c r="AJ244" i="6"/>
  <c r="AM236" i="6"/>
  <c r="AJ39" i="6"/>
  <c r="AM62" i="6"/>
  <c r="AJ171" i="6"/>
  <c r="AJ286" i="6"/>
  <c r="AJ441" i="6"/>
  <c r="AJ87" i="6"/>
  <c r="AJ357" i="6"/>
  <c r="AJ27" i="6"/>
  <c r="AJ56" i="6"/>
  <c r="AJ273" i="6"/>
  <c r="AJ421" i="6"/>
  <c r="AJ344" i="6"/>
  <c r="AJ33" i="6"/>
  <c r="AJ54" i="6"/>
  <c r="AJ162" i="6"/>
  <c r="AJ195" i="6"/>
  <c r="AO200" i="6"/>
  <c r="AJ282" i="6"/>
  <c r="AJ445" i="6"/>
  <c r="AJ417" i="6"/>
  <c r="AJ70" i="6"/>
  <c r="AJ166" i="6"/>
  <c r="AJ236" i="6"/>
  <c r="AJ31" i="6"/>
  <c r="AJ64" i="6"/>
  <c r="AM162" i="6"/>
  <c r="AJ404" i="6"/>
  <c r="AG60" i="16"/>
  <c r="AE60" i="16"/>
  <c r="AF60" i="16"/>
  <c r="AH60" i="16"/>
  <c r="AD60" i="16"/>
  <c r="AM445" i="6"/>
  <c r="AM417" i="6"/>
  <c r="AM274" i="6"/>
  <c r="AM282" i="6"/>
  <c r="AM244" i="6"/>
  <c r="AM52" i="6"/>
  <c r="AM56" i="6"/>
  <c r="AM50" i="6"/>
  <c r="AM48" i="6"/>
  <c r="AM25" i="6"/>
  <c r="AM70" i="6"/>
  <c r="AM279" i="6"/>
  <c r="AM166" i="6"/>
  <c r="AM35" i="6"/>
  <c r="AM183" i="6"/>
  <c r="AM414" i="6"/>
  <c r="AM357" i="6"/>
  <c r="AM273" i="6"/>
  <c r="AM230" i="6"/>
  <c r="AM413" i="6"/>
  <c r="AM41" i="6"/>
  <c r="AM441" i="6"/>
  <c r="AM278" i="6"/>
  <c r="AM171" i="6"/>
  <c r="AM64" i="6"/>
  <c r="AM33" i="6"/>
  <c r="AM265" i="6"/>
  <c r="AM184" i="6"/>
  <c r="AM424" i="6"/>
  <c r="AM404" i="6"/>
  <c r="AM422" i="6"/>
  <c r="AM361" i="6"/>
  <c r="AM191" i="6"/>
  <c r="AM85" i="6"/>
  <c r="AM54" i="6"/>
  <c r="AM27" i="6"/>
  <c r="AM421" i="6"/>
  <c r="AM446" i="6"/>
  <c r="AM418" i="6"/>
  <c r="AM264" i="6"/>
  <c r="AM240" i="6"/>
  <c r="AR200" i="6"/>
  <c r="AM87" i="6"/>
  <c r="AX50" i="6"/>
  <c r="AM31" i="6"/>
  <c r="AM348" i="6"/>
  <c r="AM344" i="6"/>
  <c r="AM195" i="6"/>
  <c r="AE94" i="2"/>
  <c r="AO94" i="2" s="1"/>
  <c r="AM175" i="6"/>
  <c r="AM286" i="6"/>
  <c r="AJ29" i="6"/>
  <c r="AJ48" i="6"/>
  <c r="AJ183" i="6"/>
  <c r="AJ240" i="6"/>
  <c r="AJ278" i="6"/>
  <c r="AJ361" i="6"/>
  <c r="AJ37" i="6"/>
  <c r="AJ41" i="6"/>
  <c r="AJ84" i="6"/>
  <c r="AJ191" i="6"/>
  <c r="AJ248" i="6"/>
  <c r="AJ264" i="6"/>
  <c r="Z7" i="2"/>
  <c r="L2" i="2"/>
  <c r="C32" i="1"/>
  <c r="C5" i="28" s="1"/>
  <c r="X7" i="2"/>
  <c r="X3" i="33"/>
  <c r="X4" i="33" s="1"/>
  <c r="AS3" i="33"/>
  <c r="AS4" i="33" s="1"/>
  <c r="E45" i="34" s="1"/>
  <c r="B28" i="2"/>
  <c r="BF27" i="2" s="1"/>
  <c r="BF28" i="2" s="1"/>
  <c r="W3" i="33"/>
  <c r="W4" i="33" s="1"/>
  <c r="AP2" i="14"/>
  <c r="AQ2" i="15"/>
  <c r="AQ3" i="15"/>
  <c r="AQ2" i="10"/>
  <c r="AR9" i="16"/>
  <c r="AR6" i="16"/>
  <c r="AR12" i="16"/>
  <c r="AR11" i="16"/>
  <c r="AR10" i="16"/>
  <c r="M188" i="33"/>
  <c r="K160" i="33"/>
  <c r="AR4" i="16"/>
  <c r="AB6" i="16"/>
  <c r="AR16" i="16"/>
  <c r="AR14" i="16"/>
  <c r="L189" i="33"/>
  <c r="AB22" i="16"/>
  <c r="L188" i="33"/>
  <c r="M166" i="33"/>
  <c r="AR2" i="16"/>
  <c r="AB11" i="16"/>
  <c r="R2" i="26" a="1"/>
  <c r="R2" i="26" s="1"/>
  <c r="AR3" i="16"/>
  <c r="CN3" i="33"/>
  <c r="CN4" i="33" s="1"/>
  <c r="M62" i="34" s="1"/>
  <c r="CL3" i="33"/>
  <c r="CL4" i="33" s="1"/>
  <c r="K62" i="34" s="1"/>
  <c r="K213" i="33"/>
  <c r="L196" i="33"/>
  <c r="AB4" i="16"/>
  <c r="L214" i="33"/>
  <c r="M192" i="33"/>
  <c r="AB16" i="16"/>
  <c r="G2" i="16"/>
  <c r="AB14" i="16"/>
  <c r="AB10" i="16"/>
  <c r="AB20" i="16"/>
  <c r="D154" i="2"/>
  <c r="FK3" i="33"/>
  <c r="FK4" i="33" s="1"/>
  <c r="G74" i="34" s="1"/>
  <c r="L192" i="33"/>
  <c r="AP3" i="14"/>
  <c r="EP3" i="33"/>
  <c r="EP4" i="33" s="1"/>
  <c r="AF3" i="33"/>
  <c r="AF4" i="33" s="1"/>
  <c r="G25" i="34" s="1"/>
  <c r="S3" i="33"/>
  <c r="S4" i="33" s="1"/>
  <c r="FI3" i="33"/>
  <c r="FI4" i="33" s="1"/>
  <c r="E3" i="33"/>
  <c r="E4" i="33" s="1"/>
  <c r="F8" i="34" s="1"/>
  <c r="FD3" i="33"/>
  <c r="FD4" i="33" s="1"/>
  <c r="EM3" i="33"/>
  <c r="EM4" i="33" s="1"/>
  <c r="CF3" i="33"/>
  <c r="CF4" i="33" s="1"/>
  <c r="M61" i="34" s="1"/>
  <c r="AG3" i="33"/>
  <c r="AG4" i="33" s="1"/>
  <c r="G26" i="34" s="1"/>
  <c r="AM3" i="33"/>
  <c r="AM4" i="33" s="1"/>
  <c r="E38" i="34" s="1"/>
  <c r="O3" i="33"/>
  <c r="O4" i="33" s="1"/>
  <c r="G17" i="34" s="1"/>
  <c r="FF3" i="33"/>
  <c r="FF4" i="33" s="1"/>
  <c r="D131" i="2"/>
  <c r="D145" i="2"/>
  <c r="D134" i="2"/>
  <c r="H21" i="17"/>
  <c r="K151" i="33"/>
  <c r="K195" i="33"/>
  <c r="K188" i="33"/>
  <c r="Z2" i="19"/>
  <c r="D148" i="2"/>
  <c r="D138" i="2"/>
  <c r="D151" i="2"/>
  <c r="D164" i="2"/>
  <c r="AB9" i="16"/>
  <c r="AB12" i="16"/>
  <c r="Y3" i="33"/>
  <c r="Y4" i="33" s="1"/>
  <c r="O11" i="34" s="1"/>
  <c r="V3" i="33"/>
  <c r="V4" i="33" s="1"/>
  <c r="O8" i="34" s="1"/>
  <c r="AB13" i="16"/>
  <c r="AB15" i="16"/>
  <c r="AR15" i="16"/>
  <c r="AR7" i="16"/>
  <c r="AB21" i="16"/>
  <c r="AR13" i="16"/>
  <c r="AR5" i="16"/>
  <c r="AB5" i="16"/>
  <c r="AB19" i="16"/>
  <c r="AQ200" i="6"/>
  <c r="AL191" i="6"/>
  <c r="DE3" i="33"/>
  <c r="DE4" i="33" s="1"/>
  <c r="M65" i="34" s="1"/>
  <c r="FG3" i="33"/>
  <c r="FG4" i="33" s="1"/>
  <c r="AA3" i="33"/>
  <c r="AA4" i="33" s="1"/>
  <c r="E12" i="34" s="1"/>
  <c r="FH3" i="33"/>
  <c r="FH4" i="33" s="1"/>
  <c r="BE3" i="33"/>
  <c r="BE4" i="33" s="1"/>
  <c r="K60" i="34" s="1"/>
  <c r="DU3" i="33"/>
  <c r="DU4" i="33" s="1"/>
  <c r="M67" i="34" s="1"/>
  <c r="F3" i="33"/>
  <c r="F4" i="33" s="1"/>
  <c r="CP3" i="33"/>
  <c r="CP4" i="33" s="1"/>
  <c r="G66" i="34" s="1"/>
  <c r="Q3" i="33"/>
  <c r="Q4" i="33" s="1"/>
  <c r="G20" i="34" s="1"/>
  <c r="CX3" i="33"/>
  <c r="CX4" i="33" s="1"/>
  <c r="F65" i="34" s="1"/>
  <c r="CY3" i="33"/>
  <c r="CY4" i="33" s="1"/>
  <c r="G65" i="34" s="1"/>
  <c r="R3" i="33"/>
  <c r="R4" i="33" s="1"/>
  <c r="G21" i="34" s="1"/>
  <c r="FE3" i="33"/>
  <c r="FE4" i="33" s="1"/>
  <c r="DT3" i="33"/>
  <c r="DT4" i="33" s="1"/>
  <c r="L67" i="34" s="1"/>
  <c r="DD3" i="33"/>
  <c r="DD4" i="33" s="1"/>
  <c r="L65" i="34" s="1"/>
  <c r="BB3" i="33"/>
  <c r="BB4" i="33" s="1"/>
  <c r="H60" i="34" s="1"/>
  <c r="N3" i="33"/>
  <c r="N4" i="33" s="1"/>
  <c r="G16" i="34" s="1"/>
  <c r="EF3" i="33"/>
  <c r="EF4" i="33" s="1"/>
  <c r="AB3" i="33"/>
  <c r="AB4" i="33" s="1"/>
  <c r="E13" i="34" s="1"/>
  <c r="CC3" i="33"/>
  <c r="CC4" i="33" s="1"/>
  <c r="J61" i="34" s="1"/>
  <c r="T3" i="33"/>
  <c r="T4" i="33" s="1"/>
  <c r="E20" i="34" s="1"/>
  <c r="BI3" i="33"/>
  <c r="BI4" i="33" s="1"/>
  <c r="F59" i="34" s="1"/>
  <c r="BJ3" i="33"/>
  <c r="BJ4" i="33" s="1"/>
  <c r="G59" i="34" s="1"/>
  <c r="C3" i="33"/>
  <c r="C4" i="33" s="1"/>
  <c r="E8" i="34" s="1"/>
  <c r="BZ3" i="33"/>
  <c r="BZ4" i="33" s="1"/>
  <c r="G61" i="34" s="1"/>
  <c r="BN3" i="33"/>
  <c r="BN4" i="33" s="1"/>
  <c r="K59" i="34" s="1"/>
  <c r="CE3" i="33"/>
  <c r="CE4" i="33" s="1"/>
  <c r="L61" i="34" s="1"/>
  <c r="AK3" i="33"/>
  <c r="AK4" i="33" s="1"/>
  <c r="E36" i="34" s="1"/>
  <c r="BK3" i="33"/>
  <c r="BK4" i="33" s="1"/>
  <c r="H59" i="34" s="1"/>
  <c r="FB3" i="33"/>
  <c r="FB4" i="33" s="1"/>
  <c r="EH3" i="33"/>
  <c r="EH4" i="33" s="1"/>
  <c r="DP3" i="33"/>
  <c r="DP4" i="33" s="1"/>
  <c r="H67" i="34" s="1"/>
  <c r="CU3" i="33"/>
  <c r="CU4" i="33" s="1"/>
  <c r="L66" i="34" s="1"/>
  <c r="CZ3" i="33"/>
  <c r="CZ4" i="33" s="1"/>
  <c r="H65" i="34" s="1"/>
  <c r="BO3" i="33"/>
  <c r="BO4" i="33" s="1"/>
  <c r="L59" i="34" s="1"/>
  <c r="AC3" i="33"/>
  <c r="AC4" i="33" s="1"/>
  <c r="E25" i="34" s="1"/>
  <c r="AZ3" i="33"/>
  <c r="AZ4" i="33" s="1"/>
  <c r="F60" i="34" s="1"/>
  <c r="ES3" i="33"/>
  <c r="ES4" i="33" s="1"/>
  <c r="BY3" i="33"/>
  <c r="BY4" i="33" s="1"/>
  <c r="F61" i="34" s="1"/>
  <c r="AH3" i="33"/>
  <c r="AH4" i="33" s="1"/>
  <c r="G28" i="34" s="1"/>
  <c r="DS3" i="33"/>
  <c r="DS4" i="33" s="1"/>
  <c r="K67" i="34" s="1"/>
  <c r="AX3" i="33"/>
  <c r="AX4" i="33" s="1"/>
  <c r="M37" i="34" s="1"/>
  <c r="Z3" i="33"/>
  <c r="Z4" i="33" s="1"/>
  <c r="E29" i="34" s="1"/>
  <c r="EJ3" i="33"/>
  <c r="EJ4" i="33" s="1"/>
  <c r="D3" i="33"/>
  <c r="D4" i="33" s="1"/>
  <c r="EL3" i="33"/>
  <c r="EL4" i="33" s="1"/>
  <c r="AV3" i="33"/>
  <c r="AV4" i="33" s="1"/>
  <c r="J36" i="34" s="1"/>
  <c r="BF3" i="33"/>
  <c r="BF4" i="33" s="1"/>
  <c r="L60" i="34" s="1"/>
  <c r="CQ3" i="33"/>
  <c r="CQ4" i="33" s="1"/>
  <c r="H66" i="34" s="1"/>
  <c r="B9" i="33"/>
  <c r="ER3" i="33"/>
  <c r="ER4" i="33" s="1"/>
  <c r="AP3" i="33"/>
  <c r="AP4" i="33" s="1"/>
  <c r="E42" i="34" s="1"/>
  <c r="DR3" i="33"/>
  <c r="DR4" i="33" s="1"/>
  <c r="J67" i="34" s="1"/>
  <c r="ED3" i="33"/>
  <c r="ED4" i="33" s="1"/>
  <c r="B7" i="33"/>
  <c r="AI3" i="33"/>
  <c r="AI4" i="33" s="1"/>
  <c r="G29" i="34" s="1"/>
  <c r="AL3" i="33"/>
  <c r="AL4" i="33" s="1"/>
  <c r="E37" i="34" s="1"/>
  <c r="DN3" i="33"/>
  <c r="DN4" i="33" s="1"/>
  <c r="F67" i="34" s="1"/>
  <c r="DB3" i="33"/>
  <c r="DB4" i="33" s="1"/>
  <c r="J65" i="34" s="1"/>
  <c r="EI3" i="33"/>
  <c r="EI4" i="33" s="1"/>
  <c r="AQ3" i="33"/>
  <c r="AQ4" i="33" s="1"/>
  <c r="E43" i="34" s="1"/>
  <c r="FC3" i="33"/>
  <c r="FC4" i="33" s="1"/>
  <c r="AN3" i="33"/>
  <c r="AN4" i="33" s="1"/>
  <c r="E40" i="34" s="1"/>
  <c r="EK3" i="33"/>
  <c r="EK4" i="33" s="1"/>
  <c r="P3" i="33"/>
  <c r="P4" i="33" s="1"/>
  <c r="G19" i="34" s="1"/>
  <c r="BP3" i="33"/>
  <c r="BP4" i="33" s="1"/>
  <c r="M59" i="34" s="1"/>
  <c r="CV3" i="33"/>
  <c r="CV4" i="33" s="1"/>
  <c r="M66" i="34" s="1"/>
  <c r="AY3" i="33"/>
  <c r="AY4" i="33" s="1"/>
  <c r="EE3" i="33"/>
  <c r="EE4" i="33" s="1"/>
  <c r="AO3" i="33"/>
  <c r="AO4" i="33" s="1"/>
  <c r="E41" i="34" s="1"/>
  <c r="BM3" i="33"/>
  <c r="BM4" i="33" s="1"/>
  <c r="J59" i="34" s="1"/>
  <c r="CD3" i="33"/>
  <c r="CD4" i="33" s="1"/>
  <c r="K61" i="34" s="1"/>
  <c r="CT3" i="33"/>
  <c r="CT4" i="33" s="1"/>
  <c r="K66" i="34" s="1"/>
  <c r="AW3" i="33"/>
  <c r="AW4" i="33" s="1"/>
  <c r="M36" i="34" s="1"/>
  <c r="AR3" i="33"/>
  <c r="AR4" i="33" s="1"/>
  <c r="E44" i="34" s="1"/>
  <c r="AJ3" i="33"/>
  <c r="AJ4" i="33" s="1"/>
  <c r="G30" i="34" s="1"/>
  <c r="EQ3" i="33"/>
  <c r="EQ4" i="33" s="1"/>
  <c r="EN3" i="33"/>
  <c r="EN4" i="33" s="1"/>
  <c r="CO3" i="33"/>
  <c r="CO4" i="33" s="1"/>
  <c r="F66" i="34" s="1"/>
  <c r="DC3" i="33"/>
  <c r="DC4" i="33" s="1"/>
  <c r="K65" i="34" s="1"/>
  <c r="CA3" i="33"/>
  <c r="CA4" i="33" s="1"/>
  <c r="H61" i="34" s="1"/>
  <c r="BD3" i="33"/>
  <c r="BD4" i="33" s="1"/>
  <c r="J60" i="34" s="1"/>
  <c r="BA3" i="33"/>
  <c r="BA4" i="33" s="1"/>
  <c r="G60" i="34" s="1"/>
  <c r="DO3" i="33"/>
  <c r="DO4" i="33" s="1"/>
  <c r="G67" i="34" s="1"/>
  <c r="CS3" i="33"/>
  <c r="CS4" i="33" s="1"/>
  <c r="J66" i="34" s="1"/>
  <c r="BG3" i="33"/>
  <c r="BG4" i="33" s="1"/>
  <c r="M60" i="34" s="1"/>
  <c r="U3" i="33"/>
  <c r="U4" i="33" s="1"/>
  <c r="L8" i="34" s="1"/>
  <c r="AL162" i="6"/>
  <c r="AL264" i="6"/>
  <c r="AL87" i="6"/>
  <c r="AL244" i="6"/>
  <c r="AL278" i="6"/>
  <c r="R443" i="2"/>
  <c r="AL84" i="6"/>
  <c r="AL248" i="6"/>
  <c r="AL282" i="6"/>
  <c r="AL413" i="6"/>
  <c r="AL441" i="6"/>
  <c r="AL236" i="6"/>
  <c r="AL273" i="6"/>
  <c r="AL33" i="6"/>
  <c r="AL240" i="6"/>
  <c r="AL70" i="6"/>
  <c r="AL31" i="6"/>
  <c r="AL230" i="6"/>
  <c r="AL37" i="6"/>
  <c r="AL50" i="6"/>
  <c r="AL361" i="6"/>
  <c r="AL29" i="6"/>
  <c r="AL348" i="6"/>
  <c r="AL445" i="6"/>
  <c r="AL35" i="6"/>
  <c r="AL62" i="6"/>
  <c r="AL357" i="6"/>
  <c r="AL417" i="6"/>
  <c r="AL54" i="6"/>
  <c r="AL344" i="6"/>
  <c r="AL25" i="6"/>
  <c r="AL64" i="6"/>
  <c r="AL41" i="6"/>
  <c r="AL52" i="6"/>
  <c r="AL175" i="6"/>
  <c r="AL195" i="6"/>
  <c r="AL27" i="6"/>
  <c r="AL48" i="6"/>
  <c r="AL56" i="6"/>
  <c r="AL183" i="6"/>
  <c r="AW50" i="6"/>
  <c r="AL171" i="6"/>
  <c r="AL421" i="6"/>
  <c r="AL39" i="6"/>
  <c r="AL166" i="6"/>
  <c r="AL286" i="6"/>
  <c r="AD7" i="2"/>
  <c r="AZ25" i="2" l="1"/>
  <c r="AZ26" i="2" s="1"/>
  <c r="BD25" i="2"/>
  <c r="BD26" i="2" s="1"/>
  <c r="BE25" i="2"/>
  <c r="BE26" i="2" s="1"/>
  <c r="BG25" i="2"/>
  <c r="BG26" i="2" s="1"/>
  <c r="BC25" i="2"/>
  <c r="BC26" i="2" s="1"/>
  <c r="AZ27" i="2"/>
  <c r="AZ28" i="2" s="1"/>
  <c r="BC27" i="2"/>
  <c r="BC28" i="2" s="1"/>
  <c r="BD27" i="2"/>
  <c r="BD28" i="2" s="1"/>
  <c r="BE27" i="2"/>
  <c r="BE28" i="2" s="1"/>
  <c r="BG27" i="2"/>
  <c r="BG28" i="2" s="1"/>
  <c r="AQ409" i="6"/>
  <c r="AP409" i="6" s="1"/>
  <c r="T13" i="2"/>
  <c r="T4" i="2"/>
  <c r="T5" i="2"/>
  <c r="T3" i="2"/>
  <c r="T6" i="2"/>
  <c r="T8" i="2"/>
  <c r="T7" i="2"/>
  <c r="T11" i="2"/>
  <c r="T9" i="2"/>
  <c r="T10" i="2"/>
  <c r="AF16" i="2"/>
  <c r="AF13" i="2"/>
  <c r="AF11" i="2"/>
  <c r="AF14" i="2"/>
  <c r="AF12" i="2"/>
  <c r="AF15" i="2"/>
  <c r="BV336" i="2"/>
  <c r="BT336" i="2" s="1"/>
  <c r="P333" i="2" s="1"/>
  <c r="K191" i="33"/>
  <c r="K192" i="33"/>
  <c r="K172" i="33"/>
  <c r="K164" i="33"/>
  <c r="K166" i="33"/>
  <c r="K189" i="33"/>
  <c r="K156" i="33"/>
  <c r="K207" i="33"/>
  <c r="K163" i="33"/>
  <c r="K215" i="33"/>
  <c r="L213" i="33"/>
  <c r="L148" i="33"/>
  <c r="L215" i="33"/>
  <c r="L207" i="33"/>
  <c r="L155" i="33"/>
  <c r="L160" i="33"/>
  <c r="L205" i="33"/>
  <c r="L166" i="33"/>
  <c r="L191" i="33"/>
  <c r="L210" i="33"/>
  <c r="L162" i="33"/>
  <c r="M160" i="33"/>
  <c r="M207" i="33"/>
  <c r="M145" i="33"/>
  <c r="M190" i="33"/>
  <c r="M183" i="33"/>
  <c r="M191" i="33"/>
  <c r="M189" i="33"/>
  <c r="M211" i="33"/>
  <c r="M215" i="33"/>
  <c r="K206" i="33"/>
  <c r="K208" i="33"/>
  <c r="K173" i="33"/>
  <c r="K183" i="33"/>
  <c r="K145" i="33"/>
  <c r="K162" i="33"/>
  <c r="K167" i="33"/>
  <c r="K158" i="33"/>
  <c r="K155" i="33"/>
  <c r="K211" i="33"/>
  <c r="K193" i="33"/>
  <c r="K184" i="33"/>
  <c r="K147" i="33"/>
  <c r="K196" i="33"/>
  <c r="K169" i="33"/>
  <c r="K149" i="33"/>
  <c r="K148" i="33"/>
  <c r="K178" i="33"/>
  <c r="K161" i="33"/>
  <c r="K146" i="33"/>
  <c r="K203" i="33"/>
  <c r="K212" i="33"/>
  <c r="K186" i="33"/>
  <c r="K210" i="33"/>
  <c r="K179" i="33"/>
  <c r="K209" i="33"/>
  <c r="K182" i="33"/>
  <c r="K165" i="33"/>
  <c r="K157" i="33"/>
  <c r="K205" i="33"/>
  <c r="K152" i="33"/>
  <c r="K159" i="33"/>
  <c r="K197" i="33"/>
  <c r="K214" i="33"/>
  <c r="K190" i="33"/>
  <c r="K202" i="33"/>
  <c r="K204" i="33"/>
  <c r="L158" i="33"/>
  <c r="L149" i="33"/>
  <c r="L172" i="33"/>
  <c r="L173" i="33"/>
  <c r="L161" i="33"/>
  <c r="L212" i="33"/>
  <c r="L195" i="33"/>
  <c r="L169" i="33"/>
  <c r="L146" i="33"/>
  <c r="L157" i="33"/>
  <c r="L147" i="33"/>
  <c r="L209" i="33"/>
  <c r="L202" i="33"/>
  <c r="L208" i="33"/>
  <c r="L211" i="33"/>
  <c r="L203" i="33"/>
  <c r="L197" i="33"/>
  <c r="L206" i="33"/>
  <c r="L150" i="33"/>
  <c r="L184" i="33"/>
  <c r="L178" i="33"/>
  <c r="L183" i="33"/>
  <c r="L167" i="33"/>
  <c r="L193" i="33"/>
  <c r="L164" i="33"/>
  <c r="L163" i="33"/>
  <c r="L151" i="33"/>
  <c r="L187" i="33"/>
  <c r="L182" i="33"/>
  <c r="L152" i="33"/>
  <c r="L145" i="33"/>
  <c r="L165" i="33"/>
  <c r="L190" i="33"/>
  <c r="L179" i="33"/>
  <c r="L204" i="33"/>
  <c r="L159" i="33"/>
  <c r="M163" i="33"/>
  <c r="M195" i="33"/>
  <c r="M167" i="33"/>
  <c r="M210" i="33"/>
  <c r="M206" i="33"/>
  <c r="M146" i="33"/>
  <c r="M169" i="33"/>
  <c r="M209" i="33"/>
  <c r="M158" i="33"/>
  <c r="M203" i="33"/>
  <c r="M214" i="33"/>
  <c r="M204" i="33"/>
  <c r="M157" i="33"/>
  <c r="M179" i="33"/>
  <c r="M197" i="33"/>
  <c r="M173" i="33"/>
  <c r="M208" i="33"/>
  <c r="M182" i="33"/>
  <c r="M186" i="33"/>
  <c r="M147" i="33"/>
  <c r="M205" i="33"/>
  <c r="M161" i="33"/>
  <c r="L186" i="33"/>
  <c r="M212" i="33"/>
  <c r="M213" i="33"/>
  <c r="M193" i="33"/>
  <c r="M178" i="33"/>
  <c r="M202" i="33"/>
  <c r="M164" i="33"/>
  <c r="M152" i="33"/>
  <c r="M155" i="33"/>
  <c r="M150" i="33"/>
  <c r="M187" i="33"/>
  <c r="M148" i="33"/>
  <c r="M159" i="33"/>
  <c r="M149" i="33"/>
  <c r="M184" i="33"/>
  <c r="M151" i="33"/>
  <c r="M196" i="33"/>
  <c r="AA2" i="12"/>
  <c r="R3" i="2"/>
  <c r="R4" i="2"/>
  <c r="AC118" i="2" s="1"/>
  <c r="AM118" i="2" s="1"/>
  <c r="L14" i="2"/>
  <c r="L3" i="2"/>
  <c r="L4" i="2"/>
  <c r="W118" i="2" s="1"/>
  <c r="AG118" i="2" s="1"/>
  <c r="P8" i="2"/>
  <c r="P3" i="2"/>
  <c r="P4" i="2"/>
  <c r="AA118" i="2" s="1"/>
  <c r="AK118" i="2" s="1"/>
  <c r="E16" i="34"/>
  <c r="D54" i="34"/>
  <c r="V11" i="2"/>
  <c r="AE422" i="2" s="1"/>
  <c r="U23" i="2"/>
  <c r="U24" i="2" s="1"/>
  <c r="L23" i="2"/>
  <c r="N23" i="2"/>
  <c r="M23" i="2"/>
  <c r="T23" i="2"/>
  <c r="K23" i="2"/>
  <c r="J27" i="2"/>
  <c r="J28" i="2" s="1"/>
  <c r="AY27" i="2"/>
  <c r="AY28" i="2" s="1"/>
  <c r="AB27" i="2"/>
  <c r="AB28" i="2" s="1"/>
  <c r="L27" i="2"/>
  <c r="L28" i="2" s="1"/>
  <c r="AX27" i="2"/>
  <c r="AX28" i="2" s="1"/>
  <c r="AW27" i="2"/>
  <c r="AW28" i="2" s="1"/>
  <c r="AV27" i="2"/>
  <c r="AV28" i="2" s="1"/>
  <c r="AU27" i="2"/>
  <c r="AU28" i="2" s="1"/>
  <c r="AT27" i="2"/>
  <c r="AT28" i="2" s="1"/>
  <c r="AR27" i="2"/>
  <c r="AR28" i="2" s="1"/>
  <c r="AE27" i="2"/>
  <c r="AE28" i="2" s="1"/>
  <c r="AQ27" i="2"/>
  <c r="AQ28" i="2" s="1"/>
  <c r="AP27" i="2"/>
  <c r="AP28" i="2" s="1"/>
  <c r="AD27" i="2"/>
  <c r="AD28" i="2" s="1"/>
  <c r="AC27" i="2"/>
  <c r="AC28" i="2" s="1"/>
  <c r="AA27" i="2"/>
  <c r="AA28" i="2" s="1"/>
  <c r="Z27" i="2"/>
  <c r="Z28" i="2" s="1"/>
  <c r="X27" i="2"/>
  <c r="X28" i="2" s="1"/>
  <c r="W27" i="2"/>
  <c r="W28" i="2" s="1"/>
  <c r="N27" i="2"/>
  <c r="N28" i="2" s="1"/>
  <c r="V27" i="2"/>
  <c r="V28" i="2" s="1"/>
  <c r="U27" i="2"/>
  <c r="U28" i="2" s="1"/>
  <c r="T27" i="2"/>
  <c r="T28" i="2" s="1"/>
  <c r="S27" i="2"/>
  <c r="S28" i="2" s="1"/>
  <c r="R27" i="2"/>
  <c r="R28" i="2" s="1"/>
  <c r="Q27" i="2"/>
  <c r="Q28" i="2" s="1"/>
  <c r="P27" i="2"/>
  <c r="P28" i="2" s="1"/>
  <c r="O27" i="2"/>
  <c r="O28" i="2" s="1"/>
  <c r="M27" i="2"/>
  <c r="M28" i="2" s="1"/>
  <c r="K27" i="2"/>
  <c r="K28" i="2" s="1"/>
  <c r="J25" i="2"/>
  <c r="J26" i="2" s="1"/>
  <c r="AY25" i="2"/>
  <c r="AY26" i="2" s="1"/>
  <c r="AX25" i="2"/>
  <c r="AX26" i="2" s="1"/>
  <c r="AW25" i="2"/>
  <c r="AW26" i="2" s="1"/>
  <c r="AV25" i="2"/>
  <c r="AV26" i="2" s="1"/>
  <c r="AU25" i="2"/>
  <c r="AU26" i="2" s="1"/>
  <c r="K25" i="2"/>
  <c r="K26" i="2" s="1"/>
  <c r="F72" i="34" s="1"/>
  <c r="AT25" i="2"/>
  <c r="AT26" i="2" s="1"/>
  <c r="AR25" i="2"/>
  <c r="AR26" i="2" s="1"/>
  <c r="AD25" i="2"/>
  <c r="AD26" i="2" s="1"/>
  <c r="AC25" i="2"/>
  <c r="AC26" i="2" s="1"/>
  <c r="M73" i="34" s="1"/>
  <c r="AQ25" i="2"/>
  <c r="AQ26" i="2" s="1"/>
  <c r="AP25" i="2"/>
  <c r="AP26" i="2" s="1"/>
  <c r="AE25" i="2"/>
  <c r="AE26" i="2" s="1"/>
  <c r="AB25" i="2"/>
  <c r="AB26" i="2" s="1"/>
  <c r="L73" i="34" s="1"/>
  <c r="AA25" i="2"/>
  <c r="AA26" i="2" s="1"/>
  <c r="K73" i="34" s="1"/>
  <c r="Z25" i="2"/>
  <c r="Z26" i="2" s="1"/>
  <c r="J73" i="34" s="1"/>
  <c r="X25" i="2"/>
  <c r="X26" i="2" s="1"/>
  <c r="H73" i="34" s="1"/>
  <c r="W25" i="2"/>
  <c r="W26" i="2" s="1"/>
  <c r="G73" i="34" s="1"/>
  <c r="V25" i="2"/>
  <c r="V26" i="2" s="1"/>
  <c r="F73" i="34" s="1"/>
  <c r="U25" i="2"/>
  <c r="U26" i="2" s="1"/>
  <c r="T25" i="2"/>
  <c r="T26" i="2" s="1"/>
  <c r="S25" i="2"/>
  <c r="S26" i="2" s="1"/>
  <c r="R25" i="2"/>
  <c r="R26" i="2" s="1"/>
  <c r="M72" i="34" s="1"/>
  <c r="Q25" i="2"/>
  <c r="Q26" i="2" s="1"/>
  <c r="L72" i="34" s="1"/>
  <c r="P25" i="2"/>
  <c r="P26" i="2" s="1"/>
  <c r="K72" i="34" s="1"/>
  <c r="O25" i="2"/>
  <c r="O26" i="2" s="1"/>
  <c r="J72" i="34" s="1"/>
  <c r="N25" i="2"/>
  <c r="N26" i="2" s="1"/>
  <c r="M25" i="2"/>
  <c r="M26" i="2" s="1"/>
  <c r="H72" i="34" s="1"/>
  <c r="L25" i="2"/>
  <c r="L26" i="2" s="1"/>
  <c r="G72" i="34" s="1"/>
  <c r="AB2" i="8"/>
  <c r="AB2" i="21"/>
  <c r="P7" i="2"/>
  <c r="P10" i="2"/>
  <c r="P13" i="2"/>
  <c r="P11" i="2"/>
  <c r="P14" i="2"/>
  <c r="P9" i="2"/>
  <c r="AA358" i="2" s="1"/>
  <c r="P6" i="2"/>
  <c r="T14" i="2"/>
  <c r="P5" i="2"/>
  <c r="AA165" i="2" s="1"/>
  <c r="AK165" i="2" s="1"/>
  <c r="V3" i="6"/>
  <c r="U3" i="6" s="1"/>
  <c r="N2" i="2"/>
  <c r="M2" i="2"/>
  <c r="U11" i="2"/>
  <c r="T93" i="2"/>
  <c r="AB2" i="16"/>
  <c r="E24" i="28"/>
  <c r="G20" i="28"/>
  <c r="F29" i="28"/>
  <c r="AA2" i="15"/>
  <c r="E20" i="28"/>
  <c r="F27" i="28"/>
  <c r="F20" i="28"/>
  <c r="AA2" i="20"/>
  <c r="Z2" i="14"/>
  <c r="C41" i="1"/>
  <c r="G7" i="28" s="1"/>
  <c r="S2" i="2"/>
  <c r="R13" i="2"/>
  <c r="R10" i="2"/>
  <c r="R5" i="2"/>
  <c r="R11" i="2"/>
  <c r="R9" i="2"/>
  <c r="AC365" i="2" s="1"/>
  <c r="R14" i="2"/>
  <c r="R7" i="2"/>
  <c r="R6" i="2"/>
  <c r="R8" i="2"/>
  <c r="BV302" i="2" s="1"/>
  <c r="C39" i="1"/>
  <c r="G5" i="28" s="1"/>
  <c r="Q2" i="2"/>
  <c r="C35" i="1"/>
  <c r="C8" i="28" s="1"/>
  <c r="O2" i="2"/>
  <c r="C34" i="1"/>
  <c r="C7" i="28" s="1"/>
  <c r="C33" i="1"/>
  <c r="C6" i="28" s="1"/>
  <c r="F26" i="28"/>
  <c r="CK3" i="33"/>
  <c r="CK4" i="33" s="1"/>
  <c r="J62" i="34" s="1"/>
  <c r="G15" i="28"/>
  <c r="G28" i="28"/>
  <c r="FL3" i="33"/>
  <c r="FL4" i="33" s="1"/>
  <c r="H74" i="34" s="1"/>
  <c r="F28" i="28"/>
  <c r="G27" i="28"/>
  <c r="E15" i="28"/>
  <c r="E29" i="28"/>
  <c r="G29" i="28"/>
  <c r="F15" i="28"/>
  <c r="E28" i="28"/>
  <c r="E27" i="28"/>
  <c r="F18" i="28"/>
  <c r="F17" i="28"/>
  <c r="G13" i="28"/>
  <c r="E18" i="28"/>
  <c r="FJ3" i="33"/>
  <c r="FJ4" i="33" s="1"/>
  <c r="F74" i="34" s="1"/>
  <c r="F22" i="28"/>
  <c r="FO3" i="33"/>
  <c r="FO4" i="33" s="1"/>
  <c r="K74" i="34" s="1"/>
  <c r="G24" i="28"/>
  <c r="G21" i="28"/>
  <c r="G19" i="28"/>
  <c r="F24" i="28"/>
  <c r="F16" i="28"/>
  <c r="E16" i="28"/>
  <c r="G26" i="28"/>
  <c r="G18" i="28"/>
  <c r="G16" i="28"/>
  <c r="F13" i="28"/>
  <c r="E21" i="28"/>
  <c r="F19" i="28"/>
  <c r="G25" i="28"/>
  <c r="E17" i="28"/>
  <c r="F14" i="28"/>
  <c r="CH3" i="33"/>
  <c r="CH4" i="33" s="1"/>
  <c r="G62" i="34" s="1"/>
  <c r="CG3" i="33"/>
  <c r="CG4" i="33" s="1"/>
  <c r="F62" i="34" s="1"/>
  <c r="E14" i="28"/>
  <c r="F21" i="28"/>
  <c r="E19" i="28"/>
  <c r="E25" i="28"/>
  <c r="E13" i="28"/>
  <c r="CM3" i="33"/>
  <c r="CM4" i="33" s="1"/>
  <c r="L62" i="34" s="1"/>
  <c r="CI3" i="33"/>
  <c r="CI4" i="33" s="1"/>
  <c r="H62" i="34" s="1"/>
  <c r="FN3" i="33"/>
  <c r="FN4" i="33" s="1"/>
  <c r="J74" i="34" s="1"/>
  <c r="F23" i="28"/>
  <c r="E23" i="28"/>
  <c r="G14" i="28"/>
  <c r="E22" i="28"/>
  <c r="F25" i="28"/>
  <c r="E26" i="28"/>
  <c r="AA3" i="15"/>
  <c r="AA3" i="10"/>
  <c r="AA2" i="10"/>
  <c r="AB3" i="16"/>
  <c r="AB8" i="16"/>
  <c r="AB18" i="16"/>
  <c r="AB7" i="16"/>
  <c r="AB17" i="16"/>
  <c r="L13" i="2"/>
  <c r="L5" i="2"/>
  <c r="L8" i="2"/>
  <c r="FM3" i="33"/>
  <c r="FM4" i="33" s="1"/>
  <c r="FQ3" i="33"/>
  <c r="FQ4" i="33" s="1"/>
  <c r="M74" i="34" s="1"/>
  <c r="FP3" i="33"/>
  <c r="FP4" i="33" s="1"/>
  <c r="L74" i="34" s="1"/>
  <c r="L9" i="2"/>
  <c r="L10" i="2"/>
  <c r="L11" i="2"/>
  <c r="L7" i="2"/>
  <c r="L6" i="2"/>
  <c r="C31" i="1"/>
  <c r="C4" i="28" s="1"/>
  <c r="K2" i="2"/>
  <c r="AE441" i="2"/>
  <c r="AE442" i="2"/>
  <c r="G21" i="17"/>
  <c r="H2" i="16"/>
  <c r="J11" i="34"/>
  <c r="K21" i="1"/>
  <c r="L21" i="1"/>
  <c r="N15" i="1"/>
  <c r="P18" i="1"/>
  <c r="G19" i="1"/>
  <c r="E11" i="34"/>
  <c r="L18" i="1"/>
  <c r="G11" i="34"/>
  <c r="O15" i="1"/>
  <c r="G22" i="1"/>
  <c r="N18" i="1"/>
  <c r="H21" i="1"/>
  <c r="F11" i="34"/>
  <c r="I18" i="1"/>
  <c r="I11" i="34"/>
  <c r="H15" i="1"/>
  <c r="G15" i="1"/>
  <c r="J21" i="1"/>
  <c r="H18" i="1"/>
  <c r="G18" i="1"/>
  <c r="G21" i="1"/>
  <c r="P21" i="1"/>
  <c r="K18" i="1"/>
  <c r="N21" i="1"/>
  <c r="J18" i="1"/>
  <c r="P15" i="1"/>
  <c r="G16" i="1"/>
  <c r="I21" i="1"/>
  <c r="I15" i="1"/>
  <c r="H11" i="34"/>
  <c r="C73" i="34"/>
  <c r="C24" i="2"/>
  <c r="BO8" i="33"/>
  <c r="BO9" i="33" s="1"/>
  <c r="AY8" i="33"/>
  <c r="AY9" i="33" s="1"/>
  <c r="AG8" i="33"/>
  <c r="AG9" i="33" s="1"/>
  <c r="AH8" i="33"/>
  <c r="AH9" i="33" s="1"/>
  <c r="AI8" i="33"/>
  <c r="AI9" i="33" s="1"/>
  <c r="E8" i="33"/>
  <c r="E9" i="33" s="1"/>
  <c r="FF8" i="33"/>
  <c r="FF9" i="33" s="1"/>
  <c r="EI8" i="33"/>
  <c r="EI9" i="33" s="1"/>
  <c r="DT8" i="33"/>
  <c r="DT9" i="33" s="1"/>
  <c r="CV8" i="33"/>
  <c r="CV9" i="33" s="1"/>
  <c r="CG8" i="33"/>
  <c r="CG9" i="33" s="1"/>
  <c r="BJ8" i="33"/>
  <c r="BJ9" i="33" s="1"/>
  <c r="AQ8" i="33"/>
  <c r="AQ9" i="33" s="1"/>
  <c r="Z8" i="33"/>
  <c r="Z9" i="33" s="1"/>
  <c r="Q8" i="33"/>
  <c r="Q9" i="33" s="1"/>
  <c r="FN8" i="33"/>
  <c r="FN9" i="33" s="1"/>
  <c r="EQ8" i="33"/>
  <c r="EQ9" i="33" s="1"/>
  <c r="CM8" i="33"/>
  <c r="CM9" i="33" s="1"/>
  <c r="BP8" i="33"/>
  <c r="BP9" i="33" s="1"/>
  <c r="AZ8" i="33"/>
  <c r="AZ9" i="33" s="1"/>
  <c r="BA8" i="33"/>
  <c r="BA9" i="33" s="1"/>
  <c r="BB8" i="33"/>
  <c r="BB9" i="33" s="1"/>
  <c r="AJ8" i="33"/>
  <c r="AJ9" i="33" s="1"/>
  <c r="S8" i="33"/>
  <c r="S9" i="33" s="1"/>
  <c r="F8" i="33"/>
  <c r="F9" i="33" s="1"/>
  <c r="FG8" i="33"/>
  <c r="FG9" i="33" s="1"/>
  <c r="EJ8" i="33"/>
  <c r="EJ9" i="33" s="1"/>
  <c r="DU8" i="33"/>
  <c r="DU9" i="33" s="1"/>
  <c r="CX8" i="33"/>
  <c r="CX9" i="33" s="1"/>
  <c r="CH8" i="33"/>
  <c r="CH9" i="33" s="1"/>
  <c r="BK8" i="33"/>
  <c r="BK9" i="33" s="1"/>
  <c r="AR8" i="33"/>
  <c r="AR9" i="33" s="1"/>
  <c r="AA8" i="33"/>
  <c r="AA9" i="33" s="1"/>
  <c r="R8" i="33"/>
  <c r="R9" i="33" s="1"/>
  <c r="FO8" i="33"/>
  <c r="FO9" i="33" s="1"/>
  <c r="DD8" i="33"/>
  <c r="DD9" i="33" s="1"/>
  <c r="CN8" i="33"/>
  <c r="CN9" i="33" s="1"/>
  <c r="BY8" i="33"/>
  <c r="BY9" i="33" s="1"/>
  <c r="BZ8" i="33"/>
  <c r="BZ9" i="33" s="1"/>
  <c r="CA8" i="33"/>
  <c r="CA9" i="33" s="1"/>
  <c r="AK8" i="33"/>
  <c r="AK9" i="33" s="1"/>
  <c r="T8" i="33"/>
  <c r="T9" i="33" s="1"/>
  <c r="H8" i="33"/>
  <c r="H9" i="33" s="1"/>
  <c r="FH8" i="33"/>
  <c r="FH9" i="33" s="1"/>
  <c r="EK8" i="33"/>
  <c r="EK9" i="33" s="1"/>
  <c r="DV8" i="33"/>
  <c r="DV9" i="33" s="1"/>
  <c r="CY8" i="33"/>
  <c r="CY9" i="33" s="1"/>
  <c r="CI8" i="33"/>
  <c r="CI9" i="33" s="1"/>
  <c r="AV8" i="33"/>
  <c r="AV9" i="33" s="1"/>
  <c r="AB8" i="33"/>
  <c r="AB9" i="33" s="1"/>
  <c r="EB8" i="33"/>
  <c r="EB9" i="33" s="1"/>
  <c r="DE8" i="33"/>
  <c r="DE9" i="33" s="1"/>
  <c r="CO8" i="33"/>
  <c r="CO9" i="33" s="1"/>
  <c r="CP8" i="33"/>
  <c r="CP9" i="33" s="1"/>
  <c r="CQ8" i="33"/>
  <c r="CQ9" i="33" s="1"/>
  <c r="BD8" i="33"/>
  <c r="BD9" i="33" s="1"/>
  <c r="AL8" i="33"/>
  <c r="AL9" i="33" s="1"/>
  <c r="G8" i="33"/>
  <c r="G9" i="33" s="1"/>
  <c r="I8" i="33"/>
  <c r="I9" i="33" s="1"/>
  <c r="FI8" i="33"/>
  <c r="FI9" i="33" s="1"/>
  <c r="EL8" i="33"/>
  <c r="EL9" i="33" s="1"/>
  <c r="DW8" i="33"/>
  <c r="DW9" i="33" s="1"/>
  <c r="CZ8" i="33"/>
  <c r="CZ9" i="33" s="1"/>
  <c r="BM8" i="33"/>
  <c r="BM9" i="33" s="1"/>
  <c r="AW8" i="33"/>
  <c r="AW9" i="33" s="1"/>
  <c r="C8" i="33"/>
  <c r="C9" i="33" s="1"/>
  <c r="ER8" i="33"/>
  <c r="ER9" i="33" s="1"/>
  <c r="EC8" i="33"/>
  <c r="EC9" i="33" s="1"/>
  <c r="DN8" i="33"/>
  <c r="DN9" i="33" s="1"/>
  <c r="DO8" i="33"/>
  <c r="DO9" i="33" s="1"/>
  <c r="DP8" i="33"/>
  <c r="DP9" i="33" s="1"/>
  <c r="CC8" i="33"/>
  <c r="CC9" i="33" s="1"/>
  <c r="BE8" i="33"/>
  <c r="BE9" i="33" s="1"/>
  <c r="AM8" i="33"/>
  <c r="AM9" i="33" s="1"/>
  <c r="J8" i="33"/>
  <c r="J9" i="33" s="1"/>
  <c r="FJ8" i="33"/>
  <c r="FJ9" i="33" s="1"/>
  <c r="EM8" i="33"/>
  <c r="EM9" i="33" s="1"/>
  <c r="DX8" i="33"/>
  <c r="DX9" i="33" s="1"/>
  <c r="CK8" i="33"/>
  <c r="CK9" i="33" s="1"/>
  <c r="BN8" i="33"/>
  <c r="BN9" i="33" s="1"/>
  <c r="FP8" i="33"/>
  <c r="FP9" i="33" s="1"/>
  <c r="ES8" i="33"/>
  <c r="ES9" i="33" s="1"/>
  <c r="ED8" i="33"/>
  <c r="ED9" i="33" s="1"/>
  <c r="EE8" i="33"/>
  <c r="EE9" i="33" s="1"/>
  <c r="EF8" i="33"/>
  <c r="EF9" i="33" s="1"/>
  <c r="CS8" i="33"/>
  <c r="CS9" i="33" s="1"/>
  <c r="CD8" i="33"/>
  <c r="CD9" i="33" s="1"/>
  <c r="BF8" i="33"/>
  <c r="BF9" i="33" s="1"/>
  <c r="AN8" i="33"/>
  <c r="AN9" i="33" s="1"/>
  <c r="U8" i="33"/>
  <c r="U9" i="33" s="1"/>
  <c r="N8" i="33"/>
  <c r="N9" i="33" s="1"/>
  <c r="FK8" i="33"/>
  <c r="FK9" i="33" s="1"/>
  <c r="EN8" i="33"/>
  <c r="EN9" i="33" s="1"/>
  <c r="DB8" i="33"/>
  <c r="DB9" i="33" s="1"/>
  <c r="CL8" i="33"/>
  <c r="CL9" i="33" s="1"/>
  <c r="AC8" i="33"/>
  <c r="AC9" i="33" s="1"/>
  <c r="FQ8" i="33"/>
  <c r="FQ9" i="33" s="1"/>
  <c r="FB8" i="33"/>
  <c r="FB9" i="33" s="1"/>
  <c r="FC8" i="33"/>
  <c r="FC9" i="33" s="1"/>
  <c r="FD8" i="33"/>
  <c r="FD9" i="33" s="1"/>
  <c r="DR8" i="33"/>
  <c r="DR9" i="33" s="1"/>
  <c r="CT8" i="33"/>
  <c r="CT9" i="33" s="1"/>
  <c r="CE8" i="33"/>
  <c r="CE9" i="33" s="1"/>
  <c r="BG8" i="33"/>
  <c r="BG9" i="33" s="1"/>
  <c r="AO8" i="33"/>
  <c r="AO9" i="33" s="1"/>
  <c r="V8" i="33"/>
  <c r="V9" i="33" s="1"/>
  <c r="O8" i="33"/>
  <c r="O9" i="33" s="1"/>
  <c r="FL8" i="33"/>
  <c r="FL9" i="33" s="1"/>
  <c r="DZ8" i="33"/>
  <c r="DZ9" i="33" s="1"/>
  <c r="DC8" i="33"/>
  <c r="DC9" i="33" s="1"/>
  <c r="AX8" i="33"/>
  <c r="AX9" i="33" s="1"/>
  <c r="AF8" i="33"/>
  <c r="AF9" i="33" s="1"/>
  <c r="D8" i="33"/>
  <c r="D9" i="33" s="1"/>
  <c r="FE8" i="33"/>
  <c r="FE9" i="33" s="1"/>
  <c r="EH8" i="33"/>
  <c r="EH9" i="33" s="1"/>
  <c r="DS8" i="33"/>
  <c r="DS9" i="33" s="1"/>
  <c r="CU8" i="33"/>
  <c r="CU9" i="33" s="1"/>
  <c r="CF8" i="33"/>
  <c r="CF9" i="33" s="1"/>
  <c r="BI8" i="33"/>
  <c r="BI9" i="33" s="1"/>
  <c r="AP8" i="33"/>
  <c r="AP9" i="33" s="1"/>
  <c r="Y8" i="33"/>
  <c r="Y9" i="33" s="1"/>
  <c r="P8" i="33"/>
  <c r="P9" i="33" s="1"/>
  <c r="FM8" i="33"/>
  <c r="FM9" i="33" s="1"/>
  <c r="EP8" i="33"/>
  <c r="EP9" i="33" s="1"/>
  <c r="EA8" i="33"/>
  <c r="EA9" i="33" s="1"/>
  <c r="AG6" i="33"/>
  <c r="AG7" i="33" s="1"/>
  <c r="AH6" i="33"/>
  <c r="AH7" i="33" s="1"/>
  <c r="D6" i="33"/>
  <c r="D7" i="33" s="1"/>
  <c r="FE6" i="33"/>
  <c r="FE7" i="33" s="1"/>
  <c r="EH6" i="33"/>
  <c r="EH7" i="33" s="1"/>
  <c r="DS6" i="33"/>
  <c r="DS7" i="33" s="1"/>
  <c r="CU6" i="33"/>
  <c r="CU7" i="33" s="1"/>
  <c r="CF6" i="33"/>
  <c r="CF7" i="33" s="1"/>
  <c r="BI6" i="33"/>
  <c r="BI7" i="33" s="1"/>
  <c r="AP6" i="33"/>
  <c r="AP7" i="33" s="1"/>
  <c r="Y6" i="33"/>
  <c r="Y7" i="33" s="1"/>
  <c r="P6" i="33"/>
  <c r="P7" i="33" s="1"/>
  <c r="FM6" i="33"/>
  <c r="FM7" i="33" s="1"/>
  <c r="EP6" i="33"/>
  <c r="EP7" i="33" s="1"/>
  <c r="EA6" i="33"/>
  <c r="EA7" i="33" s="1"/>
  <c r="DD6" i="33"/>
  <c r="DD7" i="33" s="1"/>
  <c r="CN6" i="33"/>
  <c r="CN7" i="33" s="1"/>
  <c r="AZ6" i="33"/>
  <c r="AZ7" i="33" s="1"/>
  <c r="BA6" i="33"/>
  <c r="BA7" i="33" s="1"/>
  <c r="AI6" i="33"/>
  <c r="AI7" i="33" s="1"/>
  <c r="E6" i="33"/>
  <c r="E7" i="33" s="1"/>
  <c r="FF6" i="33"/>
  <c r="FF7" i="33" s="1"/>
  <c r="EI6" i="33"/>
  <c r="EI7" i="33" s="1"/>
  <c r="DT6" i="33"/>
  <c r="DT7" i="33" s="1"/>
  <c r="CV6" i="33"/>
  <c r="CV7" i="33" s="1"/>
  <c r="CG6" i="33"/>
  <c r="CG7" i="33" s="1"/>
  <c r="BJ6" i="33"/>
  <c r="BJ7" i="33" s="1"/>
  <c r="AQ6" i="33"/>
  <c r="AQ7" i="33" s="1"/>
  <c r="Z6" i="33"/>
  <c r="Z7" i="33" s="1"/>
  <c r="Q6" i="33"/>
  <c r="Q7" i="33" s="1"/>
  <c r="FN6" i="33"/>
  <c r="FN7" i="33" s="1"/>
  <c r="EQ6" i="33"/>
  <c r="EQ7" i="33" s="1"/>
  <c r="EB6" i="33"/>
  <c r="EB7" i="33" s="1"/>
  <c r="DE6" i="33"/>
  <c r="DE7" i="33" s="1"/>
  <c r="BY6" i="33"/>
  <c r="BY7" i="33" s="1"/>
  <c r="BZ6" i="33"/>
  <c r="BZ7" i="33" s="1"/>
  <c r="BB6" i="33"/>
  <c r="BB7" i="33" s="1"/>
  <c r="AJ6" i="33"/>
  <c r="AJ7" i="33" s="1"/>
  <c r="S6" i="33"/>
  <c r="S7" i="33" s="1"/>
  <c r="F6" i="33"/>
  <c r="F7" i="33" s="1"/>
  <c r="FG6" i="33"/>
  <c r="FG7" i="33" s="1"/>
  <c r="EJ6" i="33"/>
  <c r="EJ7" i="33" s="1"/>
  <c r="DU6" i="33"/>
  <c r="DU7" i="33" s="1"/>
  <c r="CX6" i="33"/>
  <c r="CX7" i="33" s="1"/>
  <c r="CH6" i="33"/>
  <c r="CH7" i="33" s="1"/>
  <c r="BK6" i="33"/>
  <c r="BK7" i="33" s="1"/>
  <c r="AR6" i="33"/>
  <c r="AR7" i="33" s="1"/>
  <c r="AA6" i="33"/>
  <c r="AA7" i="33" s="1"/>
  <c r="R6" i="33"/>
  <c r="R7" i="33" s="1"/>
  <c r="FO6" i="33"/>
  <c r="FO7" i="33" s="1"/>
  <c r="ER6" i="33"/>
  <c r="ER7" i="33" s="1"/>
  <c r="EC6" i="33"/>
  <c r="EC7" i="33" s="1"/>
  <c r="CO6" i="33"/>
  <c r="CO7" i="33" s="1"/>
  <c r="CP6" i="33"/>
  <c r="CP7" i="33" s="1"/>
  <c r="CA6" i="33"/>
  <c r="CA7" i="33" s="1"/>
  <c r="AK6" i="33"/>
  <c r="AK7" i="33" s="1"/>
  <c r="T6" i="33"/>
  <c r="T7" i="33" s="1"/>
  <c r="H6" i="33"/>
  <c r="H7" i="33" s="1"/>
  <c r="FH6" i="33"/>
  <c r="FH7" i="33" s="1"/>
  <c r="EK6" i="33"/>
  <c r="EK7" i="33" s="1"/>
  <c r="DV6" i="33"/>
  <c r="DV7" i="33" s="1"/>
  <c r="CY6" i="33"/>
  <c r="CY7" i="33" s="1"/>
  <c r="CI6" i="33"/>
  <c r="CI7" i="33" s="1"/>
  <c r="AV6" i="33"/>
  <c r="AV7" i="33" s="1"/>
  <c r="AB6" i="33"/>
  <c r="AB7" i="33" s="1"/>
  <c r="FP6" i="33"/>
  <c r="FP7" i="33" s="1"/>
  <c r="ES6" i="33"/>
  <c r="ES7" i="33" s="1"/>
  <c r="DN6" i="33"/>
  <c r="DN7" i="33" s="1"/>
  <c r="DO6" i="33"/>
  <c r="DO7" i="33" s="1"/>
  <c r="CQ6" i="33"/>
  <c r="CQ7" i="33" s="1"/>
  <c r="BD6" i="33"/>
  <c r="BD7" i="33" s="1"/>
  <c r="AL6" i="33"/>
  <c r="AL7" i="33" s="1"/>
  <c r="G6" i="33"/>
  <c r="G7" i="33" s="1"/>
  <c r="I6" i="33"/>
  <c r="I7" i="33" s="1"/>
  <c r="FI6" i="33"/>
  <c r="FI7" i="33" s="1"/>
  <c r="EL6" i="33"/>
  <c r="EL7" i="33" s="1"/>
  <c r="DW6" i="33"/>
  <c r="DW7" i="33" s="1"/>
  <c r="CZ6" i="33"/>
  <c r="CZ7" i="33" s="1"/>
  <c r="BM6" i="33"/>
  <c r="BM7" i="33" s="1"/>
  <c r="AW6" i="33"/>
  <c r="AW7" i="33" s="1"/>
  <c r="AC6" i="33"/>
  <c r="AC7" i="33" s="1"/>
  <c r="ED6" i="33"/>
  <c r="ED7" i="33" s="1"/>
  <c r="EE6" i="33"/>
  <c r="EE7" i="33" s="1"/>
  <c r="DP6" i="33"/>
  <c r="DP7" i="33" s="1"/>
  <c r="CC6" i="33"/>
  <c r="CC7" i="33" s="1"/>
  <c r="BE6" i="33"/>
  <c r="BE7" i="33" s="1"/>
  <c r="AM6" i="33"/>
  <c r="AM7" i="33" s="1"/>
  <c r="J6" i="33"/>
  <c r="J7" i="33" s="1"/>
  <c r="FJ6" i="33"/>
  <c r="FJ7" i="33" s="1"/>
  <c r="EM6" i="33"/>
  <c r="EM7" i="33" s="1"/>
  <c r="DX6" i="33"/>
  <c r="DX7" i="33" s="1"/>
  <c r="CK6" i="33"/>
  <c r="CK7" i="33" s="1"/>
  <c r="BN6" i="33"/>
  <c r="BN7" i="33" s="1"/>
  <c r="AX6" i="33"/>
  <c r="AX7" i="33" s="1"/>
  <c r="AF6" i="33"/>
  <c r="AF7" i="33" s="1"/>
  <c r="FB6" i="33"/>
  <c r="FB7" i="33" s="1"/>
  <c r="FC6" i="33"/>
  <c r="FC7" i="33" s="1"/>
  <c r="EF6" i="33"/>
  <c r="EF7" i="33" s="1"/>
  <c r="CS6" i="33"/>
  <c r="CS7" i="33" s="1"/>
  <c r="CD6" i="33"/>
  <c r="CD7" i="33" s="1"/>
  <c r="BF6" i="33"/>
  <c r="BF7" i="33" s="1"/>
  <c r="AN6" i="33"/>
  <c r="AN7" i="33" s="1"/>
  <c r="U6" i="33"/>
  <c r="U7" i="33" s="1"/>
  <c r="N6" i="33"/>
  <c r="N7" i="33" s="1"/>
  <c r="FK6" i="33"/>
  <c r="FK7" i="33" s="1"/>
  <c r="EN6" i="33"/>
  <c r="EN7" i="33" s="1"/>
  <c r="DB6" i="33"/>
  <c r="DB7" i="33" s="1"/>
  <c r="CL6" i="33"/>
  <c r="CL7" i="33" s="1"/>
  <c r="BO6" i="33"/>
  <c r="BO7" i="33" s="1"/>
  <c r="AY6" i="33"/>
  <c r="AY7" i="33" s="1"/>
  <c r="FQ6" i="33"/>
  <c r="FQ7" i="33" s="1"/>
  <c r="FD6" i="33"/>
  <c r="FD7" i="33" s="1"/>
  <c r="DR6" i="33"/>
  <c r="DR7" i="33" s="1"/>
  <c r="CT6" i="33"/>
  <c r="CT7" i="33" s="1"/>
  <c r="CE6" i="33"/>
  <c r="CE7" i="33" s="1"/>
  <c r="BG6" i="33"/>
  <c r="BG7" i="33" s="1"/>
  <c r="AO6" i="33"/>
  <c r="AO7" i="33" s="1"/>
  <c r="V6" i="33"/>
  <c r="V7" i="33" s="1"/>
  <c r="O6" i="33"/>
  <c r="O7" i="33" s="1"/>
  <c r="FL6" i="33"/>
  <c r="FL7" i="33" s="1"/>
  <c r="DZ6" i="33"/>
  <c r="DZ7" i="33" s="1"/>
  <c r="DC6" i="33"/>
  <c r="DC7" i="33" s="1"/>
  <c r="CM6" i="33"/>
  <c r="CM7" i="33" s="1"/>
  <c r="BP6" i="33"/>
  <c r="BP7" i="33" s="1"/>
  <c r="C6" i="33"/>
  <c r="C7" i="33" s="1"/>
  <c r="BV211" i="2" l="1"/>
  <c r="CH185" i="2"/>
  <c r="AE453" i="2"/>
  <c r="AO453" i="2" s="1"/>
  <c r="AE456" i="2"/>
  <c r="AO456" i="2" s="1"/>
  <c r="AE455" i="2"/>
  <c r="AO455" i="2" s="1"/>
  <c r="AE454" i="2"/>
  <c r="AO454" i="2" s="1"/>
  <c r="AE405" i="2"/>
  <c r="AO405" i="2" s="1"/>
  <c r="AE397" i="2"/>
  <c r="AO397" i="2" s="1"/>
  <c r="AE413" i="2"/>
  <c r="AO413" i="2" s="1"/>
  <c r="AE470" i="2"/>
  <c r="AO470" i="2" s="1"/>
  <c r="AE269" i="2"/>
  <c r="AO269" i="2" s="1"/>
  <c r="AE264" i="2"/>
  <c r="AE377" i="2"/>
  <c r="AO377" i="2" s="1"/>
  <c r="AE381" i="2"/>
  <c r="AO381" i="2" s="1"/>
  <c r="AE336" i="2"/>
  <c r="AO336" i="2" s="1"/>
  <c r="AE349" i="2"/>
  <c r="AO349" i="2" s="1"/>
  <c r="AE340" i="2"/>
  <c r="AO340" i="2" s="1"/>
  <c r="AE338" i="2"/>
  <c r="AO338" i="2" s="1"/>
  <c r="AE353" i="2"/>
  <c r="AO353" i="2" s="1"/>
  <c r="AE337" i="2"/>
  <c r="AO337" i="2" s="1"/>
  <c r="AE341" i="2"/>
  <c r="AO341" i="2" s="1"/>
  <c r="AE351" i="2"/>
  <c r="AO351" i="2" s="1"/>
  <c r="AE339" i="2"/>
  <c r="AO339" i="2" s="1"/>
  <c r="AE335" i="2"/>
  <c r="AO335" i="2" s="1"/>
  <c r="AE354" i="2"/>
  <c r="AO354" i="2" s="1"/>
  <c r="AE346" i="2"/>
  <c r="AO346" i="2" s="1"/>
  <c r="AE345" i="2"/>
  <c r="AO345" i="2" s="1"/>
  <c r="AE350" i="2"/>
  <c r="AO350" i="2" s="1"/>
  <c r="AE343" i="2"/>
  <c r="AO343" i="2" s="1"/>
  <c r="AE348" i="2"/>
  <c r="AO348" i="2" s="1"/>
  <c r="AE352" i="2"/>
  <c r="AO352" i="2" s="1"/>
  <c r="AE342" i="2"/>
  <c r="AO342" i="2" s="1"/>
  <c r="AE347" i="2"/>
  <c r="AO347" i="2" s="1"/>
  <c r="AE344" i="2"/>
  <c r="AO344" i="2" s="1"/>
  <c r="AE334" i="2"/>
  <c r="AO334" i="2" s="1"/>
  <c r="AE355" i="2"/>
  <c r="AO355" i="2" s="1"/>
  <c r="AE375" i="2"/>
  <c r="AO375" i="2" s="1"/>
  <c r="AE380" i="2"/>
  <c r="AO380" i="2" s="1"/>
  <c r="AE382" i="2"/>
  <c r="AO382" i="2" s="1"/>
  <c r="AE383" i="2"/>
  <c r="AO383" i="2" s="1"/>
  <c r="AE378" i="2"/>
  <c r="AO378" i="2" s="1"/>
  <c r="AE379" i="2"/>
  <c r="AO379" i="2" s="1"/>
  <c r="AE360" i="2"/>
  <c r="AO360" i="2" s="1"/>
  <c r="AE371" i="2"/>
  <c r="AO371" i="2" s="1"/>
  <c r="AE370" i="2"/>
  <c r="AO370" i="2" s="1"/>
  <c r="AE366" i="2"/>
  <c r="AO366" i="2" s="1"/>
  <c r="AE365" i="2"/>
  <c r="AO365" i="2" s="1"/>
  <c r="AE359" i="2"/>
  <c r="AO359" i="2" s="1"/>
  <c r="AE363" i="2"/>
  <c r="AO363" i="2" s="1"/>
  <c r="AE374" i="2"/>
  <c r="AO374" i="2" s="1"/>
  <c r="AE368" i="2"/>
  <c r="AO368" i="2" s="1"/>
  <c r="AE373" i="2"/>
  <c r="AO373" i="2" s="1"/>
  <c r="AE362" i="2"/>
  <c r="AO362" i="2" s="1"/>
  <c r="AE364" i="2"/>
  <c r="AO364" i="2" s="1"/>
  <c r="AE369" i="2"/>
  <c r="AO369" i="2" s="1"/>
  <c r="AE376" i="2"/>
  <c r="AO376" i="2" s="1"/>
  <c r="AE372" i="2"/>
  <c r="AO372" i="2" s="1"/>
  <c r="AE367" i="2"/>
  <c r="AO367" i="2" s="1"/>
  <c r="AE361" i="2"/>
  <c r="AO361" i="2" s="1"/>
  <c r="AE358" i="2"/>
  <c r="AO358" i="2" s="1"/>
  <c r="AE306" i="2"/>
  <c r="AO306" i="2" s="1"/>
  <c r="AE303" i="2"/>
  <c r="AO303" i="2" s="1"/>
  <c r="AE300" i="2"/>
  <c r="AO300" i="2" s="1"/>
  <c r="AE299" i="2"/>
  <c r="AO299" i="2" s="1"/>
  <c r="AE301" i="2"/>
  <c r="AO301" i="2" s="1"/>
  <c r="AE302" i="2"/>
  <c r="AO302" i="2" s="1"/>
  <c r="AE165" i="2"/>
  <c r="AO165" i="2" s="1"/>
  <c r="AE135" i="2"/>
  <c r="AO135" i="2" s="1"/>
  <c r="AE137" i="2"/>
  <c r="AO137" i="2" s="1"/>
  <c r="AE149" i="2"/>
  <c r="AO149" i="2" s="1"/>
  <c r="AE156" i="2"/>
  <c r="AO156" i="2" s="1"/>
  <c r="AE158" i="2"/>
  <c r="AO158" i="2" s="1"/>
  <c r="AE144" i="2"/>
  <c r="AO144" i="2" s="1"/>
  <c r="AE154" i="2"/>
  <c r="AO154" i="2" s="1"/>
  <c r="AE131" i="2"/>
  <c r="AO131" i="2" s="1"/>
  <c r="AE136" i="2"/>
  <c r="AO136" i="2" s="1"/>
  <c r="AE127" i="2"/>
  <c r="AO127" i="2" s="1"/>
  <c r="AE133" i="2"/>
  <c r="AO133" i="2" s="1"/>
  <c r="AE140" i="2"/>
  <c r="AO140" i="2" s="1"/>
  <c r="AE142" i="2"/>
  <c r="AO142" i="2" s="1"/>
  <c r="AE147" i="2"/>
  <c r="AO147" i="2" s="1"/>
  <c r="AE145" i="2"/>
  <c r="AO145" i="2" s="1"/>
  <c r="AE124" i="2"/>
  <c r="AO124" i="2" s="1"/>
  <c r="AE126" i="2"/>
  <c r="AO126" i="2" s="1"/>
  <c r="AE129" i="2"/>
  <c r="AO129" i="2" s="1"/>
  <c r="AE155" i="2"/>
  <c r="AO155" i="2" s="1"/>
  <c r="AE161" i="2"/>
  <c r="AO161" i="2" s="1"/>
  <c r="AE163" i="2"/>
  <c r="AO163" i="2" s="1"/>
  <c r="AE150" i="2"/>
  <c r="AO150" i="2" s="1"/>
  <c r="AE159" i="2"/>
  <c r="AO159" i="2" s="1"/>
  <c r="AE143" i="2"/>
  <c r="AO143" i="2" s="1"/>
  <c r="AE157" i="2"/>
  <c r="AO157" i="2" s="1"/>
  <c r="AE138" i="2"/>
  <c r="AO138" i="2" s="1"/>
  <c r="AE139" i="2"/>
  <c r="AO139" i="2" s="1"/>
  <c r="AE134" i="2"/>
  <c r="AO134" i="2" s="1"/>
  <c r="AE122" i="2"/>
  <c r="AO122" i="2" s="1"/>
  <c r="AE128" i="2"/>
  <c r="AO128" i="2" s="1"/>
  <c r="AE152" i="2"/>
  <c r="AO152" i="2" s="1"/>
  <c r="AE125" i="2"/>
  <c r="AO125" i="2" s="1"/>
  <c r="AE162" i="2"/>
  <c r="AO162" i="2" s="1"/>
  <c r="AE123" i="2"/>
  <c r="AO123" i="2" s="1"/>
  <c r="AE148" i="2"/>
  <c r="AO148" i="2" s="1"/>
  <c r="AE151" i="2"/>
  <c r="AO151" i="2" s="1"/>
  <c r="AE141" i="2"/>
  <c r="AO141" i="2" s="1"/>
  <c r="AE146" i="2"/>
  <c r="AO146" i="2" s="1"/>
  <c r="AE164" i="2"/>
  <c r="AO164" i="2" s="1"/>
  <c r="AE130" i="2"/>
  <c r="AO130" i="2" s="1"/>
  <c r="AE132" i="2"/>
  <c r="AO132" i="2" s="1"/>
  <c r="AE121" i="2"/>
  <c r="AO121" i="2" s="1"/>
  <c r="AS108" i="6"/>
  <c r="AE109" i="2"/>
  <c r="AO109" i="2" s="1"/>
  <c r="AE97" i="2"/>
  <c r="AO97" i="2" s="1"/>
  <c r="AE99" i="2"/>
  <c r="AO99" i="2" s="1"/>
  <c r="AE108" i="2"/>
  <c r="AO108" i="2" s="1"/>
  <c r="AE111" i="2"/>
  <c r="AO111" i="2" s="1"/>
  <c r="AE115" i="2"/>
  <c r="AO115" i="2" s="1"/>
  <c r="AE104" i="2"/>
  <c r="AO104" i="2" s="1"/>
  <c r="AE105" i="2"/>
  <c r="AO105" i="2" s="1"/>
  <c r="AE112" i="2"/>
  <c r="AO112" i="2" s="1"/>
  <c r="AE113" i="2"/>
  <c r="AO113" i="2" s="1"/>
  <c r="AE114" i="2"/>
  <c r="AO114" i="2" s="1"/>
  <c r="AE118" i="2"/>
  <c r="AO118" i="2" s="1"/>
  <c r="AE103" i="2"/>
  <c r="AO103" i="2" s="1"/>
  <c r="AE98" i="2"/>
  <c r="AO98" i="2" s="1"/>
  <c r="AE102" i="2"/>
  <c r="AO102" i="2" s="1"/>
  <c r="AE116" i="2"/>
  <c r="AO116" i="2" s="1"/>
  <c r="AE117" i="2"/>
  <c r="AO117" i="2" s="1"/>
  <c r="AG11" i="2"/>
  <c r="AE61" i="2"/>
  <c r="AO61" i="2" s="1"/>
  <c r="AE88" i="2"/>
  <c r="AO88" i="2" s="1"/>
  <c r="AE89" i="2"/>
  <c r="AO89" i="2" s="1"/>
  <c r="AA455" i="2"/>
  <c r="AA463" i="2"/>
  <c r="AA454" i="2"/>
  <c r="AA466" i="2"/>
  <c r="AA456" i="2"/>
  <c r="AA461" i="2"/>
  <c r="AA462" i="2"/>
  <c r="AA464" i="2"/>
  <c r="AA465" i="2"/>
  <c r="AA457" i="2"/>
  <c r="AA460" i="2"/>
  <c r="AA458" i="2"/>
  <c r="AA453" i="2"/>
  <c r="AA459" i="2"/>
  <c r="AA61" i="2"/>
  <c r="AK61" i="2" s="1"/>
  <c r="AA88" i="2"/>
  <c r="AK88" i="2" s="1"/>
  <c r="AA89" i="2"/>
  <c r="AK89" i="2" s="1"/>
  <c r="BU194" i="2"/>
  <c r="W453" i="2"/>
  <c r="W454" i="2"/>
  <c r="W456" i="2"/>
  <c r="W463" i="2"/>
  <c r="W458" i="2"/>
  <c r="W462" i="2"/>
  <c r="W460" i="2"/>
  <c r="W465" i="2"/>
  <c r="AG465" i="2" s="1"/>
  <c r="W457" i="2"/>
  <c r="W459" i="2"/>
  <c r="W461" i="2"/>
  <c r="W436" i="2"/>
  <c r="AG436" i="2" s="1"/>
  <c r="W464" i="2"/>
  <c r="W455" i="2"/>
  <c r="W466" i="2"/>
  <c r="W470" i="2"/>
  <c r="AG470" i="2" s="1"/>
  <c r="W50" i="2"/>
  <c r="AG50" i="2" s="1"/>
  <c r="W89" i="2"/>
  <c r="AG89" i="2" s="1"/>
  <c r="W88" i="2"/>
  <c r="AG88" i="2" s="1"/>
  <c r="W61" i="2"/>
  <c r="AG61" i="2" s="1"/>
  <c r="AC456" i="2"/>
  <c r="AC465" i="2"/>
  <c r="AC458" i="2"/>
  <c r="AC457" i="2"/>
  <c r="AC464" i="2"/>
  <c r="AC455" i="2"/>
  <c r="AC459" i="2"/>
  <c r="AC454" i="2"/>
  <c r="AC466" i="2"/>
  <c r="AC460" i="2"/>
  <c r="AC462" i="2"/>
  <c r="AC453" i="2"/>
  <c r="AC461" i="2"/>
  <c r="AC463" i="2"/>
  <c r="N4" i="2"/>
  <c r="N5" i="2"/>
  <c r="AM108" i="6" s="1"/>
  <c r="N6" i="2"/>
  <c r="N7" i="2"/>
  <c r="N8" i="2"/>
  <c r="N9" i="2"/>
  <c r="N10" i="2"/>
  <c r="N13" i="2"/>
  <c r="N3" i="2"/>
  <c r="N11" i="2"/>
  <c r="AC73" i="2"/>
  <c r="AM73" i="2" s="1"/>
  <c r="AC88" i="2"/>
  <c r="AM88" i="2" s="1"/>
  <c r="AC61" i="2"/>
  <c r="AM61" i="2" s="1"/>
  <c r="AC89" i="2"/>
  <c r="AM89" i="2" s="1"/>
  <c r="AC436" i="2"/>
  <c r="AM436" i="2" s="1"/>
  <c r="AC470" i="2"/>
  <c r="AM470" i="2" s="1"/>
  <c r="AA436" i="2"/>
  <c r="AK436" i="2" s="1"/>
  <c r="AA470" i="2"/>
  <c r="AK470" i="2" s="1"/>
  <c r="AO442" i="2"/>
  <c r="AO422" i="2"/>
  <c r="AO441" i="2"/>
  <c r="W401" i="2"/>
  <c r="AG401" i="2" s="1"/>
  <c r="W413" i="2"/>
  <c r="W397" i="2"/>
  <c r="W405" i="2"/>
  <c r="AA413" i="2"/>
  <c r="AA397" i="2"/>
  <c r="AA405" i="2"/>
  <c r="AC397" i="2"/>
  <c r="AC413" i="2"/>
  <c r="AC405" i="2"/>
  <c r="AA378" i="2"/>
  <c r="AK378" i="2" s="1"/>
  <c r="AC370" i="2"/>
  <c r="AM370" i="2" s="1"/>
  <c r="AA376" i="2"/>
  <c r="AK376" i="2" s="1"/>
  <c r="AA364" i="2"/>
  <c r="AK364" i="2" s="1"/>
  <c r="AA375" i="2"/>
  <c r="AK375" i="2" s="1"/>
  <c r="AA370" i="2"/>
  <c r="AK370" i="2" s="1"/>
  <c r="AA383" i="2"/>
  <c r="AK383" i="2" s="1"/>
  <c r="AK358" i="2"/>
  <c r="AA367" i="2"/>
  <c r="AA365" i="2"/>
  <c r="AA361" i="2"/>
  <c r="AA363" i="2"/>
  <c r="W374" i="2"/>
  <c r="W366" i="2"/>
  <c r="W378" i="2"/>
  <c r="W371" i="2"/>
  <c r="W362" i="2"/>
  <c r="W370" i="2"/>
  <c r="W375" i="2"/>
  <c r="W367" i="2"/>
  <c r="W379" i="2"/>
  <c r="W363" i="2"/>
  <c r="W383" i="2"/>
  <c r="W376" i="2"/>
  <c r="W380" i="2"/>
  <c r="W359" i="2"/>
  <c r="W368" i="2"/>
  <c r="W372" i="2"/>
  <c r="W358" i="2"/>
  <c r="W364" i="2"/>
  <c r="W381" i="2"/>
  <c r="W360" i="2"/>
  <c r="W377" i="2"/>
  <c r="W369" i="2"/>
  <c r="W373" i="2"/>
  <c r="W365" i="2"/>
  <c r="W361" i="2"/>
  <c r="W382" i="2"/>
  <c r="AA372" i="2"/>
  <c r="AM365" i="2"/>
  <c r="AA362" i="2"/>
  <c r="AA368" i="2"/>
  <c r="AC344" i="2"/>
  <c r="AM344" i="2" s="1"/>
  <c r="AC361" i="2"/>
  <c r="AC382" i="2"/>
  <c r="AC375" i="2"/>
  <c r="AC374" i="2"/>
  <c r="AC378" i="2"/>
  <c r="AC379" i="2"/>
  <c r="AC366" i="2"/>
  <c r="AC362" i="2"/>
  <c r="AC363" i="2"/>
  <c r="AC371" i="2"/>
  <c r="AC383" i="2"/>
  <c r="AC367" i="2"/>
  <c r="AC376" i="2"/>
  <c r="AC380" i="2"/>
  <c r="AC359" i="2"/>
  <c r="AC368" i="2"/>
  <c r="AC372" i="2"/>
  <c r="AC358" i="2"/>
  <c r="AC364" i="2"/>
  <c r="AC381" i="2"/>
  <c r="AC377" i="2"/>
  <c r="AC369" i="2"/>
  <c r="AC373" i="2"/>
  <c r="AC360" i="2"/>
  <c r="AA382" i="2"/>
  <c r="AA380" i="2"/>
  <c r="AA371" i="2"/>
  <c r="AA353" i="2"/>
  <c r="AK353" i="2" s="1"/>
  <c r="AA374" i="2"/>
  <c r="AA366" i="2"/>
  <c r="AA381" i="2"/>
  <c r="AA377" i="2"/>
  <c r="AA360" i="2"/>
  <c r="AA369" i="2"/>
  <c r="AA373" i="2"/>
  <c r="AA359" i="2"/>
  <c r="AA379" i="2"/>
  <c r="AA345" i="2"/>
  <c r="AK345" i="2" s="1"/>
  <c r="AA351" i="2"/>
  <c r="AK351" i="2" s="1"/>
  <c r="AA341" i="2"/>
  <c r="AK341" i="2" s="1"/>
  <c r="AC351" i="2"/>
  <c r="AM351" i="2" s="1"/>
  <c r="AA339" i="2"/>
  <c r="AK339" i="2" s="1"/>
  <c r="AC341" i="2"/>
  <c r="AM341" i="2" s="1"/>
  <c r="AA338" i="2"/>
  <c r="AK338" i="2" s="1"/>
  <c r="AC353" i="2"/>
  <c r="AM353" i="2" s="1"/>
  <c r="AC345" i="2"/>
  <c r="AM345" i="2" s="1"/>
  <c r="AA336" i="2"/>
  <c r="AK336" i="2" s="1"/>
  <c r="AA355" i="2"/>
  <c r="AK355" i="2" s="1"/>
  <c r="AA334" i="2"/>
  <c r="AK334" i="2" s="1"/>
  <c r="AC348" i="2"/>
  <c r="AM348" i="2" s="1"/>
  <c r="W347" i="2"/>
  <c r="AG347" i="2" s="1"/>
  <c r="W335" i="2"/>
  <c r="AG335" i="2" s="1"/>
  <c r="W341" i="2"/>
  <c r="W353" i="2"/>
  <c r="AG353" i="2" s="1"/>
  <c r="W354" i="2"/>
  <c r="AG354" i="2" s="1"/>
  <c r="W342" i="2"/>
  <c r="AG342" i="2" s="1"/>
  <c r="W336" i="2"/>
  <c r="AG336" i="2" s="1"/>
  <c r="W348" i="2"/>
  <c r="AG348" i="2" s="1"/>
  <c r="W337" i="2"/>
  <c r="W349" i="2"/>
  <c r="AG349" i="2" s="1"/>
  <c r="W338" i="2"/>
  <c r="W350" i="2"/>
  <c r="W344" i="2"/>
  <c r="AG344" i="2" s="1"/>
  <c r="W339" i="2"/>
  <c r="W345" i="2"/>
  <c r="AG345" i="2" s="1"/>
  <c r="W351" i="2"/>
  <c r="AG351" i="2" s="1"/>
  <c r="W346" i="2"/>
  <c r="AG346" i="2" s="1"/>
  <c r="W352" i="2"/>
  <c r="AG352" i="2" s="1"/>
  <c r="W334" i="2"/>
  <c r="AG334" i="2" s="1"/>
  <c r="W340" i="2"/>
  <c r="W355" i="2"/>
  <c r="AG355" i="2" s="1"/>
  <c r="W343" i="2"/>
  <c r="AG343" i="2" s="1"/>
  <c r="AA350" i="2"/>
  <c r="AA337" i="2"/>
  <c r="AA335" i="2"/>
  <c r="AK335" i="2" s="1"/>
  <c r="AC340" i="2"/>
  <c r="AA340" i="2"/>
  <c r="AA347" i="2"/>
  <c r="AK347" i="2" s="1"/>
  <c r="AA354" i="2"/>
  <c r="AK354" i="2" s="1"/>
  <c r="AA346" i="2"/>
  <c r="AK346" i="2" s="1"/>
  <c r="AA342" i="2"/>
  <c r="AK342" i="2" s="1"/>
  <c r="AA352" i="2"/>
  <c r="AK352" i="2" s="1"/>
  <c r="AA349" i="2"/>
  <c r="AK349" i="2" s="1"/>
  <c r="AC336" i="2"/>
  <c r="AM336" i="2" s="1"/>
  <c r="AA343" i="2"/>
  <c r="AK343" i="2" s="1"/>
  <c r="AC334" i="2"/>
  <c r="AM334" i="2" s="1"/>
  <c r="AC352" i="2"/>
  <c r="AM352" i="2" s="1"/>
  <c r="AC335" i="2"/>
  <c r="AM335" i="2" s="1"/>
  <c r="AC347" i="2"/>
  <c r="AM347" i="2" s="1"/>
  <c r="AC354" i="2"/>
  <c r="AM354" i="2" s="1"/>
  <c r="AC343" i="2"/>
  <c r="AM343" i="2" s="1"/>
  <c r="AC338" i="2"/>
  <c r="AC350" i="2"/>
  <c r="AC339" i="2"/>
  <c r="AC342" i="2"/>
  <c r="AM342" i="2" s="1"/>
  <c r="AC346" i="2"/>
  <c r="AM346" i="2" s="1"/>
  <c r="AC349" i="2"/>
  <c r="AM349" i="2" s="1"/>
  <c r="AC355" i="2"/>
  <c r="AM355" i="2" s="1"/>
  <c r="AC337" i="2"/>
  <c r="AA344" i="2"/>
  <c r="AK344" i="2" s="1"/>
  <c r="AA348" i="2"/>
  <c r="AK348" i="2" s="1"/>
  <c r="AA330" i="2"/>
  <c r="AK330" i="2" s="1"/>
  <c r="AA281" i="2"/>
  <c r="AK281" i="2" s="1"/>
  <c r="AA324" i="2"/>
  <c r="AK324" i="2" s="1"/>
  <c r="AA306" i="2"/>
  <c r="AK306" i="2" s="1"/>
  <c r="BT302" i="2"/>
  <c r="AC324" i="2"/>
  <c r="AM324" i="2" s="1"/>
  <c r="W330" i="2"/>
  <c r="AG330" i="2" s="1"/>
  <c r="W283" i="2"/>
  <c r="AG283" i="2" s="1"/>
  <c r="W324" i="2"/>
  <c r="AG324" i="2" s="1"/>
  <c r="W281" i="2"/>
  <c r="AG281" i="2" s="1"/>
  <c r="W325" i="2"/>
  <c r="W306" i="2"/>
  <c r="AC330" i="2"/>
  <c r="AM330" i="2" s="1"/>
  <c r="AC306" i="2"/>
  <c r="AM306" i="2" s="1"/>
  <c r="AC281" i="2"/>
  <c r="AM281" i="2" s="1"/>
  <c r="AA303" i="2"/>
  <c r="AK303" i="2" s="1"/>
  <c r="AA299" i="2"/>
  <c r="AK299" i="2" s="1"/>
  <c r="AA302" i="2"/>
  <c r="AK302" i="2" s="1"/>
  <c r="AA301" i="2"/>
  <c r="AK301" i="2" s="1"/>
  <c r="AA300" i="2"/>
  <c r="AK300" i="2" s="1"/>
  <c r="BV282" i="2"/>
  <c r="AC302" i="2"/>
  <c r="AM302" i="2" s="1"/>
  <c r="AC299" i="2"/>
  <c r="AM299" i="2" s="1"/>
  <c r="AC303" i="2"/>
  <c r="AM303" i="2" s="1"/>
  <c r="AC301" i="2"/>
  <c r="AM301" i="2" s="1"/>
  <c r="AC300" i="2"/>
  <c r="AM300" i="2" s="1"/>
  <c r="W299" i="2"/>
  <c r="AG299" i="2" s="1"/>
  <c r="W302" i="2"/>
  <c r="AG302" i="2" s="1"/>
  <c r="W303" i="2"/>
  <c r="AG303" i="2" s="1"/>
  <c r="W301" i="2"/>
  <c r="AG301" i="2" s="1"/>
  <c r="W300" i="2"/>
  <c r="AG300" i="2" s="1"/>
  <c r="W267" i="2"/>
  <c r="AG267" i="2" s="1"/>
  <c r="W246" i="2"/>
  <c r="AG246" i="2" s="1"/>
  <c r="W247" i="2"/>
  <c r="AG247" i="2" s="1"/>
  <c r="W251" i="2"/>
  <c r="AG251" i="2" s="1"/>
  <c r="W252" i="2"/>
  <c r="AG252" i="2" s="1"/>
  <c r="W249" i="2"/>
  <c r="AG249" i="2" s="1"/>
  <c r="W250" i="2"/>
  <c r="AG250" i="2" s="1"/>
  <c r="W244" i="2"/>
  <c r="AG244" i="2" s="1"/>
  <c r="W248" i="2"/>
  <c r="AG248" i="2" s="1"/>
  <c r="BT256" i="2"/>
  <c r="BT211" i="2"/>
  <c r="CF185" i="2"/>
  <c r="K3" i="2"/>
  <c r="K13" i="2"/>
  <c r="K5" i="2"/>
  <c r="K11" i="2"/>
  <c r="K10" i="2"/>
  <c r="K9" i="2"/>
  <c r="K4" i="2"/>
  <c r="V118" i="2" s="1"/>
  <c r="AF118" i="2" s="1"/>
  <c r="K8" i="2"/>
  <c r="K7" i="2"/>
  <c r="K6" i="2"/>
  <c r="W223" i="2"/>
  <c r="AG223" i="2" s="1"/>
  <c r="W208" i="2"/>
  <c r="AG208" i="2" s="1"/>
  <c r="W177" i="2"/>
  <c r="AG177" i="2" s="1"/>
  <c r="W191" i="2"/>
  <c r="AG191" i="2" s="1"/>
  <c r="BU190" i="2"/>
  <c r="BV185" i="2"/>
  <c r="AC208" i="2"/>
  <c r="AM208" i="2" s="1"/>
  <c r="AC177" i="2"/>
  <c r="AM177" i="2" s="1"/>
  <c r="AC191" i="2"/>
  <c r="AM191" i="2" s="1"/>
  <c r="AE177" i="2"/>
  <c r="AO177" i="2" s="1"/>
  <c r="AE208" i="2"/>
  <c r="AO208" i="2" s="1"/>
  <c r="AE191" i="2"/>
  <c r="AO191" i="2" s="1"/>
  <c r="AA191" i="2"/>
  <c r="AK191" i="2" s="1"/>
  <c r="AA177" i="2"/>
  <c r="AK177" i="2" s="1"/>
  <c r="AA208" i="2"/>
  <c r="AK208" i="2" s="1"/>
  <c r="AA154" i="2"/>
  <c r="AK154" i="2" s="1"/>
  <c r="AA138" i="2"/>
  <c r="AK138" i="2" s="1"/>
  <c r="AA131" i="2"/>
  <c r="AK131" i="2" s="1"/>
  <c r="AA161" i="2"/>
  <c r="AK161" i="2" s="1"/>
  <c r="AA156" i="2"/>
  <c r="AK156" i="2" s="1"/>
  <c r="AA142" i="2"/>
  <c r="AK142" i="2" s="1"/>
  <c r="AA148" i="2"/>
  <c r="AK148" i="2" s="1"/>
  <c r="AA155" i="2"/>
  <c r="AK155" i="2" s="1"/>
  <c r="AA146" i="2"/>
  <c r="AK146" i="2" s="1"/>
  <c r="AA122" i="2"/>
  <c r="AK122" i="2" s="1"/>
  <c r="AA136" i="2"/>
  <c r="AK136" i="2" s="1"/>
  <c r="W125" i="2"/>
  <c r="AG125" i="2" s="1"/>
  <c r="W139" i="2"/>
  <c r="AG139" i="2" s="1"/>
  <c r="W126" i="2"/>
  <c r="AG126" i="2" s="1"/>
  <c r="W136" i="2"/>
  <c r="AG136" i="2" s="1"/>
  <c r="W144" i="2"/>
  <c r="AG144" i="2" s="1"/>
  <c r="W132" i="2"/>
  <c r="AG132" i="2" s="1"/>
  <c r="W134" i="2"/>
  <c r="AG134" i="2" s="1"/>
  <c r="W156" i="2"/>
  <c r="AG156" i="2" s="1"/>
  <c r="W163" i="2"/>
  <c r="AG163" i="2" s="1"/>
  <c r="W147" i="2"/>
  <c r="AG147" i="2" s="1"/>
  <c r="W160" i="2"/>
  <c r="AG160" i="2" s="1"/>
  <c r="W148" i="2"/>
  <c r="AG148" i="2" s="1"/>
  <c r="W124" i="2"/>
  <c r="AG124" i="2" s="1"/>
  <c r="W155" i="2"/>
  <c r="AG155" i="2" s="1"/>
  <c r="W157" i="2"/>
  <c r="AG157" i="2" s="1"/>
  <c r="W165" i="2"/>
  <c r="AG165" i="2" s="1"/>
  <c r="W152" i="2"/>
  <c r="AG152" i="2" s="1"/>
  <c r="W133" i="2"/>
  <c r="AG133" i="2" s="1"/>
  <c r="W123" i="2"/>
  <c r="AG123" i="2" s="1"/>
  <c r="W158" i="2"/>
  <c r="AG158" i="2" s="1"/>
  <c r="W150" i="2"/>
  <c r="AG150" i="2" s="1"/>
  <c r="W159" i="2"/>
  <c r="AG159" i="2" s="1"/>
  <c r="W137" i="2"/>
  <c r="AG137" i="2" s="1"/>
  <c r="W151" i="2"/>
  <c r="AG151" i="2" s="1"/>
  <c r="W142" i="2"/>
  <c r="AG142" i="2" s="1"/>
  <c r="W127" i="2"/>
  <c r="AG127" i="2" s="1"/>
  <c r="W143" i="2"/>
  <c r="AG143" i="2" s="1"/>
  <c r="W161" i="2"/>
  <c r="AG161" i="2" s="1"/>
  <c r="W135" i="2"/>
  <c r="AG135" i="2" s="1"/>
  <c r="W129" i="2"/>
  <c r="AG129" i="2" s="1"/>
  <c r="W162" i="2"/>
  <c r="AG162" i="2" s="1"/>
  <c r="W153" i="2"/>
  <c r="AG153" i="2" s="1"/>
  <c r="W140" i="2"/>
  <c r="AG140" i="2" s="1"/>
  <c r="W128" i="2"/>
  <c r="AG128" i="2" s="1"/>
  <c r="W146" i="2"/>
  <c r="AG146" i="2" s="1"/>
  <c r="W131" i="2"/>
  <c r="AG131" i="2" s="1"/>
  <c r="W138" i="2"/>
  <c r="AG138" i="2" s="1"/>
  <c r="W154" i="2"/>
  <c r="AG154" i="2" s="1"/>
  <c r="W130" i="2"/>
  <c r="AG130" i="2" s="1"/>
  <c r="W122" i="2"/>
  <c r="AG122" i="2" s="1"/>
  <c r="W149" i="2"/>
  <c r="AG149" i="2" s="1"/>
  <c r="W164" i="2"/>
  <c r="AG164" i="2" s="1"/>
  <c r="W141" i="2"/>
  <c r="AG141" i="2" s="1"/>
  <c r="W145" i="2"/>
  <c r="AG145" i="2" s="1"/>
  <c r="AK108" i="6"/>
  <c r="AA149" i="2"/>
  <c r="AK149" i="2" s="1"/>
  <c r="AA133" i="2"/>
  <c r="AK133" i="2" s="1"/>
  <c r="AA147" i="2"/>
  <c r="AK147" i="2" s="1"/>
  <c r="AA163" i="2"/>
  <c r="AK163" i="2" s="1"/>
  <c r="AA132" i="2"/>
  <c r="AK132" i="2" s="1"/>
  <c r="AA152" i="2"/>
  <c r="AK152" i="2" s="1"/>
  <c r="AA140" i="2"/>
  <c r="AK140" i="2" s="1"/>
  <c r="AA141" i="2"/>
  <c r="AK141" i="2" s="1"/>
  <c r="AA143" i="2"/>
  <c r="AK143" i="2" s="1"/>
  <c r="AA128" i="2"/>
  <c r="AK128" i="2" s="1"/>
  <c r="AA151" i="2"/>
  <c r="AK151" i="2" s="1"/>
  <c r="AA137" i="2"/>
  <c r="AK137" i="2" s="1"/>
  <c r="AA153" i="2"/>
  <c r="AK153" i="2" s="1"/>
  <c r="AA139" i="2"/>
  <c r="AK139" i="2" s="1"/>
  <c r="AA126" i="2"/>
  <c r="AK126" i="2" s="1"/>
  <c r="AA162" i="2"/>
  <c r="AK162" i="2" s="1"/>
  <c r="AA129" i="2"/>
  <c r="AK129" i="2" s="1"/>
  <c r="AA123" i="2"/>
  <c r="AK123" i="2" s="1"/>
  <c r="AA135" i="2"/>
  <c r="AK135" i="2" s="1"/>
  <c r="AA150" i="2"/>
  <c r="AK150" i="2" s="1"/>
  <c r="AA130" i="2"/>
  <c r="AK130" i="2" s="1"/>
  <c r="AA144" i="2"/>
  <c r="AK144" i="2" s="1"/>
  <c r="AA158" i="2"/>
  <c r="AK158" i="2" s="1"/>
  <c r="AA145" i="2"/>
  <c r="AK145" i="2" s="1"/>
  <c r="AA159" i="2"/>
  <c r="AK159" i="2" s="1"/>
  <c r="AA134" i="2"/>
  <c r="AK134" i="2" s="1"/>
  <c r="AO108" i="6"/>
  <c r="AA125" i="2"/>
  <c r="AK125" i="2" s="1"/>
  <c r="AA124" i="2"/>
  <c r="AK124" i="2" s="1"/>
  <c r="AA160" i="2"/>
  <c r="AK160" i="2" s="1"/>
  <c r="AA127" i="2"/>
  <c r="AK127" i="2" s="1"/>
  <c r="AA157" i="2"/>
  <c r="AK157" i="2" s="1"/>
  <c r="AA164" i="2"/>
  <c r="AK164" i="2" s="1"/>
  <c r="AC63" i="2"/>
  <c r="AM63" i="2" s="1"/>
  <c r="AC112" i="2"/>
  <c r="AM112" i="2" s="1"/>
  <c r="AC77" i="2"/>
  <c r="AM77" i="2" s="1"/>
  <c r="AC47" i="2"/>
  <c r="AM47" i="2" s="1"/>
  <c r="AC76" i="2"/>
  <c r="AM76" i="2" s="1"/>
  <c r="AC80" i="2"/>
  <c r="AM80" i="2" s="1"/>
  <c r="AC94" i="2"/>
  <c r="AM94" i="2" s="1"/>
  <c r="AC84" i="2"/>
  <c r="AM84" i="2" s="1"/>
  <c r="AC50" i="2"/>
  <c r="AM50" i="2" s="1"/>
  <c r="AC42" i="2"/>
  <c r="AM42" i="2" s="1"/>
  <c r="BV40" i="2"/>
  <c r="AC75" i="2"/>
  <c r="AM75" i="2" s="1"/>
  <c r="AC48" i="2"/>
  <c r="AM48" i="2" s="1"/>
  <c r="AC46" i="2"/>
  <c r="AM46" i="2" s="1"/>
  <c r="AC67" i="2"/>
  <c r="AM67" i="2" s="1"/>
  <c r="AC134" i="2"/>
  <c r="AM134" i="2" s="1"/>
  <c r="AC127" i="2"/>
  <c r="AM127" i="2" s="1"/>
  <c r="AC159" i="2"/>
  <c r="AM159" i="2" s="1"/>
  <c r="AC152" i="2"/>
  <c r="AM152" i="2" s="1"/>
  <c r="AC145" i="2"/>
  <c r="AM145" i="2" s="1"/>
  <c r="AC138" i="2"/>
  <c r="AM138" i="2" s="1"/>
  <c r="AC131" i="2"/>
  <c r="AM131" i="2" s="1"/>
  <c r="AC163" i="2"/>
  <c r="AM163" i="2" s="1"/>
  <c r="AC124" i="2"/>
  <c r="AM124" i="2" s="1"/>
  <c r="AC156" i="2"/>
  <c r="AM156" i="2" s="1"/>
  <c r="AC149" i="2"/>
  <c r="AM149" i="2" s="1"/>
  <c r="AC142" i="2"/>
  <c r="AM142" i="2" s="1"/>
  <c r="AC135" i="2"/>
  <c r="AM135" i="2" s="1"/>
  <c r="AC128" i="2"/>
  <c r="AM128" i="2" s="1"/>
  <c r="AC160" i="2"/>
  <c r="AM160" i="2" s="1"/>
  <c r="AC146" i="2"/>
  <c r="AM146" i="2" s="1"/>
  <c r="AC139" i="2"/>
  <c r="AM139" i="2" s="1"/>
  <c r="AC125" i="2"/>
  <c r="AM125" i="2" s="1"/>
  <c r="AC157" i="2"/>
  <c r="AM157" i="2" s="1"/>
  <c r="AC150" i="2"/>
  <c r="AM150" i="2" s="1"/>
  <c r="AC143" i="2"/>
  <c r="AM143" i="2" s="1"/>
  <c r="AC136" i="2"/>
  <c r="AM136" i="2" s="1"/>
  <c r="AC129" i="2"/>
  <c r="AM129" i="2" s="1"/>
  <c r="AC161" i="2"/>
  <c r="AM161" i="2" s="1"/>
  <c r="AC122" i="2"/>
  <c r="AM122" i="2" s="1"/>
  <c r="AC154" i="2"/>
  <c r="AM154" i="2" s="1"/>
  <c r="AC147" i="2"/>
  <c r="AM147" i="2" s="1"/>
  <c r="AC133" i="2"/>
  <c r="AM133" i="2" s="1"/>
  <c r="AC140" i="2"/>
  <c r="AM140" i="2" s="1"/>
  <c r="AC141" i="2"/>
  <c r="AM141" i="2" s="1"/>
  <c r="AC155" i="2"/>
  <c r="AM155" i="2" s="1"/>
  <c r="AC132" i="2"/>
  <c r="AM132" i="2" s="1"/>
  <c r="AC144" i="2"/>
  <c r="AM144" i="2" s="1"/>
  <c r="AC148" i="2"/>
  <c r="AM148" i="2" s="1"/>
  <c r="AC137" i="2"/>
  <c r="AM137" i="2" s="1"/>
  <c r="AC164" i="2"/>
  <c r="AM164" i="2" s="1"/>
  <c r="AC153" i="2"/>
  <c r="AM153" i="2" s="1"/>
  <c r="AC126" i="2"/>
  <c r="AM126" i="2" s="1"/>
  <c r="AC130" i="2"/>
  <c r="AM130" i="2" s="1"/>
  <c r="AC165" i="2"/>
  <c r="AM165" i="2" s="1"/>
  <c r="AC123" i="2"/>
  <c r="AM123" i="2" s="1"/>
  <c r="AC158" i="2"/>
  <c r="AM158" i="2" s="1"/>
  <c r="AC162" i="2"/>
  <c r="AM162" i="2" s="1"/>
  <c r="AC151" i="2"/>
  <c r="AM151" i="2" s="1"/>
  <c r="AQ108" i="6"/>
  <c r="AC43" i="2"/>
  <c r="AM43" i="2" s="1"/>
  <c r="AC51" i="2"/>
  <c r="AM51" i="2" s="1"/>
  <c r="AC53" i="2"/>
  <c r="AM53" i="2" s="1"/>
  <c r="AC37" i="2"/>
  <c r="AM37" i="2" s="1"/>
  <c r="AC38" i="2"/>
  <c r="AM38" i="2" s="1"/>
  <c r="AC49" i="2"/>
  <c r="AM49" i="2" s="1"/>
  <c r="AC72" i="2"/>
  <c r="AM72" i="2" s="1"/>
  <c r="AC78" i="2"/>
  <c r="AM78" i="2" s="1"/>
  <c r="AC91" i="2"/>
  <c r="AC69" i="2"/>
  <c r="AM69" i="2" s="1"/>
  <c r="AC90" i="2"/>
  <c r="AM90" i="2" s="1"/>
  <c r="BV89" i="2"/>
  <c r="AC36" i="2"/>
  <c r="AM36" i="2" s="1"/>
  <c r="AC52" i="2"/>
  <c r="AM52" i="2" s="1"/>
  <c r="AC79" i="2"/>
  <c r="AM79" i="2" s="1"/>
  <c r="CA83" i="2"/>
  <c r="AC92" i="2"/>
  <c r="AM92" i="2" s="1"/>
  <c r="AC87" i="2"/>
  <c r="AM87" i="2" s="1"/>
  <c r="AC54" i="2"/>
  <c r="AM54" i="2" s="1"/>
  <c r="BV65" i="2"/>
  <c r="AC85" i="2"/>
  <c r="AC62" i="2"/>
  <c r="AM62" i="2" s="1"/>
  <c r="AC39" i="2"/>
  <c r="AM39" i="2" s="1"/>
  <c r="AC40" i="2"/>
  <c r="AM40" i="2" s="1"/>
  <c r="AC81" i="2"/>
  <c r="AM81" i="2" s="1"/>
  <c r="AC66" i="2"/>
  <c r="AM66" i="2" s="1"/>
  <c r="BT282" i="2"/>
  <c r="W121" i="2"/>
  <c r="AG121" i="2" s="1"/>
  <c r="AC70" i="2"/>
  <c r="AM70" i="2" s="1"/>
  <c r="AC82" i="2"/>
  <c r="AM82" i="2" s="1"/>
  <c r="AC71" i="2"/>
  <c r="AM71" i="2" s="1"/>
  <c r="AA121" i="2"/>
  <c r="AK121" i="2" s="1"/>
  <c r="AC60" i="2"/>
  <c r="AM60" i="2" s="1"/>
  <c r="AC68" i="2"/>
  <c r="AM68" i="2" s="1"/>
  <c r="AC44" i="2"/>
  <c r="AM44" i="2" s="1"/>
  <c r="AA320" i="2"/>
  <c r="AK320" i="2" s="1"/>
  <c r="AA304" i="2"/>
  <c r="AC93" i="2"/>
  <c r="AM93" i="2" s="1"/>
  <c r="AA314" i="2"/>
  <c r="AA101" i="2"/>
  <c r="AK101" i="2" s="1"/>
  <c r="AA282" i="2"/>
  <c r="AC86" i="2"/>
  <c r="AM86" i="2" s="1"/>
  <c r="AA298" i="2"/>
  <c r="AA277" i="2"/>
  <c r="AC83" i="2"/>
  <c r="AM83" i="2" s="1"/>
  <c r="AC121" i="2"/>
  <c r="AM121" i="2" s="1"/>
  <c r="AC45" i="2"/>
  <c r="AM45" i="2" s="1"/>
  <c r="BV73" i="2"/>
  <c r="AA322" i="2"/>
  <c r="AK322" i="2" s="1"/>
  <c r="AA296" i="2"/>
  <c r="AC64" i="2"/>
  <c r="AM64" i="2" s="1"/>
  <c r="AA327" i="2"/>
  <c r="AC74" i="2"/>
  <c r="AM74" i="2" s="1"/>
  <c r="AC41" i="2"/>
  <c r="AM41" i="2" s="1"/>
  <c r="AA294" i="2"/>
  <c r="AK294" i="2" s="1"/>
  <c r="AA280" i="2"/>
  <c r="AA279" i="2"/>
  <c r="AA323" i="2"/>
  <c r="AA295" i="2"/>
  <c r="AK295" i="2" s="1"/>
  <c r="AA328" i="2"/>
  <c r="AK328" i="2" s="1"/>
  <c r="AA315" i="2"/>
  <c r="N72" i="28" s="1"/>
  <c r="BT290" i="2"/>
  <c r="AA310" i="2"/>
  <c r="AA319" i="2"/>
  <c r="AK319" i="2" s="1"/>
  <c r="AA308" i="2"/>
  <c r="AA305" i="2"/>
  <c r="AK305" i="2" s="1"/>
  <c r="AA313" i="2"/>
  <c r="AK313" i="2" s="1"/>
  <c r="AA297" i="2"/>
  <c r="N54" i="28" s="1"/>
  <c r="AA278" i="2"/>
  <c r="AA276" i="2"/>
  <c r="AK276" i="2" s="1"/>
  <c r="AA326" i="2"/>
  <c r="AK326" i="2" s="1"/>
  <c r="M14" i="2"/>
  <c r="M3" i="2"/>
  <c r="M4" i="2"/>
  <c r="X118" i="2" s="1"/>
  <c r="AH118" i="2" s="1"/>
  <c r="O3" i="2"/>
  <c r="O4" i="2"/>
  <c r="Z118" i="2" s="1"/>
  <c r="AJ118" i="2" s="1"/>
  <c r="Q3" i="2"/>
  <c r="Q4" i="2"/>
  <c r="AB118" i="2" s="1"/>
  <c r="AL118" i="2" s="1"/>
  <c r="AA65" i="2"/>
  <c r="AK65" i="2" s="1"/>
  <c r="BT51" i="2"/>
  <c r="W58" i="2"/>
  <c r="AG58" i="2" s="1"/>
  <c r="W55" i="2"/>
  <c r="AG55" i="2" s="1"/>
  <c r="W65" i="2"/>
  <c r="AG65" i="2" s="1"/>
  <c r="AA318" i="2"/>
  <c r="N75" i="28" s="1"/>
  <c r="AA307" i="2"/>
  <c r="AK307" i="2" s="1"/>
  <c r="AA316" i="2"/>
  <c r="AA321" i="2"/>
  <c r="AA329" i="2"/>
  <c r="AK329" i="2" s="1"/>
  <c r="AC65" i="2"/>
  <c r="AM65" i="2" s="1"/>
  <c r="BV51" i="2"/>
  <c r="S3" i="2"/>
  <c r="S4" i="2"/>
  <c r="AD118" i="2" s="1"/>
  <c r="AN118" i="2" s="1"/>
  <c r="AE65" i="2"/>
  <c r="AO65" i="2" s="1"/>
  <c r="AE55" i="2"/>
  <c r="AO55" i="2" s="1"/>
  <c r="AE58" i="2"/>
  <c r="AO58" i="2" s="1"/>
  <c r="N14" i="2"/>
  <c r="AE59" i="2"/>
  <c r="AO59" i="2" s="1"/>
  <c r="AE50" i="2"/>
  <c r="AO50" i="2" s="1"/>
  <c r="AA94" i="2"/>
  <c r="AK94" i="2" s="1"/>
  <c r="AA50" i="2"/>
  <c r="AK50" i="2" s="1"/>
  <c r="AE78" i="2"/>
  <c r="AO78" i="2" s="1"/>
  <c r="AK370" i="6"/>
  <c r="AE449" i="2"/>
  <c r="AE440" i="2"/>
  <c r="AA421" i="2"/>
  <c r="AA449" i="2"/>
  <c r="AA440" i="2"/>
  <c r="AA435" i="2"/>
  <c r="AA468" i="2"/>
  <c r="W449" i="2"/>
  <c r="W440" i="2"/>
  <c r="W468" i="2"/>
  <c r="W421" i="2"/>
  <c r="W435" i="2"/>
  <c r="AC421" i="2"/>
  <c r="AC449" i="2"/>
  <c r="AC440" i="2"/>
  <c r="AC468" i="2"/>
  <c r="AC435" i="2"/>
  <c r="BT269" i="2"/>
  <c r="AA265" i="2"/>
  <c r="AK265" i="2" s="1"/>
  <c r="BT261" i="2"/>
  <c r="AA271" i="2"/>
  <c r="AK271" i="2" s="1"/>
  <c r="AA254" i="2"/>
  <c r="AK254" i="2" s="1"/>
  <c r="BT265" i="2"/>
  <c r="AA258" i="2"/>
  <c r="AK258" i="2" s="1"/>
  <c r="AA260" i="2"/>
  <c r="AK260" i="2" s="1"/>
  <c r="AA262" i="2"/>
  <c r="AK262" i="2" s="1"/>
  <c r="AC389" i="2"/>
  <c r="AM389" i="2" s="1"/>
  <c r="AC401" i="2"/>
  <c r="AM401" i="2" s="1"/>
  <c r="AE452" i="2"/>
  <c r="AE401" i="2"/>
  <c r="AO401" i="2" s="1"/>
  <c r="AA410" i="2"/>
  <c r="AK410" i="2" s="1"/>
  <c r="AA401" i="2"/>
  <c r="AK401" i="2" s="1"/>
  <c r="AS201" i="6"/>
  <c r="AQ370" i="6"/>
  <c r="AA269" i="2"/>
  <c r="AK269" i="2" s="1"/>
  <c r="DV3" i="33"/>
  <c r="DV4" i="33" s="1"/>
  <c r="F68" i="34" s="1"/>
  <c r="W313" i="2"/>
  <c r="AG313" i="2" s="1"/>
  <c r="BV290" i="2"/>
  <c r="AE304" i="2"/>
  <c r="AO304" i="2" s="1"/>
  <c r="AE305" i="2"/>
  <c r="AO305" i="2" s="1"/>
  <c r="AE328" i="2"/>
  <c r="AO328" i="2" s="1"/>
  <c r="AA168" i="2"/>
  <c r="AK168" i="2" s="1"/>
  <c r="AA223" i="2"/>
  <c r="AK223" i="2" s="1"/>
  <c r="AC222" i="2"/>
  <c r="AM222" i="2" s="1"/>
  <c r="AC223" i="2"/>
  <c r="AM223" i="2" s="1"/>
  <c r="AE224" i="2"/>
  <c r="AO224" i="2" s="1"/>
  <c r="AE223" i="2"/>
  <c r="AO223" i="2" s="1"/>
  <c r="BV261" i="2"/>
  <c r="BV246" i="2"/>
  <c r="BV250" i="2"/>
  <c r="BV274" i="2"/>
  <c r="BV242" i="2"/>
  <c r="BT250" i="2"/>
  <c r="BT246" i="2"/>
  <c r="BT274" i="2"/>
  <c r="BT242" i="2"/>
  <c r="AE43" i="2"/>
  <c r="AO43" i="2" s="1"/>
  <c r="AE38" i="2"/>
  <c r="AO38" i="2" s="1"/>
  <c r="CA69" i="2"/>
  <c r="AE71" i="2"/>
  <c r="AO71" i="2" s="1"/>
  <c r="AE48" i="2"/>
  <c r="AO48" i="2" s="1"/>
  <c r="AE62" i="2"/>
  <c r="AO62" i="2" s="1"/>
  <c r="L30" i="2"/>
  <c r="L31" i="2" s="1"/>
  <c r="BT89" i="2"/>
  <c r="AA255" i="2"/>
  <c r="AK255" i="2" s="1"/>
  <c r="AA257" i="2"/>
  <c r="AK257" i="2" s="1"/>
  <c r="AA241" i="2"/>
  <c r="AA266" i="2"/>
  <c r="AK266" i="2" s="1"/>
  <c r="AA259" i="2"/>
  <c r="AK259" i="2" s="1"/>
  <c r="AA261" i="2"/>
  <c r="AK261" i="2" s="1"/>
  <c r="R30" i="2"/>
  <c r="R31" i="2" s="1"/>
  <c r="AA198" i="2"/>
  <c r="AK198" i="2" s="1"/>
  <c r="AA185" i="2"/>
  <c r="AA238" i="2"/>
  <c r="AK238" i="2" s="1"/>
  <c r="AA193" i="2"/>
  <c r="AK193" i="2" s="1"/>
  <c r="AA235" i="2"/>
  <c r="AK235" i="2" s="1"/>
  <c r="AA425" i="2"/>
  <c r="AE44" i="2"/>
  <c r="AO44" i="2" s="1"/>
  <c r="AA424" i="2"/>
  <c r="AE56" i="2"/>
  <c r="AO56" i="2" s="1"/>
  <c r="AE51" i="2"/>
  <c r="AO51" i="2" s="1"/>
  <c r="AE64" i="2"/>
  <c r="AO64" i="2" s="1"/>
  <c r="AE83" i="2"/>
  <c r="AO83" i="2" s="1"/>
  <c r="AA433" i="2"/>
  <c r="Q3" i="6"/>
  <c r="AA434" i="2"/>
  <c r="AA431" i="2"/>
  <c r="AE69" i="2"/>
  <c r="AO69" i="2" s="1"/>
  <c r="AE85" i="2"/>
  <c r="T30" i="2"/>
  <c r="T31" i="2" s="1"/>
  <c r="O52" i="34" s="1"/>
  <c r="AE63" i="2"/>
  <c r="AO63" i="2" s="1"/>
  <c r="AE392" i="2"/>
  <c r="AO392" i="2" s="1"/>
  <c r="AE37" i="2"/>
  <c r="AO37" i="2" s="1"/>
  <c r="AA439" i="2"/>
  <c r="AE82" i="2"/>
  <c r="AO82" i="2" s="1"/>
  <c r="AE52" i="2"/>
  <c r="AO52" i="2" s="1"/>
  <c r="AE41" i="2"/>
  <c r="AO41" i="2" s="1"/>
  <c r="AE74" i="2"/>
  <c r="AO74" i="2" s="1"/>
  <c r="AA443" i="2"/>
  <c r="AE73" i="2"/>
  <c r="AO73" i="2" s="1"/>
  <c r="AE70" i="2"/>
  <c r="AO70" i="2" s="1"/>
  <c r="AE76" i="2"/>
  <c r="AO76" i="2" s="1"/>
  <c r="AE49" i="2"/>
  <c r="AO49" i="2" s="1"/>
  <c r="AE399" i="2"/>
  <c r="AO399" i="2" s="1"/>
  <c r="AA391" i="2"/>
  <c r="AK391" i="2" s="1"/>
  <c r="AE47" i="2"/>
  <c r="AO47" i="2" s="1"/>
  <c r="AE81" i="2"/>
  <c r="AO81" i="2" s="1"/>
  <c r="AE91" i="2"/>
  <c r="AO91" i="2" s="1"/>
  <c r="AE90" i="2"/>
  <c r="AO90" i="2" s="1"/>
  <c r="AE80" i="2"/>
  <c r="AO80" i="2" s="1"/>
  <c r="AE46" i="2"/>
  <c r="AO46" i="2" s="1"/>
  <c r="AE60" i="2"/>
  <c r="AO60" i="2" s="1"/>
  <c r="AE87" i="2"/>
  <c r="AO87" i="2" s="1"/>
  <c r="AE42" i="2"/>
  <c r="AO42" i="2" s="1"/>
  <c r="AE40" i="2"/>
  <c r="AO40" i="2" s="1"/>
  <c r="CC46" i="2"/>
  <c r="T94" i="2"/>
  <c r="AE84" i="2"/>
  <c r="AO84" i="2" s="1"/>
  <c r="AA404" i="2"/>
  <c r="AK404" i="2" s="1"/>
  <c r="AE75" i="2"/>
  <c r="AO75" i="2" s="1"/>
  <c r="AE39" i="2"/>
  <c r="AO39" i="2" s="1"/>
  <c r="CC76" i="2"/>
  <c r="AA403" i="2"/>
  <c r="AK403" i="2" s="1"/>
  <c r="AE68" i="2"/>
  <c r="AO68" i="2" s="1"/>
  <c r="CC83" i="2"/>
  <c r="AE53" i="2"/>
  <c r="AO53" i="2" s="1"/>
  <c r="AE86" i="2"/>
  <c r="AO86" i="2" s="1"/>
  <c r="BV181" i="2"/>
  <c r="BV218" i="2"/>
  <c r="AA407" i="2"/>
  <c r="AK407" i="2" s="1"/>
  <c r="AA173" i="2"/>
  <c r="AK173" i="2" s="1"/>
  <c r="AA411" i="2"/>
  <c r="AK411" i="2" s="1"/>
  <c r="AA205" i="2"/>
  <c r="AK205" i="2" s="1"/>
  <c r="AA393" i="2"/>
  <c r="AK393" i="2" s="1"/>
  <c r="AA222" i="2"/>
  <c r="AK222" i="2" s="1"/>
  <c r="AA219" i="2"/>
  <c r="AK219" i="2" s="1"/>
  <c r="AA392" i="2"/>
  <c r="AK392" i="2" s="1"/>
  <c r="AA426" i="2"/>
  <c r="AA406" i="2"/>
  <c r="AK406" i="2" s="1"/>
  <c r="AA390" i="2"/>
  <c r="AK390" i="2" s="1"/>
  <c r="AA221" i="2"/>
  <c r="AK221" i="2" s="1"/>
  <c r="AA388" i="2"/>
  <c r="AK388" i="2" s="1"/>
  <c r="AA237" i="2"/>
  <c r="AK237" i="2" s="1"/>
  <c r="AA396" i="2"/>
  <c r="AK396" i="2" s="1"/>
  <c r="AA395" i="2"/>
  <c r="AK395" i="2" s="1"/>
  <c r="AA394" i="2"/>
  <c r="AK394" i="2" s="1"/>
  <c r="AA427" i="2"/>
  <c r="AA386" i="2"/>
  <c r="AK386" i="2" s="1"/>
  <c r="AA387" i="2"/>
  <c r="AK387" i="2" s="1"/>
  <c r="AA409" i="2"/>
  <c r="AK409" i="2" s="1"/>
  <c r="AA438" i="2"/>
  <c r="AA402" i="2"/>
  <c r="AK402" i="2" s="1"/>
  <c r="AA400" i="2"/>
  <c r="AK400" i="2" s="1"/>
  <c r="AA389" i="2"/>
  <c r="AK389" i="2" s="1"/>
  <c r="AA416" i="2"/>
  <c r="AA419" i="2"/>
  <c r="AA408" i="2"/>
  <c r="AK408" i="2" s="1"/>
  <c r="AA452" i="2"/>
  <c r="AA412" i="2"/>
  <c r="AK412" i="2" s="1"/>
  <c r="AA399" i="2"/>
  <c r="AK399" i="2" s="1"/>
  <c r="AA398" i="2"/>
  <c r="AK398" i="2" s="1"/>
  <c r="AA423" i="2"/>
  <c r="AA417" i="2"/>
  <c r="AA196" i="2"/>
  <c r="AK196" i="2" s="1"/>
  <c r="AA183" i="2"/>
  <c r="AK183" i="2" s="1"/>
  <c r="AA181" i="2"/>
  <c r="AK181" i="2" s="1"/>
  <c r="AA233" i="2"/>
  <c r="AK233" i="2" s="1"/>
  <c r="AA236" i="2"/>
  <c r="AK236" i="2" s="1"/>
  <c r="AA179" i="2"/>
  <c r="AK179" i="2" s="1"/>
  <c r="P30" i="2"/>
  <c r="P31" i="2" s="1"/>
  <c r="AA192" i="2"/>
  <c r="AK192" i="2" s="1"/>
  <c r="AA97" i="2"/>
  <c r="AK97" i="2" s="1"/>
  <c r="AA447" i="2"/>
  <c r="AA107" i="2"/>
  <c r="AK107" i="2" s="1"/>
  <c r="AA451" i="2"/>
  <c r="AA446" i="2"/>
  <c r="AA115" i="2"/>
  <c r="AK115" i="2" s="1"/>
  <c r="AA450" i="2"/>
  <c r="AA194" i="2"/>
  <c r="AK194" i="2" s="1"/>
  <c r="AA197" i="2"/>
  <c r="AK197" i="2" s="1"/>
  <c r="AA212" i="2"/>
  <c r="AK212" i="2" s="1"/>
  <c r="AA444" i="2"/>
  <c r="AA432" i="2"/>
  <c r="AA467" i="2"/>
  <c r="AA429" i="2"/>
  <c r="AA420" i="2"/>
  <c r="BT185" i="2"/>
  <c r="BT218" i="2"/>
  <c r="AA220" i="2"/>
  <c r="AK220" i="2" s="1"/>
  <c r="AA441" i="2"/>
  <c r="AA215" i="2"/>
  <c r="AA178" i="2"/>
  <c r="AK178" i="2" s="1"/>
  <c r="AA213" i="2"/>
  <c r="AK213" i="2" s="1"/>
  <c r="AA428" i="2"/>
  <c r="AA422" i="2"/>
  <c r="AA175" i="2"/>
  <c r="AK175" i="2" s="1"/>
  <c r="AA442" i="2"/>
  <c r="AA207" i="2"/>
  <c r="AK207" i="2" s="1"/>
  <c r="AA418" i="2"/>
  <c r="W224" i="2"/>
  <c r="AG224" i="2" s="1"/>
  <c r="CA225" i="2"/>
  <c r="BV269" i="2"/>
  <c r="BV256" i="2"/>
  <c r="AC442" i="2"/>
  <c r="AA180" i="2"/>
  <c r="AK180" i="2" s="1"/>
  <c r="AA103" i="2"/>
  <c r="AK103" i="2" s="1"/>
  <c r="AA108" i="2"/>
  <c r="AK108" i="2" s="1"/>
  <c r="BT181" i="2"/>
  <c r="AA203" i="2"/>
  <c r="AK203" i="2" s="1"/>
  <c r="AA176" i="2"/>
  <c r="AK176" i="2" s="1"/>
  <c r="AA104" i="2"/>
  <c r="AK104" i="2" s="1"/>
  <c r="AA171" i="2"/>
  <c r="AK171" i="2" s="1"/>
  <c r="AA234" i="2"/>
  <c r="AK234" i="2" s="1"/>
  <c r="AA231" i="2"/>
  <c r="AK231" i="2" s="1"/>
  <c r="AA214" i="2"/>
  <c r="AK214" i="2" s="1"/>
  <c r="AA188" i="2"/>
  <c r="AK188" i="2" s="1"/>
  <c r="AA204" i="2"/>
  <c r="AK204" i="2" s="1"/>
  <c r="AA232" i="2"/>
  <c r="AK232" i="2" s="1"/>
  <c r="BY225" i="2"/>
  <c r="AA174" i="2"/>
  <c r="AK174" i="2" s="1"/>
  <c r="AA112" i="2"/>
  <c r="AK112" i="2" s="1"/>
  <c r="BY175" i="2"/>
  <c r="AA230" i="2"/>
  <c r="AK230" i="2" s="1"/>
  <c r="AA202" i="2"/>
  <c r="AK202" i="2" s="1"/>
  <c r="AA225" i="2"/>
  <c r="AK225" i="2" s="1"/>
  <c r="AA437" i="2"/>
  <c r="AA218" i="2"/>
  <c r="AK218" i="2" s="1"/>
  <c r="AA169" i="2"/>
  <c r="AK169" i="2" s="1"/>
  <c r="AA448" i="2"/>
  <c r="AA172" i="2"/>
  <c r="AK172" i="2" s="1"/>
  <c r="AA117" i="2"/>
  <c r="AK117" i="2" s="1"/>
  <c r="AA226" i="2"/>
  <c r="AK226" i="2" s="1"/>
  <c r="AA184" i="2"/>
  <c r="AK184" i="2" s="1"/>
  <c r="AA445" i="2"/>
  <c r="AA228" i="2"/>
  <c r="AK228" i="2" s="1"/>
  <c r="AA201" i="2"/>
  <c r="AK201" i="2" s="1"/>
  <c r="AA430" i="2"/>
  <c r="AA206" i="2"/>
  <c r="AK206" i="2" s="1"/>
  <c r="AA217" i="2"/>
  <c r="AK217" i="2" s="1"/>
  <c r="AA189" i="2"/>
  <c r="AK189" i="2" s="1"/>
  <c r="AA469" i="2"/>
  <c r="AA229" i="2"/>
  <c r="AK229" i="2" s="1"/>
  <c r="AA186" i="2"/>
  <c r="AK186" i="2" s="1"/>
  <c r="AA170" i="2"/>
  <c r="AK170" i="2" s="1"/>
  <c r="AA200" i="2"/>
  <c r="AK200" i="2" s="1"/>
  <c r="AA109" i="2"/>
  <c r="AK109" i="2" s="1"/>
  <c r="AA182" i="2"/>
  <c r="AK182" i="2" s="1"/>
  <c r="AA199" i="2"/>
  <c r="AK199" i="2" s="1"/>
  <c r="W427" i="2"/>
  <c r="AA114" i="2"/>
  <c r="AK114" i="2" s="1"/>
  <c r="AA116" i="2"/>
  <c r="AK116" i="2" s="1"/>
  <c r="AA105" i="2"/>
  <c r="AK105" i="2" s="1"/>
  <c r="AA113" i="2"/>
  <c r="AK113" i="2" s="1"/>
  <c r="AE395" i="2"/>
  <c r="AO395" i="2" s="1"/>
  <c r="AE389" i="2"/>
  <c r="AO389" i="2" s="1"/>
  <c r="AE469" i="2"/>
  <c r="AE409" i="2"/>
  <c r="AO409" i="2" s="1"/>
  <c r="AE411" i="2"/>
  <c r="AO411" i="2" s="1"/>
  <c r="AA43" i="2"/>
  <c r="AK43" i="2" s="1"/>
  <c r="AE398" i="2"/>
  <c r="AO398" i="2" s="1"/>
  <c r="AE408" i="2"/>
  <c r="AO408" i="2" s="1"/>
  <c r="AE445" i="2"/>
  <c r="AA42" i="2"/>
  <c r="AK42" i="2" s="1"/>
  <c r="AA40" i="2"/>
  <c r="AK40" i="2" s="1"/>
  <c r="AA47" i="2"/>
  <c r="AK47" i="2" s="1"/>
  <c r="AA46" i="2"/>
  <c r="AK46" i="2" s="1"/>
  <c r="AA72" i="2"/>
  <c r="AK72" i="2" s="1"/>
  <c r="AA75" i="2"/>
  <c r="AK75" i="2" s="1"/>
  <c r="AE394" i="2"/>
  <c r="AO394" i="2" s="1"/>
  <c r="AE412" i="2"/>
  <c r="AO412" i="2" s="1"/>
  <c r="AE386" i="2"/>
  <c r="AO386" i="2" s="1"/>
  <c r="AA83" i="2"/>
  <c r="AK83" i="2" s="1"/>
  <c r="AA62" i="2"/>
  <c r="AK62" i="2" s="1"/>
  <c r="AA84" i="2"/>
  <c r="AK84" i="2" s="1"/>
  <c r="AE404" i="2"/>
  <c r="AO404" i="2" s="1"/>
  <c r="AE396" i="2"/>
  <c r="AO396" i="2" s="1"/>
  <c r="BT73" i="2"/>
  <c r="AE402" i="2"/>
  <c r="AO402" i="2" s="1"/>
  <c r="AE410" i="2"/>
  <c r="AO410" i="2" s="1"/>
  <c r="AE390" i="2"/>
  <c r="AO390" i="2" s="1"/>
  <c r="BT40" i="2"/>
  <c r="AA39" i="2"/>
  <c r="AK39" i="2" s="1"/>
  <c r="AA73" i="2"/>
  <c r="AK73" i="2" s="1"/>
  <c r="AA54" i="2"/>
  <c r="AK54" i="2" s="1"/>
  <c r="AA68" i="2"/>
  <c r="AK68" i="2" s="1"/>
  <c r="AA51" i="2"/>
  <c r="AK51" i="2" s="1"/>
  <c r="AE443" i="2"/>
  <c r="AE451" i="2"/>
  <c r="BY83" i="2"/>
  <c r="AA52" i="2"/>
  <c r="AK52" i="2" s="1"/>
  <c r="AA93" i="2"/>
  <c r="AK93" i="2" s="1"/>
  <c r="AA48" i="2"/>
  <c r="AK48" i="2" s="1"/>
  <c r="AA85" i="2"/>
  <c r="AA36" i="2"/>
  <c r="AK36" i="2" s="1"/>
  <c r="AA69" i="2"/>
  <c r="AK69" i="2" s="1"/>
  <c r="AA90" i="2"/>
  <c r="AK90" i="2" s="1"/>
  <c r="AA111" i="2"/>
  <c r="AK111" i="2" s="1"/>
  <c r="AE407" i="2"/>
  <c r="AO407" i="2" s="1"/>
  <c r="AE391" i="2"/>
  <c r="AO391" i="2" s="1"/>
  <c r="AE54" i="2"/>
  <c r="AO54" i="2" s="1"/>
  <c r="AE72" i="2"/>
  <c r="AO72" i="2" s="1"/>
  <c r="AE67" i="2"/>
  <c r="AO67" i="2" s="1"/>
  <c r="AE448" i="2"/>
  <c r="BT65" i="2"/>
  <c r="AA91" i="2"/>
  <c r="AA78" i="2"/>
  <c r="AK78" i="2" s="1"/>
  <c r="AA110" i="2"/>
  <c r="AK110" i="2" s="1"/>
  <c r="AE400" i="2"/>
  <c r="AO400" i="2" s="1"/>
  <c r="AE79" i="2"/>
  <c r="AO79" i="2" s="1"/>
  <c r="AE446" i="2"/>
  <c r="AE439" i="2"/>
  <c r="AE388" i="2"/>
  <c r="AO388" i="2" s="1"/>
  <c r="AE447" i="2"/>
  <c r="AA100" i="2"/>
  <c r="AK100" i="2" s="1"/>
  <c r="AE403" i="2"/>
  <c r="AO403" i="2" s="1"/>
  <c r="AE438" i="2"/>
  <c r="AE450" i="2"/>
  <c r="AE57" i="2"/>
  <c r="AO57" i="2" s="1"/>
  <c r="AA86" i="2"/>
  <c r="AK86" i="2" s="1"/>
  <c r="AA71" i="2"/>
  <c r="AK71" i="2" s="1"/>
  <c r="AA92" i="2"/>
  <c r="AK92" i="2" s="1"/>
  <c r="AA87" i="2"/>
  <c r="AK87" i="2" s="1"/>
  <c r="AA66" i="2"/>
  <c r="AK66" i="2" s="1"/>
  <c r="AA102" i="2"/>
  <c r="AK102" i="2" s="1"/>
  <c r="AE393" i="2"/>
  <c r="AO393" i="2" s="1"/>
  <c r="AE406" i="2"/>
  <c r="AO406" i="2" s="1"/>
  <c r="AE36" i="2"/>
  <c r="AO36" i="2" s="1"/>
  <c r="AA64" i="2"/>
  <c r="AK64" i="2" s="1"/>
  <c r="AA82" i="2"/>
  <c r="AK82" i="2" s="1"/>
  <c r="AA77" i="2"/>
  <c r="AK77" i="2" s="1"/>
  <c r="AA63" i="2"/>
  <c r="AK63" i="2" s="1"/>
  <c r="AA60" i="2"/>
  <c r="AK60" i="2" s="1"/>
  <c r="AA98" i="2"/>
  <c r="AK98" i="2" s="1"/>
  <c r="AE444" i="2"/>
  <c r="AE437" i="2"/>
  <c r="AE66" i="2"/>
  <c r="AO66" i="2" s="1"/>
  <c r="AE45" i="2"/>
  <c r="AO45" i="2" s="1"/>
  <c r="AA99" i="2"/>
  <c r="AK99" i="2" s="1"/>
  <c r="AA106" i="2"/>
  <c r="AK106" i="2" s="1"/>
  <c r="AE387" i="2"/>
  <c r="AO387" i="2" s="1"/>
  <c r="AA67" i="2"/>
  <c r="AK67" i="2" s="1"/>
  <c r="AA76" i="2"/>
  <c r="AK76" i="2" s="1"/>
  <c r="AA70" i="2"/>
  <c r="AK70" i="2" s="1"/>
  <c r="AA44" i="2"/>
  <c r="AK44" i="2" s="1"/>
  <c r="AA41" i="2"/>
  <c r="AK41" i="2" s="1"/>
  <c r="AA45" i="2"/>
  <c r="AK45" i="2" s="1"/>
  <c r="AA37" i="2"/>
  <c r="AK37" i="2" s="1"/>
  <c r="AA79" i="2"/>
  <c r="AK79" i="2" s="1"/>
  <c r="AA80" i="2"/>
  <c r="AK80" i="2" s="1"/>
  <c r="AA81" i="2"/>
  <c r="AK81" i="2" s="1"/>
  <c r="AA74" i="2"/>
  <c r="AK74" i="2" s="1"/>
  <c r="AA53" i="2"/>
  <c r="AK53" i="2" s="1"/>
  <c r="AA38" i="2"/>
  <c r="AK38" i="2" s="1"/>
  <c r="AA49" i="2"/>
  <c r="AK49" i="2" s="1"/>
  <c r="W106" i="2"/>
  <c r="AG106" i="2" s="1"/>
  <c r="W100" i="2"/>
  <c r="AG100" i="2" s="1"/>
  <c r="W116" i="2"/>
  <c r="AG116" i="2" s="1"/>
  <c r="W97" i="2"/>
  <c r="AG97" i="2" s="1"/>
  <c r="W104" i="2"/>
  <c r="AG104" i="2" s="1"/>
  <c r="W113" i="2"/>
  <c r="AG113" i="2" s="1"/>
  <c r="W101" i="2"/>
  <c r="AG101" i="2" s="1"/>
  <c r="W109" i="2"/>
  <c r="AG109" i="2" s="1"/>
  <c r="W114" i="2"/>
  <c r="AG114" i="2" s="1"/>
  <c r="W107" i="2"/>
  <c r="AG107" i="2" s="1"/>
  <c r="W102" i="2"/>
  <c r="AG102" i="2" s="1"/>
  <c r="W115" i="2"/>
  <c r="AG115" i="2" s="1"/>
  <c r="W108" i="2"/>
  <c r="AG108" i="2" s="1"/>
  <c r="W103" i="2"/>
  <c r="AG103" i="2" s="1"/>
  <c r="W110" i="2"/>
  <c r="AG110" i="2" s="1"/>
  <c r="W98" i="2"/>
  <c r="AG98" i="2" s="1"/>
  <c r="W105" i="2"/>
  <c r="AG105" i="2" s="1"/>
  <c r="W111" i="2"/>
  <c r="AG111" i="2" s="1"/>
  <c r="W99" i="2"/>
  <c r="AG99" i="2" s="1"/>
  <c r="W112" i="2"/>
  <c r="AG112" i="2" s="1"/>
  <c r="W117" i="2"/>
  <c r="AG117" i="2" s="1"/>
  <c r="AE211" i="2"/>
  <c r="AO211" i="2" s="1"/>
  <c r="AE233" i="2"/>
  <c r="AO233" i="2" s="1"/>
  <c r="AE188" i="2"/>
  <c r="AO188" i="2" s="1"/>
  <c r="AE181" i="2"/>
  <c r="AO181" i="2" s="1"/>
  <c r="AE227" i="2"/>
  <c r="AO227" i="2" s="1"/>
  <c r="AE174" i="2"/>
  <c r="AO174" i="2" s="1"/>
  <c r="AE189" i="2"/>
  <c r="AO189" i="2" s="1"/>
  <c r="AE204" i="2"/>
  <c r="AO204" i="2" s="1"/>
  <c r="AE199" i="2"/>
  <c r="AO199" i="2" s="1"/>
  <c r="BU76" i="2"/>
  <c r="W57" i="2"/>
  <c r="AG57" i="2" s="1"/>
  <c r="AE185" i="2"/>
  <c r="AE190" i="2"/>
  <c r="AO190" i="2" s="1"/>
  <c r="AE195" i="2"/>
  <c r="AO195" i="2" s="1"/>
  <c r="AE197" i="2"/>
  <c r="AO197" i="2" s="1"/>
  <c r="AE333" i="2"/>
  <c r="AO333" i="2" s="1"/>
  <c r="AE179" i="2"/>
  <c r="AO179" i="2" s="1"/>
  <c r="AE213" i="2"/>
  <c r="AO213" i="2" s="1"/>
  <c r="AE173" i="2"/>
  <c r="AO173" i="2" s="1"/>
  <c r="AE225" i="2"/>
  <c r="AO225" i="2" s="1"/>
  <c r="AE175" i="2"/>
  <c r="AO175" i="2" s="1"/>
  <c r="AE176" i="2"/>
  <c r="AO176" i="2" s="1"/>
  <c r="AE238" i="2"/>
  <c r="AO238" i="2" s="1"/>
  <c r="AE236" i="2"/>
  <c r="AO236" i="2" s="1"/>
  <c r="AE206" i="2"/>
  <c r="AO206" i="2" s="1"/>
  <c r="AE235" i="2"/>
  <c r="AO235" i="2" s="1"/>
  <c r="AE220" i="2"/>
  <c r="AO220" i="2" s="1"/>
  <c r="M10" i="2"/>
  <c r="AE202" i="2"/>
  <c r="AO202" i="2" s="1"/>
  <c r="AE234" i="2"/>
  <c r="AO234" i="2" s="1"/>
  <c r="M7" i="2"/>
  <c r="AE184" i="2"/>
  <c r="AO184" i="2" s="1"/>
  <c r="AE214" i="2"/>
  <c r="AO214" i="2" s="1"/>
  <c r="AE229" i="2"/>
  <c r="AO229" i="2" s="1"/>
  <c r="AE212" i="2"/>
  <c r="AO212" i="2" s="1"/>
  <c r="AE194" i="2"/>
  <c r="AO194" i="2" s="1"/>
  <c r="AE218" i="2"/>
  <c r="AO218" i="2" s="1"/>
  <c r="AE203" i="2"/>
  <c r="AO203" i="2" s="1"/>
  <c r="AE180" i="2"/>
  <c r="AO180" i="2" s="1"/>
  <c r="AE187" i="2"/>
  <c r="AO187" i="2" s="1"/>
  <c r="AE231" i="2"/>
  <c r="AO231" i="2" s="1"/>
  <c r="AE182" i="2"/>
  <c r="AO182" i="2" s="1"/>
  <c r="AE230" i="2"/>
  <c r="AO230" i="2" s="1"/>
  <c r="AE178" i="2"/>
  <c r="AO178" i="2" s="1"/>
  <c r="M11" i="2"/>
  <c r="AE207" i="2"/>
  <c r="AO207" i="2" s="1"/>
  <c r="W87" i="2"/>
  <c r="AG87" i="2" s="1"/>
  <c r="W36" i="2"/>
  <c r="AG36" i="2" s="1"/>
  <c r="AE168" i="2"/>
  <c r="AO168" i="2" s="1"/>
  <c r="AE201" i="2"/>
  <c r="AO201" i="2" s="1"/>
  <c r="AE172" i="2"/>
  <c r="AO172" i="2" s="1"/>
  <c r="AE221" i="2"/>
  <c r="AO221" i="2" s="1"/>
  <c r="AE237" i="2"/>
  <c r="AO237" i="2" s="1"/>
  <c r="AE186" i="2"/>
  <c r="AO186" i="2" s="1"/>
  <c r="M8" i="2"/>
  <c r="AE228" i="2"/>
  <c r="AO228" i="2" s="1"/>
  <c r="AE232" i="2"/>
  <c r="AO232" i="2" s="1"/>
  <c r="AE192" i="2"/>
  <c r="AO192" i="2" s="1"/>
  <c r="AE200" i="2"/>
  <c r="AO200" i="2" s="1"/>
  <c r="M9" i="2"/>
  <c r="AE169" i="2"/>
  <c r="AO169" i="2" s="1"/>
  <c r="AE226" i="2"/>
  <c r="AO226" i="2" s="1"/>
  <c r="CC175" i="2"/>
  <c r="AE222" i="2"/>
  <c r="AO222" i="2" s="1"/>
  <c r="AE198" i="2"/>
  <c r="AO198" i="2" s="1"/>
  <c r="AE183" i="2"/>
  <c r="AO183" i="2" s="1"/>
  <c r="AE170" i="2"/>
  <c r="AO170" i="2" s="1"/>
  <c r="AE205" i="2"/>
  <c r="AO205" i="2" s="1"/>
  <c r="AE196" i="2"/>
  <c r="AO196" i="2" s="1"/>
  <c r="AE219" i="2"/>
  <c r="AO219" i="2" s="1"/>
  <c r="AE171" i="2"/>
  <c r="AO171" i="2" s="1"/>
  <c r="AE193" i="2"/>
  <c r="AO193" i="2" s="1"/>
  <c r="M5" i="2"/>
  <c r="M6" i="2"/>
  <c r="M13" i="2"/>
  <c r="S7" i="2"/>
  <c r="S10" i="2"/>
  <c r="S9" i="2"/>
  <c r="S6" i="2"/>
  <c r="S5" i="2"/>
  <c r="AD121" i="2" s="1"/>
  <c r="AN121" i="2" s="1"/>
  <c r="S8" i="2"/>
  <c r="S11" i="2"/>
  <c r="S14" i="2"/>
  <c r="S13" i="2"/>
  <c r="S3" i="6"/>
  <c r="AC444" i="2"/>
  <c r="AC422" i="2"/>
  <c r="AC429" i="2"/>
  <c r="AC423" i="2"/>
  <c r="AC425" i="2"/>
  <c r="AC418" i="2"/>
  <c r="AC417" i="2"/>
  <c r="AC437" i="2"/>
  <c r="AC438" i="2"/>
  <c r="AC398" i="2"/>
  <c r="AM398" i="2" s="1"/>
  <c r="AC432" i="2"/>
  <c r="AC424" i="2"/>
  <c r="AC445" i="2"/>
  <c r="AC467" i="2"/>
  <c r="AC420" i="2"/>
  <c r="AC439" i="2"/>
  <c r="AC419" i="2"/>
  <c r="AC396" i="2"/>
  <c r="AM396" i="2" s="1"/>
  <c r="AC393" i="2"/>
  <c r="AM393" i="2" s="1"/>
  <c r="AC395" i="2"/>
  <c r="AM395" i="2" s="1"/>
  <c r="AC388" i="2"/>
  <c r="AM388" i="2" s="1"/>
  <c r="AC402" i="2"/>
  <c r="AM402" i="2" s="1"/>
  <c r="AC447" i="2"/>
  <c r="AC392" i="2"/>
  <c r="AM392" i="2" s="1"/>
  <c r="AC399" i="2"/>
  <c r="AM399" i="2" s="1"/>
  <c r="AC433" i="2"/>
  <c r="AC427" i="2"/>
  <c r="AC446" i="2"/>
  <c r="AC441" i="2"/>
  <c r="AC407" i="2"/>
  <c r="AM407" i="2" s="1"/>
  <c r="AC431" i="2"/>
  <c r="AC469" i="2"/>
  <c r="AC430" i="2"/>
  <c r="AC410" i="2"/>
  <c r="AM410" i="2" s="1"/>
  <c r="AC416" i="2"/>
  <c r="AC452" i="2"/>
  <c r="AC434" i="2"/>
  <c r="AC451" i="2"/>
  <c r="AC443" i="2"/>
  <c r="AC428" i="2"/>
  <c r="AC450" i="2"/>
  <c r="AC406" i="2"/>
  <c r="AM406" i="2" s="1"/>
  <c r="AC390" i="2"/>
  <c r="AM390" i="2" s="1"/>
  <c r="AC448" i="2"/>
  <c r="AC387" i="2"/>
  <c r="AM387" i="2" s="1"/>
  <c r="AC412" i="2"/>
  <c r="AM412" i="2" s="1"/>
  <c r="AC408" i="2"/>
  <c r="AM408" i="2" s="1"/>
  <c r="AC386" i="2"/>
  <c r="AM386" i="2" s="1"/>
  <c r="AC411" i="2"/>
  <c r="AM411" i="2" s="1"/>
  <c r="AC409" i="2"/>
  <c r="AM409" i="2" s="1"/>
  <c r="AC403" i="2"/>
  <c r="AM403" i="2" s="1"/>
  <c r="AC400" i="2"/>
  <c r="AM400" i="2" s="1"/>
  <c r="AC394" i="2"/>
  <c r="AM394" i="2" s="1"/>
  <c r="AC391" i="2"/>
  <c r="AM391" i="2" s="1"/>
  <c r="AC271" i="2"/>
  <c r="AM271" i="2" s="1"/>
  <c r="AC426" i="2"/>
  <c r="AC404" i="2"/>
  <c r="AM404" i="2" s="1"/>
  <c r="AC269" i="2"/>
  <c r="AM269" i="2" s="1"/>
  <c r="AC259" i="2"/>
  <c r="AM259" i="2" s="1"/>
  <c r="AC260" i="2"/>
  <c r="AM260" i="2" s="1"/>
  <c r="AC194" i="2"/>
  <c r="AM194" i="2" s="1"/>
  <c r="AC197" i="2"/>
  <c r="AM197" i="2" s="1"/>
  <c r="AC235" i="2"/>
  <c r="AM235" i="2" s="1"/>
  <c r="AC201" i="2"/>
  <c r="AM201" i="2" s="1"/>
  <c r="W285" i="2"/>
  <c r="W315" i="2"/>
  <c r="AC170" i="2"/>
  <c r="AM170" i="2" s="1"/>
  <c r="AC99" i="2"/>
  <c r="AM99" i="2" s="1"/>
  <c r="W294" i="2"/>
  <c r="AC206" i="2"/>
  <c r="AM206" i="2" s="1"/>
  <c r="W296" i="2"/>
  <c r="AC214" i="2"/>
  <c r="AM214" i="2" s="1"/>
  <c r="AC97" i="2"/>
  <c r="AM97" i="2" s="1"/>
  <c r="AC229" i="2"/>
  <c r="AM229" i="2" s="1"/>
  <c r="AC230" i="2"/>
  <c r="AM230" i="2" s="1"/>
  <c r="AC207" i="2"/>
  <c r="AM207" i="2" s="1"/>
  <c r="AC218" i="2"/>
  <c r="AM218" i="2" s="1"/>
  <c r="AC217" i="2"/>
  <c r="AM217" i="2" s="1"/>
  <c r="AC231" i="2"/>
  <c r="AM231" i="2" s="1"/>
  <c r="AC104" i="2"/>
  <c r="AM104" i="2" s="1"/>
  <c r="AC225" i="2"/>
  <c r="AM225" i="2" s="1"/>
  <c r="AC179" i="2"/>
  <c r="AM179" i="2" s="1"/>
  <c r="AC221" i="2"/>
  <c r="AM221" i="2" s="1"/>
  <c r="AC204" i="2"/>
  <c r="AM204" i="2" s="1"/>
  <c r="AC110" i="2"/>
  <c r="AM110" i="2" s="1"/>
  <c r="AC202" i="2"/>
  <c r="AM202" i="2" s="1"/>
  <c r="AC215" i="2"/>
  <c r="AC176" i="2"/>
  <c r="AM176" i="2" s="1"/>
  <c r="AC258" i="2"/>
  <c r="AM258" i="2" s="1"/>
  <c r="AC116" i="2"/>
  <c r="AM116" i="2" s="1"/>
  <c r="AC199" i="2"/>
  <c r="AM199" i="2" s="1"/>
  <c r="AC212" i="2"/>
  <c r="AM212" i="2" s="1"/>
  <c r="AC261" i="2"/>
  <c r="AM261" i="2" s="1"/>
  <c r="AC117" i="2"/>
  <c r="AM117" i="2" s="1"/>
  <c r="AC111" i="2"/>
  <c r="AM111" i="2" s="1"/>
  <c r="AC232" i="2"/>
  <c r="AM232" i="2" s="1"/>
  <c r="AC168" i="2"/>
  <c r="AM168" i="2" s="1"/>
  <c r="AC192" i="2"/>
  <c r="AM192" i="2" s="1"/>
  <c r="AC241" i="2"/>
  <c r="AC113" i="2"/>
  <c r="AM113" i="2" s="1"/>
  <c r="AC109" i="2"/>
  <c r="AM109" i="2" s="1"/>
  <c r="AC200" i="2"/>
  <c r="AM200" i="2" s="1"/>
  <c r="AC108" i="2"/>
  <c r="AM108" i="2" s="1"/>
  <c r="AC262" i="2"/>
  <c r="AM262" i="2" s="1"/>
  <c r="AC115" i="2"/>
  <c r="AM115" i="2" s="1"/>
  <c r="AC228" i="2"/>
  <c r="AM228" i="2" s="1"/>
  <c r="AC182" i="2"/>
  <c r="AM182" i="2" s="1"/>
  <c r="AC173" i="2"/>
  <c r="AM173" i="2" s="1"/>
  <c r="AC100" i="2"/>
  <c r="AM100" i="2" s="1"/>
  <c r="AC213" i="2"/>
  <c r="AM213" i="2" s="1"/>
  <c r="AC254" i="2"/>
  <c r="AM254" i="2" s="1"/>
  <c r="AC103" i="2"/>
  <c r="AM103" i="2" s="1"/>
  <c r="AC185" i="2"/>
  <c r="AC237" i="2"/>
  <c r="AM237" i="2" s="1"/>
  <c r="AC257" i="2"/>
  <c r="AM257" i="2" s="1"/>
  <c r="AC189" i="2"/>
  <c r="AM189" i="2" s="1"/>
  <c r="AC220" i="2"/>
  <c r="AM220" i="2" s="1"/>
  <c r="AC181" i="2"/>
  <c r="AM181" i="2" s="1"/>
  <c r="AC178" i="2"/>
  <c r="AM178" i="2" s="1"/>
  <c r="AC183" i="2"/>
  <c r="AM183" i="2" s="1"/>
  <c r="AC266" i="2"/>
  <c r="AM266" i="2" s="1"/>
  <c r="AC106" i="2"/>
  <c r="AM106" i="2" s="1"/>
  <c r="CA175" i="2"/>
  <c r="AC203" i="2"/>
  <c r="AM203" i="2" s="1"/>
  <c r="AC174" i="2"/>
  <c r="AM174" i="2" s="1"/>
  <c r="AC238" i="2"/>
  <c r="AM238" i="2" s="1"/>
  <c r="AC234" i="2"/>
  <c r="AM234" i="2" s="1"/>
  <c r="BV265" i="2"/>
  <c r="AC107" i="2"/>
  <c r="AM107" i="2" s="1"/>
  <c r="AC233" i="2"/>
  <c r="AM233" i="2" s="1"/>
  <c r="AC184" i="2"/>
  <c r="AM184" i="2" s="1"/>
  <c r="AC193" i="2"/>
  <c r="AM193" i="2" s="1"/>
  <c r="AC175" i="2"/>
  <c r="AM175" i="2" s="1"/>
  <c r="AC102" i="2"/>
  <c r="AM102" i="2" s="1"/>
  <c r="AC236" i="2"/>
  <c r="AM236" i="2" s="1"/>
  <c r="AC172" i="2"/>
  <c r="AM172" i="2" s="1"/>
  <c r="AC101" i="2"/>
  <c r="AM101" i="2" s="1"/>
  <c r="AC171" i="2"/>
  <c r="AM171" i="2" s="1"/>
  <c r="AC169" i="2"/>
  <c r="AM169" i="2" s="1"/>
  <c r="AC226" i="2"/>
  <c r="AM226" i="2" s="1"/>
  <c r="AC186" i="2"/>
  <c r="AM186" i="2" s="1"/>
  <c r="AC265" i="2"/>
  <c r="AM265" i="2" s="1"/>
  <c r="AC114" i="2"/>
  <c r="AM114" i="2" s="1"/>
  <c r="AC180" i="2"/>
  <c r="AM180" i="2" s="1"/>
  <c r="AC98" i="2"/>
  <c r="AM98" i="2" s="1"/>
  <c r="AC255" i="2"/>
  <c r="AM255" i="2" s="1"/>
  <c r="AC196" i="2"/>
  <c r="AM196" i="2" s="1"/>
  <c r="AC219" i="2"/>
  <c r="AM219" i="2" s="1"/>
  <c r="AC205" i="2"/>
  <c r="AM205" i="2" s="1"/>
  <c r="AC198" i="2"/>
  <c r="AM198" i="2" s="1"/>
  <c r="AC188" i="2"/>
  <c r="AM188" i="2" s="1"/>
  <c r="AC105" i="2"/>
  <c r="AM105" i="2" s="1"/>
  <c r="W404" i="2"/>
  <c r="AG404" i="2" s="1"/>
  <c r="W56" i="2"/>
  <c r="AG56" i="2" s="1"/>
  <c r="W94" i="2"/>
  <c r="AG94" i="2" s="1"/>
  <c r="W40" i="2"/>
  <c r="AG40" i="2" s="1"/>
  <c r="W84" i="2"/>
  <c r="AG84" i="2" s="1"/>
  <c r="AC326" i="2"/>
  <c r="AM326" i="2" s="1"/>
  <c r="AC323" i="2"/>
  <c r="AM323" i="2" s="1"/>
  <c r="AC328" i="2"/>
  <c r="AM328" i="2" s="1"/>
  <c r="AC314" i="2"/>
  <c r="AM314" i="2" s="1"/>
  <c r="AC321" i="2"/>
  <c r="AM321" i="2" s="1"/>
  <c r="AC319" i="2"/>
  <c r="AM319" i="2" s="1"/>
  <c r="AC298" i="2"/>
  <c r="AM298" i="2" s="1"/>
  <c r="AC307" i="2"/>
  <c r="AM307" i="2" s="1"/>
  <c r="AC278" i="2"/>
  <c r="AM278" i="2" s="1"/>
  <c r="AC276" i="2"/>
  <c r="AM276" i="2" s="1"/>
  <c r="AC308" i="2"/>
  <c r="AM308" i="2" s="1"/>
  <c r="AC279" i="2"/>
  <c r="AM279" i="2" s="1"/>
  <c r="AC320" i="2"/>
  <c r="AM320" i="2" s="1"/>
  <c r="AC329" i="2"/>
  <c r="AM329" i="2" s="1"/>
  <c r="AC316" i="2"/>
  <c r="AM316" i="2" s="1"/>
  <c r="AC327" i="2"/>
  <c r="AM327" i="2" s="1"/>
  <c r="AC294" i="2"/>
  <c r="AM294" i="2" s="1"/>
  <c r="AC315" i="2"/>
  <c r="P72" i="28" s="1"/>
  <c r="AC305" i="2"/>
  <c r="AM305" i="2" s="1"/>
  <c r="AC296" i="2"/>
  <c r="AM296" i="2" s="1"/>
  <c r="AC310" i="2"/>
  <c r="AM310" i="2" s="1"/>
  <c r="AC277" i="2"/>
  <c r="AM277" i="2" s="1"/>
  <c r="AC282" i="2"/>
  <c r="AM282" i="2" s="1"/>
  <c r="AC313" i="2"/>
  <c r="AM313" i="2" s="1"/>
  <c r="AC295" i="2"/>
  <c r="AM295" i="2" s="1"/>
  <c r="AC304" i="2"/>
  <c r="AM304" i="2" s="1"/>
  <c r="AC322" i="2"/>
  <c r="AM322" i="2" s="1"/>
  <c r="AC280" i="2"/>
  <c r="AM280" i="2" s="1"/>
  <c r="AC318" i="2"/>
  <c r="P75" i="28" s="1"/>
  <c r="AC297" i="2"/>
  <c r="P54" i="28" s="1"/>
  <c r="W292" i="2"/>
  <c r="W82" i="2"/>
  <c r="AG82" i="2" s="1"/>
  <c r="W393" i="2"/>
  <c r="AG393" i="2" s="1"/>
  <c r="W178" i="2"/>
  <c r="AG178" i="2" s="1"/>
  <c r="W59" i="2"/>
  <c r="AG59" i="2" s="1"/>
  <c r="W53" i="2"/>
  <c r="AG53" i="2" s="1"/>
  <c r="W86" i="2"/>
  <c r="AG86" i="2" s="1"/>
  <c r="W39" i="2"/>
  <c r="AG39" i="2" s="1"/>
  <c r="W93" i="2"/>
  <c r="AG93" i="2" s="1"/>
  <c r="W54" i="2"/>
  <c r="AG54" i="2" s="1"/>
  <c r="W81" i="2"/>
  <c r="AG81" i="2" s="1"/>
  <c r="W43" i="2"/>
  <c r="AG43" i="2" s="1"/>
  <c r="W45" i="2"/>
  <c r="AG45" i="2" s="1"/>
  <c r="W298" i="2"/>
  <c r="AG298" i="2" s="1"/>
  <c r="W441" i="2"/>
  <c r="W92" i="2"/>
  <c r="AG92" i="2" s="1"/>
  <c r="W64" i="2"/>
  <c r="AG64" i="2" s="1"/>
  <c r="Q10" i="2"/>
  <c r="Q5" i="2"/>
  <c r="Q13" i="2"/>
  <c r="Q6" i="2"/>
  <c r="Q8" i="2"/>
  <c r="BU302" i="2" s="1"/>
  <c r="Q9" i="2"/>
  <c r="Q7" i="2"/>
  <c r="Q14" i="2"/>
  <c r="Q11" i="2"/>
  <c r="O9" i="2"/>
  <c r="O14" i="2"/>
  <c r="O10" i="2"/>
  <c r="O5" i="2"/>
  <c r="O13" i="2"/>
  <c r="O7" i="2"/>
  <c r="O6" i="2"/>
  <c r="O8" i="2"/>
  <c r="W91" i="2"/>
  <c r="AG91" i="2" s="1"/>
  <c r="W70" i="2"/>
  <c r="AG70" i="2" s="1"/>
  <c r="W77" i="2"/>
  <c r="AG77" i="2" s="1"/>
  <c r="W49" i="2"/>
  <c r="AG49" i="2" s="1"/>
  <c r="W41" i="2"/>
  <c r="AG41" i="2" s="1"/>
  <c r="W66" i="2"/>
  <c r="AG66" i="2" s="1"/>
  <c r="W52" i="2"/>
  <c r="AG52" i="2" s="1"/>
  <c r="W48" i="2"/>
  <c r="AG48" i="2" s="1"/>
  <c r="W78" i="2"/>
  <c r="AG78" i="2" s="1"/>
  <c r="W71" i="2"/>
  <c r="AG71" i="2" s="1"/>
  <c r="W60" i="2"/>
  <c r="AG60" i="2" s="1"/>
  <c r="W62" i="2"/>
  <c r="AG62" i="2" s="1"/>
  <c r="W68" i="2"/>
  <c r="AG68" i="2" s="1"/>
  <c r="W80" i="2"/>
  <c r="AG80" i="2" s="1"/>
  <c r="W73" i="2"/>
  <c r="AG73" i="2" s="1"/>
  <c r="BU83" i="2"/>
  <c r="W83" i="2"/>
  <c r="AG83" i="2" s="1"/>
  <c r="W75" i="2"/>
  <c r="AG75" i="2" s="1"/>
  <c r="W67" i="2"/>
  <c r="AG67" i="2" s="1"/>
  <c r="W74" i="2"/>
  <c r="AG74" i="2" s="1"/>
  <c r="W44" i="2"/>
  <c r="AG44" i="2" s="1"/>
  <c r="W47" i="2"/>
  <c r="AG47" i="2" s="1"/>
  <c r="W63" i="2"/>
  <c r="AG63" i="2" s="1"/>
  <c r="W76" i="2"/>
  <c r="AG76" i="2" s="1"/>
  <c r="W42" i="2"/>
  <c r="AG42" i="2" s="1"/>
  <c r="W79" i="2"/>
  <c r="AG79" i="2" s="1"/>
  <c r="W72" i="2"/>
  <c r="AG72" i="2" s="1"/>
  <c r="W90" i="2"/>
  <c r="AG90" i="2" s="1"/>
  <c r="W51" i="2"/>
  <c r="AG51" i="2" s="1"/>
  <c r="W85" i="2"/>
  <c r="W69" i="2"/>
  <c r="AG69" i="2" s="1"/>
  <c r="W46" i="2"/>
  <c r="AG46" i="2" s="1"/>
  <c r="W38" i="2"/>
  <c r="AG38" i="2" s="1"/>
  <c r="W37" i="2"/>
  <c r="AG37" i="2" s="1"/>
  <c r="W235" i="2"/>
  <c r="AG235" i="2" s="1"/>
  <c r="W180" i="2"/>
  <c r="AG180" i="2" s="1"/>
  <c r="W231" i="2"/>
  <c r="AG231" i="2" s="1"/>
  <c r="W181" i="2"/>
  <c r="AG181" i="2" s="1"/>
  <c r="W206" i="2"/>
  <c r="AG206" i="2" s="1"/>
  <c r="W175" i="2"/>
  <c r="AG175" i="2" s="1"/>
  <c r="W237" i="2"/>
  <c r="AG237" i="2" s="1"/>
  <c r="W310" i="2"/>
  <c r="AG310" i="2" s="1"/>
  <c r="W319" i="2"/>
  <c r="AG319" i="2" s="1"/>
  <c r="W307" i="2"/>
  <c r="W278" i="2"/>
  <c r="AG278" i="2" s="1"/>
  <c r="W277" i="2"/>
  <c r="AG277" i="2" s="1"/>
  <c r="W439" i="2"/>
  <c r="W434" i="2"/>
  <c r="W429" i="2"/>
  <c r="W426" i="2"/>
  <c r="W430" i="2"/>
  <c r="W406" i="2"/>
  <c r="AG406" i="2" s="1"/>
  <c r="W400" i="2"/>
  <c r="AG400" i="2" s="1"/>
  <c r="W321" i="2"/>
  <c r="AG321" i="2" s="1"/>
  <c r="W326" i="2"/>
  <c r="W276" i="2"/>
  <c r="AG276" i="2" s="1"/>
  <c r="W304" i="2"/>
  <c r="W329" i="2"/>
  <c r="AG329" i="2" s="1"/>
  <c r="W422" i="2"/>
  <c r="W419" i="2"/>
  <c r="W423" i="2"/>
  <c r="W433" i="2"/>
  <c r="W391" i="2"/>
  <c r="AG391" i="2" s="1"/>
  <c r="W389" i="2"/>
  <c r="AG389" i="2" s="1"/>
  <c r="W403" i="2"/>
  <c r="AG403" i="2" s="1"/>
  <c r="W287" i="2"/>
  <c r="W286" i="2"/>
  <c r="W327" i="2"/>
  <c r="AG327" i="2" s="1"/>
  <c r="W288" i="2"/>
  <c r="W279" i="2"/>
  <c r="AG279" i="2" s="1"/>
  <c r="W308" i="2"/>
  <c r="W438" i="2"/>
  <c r="W431" i="2"/>
  <c r="W432" i="2"/>
  <c r="W410" i="2"/>
  <c r="AG410" i="2" s="1"/>
  <c r="W390" i="2"/>
  <c r="AG390" i="2" s="1"/>
  <c r="W388" i="2"/>
  <c r="AG388" i="2" s="1"/>
  <c r="W446" i="2"/>
  <c r="W467" i="2"/>
  <c r="W447" i="2"/>
  <c r="W452" i="2"/>
  <c r="W451" i="2"/>
  <c r="W450" i="2"/>
  <c r="W445" i="2"/>
  <c r="W448" i="2"/>
  <c r="W420" i="2"/>
  <c r="W328" i="2"/>
  <c r="W322" i="2"/>
  <c r="AG322" i="2" s="1"/>
  <c r="W282" i="2"/>
  <c r="W280" i="2"/>
  <c r="W424" i="2"/>
  <c r="W442" i="2"/>
  <c r="W469" i="2"/>
  <c r="W417" i="2"/>
  <c r="W402" i="2"/>
  <c r="AG402" i="2" s="1"/>
  <c r="W407" i="2"/>
  <c r="AG407" i="2" s="1"/>
  <c r="W314" i="2"/>
  <c r="AG314" i="2" s="1"/>
  <c r="W291" i="2"/>
  <c r="W320" i="2"/>
  <c r="AG320" i="2" s="1"/>
  <c r="W305" i="2"/>
  <c r="W323" i="2"/>
  <c r="AG323" i="2" s="1"/>
  <c r="W293" i="2"/>
  <c r="J50" i="28" s="1"/>
  <c r="W443" i="2"/>
  <c r="W444" i="2"/>
  <c r="W437" i="2"/>
  <c r="W408" i="2"/>
  <c r="AG408" i="2" s="1"/>
  <c r="W409" i="2"/>
  <c r="AG409" i="2" s="1"/>
  <c r="W394" i="2"/>
  <c r="AG394" i="2" s="1"/>
  <c r="W295" i="2"/>
  <c r="AG295" i="2" s="1"/>
  <c r="W289" i="2"/>
  <c r="W318" i="2"/>
  <c r="W317" i="2"/>
  <c r="W418" i="2"/>
  <c r="W428" i="2"/>
  <c r="W399" i="2"/>
  <c r="AG399" i="2" s="1"/>
  <c r="W411" i="2"/>
  <c r="AG411" i="2" s="1"/>
  <c r="W412" i="2"/>
  <c r="AG412" i="2" s="1"/>
  <c r="W297" i="2"/>
  <c r="W316" i="2"/>
  <c r="W290" i="2"/>
  <c r="M3" i="6"/>
  <c r="W416" i="2"/>
  <c r="W425" i="2"/>
  <c r="W398" i="2"/>
  <c r="AG398" i="2" s="1"/>
  <c r="W392" i="2"/>
  <c r="AG392" i="2" s="1"/>
  <c r="W395" i="2"/>
  <c r="AG395" i="2" s="1"/>
  <c r="W396" i="2"/>
  <c r="AG396" i="2" s="1"/>
  <c r="W386" i="2"/>
  <c r="AG386" i="2" s="1"/>
  <c r="W387" i="2"/>
  <c r="AG387" i="2" s="1"/>
  <c r="W284" i="2"/>
  <c r="W333" i="2"/>
  <c r="AG333" i="2" s="1"/>
  <c r="AL422" i="6"/>
  <c r="AL198" i="6"/>
  <c r="W188" i="2"/>
  <c r="AG188" i="2" s="1"/>
  <c r="W201" i="2"/>
  <c r="AG201" i="2" s="1"/>
  <c r="W225" i="2"/>
  <c r="AG225" i="2" s="1"/>
  <c r="W194" i="2"/>
  <c r="AG194" i="2" s="1"/>
  <c r="W215" i="2"/>
  <c r="AG215" i="2" s="1"/>
  <c r="W219" i="2"/>
  <c r="AG219" i="2" s="1"/>
  <c r="W217" i="2"/>
  <c r="AG217" i="2" s="1"/>
  <c r="W171" i="2"/>
  <c r="AG171" i="2" s="1"/>
  <c r="W169" i="2"/>
  <c r="AG169" i="2" s="1"/>
  <c r="W226" i="2"/>
  <c r="AG226" i="2" s="1"/>
  <c r="W202" i="2"/>
  <c r="AG202" i="2" s="1"/>
  <c r="W196" i="2"/>
  <c r="AG196" i="2" s="1"/>
  <c r="W211" i="2"/>
  <c r="AG211" i="2" s="1"/>
  <c r="W192" i="2"/>
  <c r="AG192" i="2" s="1"/>
  <c r="W200" i="2"/>
  <c r="AG200" i="2" s="1"/>
  <c r="W198" i="2"/>
  <c r="AG198" i="2" s="1"/>
  <c r="W229" i="2"/>
  <c r="AG229" i="2" s="1"/>
  <c r="W199" i="2"/>
  <c r="AG199" i="2" s="1"/>
  <c r="W222" i="2"/>
  <c r="AG222" i="2" s="1"/>
  <c r="W234" i="2"/>
  <c r="AG234" i="2" s="1"/>
  <c r="W193" i="2"/>
  <c r="AG193" i="2" s="1"/>
  <c r="W230" i="2"/>
  <c r="AG230" i="2" s="1"/>
  <c r="W228" i="2"/>
  <c r="AG228" i="2" s="1"/>
  <c r="W203" i="2"/>
  <c r="AG203" i="2" s="1"/>
  <c r="W172" i="2"/>
  <c r="AG172" i="2" s="1"/>
  <c r="W170" i="2"/>
  <c r="AG170" i="2" s="1"/>
  <c r="W174" i="2"/>
  <c r="AG174" i="2" s="1"/>
  <c r="W233" i="2"/>
  <c r="AG233" i="2" s="1"/>
  <c r="W238" i="2"/>
  <c r="AG238" i="2" s="1"/>
  <c r="W227" i="2"/>
  <c r="AG227" i="2" s="1"/>
  <c r="W168" i="2"/>
  <c r="AG168" i="2" s="1"/>
  <c r="W213" i="2"/>
  <c r="AG213" i="2" s="1"/>
  <c r="W190" i="2"/>
  <c r="AG190" i="2" s="1"/>
  <c r="W184" i="2"/>
  <c r="AG184" i="2" s="1"/>
  <c r="W182" i="2"/>
  <c r="AG182" i="2" s="1"/>
  <c r="W207" i="2"/>
  <c r="AG207" i="2" s="1"/>
  <c r="W173" i="2"/>
  <c r="AG173" i="2" s="1"/>
  <c r="W218" i="2"/>
  <c r="AG218" i="2" s="1"/>
  <c r="W214" i="2"/>
  <c r="AG214" i="2" s="1"/>
  <c r="W236" i="2"/>
  <c r="AG236" i="2" s="1"/>
  <c r="W186" i="2"/>
  <c r="AG186" i="2" s="1"/>
  <c r="W220" i="2"/>
  <c r="AG220" i="2" s="1"/>
  <c r="W212" i="2"/>
  <c r="AG212" i="2" s="1"/>
  <c r="W185" i="2"/>
  <c r="AG185" i="2" s="1"/>
  <c r="W205" i="2"/>
  <c r="AG205" i="2" s="1"/>
  <c r="W197" i="2"/>
  <c r="AG197" i="2" s="1"/>
  <c r="W232" i="2"/>
  <c r="AG232" i="2" s="1"/>
  <c r="W204" i="2"/>
  <c r="AG204" i="2" s="1"/>
  <c r="W189" i="2"/>
  <c r="AG189" i="2" s="1"/>
  <c r="W187" i="2"/>
  <c r="AG187" i="2" s="1"/>
  <c r="W221" i="2"/>
  <c r="AG221" i="2" s="1"/>
  <c r="W183" i="2"/>
  <c r="AG183" i="2" s="1"/>
  <c r="W179" i="2"/>
  <c r="AG179" i="2" s="1"/>
  <c r="W176" i="2"/>
  <c r="AG176" i="2" s="1"/>
  <c r="W260" i="2"/>
  <c r="AG260" i="2" s="1"/>
  <c r="W270" i="2"/>
  <c r="AG270" i="2" s="1"/>
  <c r="W273" i="2"/>
  <c r="AG273" i="2" s="1"/>
  <c r="W271" i="2"/>
  <c r="AG271" i="2" s="1"/>
  <c r="W241" i="2"/>
  <c r="AG241" i="2" s="1"/>
  <c r="W261" i="2"/>
  <c r="AG261" i="2" s="1"/>
  <c r="W263" i="2"/>
  <c r="AG263" i="2" s="1"/>
  <c r="W242" i="2"/>
  <c r="AG242" i="2" s="1"/>
  <c r="W268" i="2"/>
  <c r="AG268" i="2" s="1"/>
  <c r="W264" i="2"/>
  <c r="AG264" i="2" s="1"/>
  <c r="W255" i="2"/>
  <c r="AG255" i="2" s="1"/>
  <c r="W266" i="2"/>
  <c r="AG266" i="2" s="1"/>
  <c r="W262" i="2"/>
  <c r="AG262" i="2" s="1"/>
  <c r="W258" i="2"/>
  <c r="AG258" i="2" s="1"/>
  <c r="W269" i="2"/>
  <c r="AG269" i="2" s="1"/>
  <c r="W256" i="2"/>
  <c r="AG256" i="2" s="1"/>
  <c r="W245" i="2"/>
  <c r="AG245" i="2" s="1"/>
  <c r="W257" i="2"/>
  <c r="AG257" i="2" s="1"/>
  <c r="W253" i="2"/>
  <c r="AG253" i="2" s="1"/>
  <c r="W254" i="2"/>
  <c r="AG254" i="2" s="1"/>
  <c r="W259" i="2"/>
  <c r="AG259" i="2" s="1"/>
  <c r="W265" i="2"/>
  <c r="AG265" i="2" s="1"/>
  <c r="W243" i="2"/>
  <c r="AG243" i="2" s="1"/>
  <c r="W272" i="2"/>
  <c r="AG272" i="2" s="1"/>
  <c r="K14" i="2"/>
  <c r="EA3" i="33"/>
  <c r="EA4" i="33" s="1"/>
  <c r="K68" i="34" s="1"/>
  <c r="DW3" i="33"/>
  <c r="DW4" i="33" s="1"/>
  <c r="G68" i="34" s="1"/>
  <c r="EC3" i="33"/>
  <c r="EC4" i="33" s="1"/>
  <c r="M68" i="34" s="1"/>
  <c r="DZ3" i="33"/>
  <c r="DZ4" i="33" s="1"/>
  <c r="J68" i="34" s="1"/>
  <c r="DX3" i="33"/>
  <c r="DX4" i="33" s="1"/>
  <c r="H68" i="34" s="1"/>
  <c r="EB3" i="33"/>
  <c r="EB4" i="33" s="1"/>
  <c r="L68" i="34" s="1"/>
  <c r="J3" i="33"/>
  <c r="J4" i="33" s="1"/>
  <c r="D59" i="34" s="1"/>
  <c r="H3" i="33"/>
  <c r="H4" i="33" s="1"/>
  <c r="K15" i="1"/>
  <c r="O18" i="1"/>
  <c r="O21" i="1"/>
  <c r="L15" i="1"/>
  <c r="I3" i="33"/>
  <c r="I4" i="33" s="1"/>
  <c r="D65" i="34" s="1"/>
  <c r="J15" i="1"/>
  <c r="BU211" i="2" l="1"/>
  <c r="CG185" i="2"/>
  <c r="CN185" i="2" s="1"/>
  <c r="CM185" i="2" s="1"/>
  <c r="AJ283" i="6"/>
  <c r="AJ298" i="6"/>
  <c r="N65" i="28"/>
  <c r="AK308" i="2"/>
  <c r="N67" i="28"/>
  <c r="AK310" i="2"/>
  <c r="N80" i="28"/>
  <c r="AK323" i="2"/>
  <c r="N36" i="28"/>
  <c r="AK279" i="2"/>
  <c r="N37" i="28"/>
  <c r="AK280" i="2"/>
  <c r="N73" i="28"/>
  <c r="AK316" i="2"/>
  <c r="N78" i="28"/>
  <c r="AK321" i="2"/>
  <c r="N84" i="28"/>
  <c r="AK327" i="2"/>
  <c r="N53" i="28"/>
  <c r="AK296" i="2"/>
  <c r="N55" i="28"/>
  <c r="AK298" i="2"/>
  <c r="N34" i="28"/>
  <c r="AK277" i="2"/>
  <c r="N71" i="28"/>
  <c r="AK314" i="2"/>
  <c r="N39" i="28"/>
  <c r="AK282" i="2"/>
  <c r="N35" i="28"/>
  <c r="AK278" i="2"/>
  <c r="N61" i="28"/>
  <c r="AK304" i="2"/>
  <c r="J74" i="28"/>
  <c r="AG317" i="2"/>
  <c r="J75" i="28"/>
  <c r="AG318" i="2"/>
  <c r="J46" i="28"/>
  <c r="AG289" i="2"/>
  <c r="J53" i="28"/>
  <c r="AG296" i="2"/>
  <c r="J51" i="28"/>
  <c r="AG294" i="2"/>
  <c r="J65" i="28"/>
  <c r="AG308" i="2"/>
  <c r="J62" i="28"/>
  <c r="AG305" i="2"/>
  <c r="J42" i="28"/>
  <c r="AG285" i="2"/>
  <c r="J63" i="28"/>
  <c r="AG306" i="2"/>
  <c r="J41" i="28"/>
  <c r="AG284" i="2"/>
  <c r="J48" i="28"/>
  <c r="AG291" i="2"/>
  <c r="J44" i="28"/>
  <c r="AG287" i="2"/>
  <c r="J39" i="28"/>
  <c r="AG282" i="2"/>
  <c r="J61" i="28"/>
  <c r="AG304" i="2"/>
  <c r="J43" i="28"/>
  <c r="AG286" i="2"/>
  <c r="J49" i="28"/>
  <c r="AG292" i="2"/>
  <c r="J37" i="28"/>
  <c r="AG280" i="2"/>
  <c r="J47" i="28"/>
  <c r="AG290" i="2"/>
  <c r="J82" i="28"/>
  <c r="AG325" i="2"/>
  <c r="J73" i="28"/>
  <c r="AG316" i="2"/>
  <c r="J85" i="28"/>
  <c r="AG328" i="2"/>
  <c r="J83" i="28"/>
  <c r="AG326" i="2"/>
  <c r="J54" i="28"/>
  <c r="AG297" i="2"/>
  <c r="J64" i="28"/>
  <c r="AG307" i="2"/>
  <c r="J45" i="28"/>
  <c r="AG288" i="2"/>
  <c r="J72" i="28"/>
  <c r="AG315" i="2"/>
  <c r="AL222" i="6"/>
  <c r="AL366" i="6"/>
  <c r="AJ358" i="6"/>
  <c r="AJ430" i="6"/>
  <c r="AJ442" i="6"/>
  <c r="AJ428" i="6"/>
  <c r="AJ424" i="6"/>
  <c r="AJ349" i="6"/>
  <c r="AJ287" i="6"/>
  <c r="AJ294" i="6"/>
  <c r="R58" i="28"/>
  <c r="R56" i="28"/>
  <c r="R57" i="28"/>
  <c r="R60" i="28"/>
  <c r="R63" i="28"/>
  <c r="R59" i="28"/>
  <c r="AL11" i="2"/>
  <c r="AK20" i="2"/>
  <c r="AI20" i="2"/>
  <c r="AM20" i="2"/>
  <c r="AL20" i="2"/>
  <c r="AJ20" i="2"/>
  <c r="AP20" i="2" s="1"/>
  <c r="R62" i="28"/>
  <c r="R61" i="28"/>
  <c r="R85" i="28"/>
  <c r="AJ11" i="2"/>
  <c r="AP11" i="2" s="1"/>
  <c r="AK11" i="2"/>
  <c r="AM11" i="2"/>
  <c r="AI11" i="2"/>
  <c r="AM18" i="2"/>
  <c r="AM15" i="2"/>
  <c r="AJ12" i="2"/>
  <c r="AP12" i="2" s="1"/>
  <c r="AI18" i="2"/>
  <c r="AJ14" i="2"/>
  <c r="AP14" i="2" s="1"/>
  <c r="AI17" i="2"/>
  <c r="AM12" i="2"/>
  <c r="AK12" i="2"/>
  <c r="AK18" i="2"/>
  <c r="AK15" i="2"/>
  <c r="AI12" i="2"/>
  <c r="AI15" i="2"/>
  <c r="AJ17" i="2"/>
  <c r="AP17" i="2" s="1"/>
  <c r="AI14" i="2"/>
  <c r="AN16" i="2"/>
  <c r="AM16" i="2"/>
  <c r="AM19" i="2"/>
  <c r="AI13" i="2"/>
  <c r="AK19" i="2"/>
  <c r="AI16" i="2"/>
  <c r="AL13" i="2"/>
  <c r="AI19" i="2"/>
  <c r="AL16" i="2"/>
  <c r="AJ13" i="2"/>
  <c r="AP13" i="2" s="1"/>
  <c r="AL19" i="2"/>
  <c r="AJ16" i="2"/>
  <c r="AP16" i="2" s="1"/>
  <c r="AL12" i="2"/>
  <c r="AJ18" i="2"/>
  <c r="AP18" i="2" s="1"/>
  <c r="AL18" i="2"/>
  <c r="AL17" i="2"/>
  <c r="AL14" i="2"/>
  <c r="AM17" i="2"/>
  <c r="AM14" i="2"/>
  <c r="AK17" i="2"/>
  <c r="AK14" i="2"/>
  <c r="AM13" i="2"/>
  <c r="AJ19" i="2"/>
  <c r="AP19" i="2" s="1"/>
  <c r="AK13" i="2"/>
  <c r="AK16" i="2"/>
  <c r="AL15" i="2"/>
  <c r="AJ15" i="2"/>
  <c r="AP15" i="2" s="1"/>
  <c r="P78" i="28"/>
  <c r="AK453" i="2"/>
  <c r="J40" i="28"/>
  <c r="AG459" i="2"/>
  <c r="J77" i="28"/>
  <c r="AM464" i="2"/>
  <c r="AB457" i="2"/>
  <c r="AB464" i="2"/>
  <c r="AB459" i="2"/>
  <c r="AB455" i="2"/>
  <c r="AB466" i="2"/>
  <c r="AB456" i="2"/>
  <c r="AB461" i="2"/>
  <c r="AB454" i="2"/>
  <c r="AB458" i="2"/>
  <c r="AB462" i="2"/>
  <c r="AB465" i="2"/>
  <c r="AB463" i="2"/>
  <c r="AB453" i="2"/>
  <c r="AB460" i="2"/>
  <c r="P80" i="28"/>
  <c r="AD65" i="2"/>
  <c r="AN65" i="2" s="1"/>
  <c r="AD89" i="2"/>
  <c r="AN89" i="2" s="1"/>
  <c r="AD61" i="2"/>
  <c r="AN61" i="2" s="1"/>
  <c r="AD88" i="2"/>
  <c r="AN88" i="2" s="1"/>
  <c r="AM457" i="2"/>
  <c r="J71" i="28"/>
  <c r="AM458" i="2"/>
  <c r="Z65" i="2"/>
  <c r="AJ65" i="2" s="1"/>
  <c r="Z88" i="2"/>
  <c r="AJ88" i="2" s="1"/>
  <c r="Z61" i="2"/>
  <c r="AJ61" i="2" s="1"/>
  <c r="Z89" i="2"/>
  <c r="AJ89" i="2" s="1"/>
  <c r="AM465" i="2"/>
  <c r="N86" i="28"/>
  <c r="AM456" i="2"/>
  <c r="Z455" i="2"/>
  <c r="Z456" i="2"/>
  <c r="Z461" i="2"/>
  <c r="Z465" i="2"/>
  <c r="Z454" i="2"/>
  <c r="Z453" i="2"/>
  <c r="Z436" i="2"/>
  <c r="AJ436" i="2" s="1"/>
  <c r="Z435" i="2"/>
  <c r="AJ435" i="2" s="1"/>
  <c r="Z433" i="2"/>
  <c r="AJ433" i="2" s="1"/>
  <c r="Z434" i="2"/>
  <c r="AJ434" i="2" s="1"/>
  <c r="Z424" i="2"/>
  <c r="AJ424" i="2" s="1"/>
  <c r="Z425" i="2"/>
  <c r="AJ425" i="2" s="1"/>
  <c r="Z428" i="2"/>
  <c r="AJ428" i="2" s="1"/>
  <c r="Z430" i="2"/>
  <c r="AJ430" i="2" s="1"/>
  <c r="Z423" i="2"/>
  <c r="AJ423" i="2" s="1"/>
  <c r="Z426" i="2"/>
  <c r="AJ426" i="2" s="1"/>
  <c r="Z427" i="2"/>
  <c r="AJ427" i="2" s="1"/>
  <c r="Z429" i="2"/>
  <c r="AJ429" i="2" s="1"/>
  <c r="Z431" i="2"/>
  <c r="AJ431" i="2" s="1"/>
  <c r="Z432" i="2"/>
  <c r="AJ432" i="2" s="1"/>
  <c r="Z416" i="2"/>
  <c r="AJ416" i="2" s="1"/>
  <c r="Z418" i="2"/>
  <c r="AJ418" i="2" s="1"/>
  <c r="P77" i="28"/>
  <c r="AG456" i="2"/>
  <c r="AK463" i="2"/>
  <c r="T456" i="6"/>
  <c r="V56" i="20" s="1"/>
  <c r="T452" i="6"/>
  <c r="V52" i="20" s="1"/>
  <c r="T422" i="6"/>
  <c r="V22" i="20" s="1"/>
  <c r="T439" i="6"/>
  <c r="V39" i="20" s="1"/>
  <c r="N77" i="28"/>
  <c r="AG466" i="2"/>
  <c r="J79" i="28"/>
  <c r="P70" i="28"/>
  <c r="P64" i="28"/>
  <c r="N70" i="28"/>
  <c r="V50" i="2"/>
  <c r="AF50" i="2" s="1"/>
  <c r="V88" i="2"/>
  <c r="AF88" i="2" s="1"/>
  <c r="V89" i="2"/>
  <c r="AF89" i="2" s="1"/>
  <c r="V61" i="2"/>
  <c r="AF61" i="2" s="1"/>
  <c r="J59" i="28"/>
  <c r="AM460" i="2"/>
  <c r="AG455" i="2"/>
  <c r="N76" i="28"/>
  <c r="P58" i="28"/>
  <c r="AM459" i="2"/>
  <c r="J84" i="28"/>
  <c r="P71" i="28"/>
  <c r="J70" i="28"/>
  <c r="AM455" i="2"/>
  <c r="P85" i="28"/>
  <c r="J87" i="28"/>
  <c r="AG457" i="2"/>
  <c r="AD466" i="2"/>
  <c r="AD458" i="2"/>
  <c r="AD459" i="2"/>
  <c r="AD455" i="2"/>
  <c r="AD464" i="2"/>
  <c r="AD454" i="2"/>
  <c r="AD453" i="2"/>
  <c r="AD460" i="2"/>
  <c r="AD456" i="2"/>
  <c r="AD462" i="2"/>
  <c r="AD465" i="2"/>
  <c r="AD457" i="2"/>
  <c r="AD461" i="2"/>
  <c r="AD463" i="2"/>
  <c r="AB50" i="2"/>
  <c r="AL50" i="2" s="1"/>
  <c r="AB88" i="2"/>
  <c r="AL88" i="2" s="1"/>
  <c r="AB61" i="2"/>
  <c r="AL61" i="2" s="1"/>
  <c r="AB89" i="2"/>
  <c r="AL89" i="2" s="1"/>
  <c r="P51" i="28"/>
  <c r="AK465" i="2"/>
  <c r="N57" i="28"/>
  <c r="AK464" i="2"/>
  <c r="N81" i="28"/>
  <c r="AG458" i="2"/>
  <c r="J34" i="28"/>
  <c r="N38" i="28"/>
  <c r="AG463" i="2"/>
  <c r="J52" i="28"/>
  <c r="J35" i="28"/>
  <c r="P36" i="28"/>
  <c r="N64" i="28"/>
  <c r="N83" i="28"/>
  <c r="N51" i="28"/>
  <c r="N60" i="28"/>
  <c r="AG454" i="2"/>
  <c r="P79" i="28"/>
  <c r="P38" i="28"/>
  <c r="AK454" i="2"/>
  <c r="J86" i="28"/>
  <c r="J58" i="28"/>
  <c r="P35" i="28"/>
  <c r="J60" i="28"/>
  <c r="AM462" i="2"/>
  <c r="P39" i="28"/>
  <c r="P55" i="28"/>
  <c r="N62" i="28"/>
  <c r="J56" i="28"/>
  <c r="AM466" i="2"/>
  <c r="AG464" i="2"/>
  <c r="J80" i="28"/>
  <c r="P67" i="28"/>
  <c r="J81" i="28"/>
  <c r="AG461" i="2"/>
  <c r="P53" i="28"/>
  <c r="P60" i="28"/>
  <c r="AK458" i="2"/>
  <c r="P62" i="28"/>
  <c r="P56" i="28"/>
  <c r="AK460" i="2"/>
  <c r="P59" i="28"/>
  <c r="P81" i="28"/>
  <c r="AK457" i="2"/>
  <c r="P83" i="28"/>
  <c r="N85" i="28"/>
  <c r="AG460" i="2"/>
  <c r="P84" i="28"/>
  <c r="N52" i="28"/>
  <c r="N63" i="28"/>
  <c r="AG462" i="2"/>
  <c r="P73" i="28"/>
  <c r="N58" i="28"/>
  <c r="AK462" i="2"/>
  <c r="P86" i="28"/>
  <c r="X88" i="2"/>
  <c r="AH88" i="2" s="1"/>
  <c r="X61" i="2"/>
  <c r="AH61" i="2" s="1"/>
  <c r="X89" i="2"/>
  <c r="AH89" i="2" s="1"/>
  <c r="N59" i="28"/>
  <c r="AK461" i="2"/>
  <c r="N56" i="28"/>
  <c r="N87" i="28"/>
  <c r="AK456" i="2"/>
  <c r="J55" i="28"/>
  <c r="P37" i="28"/>
  <c r="AM463" i="2"/>
  <c r="AK466" i="2"/>
  <c r="J76" i="28"/>
  <c r="P65" i="28"/>
  <c r="J57" i="28"/>
  <c r="AM461" i="2"/>
  <c r="AG453" i="2"/>
  <c r="J67" i="28"/>
  <c r="P61" i="28"/>
  <c r="P63" i="28"/>
  <c r="AM453" i="2"/>
  <c r="P52" i="28"/>
  <c r="X464" i="2"/>
  <c r="X466" i="2"/>
  <c r="X456" i="2"/>
  <c r="X458" i="2"/>
  <c r="X454" i="2"/>
  <c r="X463" i="2"/>
  <c r="X461" i="2"/>
  <c r="X460" i="2"/>
  <c r="X465" i="2"/>
  <c r="AH465" i="2" s="1"/>
  <c r="X457" i="2"/>
  <c r="X459" i="2"/>
  <c r="X453" i="2"/>
  <c r="X462" i="2"/>
  <c r="X455" i="2"/>
  <c r="BT194" i="2"/>
  <c r="V460" i="2"/>
  <c r="V463" i="2"/>
  <c r="V458" i="2"/>
  <c r="V462" i="2"/>
  <c r="V457" i="2"/>
  <c r="V454" i="2"/>
  <c r="V465" i="2"/>
  <c r="V456" i="2"/>
  <c r="V459" i="2"/>
  <c r="V461" i="2"/>
  <c r="V464" i="2"/>
  <c r="V455" i="2"/>
  <c r="V466" i="2"/>
  <c r="V453" i="2"/>
  <c r="V436" i="2"/>
  <c r="AF436" i="2" s="1"/>
  <c r="V470" i="2"/>
  <c r="AF470" i="2" s="1"/>
  <c r="P87" i="28"/>
  <c r="AK455" i="2"/>
  <c r="J36" i="28"/>
  <c r="J78" i="28"/>
  <c r="P34" i="28"/>
  <c r="P76" i="28"/>
  <c r="N79" i="28"/>
  <c r="P57" i="28"/>
  <c r="J38" i="28"/>
  <c r="AM454" i="2"/>
  <c r="AK459" i="2"/>
  <c r="BX54" i="2"/>
  <c r="Z470" i="2"/>
  <c r="AJ470" i="2" s="1"/>
  <c r="Z469" i="2"/>
  <c r="AJ469" i="2" s="1"/>
  <c r="AD436" i="2"/>
  <c r="AN436" i="2" s="1"/>
  <c r="AD470" i="2"/>
  <c r="AN470" i="2" s="1"/>
  <c r="AB436" i="2"/>
  <c r="AL436" i="2" s="1"/>
  <c r="AB470" i="2"/>
  <c r="AL470" i="2" s="1"/>
  <c r="AJ366" i="6"/>
  <c r="AJ345" i="6"/>
  <c r="AJ315" i="6"/>
  <c r="AJ446" i="6"/>
  <c r="AJ362" i="6"/>
  <c r="BV194" i="2"/>
  <c r="X436" i="2"/>
  <c r="X470" i="2"/>
  <c r="AM468" i="2"/>
  <c r="AG438" i="2"/>
  <c r="AM420" i="2"/>
  <c r="AK430" i="2"/>
  <c r="AK451" i="2"/>
  <c r="AK427" i="2"/>
  <c r="AK433" i="2"/>
  <c r="AM445" i="2"/>
  <c r="AM428" i="2"/>
  <c r="AM432" i="2"/>
  <c r="AK445" i="2"/>
  <c r="AM452" i="2"/>
  <c r="AM417" i="2"/>
  <c r="AO443" i="2"/>
  <c r="AK448" i="2"/>
  <c r="AK426" i="2"/>
  <c r="AK424" i="2"/>
  <c r="AO451" i="2"/>
  <c r="AK418" i="2"/>
  <c r="AG442" i="2"/>
  <c r="AM418" i="2"/>
  <c r="AK442" i="2"/>
  <c r="AG433" i="2"/>
  <c r="AM425" i="2"/>
  <c r="AO450" i="2"/>
  <c r="AO469" i="2"/>
  <c r="AG468" i="2"/>
  <c r="AM416" i="2"/>
  <c r="AO438" i="2"/>
  <c r="AK422" i="2"/>
  <c r="AG440" i="2"/>
  <c r="AM424" i="2"/>
  <c r="AG416" i="2"/>
  <c r="AK437" i="2"/>
  <c r="AK428" i="2"/>
  <c r="AK417" i="2"/>
  <c r="AM467" i="2"/>
  <c r="AM437" i="2"/>
  <c r="AM430" i="2"/>
  <c r="AM469" i="2"/>
  <c r="AO447" i="2"/>
  <c r="AG420" i="2"/>
  <c r="AM431" i="2"/>
  <c r="AM423" i="2"/>
  <c r="AK440" i="2"/>
  <c r="AM451" i="2"/>
  <c r="AG469" i="2"/>
  <c r="AG418" i="2"/>
  <c r="AK429" i="2"/>
  <c r="AK416" i="2"/>
  <c r="AK439" i="2"/>
  <c r="AG419" i="2"/>
  <c r="AM422" i="2"/>
  <c r="AM446" i="2"/>
  <c r="AG450" i="2"/>
  <c r="AG452" i="2"/>
  <c r="AG430" i="2"/>
  <c r="AG447" i="2"/>
  <c r="AK467" i="2"/>
  <c r="AM442" i="2"/>
  <c r="AK423" i="2"/>
  <c r="AK468" i="2"/>
  <c r="AG445" i="2"/>
  <c r="AO440" i="2"/>
  <c r="AG451" i="2"/>
  <c r="AM433" i="2"/>
  <c r="AK420" i="2"/>
  <c r="AK419" i="2"/>
  <c r="AG467" i="2"/>
  <c r="AG429" i="2"/>
  <c r="AM447" i="2"/>
  <c r="AK432" i="2"/>
  <c r="AO452" i="2"/>
  <c r="AO445" i="2"/>
  <c r="AG417" i="2"/>
  <c r="AG448" i="2"/>
  <c r="AM444" i="2"/>
  <c r="AM427" i="2"/>
  <c r="AK444" i="2"/>
  <c r="AG437" i="2"/>
  <c r="AM443" i="2"/>
  <c r="AM429" i="2"/>
  <c r="AK441" i="2"/>
  <c r="AM441" i="2"/>
  <c r="AG446" i="2"/>
  <c r="AO437" i="2"/>
  <c r="AO448" i="2"/>
  <c r="AO444" i="2"/>
  <c r="AG444" i="2"/>
  <c r="AG441" i="2"/>
  <c r="AK469" i="2"/>
  <c r="AK438" i="2"/>
  <c r="AM450" i="2"/>
  <c r="AM440" i="2"/>
  <c r="AK425" i="2"/>
  <c r="AO439" i="2"/>
  <c r="AM426" i="2"/>
  <c r="AK452" i="2"/>
  <c r="AG439" i="2"/>
  <c r="AG432" i="2"/>
  <c r="AK450" i="2"/>
  <c r="AK431" i="2"/>
  <c r="AK434" i="2"/>
  <c r="AK447" i="2"/>
  <c r="AM438" i="2"/>
  <c r="AM434" i="2"/>
  <c r="AK443" i="2"/>
  <c r="AO446" i="2"/>
  <c r="AG434" i="2"/>
  <c r="AG443" i="2"/>
  <c r="AG431" i="2"/>
  <c r="AM448" i="2"/>
  <c r="AM419" i="2"/>
  <c r="AM439" i="2"/>
  <c r="AK446" i="2"/>
  <c r="AM435" i="2"/>
  <c r="AG424" i="2"/>
  <c r="AM449" i="2"/>
  <c r="AG435" i="2"/>
  <c r="AG421" i="2"/>
  <c r="AG422" i="2"/>
  <c r="AG423" i="2"/>
  <c r="AG428" i="2"/>
  <c r="AG449" i="2"/>
  <c r="AK435" i="2"/>
  <c r="AK421" i="2"/>
  <c r="AG426" i="2"/>
  <c r="AO449" i="2"/>
  <c r="AG427" i="2"/>
  <c r="AK449" i="2"/>
  <c r="AG425" i="2"/>
  <c r="AM421" i="2"/>
  <c r="AB401" i="2"/>
  <c r="AL401" i="2" s="1"/>
  <c r="AB413" i="2"/>
  <c r="AB397" i="2"/>
  <c r="AB405" i="2"/>
  <c r="V401" i="2"/>
  <c r="AF401" i="2" s="1"/>
  <c r="V405" i="2"/>
  <c r="V413" i="2"/>
  <c r="V397" i="2"/>
  <c r="AM413" i="2"/>
  <c r="X413" i="2"/>
  <c r="X397" i="2"/>
  <c r="X405" i="2"/>
  <c r="AM397" i="2"/>
  <c r="AK413" i="2"/>
  <c r="AM405" i="2"/>
  <c r="AG405" i="2"/>
  <c r="AK405" i="2"/>
  <c r="AK397" i="2"/>
  <c r="AG397" i="2"/>
  <c r="AG413" i="2"/>
  <c r="AD401" i="2"/>
  <c r="AN401" i="2" s="1"/>
  <c r="AD413" i="2"/>
  <c r="AN413" i="2" s="1"/>
  <c r="AD397" i="2"/>
  <c r="AD405" i="2"/>
  <c r="AG364" i="2"/>
  <c r="AM376" i="2"/>
  <c r="AG358" i="2"/>
  <c r="AM367" i="2"/>
  <c r="AG372" i="2"/>
  <c r="AM383" i="2"/>
  <c r="AG368" i="2"/>
  <c r="AM371" i="2"/>
  <c r="AG359" i="2"/>
  <c r="AM363" i="2"/>
  <c r="AG380" i="2"/>
  <c r="AM362" i="2"/>
  <c r="AG376" i="2"/>
  <c r="AK359" i="2"/>
  <c r="AM378" i="2"/>
  <c r="AM374" i="2"/>
  <c r="AG367" i="2"/>
  <c r="AK360" i="2"/>
  <c r="AM375" i="2"/>
  <c r="AG375" i="2"/>
  <c r="AG363" i="2"/>
  <c r="AG379" i="2"/>
  <c r="AK369" i="2"/>
  <c r="AK377" i="2"/>
  <c r="AG370" i="2"/>
  <c r="X371" i="2"/>
  <c r="X374" i="2"/>
  <c r="X366" i="2"/>
  <c r="X378" i="2"/>
  <c r="X362" i="2"/>
  <c r="X370" i="2"/>
  <c r="X375" i="2"/>
  <c r="X379" i="2"/>
  <c r="X367" i="2"/>
  <c r="X383" i="2"/>
  <c r="X363" i="2"/>
  <c r="X376" i="2"/>
  <c r="X380" i="2"/>
  <c r="X359" i="2"/>
  <c r="X358" i="2"/>
  <c r="X368" i="2"/>
  <c r="X372" i="2"/>
  <c r="X364" i="2"/>
  <c r="X381" i="2"/>
  <c r="X377" i="2"/>
  <c r="X360" i="2"/>
  <c r="X369" i="2"/>
  <c r="X373" i="2"/>
  <c r="X365" i="2"/>
  <c r="X361" i="2"/>
  <c r="X382" i="2"/>
  <c r="AK381" i="2"/>
  <c r="AM361" i="2"/>
  <c r="AG362" i="2"/>
  <c r="AM379" i="2"/>
  <c r="AK373" i="2"/>
  <c r="AM382" i="2"/>
  <c r="AK366" i="2"/>
  <c r="AG371" i="2"/>
  <c r="AG378" i="2"/>
  <c r="AG366" i="2"/>
  <c r="AK371" i="2"/>
  <c r="AG374" i="2"/>
  <c r="AM373" i="2"/>
  <c r="AK361" i="2"/>
  <c r="AM369" i="2"/>
  <c r="AG382" i="2"/>
  <c r="AM366" i="2"/>
  <c r="AK368" i="2"/>
  <c r="AB361" i="2"/>
  <c r="AB382" i="2"/>
  <c r="AB374" i="2"/>
  <c r="AB378" i="2"/>
  <c r="AB366" i="2"/>
  <c r="AB379" i="2"/>
  <c r="AB362" i="2"/>
  <c r="AB371" i="2"/>
  <c r="AB367" i="2"/>
  <c r="AB376" i="2"/>
  <c r="AB363" i="2"/>
  <c r="AB380" i="2"/>
  <c r="AB359" i="2"/>
  <c r="AB368" i="2"/>
  <c r="AB372" i="2"/>
  <c r="AB365" i="2"/>
  <c r="AB364" i="2"/>
  <c r="AB358" i="2"/>
  <c r="AB377" i="2"/>
  <c r="AB381" i="2"/>
  <c r="AB360" i="2"/>
  <c r="AB369" i="2"/>
  <c r="AB373" i="2"/>
  <c r="AB383" i="2"/>
  <c r="AB375" i="2"/>
  <c r="AB370" i="2"/>
  <c r="AK382" i="2"/>
  <c r="AM381" i="2"/>
  <c r="AG365" i="2"/>
  <c r="AK365" i="2"/>
  <c r="AG383" i="2"/>
  <c r="Z381" i="2"/>
  <c r="Z377" i="2"/>
  <c r="Z375" i="2"/>
  <c r="Z383" i="2"/>
  <c r="Z378" i="2"/>
  <c r="Z382" i="2"/>
  <c r="Z379" i="2"/>
  <c r="Z380" i="2"/>
  <c r="Z360" i="2"/>
  <c r="Z368" i="2"/>
  <c r="Z367" i="2"/>
  <c r="Z376" i="2"/>
  <c r="Z373" i="2"/>
  <c r="Z369" i="2"/>
  <c r="Z366" i="2"/>
  <c r="Z362" i="2"/>
  <c r="Z365" i="2"/>
  <c r="Z370" i="2"/>
  <c r="Z359" i="2"/>
  <c r="Z371" i="2"/>
  <c r="Z372" i="2"/>
  <c r="Z364" i="2"/>
  <c r="Z374" i="2"/>
  <c r="Z363" i="2"/>
  <c r="Z361" i="2"/>
  <c r="Z358" i="2"/>
  <c r="AK363" i="2"/>
  <c r="AD382" i="2"/>
  <c r="AD374" i="2"/>
  <c r="AD366" i="2"/>
  <c r="AD370" i="2"/>
  <c r="AD362" i="2"/>
  <c r="AD371" i="2"/>
  <c r="AD383" i="2"/>
  <c r="AD367" i="2"/>
  <c r="AD380" i="2"/>
  <c r="AD376" i="2"/>
  <c r="AD359" i="2"/>
  <c r="AD358" i="2"/>
  <c r="AD368" i="2"/>
  <c r="AD372" i="2"/>
  <c r="AD381" i="2"/>
  <c r="AD364" i="2"/>
  <c r="AD377" i="2"/>
  <c r="AD360" i="2"/>
  <c r="AD365" i="2"/>
  <c r="AD369" i="2"/>
  <c r="AD373" i="2"/>
  <c r="AD375" i="2"/>
  <c r="AD361" i="2"/>
  <c r="AD363" i="2"/>
  <c r="AD378" i="2"/>
  <c r="AD379" i="2"/>
  <c r="AM364" i="2"/>
  <c r="AG373" i="2"/>
  <c r="AK374" i="2"/>
  <c r="AK380" i="2"/>
  <c r="AM358" i="2"/>
  <c r="AG369" i="2"/>
  <c r="V366" i="2"/>
  <c r="V378" i="2"/>
  <c r="V367" i="2"/>
  <c r="V362" i="2"/>
  <c r="V383" i="2"/>
  <c r="V370" i="2"/>
  <c r="V371" i="2"/>
  <c r="V379" i="2"/>
  <c r="V375" i="2"/>
  <c r="V363" i="2"/>
  <c r="V376" i="2"/>
  <c r="V359" i="2"/>
  <c r="V380" i="2"/>
  <c r="V368" i="2"/>
  <c r="V372" i="2"/>
  <c r="V364" i="2"/>
  <c r="V381" i="2"/>
  <c r="V358" i="2"/>
  <c r="V377" i="2"/>
  <c r="V369" i="2"/>
  <c r="V373" i="2"/>
  <c r="V382" i="2"/>
  <c r="V360" i="2"/>
  <c r="V361" i="2"/>
  <c r="V365" i="2"/>
  <c r="V374" i="2"/>
  <c r="AM360" i="2"/>
  <c r="AG361" i="2"/>
  <c r="AM372" i="2"/>
  <c r="AG377" i="2"/>
  <c r="AK367" i="2"/>
  <c r="AM380" i="2"/>
  <c r="AK362" i="2"/>
  <c r="AM377" i="2"/>
  <c r="AM368" i="2"/>
  <c r="AG360" i="2"/>
  <c r="AK379" i="2"/>
  <c r="AK372" i="2"/>
  <c r="AM359" i="2"/>
  <c r="AG381" i="2"/>
  <c r="T375" i="6"/>
  <c r="U5" i="19" s="1"/>
  <c r="T387" i="6"/>
  <c r="U17" i="19" s="1"/>
  <c r="T393" i="6"/>
  <c r="U23" i="19" s="1"/>
  <c r="T389" i="6"/>
  <c r="U19" i="19" s="1"/>
  <c r="T386" i="6"/>
  <c r="U16" i="19" s="1"/>
  <c r="T391" i="6"/>
  <c r="U21" i="19" s="1"/>
  <c r="T396" i="6"/>
  <c r="U26" i="19" s="1"/>
  <c r="T376" i="6"/>
  <c r="U6" i="19" s="1"/>
  <c r="T399" i="6"/>
  <c r="T392" i="6"/>
  <c r="U22" i="19" s="1"/>
  <c r="T397" i="6"/>
  <c r="U27" i="19" s="1"/>
  <c r="T377" i="6"/>
  <c r="U7" i="19" s="1"/>
  <c r="T398" i="6"/>
  <c r="U28" i="19" s="1"/>
  <c r="T384" i="6"/>
  <c r="U14" i="19" s="1"/>
  <c r="T381" i="6"/>
  <c r="U11" i="19" s="1"/>
  <c r="T379" i="6"/>
  <c r="U9" i="19" s="1"/>
  <c r="T395" i="6"/>
  <c r="U25" i="19" s="1"/>
  <c r="T382" i="6"/>
  <c r="U12" i="19" s="1"/>
  <c r="T394" i="6"/>
  <c r="U24" i="19" s="1"/>
  <c r="T380" i="6"/>
  <c r="U10" i="19" s="1"/>
  <c r="T383" i="6"/>
  <c r="U13" i="19" s="1"/>
  <c r="T388" i="6"/>
  <c r="U18" i="19" s="1"/>
  <c r="T373" i="6"/>
  <c r="U3" i="19" s="1"/>
  <c r="T378" i="6"/>
  <c r="U8" i="19" s="1"/>
  <c r="T374" i="6"/>
  <c r="U4" i="19" s="1"/>
  <c r="T385" i="6"/>
  <c r="U15" i="19" s="1"/>
  <c r="T390" i="6"/>
  <c r="U20" i="19" s="1"/>
  <c r="AL353" i="6"/>
  <c r="AQ353" i="6" s="1"/>
  <c r="AP353" i="6" s="1"/>
  <c r="AL358" i="6"/>
  <c r="AM337" i="2"/>
  <c r="AG340" i="2"/>
  <c r="AM338" i="2"/>
  <c r="AB340" i="2"/>
  <c r="AB335" i="2"/>
  <c r="AL335" i="2" s="1"/>
  <c r="AB341" i="2"/>
  <c r="AB347" i="2"/>
  <c r="AL347" i="2" s="1"/>
  <c r="AB354" i="2"/>
  <c r="AL354" i="2" s="1"/>
  <c r="AB338" i="2"/>
  <c r="AB350" i="2"/>
  <c r="AB339" i="2"/>
  <c r="AB342" i="2"/>
  <c r="AL342" i="2" s="1"/>
  <c r="AB346" i="2"/>
  <c r="AL346" i="2" s="1"/>
  <c r="AB334" i="2"/>
  <c r="AL334" i="2" s="1"/>
  <c r="AB352" i="2"/>
  <c r="AL352" i="2" s="1"/>
  <c r="AB337" i="2"/>
  <c r="AB343" i="2"/>
  <c r="AL343" i="2" s="1"/>
  <c r="AB349" i="2"/>
  <c r="AL349" i="2" s="1"/>
  <c r="AB355" i="2"/>
  <c r="AL355" i="2" s="1"/>
  <c r="AB336" i="2"/>
  <c r="AL336" i="2" s="1"/>
  <c r="AB345" i="2"/>
  <c r="AL345" i="2" s="1"/>
  <c r="AB344" i="2"/>
  <c r="AL344" i="2" s="1"/>
  <c r="AB353" i="2"/>
  <c r="AL353" i="2" s="1"/>
  <c r="AB348" i="2"/>
  <c r="AL348" i="2" s="1"/>
  <c r="AB351" i="2"/>
  <c r="AL351" i="2" s="1"/>
  <c r="T363" i="6"/>
  <c r="U21" i="14" s="1"/>
  <c r="T367" i="6"/>
  <c r="U25" i="14" s="1"/>
  <c r="AG337" i="2"/>
  <c r="AM339" i="2"/>
  <c r="AG341" i="2"/>
  <c r="AG350" i="2"/>
  <c r="AK350" i="2"/>
  <c r="X341" i="2"/>
  <c r="X347" i="2"/>
  <c r="AH347" i="2" s="1"/>
  <c r="X335" i="2"/>
  <c r="AH335" i="2" s="1"/>
  <c r="X353" i="2"/>
  <c r="AH353" i="2" s="1"/>
  <c r="X354" i="2"/>
  <c r="AH354" i="2" s="1"/>
  <c r="X342" i="2"/>
  <c r="AH342" i="2" s="1"/>
  <c r="X336" i="2"/>
  <c r="AH336" i="2" s="1"/>
  <c r="X348" i="2"/>
  <c r="AH348" i="2" s="1"/>
  <c r="X338" i="2"/>
  <c r="X350" i="2"/>
  <c r="X344" i="2"/>
  <c r="AH344" i="2" s="1"/>
  <c r="X339" i="2"/>
  <c r="X345" i="2"/>
  <c r="AH345" i="2" s="1"/>
  <c r="X351" i="2"/>
  <c r="AH351" i="2" s="1"/>
  <c r="X346" i="2"/>
  <c r="AH346" i="2" s="1"/>
  <c r="X352" i="2"/>
  <c r="AH352" i="2" s="1"/>
  <c r="X334" i="2"/>
  <c r="AH334" i="2" s="1"/>
  <c r="X340" i="2"/>
  <c r="X355" i="2"/>
  <c r="AH355" i="2" s="1"/>
  <c r="X337" i="2"/>
  <c r="X343" i="2"/>
  <c r="AH343" i="2" s="1"/>
  <c r="X349" i="2"/>
  <c r="AH349" i="2" s="1"/>
  <c r="AG339" i="2"/>
  <c r="AD346" i="2"/>
  <c r="AN346" i="2" s="1"/>
  <c r="AD334" i="2"/>
  <c r="AN334" i="2" s="1"/>
  <c r="AD352" i="2"/>
  <c r="AN352" i="2" s="1"/>
  <c r="AD341" i="2"/>
  <c r="AD335" i="2"/>
  <c r="AN335" i="2" s="1"/>
  <c r="AD347" i="2"/>
  <c r="AN347" i="2" s="1"/>
  <c r="AD343" i="2"/>
  <c r="AN343" i="2" s="1"/>
  <c r="AD338" i="2"/>
  <c r="AD350" i="2"/>
  <c r="AD339" i="2"/>
  <c r="AD354" i="2"/>
  <c r="AN354" i="2" s="1"/>
  <c r="AD355" i="2"/>
  <c r="AN355" i="2" s="1"/>
  <c r="AD349" i="2"/>
  <c r="AN349" i="2" s="1"/>
  <c r="AD337" i="2"/>
  <c r="AD342" i="2"/>
  <c r="AN342" i="2" s="1"/>
  <c r="AD336" i="2"/>
  <c r="AN336" i="2" s="1"/>
  <c r="AD353" i="2"/>
  <c r="AN353" i="2" s="1"/>
  <c r="AD344" i="2"/>
  <c r="AN344" i="2" s="1"/>
  <c r="AD348" i="2"/>
  <c r="AN348" i="2" s="1"/>
  <c r="AD345" i="2"/>
  <c r="AN345" i="2" s="1"/>
  <c r="AD351" i="2"/>
  <c r="AN351" i="2" s="1"/>
  <c r="AD340" i="2"/>
  <c r="Z352" i="2"/>
  <c r="AJ352" i="2" s="1"/>
  <c r="Z340" i="2"/>
  <c r="Z335" i="2"/>
  <c r="AJ335" i="2" s="1"/>
  <c r="Z334" i="2"/>
  <c r="AJ334" i="2" s="1"/>
  <c r="Z355" i="2"/>
  <c r="AJ355" i="2" s="1"/>
  <c r="Z341" i="2"/>
  <c r="Z345" i="2"/>
  <c r="AJ345" i="2" s="1"/>
  <c r="Z343" i="2"/>
  <c r="AJ343" i="2" s="1"/>
  <c r="Z351" i="2"/>
  <c r="AJ351" i="2" s="1"/>
  <c r="Z346" i="2"/>
  <c r="AJ346" i="2" s="1"/>
  <c r="Z344" i="2"/>
  <c r="AJ344" i="2" s="1"/>
  <c r="Z354" i="2"/>
  <c r="AJ354" i="2" s="1"/>
  <c r="Z353" i="2"/>
  <c r="AJ353" i="2" s="1"/>
  <c r="Z342" i="2"/>
  <c r="AJ342" i="2" s="1"/>
  <c r="Z350" i="2"/>
  <c r="Z339" i="2"/>
  <c r="Z349" i="2"/>
  <c r="AJ349" i="2" s="1"/>
  <c r="Z338" i="2"/>
  <c r="Z348" i="2"/>
  <c r="AJ348" i="2" s="1"/>
  <c r="Z337" i="2"/>
  <c r="Z347" i="2"/>
  <c r="AJ347" i="2" s="1"/>
  <c r="Z336" i="2"/>
  <c r="AJ336" i="2" s="1"/>
  <c r="AM350" i="2"/>
  <c r="AK337" i="2"/>
  <c r="V347" i="2"/>
  <c r="AF347" i="2" s="1"/>
  <c r="V335" i="2"/>
  <c r="AF335" i="2" s="1"/>
  <c r="V341" i="2"/>
  <c r="V353" i="2"/>
  <c r="AF353" i="2" s="1"/>
  <c r="V354" i="2"/>
  <c r="AF354" i="2" s="1"/>
  <c r="V342" i="2"/>
  <c r="AF342" i="2" s="1"/>
  <c r="V336" i="2"/>
  <c r="AF336" i="2" s="1"/>
  <c r="V348" i="2"/>
  <c r="AF348" i="2" s="1"/>
  <c r="V349" i="2"/>
  <c r="AF349" i="2" s="1"/>
  <c r="V355" i="2"/>
  <c r="AF355" i="2" s="1"/>
  <c r="V350" i="2"/>
  <c r="V344" i="2"/>
  <c r="AF344" i="2" s="1"/>
  <c r="V339" i="2"/>
  <c r="V345" i="2"/>
  <c r="AF345" i="2" s="1"/>
  <c r="V351" i="2"/>
  <c r="AF351" i="2" s="1"/>
  <c r="V346" i="2"/>
  <c r="AF346" i="2" s="1"/>
  <c r="V352" i="2"/>
  <c r="AF352" i="2" s="1"/>
  <c r="V334" i="2"/>
  <c r="AF334" i="2" s="1"/>
  <c r="V340" i="2"/>
  <c r="V337" i="2"/>
  <c r="V338" i="2"/>
  <c r="V343" i="2"/>
  <c r="AF343" i="2" s="1"/>
  <c r="AK340" i="2"/>
  <c r="AG338" i="2"/>
  <c r="AM340" i="2"/>
  <c r="T332" i="6"/>
  <c r="V15" i="15" s="1"/>
  <c r="T337" i="6"/>
  <c r="V20" i="15" s="1"/>
  <c r="T327" i="6"/>
  <c r="V10" i="15" s="1"/>
  <c r="T338" i="6"/>
  <c r="V21" i="15" s="1"/>
  <c r="T328" i="6"/>
  <c r="V11" i="15" s="1"/>
  <c r="T333" i="6"/>
  <c r="V16" i="15" s="1"/>
  <c r="T323" i="6"/>
  <c r="V6" i="15" s="1"/>
  <c r="T324" i="6"/>
  <c r="V7" i="15" s="1"/>
  <c r="T335" i="6"/>
  <c r="V18" i="15" s="1"/>
  <c r="T340" i="6"/>
  <c r="V23" i="15" s="1"/>
  <c r="T325" i="6"/>
  <c r="V8" i="15" s="1"/>
  <c r="T330" i="6"/>
  <c r="V13" i="15" s="1"/>
  <c r="T326" i="6"/>
  <c r="V9" i="15" s="1"/>
  <c r="T331" i="6"/>
  <c r="V14" i="15" s="1"/>
  <c r="T336" i="6"/>
  <c r="V19" i="15" s="1"/>
  <c r="T341" i="6"/>
  <c r="V24" i="15" s="1"/>
  <c r="T329" i="6"/>
  <c r="V12" i="15" s="1"/>
  <c r="T334" i="6"/>
  <c r="V17" i="15" s="1"/>
  <c r="T339" i="6"/>
  <c r="V22" i="15" s="1"/>
  <c r="V330" i="2"/>
  <c r="AF330" i="2" s="1"/>
  <c r="V324" i="2"/>
  <c r="AF324" i="2" s="1"/>
  <c r="V283" i="2"/>
  <c r="AF283" i="2" s="1"/>
  <c r="V325" i="2"/>
  <c r="AF325" i="2" s="1"/>
  <c r="V281" i="2"/>
  <c r="AF281" i="2" s="1"/>
  <c r="V306" i="2"/>
  <c r="AF306" i="2" s="1"/>
  <c r="AB330" i="2"/>
  <c r="AL330" i="2" s="1"/>
  <c r="AB281" i="2"/>
  <c r="AL281" i="2" s="1"/>
  <c r="AB324" i="2"/>
  <c r="AL324" i="2" s="1"/>
  <c r="AB306" i="2"/>
  <c r="AL306" i="2" s="1"/>
  <c r="Z324" i="2"/>
  <c r="AJ324" i="2" s="1"/>
  <c r="AD330" i="2"/>
  <c r="AN330" i="2" s="1"/>
  <c r="AD281" i="2"/>
  <c r="AN281" i="2" s="1"/>
  <c r="AD324" i="2"/>
  <c r="AN324" i="2" s="1"/>
  <c r="AD306" i="2"/>
  <c r="AN306" i="2" s="1"/>
  <c r="X330" i="2"/>
  <c r="AH330" i="2" s="1"/>
  <c r="X283" i="2"/>
  <c r="AH283" i="2" s="1"/>
  <c r="X324" i="2"/>
  <c r="X281" i="2"/>
  <c r="AH281" i="2" s="1"/>
  <c r="X325" i="2"/>
  <c r="X306" i="2"/>
  <c r="CG298" i="2"/>
  <c r="Z281" i="2"/>
  <c r="AJ281" i="2" s="1"/>
  <c r="Z306" i="2"/>
  <c r="AJ306" i="2" s="1"/>
  <c r="BX302" i="2"/>
  <c r="CC294" i="2"/>
  <c r="CD294" i="2"/>
  <c r="N33" i="28"/>
  <c r="BU208" i="2"/>
  <c r="Z330" i="2"/>
  <c r="AJ330" i="2" s="1"/>
  <c r="AE330" i="2"/>
  <c r="AO330" i="2" s="1"/>
  <c r="AD300" i="2"/>
  <c r="AN300" i="2" s="1"/>
  <c r="AD299" i="2"/>
  <c r="AN299" i="2" s="1"/>
  <c r="AD302" i="2"/>
  <c r="AN302" i="2" s="1"/>
  <c r="AD303" i="2"/>
  <c r="AN303" i="2" s="1"/>
  <c r="AD301" i="2"/>
  <c r="AN301" i="2" s="1"/>
  <c r="Z303" i="2"/>
  <c r="AJ303" i="2" s="1"/>
  <c r="Z299" i="2"/>
  <c r="AJ299" i="2" s="1"/>
  <c r="Z302" i="2"/>
  <c r="AJ302" i="2" s="1"/>
  <c r="Z301" i="2"/>
  <c r="AJ301" i="2" s="1"/>
  <c r="Z300" i="2"/>
  <c r="AJ300" i="2" s="1"/>
  <c r="X299" i="2"/>
  <c r="AH299" i="2" s="1"/>
  <c r="X300" i="2"/>
  <c r="AH300" i="2" s="1"/>
  <c r="X302" i="2"/>
  <c r="AH302" i="2" s="1"/>
  <c r="X303" i="2"/>
  <c r="AH303" i="2" s="1"/>
  <c r="X301" i="2"/>
  <c r="AH301" i="2" s="1"/>
  <c r="V299" i="2"/>
  <c r="AF299" i="2" s="1"/>
  <c r="V302" i="2"/>
  <c r="AF302" i="2" s="1"/>
  <c r="V303" i="2"/>
  <c r="AF303" i="2" s="1"/>
  <c r="V301" i="2"/>
  <c r="AF301" i="2" s="1"/>
  <c r="V300" i="2"/>
  <c r="AF300" i="2" s="1"/>
  <c r="BU282" i="2"/>
  <c r="AB302" i="2"/>
  <c r="AL302" i="2" s="1"/>
  <c r="AB299" i="2"/>
  <c r="AL299" i="2" s="1"/>
  <c r="AB300" i="2"/>
  <c r="AL300" i="2" s="1"/>
  <c r="AB303" i="2"/>
  <c r="AL303" i="2" s="1"/>
  <c r="AB301" i="2"/>
  <c r="AL301" i="2" s="1"/>
  <c r="AL188" i="6"/>
  <c r="AL298" i="6"/>
  <c r="AL315" i="6"/>
  <c r="AL283" i="6"/>
  <c r="AL287" i="6"/>
  <c r="AL294" i="6"/>
  <c r="AL269" i="6"/>
  <c r="T316" i="6"/>
  <c r="W56" i="8" s="1"/>
  <c r="T311" i="6"/>
  <c r="W51" i="8" s="1"/>
  <c r="T310" i="6"/>
  <c r="W50" i="8" s="1"/>
  <c r="T292" i="6"/>
  <c r="W32" i="8" s="1"/>
  <c r="T289" i="6"/>
  <c r="W29" i="8" s="1"/>
  <c r="T288" i="6"/>
  <c r="W28" i="8" s="1"/>
  <c r="T287" i="6"/>
  <c r="W27" i="8" s="1"/>
  <c r="T286" i="6"/>
  <c r="W26" i="8" s="1"/>
  <c r="T269" i="6"/>
  <c r="W9" i="8" s="1"/>
  <c r="T285" i="6"/>
  <c r="W25" i="8" s="1"/>
  <c r="T267" i="6"/>
  <c r="W7" i="8" s="1"/>
  <c r="AJ222" i="6"/>
  <c r="AJ269" i="6"/>
  <c r="X253" i="2"/>
  <c r="AH253" i="2" s="1"/>
  <c r="X251" i="2"/>
  <c r="AH251" i="2" s="1"/>
  <c r="X247" i="2"/>
  <c r="AH247" i="2" s="1"/>
  <c r="X244" i="2"/>
  <c r="AH244" i="2" s="1"/>
  <c r="X246" i="2"/>
  <c r="AH246" i="2" s="1"/>
  <c r="X252" i="2"/>
  <c r="AH252" i="2" s="1"/>
  <c r="X248" i="2"/>
  <c r="AH248" i="2" s="1"/>
  <c r="X249" i="2"/>
  <c r="AH249" i="2" s="1"/>
  <c r="X250" i="2"/>
  <c r="AH250" i="2" s="1"/>
  <c r="Z247" i="2"/>
  <c r="Z246" i="2"/>
  <c r="Z252" i="2"/>
  <c r="Z248" i="2"/>
  <c r="Z250" i="2"/>
  <c r="Z249" i="2"/>
  <c r="Z251" i="2"/>
  <c r="V246" i="2"/>
  <c r="V247" i="2"/>
  <c r="V244" i="2"/>
  <c r="V251" i="2"/>
  <c r="V252" i="2"/>
  <c r="V249" i="2"/>
  <c r="V250" i="2"/>
  <c r="V248" i="2"/>
  <c r="T235" i="6"/>
  <c r="V10" i="10" s="1"/>
  <c r="T236" i="6"/>
  <c r="V11" i="10" s="1"/>
  <c r="T237" i="6"/>
  <c r="V12" i="10" s="1"/>
  <c r="T230" i="6"/>
  <c r="V5" i="10" s="1"/>
  <c r="T238" i="6"/>
  <c r="V13" i="10" s="1"/>
  <c r="T232" i="6"/>
  <c r="V7" i="10" s="1"/>
  <c r="T233" i="6"/>
  <c r="V8" i="10" s="1"/>
  <c r="T234" i="6"/>
  <c r="V9" i="10" s="1"/>
  <c r="BT208" i="2"/>
  <c r="BP215" i="2" s="1"/>
  <c r="AJ159" i="6"/>
  <c r="AJ218" i="6"/>
  <c r="BT190" i="2"/>
  <c r="Z177" i="2"/>
  <c r="AJ177" i="2" s="1"/>
  <c r="Z191" i="2"/>
  <c r="AJ191" i="2" s="1"/>
  <c r="Z208" i="2"/>
  <c r="AJ208" i="2" s="1"/>
  <c r="AB223" i="2"/>
  <c r="AL223" i="2" s="1"/>
  <c r="AB208" i="2"/>
  <c r="AL208" i="2" s="1"/>
  <c r="AB191" i="2"/>
  <c r="AL191" i="2" s="1"/>
  <c r="AB177" i="2"/>
  <c r="AL177" i="2" s="1"/>
  <c r="BV190" i="2"/>
  <c r="V208" i="2"/>
  <c r="V191" i="2"/>
  <c r="V177" i="2"/>
  <c r="AF177" i="2" s="1"/>
  <c r="X208" i="2"/>
  <c r="AH208" i="2" s="1"/>
  <c r="X177" i="2"/>
  <c r="AH177" i="2" s="1"/>
  <c r="X191" i="2"/>
  <c r="AH191" i="2" s="1"/>
  <c r="AD223" i="2"/>
  <c r="AN223" i="2" s="1"/>
  <c r="AD208" i="2"/>
  <c r="AN208" i="2" s="1"/>
  <c r="AD191" i="2"/>
  <c r="AN191" i="2" s="1"/>
  <c r="AD177" i="2"/>
  <c r="AN177" i="2" s="1"/>
  <c r="AS202" i="6"/>
  <c r="T194" i="6"/>
  <c r="W42" i="21" s="1"/>
  <c r="T163" i="6"/>
  <c r="W11" i="21" s="1"/>
  <c r="T177" i="6"/>
  <c r="W25" i="21" s="1"/>
  <c r="AJ418" i="6"/>
  <c r="AJ188" i="6"/>
  <c r="AL218" i="6"/>
  <c r="AD138" i="2"/>
  <c r="AN138" i="2" s="1"/>
  <c r="AD153" i="2"/>
  <c r="AN153" i="2" s="1"/>
  <c r="AD140" i="2"/>
  <c r="AN140" i="2" s="1"/>
  <c r="AD148" i="2"/>
  <c r="AN148" i="2" s="1"/>
  <c r="AD155" i="2"/>
  <c r="AN155" i="2" s="1"/>
  <c r="AD145" i="2"/>
  <c r="AN145" i="2" s="1"/>
  <c r="AD141" i="2"/>
  <c r="AN141" i="2" s="1"/>
  <c r="AD156" i="2"/>
  <c r="AN156" i="2" s="1"/>
  <c r="AD129" i="2"/>
  <c r="AN129" i="2" s="1"/>
  <c r="AD157" i="2"/>
  <c r="AN157" i="2" s="1"/>
  <c r="AD144" i="2"/>
  <c r="AN144" i="2" s="1"/>
  <c r="AD159" i="2"/>
  <c r="AN159" i="2" s="1"/>
  <c r="AD151" i="2"/>
  <c r="AN151" i="2" s="1"/>
  <c r="AD162" i="2"/>
  <c r="AN162" i="2" s="1"/>
  <c r="AD147" i="2"/>
  <c r="AN147" i="2" s="1"/>
  <c r="AD149" i="2"/>
  <c r="AN149" i="2" s="1"/>
  <c r="AD124" i="2"/>
  <c r="AN124" i="2" s="1"/>
  <c r="AD122" i="2"/>
  <c r="AN122" i="2" s="1"/>
  <c r="AR108" i="6"/>
  <c r="AD131" i="2"/>
  <c r="AN131" i="2" s="1"/>
  <c r="AD142" i="2"/>
  <c r="AN142" i="2" s="1"/>
  <c r="AD152" i="2"/>
  <c r="AN152" i="2" s="1"/>
  <c r="AD160" i="2"/>
  <c r="AN160" i="2" s="1"/>
  <c r="AD143" i="2"/>
  <c r="AN143" i="2" s="1"/>
  <c r="AD154" i="2"/>
  <c r="AN154" i="2" s="1"/>
  <c r="AD146" i="2"/>
  <c r="AN146" i="2" s="1"/>
  <c r="AD150" i="2"/>
  <c r="AN150" i="2" s="1"/>
  <c r="AD139" i="2"/>
  <c r="AN139" i="2" s="1"/>
  <c r="AD137" i="2"/>
  <c r="AN137" i="2" s="1"/>
  <c r="AD125" i="2"/>
  <c r="AN125" i="2" s="1"/>
  <c r="AD158" i="2"/>
  <c r="AN158" i="2" s="1"/>
  <c r="AD161" i="2"/>
  <c r="AN161" i="2" s="1"/>
  <c r="AD135" i="2"/>
  <c r="AN135" i="2" s="1"/>
  <c r="AD127" i="2"/>
  <c r="AN127" i="2" s="1"/>
  <c r="AD123" i="2"/>
  <c r="AN123" i="2" s="1"/>
  <c r="AD136" i="2"/>
  <c r="AN136" i="2" s="1"/>
  <c r="AD134" i="2"/>
  <c r="AN134" i="2" s="1"/>
  <c r="AD126" i="2"/>
  <c r="AN126" i="2" s="1"/>
  <c r="AD164" i="2"/>
  <c r="AN164" i="2" s="1"/>
  <c r="AD130" i="2"/>
  <c r="AN130" i="2" s="1"/>
  <c r="AD132" i="2"/>
  <c r="AN132" i="2" s="1"/>
  <c r="AD133" i="2"/>
  <c r="AN133" i="2" s="1"/>
  <c r="AD165" i="2"/>
  <c r="AN165" i="2" s="1"/>
  <c r="AD163" i="2"/>
  <c r="AN163" i="2" s="1"/>
  <c r="AD128" i="2"/>
  <c r="AN128" i="2" s="1"/>
  <c r="X126" i="2"/>
  <c r="AH126" i="2" s="1"/>
  <c r="X141" i="2"/>
  <c r="AH141" i="2" s="1"/>
  <c r="X127" i="2"/>
  <c r="AH127" i="2" s="1"/>
  <c r="X132" i="2"/>
  <c r="AH132" i="2" s="1"/>
  <c r="X136" i="2"/>
  <c r="AH136" i="2" s="1"/>
  <c r="X157" i="2"/>
  <c r="AH157" i="2" s="1"/>
  <c r="X151" i="2"/>
  <c r="AH151" i="2" s="1"/>
  <c r="X144" i="2"/>
  <c r="AH144" i="2" s="1"/>
  <c r="X123" i="2"/>
  <c r="AH123" i="2" s="1"/>
  <c r="X159" i="2"/>
  <c r="AH159" i="2" s="1"/>
  <c r="X134" i="2"/>
  <c r="AH134" i="2" s="1"/>
  <c r="X148" i="2"/>
  <c r="AH148" i="2" s="1"/>
  <c r="X128" i="2"/>
  <c r="AH128" i="2" s="1"/>
  <c r="X131" i="2"/>
  <c r="AH131" i="2" s="1"/>
  <c r="X152" i="2"/>
  <c r="AH152" i="2" s="1"/>
  <c r="X165" i="2"/>
  <c r="AH165" i="2" s="1"/>
  <c r="X125" i="2"/>
  <c r="AH125" i="2" s="1"/>
  <c r="X137" i="2"/>
  <c r="AH137" i="2" s="1"/>
  <c r="X129" i="2"/>
  <c r="AH129" i="2" s="1"/>
  <c r="X161" i="2"/>
  <c r="AH161" i="2" s="1"/>
  <c r="X133" i="2"/>
  <c r="AH133" i="2" s="1"/>
  <c r="X149" i="2"/>
  <c r="AH149" i="2" s="1"/>
  <c r="X153" i="2"/>
  <c r="AH153" i="2" s="1"/>
  <c r="X145" i="2"/>
  <c r="AH145" i="2" s="1"/>
  <c r="X143" i="2"/>
  <c r="AH143" i="2" s="1"/>
  <c r="X138" i="2"/>
  <c r="AH138" i="2" s="1"/>
  <c r="X155" i="2"/>
  <c r="AH155" i="2" s="1"/>
  <c r="X163" i="2"/>
  <c r="AH163" i="2" s="1"/>
  <c r="X122" i="2"/>
  <c r="AH122" i="2" s="1"/>
  <c r="X162" i="2"/>
  <c r="AH162" i="2" s="1"/>
  <c r="X130" i="2"/>
  <c r="AH130" i="2" s="1"/>
  <c r="X147" i="2"/>
  <c r="AH147" i="2" s="1"/>
  <c r="X160" i="2"/>
  <c r="AH160" i="2" s="1"/>
  <c r="X139" i="2"/>
  <c r="AH139" i="2" s="1"/>
  <c r="X156" i="2"/>
  <c r="AH156" i="2" s="1"/>
  <c r="X158" i="2"/>
  <c r="AH158" i="2" s="1"/>
  <c r="X142" i="2"/>
  <c r="AH142" i="2" s="1"/>
  <c r="X124" i="2"/>
  <c r="AH124" i="2" s="1"/>
  <c r="X154" i="2"/>
  <c r="AH154" i="2" s="1"/>
  <c r="X146" i="2"/>
  <c r="AH146" i="2" s="1"/>
  <c r="X164" i="2"/>
  <c r="AH164" i="2" s="1"/>
  <c r="X150" i="2"/>
  <c r="AH150" i="2" s="1"/>
  <c r="X140" i="2"/>
  <c r="AH140" i="2" s="1"/>
  <c r="X135" i="2"/>
  <c r="AH135" i="2" s="1"/>
  <c r="AL108" i="6"/>
  <c r="AB134" i="2"/>
  <c r="AL134" i="2" s="1"/>
  <c r="AB139" i="2"/>
  <c r="AL139" i="2" s="1"/>
  <c r="AB129" i="2"/>
  <c r="AL129" i="2" s="1"/>
  <c r="AB145" i="2"/>
  <c r="AL145" i="2" s="1"/>
  <c r="AB135" i="2"/>
  <c r="AL135" i="2" s="1"/>
  <c r="AB130" i="2"/>
  <c r="AL130" i="2" s="1"/>
  <c r="AB150" i="2"/>
  <c r="AL150" i="2" s="1"/>
  <c r="AB146" i="2"/>
  <c r="AL146" i="2" s="1"/>
  <c r="AB147" i="2"/>
  <c r="AL147" i="2" s="1"/>
  <c r="AB163" i="2"/>
  <c r="AL163" i="2" s="1"/>
  <c r="AB138" i="2"/>
  <c r="AL138" i="2" s="1"/>
  <c r="AP108" i="6"/>
  <c r="AB128" i="2"/>
  <c r="AL128" i="2" s="1"/>
  <c r="AB148" i="2"/>
  <c r="AL148" i="2" s="1"/>
  <c r="AB122" i="2"/>
  <c r="AL122" i="2" s="1"/>
  <c r="AB157" i="2"/>
  <c r="AL157" i="2" s="1"/>
  <c r="AB155" i="2"/>
  <c r="AL155" i="2" s="1"/>
  <c r="AB156" i="2"/>
  <c r="AL156" i="2" s="1"/>
  <c r="AB164" i="2"/>
  <c r="AL164" i="2" s="1"/>
  <c r="AB136" i="2"/>
  <c r="AL136" i="2" s="1"/>
  <c r="AB152" i="2"/>
  <c r="AL152" i="2" s="1"/>
  <c r="AB133" i="2"/>
  <c r="AL133" i="2" s="1"/>
  <c r="AB161" i="2"/>
  <c r="AL161" i="2" s="1"/>
  <c r="AB158" i="2"/>
  <c r="AL158" i="2" s="1"/>
  <c r="AB131" i="2"/>
  <c r="AL131" i="2" s="1"/>
  <c r="AB143" i="2"/>
  <c r="AL143" i="2" s="1"/>
  <c r="AB162" i="2"/>
  <c r="AL162" i="2" s="1"/>
  <c r="AB137" i="2"/>
  <c r="AL137" i="2" s="1"/>
  <c r="AB151" i="2"/>
  <c r="AL151" i="2" s="1"/>
  <c r="AB127" i="2"/>
  <c r="AL127" i="2" s="1"/>
  <c r="AB160" i="2"/>
  <c r="AL160" i="2" s="1"/>
  <c r="AB141" i="2"/>
  <c r="AL141" i="2" s="1"/>
  <c r="AB153" i="2"/>
  <c r="AL153" i="2" s="1"/>
  <c r="AB125" i="2"/>
  <c r="AL125" i="2" s="1"/>
  <c r="AB142" i="2"/>
  <c r="AL142" i="2" s="1"/>
  <c r="AB149" i="2"/>
  <c r="AL149" i="2" s="1"/>
  <c r="AB132" i="2"/>
  <c r="AL132" i="2" s="1"/>
  <c r="AB154" i="2"/>
  <c r="AL154" i="2" s="1"/>
  <c r="AB124" i="2"/>
  <c r="AL124" i="2" s="1"/>
  <c r="AB159" i="2"/>
  <c r="AL159" i="2" s="1"/>
  <c r="AB123" i="2"/>
  <c r="AL123" i="2" s="1"/>
  <c r="AB144" i="2"/>
  <c r="AL144" i="2" s="1"/>
  <c r="AB140" i="2"/>
  <c r="AL140" i="2" s="1"/>
  <c r="AB126" i="2"/>
  <c r="AL126" i="2" s="1"/>
  <c r="AB165" i="2"/>
  <c r="AL165" i="2" s="1"/>
  <c r="V153" i="2"/>
  <c r="AF153" i="2" s="1"/>
  <c r="V150" i="2"/>
  <c r="AF150" i="2" s="1"/>
  <c r="V127" i="2"/>
  <c r="AF127" i="2" s="1"/>
  <c r="V128" i="2"/>
  <c r="AF128" i="2" s="1"/>
  <c r="V142" i="2"/>
  <c r="AF142" i="2" s="1"/>
  <c r="V132" i="2"/>
  <c r="AF132" i="2" s="1"/>
  <c r="V134" i="2"/>
  <c r="AF134" i="2" s="1"/>
  <c r="V152" i="2"/>
  <c r="AF152" i="2" s="1"/>
  <c r="V122" i="2"/>
  <c r="AF122" i="2" s="1"/>
  <c r="V164" i="2"/>
  <c r="AF164" i="2" s="1"/>
  <c r="V155" i="2"/>
  <c r="AF155" i="2" s="1"/>
  <c r="V160" i="2"/>
  <c r="AF160" i="2" s="1"/>
  <c r="V126" i="2"/>
  <c r="AF126" i="2" s="1"/>
  <c r="V124" i="2"/>
  <c r="AF124" i="2" s="1"/>
  <c r="V136" i="2"/>
  <c r="AF136" i="2" s="1"/>
  <c r="V144" i="2"/>
  <c r="AF144" i="2" s="1"/>
  <c r="V163" i="2"/>
  <c r="AF163" i="2" s="1"/>
  <c r="V165" i="2"/>
  <c r="AF165" i="2" s="1"/>
  <c r="V149" i="2"/>
  <c r="AF149" i="2" s="1"/>
  <c r="V147" i="2"/>
  <c r="AF147" i="2" s="1"/>
  <c r="V141" i="2"/>
  <c r="AF141" i="2" s="1"/>
  <c r="V161" i="2"/>
  <c r="AF161" i="2" s="1"/>
  <c r="V140" i="2"/>
  <c r="AF140" i="2" s="1"/>
  <c r="V139" i="2"/>
  <c r="AF139" i="2" s="1"/>
  <c r="V133" i="2"/>
  <c r="AF133" i="2" s="1"/>
  <c r="V145" i="2"/>
  <c r="AF145" i="2" s="1"/>
  <c r="V131" i="2"/>
  <c r="AF131" i="2" s="1"/>
  <c r="V125" i="2"/>
  <c r="AF125" i="2" s="1"/>
  <c r="V137" i="2"/>
  <c r="AF137" i="2" s="1"/>
  <c r="V123" i="2"/>
  <c r="AF123" i="2" s="1"/>
  <c r="V129" i="2"/>
  <c r="AF129" i="2" s="1"/>
  <c r="V148" i="2"/>
  <c r="AF148" i="2" s="1"/>
  <c r="V154" i="2"/>
  <c r="AF154" i="2" s="1"/>
  <c r="V157" i="2"/>
  <c r="AF157" i="2" s="1"/>
  <c r="V158" i="2"/>
  <c r="AF158" i="2" s="1"/>
  <c r="V151" i="2"/>
  <c r="AF151" i="2" s="1"/>
  <c r="V138" i="2"/>
  <c r="AF138" i="2" s="1"/>
  <c r="V143" i="2"/>
  <c r="AF143" i="2" s="1"/>
  <c r="V135" i="2"/>
  <c r="AF135" i="2" s="1"/>
  <c r="V130" i="2"/>
  <c r="AF130" i="2" s="1"/>
  <c r="V146" i="2"/>
  <c r="AF146" i="2" s="1"/>
  <c r="V159" i="2"/>
  <c r="AF159" i="2" s="1"/>
  <c r="V156" i="2"/>
  <c r="AF156" i="2" s="1"/>
  <c r="V162" i="2"/>
  <c r="AF162" i="2" s="1"/>
  <c r="AJ108" i="6"/>
  <c r="Z122" i="2"/>
  <c r="AJ122" i="2" s="1"/>
  <c r="Z126" i="2"/>
  <c r="AJ126" i="2" s="1"/>
  <c r="Z130" i="2"/>
  <c r="AJ130" i="2" s="1"/>
  <c r="Z134" i="2"/>
  <c r="AJ134" i="2" s="1"/>
  <c r="Z138" i="2"/>
  <c r="AJ138" i="2" s="1"/>
  <c r="Z142" i="2"/>
  <c r="AJ142" i="2" s="1"/>
  <c r="Z146" i="2"/>
  <c r="AJ146" i="2" s="1"/>
  <c r="Z150" i="2"/>
  <c r="AJ150" i="2" s="1"/>
  <c r="Z154" i="2"/>
  <c r="AJ154" i="2" s="1"/>
  <c r="Z158" i="2"/>
  <c r="AJ158" i="2" s="1"/>
  <c r="Z162" i="2"/>
  <c r="AJ162" i="2" s="1"/>
  <c r="Z161" i="2"/>
  <c r="AJ161" i="2" s="1"/>
  <c r="Z129" i="2"/>
  <c r="AJ129" i="2" s="1"/>
  <c r="Z133" i="2"/>
  <c r="AJ133" i="2" s="1"/>
  <c r="Z137" i="2"/>
  <c r="AJ137" i="2" s="1"/>
  <c r="Z141" i="2"/>
  <c r="AJ141" i="2" s="1"/>
  <c r="Z145" i="2"/>
  <c r="AJ145" i="2" s="1"/>
  <c r="Z149" i="2"/>
  <c r="AJ149" i="2" s="1"/>
  <c r="Z153" i="2"/>
  <c r="AJ153" i="2" s="1"/>
  <c r="Z157" i="2"/>
  <c r="AJ157" i="2" s="1"/>
  <c r="Z165" i="2"/>
  <c r="AJ165" i="2" s="1"/>
  <c r="Z123" i="2"/>
  <c r="AJ123" i="2" s="1"/>
  <c r="Z127" i="2"/>
  <c r="AJ127" i="2" s="1"/>
  <c r="Z131" i="2"/>
  <c r="AJ131" i="2" s="1"/>
  <c r="Z135" i="2"/>
  <c r="AJ135" i="2" s="1"/>
  <c r="Z139" i="2"/>
  <c r="AJ139" i="2" s="1"/>
  <c r="Z143" i="2"/>
  <c r="AJ143" i="2" s="1"/>
  <c r="Z147" i="2"/>
  <c r="AJ147" i="2" s="1"/>
  <c r="Z151" i="2"/>
  <c r="AJ151" i="2" s="1"/>
  <c r="Z155" i="2"/>
  <c r="AJ155" i="2" s="1"/>
  <c r="Z159" i="2"/>
  <c r="AJ159" i="2" s="1"/>
  <c r="Z163" i="2"/>
  <c r="AJ163" i="2" s="1"/>
  <c r="Z125" i="2"/>
  <c r="AJ125" i="2" s="1"/>
  <c r="Z124" i="2"/>
  <c r="AJ124" i="2" s="1"/>
  <c r="Z128" i="2"/>
  <c r="AJ128" i="2" s="1"/>
  <c r="Z132" i="2"/>
  <c r="AJ132" i="2" s="1"/>
  <c r="Z136" i="2"/>
  <c r="AJ136" i="2" s="1"/>
  <c r="Z140" i="2"/>
  <c r="AJ140" i="2" s="1"/>
  <c r="Z144" i="2"/>
  <c r="AJ144" i="2" s="1"/>
  <c r="Z148" i="2"/>
  <c r="AJ148" i="2" s="1"/>
  <c r="Z152" i="2"/>
  <c r="AJ152" i="2" s="1"/>
  <c r="Z156" i="2"/>
  <c r="AJ156" i="2" s="1"/>
  <c r="Z160" i="2"/>
  <c r="AJ160" i="2" s="1"/>
  <c r="Z164" i="2"/>
  <c r="AJ164" i="2" s="1"/>
  <c r="AN108" i="6"/>
  <c r="T133" i="6"/>
  <c r="W28" i="9" s="1"/>
  <c r="T126" i="6"/>
  <c r="W21" i="9" s="1"/>
  <c r="T147" i="6"/>
  <c r="W42" i="9" s="1"/>
  <c r="T127" i="6"/>
  <c r="W22" i="9" s="1"/>
  <c r="T150" i="6"/>
  <c r="W45" i="9" s="1"/>
  <c r="T104" i="6"/>
  <c r="W23" i="16" s="1"/>
  <c r="T110" i="6"/>
  <c r="W5" i="9" s="1"/>
  <c r="T111" i="6"/>
  <c r="W6" i="9" s="1"/>
  <c r="T112" i="6"/>
  <c r="W7" i="9" s="1"/>
  <c r="T107" i="6"/>
  <c r="W2" i="9" s="1"/>
  <c r="T113" i="6"/>
  <c r="W8" i="9" s="1"/>
  <c r="T109" i="6"/>
  <c r="W4" i="9" s="1"/>
  <c r="T108" i="6"/>
  <c r="W3" i="9" s="1"/>
  <c r="T196" i="6"/>
  <c r="W44" i="21" s="1"/>
  <c r="AB121" i="2"/>
  <c r="AL121" i="2" s="1"/>
  <c r="X121" i="2"/>
  <c r="AH121" i="2" s="1"/>
  <c r="Z121" i="2"/>
  <c r="AJ121" i="2" s="1"/>
  <c r="V121" i="2"/>
  <c r="AF121" i="2" s="1"/>
  <c r="AX118" i="2"/>
  <c r="V58" i="2"/>
  <c r="AF58" i="2" s="1"/>
  <c r="V55" i="2"/>
  <c r="AF55" i="2" s="1"/>
  <c r="V65" i="2"/>
  <c r="AF65" i="2" s="1"/>
  <c r="AB65" i="2"/>
  <c r="AL65" i="2" s="1"/>
  <c r="BU51" i="2"/>
  <c r="CA51" i="2" s="1"/>
  <c r="BZ51" i="2" s="1"/>
  <c r="X65" i="2"/>
  <c r="AH65" i="2" s="1"/>
  <c r="X55" i="2"/>
  <c r="AH55" i="2" s="1"/>
  <c r="X58" i="2"/>
  <c r="AH58" i="2" s="1"/>
  <c r="AL38" i="6"/>
  <c r="AL305" i="6"/>
  <c r="AL53" i="6"/>
  <c r="AL414" i="6"/>
  <c r="P33" i="28"/>
  <c r="J33" i="28"/>
  <c r="CB83" i="2"/>
  <c r="AD50" i="2"/>
  <c r="AN50" i="2" s="1"/>
  <c r="Z36" i="2"/>
  <c r="AJ36" i="2" s="1"/>
  <c r="Z50" i="2"/>
  <c r="AJ50" i="2" s="1"/>
  <c r="X51" i="2"/>
  <c r="AH51" i="2" s="1"/>
  <c r="X50" i="2"/>
  <c r="AH50" i="2" s="1"/>
  <c r="AJ88" i="6"/>
  <c r="AJ38" i="6"/>
  <c r="AJ53" i="6"/>
  <c r="T74" i="6"/>
  <c r="V54" i="12" s="1"/>
  <c r="T36" i="6"/>
  <c r="V16" i="12" s="1"/>
  <c r="T47" i="6"/>
  <c r="V27" i="12" s="1"/>
  <c r="T75" i="6"/>
  <c r="V55" i="12" s="1"/>
  <c r="T44" i="6"/>
  <c r="V24" i="12" s="1"/>
  <c r="T41" i="6"/>
  <c r="V21" i="12" s="1"/>
  <c r="T51" i="6"/>
  <c r="V31" i="12" s="1"/>
  <c r="W23" i="2"/>
  <c r="AJ51" i="6"/>
  <c r="AJ214" i="6"/>
  <c r="AJ279" i="6"/>
  <c r="AO370" i="6"/>
  <c r="AL446" i="6"/>
  <c r="AW51" i="6"/>
  <c r="R333" i="2"/>
  <c r="AC333" i="2" s="1"/>
  <c r="AM333" i="2" s="1"/>
  <c r="BU242" i="2"/>
  <c r="BU274" i="2"/>
  <c r="BU246" i="2"/>
  <c r="BU250" i="2"/>
  <c r="X449" i="2"/>
  <c r="X440" i="2"/>
  <c r="X435" i="2"/>
  <c r="X468" i="2"/>
  <c r="X421" i="2"/>
  <c r="V440" i="2"/>
  <c r="V468" i="2"/>
  <c r="V449" i="2"/>
  <c r="V435" i="2"/>
  <c r="V421" i="2"/>
  <c r="AB421" i="2"/>
  <c r="AB449" i="2"/>
  <c r="AB440" i="2"/>
  <c r="AB435" i="2"/>
  <c r="AB468" i="2"/>
  <c r="AD421" i="2"/>
  <c r="AD449" i="2"/>
  <c r="AD440" i="2"/>
  <c r="AD468" i="2"/>
  <c r="AD435" i="2"/>
  <c r="Z421" i="2"/>
  <c r="Z449" i="2"/>
  <c r="Z440" i="2"/>
  <c r="T407" i="6"/>
  <c r="V7" i="20" s="1"/>
  <c r="T421" i="6"/>
  <c r="V21" i="20" s="1"/>
  <c r="T454" i="6"/>
  <c r="V54" i="20" s="1"/>
  <c r="T426" i="6"/>
  <c r="V26" i="20" s="1"/>
  <c r="T435" i="6"/>
  <c r="V35" i="20" s="1"/>
  <c r="X403" i="2"/>
  <c r="AH403" i="2" s="1"/>
  <c r="X401" i="2"/>
  <c r="AH401" i="2" s="1"/>
  <c r="T361" i="6"/>
  <c r="U19" i="14" s="1"/>
  <c r="AJ63" i="6"/>
  <c r="AM370" i="6"/>
  <c r="AJ305" i="6"/>
  <c r="Z333" i="2"/>
  <c r="AJ333" i="2" s="1"/>
  <c r="X277" i="2"/>
  <c r="AH277" i="2" s="1"/>
  <c r="BU290" i="2"/>
  <c r="Z305" i="2"/>
  <c r="AJ305" i="2" s="1"/>
  <c r="Z329" i="2"/>
  <c r="AJ329" i="2" s="1"/>
  <c r="Z327" i="2"/>
  <c r="AJ327" i="2" s="1"/>
  <c r="Z298" i="2"/>
  <c r="AJ298" i="2" s="1"/>
  <c r="Z293" i="2"/>
  <c r="M50" i="28" s="1"/>
  <c r="Z323" i="2"/>
  <c r="AJ323" i="2" s="1"/>
  <c r="Z321" i="2"/>
  <c r="AJ321" i="2" s="1"/>
  <c r="Z291" i="2"/>
  <c r="Z320" i="2"/>
  <c r="AJ320" i="2" s="1"/>
  <c r="Z294" i="2"/>
  <c r="AJ294" i="2" s="1"/>
  <c r="Z319" i="2"/>
  <c r="AJ319" i="2" s="1"/>
  <c r="Z295" i="2"/>
  <c r="AJ295" i="2" s="1"/>
  <c r="Z297" i="2"/>
  <c r="M54" i="28" s="1"/>
  <c r="Z314" i="2"/>
  <c r="AJ314" i="2" s="1"/>
  <c r="Z313" i="2"/>
  <c r="AJ313" i="2" s="1"/>
  <c r="Z277" i="2"/>
  <c r="AJ277" i="2" s="1"/>
  <c r="Z326" i="2"/>
  <c r="Z278" i="2"/>
  <c r="AJ278" i="2" s="1"/>
  <c r="Z328" i="2"/>
  <c r="AJ328" i="2" s="1"/>
  <c r="Z279" i="2"/>
  <c r="AJ279" i="2" s="1"/>
  <c r="Z280" i="2"/>
  <c r="AJ280" i="2" s="1"/>
  <c r="Z315" i="2"/>
  <c r="M72" i="28" s="1"/>
  <c r="Z316" i="2"/>
  <c r="Z276" i="2"/>
  <c r="AJ276" i="2" s="1"/>
  <c r="Z318" i="2"/>
  <c r="M75" i="28" s="1"/>
  <c r="Z322" i="2"/>
  <c r="AJ322" i="2" s="1"/>
  <c r="Z310" i="2"/>
  <c r="AJ310" i="2" s="1"/>
  <c r="Z307" i="2"/>
  <c r="AJ307" i="2" s="1"/>
  <c r="Z308" i="2"/>
  <c r="AJ308" i="2" s="1"/>
  <c r="Z304" i="2"/>
  <c r="AJ304" i="2" s="1"/>
  <c r="Z296" i="2"/>
  <c r="AJ296" i="2" s="1"/>
  <c r="Z282" i="2"/>
  <c r="AJ282" i="2" s="1"/>
  <c r="V223" i="2"/>
  <c r="AF223" i="2" s="1"/>
  <c r="AJ245" i="6"/>
  <c r="BX225" i="2"/>
  <c r="Z223" i="2"/>
  <c r="AJ223" i="2" s="1"/>
  <c r="X178" i="2"/>
  <c r="AH178" i="2" s="1"/>
  <c r="X223" i="2"/>
  <c r="AH223" i="2" s="1"/>
  <c r="M30" i="2"/>
  <c r="M31" i="2" s="1"/>
  <c r="H52" i="34" s="1"/>
  <c r="AJ85" i="6"/>
  <c r="T209" i="6"/>
  <c r="W57" i="21" s="1"/>
  <c r="T243" i="6"/>
  <c r="V18" i="10" s="1"/>
  <c r="O30" i="2"/>
  <c r="O31" i="2" s="1"/>
  <c r="J52" i="34" s="1"/>
  <c r="AJ241" i="6"/>
  <c r="AJ237" i="6"/>
  <c r="AJ249" i="6"/>
  <c r="AJ231" i="6"/>
  <c r="AL196" i="6"/>
  <c r="AL241" i="6"/>
  <c r="AL237" i="6"/>
  <c r="AL231" i="6"/>
  <c r="AL245" i="6"/>
  <c r="AL249" i="6"/>
  <c r="AJ210" i="6"/>
  <c r="AJ196" i="6"/>
  <c r="AJ192" i="6"/>
  <c r="AL214" i="6"/>
  <c r="AL210" i="6"/>
  <c r="AL192" i="6"/>
  <c r="AL172" i="6"/>
  <c r="AL176" i="6"/>
  <c r="AL163" i="6"/>
  <c r="AL167" i="6"/>
  <c r="AJ453" i="6"/>
  <c r="AJ65" i="6"/>
  <c r="AJ176" i="6"/>
  <c r="AJ167" i="6"/>
  <c r="AJ184" i="6"/>
  <c r="BU181" i="2"/>
  <c r="BU185" i="2"/>
  <c r="CB185" i="2" s="1"/>
  <c r="CA185" i="2" s="1"/>
  <c r="AJ163" i="6"/>
  <c r="AJ172" i="6"/>
  <c r="AJ414" i="6"/>
  <c r="AJ32" i="6"/>
  <c r="AJ34" i="6"/>
  <c r="AO201" i="6"/>
  <c r="AJ36" i="6"/>
  <c r="AJ198" i="6"/>
  <c r="AJ26" i="6"/>
  <c r="AJ55" i="6"/>
  <c r="AJ310" i="6"/>
  <c r="AJ71" i="6"/>
  <c r="AJ422" i="6"/>
  <c r="AJ40" i="6"/>
  <c r="AJ265" i="6"/>
  <c r="AJ274" i="6"/>
  <c r="AJ57" i="6"/>
  <c r="AJ49" i="6"/>
  <c r="AJ28" i="6"/>
  <c r="AJ42" i="6"/>
  <c r="AJ30" i="6"/>
  <c r="AU51" i="6"/>
  <c r="S30" i="2"/>
  <c r="S31" i="2" s="1"/>
  <c r="N52" i="34" s="1"/>
  <c r="AL63" i="6"/>
  <c r="AL424" i="6"/>
  <c r="AL57" i="6"/>
  <c r="AL310" i="6"/>
  <c r="AL274" i="6"/>
  <c r="AL85" i="6"/>
  <c r="Q30" i="2"/>
  <c r="Q31" i="2" s="1"/>
  <c r="BZ225" i="2"/>
  <c r="BU218" i="2"/>
  <c r="BU215" i="2" s="1"/>
  <c r="BT222" i="2"/>
  <c r="BV225" i="2" s="1"/>
  <c r="K30" i="2"/>
  <c r="K31" i="2" s="1"/>
  <c r="F52" i="34" s="1"/>
  <c r="AL184" i="6"/>
  <c r="AL49" i="6"/>
  <c r="AL265" i="6"/>
  <c r="AQ201" i="6"/>
  <c r="AL418" i="6"/>
  <c r="AL88" i="6"/>
  <c r="AL34" i="6"/>
  <c r="AL32" i="6"/>
  <c r="AL71" i="6"/>
  <c r="AL30" i="6"/>
  <c r="AL28" i="6"/>
  <c r="AL65" i="6"/>
  <c r="AL453" i="6"/>
  <c r="AL51" i="6"/>
  <c r="AL42" i="6"/>
  <c r="AL279" i="6"/>
  <c r="AL40" i="6"/>
  <c r="AL55" i="6"/>
  <c r="AL36" i="6"/>
  <c r="X446" i="2"/>
  <c r="X255" i="2"/>
  <c r="AH255" i="2" s="1"/>
  <c r="T43" i="6"/>
  <c r="V23" i="12" s="1"/>
  <c r="T135" i="6"/>
  <c r="W30" i="9" s="1"/>
  <c r="X278" i="2"/>
  <c r="AH278" i="2" s="1"/>
  <c r="X294" i="2"/>
  <c r="AH294" i="2" s="1"/>
  <c r="X295" i="2"/>
  <c r="AH295" i="2" s="1"/>
  <c r="X320" i="2"/>
  <c r="AH320" i="2" s="1"/>
  <c r="X313" i="2"/>
  <c r="AH313" i="2" s="1"/>
  <c r="X195" i="2"/>
  <c r="AH195" i="2" s="1"/>
  <c r="X321" i="2"/>
  <c r="AH321" i="2" s="1"/>
  <c r="X318" i="2"/>
  <c r="X396" i="2"/>
  <c r="AH396" i="2" s="1"/>
  <c r="V100" i="2"/>
  <c r="AF100" i="2" s="1"/>
  <c r="V113" i="2"/>
  <c r="AF113" i="2" s="1"/>
  <c r="V116" i="2"/>
  <c r="AF116" i="2" s="1"/>
  <c r="V97" i="2"/>
  <c r="AF97" i="2" s="1"/>
  <c r="V104" i="2"/>
  <c r="AF104" i="2" s="1"/>
  <c r="V103" i="2"/>
  <c r="AF103" i="2" s="1"/>
  <c r="V101" i="2"/>
  <c r="AF101" i="2" s="1"/>
  <c r="V114" i="2"/>
  <c r="AF114" i="2" s="1"/>
  <c r="V107" i="2"/>
  <c r="AF107" i="2" s="1"/>
  <c r="V102" i="2"/>
  <c r="AF102" i="2" s="1"/>
  <c r="V115" i="2"/>
  <c r="AF115" i="2" s="1"/>
  <c r="V108" i="2"/>
  <c r="AF108" i="2" s="1"/>
  <c r="V109" i="2"/>
  <c r="AF109" i="2" s="1"/>
  <c r="V117" i="2"/>
  <c r="AF117" i="2" s="1"/>
  <c r="V98" i="2"/>
  <c r="AF98" i="2" s="1"/>
  <c r="V111" i="2"/>
  <c r="AF111" i="2" s="1"/>
  <c r="V99" i="2"/>
  <c r="AF99" i="2" s="1"/>
  <c r="V112" i="2"/>
  <c r="AF112" i="2" s="1"/>
  <c r="V110" i="2"/>
  <c r="AF110" i="2" s="1"/>
  <c r="V105" i="2"/>
  <c r="AF105" i="2" s="1"/>
  <c r="V106" i="2"/>
  <c r="AF106" i="2" s="1"/>
  <c r="X399" i="2"/>
  <c r="AH399" i="2" s="1"/>
  <c r="X407" i="2"/>
  <c r="AH407" i="2" s="1"/>
  <c r="X408" i="2"/>
  <c r="AH408" i="2" s="1"/>
  <c r="Z112" i="2"/>
  <c r="AJ112" i="2" s="1"/>
  <c r="Z106" i="2"/>
  <c r="AJ106" i="2" s="1"/>
  <c r="Z100" i="2"/>
  <c r="AJ100" i="2" s="1"/>
  <c r="Z101" i="2"/>
  <c r="AJ101" i="2" s="1"/>
  <c r="Z115" i="2"/>
  <c r="AJ115" i="2" s="1"/>
  <c r="Z109" i="2"/>
  <c r="AJ109" i="2" s="1"/>
  <c r="Z97" i="2"/>
  <c r="AJ97" i="2" s="1"/>
  <c r="Z98" i="2"/>
  <c r="AJ98" i="2" s="1"/>
  <c r="Z111" i="2"/>
  <c r="AJ111" i="2" s="1"/>
  <c r="Z104" i="2"/>
  <c r="AJ104" i="2" s="1"/>
  <c r="Z103" i="2"/>
  <c r="AJ103" i="2" s="1"/>
  <c r="Z113" i="2"/>
  <c r="AJ113" i="2" s="1"/>
  <c r="Z102" i="2"/>
  <c r="AJ102" i="2" s="1"/>
  <c r="Z114" i="2"/>
  <c r="AJ114" i="2" s="1"/>
  <c r="Z107" i="2"/>
  <c r="AJ107" i="2" s="1"/>
  <c r="Z108" i="2"/>
  <c r="AJ108" i="2" s="1"/>
  <c r="Z117" i="2"/>
  <c r="AJ117" i="2" s="1"/>
  <c r="Z116" i="2"/>
  <c r="AJ116" i="2" s="1"/>
  <c r="Z105" i="2"/>
  <c r="AJ105" i="2" s="1"/>
  <c r="Z110" i="2"/>
  <c r="AJ110" i="2" s="1"/>
  <c r="Z99" i="2"/>
  <c r="AJ99" i="2" s="1"/>
  <c r="X226" i="2"/>
  <c r="AH226" i="2" s="1"/>
  <c r="X316" i="2"/>
  <c r="X204" i="2"/>
  <c r="AH204" i="2" s="1"/>
  <c r="X112" i="2"/>
  <c r="AH112" i="2" s="1"/>
  <c r="X115" i="2"/>
  <c r="AH115" i="2" s="1"/>
  <c r="X106" i="2"/>
  <c r="AH106" i="2" s="1"/>
  <c r="X108" i="2"/>
  <c r="AH108" i="2" s="1"/>
  <c r="X109" i="2"/>
  <c r="AH109" i="2" s="1"/>
  <c r="X116" i="2"/>
  <c r="AH116" i="2" s="1"/>
  <c r="X100" i="2"/>
  <c r="AH100" i="2" s="1"/>
  <c r="X113" i="2"/>
  <c r="AH113" i="2" s="1"/>
  <c r="X103" i="2"/>
  <c r="AH103" i="2" s="1"/>
  <c r="X101" i="2"/>
  <c r="AH101" i="2" s="1"/>
  <c r="X114" i="2"/>
  <c r="AH114" i="2" s="1"/>
  <c r="X107" i="2"/>
  <c r="AH107" i="2" s="1"/>
  <c r="X102" i="2"/>
  <c r="AH102" i="2" s="1"/>
  <c r="X97" i="2"/>
  <c r="AH97" i="2" s="1"/>
  <c r="X104" i="2"/>
  <c r="AH104" i="2" s="1"/>
  <c r="X110" i="2"/>
  <c r="AH110" i="2" s="1"/>
  <c r="X98" i="2"/>
  <c r="AH98" i="2" s="1"/>
  <c r="X105" i="2"/>
  <c r="AH105" i="2" s="1"/>
  <c r="X111" i="2"/>
  <c r="AH111" i="2" s="1"/>
  <c r="X99" i="2"/>
  <c r="AH99" i="2" s="1"/>
  <c r="X117" i="2"/>
  <c r="AH117" i="2" s="1"/>
  <c r="X237" i="2"/>
  <c r="AH237" i="2" s="1"/>
  <c r="X395" i="2"/>
  <c r="AH395" i="2" s="1"/>
  <c r="X285" i="2"/>
  <c r="X214" i="2"/>
  <c r="AH214" i="2" s="1"/>
  <c r="X220" i="2"/>
  <c r="AH220" i="2" s="1"/>
  <c r="X391" i="2"/>
  <c r="AH391" i="2" s="1"/>
  <c r="X400" i="2"/>
  <c r="AH400" i="2" s="1"/>
  <c r="X284" i="2"/>
  <c r="X290" i="2"/>
  <c r="X47" i="2"/>
  <c r="AH47" i="2" s="1"/>
  <c r="X404" i="2"/>
  <c r="AH404" i="2" s="1"/>
  <c r="X82" i="2"/>
  <c r="AH82" i="2" s="1"/>
  <c r="X409" i="2"/>
  <c r="AH409" i="2" s="1"/>
  <c r="X67" i="2"/>
  <c r="AH67" i="2" s="1"/>
  <c r="X289" i="2"/>
  <c r="X272" i="2"/>
  <c r="AH272" i="2" s="1"/>
  <c r="X276" i="2"/>
  <c r="AH276" i="2" s="1"/>
  <c r="X328" i="2"/>
  <c r="X326" i="2"/>
  <c r="X319" i="2"/>
  <c r="AH319" i="2" s="1"/>
  <c r="X315" i="2"/>
  <c r="X314" i="2"/>
  <c r="AH314" i="2" s="1"/>
  <c r="X327" i="2"/>
  <c r="AH327" i="2" s="1"/>
  <c r="X293" i="2"/>
  <c r="K50" i="28" s="1"/>
  <c r="X297" i="2"/>
  <c r="X279" i="2"/>
  <c r="AH279" i="2" s="1"/>
  <c r="M317" i="2"/>
  <c r="X317" i="2" s="1"/>
  <c r="K74" i="28" s="1"/>
  <c r="X287" i="2"/>
  <c r="X286" i="2"/>
  <c r="X304" i="2"/>
  <c r="X288" i="2"/>
  <c r="X291" i="2"/>
  <c r="X39" i="2"/>
  <c r="AH39" i="2" s="1"/>
  <c r="X60" i="2"/>
  <c r="AH60" i="2" s="1"/>
  <c r="X310" i="2"/>
  <c r="AH310" i="2" s="1"/>
  <c r="X307" i="2"/>
  <c r="AH307" i="2" s="1"/>
  <c r="X74" i="2"/>
  <c r="AH74" i="2" s="1"/>
  <c r="X329" i="2"/>
  <c r="AH329" i="2" s="1"/>
  <c r="X282" i="2"/>
  <c r="AH282" i="2" s="1"/>
  <c r="X308" i="2"/>
  <c r="AH308" i="2" s="1"/>
  <c r="X298" i="2"/>
  <c r="AH298" i="2" s="1"/>
  <c r="X323" i="2"/>
  <c r="AH323" i="2" s="1"/>
  <c r="X63" i="2"/>
  <c r="AH63" i="2" s="1"/>
  <c r="X46" i="2"/>
  <c r="AH46" i="2" s="1"/>
  <c r="X262" i="2"/>
  <c r="AH262" i="2" s="1"/>
  <c r="X68" i="2"/>
  <c r="AH68" i="2" s="1"/>
  <c r="X245" i="2"/>
  <c r="AH245" i="2" s="1"/>
  <c r="X387" i="2"/>
  <c r="AH387" i="2" s="1"/>
  <c r="X254" i="2"/>
  <c r="AH254" i="2" s="1"/>
  <c r="X386" i="2"/>
  <c r="AH386" i="2" s="1"/>
  <c r="X266" i="2"/>
  <c r="AH266" i="2" s="1"/>
  <c r="X37" i="2"/>
  <c r="AH37" i="2" s="1"/>
  <c r="X450" i="2"/>
  <c r="X398" i="2"/>
  <c r="AH398" i="2" s="1"/>
  <c r="X296" i="2"/>
  <c r="AH296" i="2" s="1"/>
  <c r="X322" i="2"/>
  <c r="AH322" i="2" s="1"/>
  <c r="X305" i="2"/>
  <c r="X85" i="2"/>
  <c r="V36" i="2"/>
  <c r="AF36" i="2" s="1"/>
  <c r="V57" i="2"/>
  <c r="AF57" i="2" s="1"/>
  <c r="E13" i="2"/>
  <c r="I8" i="1" s="1"/>
  <c r="E9" i="2"/>
  <c r="G8" i="1" s="1"/>
  <c r="E8" i="2"/>
  <c r="G7" i="1" s="1"/>
  <c r="E12" i="2"/>
  <c r="I7" i="1" s="1"/>
  <c r="E6" i="2"/>
  <c r="E5" i="2"/>
  <c r="E4" i="2"/>
  <c r="E3" i="2"/>
  <c r="X402" i="2"/>
  <c r="AH402" i="2" s="1"/>
  <c r="X280" i="2"/>
  <c r="AH280" i="2" s="1"/>
  <c r="X268" i="2"/>
  <c r="AH268" i="2" s="1"/>
  <c r="X66" i="2"/>
  <c r="AH66" i="2" s="1"/>
  <c r="X57" i="2"/>
  <c r="AH57" i="2" s="1"/>
  <c r="X45" i="2"/>
  <c r="AH45" i="2" s="1"/>
  <c r="X420" i="2"/>
  <c r="X406" i="2"/>
  <c r="AH406" i="2" s="1"/>
  <c r="X69" i="2"/>
  <c r="AH69" i="2" s="1"/>
  <c r="X273" i="2"/>
  <c r="AH273" i="2" s="1"/>
  <c r="X394" i="2"/>
  <c r="AH394" i="2" s="1"/>
  <c r="X393" i="2"/>
  <c r="AH393" i="2" s="1"/>
  <c r="X389" i="2"/>
  <c r="AH389" i="2" s="1"/>
  <c r="X292" i="2"/>
  <c r="BZ83" i="2"/>
  <c r="BU65" i="2"/>
  <c r="X86" i="2"/>
  <c r="AH86" i="2" s="1"/>
  <c r="X48" i="2"/>
  <c r="AH48" i="2" s="1"/>
  <c r="X41" i="2"/>
  <c r="AH41" i="2" s="1"/>
  <c r="X43" i="2"/>
  <c r="AH43" i="2" s="1"/>
  <c r="X70" i="2"/>
  <c r="AH70" i="2" s="1"/>
  <c r="X64" i="2"/>
  <c r="AH64" i="2" s="1"/>
  <c r="X72" i="2"/>
  <c r="AH72" i="2" s="1"/>
  <c r="X91" i="2"/>
  <c r="AH91" i="2" s="1"/>
  <c r="X71" i="2"/>
  <c r="AH71" i="2" s="1"/>
  <c r="X80" i="2"/>
  <c r="AH80" i="2" s="1"/>
  <c r="X38" i="2"/>
  <c r="AH38" i="2" s="1"/>
  <c r="X410" i="2"/>
  <c r="AH410" i="2" s="1"/>
  <c r="X53" i="2"/>
  <c r="AH53" i="2" s="1"/>
  <c r="X73" i="2"/>
  <c r="AH73" i="2" s="1"/>
  <c r="X259" i="2"/>
  <c r="AH259" i="2" s="1"/>
  <c r="X269" i="2"/>
  <c r="AH269" i="2" s="1"/>
  <c r="X75" i="2"/>
  <c r="AH75" i="2" s="1"/>
  <c r="X263" i="2"/>
  <c r="AH263" i="2" s="1"/>
  <c r="X49" i="2"/>
  <c r="AH49" i="2" s="1"/>
  <c r="X92" i="2"/>
  <c r="AH92" i="2" s="1"/>
  <c r="X257" i="2"/>
  <c r="AH257" i="2" s="1"/>
  <c r="X243" i="2"/>
  <c r="AH243" i="2" s="1"/>
  <c r="X54" i="2"/>
  <c r="AH54" i="2" s="1"/>
  <c r="X265" i="2"/>
  <c r="AH265" i="2" s="1"/>
  <c r="X271" i="2"/>
  <c r="AH271" i="2" s="1"/>
  <c r="X411" i="2"/>
  <c r="AH411" i="2" s="1"/>
  <c r="X270" i="2"/>
  <c r="AH270" i="2" s="1"/>
  <c r="X267" i="2"/>
  <c r="AH267" i="2" s="1"/>
  <c r="X94" i="2"/>
  <c r="AH94" i="2" s="1"/>
  <c r="X90" i="2"/>
  <c r="AH90" i="2" s="1"/>
  <c r="X260" i="2"/>
  <c r="AH260" i="2" s="1"/>
  <c r="X256" i="2"/>
  <c r="AH256" i="2" s="1"/>
  <c r="X87" i="2"/>
  <c r="AH87" i="2" s="1"/>
  <c r="X76" i="2"/>
  <c r="AH76" i="2" s="1"/>
  <c r="X261" i="2"/>
  <c r="AH261" i="2" s="1"/>
  <c r="X40" i="2"/>
  <c r="AH40" i="2" s="1"/>
  <c r="X258" i="2"/>
  <c r="AH258" i="2" s="1"/>
  <c r="X388" i="2"/>
  <c r="AH388" i="2" s="1"/>
  <c r="X445" i="2"/>
  <c r="X93" i="2"/>
  <c r="AH93" i="2" s="1"/>
  <c r="X242" i="2"/>
  <c r="AH242" i="2" s="1"/>
  <c r="AD36" i="2"/>
  <c r="AN36" i="2" s="1"/>
  <c r="X59" i="2"/>
  <c r="AH59" i="2" s="1"/>
  <c r="X36" i="2"/>
  <c r="AH36" i="2" s="1"/>
  <c r="X52" i="2"/>
  <c r="AH52" i="2" s="1"/>
  <c r="X56" i="2"/>
  <c r="AH56" i="2" s="1"/>
  <c r="X62" i="2"/>
  <c r="AH62" i="2" s="1"/>
  <c r="X83" i="2"/>
  <c r="AH83" i="2" s="1"/>
  <c r="X412" i="2"/>
  <c r="AH412" i="2" s="1"/>
  <c r="X333" i="2"/>
  <c r="AH333" i="2" s="1"/>
  <c r="X264" i="2"/>
  <c r="AH264" i="2" s="1"/>
  <c r="X44" i="2"/>
  <c r="AH44" i="2" s="1"/>
  <c r="BU40" i="2"/>
  <c r="CA40" i="2" s="1"/>
  <c r="BZ40" i="2" s="1"/>
  <c r="AB36" i="2"/>
  <c r="AL36" i="2" s="1"/>
  <c r="X241" i="2"/>
  <c r="AH241" i="2" s="1"/>
  <c r="X78" i="2"/>
  <c r="AH78" i="2" s="1"/>
  <c r="X77" i="2"/>
  <c r="AH77" i="2" s="1"/>
  <c r="X390" i="2"/>
  <c r="AH390" i="2" s="1"/>
  <c r="X392" i="2"/>
  <c r="AH392" i="2" s="1"/>
  <c r="X227" i="2"/>
  <c r="AH227" i="2" s="1"/>
  <c r="X190" i="2"/>
  <c r="AH190" i="2" s="1"/>
  <c r="X432" i="2"/>
  <c r="BT80" i="2"/>
  <c r="BV83" i="2" s="1"/>
  <c r="BX43" i="2"/>
  <c r="Z91" i="2"/>
  <c r="X427" i="2"/>
  <c r="X428" i="2"/>
  <c r="X81" i="2"/>
  <c r="AH81" i="2" s="1"/>
  <c r="X79" i="2"/>
  <c r="AH79" i="2" s="1"/>
  <c r="X469" i="2"/>
  <c r="X423" i="2"/>
  <c r="X437" i="2"/>
  <c r="X434" i="2"/>
  <c r="X431" i="2"/>
  <c r="X84" i="2"/>
  <c r="AH84" i="2" s="1"/>
  <c r="X438" i="2"/>
  <c r="X416" i="2"/>
  <c r="X429" i="2"/>
  <c r="X42" i="2"/>
  <c r="AH42" i="2" s="1"/>
  <c r="X203" i="2"/>
  <c r="AH203" i="2" s="1"/>
  <c r="X174" i="2"/>
  <c r="AH174" i="2" s="1"/>
  <c r="X418" i="2"/>
  <c r="X419" i="2"/>
  <c r="X424" i="2"/>
  <c r="X430" i="2"/>
  <c r="X417" i="2"/>
  <c r="X444" i="2"/>
  <c r="X232" i="2"/>
  <c r="AH232" i="2" s="1"/>
  <c r="X189" i="2"/>
  <c r="AH189" i="2" s="1"/>
  <c r="X229" i="2"/>
  <c r="AH229" i="2" s="1"/>
  <c r="X234" i="2"/>
  <c r="AH234" i="2" s="1"/>
  <c r="X221" i="2"/>
  <c r="AH221" i="2" s="1"/>
  <c r="X219" i="2"/>
  <c r="AH219" i="2" s="1"/>
  <c r="X222" i="2"/>
  <c r="AH222" i="2" s="1"/>
  <c r="X172" i="2"/>
  <c r="AH172" i="2" s="1"/>
  <c r="X193" i="2"/>
  <c r="AH193" i="2" s="1"/>
  <c r="X235" i="2"/>
  <c r="AH235" i="2" s="1"/>
  <c r="X184" i="2"/>
  <c r="AH184" i="2" s="1"/>
  <c r="X170" i="2"/>
  <c r="AH170" i="2" s="1"/>
  <c r="X238" i="2"/>
  <c r="AH238" i="2" s="1"/>
  <c r="X180" i="2"/>
  <c r="AH180" i="2" s="1"/>
  <c r="X181" i="2"/>
  <c r="AH181" i="2" s="1"/>
  <c r="X213" i="2"/>
  <c r="AH213" i="2" s="1"/>
  <c r="X185" i="2"/>
  <c r="X187" i="2"/>
  <c r="AH187" i="2" s="1"/>
  <c r="X233" i="2"/>
  <c r="AH233" i="2" s="1"/>
  <c r="X199" i="2"/>
  <c r="AH199" i="2" s="1"/>
  <c r="X197" i="2"/>
  <c r="AH197" i="2" s="1"/>
  <c r="X179" i="2"/>
  <c r="AH179" i="2" s="1"/>
  <c r="X217" i="2"/>
  <c r="AH217" i="2" s="1"/>
  <c r="X225" i="2"/>
  <c r="AH225" i="2" s="1"/>
  <c r="X198" i="2"/>
  <c r="AH198" i="2" s="1"/>
  <c r="X206" i="2"/>
  <c r="AH206" i="2" s="1"/>
  <c r="X231" i="2"/>
  <c r="AH231" i="2" s="1"/>
  <c r="X182" i="2"/>
  <c r="AH182" i="2" s="1"/>
  <c r="X236" i="2"/>
  <c r="AH236" i="2" s="1"/>
  <c r="X228" i="2"/>
  <c r="AH228" i="2" s="1"/>
  <c r="X196" i="2"/>
  <c r="AH196" i="2" s="1"/>
  <c r="X173" i="2"/>
  <c r="AH173" i="2" s="1"/>
  <c r="X212" i="2"/>
  <c r="AH212" i="2" s="1"/>
  <c r="X211" i="2"/>
  <c r="AH211" i="2" s="1"/>
  <c r="X200" i="2"/>
  <c r="AH200" i="2" s="1"/>
  <c r="X188" i="2"/>
  <c r="AH188" i="2" s="1"/>
  <c r="X168" i="2"/>
  <c r="AH168" i="2" s="1"/>
  <c r="X201" i="2"/>
  <c r="AH201" i="2" s="1"/>
  <c r="X194" i="2"/>
  <c r="AH194" i="2" s="1"/>
  <c r="X171" i="2"/>
  <c r="AH171" i="2" s="1"/>
  <c r="X183" i="2"/>
  <c r="AH183" i="2" s="1"/>
  <c r="X215" i="2"/>
  <c r="AH215" i="2" s="1"/>
  <c r="X176" i="2"/>
  <c r="AH176" i="2" s="1"/>
  <c r="X207" i="2"/>
  <c r="AH207" i="2" s="1"/>
  <c r="X186" i="2"/>
  <c r="AH186" i="2" s="1"/>
  <c r="X218" i="2"/>
  <c r="AH218" i="2" s="1"/>
  <c r="X230" i="2"/>
  <c r="AH230" i="2" s="1"/>
  <c r="X192" i="2"/>
  <c r="AH192" i="2" s="1"/>
  <c r="X224" i="2"/>
  <c r="AH224" i="2" s="1"/>
  <c r="X202" i="2"/>
  <c r="AH202" i="2" s="1"/>
  <c r="X175" i="2"/>
  <c r="AH175" i="2" s="1"/>
  <c r="X169" i="2"/>
  <c r="AH169" i="2" s="1"/>
  <c r="X443" i="2"/>
  <c r="X422" i="2"/>
  <c r="X447" i="2"/>
  <c r="X425" i="2"/>
  <c r="N3" i="6"/>
  <c r="U456" i="6" s="1"/>
  <c r="W56" i="20" s="1"/>
  <c r="X426" i="2"/>
  <c r="X451" i="2"/>
  <c r="X448" i="2"/>
  <c r="X433" i="2"/>
  <c r="X452" i="2"/>
  <c r="X442" i="2"/>
  <c r="X439" i="2"/>
  <c r="X467" i="2"/>
  <c r="X441" i="2"/>
  <c r="AD87" i="2"/>
  <c r="AN87" i="2" s="1"/>
  <c r="AD79" i="2"/>
  <c r="AN79" i="2" s="1"/>
  <c r="AD45" i="2"/>
  <c r="AN45" i="2" s="1"/>
  <c r="AD92" i="2"/>
  <c r="AN92" i="2" s="1"/>
  <c r="AD47" i="2"/>
  <c r="AN47" i="2" s="1"/>
  <c r="AD80" i="2"/>
  <c r="AN80" i="2" s="1"/>
  <c r="AD91" i="2"/>
  <c r="AD74" i="2"/>
  <c r="AN74" i="2" s="1"/>
  <c r="AD54" i="2"/>
  <c r="AN54" i="2" s="1"/>
  <c r="AD94" i="2"/>
  <c r="AN94" i="2" s="1"/>
  <c r="AD68" i="2"/>
  <c r="AN68" i="2" s="1"/>
  <c r="AD67" i="2"/>
  <c r="AN67" i="2" s="1"/>
  <c r="AD66" i="2"/>
  <c r="AN66" i="2" s="1"/>
  <c r="AD42" i="2"/>
  <c r="AN42" i="2" s="1"/>
  <c r="AD78" i="2"/>
  <c r="AN78" i="2" s="1"/>
  <c r="AD73" i="2"/>
  <c r="AN73" i="2" s="1"/>
  <c r="AD37" i="2"/>
  <c r="AN37" i="2" s="1"/>
  <c r="AD40" i="2"/>
  <c r="AN40" i="2" s="1"/>
  <c r="AD63" i="2"/>
  <c r="AN63" i="2" s="1"/>
  <c r="AD48" i="2"/>
  <c r="AN48" i="2" s="1"/>
  <c r="AD38" i="2"/>
  <c r="AN38" i="2" s="1"/>
  <c r="AD60" i="2"/>
  <c r="AN60" i="2" s="1"/>
  <c r="AD64" i="2"/>
  <c r="AN64" i="2" s="1"/>
  <c r="AD76" i="2"/>
  <c r="AN76" i="2" s="1"/>
  <c r="AD69" i="2"/>
  <c r="AN69" i="2" s="1"/>
  <c r="AD81" i="2"/>
  <c r="AN81" i="2" s="1"/>
  <c r="AD71" i="2"/>
  <c r="AN71" i="2" s="1"/>
  <c r="AD86" i="2"/>
  <c r="AN86" i="2" s="1"/>
  <c r="AD75" i="2"/>
  <c r="AN75" i="2" s="1"/>
  <c r="AD44" i="2"/>
  <c r="AN44" i="2" s="1"/>
  <c r="AD70" i="2"/>
  <c r="AN70" i="2" s="1"/>
  <c r="AD85" i="2"/>
  <c r="AD41" i="2"/>
  <c r="AN41" i="2" s="1"/>
  <c r="AD46" i="2"/>
  <c r="AN46" i="2" s="1"/>
  <c r="AD43" i="2"/>
  <c r="AN43" i="2" s="1"/>
  <c r="AD72" i="2"/>
  <c r="AN72" i="2" s="1"/>
  <c r="AD84" i="2"/>
  <c r="AN84" i="2" s="1"/>
  <c r="AD49" i="2"/>
  <c r="AN49" i="2" s="1"/>
  <c r="AD82" i="2"/>
  <c r="AN82" i="2" s="1"/>
  <c r="AD90" i="2"/>
  <c r="AN90" i="2" s="1"/>
  <c r="AD39" i="2"/>
  <c r="AN39" i="2" s="1"/>
  <c r="AD53" i="2"/>
  <c r="AN53" i="2" s="1"/>
  <c r="AD83" i="2"/>
  <c r="AN83" i="2" s="1"/>
  <c r="AD62" i="2"/>
  <c r="AN62" i="2" s="1"/>
  <c r="AD51" i="2"/>
  <c r="AN51" i="2" s="1"/>
  <c r="AD93" i="2"/>
  <c r="AN93" i="2" s="1"/>
  <c r="AD77" i="2"/>
  <c r="AN77" i="2" s="1"/>
  <c r="AD52" i="2"/>
  <c r="AN52" i="2" s="1"/>
  <c r="AD404" i="2"/>
  <c r="AN404" i="2" s="1"/>
  <c r="AD408" i="2"/>
  <c r="AN408" i="2" s="1"/>
  <c r="AD400" i="2"/>
  <c r="AN400" i="2" s="1"/>
  <c r="AD390" i="2"/>
  <c r="AN390" i="2" s="1"/>
  <c r="AD388" i="2"/>
  <c r="AN388" i="2" s="1"/>
  <c r="AD410" i="2"/>
  <c r="AN410" i="2" s="1"/>
  <c r="AD392" i="2"/>
  <c r="AN392" i="2" s="1"/>
  <c r="AD407" i="2"/>
  <c r="AN407" i="2" s="1"/>
  <c r="AD411" i="2"/>
  <c r="AN411" i="2" s="1"/>
  <c r="AD391" i="2"/>
  <c r="AN391" i="2" s="1"/>
  <c r="AD402" i="2"/>
  <c r="AN402" i="2" s="1"/>
  <c r="AD412" i="2"/>
  <c r="AN412" i="2" s="1"/>
  <c r="AD406" i="2"/>
  <c r="AN406" i="2" s="1"/>
  <c r="AD398" i="2"/>
  <c r="AN398" i="2" s="1"/>
  <c r="AD393" i="2"/>
  <c r="AN393" i="2" s="1"/>
  <c r="AD409" i="2"/>
  <c r="AN409" i="2" s="1"/>
  <c r="AD389" i="2"/>
  <c r="AN389" i="2" s="1"/>
  <c r="AD399" i="2"/>
  <c r="AN399" i="2" s="1"/>
  <c r="AD394" i="2"/>
  <c r="AN394" i="2" s="1"/>
  <c r="AD396" i="2"/>
  <c r="AN396" i="2" s="1"/>
  <c r="AD386" i="2"/>
  <c r="AN386" i="2" s="1"/>
  <c r="AD387" i="2"/>
  <c r="AN387" i="2" s="1"/>
  <c r="AD395" i="2"/>
  <c r="AN395" i="2" s="1"/>
  <c r="AD403" i="2"/>
  <c r="AN403" i="2" s="1"/>
  <c r="AD450" i="2"/>
  <c r="AD420" i="2"/>
  <c r="AD441" i="2"/>
  <c r="AD429" i="2"/>
  <c r="AD439" i="2"/>
  <c r="AD444" i="2"/>
  <c r="AD451" i="2"/>
  <c r="T3" i="6"/>
  <c r="AD426" i="2"/>
  <c r="AD424" i="2"/>
  <c r="AD442" i="2"/>
  <c r="AD430" i="2"/>
  <c r="AD433" i="2"/>
  <c r="AD419" i="2"/>
  <c r="AD428" i="2"/>
  <c r="AD469" i="2"/>
  <c r="AD431" i="2"/>
  <c r="AD417" i="2"/>
  <c r="AD447" i="2"/>
  <c r="AD467" i="2"/>
  <c r="AD452" i="2"/>
  <c r="AD418" i="2"/>
  <c r="AD416" i="2"/>
  <c r="AD445" i="2"/>
  <c r="AD425" i="2"/>
  <c r="AD446" i="2"/>
  <c r="AD443" i="2"/>
  <c r="AD427" i="2"/>
  <c r="AD432" i="2"/>
  <c r="AD437" i="2"/>
  <c r="AD423" i="2"/>
  <c r="AD422" i="2"/>
  <c r="AD438" i="2"/>
  <c r="AD434" i="2"/>
  <c r="AD448" i="2"/>
  <c r="AD97" i="2"/>
  <c r="AN97" i="2" s="1"/>
  <c r="AD111" i="2"/>
  <c r="AN111" i="2" s="1"/>
  <c r="AD107" i="2"/>
  <c r="AN107" i="2" s="1"/>
  <c r="AD98" i="2"/>
  <c r="AN98" i="2" s="1"/>
  <c r="AD113" i="2"/>
  <c r="AN113" i="2" s="1"/>
  <c r="AD109" i="2"/>
  <c r="AN109" i="2" s="1"/>
  <c r="AD104" i="2"/>
  <c r="AN104" i="2" s="1"/>
  <c r="AD103" i="2"/>
  <c r="AN103" i="2" s="1"/>
  <c r="AD110" i="2"/>
  <c r="AN110" i="2" s="1"/>
  <c r="AD117" i="2"/>
  <c r="AN117" i="2" s="1"/>
  <c r="AD100" i="2"/>
  <c r="AN100" i="2" s="1"/>
  <c r="AD102" i="2"/>
  <c r="AN102" i="2" s="1"/>
  <c r="AD99" i="2"/>
  <c r="AN99" i="2" s="1"/>
  <c r="AD108" i="2"/>
  <c r="AN108" i="2" s="1"/>
  <c r="AD101" i="2"/>
  <c r="AN101" i="2" s="1"/>
  <c r="AD114" i="2"/>
  <c r="AN114" i="2" s="1"/>
  <c r="AD105" i="2"/>
  <c r="AN105" i="2" s="1"/>
  <c r="AD115" i="2"/>
  <c r="AN115" i="2" s="1"/>
  <c r="AD106" i="2"/>
  <c r="AN106" i="2" s="1"/>
  <c r="AD116" i="2"/>
  <c r="AN116" i="2" s="1"/>
  <c r="AD112" i="2"/>
  <c r="AN112" i="2" s="1"/>
  <c r="AD276" i="2"/>
  <c r="AN276" i="2" s="1"/>
  <c r="AD315" i="2"/>
  <c r="Q72" i="28" s="1"/>
  <c r="AD321" i="2"/>
  <c r="AN321" i="2" s="1"/>
  <c r="AD304" i="2"/>
  <c r="AN304" i="2" s="1"/>
  <c r="AD329" i="2"/>
  <c r="AN329" i="2" s="1"/>
  <c r="AD296" i="2"/>
  <c r="AN296" i="2" s="1"/>
  <c r="AD320" i="2"/>
  <c r="AN320" i="2" s="1"/>
  <c r="AD295" i="2"/>
  <c r="AN295" i="2" s="1"/>
  <c r="AD323" i="2"/>
  <c r="AN323" i="2" s="1"/>
  <c r="AD297" i="2"/>
  <c r="Q54" i="28" s="1"/>
  <c r="AD280" i="2"/>
  <c r="AN280" i="2" s="1"/>
  <c r="AD305" i="2"/>
  <c r="AN305" i="2" s="1"/>
  <c r="AD328" i="2"/>
  <c r="AN328" i="2" s="1"/>
  <c r="AD322" i="2"/>
  <c r="AN322" i="2" s="1"/>
  <c r="AD279" i="2"/>
  <c r="AN279" i="2" s="1"/>
  <c r="AD318" i="2"/>
  <c r="Q75" i="28" s="1"/>
  <c r="AD326" i="2"/>
  <c r="AN326" i="2" s="1"/>
  <c r="AD298" i="2"/>
  <c r="AN298" i="2" s="1"/>
  <c r="AD278" i="2"/>
  <c r="AN278" i="2" s="1"/>
  <c r="AD307" i="2"/>
  <c r="AN307" i="2" s="1"/>
  <c r="AD294" i="2"/>
  <c r="AN294" i="2" s="1"/>
  <c r="AD277" i="2"/>
  <c r="AN277" i="2" s="1"/>
  <c r="AD316" i="2"/>
  <c r="AN316" i="2" s="1"/>
  <c r="AD327" i="2"/>
  <c r="AN327" i="2" s="1"/>
  <c r="AD282" i="2"/>
  <c r="AN282" i="2" s="1"/>
  <c r="AD313" i="2"/>
  <c r="AN313" i="2" s="1"/>
  <c r="AD319" i="2"/>
  <c r="AN319" i="2" s="1"/>
  <c r="AD308" i="2"/>
  <c r="AN308" i="2" s="1"/>
  <c r="AD314" i="2"/>
  <c r="AN314" i="2" s="1"/>
  <c r="AD310" i="2"/>
  <c r="AN310" i="2" s="1"/>
  <c r="AD169" i="2"/>
  <c r="AN169" i="2" s="1"/>
  <c r="AD174" i="2"/>
  <c r="AN174" i="2" s="1"/>
  <c r="AD236" i="2"/>
  <c r="AN236" i="2" s="1"/>
  <c r="AD206" i="2"/>
  <c r="AN206" i="2" s="1"/>
  <c r="AD176" i="2"/>
  <c r="AN176" i="2" s="1"/>
  <c r="AD232" i="2"/>
  <c r="AN232" i="2" s="1"/>
  <c r="AD234" i="2"/>
  <c r="AN234" i="2" s="1"/>
  <c r="AD170" i="2"/>
  <c r="AN170" i="2" s="1"/>
  <c r="AD193" i="2"/>
  <c r="AN193" i="2" s="1"/>
  <c r="AD189" i="2"/>
  <c r="AN189" i="2" s="1"/>
  <c r="AD238" i="2"/>
  <c r="AN238" i="2" s="1"/>
  <c r="AD184" i="2"/>
  <c r="AN184" i="2" s="1"/>
  <c r="AD230" i="2"/>
  <c r="AN230" i="2" s="1"/>
  <c r="AD205" i="2"/>
  <c r="AN205" i="2" s="1"/>
  <c r="AD186" i="2"/>
  <c r="AN186" i="2" s="1"/>
  <c r="AD204" i="2"/>
  <c r="AN204" i="2" s="1"/>
  <c r="AD202" i="2"/>
  <c r="AN202" i="2" s="1"/>
  <c r="AD235" i="2"/>
  <c r="AN235" i="2" s="1"/>
  <c r="AD218" i="2"/>
  <c r="AN218" i="2" s="1"/>
  <c r="AD185" i="2"/>
  <c r="AD214" i="2"/>
  <c r="AN214" i="2" s="1"/>
  <c r="AD180" i="2"/>
  <c r="AN180" i="2" s="1"/>
  <c r="AD237" i="2"/>
  <c r="AN237" i="2" s="1"/>
  <c r="AD179" i="2"/>
  <c r="AN179" i="2" s="1"/>
  <c r="AD219" i="2"/>
  <c r="AN219" i="2" s="1"/>
  <c r="AD168" i="2"/>
  <c r="AN168" i="2" s="1"/>
  <c r="AD226" i="2"/>
  <c r="AN226" i="2" s="1"/>
  <c r="AD222" i="2"/>
  <c r="AN222" i="2" s="1"/>
  <c r="AD231" i="2"/>
  <c r="AN231" i="2" s="1"/>
  <c r="AD199" i="2"/>
  <c r="AN199" i="2" s="1"/>
  <c r="AD197" i="2"/>
  <c r="AN197" i="2" s="1"/>
  <c r="AD225" i="2"/>
  <c r="AN225" i="2" s="1"/>
  <c r="AD207" i="2"/>
  <c r="AN207" i="2" s="1"/>
  <c r="AD171" i="2"/>
  <c r="AN171" i="2" s="1"/>
  <c r="AD175" i="2"/>
  <c r="AN175" i="2" s="1"/>
  <c r="AD229" i="2"/>
  <c r="AN229" i="2" s="1"/>
  <c r="AD198" i="2"/>
  <c r="AN198" i="2" s="1"/>
  <c r="AD183" i="2"/>
  <c r="AN183" i="2" s="1"/>
  <c r="AD172" i="2"/>
  <c r="AN172" i="2" s="1"/>
  <c r="AD192" i="2"/>
  <c r="AN192" i="2" s="1"/>
  <c r="AD213" i="2"/>
  <c r="AN213" i="2" s="1"/>
  <c r="AD203" i="2"/>
  <c r="AN203" i="2" s="1"/>
  <c r="AD181" i="2"/>
  <c r="AN181" i="2" s="1"/>
  <c r="CB175" i="2"/>
  <c r="AD194" i="2"/>
  <c r="AN194" i="2" s="1"/>
  <c r="AD215" i="2"/>
  <c r="AD217" i="2"/>
  <c r="AN217" i="2" s="1"/>
  <c r="AD201" i="2"/>
  <c r="AN201" i="2" s="1"/>
  <c r="AD212" i="2"/>
  <c r="AN212" i="2" s="1"/>
  <c r="AD178" i="2"/>
  <c r="AN178" i="2" s="1"/>
  <c r="AD200" i="2"/>
  <c r="AN200" i="2" s="1"/>
  <c r="AD220" i="2"/>
  <c r="AN220" i="2" s="1"/>
  <c r="AD173" i="2"/>
  <c r="AN173" i="2" s="1"/>
  <c r="AD196" i="2"/>
  <c r="AN196" i="2" s="1"/>
  <c r="AD228" i="2"/>
  <c r="AN228" i="2" s="1"/>
  <c r="AD233" i="2"/>
  <c r="AN233" i="2" s="1"/>
  <c r="AD182" i="2"/>
  <c r="AN182" i="2" s="1"/>
  <c r="AD188" i="2"/>
  <c r="AN188" i="2" s="1"/>
  <c r="AD221" i="2"/>
  <c r="AN221" i="2" s="1"/>
  <c r="AD333" i="2"/>
  <c r="AN333" i="2" s="1"/>
  <c r="AD258" i="2"/>
  <c r="AN258" i="2" s="1"/>
  <c r="AD257" i="2"/>
  <c r="AN257" i="2" s="1"/>
  <c r="BW265" i="2"/>
  <c r="AD266" i="2"/>
  <c r="AN266" i="2" s="1"/>
  <c r="AD260" i="2"/>
  <c r="AN260" i="2" s="1"/>
  <c r="AD271" i="2"/>
  <c r="AN271" i="2" s="1"/>
  <c r="AD269" i="2"/>
  <c r="AN269" i="2" s="1"/>
  <c r="AD241" i="2"/>
  <c r="AD255" i="2"/>
  <c r="AN255" i="2" s="1"/>
  <c r="AD259" i="2"/>
  <c r="AN259" i="2" s="1"/>
  <c r="AD262" i="2"/>
  <c r="AN262" i="2" s="1"/>
  <c r="AD254" i="2"/>
  <c r="AN254" i="2" s="1"/>
  <c r="AD261" i="2"/>
  <c r="AN261" i="2" s="1"/>
  <c r="AD265" i="2"/>
  <c r="AN265" i="2" s="1"/>
  <c r="O317" i="2"/>
  <c r="Z317" i="2" s="1"/>
  <c r="M74" i="28" s="1"/>
  <c r="BX290" i="2"/>
  <c r="T191" i="6"/>
  <c r="W39" i="21" s="1"/>
  <c r="T299" i="6"/>
  <c r="W39" i="8" s="1"/>
  <c r="CE290" i="2"/>
  <c r="T348" i="6"/>
  <c r="U6" i="14" s="1"/>
  <c r="T369" i="6"/>
  <c r="U27" i="14" s="1"/>
  <c r="T182" i="6"/>
  <c r="W30" i="21" s="1"/>
  <c r="T160" i="6"/>
  <c r="W8" i="21" s="1"/>
  <c r="T76" i="6"/>
  <c r="V56" i="12" s="1"/>
  <c r="T413" i="6"/>
  <c r="V13" i="20" s="1"/>
  <c r="T187" i="6"/>
  <c r="W35" i="21" s="1"/>
  <c r="T415" i="6"/>
  <c r="V15" i="20" s="1"/>
  <c r="T223" i="6"/>
  <c r="W71" i="21" s="1"/>
  <c r="T405" i="6"/>
  <c r="V5" i="20" s="1"/>
  <c r="T355" i="6"/>
  <c r="U13" i="14" s="1"/>
  <c r="T279" i="6"/>
  <c r="W19" i="8" s="1"/>
  <c r="T141" i="6"/>
  <c r="W36" i="9" s="1"/>
  <c r="T95" i="6"/>
  <c r="W14" i="16" s="1"/>
  <c r="T86" i="6"/>
  <c r="W5" i="16" s="1"/>
  <c r="T58" i="6"/>
  <c r="V38" i="12" s="1"/>
  <c r="T447" i="6"/>
  <c r="V47" i="20" s="1"/>
  <c r="T78" i="6"/>
  <c r="V58" i="12" s="1"/>
  <c r="BU269" i="2"/>
  <c r="BU261" i="2"/>
  <c r="BU256" i="2"/>
  <c r="BU89" i="2"/>
  <c r="BU73" i="2"/>
  <c r="AB271" i="2"/>
  <c r="AL271" i="2" s="1"/>
  <c r="AB262" i="2"/>
  <c r="AL262" i="2" s="1"/>
  <c r="AB257" i="2"/>
  <c r="AL257" i="2" s="1"/>
  <c r="AB261" i="2"/>
  <c r="AL261" i="2" s="1"/>
  <c r="AB255" i="2"/>
  <c r="AL255" i="2" s="1"/>
  <c r="AB259" i="2"/>
  <c r="AL259" i="2" s="1"/>
  <c r="AB269" i="2"/>
  <c r="AL269" i="2" s="1"/>
  <c r="AB254" i="2"/>
  <c r="AL254" i="2" s="1"/>
  <c r="AB241" i="2"/>
  <c r="BU265" i="2"/>
  <c r="AB258" i="2"/>
  <c r="AL258" i="2" s="1"/>
  <c r="AB260" i="2"/>
  <c r="AL260" i="2" s="1"/>
  <c r="AB265" i="2"/>
  <c r="AL265" i="2" s="1"/>
  <c r="AB266" i="2"/>
  <c r="AL266" i="2" s="1"/>
  <c r="AB333" i="2"/>
  <c r="AL333" i="2" s="1"/>
  <c r="AB280" i="2"/>
  <c r="AL280" i="2" s="1"/>
  <c r="AB316" i="2"/>
  <c r="AL316" i="2" s="1"/>
  <c r="AB323" i="2"/>
  <c r="AL323" i="2" s="1"/>
  <c r="AB277" i="2"/>
  <c r="AL277" i="2" s="1"/>
  <c r="AB282" i="2"/>
  <c r="AL282" i="2" s="1"/>
  <c r="AB304" i="2"/>
  <c r="AL304" i="2" s="1"/>
  <c r="AB328" i="2"/>
  <c r="AL328" i="2" s="1"/>
  <c r="AB307" i="2"/>
  <c r="AL307" i="2" s="1"/>
  <c r="AB278" i="2"/>
  <c r="AL278" i="2" s="1"/>
  <c r="AB297" i="2"/>
  <c r="O54" i="28" s="1"/>
  <c r="AB296" i="2"/>
  <c r="AL296" i="2" s="1"/>
  <c r="AB326" i="2"/>
  <c r="AL326" i="2" s="1"/>
  <c r="AB313" i="2"/>
  <c r="AL313" i="2" s="1"/>
  <c r="AB305" i="2"/>
  <c r="AL305" i="2" s="1"/>
  <c r="AB315" i="2"/>
  <c r="O72" i="28" s="1"/>
  <c r="AB314" i="2"/>
  <c r="AL314" i="2" s="1"/>
  <c r="AB322" i="2"/>
  <c r="AL322" i="2" s="1"/>
  <c r="AB310" i="2"/>
  <c r="AL310" i="2" s="1"/>
  <c r="AB321" i="2"/>
  <c r="AL321" i="2" s="1"/>
  <c r="AB294" i="2"/>
  <c r="AL294" i="2" s="1"/>
  <c r="AB319" i="2"/>
  <c r="AL319" i="2" s="1"/>
  <c r="AB279" i="2"/>
  <c r="AL279" i="2" s="1"/>
  <c r="AB295" i="2"/>
  <c r="AL295" i="2" s="1"/>
  <c r="AB298" i="2"/>
  <c r="AL298" i="2" s="1"/>
  <c r="AB320" i="2"/>
  <c r="AL320" i="2" s="1"/>
  <c r="AB327" i="2"/>
  <c r="AL327" i="2" s="1"/>
  <c r="AB276" i="2"/>
  <c r="AL276" i="2" s="1"/>
  <c r="AB329" i="2"/>
  <c r="AL329" i="2" s="1"/>
  <c r="AB308" i="2"/>
  <c r="AL308" i="2" s="1"/>
  <c r="AB318" i="2"/>
  <c r="O75" i="28" s="1"/>
  <c r="AB189" i="2"/>
  <c r="AL189" i="2" s="1"/>
  <c r="AB199" i="2"/>
  <c r="AL199" i="2" s="1"/>
  <c r="AB205" i="2"/>
  <c r="AL205" i="2" s="1"/>
  <c r="AB212" i="2"/>
  <c r="AL212" i="2" s="1"/>
  <c r="AB228" i="2"/>
  <c r="AL228" i="2" s="1"/>
  <c r="AB179" i="2"/>
  <c r="AL179" i="2" s="1"/>
  <c r="AB183" i="2"/>
  <c r="AL183" i="2" s="1"/>
  <c r="AB204" i="2"/>
  <c r="AL204" i="2" s="1"/>
  <c r="AB180" i="2"/>
  <c r="AL180" i="2" s="1"/>
  <c r="AB234" i="2"/>
  <c r="AL234" i="2" s="1"/>
  <c r="AB198" i="2"/>
  <c r="AL198" i="2" s="1"/>
  <c r="AB173" i="2"/>
  <c r="AL173" i="2" s="1"/>
  <c r="AB178" i="2"/>
  <c r="AL178" i="2" s="1"/>
  <c r="AB182" i="2"/>
  <c r="AL182" i="2" s="1"/>
  <c r="AB186" i="2"/>
  <c r="AL186" i="2" s="1"/>
  <c r="AB192" i="2"/>
  <c r="AL192" i="2" s="1"/>
  <c r="AB232" i="2"/>
  <c r="AL232" i="2" s="1"/>
  <c r="AB236" i="2"/>
  <c r="AL236" i="2" s="1"/>
  <c r="BZ175" i="2"/>
  <c r="AB231" i="2"/>
  <c r="AL231" i="2" s="1"/>
  <c r="AB235" i="2"/>
  <c r="AL235" i="2" s="1"/>
  <c r="AB226" i="2"/>
  <c r="AL226" i="2" s="1"/>
  <c r="AB196" i="2"/>
  <c r="AL196" i="2" s="1"/>
  <c r="AB200" i="2"/>
  <c r="AL200" i="2" s="1"/>
  <c r="AB174" i="2"/>
  <c r="AL174" i="2" s="1"/>
  <c r="AB215" i="2"/>
  <c r="AB219" i="2"/>
  <c r="AL219" i="2" s="1"/>
  <c r="AB172" i="2"/>
  <c r="AL172" i="2" s="1"/>
  <c r="AB218" i="2"/>
  <c r="AL218" i="2" s="1"/>
  <c r="AB222" i="2"/>
  <c r="AL222" i="2" s="1"/>
  <c r="AB225" i="2"/>
  <c r="AL225" i="2" s="1"/>
  <c r="AB175" i="2"/>
  <c r="AL175" i="2" s="1"/>
  <c r="AB188" i="2"/>
  <c r="AL188" i="2" s="1"/>
  <c r="AB230" i="2"/>
  <c r="AL230" i="2" s="1"/>
  <c r="AB238" i="2"/>
  <c r="AL238" i="2" s="1"/>
  <c r="AB171" i="2"/>
  <c r="AL171" i="2" s="1"/>
  <c r="AB217" i="2"/>
  <c r="AL217" i="2" s="1"/>
  <c r="AB221" i="2"/>
  <c r="AL221" i="2" s="1"/>
  <c r="AB170" i="2"/>
  <c r="AL170" i="2" s="1"/>
  <c r="AB220" i="2"/>
  <c r="AL220" i="2" s="1"/>
  <c r="AB169" i="2"/>
  <c r="AL169" i="2" s="1"/>
  <c r="AB229" i="2"/>
  <c r="AL229" i="2" s="1"/>
  <c r="AB202" i="2"/>
  <c r="AL202" i="2" s="1"/>
  <c r="AB237" i="2"/>
  <c r="AL237" i="2" s="1"/>
  <c r="AB203" i="2"/>
  <c r="AL203" i="2" s="1"/>
  <c r="AB193" i="2"/>
  <c r="AL193" i="2" s="1"/>
  <c r="AB197" i="2"/>
  <c r="AL197" i="2" s="1"/>
  <c r="AB201" i="2"/>
  <c r="AL201" i="2" s="1"/>
  <c r="AB207" i="2"/>
  <c r="AL207" i="2" s="1"/>
  <c r="AB176" i="2"/>
  <c r="AL176" i="2" s="1"/>
  <c r="AB181" i="2"/>
  <c r="AL181" i="2" s="1"/>
  <c r="AB185" i="2"/>
  <c r="AB184" i="2"/>
  <c r="AL184" i="2" s="1"/>
  <c r="AB213" i="2"/>
  <c r="AL213" i="2" s="1"/>
  <c r="AB194" i="2"/>
  <c r="AL194" i="2" s="1"/>
  <c r="AB206" i="2"/>
  <c r="AL206" i="2" s="1"/>
  <c r="AB214" i="2"/>
  <c r="AL214" i="2" s="1"/>
  <c r="AB168" i="2"/>
  <c r="AL168" i="2" s="1"/>
  <c r="AB233" i="2"/>
  <c r="AL233" i="2" s="1"/>
  <c r="AB391" i="2"/>
  <c r="AL391" i="2" s="1"/>
  <c r="AB406" i="2"/>
  <c r="AL406" i="2" s="1"/>
  <c r="AB398" i="2"/>
  <c r="AL398" i="2" s="1"/>
  <c r="AB408" i="2"/>
  <c r="AL408" i="2" s="1"/>
  <c r="AB412" i="2"/>
  <c r="AL412" i="2" s="1"/>
  <c r="AB394" i="2"/>
  <c r="AL394" i="2" s="1"/>
  <c r="AB390" i="2"/>
  <c r="AL390" i="2" s="1"/>
  <c r="AB402" i="2"/>
  <c r="AL402" i="2" s="1"/>
  <c r="AB400" i="2"/>
  <c r="AL400" i="2" s="1"/>
  <c r="AB404" i="2"/>
  <c r="AL404" i="2" s="1"/>
  <c r="AB411" i="2"/>
  <c r="AL411" i="2" s="1"/>
  <c r="AB399" i="2"/>
  <c r="AL399" i="2" s="1"/>
  <c r="AB386" i="2"/>
  <c r="AL386" i="2" s="1"/>
  <c r="AB409" i="2"/>
  <c r="AL409" i="2" s="1"/>
  <c r="AB410" i="2"/>
  <c r="AL410" i="2" s="1"/>
  <c r="AB403" i="2"/>
  <c r="AL403" i="2" s="1"/>
  <c r="AB392" i="2"/>
  <c r="AL392" i="2" s="1"/>
  <c r="AB388" i="2"/>
  <c r="AL388" i="2" s="1"/>
  <c r="AB387" i="2"/>
  <c r="AL387" i="2" s="1"/>
  <c r="AB395" i="2"/>
  <c r="AL395" i="2" s="1"/>
  <c r="AB389" i="2"/>
  <c r="AL389" i="2" s="1"/>
  <c r="AB407" i="2"/>
  <c r="AL407" i="2" s="1"/>
  <c r="AB396" i="2"/>
  <c r="AL396" i="2" s="1"/>
  <c r="AB393" i="2"/>
  <c r="AL393" i="2" s="1"/>
  <c r="AB448" i="2"/>
  <c r="AB432" i="2"/>
  <c r="AB428" i="2"/>
  <c r="R3" i="6"/>
  <c r="AB431" i="2"/>
  <c r="AB430" i="2"/>
  <c r="AB450" i="2"/>
  <c r="AB442" i="2"/>
  <c r="AB416" i="2"/>
  <c r="AB418" i="2"/>
  <c r="AB438" i="2"/>
  <c r="AB443" i="2"/>
  <c r="AB427" i="2"/>
  <c r="AB423" i="2"/>
  <c r="AB429" i="2"/>
  <c r="AB434" i="2"/>
  <c r="AB433" i="2"/>
  <c r="AB451" i="2"/>
  <c r="AB437" i="2"/>
  <c r="AB444" i="2"/>
  <c r="AB417" i="2"/>
  <c r="AB441" i="2"/>
  <c r="AB467" i="2"/>
  <c r="AB452" i="2"/>
  <c r="AB422" i="2"/>
  <c r="AB425" i="2"/>
  <c r="AB424" i="2"/>
  <c r="AB419" i="2"/>
  <c r="AB439" i="2"/>
  <c r="AB420" i="2"/>
  <c r="AB426" i="2"/>
  <c r="AB446" i="2"/>
  <c r="AB445" i="2"/>
  <c r="AB469" i="2"/>
  <c r="AB447" i="2"/>
  <c r="AB107" i="2"/>
  <c r="AL107" i="2" s="1"/>
  <c r="AB98" i="2"/>
  <c r="AL98" i="2" s="1"/>
  <c r="AB117" i="2"/>
  <c r="AL117" i="2" s="1"/>
  <c r="AB97" i="2"/>
  <c r="AL97" i="2" s="1"/>
  <c r="AB101" i="2"/>
  <c r="AL101" i="2" s="1"/>
  <c r="AB115" i="2"/>
  <c r="AL115" i="2" s="1"/>
  <c r="AB113" i="2"/>
  <c r="AL113" i="2" s="1"/>
  <c r="AB104" i="2"/>
  <c r="AL104" i="2" s="1"/>
  <c r="AB110" i="2"/>
  <c r="AL110" i="2" s="1"/>
  <c r="AB116" i="2"/>
  <c r="AL116" i="2" s="1"/>
  <c r="AB103" i="2"/>
  <c r="AL103" i="2" s="1"/>
  <c r="AB106" i="2"/>
  <c r="AL106" i="2" s="1"/>
  <c r="AB112" i="2"/>
  <c r="AL112" i="2" s="1"/>
  <c r="AB100" i="2"/>
  <c r="AL100" i="2" s="1"/>
  <c r="AB108" i="2"/>
  <c r="AL108" i="2" s="1"/>
  <c r="AB111" i="2"/>
  <c r="AL111" i="2" s="1"/>
  <c r="AB114" i="2"/>
  <c r="AL114" i="2" s="1"/>
  <c r="AB102" i="2"/>
  <c r="AL102" i="2" s="1"/>
  <c r="AB99" i="2"/>
  <c r="AL99" i="2" s="1"/>
  <c r="AB109" i="2"/>
  <c r="AL109" i="2" s="1"/>
  <c r="AB105" i="2"/>
  <c r="AL105" i="2" s="1"/>
  <c r="AB48" i="2"/>
  <c r="AL48" i="2" s="1"/>
  <c r="AB49" i="2"/>
  <c r="AL49" i="2" s="1"/>
  <c r="AB47" i="2"/>
  <c r="AL47" i="2" s="1"/>
  <c r="AB54" i="2"/>
  <c r="AL54" i="2" s="1"/>
  <c r="AB52" i="2"/>
  <c r="AL52" i="2" s="1"/>
  <c r="AB72" i="2"/>
  <c r="AL72" i="2" s="1"/>
  <c r="AB87" i="2"/>
  <c r="AL87" i="2" s="1"/>
  <c r="AB76" i="2"/>
  <c r="AL76" i="2" s="1"/>
  <c r="AB77" i="2"/>
  <c r="AL77" i="2" s="1"/>
  <c r="AB74" i="2"/>
  <c r="AL74" i="2" s="1"/>
  <c r="AB42" i="2"/>
  <c r="AL42" i="2" s="1"/>
  <c r="AB40" i="2"/>
  <c r="AL40" i="2" s="1"/>
  <c r="AB41" i="2"/>
  <c r="AL41" i="2" s="1"/>
  <c r="AB39" i="2"/>
  <c r="AL39" i="2" s="1"/>
  <c r="AB45" i="2"/>
  <c r="AL45" i="2" s="1"/>
  <c r="AB83" i="2"/>
  <c r="AL83" i="2" s="1"/>
  <c r="AB70" i="2"/>
  <c r="AL70" i="2" s="1"/>
  <c r="AB63" i="2"/>
  <c r="AL63" i="2" s="1"/>
  <c r="AB75" i="2"/>
  <c r="AL75" i="2" s="1"/>
  <c r="AB90" i="2"/>
  <c r="AL90" i="2" s="1"/>
  <c r="AB60" i="2"/>
  <c r="AL60" i="2" s="1"/>
  <c r="AB62" i="2"/>
  <c r="AL62" i="2" s="1"/>
  <c r="AB43" i="2"/>
  <c r="AL43" i="2" s="1"/>
  <c r="AB38" i="2"/>
  <c r="AL38" i="2" s="1"/>
  <c r="AB44" i="2"/>
  <c r="AL44" i="2" s="1"/>
  <c r="AB94" i="2"/>
  <c r="AL94" i="2" s="1"/>
  <c r="AB86" i="2"/>
  <c r="AL86" i="2" s="1"/>
  <c r="AB37" i="2"/>
  <c r="AL37" i="2" s="1"/>
  <c r="AB68" i="2"/>
  <c r="AL68" i="2" s="1"/>
  <c r="AB92" i="2"/>
  <c r="AL92" i="2" s="1"/>
  <c r="AB53" i="2"/>
  <c r="AL53" i="2" s="1"/>
  <c r="AB73" i="2"/>
  <c r="AL73" i="2" s="1"/>
  <c r="AB81" i="2"/>
  <c r="AL81" i="2" s="1"/>
  <c r="AB51" i="2"/>
  <c r="AL51" i="2" s="1"/>
  <c r="AB71" i="2"/>
  <c r="AL71" i="2" s="1"/>
  <c r="AB82" i="2"/>
  <c r="AL82" i="2" s="1"/>
  <c r="AB66" i="2"/>
  <c r="AL66" i="2" s="1"/>
  <c r="AB93" i="2"/>
  <c r="AL93" i="2" s="1"/>
  <c r="AB80" i="2"/>
  <c r="AL80" i="2" s="1"/>
  <c r="AB91" i="2"/>
  <c r="AB84" i="2"/>
  <c r="AL84" i="2" s="1"/>
  <c r="AB85" i="2"/>
  <c r="AB67" i="2"/>
  <c r="AL67" i="2" s="1"/>
  <c r="AB64" i="2"/>
  <c r="AL64" i="2" s="1"/>
  <c r="AB79" i="2"/>
  <c r="AL79" i="2" s="1"/>
  <c r="AB69" i="2"/>
  <c r="AL69" i="2" s="1"/>
  <c r="AB46" i="2"/>
  <c r="AL46" i="2" s="1"/>
  <c r="AB78" i="2"/>
  <c r="AL78" i="2" s="1"/>
  <c r="Z254" i="2"/>
  <c r="AJ254" i="2" s="1"/>
  <c r="Z257" i="2"/>
  <c r="AJ257" i="2" s="1"/>
  <c r="BX246" i="2"/>
  <c r="Z265" i="2"/>
  <c r="AJ265" i="2" s="1"/>
  <c r="Z266" i="2"/>
  <c r="AJ266" i="2" s="1"/>
  <c r="Z258" i="2"/>
  <c r="AJ258" i="2" s="1"/>
  <c r="Z271" i="2"/>
  <c r="AJ271" i="2" s="1"/>
  <c r="BX242" i="2"/>
  <c r="BX274" i="2"/>
  <c r="Z255" i="2"/>
  <c r="AJ255" i="2" s="1"/>
  <c r="Z260" i="2"/>
  <c r="AJ260" i="2" s="1"/>
  <c r="Z268" i="2"/>
  <c r="BX250" i="2"/>
  <c r="Z267" i="2"/>
  <c r="Z241" i="2"/>
  <c r="Z269" i="2"/>
  <c r="AJ269" i="2" s="1"/>
  <c r="Z253" i="2"/>
  <c r="Z273" i="2"/>
  <c r="BX265" i="2"/>
  <c r="Z262" i="2"/>
  <c r="AJ262" i="2" s="1"/>
  <c r="Z261" i="2"/>
  <c r="AJ261" i="2" s="1"/>
  <c r="Z259" i="2"/>
  <c r="AJ259" i="2" s="1"/>
  <c r="Z452" i="2"/>
  <c r="Z444" i="2"/>
  <c r="Z420" i="2"/>
  <c r="Z443" i="2"/>
  <c r="Z446" i="2"/>
  <c r="Z441" i="2"/>
  <c r="Z450" i="2"/>
  <c r="Z417" i="2"/>
  <c r="Z437" i="2"/>
  <c r="Z445" i="2"/>
  <c r="Z439" i="2"/>
  <c r="Z442" i="2"/>
  <c r="Z447" i="2"/>
  <c r="Z438" i="2"/>
  <c r="Z419" i="2"/>
  <c r="P3" i="6"/>
  <c r="X2" i="2"/>
  <c r="Z451" i="2"/>
  <c r="Z448" i="2"/>
  <c r="Z422" i="2"/>
  <c r="Z73" i="2"/>
  <c r="AJ73" i="2" s="1"/>
  <c r="Z74" i="2"/>
  <c r="AJ74" i="2" s="1"/>
  <c r="Z37" i="2"/>
  <c r="AJ37" i="2" s="1"/>
  <c r="Z60" i="2"/>
  <c r="AJ60" i="2" s="1"/>
  <c r="Z86" i="2"/>
  <c r="AJ86" i="2" s="1"/>
  <c r="Z42" i="2"/>
  <c r="AJ42" i="2" s="1"/>
  <c r="Z62" i="2"/>
  <c r="AJ62" i="2" s="1"/>
  <c r="Z87" i="2"/>
  <c r="AJ87" i="2" s="1"/>
  <c r="Z75" i="2"/>
  <c r="AJ75" i="2" s="1"/>
  <c r="Z83" i="2"/>
  <c r="AJ83" i="2" s="1"/>
  <c r="Z67" i="2"/>
  <c r="AJ67" i="2" s="1"/>
  <c r="Z41" i="2"/>
  <c r="AJ41" i="2" s="1"/>
  <c r="Z52" i="2"/>
  <c r="AJ52" i="2" s="1"/>
  <c r="Z93" i="2"/>
  <c r="AJ93" i="2" s="1"/>
  <c r="Z45" i="2"/>
  <c r="AJ45" i="2" s="1"/>
  <c r="Z79" i="2"/>
  <c r="AJ79" i="2" s="1"/>
  <c r="Z66" i="2"/>
  <c r="AJ66" i="2" s="1"/>
  <c r="Z94" i="2"/>
  <c r="AJ94" i="2" s="1"/>
  <c r="Z49" i="2"/>
  <c r="AJ49" i="2" s="1"/>
  <c r="BX65" i="2"/>
  <c r="Z70" i="2"/>
  <c r="AJ70" i="2" s="1"/>
  <c r="BX73" i="2"/>
  <c r="Z71" i="2"/>
  <c r="AJ71" i="2" s="1"/>
  <c r="Z38" i="2"/>
  <c r="AJ38" i="2" s="1"/>
  <c r="Z51" i="2"/>
  <c r="AJ51" i="2" s="1"/>
  <c r="Z76" i="2"/>
  <c r="AJ76" i="2" s="1"/>
  <c r="Z53" i="2"/>
  <c r="AJ53" i="2" s="1"/>
  <c r="Z63" i="2"/>
  <c r="AJ63" i="2" s="1"/>
  <c r="Z54" i="2"/>
  <c r="AJ54" i="2" s="1"/>
  <c r="Z68" i="2"/>
  <c r="AJ68" i="2" s="1"/>
  <c r="Z92" i="2"/>
  <c r="AJ92" i="2" s="1"/>
  <c r="Z69" i="2"/>
  <c r="AJ69" i="2" s="1"/>
  <c r="Z47" i="2"/>
  <c r="AJ47" i="2" s="1"/>
  <c r="Z85" i="2"/>
  <c r="Z77" i="2"/>
  <c r="AJ77" i="2" s="1"/>
  <c r="Z80" i="2"/>
  <c r="AJ80" i="2" s="1"/>
  <c r="Z84" i="2"/>
  <c r="AJ84" i="2" s="1"/>
  <c r="Z64" i="2"/>
  <c r="AJ64" i="2" s="1"/>
  <c r="Z90" i="2"/>
  <c r="AJ90" i="2" s="1"/>
  <c r="Z82" i="2"/>
  <c r="AJ82" i="2" s="1"/>
  <c r="Z43" i="2"/>
  <c r="AJ43" i="2" s="1"/>
  <c r="Z81" i="2"/>
  <c r="AJ81" i="2" s="1"/>
  <c r="Z40" i="2"/>
  <c r="AJ40" i="2" s="1"/>
  <c r="Z48" i="2"/>
  <c r="AJ48" i="2" s="1"/>
  <c r="Z72" i="2"/>
  <c r="AJ72" i="2" s="1"/>
  <c r="Z39" i="2"/>
  <c r="AJ39" i="2" s="1"/>
  <c r="Z78" i="2"/>
  <c r="AJ78" i="2" s="1"/>
  <c r="Z44" i="2"/>
  <c r="AJ44" i="2" s="1"/>
  <c r="Z46" i="2"/>
  <c r="AJ46" i="2" s="1"/>
  <c r="AE319" i="2"/>
  <c r="AO319" i="2" s="1"/>
  <c r="AE282" i="2"/>
  <c r="AO282" i="2" s="1"/>
  <c r="AE278" i="2"/>
  <c r="AO278" i="2" s="1"/>
  <c r="AE329" i="2"/>
  <c r="AO329" i="2" s="1"/>
  <c r="AE320" i="2"/>
  <c r="AO320" i="2" s="1"/>
  <c r="AE279" i="2"/>
  <c r="AO279" i="2" s="1"/>
  <c r="AE323" i="2"/>
  <c r="AO323" i="2" s="1"/>
  <c r="AE276" i="2"/>
  <c r="AO276" i="2" s="1"/>
  <c r="AE280" i="2"/>
  <c r="AO280" i="2" s="1"/>
  <c r="AE277" i="2"/>
  <c r="AO277" i="2" s="1"/>
  <c r="AE327" i="2"/>
  <c r="AO327" i="2" s="1"/>
  <c r="AE321" i="2"/>
  <c r="AO321" i="2" s="1"/>
  <c r="Z185" i="2"/>
  <c r="Z182" i="2"/>
  <c r="AJ182" i="2" s="1"/>
  <c r="Z229" i="2"/>
  <c r="AJ229" i="2" s="1"/>
  <c r="Z195" i="2"/>
  <c r="AJ195" i="2" s="1"/>
  <c r="Z230" i="2"/>
  <c r="AJ230" i="2" s="1"/>
  <c r="Z174" i="2"/>
  <c r="AJ174" i="2" s="1"/>
  <c r="Z232" i="2"/>
  <c r="AJ232" i="2" s="1"/>
  <c r="Z178" i="2"/>
  <c r="AJ178" i="2" s="1"/>
  <c r="Z181" i="2"/>
  <c r="AJ181" i="2" s="1"/>
  <c r="Z215" i="2"/>
  <c r="AJ215" i="2" s="1"/>
  <c r="Z168" i="2"/>
  <c r="AJ168" i="2" s="1"/>
  <c r="Z219" i="2"/>
  <c r="AJ219" i="2" s="1"/>
  <c r="Z234" i="2"/>
  <c r="AJ234" i="2" s="1"/>
  <c r="Z200" i="2"/>
  <c r="AJ200" i="2" s="1"/>
  <c r="BX181" i="2"/>
  <c r="Z196" i="2"/>
  <c r="AJ196" i="2" s="1"/>
  <c r="Z175" i="2"/>
  <c r="AJ175" i="2" s="1"/>
  <c r="Z218" i="2"/>
  <c r="AJ218" i="2" s="1"/>
  <c r="Z176" i="2"/>
  <c r="AJ176" i="2" s="1"/>
  <c r="Z189" i="2"/>
  <c r="AJ189" i="2" s="1"/>
  <c r="Z203" i="2"/>
  <c r="AJ203" i="2" s="1"/>
  <c r="Z235" i="2"/>
  <c r="AJ235" i="2" s="1"/>
  <c r="Z169" i="2"/>
  <c r="AJ169" i="2" s="1"/>
  <c r="BU172" i="2"/>
  <c r="BT172" i="2"/>
  <c r="Z171" i="2"/>
  <c r="AJ171" i="2" s="1"/>
  <c r="Z222" i="2"/>
  <c r="AJ222" i="2" s="1"/>
  <c r="Z214" i="2"/>
  <c r="AJ214" i="2" s="1"/>
  <c r="Z211" i="2"/>
  <c r="AJ211" i="2" s="1"/>
  <c r="Z225" i="2"/>
  <c r="AJ225" i="2" s="1"/>
  <c r="Z207" i="2"/>
  <c r="AJ207" i="2" s="1"/>
  <c r="Z238" i="2"/>
  <c r="AJ238" i="2" s="1"/>
  <c r="Z204" i="2"/>
  <c r="AJ204" i="2" s="1"/>
  <c r="Z224" i="2"/>
  <c r="AJ224" i="2" s="1"/>
  <c r="Z193" i="2"/>
  <c r="AJ193" i="2" s="1"/>
  <c r="Z228" i="2"/>
  <c r="AJ228" i="2" s="1"/>
  <c r="Z202" i="2"/>
  <c r="AJ202" i="2" s="1"/>
  <c r="Z184" i="2"/>
  <c r="AJ184" i="2" s="1"/>
  <c r="Z212" i="2"/>
  <c r="AJ212" i="2" s="1"/>
  <c r="Z180" i="2"/>
  <c r="AJ180" i="2" s="1"/>
  <c r="Z192" i="2"/>
  <c r="AJ192" i="2" s="1"/>
  <c r="Z194" i="2"/>
  <c r="AJ194" i="2" s="1"/>
  <c r="Z217" i="2"/>
  <c r="AJ217" i="2" s="1"/>
  <c r="Z201" i="2"/>
  <c r="AJ201" i="2" s="1"/>
  <c r="Z198" i="2"/>
  <c r="AJ198" i="2" s="1"/>
  <c r="Z220" i="2"/>
  <c r="AJ220" i="2" s="1"/>
  <c r="Z236" i="2"/>
  <c r="AJ236" i="2" s="1"/>
  <c r="Z226" i="2"/>
  <c r="AJ226" i="2" s="1"/>
  <c r="Z179" i="2"/>
  <c r="AJ179" i="2" s="1"/>
  <c r="Z221" i="2"/>
  <c r="AJ221" i="2" s="1"/>
  <c r="Z197" i="2"/>
  <c r="AJ197" i="2" s="1"/>
  <c r="Z172" i="2"/>
  <c r="AJ172" i="2" s="1"/>
  <c r="Z233" i="2"/>
  <c r="AJ233" i="2" s="1"/>
  <c r="Z186" i="2"/>
  <c r="AJ186" i="2" s="1"/>
  <c r="Z213" i="2"/>
  <c r="AJ213" i="2" s="1"/>
  <c r="Z199" i="2"/>
  <c r="AJ199" i="2" s="1"/>
  <c r="Z206" i="2"/>
  <c r="AJ206" i="2" s="1"/>
  <c r="Z231" i="2"/>
  <c r="AJ231" i="2" s="1"/>
  <c r="Z183" i="2"/>
  <c r="AJ183" i="2" s="1"/>
  <c r="Z170" i="2"/>
  <c r="AJ170" i="2" s="1"/>
  <c r="Z188" i="2"/>
  <c r="AJ188" i="2" s="1"/>
  <c r="Z237" i="2"/>
  <c r="AJ237" i="2" s="1"/>
  <c r="Z173" i="2"/>
  <c r="AJ173" i="2" s="1"/>
  <c r="T404" i="6"/>
  <c r="V4" i="20" s="1"/>
  <c r="T189" i="6"/>
  <c r="W37" i="21" s="1"/>
  <c r="T57" i="6"/>
  <c r="V37" i="12" s="1"/>
  <c r="T206" i="6"/>
  <c r="W54" i="21" s="1"/>
  <c r="T221" i="6"/>
  <c r="W69" i="21" s="1"/>
  <c r="T73" i="6"/>
  <c r="V53" i="12" s="1"/>
  <c r="T67" i="6"/>
  <c r="V47" i="12" s="1"/>
  <c r="T293" i="6"/>
  <c r="W33" i="8" s="1"/>
  <c r="T185" i="6"/>
  <c r="W33" i="21" s="1"/>
  <c r="T87" i="6"/>
  <c r="W6" i="16" s="1"/>
  <c r="T425" i="6"/>
  <c r="V25" i="20" s="1"/>
  <c r="T446" i="6"/>
  <c r="V46" i="20" s="1"/>
  <c r="T423" i="6"/>
  <c r="V23" i="20" s="1"/>
  <c r="T35" i="6"/>
  <c r="V15" i="12" s="1"/>
  <c r="T262" i="6"/>
  <c r="W2" i="8" s="1"/>
  <c r="T205" i="6"/>
  <c r="W53" i="21" s="1"/>
  <c r="T455" i="6"/>
  <c r="V55" i="20" s="1"/>
  <c r="T37" i="6"/>
  <c r="V17" i="12" s="1"/>
  <c r="T34" i="6"/>
  <c r="V14" i="12" s="1"/>
  <c r="T433" i="6"/>
  <c r="V33" i="20" s="1"/>
  <c r="T158" i="6"/>
  <c r="W6" i="21" s="1"/>
  <c r="T208" i="6"/>
  <c r="W56" i="21" s="1"/>
  <c r="T368" i="6"/>
  <c r="U26" i="14" s="1"/>
  <c r="T190" i="6"/>
  <c r="W38" i="21" s="1"/>
  <c r="T193" i="6"/>
  <c r="W41" i="21" s="1"/>
  <c r="T240" i="6"/>
  <c r="V15" i="10" s="1"/>
  <c r="T432" i="6"/>
  <c r="V32" i="20" s="1"/>
  <c r="T66" i="6"/>
  <c r="V46" i="12" s="1"/>
  <c r="T179" i="6"/>
  <c r="W27" i="21" s="1"/>
  <c r="T139" i="6"/>
  <c r="W34" i="9" s="1"/>
  <c r="T97" i="6"/>
  <c r="W16" i="16" s="1"/>
  <c r="T31" i="6"/>
  <c r="V11" i="12" s="1"/>
  <c r="T440" i="6"/>
  <c r="V40" i="20" s="1"/>
  <c r="T175" i="6"/>
  <c r="W23" i="21" s="1"/>
  <c r="T418" i="6"/>
  <c r="V18" i="20" s="1"/>
  <c r="T274" i="6"/>
  <c r="W14" i="8" s="1"/>
  <c r="T420" i="6"/>
  <c r="V20" i="20" s="1"/>
  <c r="T100" i="6"/>
  <c r="W19" i="16" s="1"/>
  <c r="T62" i="6"/>
  <c r="V42" i="12" s="1"/>
  <c r="T165" i="6"/>
  <c r="W13" i="21" s="1"/>
  <c r="T98" i="6"/>
  <c r="W17" i="16" s="1"/>
  <c r="T312" i="6"/>
  <c r="W52" i="8" s="1"/>
  <c r="T366" i="6"/>
  <c r="U24" i="14" s="1"/>
  <c r="T115" i="6"/>
  <c r="W10" i="9" s="1"/>
  <c r="T27" i="6"/>
  <c r="V7" i="12" s="1"/>
  <c r="T241" i="6"/>
  <c r="V16" i="10" s="1"/>
  <c r="T60" i="6"/>
  <c r="V40" i="12" s="1"/>
  <c r="T199" i="6"/>
  <c r="W47" i="21" s="1"/>
  <c r="T314" i="6"/>
  <c r="W54" i="8" s="1"/>
  <c r="T26" i="6"/>
  <c r="V6" i="12" s="1"/>
  <c r="T222" i="6"/>
  <c r="W70" i="21" s="1"/>
  <c r="T30" i="6"/>
  <c r="V10" i="12" s="1"/>
  <c r="T142" i="6"/>
  <c r="W37" i="9" s="1"/>
  <c r="T441" i="6"/>
  <c r="V41" i="20" s="1"/>
  <c r="T71" i="6"/>
  <c r="V51" i="12" s="1"/>
  <c r="T72" i="6"/>
  <c r="V52" i="12" s="1"/>
  <c r="T362" i="6"/>
  <c r="U20" i="14" s="1"/>
  <c r="T434" i="6"/>
  <c r="V34" i="20" s="1"/>
  <c r="T188" i="6"/>
  <c r="W36" i="21" s="1"/>
  <c r="T65" i="6"/>
  <c r="V45" i="12" s="1"/>
  <c r="T358" i="6"/>
  <c r="U16" i="14" s="1"/>
  <c r="T449" i="6"/>
  <c r="V49" i="20" s="1"/>
  <c r="T59" i="6"/>
  <c r="V39" i="12" s="1"/>
  <c r="T303" i="6"/>
  <c r="W43" i="8" s="1"/>
  <c r="T219" i="6"/>
  <c r="W67" i="21" s="1"/>
  <c r="T251" i="6"/>
  <c r="V26" i="10" s="1"/>
  <c r="T204" i="6"/>
  <c r="W52" i="21" s="1"/>
  <c r="T184" i="6"/>
  <c r="W32" i="21" s="1"/>
  <c r="T129" i="6"/>
  <c r="W24" i="9" s="1"/>
  <c r="T84" i="6"/>
  <c r="W3" i="16" s="1"/>
  <c r="T320" i="6"/>
  <c r="V3" i="15" s="1"/>
  <c r="T427" i="6"/>
  <c r="V27" i="20" s="1"/>
  <c r="T145" i="6"/>
  <c r="W40" i="9" s="1"/>
  <c r="T169" i="6"/>
  <c r="W17" i="21" s="1"/>
  <c r="T281" i="6"/>
  <c r="W21" i="8" s="1"/>
  <c r="T444" i="6"/>
  <c r="V44" i="20" s="1"/>
  <c r="T248" i="6"/>
  <c r="V23" i="10" s="1"/>
  <c r="T272" i="6"/>
  <c r="W12" i="8" s="1"/>
  <c r="T103" i="6"/>
  <c r="W22" i="16" s="1"/>
  <c r="T102" i="6"/>
  <c r="W21" i="16" s="1"/>
  <c r="T265" i="6"/>
  <c r="W5" i="8" s="1"/>
  <c r="T39" i="6"/>
  <c r="V19" i="12" s="1"/>
  <c r="T92" i="6"/>
  <c r="W11" i="16" s="1"/>
  <c r="T229" i="6"/>
  <c r="V4" i="10" s="1"/>
  <c r="T173" i="6"/>
  <c r="W21" i="21" s="1"/>
  <c r="T155" i="6"/>
  <c r="W3" i="21" s="1"/>
  <c r="T263" i="6"/>
  <c r="W3" i="8" s="1"/>
  <c r="T283" i="6"/>
  <c r="W23" i="8" s="1"/>
  <c r="T49" i="6"/>
  <c r="V29" i="12" s="1"/>
  <c r="T28" i="6"/>
  <c r="V8" i="12" s="1"/>
  <c r="T96" i="6"/>
  <c r="W15" i="16" s="1"/>
  <c r="T350" i="6"/>
  <c r="U8" i="14" s="1"/>
  <c r="T410" i="6"/>
  <c r="V10" i="20" s="1"/>
  <c r="T22" i="6"/>
  <c r="V2" i="12" s="1"/>
  <c r="T85" i="6"/>
  <c r="W4" i="16" s="1"/>
  <c r="T306" i="6"/>
  <c r="W46" i="8" s="1"/>
  <c r="T409" i="6"/>
  <c r="V9" i="20" s="1"/>
  <c r="T431" i="6"/>
  <c r="V31" i="20" s="1"/>
  <c r="T170" i="6"/>
  <c r="W18" i="21" s="1"/>
  <c r="T151" i="6"/>
  <c r="W46" i="9" s="1"/>
  <c r="T436" i="6"/>
  <c r="V36" i="20" s="1"/>
  <c r="T154" i="6"/>
  <c r="W2" i="21" s="1"/>
  <c r="T167" i="6"/>
  <c r="W15" i="21" s="1"/>
  <c r="T144" i="6"/>
  <c r="W39" i="9" s="1"/>
  <c r="T130" i="6"/>
  <c r="W25" i="9" s="1"/>
  <c r="T308" i="6"/>
  <c r="W48" i="8" s="1"/>
  <c r="T296" i="6"/>
  <c r="W36" i="8" s="1"/>
  <c r="T211" i="6"/>
  <c r="W59" i="21" s="1"/>
  <c r="T247" i="6"/>
  <c r="V22" i="10" s="1"/>
  <c r="T50" i="6"/>
  <c r="V30" i="12" s="1"/>
  <c r="T246" i="6"/>
  <c r="V21" i="10" s="1"/>
  <c r="T77" i="6"/>
  <c r="V57" i="12" s="1"/>
  <c r="T321" i="6"/>
  <c r="V4" i="15" s="1"/>
  <c r="T298" i="6"/>
  <c r="W38" i="8" s="1"/>
  <c r="T227" i="6"/>
  <c r="V2" i="10" s="1"/>
  <c r="T159" i="6"/>
  <c r="W7" i="21" s="1"/>
  <c r="T46" i="6"/>
  <c r="V26" i="12" s="1"/>
  <c r="T351" i="6"/>
  <c r="U9" i="14" s="1"/>
  <c r="T419" i="6"/>
  <c r="V19" i="20" s="1"/>
  <c r="T40" i="6"/>
  <c r="V20" i="12" s="1"/>
  <c r="T122" i="6"/>
  <c r="W17" i="9" s="1"/>
  <c r="T114" i="6"/>
  <c r="W9" i="9" s="1"/>
  <c r="T201" i="6"/>
  <c r="W49" i="21" s="1"/>
  <c r="T136" i="6"/>
  <c r="W31" i="9" s="1"/>
  <c r="T216" i="6"/>
  <c r="W64" i="21" s="1"/>
  <c r="T268" i="6"/>
  <c r="W8" i="8" s="1"/>
  <c r="T445" i="6"/>
  <c r="V45" i="20" s="1"/>
  <c r="T290" i="6"/>
  <c r="W30" i="8" s="1"/>
  <c r="T45" i="6"/>
  <c r="V25" i="12" s="1"/>
  <c r="T215" i="6"/>
  <c r="W63" i="21" s="1"/>
  <c r="T79" i="6"/>
  <c r="V59" i="12" s="1"/>
  <c r="T161" i="6"/>
  <c r="W9" i="21" s="1"/>
  <c r="T442" i="6"/>
  <c r="V42" i="20" s="1"/>
  <c r="T245" i="6"/>
  <c r="V20" i="10" s="1"/>
  <c r="T63" i="6"/>
  <c r="V43" i="12" s="1"/>
  <c r="T89" i="6"/>
  <c r="W8" i="16" s="1"/>
  <c r="T315" i="6"/>
  <c r="W55" i="8" s="1"/>
  <c r="T239" i="6"/>
  <c r="V14" i="10" s="1"/>
  <c r="T132" i="6"/>
  <c r="W27" i="9" s="1"/>
  <c r="T80" i="6"/>
  <c r="V60" i="12" s="1"/>
  <c r="T282" i="6"/>
  <c r="W22" i="8" s="1"/>
  <c r="T353" i="6"/>
  <c r="U11" i="14" s="1"/>
  <c r="T302" i="6"/>
  <c r="W42" i="8" s="1"/>
  <c r="T365" i="6"/>
  <c r="U23" i="14" s="1"/>
  <c r="T453" i="6"/>
  <c r="V53" i="20" s="1"/>
  <c r="T146" i="6"/>
  <c r="W41" i="9" s="1"/>
  <c r="T270" i="6"/>
  <c r="W10" i="8" s="1"/>
  <c r="T437" i="6"/>
  <c r="V37" i="20" s="1"/>
  <c r="T61" i="6"/>
  <c r="V41" i="12" s="1"/>
  <c r="T162" i="6"/>
  <c r="W10" i="21" s="1"/>
  <c r="T257" i="6"/>
  <c r="V32" i="10" s="1"/>
  <c r="T301" i="6"/>
  <c r="W41" i="8" s="1"/>
  <c r="T345" i="6"/>
  <c r="U3" i="14" s="1"/>
  <c r="T125" i="6"/>
  <c r="W20" i="9" s="1"/>
  <c r="T117" i="6"/>
  <c r="W12" i="9" s="1"/>
  <c r="T273" i="6"/>
  <c r="W13" i="8" s="1"/>
  <c r="T254" i="6"/>
  <c r="V29" i="10" s="1"/>
  <c r="T448" i="6"/>
  <c r="V48" i="20" s="1"/>
  <c r="T54" i="6"/>
  <c r="V34" i="12" s="1"/>
  <c r="T203" i="6"/>
  <c r="W51" i="21" s="1"/>
  <c r="T438" i="6"/>
  <c r="V38" i="20" s="1"/>
  <c r="T295" i="6"/>
  <c r="W35" i="8" s="1"/>
  <c r="T137" i="6"/>
  <c r="W32" i="9" s="1"/>
  <c r="T118" i="6"/>
  <c r="W13" i="9" s="1"/>
  <c r="T416" i="6"/>
  <c r="V16" i="20" s="1"/>
  <c r="AK201" i="6"/>
  <c r="T202" i="6"/>
  <c r="W50" i="21" s="1"/>
  <c r="T280" i="6"/>
  <c r="W20" i="8" s="1"/>
  <c r="T360" i="6"/>
  <c r="U18" i="14" s="1"/>
  <c r="T242" i="6"/>
  <c r="V17" i="10" s="1"/>
  <c r="T291" i="6"/>
  <c r="W31" i="8" s="1"/>
  <c r="T88" i="6"/>
  <c r="W7" i="16" s="1"/>
  <c r="T344" i="6"/>
  <c r="U2" i="14" s="1"/>
  <c r="T183" i="6"/>
  <c r="W31" i="21" s="1"/>
  <c r="T116" i="6"/>
  <c r="W11" i="9" s="1"/>
  <c r="T249" i="6"/>
  <c r="V24" i="10" s="1"/>
  <c r="T94" i="6"/>
  <c r="W13" i="16" s="1"/>
  <c r="T68" i="6"/>
  <c r="V48" i="12" s="1"/>
  <c r="T277" i="6"/>
  <c r="W17" i="8" s="1"/>
  <c r="T414" i="6"/>
  <c r="V14" i="20" s="1"/>
  <c r="T428" i="6"/>
  <c r="V28" i="20" s="1"/>
  <c r="T207" i="6"/>
  <c r="W55" i="21" s="1"/>
  <c r="T149" i="6"/>
  <c r="W44" i="9" s="1"/>
  <c r="T53" i="6"/>
  <c r="V33" i="12" s="1"/>
  <c r="T128" i="6"/>
  <c r="W23" i="9" s="1"/>
  <c r="T443" i="6"/>
  <c r="V43" i="20" s="1"/>
  <c r="T256" i="6"/>
  <c r="V31" i="10" s="1"/>
  <c r="T192" i="6"/>
  <c r="W40" i="21" s="1"/>
  <c r="T120" i="6"/>
  <c r="W15" i="9" s="1"/>
  <c r="T309" i="6"/>
  <c r="W49" i="8" s="1"/>
  <c r="T228" i="6"/>
  <c r="V3" i="10" s="1"/>
  <c r="T83" i="6"/>
  <c r="W2" i="16" s="1"/>
  <c r="T300" i="6"/>
  <c r="W40" i="8" s="1"/>
  <c r="T264" i="6"/>
  <c r="W4" i="8" s="1"/>
  <c r="T357" i="6"/>
  <c r="U15" i="14" s="1"/>
  <c r="T429" i="6"/>
  <c r="V29" i="20" s="1"/>
  <c r="T148" i="6"/>
  <c r="W43" i="9" s="1"/>
  <c r="T210" i="6"/>
  <c r="W58" i="21" s="1"/>
  <c r="T406" i="6"/>
  <c r="V6" i="20" s="1"/>
  <c r="T213" i="6"/>
  <c r="W61" i="21" s="1"/>
  <c r="T166" i="6"/>
  <c r="W14" i="21" s="1"/>
  <c r="T143" i="6"/>
  <c r="W38" i="9" s="1"/>
  <c r="T417" i="6"/>
  <c r="V17" i="20" s="1"/>
  <c r="T124" i="6"/>
  <c r="W19" i="9" s="1"/>
  <c r="T276" i="6"/>
  <c r="W16" i="8" s="1"/>
  <c r="T25" i="6"/>
  <c r="V5" i="12" s="1"/>
  <c r="T304" i="6"/>
  <c r="W44" i="8" s="1"/>
  <c r="T172" i="6"/>
  <c r="W20" i="21" s="1"/>
  <c r="T178" i="6"/>
  <c r="W26" i="21" s="1"/>
  <c r="T346" i="6"/>
  <c r="U4" i="14" s="1"/>
  <c r="T214" i="6"/>
  <c r="W62" i="21" s="1"/>
  <c r="T174" i="6"/>
  <c r="W22" i="21" s="1"/>
  <c r="T93" i="6"/>
  <c r="W12" i="16" s="1"/>
  <c r="T305" i="6"/>
  <c r="W45" i="8" s="1"/>
  <c r="T176" i="6"/>
  <c r="W24" i="21" s="1"/>
  <c r="T372" i="6"/>
  <c r="U2" i="19" s="1"/>
  <c r="T347" i="6"/>
  <c r="U5" i="14" s="1"/>
  <c r="T212" i="6"/>
  <c r="W60" i="21" s="1"/>
  <c r="T140" i="6"/>
  <c r="W35" i="9" s="1"/>
  <c r="T99" i="6"/>
  <c r="W18" i="16" s="1"/>
  <c r="T244" i="6"/>
  <c r="V19" i="10" s="1"/>
  <c r="T70" i="6"/>
  <c r="V50" i="12" s="1"/>
  <c r="T38" i="6"/>
  <c r="V18" i="12" s="1"/>
  <c r="T430" i="6"/>
  <c r="V30" i="20" s="1"/>
  <c r="T424" i="6"/>
  <c r="V24" i="20" s="1"/>
  <c r="T69" i="6"/>
  <c r="V49" i="12" s="1"/>
  <c r="T180" i="6"/>
  <c r="W28" i="21" s="1"/>
  <c r="T52" i="6"/>
  <c r="V32" i="12" s="1"/>
  <c r="T42" i="6"/>
  <c r="V22" i="12" s="1"/>
  <c r="T354" i="6"/>
  <c r="U12" i="14" s="1"/>
  <c r="T412" i="6"/>
  <c r="V12" i="20" s="1"/>
  <c r="T250" i="6"/>
  <c r="V25" i="10" s="1"/>
  <c r="T186" i="6"/>
  <c r="W34" i="21" s="1"/>
  <c r="T220" i="6"/>
  <c r="W68" i="21" s="1"/>
  <c r="T313" i="6"/>
  <c r="W53" i="8" s="1"/>
  <c r="T218" i="6"/>
  <c r="W66" i="21" s="1"/>
  <c r="T217" i="6"/>
  <c r="W65" i="21" s="1"/>
  <c r="T131" i="6"/>
  <c r="W26" i="9" s="1"/>
  <c r="T200" i="6"/>
  <c r="W48" i="21" s="1"/>
  <c r="T278" i="6"/>
  <c r="W18" i="8" s="1"/>
  <c r="T349" i="6"/>
  <c r="U7" i="14" s="1"/>
  <c r="T408" i="6"/>
  <c r="V8" i="20" s="1"/>
  <c r="T451" i="6"/>
  <c r="V51" i="20" s="1"/>
  <c r="T156" i="6"/>
  <c r="W4" i="21" s="1"/>
  <c r="T224" i="6"/>
  <c r="W72" i="21" s="1"/>
  <c r="T91" i="6"/>
  <c r="W10" i="16" s="1"/>
  <c r="T402" i="6"/>
  <c r="V2" i="20" s="1"/>
  <c r="T258" i="6"/>
  <c r="V33" i="10" s="1"/>
  <c r="T275" i="6"/>
  <c r="W15" i="8" s="1"/>
  <c r="T255" i="6"/>
  <c r="V30" i="10" s="1"/>
  <c r="T56" i="6"/>
  <c r="V36" i="12" s="1"/>
  <c r="T55" i="6"/>
  <c r="V35" i="12" s="1"/>
  <c r="T64" i="6"/>
  <c r="V44" i="12" s="1"/>
  <c r="T356" i="6"/>
  <c r="U14" i="14" s="1"/>
  <c r="T90" i="6"/>
  <c r="W9" i="16" s="1"/>
  <c r="T168" i="6"/>
  <c r="W16" i="21" s="1"/>
  <c r="T271" i="6"/>
  <c r="W11" i="8" s="1"/>
  <c r="T364" i="6"/>
  <c r="U22" i="14" s="1"/>
  <c r="T284" i="6"/>
  <c r="W24" i="8" s="1"/>
  <c r="T319" i="6"/>
  <c r="V2" i="15" s="1"/>
  <c r="T450" i="6"/>
  <c r="V50" i="20" s="1"/>
  <c r="T198" i="6"/>
  <c r="W46" i="21" s="1"/>
  <c r="T123" i="6"/>
  <c r="W18" i="9" s="1"/>
  <c r="T119" i="6"/>
  <c r="W14" i="9" s="1"/>
  <c r="T352" i="6"/>
  <c r="U10" i="14" s="1"/>
  <c r="T24" i="6"/>
  <c r="V4" i="12" s="1"/>
  <c r="T322" i="6"/>
  <c r="V5" i="15" s="1"/>
  <c r="T231" i="6"/>
  <c r="V6" i="10" s="1"/>
  <c r="T411" i="6"/>
  <c r="V11" i="20" s="1"/>
  <c r="T181" i="6"/>
  <c r="W29" i="21" s="1"/>
  <c r="T33" i="6"/>
  <c r="V13" i="12" s="1"/>
  <c r="T294" i="6"/>
  <c r="W34" i="8" s="1"/>
  <c r="T29" i="6"/>
  <c r="V9" i="12" s="1"/>
  <c r="T164" i="6"/>
  <c r="W12" i="21" s="1"/>
  <c r="T134" i="6"/>
  <c r="W29" i="9" s="1"/>
  <c r="T259" i="6"/>
  <c r="V34" i="10" s="1"/>
  <c r="T32" i="6"/>
  <c r="V12" i="12" s="1"/>
  <c r="T48" i="6"/>
  <c r="V28" i="12" s="1"/>
  <c r="T252" i="6"/>
  <c r="V27" i="10" s="1"/>
  <c r="T253" i="6"/>
  <c r="V28" i="10" s="1"/>
  <c r="T101" i="6"/>
  <c r="W20" i="16" s="1"/>
  <c r="T307" i="6"/>
  <c r="W47" i="8" s="1"/>
  <c r="T359" i="6"/>
  <c r="U17" i="14" s="1"/>
  <c r="T121" i="6"/>
  <c r="W16" i="9" s="1"/>
  <c r="T195" i="6"/>
  <c r="W43" i="21" s="1"/>
  <c r="T23" i="6"/>
  <c r="V3" i="12" s="1"/>
  <c r="T157" i="6"/>
  <c r="W5" i="21" s="1"/>
  <c r="T266" i="6"/>
  <c r="W6" i="8" s="1"/>
  <c r="T197" i="6"/>
  <c r="W45" i="21" s="1"/>
  <c r="T171" i="6"/>
  <c r="W19" i="21" s="1"/>
  <c r="T138" i="6"/>
  <c r="W33" i="9" s="1"/>
  <c r="T403" i="6"/>
  <c r="V3" i="20" s="1"/>
  <c r="T297" i="6"/>
  <c r="W37" i="8" s="1"/>
  <c r="V451" i="2"/>
  <c r="V450" i="2"/>
  <c r="V448" i="2"/>
  <c r="V447" i="2"/>
  <c r="V446" i="2"/>
  <c r="V445" i="2"/>
  <c r="V467" i="2"/>
  <c r="V452" i="2"/>
  <c r="V420" i="2"/>
  <c r="V395" i="2"/>
  <c r="AF395" i="2" s="1"/>
  <c r="V396" i="2"/>
  <c r="AF396" i="2" s="1"/>
  <c r="V386" i="2"/>
  <c r="V387" i="2"/>
  <c r="AF387" i="2" s="1"/>
  <c r="V224" i="2"/>
  <c r="AF224" i="2" s="1"/>
  <c r="BU230" i="2"/>
  <c r="BT230" i="2"/>
  <c r="M52" i="34"/>
  <c r="M71" i="34"/>
  <c r="G52" i="34"/>
  <c r="G71" i="34"/>
  <c r="K52" i="34"/>
  <c r="K71" i="34"/>
  <c r="V229" i="2"/>
  <c r="AF229" i="2" s="1"/>
  <c r="V231" i="2"/>
  <c r="AF231" i="2" s="1"/>
  <c r="V233" i="2"/>
  <c r="AF233" i="2" s="1"/>
  <c r="V194" i="2"/>
  <c r="AF194" i="2" s="1"/>
  <c r="V171" i="2"/>
  <c r="AF171" i="2" s="1"/>
  <c r="V187" i="2"/>
  <c r="AF187" i="2" s="1"/>
  <c r="V174" i="2"/>
  <c r="AF174" i="2" s="1"/>
  <c r="V186" i="2"/>
  <c r="AF186" i="2" s="1"/>
  <c r="V230" i="2"/>
  <c r="AF230" i="2" s="1"/>
  <c r="V232" i="2"/>
  <c r="V234" i="2"/>
  <c r="AF234" i="2" s="1"/>
  <c r="V235" i="2"/>
  <c r="AF235" i="2" s="1"/>
  <c r="V188" i="2"/>
  <c r="AF188" i="2" s="1"/>
  <c r="V175" i="2"/>
  <c r="AF175" i="2" s="1"/>
  <c r="V236" i="2"/>
  <c r="AF236" i="2" s="1"/>
  <c r="V200" i="2"/>
  <c r="AF200" i="2" s="1"/>
  <c r="V202" i="2"/>
  <c r="AF202" i="2" s="1"/>
  <c r="V204" i="2"/>
  <c r="AF204" i="2" s="1"/>
  <c r="V192" i="2"/>
  <c r="AF192" i="2" s="1"/>
  <c r="V193" i="2"/>
  <c r="AF193" i="2" s="1"/>
  <c r="V198" i="2"/>
  <c r="AF198" i="2" s="1"/>
  <c r="V206" i="2"/>
  <c r="AF206" i="2" s="1"/>
  <c r="V176" i="2"/>
  <c r="AF176" i="2" s="1"/>
  <c r="V213" i="2"/>
  <c r="AF213" i="2" s="1"/>
  <c r="V219" i="2"/>
  <c r="AF219" i="2" s="1"/>
  <c r="V221" i="2"/>
  <c r="AF221" i="2" s="1"/>
  <c r="V225" i="2"/>
  <c r="AF225" i="2" s="1"/>
  <c r="V217" i="2"/>
  <c r="AF217" i="2" s="1"/>
  <c r="V172" i="2"/>
  <c r="AF172" i="2" s="1"/>
  <c r="V205" i="2"/>
  <c r="AF205" i="2" s="1"/>
  <c r="V185" i="2"/>
  <c r="V179" i="2"/>
  <c r="V181" i="2"/>
  <c r="AF181" i="2" s="1"/>
  <c r="V183" i="2"/>
  <c r="AF183" i="2" s="1"/>
  <c r="V189" i="2"/>
  <c r="AF189" i="2" s="1"/>
  <c r="V227" i="2"/>
  <c r="AF227" i="2" s="1"/>
  <c r="V203" i="2"/>
  <c r="AF203" i="2" s="1"/>
  <c r="V168" i="2"/>
  <c r="AF168" i="2" s="1"/>
  <c r="V212" i="2"/>
  <c r="AF212" i="2" s="1"/>
  <c r="V228" i="2"/>
  <c r="AF228" i="2" s="1"/>
  <c r="V197" i="2"/>
  <c r="AF197" i="2" s="1"/>
  <c r="V199" i="2"/>
  <c r="AF199" i="2" s="1"/>
  <c r="V201" i="2"/>
  <c r="AF201" i="2" s="1"/>
  <c r="V169" i="2"/>
  <c r="AF169" i="2" s="1"/>
  <c r="V196" i="2"/>
  <c r="AF196" i="2" s="1"/>
  <c r="V173" i="2"/>
  <c r="AF173" i="2" s="1"/>
  <c r="V211" i="2"/>
  <c r="AF211" i="2" s="1"/>
  <c r="V214" i="2"/>
  <c r="AF214" i="2" s="1"/>
  <c r="BU222" i="2"/>
  <c r="V218" i="2"/>
  <c r="AF218" i="2" s="1"/>
  <c r="V220" i="2"/>
  <c r="AF220" i="2" s="1"/>
  <c r="V222" i="2"/>
  <c r="AF222" i="2" s="1"/>
  <c r="V190" i="2"/>
  <c r="AF190" i="2" s="1"/>
  <c r="V170" i="2"/>
  <c r="AF170" i="2" s="1"/>
  <c r="V237" i="2"/>
  <c r="AF237" i="2" s="1"/>
  <c r="V207" i="2"/>
  <c r="AF207" i="2" s="1"/>
  <c r="V184" i="2"/>
  <c r="AF184" i="2" s="1"/>
  <c r="V178" i="2"/>
  <c r="AF178" i="2" s="1"/>
  <c r="V180" i="2"/>
  <c r="AF180" i="2" s="1"/>
  <c r="V182" i="2"/>
  <c r="AF182" i="2" s="1"/>
  <c r="V238" i="2"/>
  <c r="AF238" i="2" s="1"/>
  <c r="BT175" i="2"/>
  <c r="V226" i="2"/>
  <c r="AF226" i="2" s="1"/>
  <c r="V215" i="2"/>
  <c r="AF215" i="2" s="1"/>
  <c r="V293" i="2"/>
  <c r="I50" i="28" s="1"/>
  <c r="V294" i="2"/>
  <c r="AF294" i="2" s="1"/>
  <c r="V282" i="2"/>
  <c r="AF282" i="2" s="1"/>
  <c r="V316" i="2"/>
  <c r="AF316" i="2" s="1"/>
  <c r="V313" i="2"/>
  <c r="AF313" i="2" s="1"/>
  <c r="V310" i="2"/>
  <c r="AF310" i="2" s="1"/>
  <c r="V298" i="2"/>
  <c r="AF298" i="2" s="1"/>
  <c r="V323" i="2"/>
  <c r="AF323" i="2" s="1"/>
  <c r="V277" i="2"/>
  <c r="AF277" i="2" s="1"/>
  <c r="V308" i="2"/>
  <c r="AF308" i="2" s="1"/>
  <c r="V304" i="2"/>
  <c r="AF304" i="2" s="1"/>
  <c r="V319" i="2"/>
  <c r="AF319" i="2" s="1"/>
  <c r="V305" i="2"/>
  <c r="AF305" i="2" s="1"/>
  <c r="V280" i="2"/>
  <c r="AF280" i="2" s="1"/>
  <c r="V321" i="2"/>
  <c r="AF321" i="2" s="1"/>
  <c r="V326" i="2"/>
  <c r="AF326" i="2" s="1"/>
  <c r="V276" i="2"/>
  <c r="AF276" i="2" s="1"/>
  <c r="V314" i="2"/>
  <c r="AF314" i="2" s="1"/>
  <c r="V317" i="2"/>
  <c r="I74" i="28" s="1"/>
  <c r="V307" i="2"/>
  <c r="AF307" i="2" s="1"/>
  <c r="V295" i="2"/>
  <c r="V278" i="2"/>
  <c r="AF278" i="2" s="1"/>
  <c r="V315" i="2"/>
  <c r="I72" i="28" s="1"/>
  <c r="V327" i="2"/>
  <c r="AF327" i="2" s="1"/>
  <c r="V320" i="2"/>
  <c r="AF320" i="2" s="1"/>
  <c r="V328" i="2"/>
  <c r="AF328" i="2" s="1"/>
  <c r="V329" i="2"/>
  <c r="AF329" i="2" s="1"/>
  <c r="V296" i="2"/>
  <c r="AF296" i="2" s="1"/>
  <c r="V318" i="2"/>
  <c r="I75" i="28" s="1"/>
  <c r="CC298" i="2"/>
  <c r="V297" i="2"/>
  <c r="I54" i="28" s="1"/>
  <c r="V322" i="2"/>
  <c r="AF322" i="2" s="1"/>
  <c r="V279" i="2"/>
  <c r="AF279" i="2" s="1"/>
  <c r="CG294" i="2"/>
  <c r="V417" i="2"/>
  <c r="V438" i="2"/>
  <c r="V424" i="2"/>
  <c r="V427" i="2"/>
  <c r="V426" i="2"/>
  <c r="V443" i="2"/>
  <c r="V429" i="2"/>
  <c r="V434" i="2"/>
  <c r="V444" i="2"/>
  <c r="V433" i="2"/>
  <c r="L3" i="6"/>
  <c r="V423" i="2"/>
  <c r="V416" i="2"/>
  <c r="V422" i="2"/>
  <c r="V428" i="2"/>
  <c r="V469" i="2"/>
  <c r="V430" i="2"/>
  <c r="V442" i="2"/>
  <c r="V432" i="2"/>
  <c r="V418" i="2"/>
  <c r="V439" i="2"/>
  <c r="V419" i="2"/>
  <c r="V441" i="2"/>
  <c r="V431" i="2"/>
  <c r="V437" i="2"/>
  <c r="V425" i="2"/>
  <c r="V333" i="2"/>
  <c r="AF333" i="2" s="1"/>
  <c r="V258" i="2"/>
  <c r="V270" i="2"/>
  <c r="V268" i="2"/>
  <c r="V267" i="2"/>
  <c r="V269" i="2"/>
  <c r="V255" i="2"/>
  <c r="V242" i="2"/>
  <c r="V257" i="2"/>
  <c r="V253" i="2"/>
  <c r="V260" i="2"/>
  <c r="V245" i="2"/>
  <c r="V263" i="2"/>
  <c r="V256" i="2"/>
  <c r="V273" i="2"/>
  <c r="V271" i="2"/>
  <c r="V261" i="2"/>
  <c r="V259" i="2"/>
  <c r="V262" i="2"/>
  <c r="V241" i="2"/>
  <c r="V265" i="2"/>
  <c r="V243" i="2"/>
  <c r="V266" i="2"/>
  <c r="V272" i="2"/>
  <c r="V254" i="2"/>
  <c r="V264" i="2"/>
  <c r="V398" i="2"/>
  <c r="AF398" i="2" s="1"/>
  <c r="V400" i="2"/>
  <c r="AF400" i="2" s="1"/>
  <c r="V410" i="2"/>
  <c r="AF410" i="2" s="1"/>
  <c r="V404" i="2"/>
  <c r="AF404" i="2" s="1"/>
  <c r="V390" i="2"/>
  <c r="AF390" i="2" s="1"/>
  <c r="V393" i="2"/>
  <c r="AF393" i="2" s="1"/>
  <c r="V402" i="2"/>
  <c r="AF402" i="2" s="1"/>
  <c r="V406" i="2"/>
  <c r="AF406" i="2" s="1"/>
  <c r="V394" i="2"/>
  <c r="AF394" i="2" s="1"/>
  <c r="V391" i="2"/>
  <c r="AF391" i="2" s="1"/>
  <c r="V389" i="2"/>
  <c r="AF389" i="2" s="1"/>
  <c r="V411" i="2"/>
  <c r="AF411" i="2" s="1"/>
  <c r="V388" i="2"/>
  <c r="AF388" i="2" s="1"/>
  <c r="V392" i="2"/>
  <c r="AF392" i="2" s="1"/>
  <c r="V408" i="2"/>
  <c r="AF408" i="2" s="1"/>
  <c r="V409" i="2"/>
  <c r="AF409" i="2" s="1"/>
  <c r="V412" i="2"/>
  <c r="AF412" i="2" s="1"/>
  <c r="V399" i="2"/>
  <c r="AF399" i="2" s="1"/>
  <c r="V407" i="2"/>
  <c r="AF407" i="2" s="1"/>
  <c r="V403" i="2"/>
  <c r="AF403" i="2" s="1"/>
  <c r="V86" i="2"/>
  <c r="AF86" i="2" s="1"/>
  <c r="V53" i="2"/>
  <c r="AF53" i="2" s="1"/>
  <c r="V77" i="2"/>
  <c r="AF77" i="2" s="1"/>
  <c r="V45" i="2"/>
  <c r="AF45" i="2" s="1"/>
  <c r="V38" i="2"/>
  <c r="AF38" i="2" s="1"/>
  <c r="V52" i="2"/>
  <c r="AF52" i="2" s="1"/>
  <c r="BT83" i="2"/>
  <c r="V63" i="2"/>
  <c r="AF63" i="2" s="1"/>
  <c r="V44" i="2"/>
  <c r="AF44" i="2" s="1"/>
  <c r="V71" i="2"/>
  <c r="AF71" i="2" s="1"/>
  <c r="V82" i="2"/>
  <c r="AF82" i="2" s="1"/>
  <c r="V42" i="2"/>
  <c r="AF42" i="2" s="1"/>
  <c r="V48" i="2"/>
  <c r="AF48" i="2" s="1"/>
  <c r="V73" i="2"/>
  <c r="AF73" i="2" s="1"/>
  <c r="V49" i="2"/>
  <c r="AF49" i="2" s="1"/>
  <c r="V46" i="2"/>
  <c r="AF46" i="2" s="1"/>
  <c r="V62" i="2"/>
  <c r="AF62" i="2" s="1"/>
  <c r="V40" i="2"/>
  <c r="AF40" i="2" s="1"/>
  <c r="V83" i="2"/>
  <c r="AF83" i="2" s="1"/>
  <c r="V54" i="2"/>
  <c r="AF54" i="2" s="1"/>
  <c r="V60" i="2"/>
  <c r="AF60" i="2" s="1"/>
  <c r="V74" i="2"/>
  <c r="AF74" i="2" s="1"/>
  <c r="V68" i="2"/>
  <c r="AF68" i="2" s="1"/>
  <c r="V87" i="2"/>
  <c r="AF87" i="2" s="1"/>
  <c r="V37" i="2"/>
  <c r="AF37" i="2" s="1"/>
  <c r="V94" i="2"/>
  <c r="AF94" i="2" s="1"/>
  <c r="V78" i="2"/>
  <c r="AF78" i="2" s="1"/>
  <c r="V80" i="2"/>
  <c r="AF80" i="2" s="1"/>
  <c r="V79" i="2"/>
  <c r="AF79" i="2" s="1"/>
  <c r="V67" i="2"/>
  <c r="AF67" i="2" s="1"/>
  <c r="BT93" i="2"/>
  <c r="V72" i="2"/>
  <c r="AF72" i="2" s="1"/>
  <c r="V70" i="2"/>
  <c r="AF70" i="2" s="1"/>
  <c r="V59" i="2"/>
  <c r="AF59" i="2" s="1"/>
  <c r="V93" i="2"/>
  <c r="AF93" i="2" s="1"/>
  <c r="BT69" i="2"/>
  <c r="V75" i="2"/>
  <c r="AF75" i="2" s="1"/>
  <c r="V90" i="2"/>
  <c r="AF90" i="2" s="1"/>
  <c r="V91" i="2"/>
  <c r="V56" i="2"/>
  <c r="AF56" i="2" s="1"/>
  <c r="BT76" i="2"/>
  <c r="V47" i="2"/>
  <c r="AF47" i="2" s="1"/>
  <c r="V85" i="2"/>
  <c r="V51" i="2"/>
  <c r="AF51" i="2" s="1"/>
  <c r="V76" i="2"/>
  <c r="AF76" i="2" s="1"/>
  <c r="V41" i="2"/>
  <c r="AF41" i="2" s="1"/>
  <c r="V43" i="2"/>
  <c r="AF43" i="2" s="1"/>
  <c r="BT46" i="2"/>
  <c r="V39" i="2"/>
  <c r="AF39" i="2" s="1"/>
  <c r="V66" i="2"/>
  <c r="AF66" i="2" s="1"/>
  <c r="V64" i="2"/>
  <c r="AF64" i="2" s="1"/>
  <c r="V92" i="2"/>
  <c r="AF92" i="2" s="1"/>
  <c r="V69" i="2"/>
  <c r="AF69" i="2" s="1"/>
  <c r="V84" i="2"/>
  <c r="AF84" i="2" s="1"/>
  <c r="V81" i="2"/>
  <c r="AF81" i="2" s="1"/>
  <c r="D71" i="34"/>
  <c r="AF259" i="2" l="1"/>
  <c r="BC259" i="2" s="1"/>
  <c r="BD259" i="2" s="1"/>
  <c r="BE259" i="2" s="1"/>
  <c r="BF259" i="2" s="1"/>
  <c r="AF271" i="2"/>
  <c r="BC271" i="2" s="1"/>
  <c r="BD271" i="2" s="1"/>
  <c r="BE271" i="2" s="1"/>
  <c r="BF271" i="2" s="1"/>
  <c r="AF260" i="2"/>
  <c r="BC260" i="2" s="1"/>
  <c r="BD260" i="2" s="1"/>
  <c r="BE260" i="2" s="1"/>
  <c r="BF260" i="2" s="1"/>
  <c r="AF257" i="2"/>
  <c r="BC257" i="2" s="1"/>
  <c r="BD257" i="2" s="1"/>
  <c r="BE257" i="2" s="1"/>
  <c r="BF257" i="2" s="1"/>
  <c r="AF255" i="2"/>
  <c r="BC255" i="2" s="1"/>
  <c r="BD255" i="2" s="1"/>
  <c r="BE255" i="2" s="1"/>
  <c r="BF255" i="2" s="1"/>
  <c r="AF269" i="2"/>
  <c r="BC269" i="2" s="1"/>
  <c r="BD269" i="2" s="1"/>
  <c r="BE269" i="2" s="1"/>
  <c r="BF269" i="2" s="1"/>
  <c r="AF261" i="2"/>
  <c r="AX261" i="2" s="1"/>
  <c r="AF258" i="2"/>
  <c r="BC258" i="2" s="1"/>
  <c r="BD258" i="2" s="1"/>
  <c r="BE258" i="2" s="1"/>
  <c r="BF258" i="2" s="1"/>
  <c r="AF262" i="2"/>
  <c r="AW262" i="2" s="1"/>
  <c r="AF254" i="2"/>
  <c r="BC254" i="2" s="1"/>
  <c r="BD254" i="2" s="1"/>
  <c r="BE254" i="2" s="1"/>
  <c r="BF254" i="2" s="1"/>
  <c r="AF266" i="2"/>
  <c r="BC266" i="2" s="1"/>
  <c r="BD266" i="2" s="1"/>
  <c r="BE266" i="2" s="1"/>
  <c r="BF266" i="2" s="1"/>
  <c r="AF265" i="2"/>
  <c r="AU265" i="2" s="1"/>
  <c r="Q224" i="2"/>
  <c r="AB224" i="2" s="1"/>
  <c r="AL224" i="2" s="1"/>
  <c r="R224" i="2"/>
  <c r="AC224" i="2" s="1"/>
  <c r="AM224" i="2" s="1"/>
  <c r="S224" i="2"/>
  <c r="AD224" i="2" s="1"/>
  <c r="AN224" i="2" s="1"/>
  <c r="P224" i="2"/>
  <c r="AA224" i="2" s="1"/>
  <c r="AK224" i="2" s="1"/>
  <c r="AQ366" i="6"/>
  <c r="W350" i="6" s="1"/>
  <c r="X8" i="14" s="1"/>
  <c r="AN215" i="2"/>
  <c r="M83" i="28"/>
  <c r="AJ326" i="2"/>
  <c r="K42" i="28"/>
  <c r="AH285" i="2"/>
  <c r="AF232" i="2"/>
  <c r="AU232" i="2" s="1"/>
  <c r="K48" i="28"/>
  <c r="AH291" i="2"/>
  <c r="K45" i="28"/>
  <c r="AH288" i="2"/>
  <c r="AF191" i="2"/>
  <c r="AP191" i="2" s="1"/>
  <c r="K61" i="28"/>
  <c r="AH304" i="2"/>
  <c r="AF208" i="2"/>
  <c r="AW208" i="2" s="1"/>
  <c r="K43" i="28"/>
  <c r="AH286" i="2"/>
  <c r="K44" i="28"/>
  <c r="AH287" i="2"/>
  <c r="M48" i="28"/>
  <c r="AJ291" i="2"/>
  <c r="K75" i="28"/>
  <c r="AH318" i="2"/>
  <c r="K62" i="28"/>
  <c r="AH305" i="2"/>
  <c r="AU305" i="2" s="1"/>
  <c r="K54" i="28"/>
  <c r="AH297" i="2"/>
  <c r="AF179" i="2"/>
  <c r="AU179" i="2" s="1"/>
  <c r="K72" i="28"/>
  <c r="AH315" i="2"/>
  <c r="K63" i="28"/>
  <c r="AH306" i="2"/>
  <c r="K82" i="28"/>
  <c r="AH325" i="2"/>
  <c r="K83" i="28"/>
  <c r="AH326" i="2"/>
  <c r="K49" i="28"/>
  <c r="AH292" i="2"/>
  <c r="K85" i="28"/>
  <c r="AH328" i="2"/>
  <c r="K81" i="28"/>
  <c r="AH324" i="2"/>
  <c r="K46" i="28"/>
  <c r="AH289" i="2"/>
  <c r="I52" i="28"/>
  <c r="AF295" i="2"/>
  <c r="K73" i="28"/>
  <c r="AH316" i="2"/>
  <c r="M73" i="28"/>
  <c r="AJ316" i="2"/>
  <c r="K47" i="28"/>
  <c r="AH290" i="2"/>
  <c r="K41" i="28"/>
  <c r="AH284" i="2"/>
  <c r="AW457" i="2"/>
  <c r="AQ462" i="2"/>
  <c r="AQ464" i="2"/>
  <c r="AU461" i="2"/>
  <c r="AQ466" i="2"/>
  <c r="AP51" i="2"/>
  <c r="AX50" i="2"/>
  <c r="AU459" i="2"/>
  <c r="AU457" i="2"/>
  <c r="AQ465" i="2"/>
  <c r="AQ454" i="2"/>
  <c r="AW465" i="2"/>
  <c r="AU65" i="2"/>
  <c r="AQ460" i="2"/>
  <c r="AQ455" i="2"/>
  <c r="AX65" i="2"/>
  <c r="AQ458" i="2"/>
  <c r="AY50" i="2"/>
  <c r="AU454" i="2"/>
  <c r="O73" i="28"/>
  <c r="Q86" i="28"/>
  <c r="O63" i="28"/>
  <c r="AY463" i="2"/>
  <c r="AS463" i="2"/>
  <c r="AT463" i="2"/>
  <c r="AF463" i="2"/>
  <c r="AP463" i="2"/>
  <c r="AL464" i="2"/>
  <c r="AV464" i="2"/>
  <c r="I67" i="28"/>
  <c r="AW426" i="2"/>
  <c r="O71" i="28"/>
  <c r="O58" i="28"/>
  <c r="M57" i="28"/>
  <c r="O81" i="28"/>
  <c r="AH464" i="2"/>
  <c r="AR464" i="2"/>
  <c r="AN466" i="2"/>
  <c r="AX466" i="2"/>
  <c r="AU463" i="2"/>
  <c r="I70" i="28"/>
  <c r="Q55" i="28"/>
  <c r="M52" i="28"/>
  <c r="O60" i="28"/>
  <c r="M58" i="28"/>
  <c r="M63" i="28"/>
  <c r="O38" i="28"/>
  <c r="I73" i="28"/>
  <c r="R34" i="28"/>
  <c r="Q83" i="28"/>
  <c r="M67" i="28"/>
  <c r="O57" i="28"/>
  <c r="M59" i="28"/>
  <c r="M38" i="28"/>
  <c r="O87" i="28"/>
  <c r="R37" i="28"/>
  <c r="O65" i="28"/>
  <c r="AQ313" i="2"/>
  <c r="O70" i="28"/>
  <c r="M51" i="28"/>
  <c r="M56" i="28"/>
  <c r="AF453" i="2"/>
  <c r="AP453" i="2"/>
  <c r="AY453" i="2"/>
  <c r="AS453" i="2"/>
  <c r="I51" i="28"/>
  <c r="O83" i="28"/>
  <c r="O59" i="28"/>
  <c r="AR462" i="2"/>
  <c r="AH462" i="2"/>
  <c r="AN461" i="2"/>
  <c r="AX461" i="2"/>
  <c r="AL453" i="2"/>
  <c r="AV453" i="2"/>
  <c r="R80" i="28"/>
  <c r="AW418" i="2"/>
  <c r="O53" i="28"/>
  <c r="Q67" i="28"/>
  <c r="Q58" i="28"/>
  <c r="I82" i="28"/>
  <c r="AH453" i="2"/>
  <c r="AR453" i="2"/>
  <c r="AU466" i="2"/>
  <c r="AQ461" i="2"/>
  <c r="AV463" i="2"/>
  <c r="AL463" i="2"/>
  <c r="I79" i="28"/>
  <c r="R36" i="28"/>
  <c r="O84" i="28"/>
  <c r="K36" i="28"/>
  <c r="Q60" i="28"/>
  <c r="AF464" i="2"/>
  <c r="AS464" i="2"/>
  <c r="AT464" i="2"/>
  <c r="AP464" i="2"/>
  <c r="AY464" i="2"/>
  <c r="AH459" i="2"/>
  <c r="AR459" i="2"/>
  <c r="AN465" i="2"/>
  <c r="AX465" i="2"/>
  <c r="AR465" i="2"/>
  <c r="AV465" i="2"/>
  <c r="AL465" i="2"/>
  <c r="R77" i="28"/>
  <c r="O77" i="28"/>
  <c r="Q62" i="28"/>
  <c r="AL462" i="2"/>
  <c r="AV462" i="2"/>
  <c r="M37" i="28"/>
  <c r="I60" i="28"/>
  <c r="Q56" i="28"/>
  <c r="K40" i="28"/>
  <c r="I87" i="28"/>
  <c r="AW50" i="2"/>
  <c r="AL458" i="2"/>
  <c r="AV458" i="2"/>
  <c r="S456" i="6"/>
  <c r="U56" i="20" s="1"/>
  <c r="S452" i="6"/>
  <c r="U52" i="20" s="1"/>
  <c r="S422" i="6"/>
  <c r="S439" i="6"/>
  <c r="U39" i="20" s="1"/>
  <c r="O85" i="28"/>
  <c r="AS456" i="2"/>
  <c r="AF456" i="2"/>
  <c r="AY456" i="2"/>
  <c r="AP456" i="2"/>
  <c r="AR460" i="2"/>
  <c r="AH460" i="2"/>
  <c r="AW65" i="2"/>
  <c r="AN460" i="2"/>
  <c r="AX460" i="2"/>
  <c r="AL454" i="2"/>
  <c r="AV454" i="2"/>
  <c r="I76" i="28"/>
  <c r="R39" i="28"/>
  <c r="O36" i="28"/>
  <c r="O61" i="28"/>
  <c r="K37" i="28"/>
  <c r="K71" i="28"/>
  <c r="K77" i="28"/>
  <c r="M84" i="28"/>
  <c r="AR50" i="2"/>
  <c r="Q63" i="28"/>
  <c r="AU460" i="2"/>
  <c r="AU465" i="2"/>
  <c r="AL461" i="2"/>
  <c r="AV461" i="2"/>
  <c r="I61" i="28"/>
  <c r="O39" i="28"/>
  <c r="Q52" i="28"/>
  <c r="M86" i="28"/>
  <c r="K58" i="28"/>
  <c r="Q81" i="28"/>
  <c r="AQ453" i="2"/>
  <c r="AW462" i="2"/>
  <c r="AN454" i="2"/>
  <c r="AX454" i="2"/>
  <c r="AJ456" i="2"/>
  <c r="AT456" i="2"/>
  <c r="AL456" i="2"/>
  <c r="AV456" i="2"/>
  <c r="O34" i="28"/>
  <c r="M62" i="28"/>
  <c r="AT50" i="2"/>
  <c r="K60" i="28"/>
  <c r="Q38" i="28"/>
  <c r="AF457" i="2"/>
  <c r="AY457" i="2"/>
  <c r="AP457" i="2"/>
  <c r="AT457" i="2"/>
  <c r="AS457" i="2"/>
  <c r="AR454" i="2"/>
  <c r="AH454" i="2"/>
  <c r="AQ463" i="2"/>
  <c r="AN464" i="2"/>
  <c r="AX464" i="2"/>
  <c r="AJ455" i="2"/>
  <c r="AT455" i="2"/>
  <c r="AL466" i="2"/>
  <c r="AV466" i="2"/>
  <c r="I84" i="28"/>
  <c r="I80" i="28"/>
  <c r="O67" i="28"/>
  <c r="Q51" i="28"/>
  <c r="M53" i="28"/>
  <c r="M70" i="28"/>
  <c r="K34" i="28"/>
  <c r="K57" i="28"/>
  <c r="M81" i="28"/>
  <c r="AP458" i="2"/>
  <c r="AT458" i="2"/>
  <c r="AY458" i="2"/>
  <c r="AF458" i="2"/>
  <c r="AS458" i="2"/>
  <c r="AH456" i="2"/>
  <c r="AR456" i="2"/>
  <c r="AU456" i="2"/>
  <c r="AN459" i="2"/>
  <c r="AX459" i="2"/>
  <c r="AV459" i="2"/>
  <c r="AL459" i="2"/>
  <c r="I55" i="28"/>
  <c r="O79" i="28"/>
  <c r="O37" i="28"/>
  <c r="Q64" i="28"/>
  <c r="Q61" i="28"/>
  <c r="M61" i="28"/>
  <c r="M71" i="28"/>
  <c r="K56" i="28"/>
  <c r="AR466" i="2"/>
  <c r="AH466" i="2"/>
  <c r="AU458" i="2"/>
  <c r="AN458" i="2"/>
  <c r="AX458" i="2"/>
  <c r="AS50" i="2"/>
  <c r="AP50" i="2"/>
  <c r="I35" i="28"/>
  <c r="R78" i="28"/>
  <c r="Q35" i="28"/>
  <c r="Q78" i="28"/>
  <c r="M65" i="28"/>
  <c r="AS460" i="2"/>
  <c r="AF460" i="2"/>
  <c r="AY460" i="2"/>
  <c r="AT460" i="2"/>
  <c r="AP460" i="2"/>
  <c r="AW466" i="2"/>
  <c r="AL457" i="2"/>
  <c r="AV457" i="2"/>
  <c r="R84" i="28"/>
  <c r="W412" i="6"/>
  <c r="Y12" i="20" s="1"/>
  <c r="W420" i="6"/>
  <c r="W404" i="6"/>
  <c r="Y4" i="20" s="1"/>
  <c r="W411" i="6"/>
  <c r="Y11" i="20" s="1"/>
  <c r="W421" i="6"/>
  <c r="Y21" i="20" s="1"/>
  <c r="W418" i="6"/>
  <c r="W414" i="6"/>
  <c r="Y14" i="20" s="1"/>
  <c r="W409" i="6"/>
  <c r="Y9" i="20" s="1"/>
  <c r="W410" i="6"/>
  <c r="Y10" i="20" s="1"/>
  <c r="W413" i="6"/>
  <c r="Y13" i="20" s="1"/>
  <c r="W415" i="6"/>
  <c r="Y15" i="20" s="1"/>
  <c r="M64" i="28"/>
  <c r="AQ457" i="2"/>
  <c r="AW459" i="2"/>
  <c r="AW464" i="2"/>
  <c r="I64" i="28"/>
  <c r="O62" i="28"/>
  <c r="M76" i="28"/>
  <c r="AQ65" i="2"/>
  <c r="AV50" i="2"/>
  <c r="AQ50" i="2"/>
  <c r="I39" i="28"/>
  <c r="M79" i="28"/>
  <c r="O56" i="28"/>
  <c r="I63" i="28"/>
  <c r="AH455" i="2"/>
  <c r="AR455" i="2"/>
  <c r="AW453" i="2"/>
  <c r="AU50" i="2"/>
  <c r="AX463" i="2"/>
  <c r="AN463" i="2"/>
  <c r="AQ456" i="2"/>
  <c r="AL460" i="2"/>
  <c r="AV460" i="2"/>
  <c r="I71" i="28"/>
  <c r="O86" i="28"/>
  <c r="Q36" i="28"/>
  <c r="M77" i="28"/>
  <c r="M60" i="28"/>
  <c r="I38" i="28"/>
  <c r="AF466" i="2"/>
  <c r="AS466" i="2"/>
  <c r="AT466" i="2"/>
  <c r="AY466" i="2"/>
  <c r="AP466" i="2"/>
  <c r="I36" i="28"/>
  <c r="Q79" i="28"/>
  <c r="AP455" i="2"/>
  <c r="AF455" i="2"/>
  <c r="AY455" i="2"/>
  <c r="AS455" i="2"/>
  <c r="AN457" i="2"/>
  <c r="AX457" i="2"/>
  <c r="AQ459" i="2"/>
  <c r="I83" i="28"/>
  <c r="Q71" i="28"/>
  <c r="Q85" i="28"/>
  <c r="K80" i="28"/>
  <c r="M78" i="28"/>
  <c r="I57" i="28"/>
  <c r="K38" i="28"/>
  <c r="I40" i="28"/>
  <c r="AU464" i="2"/>
  <c r="AT65" i="2"/>
  <c r="AQ416" i="2"/>
  <c r="I78" i="28"/>
  <c r="O35" i="28"/>
  <c r="Q65" i="28"/>
  <c r="K55" i="28"/>
  <c r="K78" i="28"/>
  <c r="M80" i="28"/>
  <c r="I58" i="28"/>
  <c r="Q59" i="28"/>
  <c r="I81" i="28"/>
  <c r="AF461" i="2"/>
  <c r="AY461" i="2"/>
  <c r="AP461" i="2"/>
  <c r="AS461" i="2"/>
  <c r="AH457" i="2"/>
  <c r="AR457" i="2"/>
  <c r="AW463" i="2"/>
  <c r="AN462" i="2"/>
  <c r="AX462" i="2"/>
  <c r="AW455" i="2"/>
  <c r="AJ453" i="2"/>
  <c r="AT453" i="2"/>
  <c r="AW458" i="2"/>
  <c r="I37" i="28"/>
  <c r="R86" i="28"/>
  <c r="O55" i="28"/>
  <c r="O64" i="28"/>
  <c r="Q76" i="28"/>
  <c r="Q37" i="28"/>
  <c r="K79" i="28"/>
  <c r="K65" i="28"/>
  <c r="AF459" i="2"/>
  <c r="AT459" i="2"/>
  <c r="AY459" i="2"/>
  <c r="AP459" i="2"/>
  <c r="AS459" i="2"/>
  <c r="AN456" i="2"/>
  <c r="AX456" i="2"/>
  <c r="AW460" i="2"/>
  <c r="AJ454" i="2"/>
  <c r="AT454" i="2"/>
  <c r="I62" i="28"/>
  <c r="R35" i="28"/>
  <c r="O52" i="28"/>
  <c r="Q70" i="28"/>
  <c r="K53" i="28"/>
  <c r="K39" i="28"/>
  <c r="K84" i="28"/>
  <c r="K70" i="28"/>
  <c r="M36" i="28"/>
  <c r="M55" i="28"/>
  <c r="AR65" i="2"/>
  <c r="I59" i="28"/>
  <c r="Q57" i="28"/>
  <c r="K87" i="28"/>
  <c r="AP465" i="2"/>
  <c r="AJ465" i="2"/>
  <c r="AT465" i="2"/>
  <c r="AY65" i="2"/>
  <c r="I53" i="28"/>
  <c r="Q39" i="28"/>
  <c r="Q80" i="28"/>
  <c r="K86" i="28"/>
  <c r="M85" i="28"/>
  <c r="I56" i="28"/>
  <c r="R87" i="28"/>
  <c r="AY465" i="2"/>
  <c r="AF465" i="2"/>
  <c r="AS465" i="2"/>
  <c r="AH461" i="2"/>
  <c r="AR461" i="2"/>
  <c r="AN453" i="2"/>
  <c r="AX453" i="2"/>
  <c r="AJ461" i="2"/>
  <c r="AT461" i="2"/>
  <c r="AU453" i="2"/>
  <c r="I86" i="28"/>
  <c r="R76" i="28"/>
  <c r="O76" i="28"/>
  <c r="Q84" i="28"/>
  <c r="K52" i="28"/>
  <c r="M35" i="28"/>
  <c r="AV65" i="2"/>
  <c r="M87" i="28"/>
  <c r="AW454" i="2"/>
  <c r="AP454" i="2"/>
  <c r="AS454" i="2"/>
  <c r="AF454" i="2"/>
  <c r="AY454" i="2"/>
  <c r="AH463" i="2"/>
  <c r="AR463" i="2"/>
  <c r="I85" i="28"/>
  <c r="I65" i="28"/>
  <c r="O51" i="28"/>
  <c r="Q73" i="28"/>
  <c r="Q77" i="28"/>
  <c r="K64" i="28"/>
  <c r="K76" i="28"/>
  <c r="K51" i="28"/>
  <c r="I77" i="28"/>
  <c r="I34" i="28"/>
  <c r="AQ422" i="2"/>
  <c r="O78" i="28"/>
  <c r="O80" i="28"/>
  <c r="Q34" i="28"/>
  <c r="Q53" i="28"/>
  <c r="K67" i="28"/>
  <c r="K35" i="28"/>
  <c r="M39" i="28"/>
  <c r="M34" i="28"/>
  <c r="AS65" i="2"/>
  <c r="AP65" i="2"/>
  <c r="K59" i="28"/>
  <c r="Q87" i="28"/>
  <c r="AU455" i="2"/>
  <c r="AT462" i="2"/>
  <c r="AP462" i="2"/>
  <c r="AY462" i="2"/>
  <c r="AS462" i="2"/>
  <c r="AF462" i="2"/>
  <c r="AH458" i="2"/>
  <c r="AR458" i="2"/>
  <c r="AW461" i="2"/>
  <c r="AU462" i="2"/>
  <c r="AN455" i="2"/>
  <c r="AX455" i="2"/>
  <c r="AW456" i="2"/>
  <c r="AV455" i="2"/>
  <c r="AL455" i="2"/>
  <c r="AP88" i="2"/>
  <c r="AS88" i="2"/>
  <c r="AY88" i="2"/>
  <c r="AR88" i="2"/>
  <c r="AX88" i="2"/>
  <c r="AW88" i="2"/>
  <c r="AV88" i="2"/>
  <c r="AT88" i="2"/>
  <c r="AU88" i="2"/>
  <c r="AP89" i="2"/>
  <c r="AY89" i="2"/>
  <c r="AX89" i="2"/>
  <c r="AW89" i="2"/>
  <c r="AT89" i="2"/>
  <c r="AV89" i="2"/>
  <c r="AU89" i="2"/>
  <c r="AS89" i="2"/>
  <c r="AR89" i="2"/>
  <c r="AQ89" i="2"/>
  <c r="AQ88" i="2"/>
  <c r="AP61" i="2"/>
  <c r="AY61" i="2"/>
  <c r="AV61" i="2"/>
  <c r="AS61" i="2"/>
  <c r="AX61" i="2"/>
  <c r="AW61" i="2"/>
  <c r="AU61" i="2"/>
  <c r="AT61" i="2"/>
  <c r="AR61" i="2"/>
  <c r="AQ61" i="2"/>
  <c r="AN446" i="6"/>
  <c r="AW442" i="2"/>
  <c r="AK358" i="6"/>
  <c r="AQ358" i="6" s="1"/>
  <c r="W364" i="6" s="1"/>
  <c r="X22" i="14" s="1"/>
  <c r="AK362" i="6"/>
  <c r="AK428" i="6"/>
  <c r="AQ428" i="6" s="1"/>
  <c r="AK442" i="6"/>
  <c r="AK349" i="6"/>
  <c r="AQ349" i="6" s="1"/>
  <c r="W354" i="6" s="1"/>
  <c r="X12" i="14" s="1"/>
  <c r="AK298" i="6"/>
  <c r="AQ298" i="6" s="1"/>
  <c r="AK269" i="6"/>
  <c r="AQ269" i="6" s="1"/>
  <c r="W311" i="6" s="1"/>
  <c r="Z51" i="8" s="1"/>
  <c r="AK287" i="6"/>
  <c r="AK283" i="6"/>
  <c r="AQ283" i="6" s="1"/>
  <c r="W300" i="6" s="1"/>
  <c r="Z40" i="8" s="1"/>
  <c r="AK430" i="6"/>
  <c r="AQ430" i="6" s="1"/>
  <c r="AP430" i="6" s="1"/>
  <c r="AK345" i="6"/>
  <c r="AQ345" i="6" s="1"/>
  <c r="AP345" i="6" s="1"/>
  <c r="AK315" i="6"/>
  <c r="AQ315" i="6" s="1"/>
  <c r="W316" i="6" s="1"/>
  <c r="Z56" i="8" s="1"/>
  <c r="AK294" i="6"/>
  <c r="AQ294" i="6" s="1"/>
  <c r="AU442" i="2"/>
  <c r="AK222" i="6"/>
  <c r="AU430" i="2"/>
  <c r="AR428" i="2"/>
  <c r="AU424" i="2"/>
  <c r="AU432" i="2"/>
  <c r="X439" i="6"/>
  <c r="Z39" i="20" s="1"/>
  <c r="AV435" i="2"/>
  <c r="W439" i="6"/>
  <c r="AU469" i="2"/>
  <c r="AQ451" i="2"/>
  <c r="AW447" i="2"/>
  <c r="AQ427" i="2"/>
  <c r="AQ434" i="2"/>
  <c r="AY438" i="2"/>
  <c r="AQ430" i="2"/>
  <c r="AQ437" i="2"/>
  <c r="AW431" i="2"/>
  <c r="AY437" i="2"/>
  <c r="AW452" i="2"/>
  <c r="AW423" i="2"/>
  <c r="AW424" i="2"/>
  <c r="U439" i="6"/>
  <c r="W39" i="20" s="1"/>
  <c r="U422" i="6"/>
  <c r="W22" i="20" s="1"/>
  <c r="U452" i="6"/>
  <c r="W52" i="20" s="1"/>
  <c r="AQ440" i="2"/>
  <c r="AU452" i="2"/>
  <c r="AW433" i="2"/>
  <c r="AY448" i="2"/>
  <c r="AQ431" i="2"/>
  <c r="AY444" i="2"/>
  <c r="AU418" i="2"/>
  <c r="AV470" i="2"/>
  <c r="AT470" i="2"/>
  <c r="AU470" i="2"/>
  <c r="AY470" i="2"/>
  <c r="AP470" i="2"/>
  <c r="AS470" i="2"/>
  <c r="AX470" i="2"/>
  <c r="AW470" i="2"/>
  <c r="AH470" i="2"/>
  <c r="AR470" i="2"/>
  <c r="AQ470" i="2"/>
  <c r="AH436" i="2"/>
  <c r="AU436" i="2"/>
  <c r="AV436" i="2"/>
  <c r="AX436" i="2"/>
  <c r="AY436" i="2"/>
  <c r="AQ436" i="2"/>
  <c r="AR436" i="2"/>
  <c r="AW436" i="2"/>
  <c r="AP436" i="2"/>
  <c r="AS436" i="2"/>
  <c r="AT436" i="2"/>
  <c r="AW446" i="2"/>
  <c r="AQ421" i="2"/>
  <c r="AQ448" i="2"/>
  <c r="AU449" i="2"/>
  <c r="AU445" i="2"/>
  <c r="AQ450" i="2"/>
  <c r="AQ417" i="2"/>
  <c r="AQ420" i="2"/>
  <c r="AP428" i="2"/>
  <c r="AY428" i="2"/>
  <c r="AS428" i="2"/>
  <c r="AT428" i="2"/>
  <c r="AJ439" i="2"/>
  <c r="AT439" i="2"/>
  <c r="AL437" i="2"/>
  <c r="AV437" i="2"/>
  <c r="AN416" i="2"/>
  <c r="AX416" i="2"/>
  <c r="AH437" i="2"/>
  <c r="AR437" i="2"/>
  <c r="AN468" i="2"/>
  <c r="AX468" i="2"/>
  <c r="AF441" i="2"/>
  <c r="AP441" i="2"/>
  <c r="AS441" i="2"/>
  <c r="AY441" i="2"/>
  <c r="AR422" i="2"/>
  <c r="AF419" i="2"/>
  <c r="AP419" i="2"/>
  <c r="AY419" i="2"/>
  <c r="AS419" i="2"/>
  <c r="AL448" i="2"/>
  <c r="AV448" i="2"/>
  <c r="AN423" i="2"/>
  <c r="AX423" i="2"/>
  <c r="AH443" i="2"/>
  <c r="AR443" i="2"/>
  <c r="AF439" i="2"/>
  <c r="AP439" i="2"/>
  <c r="AS439" i="2"/>
  <c r="AU450" i="2"/>
  <c r="AY449" i="2"/>
  <c r="AS422" i="2"/>
  <c r="AP422" i="2"/>
  <c r="AY422" i="2"/>
  <c r="AJ437" i="2"/>
  <c r="AT437" i="2"/>
  <c r="AL451" i="2"/>
  <c r="AV451" i="2"/>
  <c r="AN418" i="2"/>
  <c r="AX418" i="2"/>
  <c r="AR423" i="2"/>
  <c r="AH445" i="2"/>
  <c r="AR445" i="2"/>
  <c r="AX449" i="2"/>
  <c r="AU444" i="2"/>
  <c r="AJ445" i="2"/>
  <c r="AT445" i="2"/>
  <c r="AN440" i="2"/>
  <c r="AX440" i="2"/>
  <c r="AF420" i="2"/>
  <c r="AS420" i="2"/>
  <c r="AP420" i="2"/>
  <c r="AY420" i="2"/>
  <c r="AJ417" i="2"/>
  <c r="AT417" i="2"/>
  <c r="AL433" i="2"/>
  <c r="AV433" i="2"/>
  <c r="AN452" i="2"/>
  <c r="AX452" i="2"/>
  <c r="AH469" i="2"/>
  <c r="AR469" i="2"/>
  <c r="AX421" i="2"/>
  <c r="AW419" i="2"/>
  <c r="AQ432" i="2"/>
  <c r="AQ441" i="2"/>
  <c r="AF416" i="2"/>
  <c r="AY416" i="2"/>
  <c r="AP416" i="2"/>
  <c r="AS416" i="2"/>
  <c r="AT416" i="2"/>
  <c r="AF452" i="2"/>
  <c r="AP452" i="2"/>
  <c r="AS452" i="2"/>
  <c r="AJ450" i="2"/>
  <c r="AT450" i="2"/>
  <c r="AN467" i="2"/>
  <c r="AX467" i="2"/>
  <c r="AL468" i="2"/>
  <c r="AV468" i="2"/>
  <c r="AW427" i="2"/>
  <c r="AJ441" i="2"/>
  <c r="AT441" i="2"/>
  <c r="AL434" i="2"/>
  <c r="AV434" i="2"/>
  <c r="AN447" i="2"/>
  <c r="AX447" i="2"/>
  <c r="AW448" i="2"/>
  <c r="AQ444" i="2"/>
  <c r="AW435" i="2"/>
  <c r="AP423" i="2"/>
  <c r="AS423" i="2"/>
  <c r="AY423" i="2"/>
  <c r="AT423" i="2"/>
  <c r="AF467" i="2"/>
  <c r="AP467" i="2"/>
  <c r="AS467" i="2"/>
  <c r="AT467" i="2"/>
  <c r="AY467" i="2"/>
  <c r="AJ446" i="2"/>
  <c r="AT446" i="2"/>
  <c r="AL429" i="2"/>
  <c r="AV429" i="2"/>
  <c r="AN417" i="2"/>
  <c r="AX417" i="2"/>
  <c r="AH441" i="2"/>
  <c r="AR441" i="2"/>
  <c r="AL440" i="2"/>
  <c r="AV440" i="2"/>
  <c r="AW444" i="2"/>
  <c r="AY440" i="2"/>
  <c r="AL422" i="2"/>
  <c r="AV422" i="2"/>
  <c r="AF445" i="2"/>
  <c r="AP445" i="2"/>
  <c r="AS445" i="2"/>
  <c r="AV449" i="2"/>
  <c r="AQ439" i="2"/>
  <c r="AW422" i="2"/>
  <c r="AF433" i="2"/>
  <c r="AP433" i="2"/>
  <c r="AS433" i="2"/>
  <c r="AY433" i="2"/>
  <c r="AT433" i="2"/>
  <c r="AR427" i="2"/>
  <c r="AF444" i="2"/>
  <c r="AP444" i="2"/>
  <c r="AS444" i="2"/>
  <c r="AF446" i="2"/>
  <c r="AP446" i="2"/>
  <c r="AS446" i="2"/>
  <c r="AJ443" i="2"/>
  <c r="AT443" i="2"/>
  <c r="AL427" i="2"/>
  <c r="AV427" i="2"/>
  <c r="AN469" i="2"/>
  <c r="AX469" i="2"/>
  <c r="AH439" i="2"/>
  <c r="AR439" i="2"/>
  <c r="AV421" i="2"/>
  <c r="AQ445" i="2"/>
  <c r="AQ428" i="2"/>
  <c r="AW432" i="2"/>
  <c r="AF443" i="2"/>
  <c r="AP443" i="2"/>
  <c r="AS443" i="2"/>
  <c r="AL423" i="2"/>
  <c r="AV423" i="2"/>
  <c r="AN431" i="2"/>
  <c r="AX431" i="2"/>
  <c r="AH467" i="2"/>
  <c r="AR467" i="2"/>
  <c r="AF434" i="2"/>
  <c r="AP434" i="2"/>
  <c r="AS434" i="2"/>
  <c r="AY434" i="2"/>
  <c r="AT434" i="2"/>
  <c r="AF447" i="2"/>
  <c r="AS447" i="2"/>
  <c r="AP447" i="2"/>
  <c r="AL443" i="2"/>
  <c r="AV443" i="2"/>
  <c r="AN428" i="2"/>
  <c r="AX428" i="2"/>
  <c r="AH442" i="2"/>
  <c r="AR442" i="2"/>
  <c r="AH450" i="2"/>
  <c r="AR450" i="2"/>
  <c r="AY421" i="2"/>
  <c r="AP421" i="2"/>
  <c r="AS421" i="2"/>
  <c r="AQ443" i="2"/>
  <c r="AU435" i="2"/>
  <c r="AU422" i="2"/>
  <c r="AF429" i="2"/>
  <c r="AP429" i="2"/>
  <c r="AS429" i="2"/>
  <c r="AY429" i="2"/>
  <c r="AT429" i="2"/>
  <c r="AF448" i="2"/>
  <c r="AP448" i="2"/>
  <c r="AS448" i="2"/>
  <c r="AJ420" i="2"/>
  <c r="AT420" i="2"/>
  <c r="AL447" i="2"/>
  <c r="AV447" i="2"/>
  <c r="AL438" i="2"/>
  <c r="AV438" i="2"/>
  <c r="AN419" i="2"/>
  <c r="AX419" i="2"/>
  <c r="AH452" i="2"/>
  <c r="AR452" i="2"/>
  <c r="AY435" i="2"/>
  <c r="AP435" i="2"/>
  <c r="AS435" i="2"/>
  <c r="AT435" i="2"/>
  <c r="AU421" i="2"/>
  <c r="AQ419" i="2"/>
  <c r="AY447" i="2"/>
  <c r="AW428" i="2"/>
  <c r="AW445" i="2"/>
  <c r="AF450" i="2"/>
  <c r="AP450" i="2"/>
  <c r="AS450" i="2"/>
  <c r="AJ444" i="2"/>
  <c r="AT444" i="2"/>
  <c r="AL418" i="2"/>
  <c r="AV418" i="2"/>
  <c r="AH432" i="2"/>
  <c r="AR432" i="2"/>
  <c r="AS449" i="2"/>
  <c r="AP449" i="2"/>
  <c r="AF451" i="2"/>
  <c r="AP451" i="2"/>
  <c r="AS451" i="2"/>
  <c r="AL445" i="2"/>
  <c r="AV445" i="2"/>
  <c r="AL416" i="2"/>
  <c r="AV416" i="2"/>
  <c r="AH417" i="2"/>
  <c r="AR417" i="2"/>
  <c r="AF468" i="2"/>
  <c r="AP468" i="2"/>
  <c r="AS468" i="2"/>
  <c r="AT468" i="2"/>
  <c r="AY468" i="2"/>
  <c r="AJ452" i="2"/>
  <c r="AT452" i="2"/>
  <c r="AL446" i="2"/>
  <c r="AV446" i="2"/>
  <c r="AL442" i="2"/>
  <c r="AV442" i="2"/>
  <c r="AH448" i="2"/>
  <c r="AR448" i="2"/>
  <c r="AH430" i="2"/>
  <c r="AR430" i="2"/>
  <c r="AF440" i="2"/>
  <c r="AS440" i="2"/>
  <c r="AP440" i="2"/>
  <c r="AQ446" i="2"/>
  <c r="AU468" i="2"/>
  <c r="AQ442" i="2"/>
  <c r="AL426" i="2"/>
  <c r="AV426" i="2"/>
  <c r="AL450" i="2"/>
  <c r="AV450" i="2"/>
  <c r="AR424" i="2"/>
  <c r="AR421" i="2"/>
  <c r="AY445" i="2"/>
  <c r="AU439" i="2"/>
  <c r="AW469" i="2"/>
  <c r="AL420" i="2"/>
  <c r="AV420" i="2"/>
  <c r="AL430" i="2"/>
  <c r="AV430" i="2"/>
  <c r="AN430" i="2"/>
  <c r="AX430" i="2"/>
  <c r="AH419" i="2"/>
  <c r="AR419" i="2"/>
  <c r="AH446" i="2"/>
  <c r="AR446" i="2"/>
  <c r="AH468" i="2"/>
  <c r="AR468" i="2"/>
  <c r="AY439" i="2"/>
  <c r="AU423" i="2"/>
  <c r="AP426" i="2"/>
  <c r="AS426" i="2"/>
  <c r="AY426" i="2"/>
  <c r="AT426" i="2"/>
  <c r="AL439" i="2"/>
  <c r="AV439" i="2"/>
  <c r="AN448" i="2"/>
  <c r="AX448" i="2"/>
  <c r="AH451" i="2"/>
  <c r="AR451" i="2"/>
  <c r="AR435" i="2"/>
  <c r="AY452" i="2"/>
  <c r="AU416" i="2"/>
  <c r="AU433" i="2"/>
  <c r="AN433" i="2"/>
  <c r="AX433" i="2"/>
  <c r="AH433" i="2"/>
  <c r="AR433" i="2"/>
  <c r="AH444" i="2"/>
  <c r="AR444" i="2"/>
  <c r="AY427" i="2"/>
  <c r="AP427" i="2"/>
  <c r="AS427" i="2"/>
  <c r="AT427" i="2"/>
  <c r="AY425" i="2"/>
  <c r="AP425" i="2"/>
  <c r="AS425" i="2"/>
  <c r="AT425" i="2"/>
  <c r="AP424" i="2"/>
  <c r="AS424" i="2"/>
  <c r="AY424" i="2"/>
  <c r="AT424" i="2"/>
  <c r="AL419" i="2"/>
  <c r="AV419" i="2"/>
  <c r="AL431" i="2"/>
  <c r="AV431" i="2"/>
  <c r="AN442" i="2"/>
  <c r="AX442" i="2"/>
  <c r="AR426" i="2"/>
  <c r="AH440" i="2"/>
  <c r="AR440" i="2"/>
  <c r="AY446" i="2"/>
  <c r="AQ425" i="2"/>
  <c r="AW416" i="2"/>
  <c r="AL469" i="2"/>
  <c r="AV469" i="2"/>
  <c r="AF438" i="2"/>
  <c r="AS438" i="2"/>
  <c r="AP438" i="2"/>
  <c r="AU429" i="2"/>
  <c r="AW430" i="2"/>
  <c r="AU427" i="2"/>
  <c r="AF417" i="2"/>
  <c r="AP417" i="2"/>
  <c r="AS417" i="2"/>
  <c r="AY417" i="2"/>
  <c r="AL424" i="2"/>
  <c r="AV424" i="2"/>
  <c r="AL428" i="2"/>
  <c r="AV428" i="2"/>
  <c r="AN438" i="2"/>
  <c r="AX438" i="2"/>
  <c r="AN424" i="2"/>
  <c r="AX424" i="2"/>
  <c r="AR425" i="2"/>
  <c r="AH420" i="2"/>
  <c r="AR420" i="2"/>
  <c r="AU443" i="2"/>
  <c r="AW441" i="2"/>
  <c r="AQ423" i="2"/>
  <c r="AY451" i="2"/>
  <c r="AF437" i="2"/>
  <c r="AP437" i="2"/>
  <c r="AS437" i="2"/>
  <c r="AN434" i="2"/>
  <c r="AX434" i="2"/>
  <c r="AH418" i="2"/>
  <c r="AR418" i="2"/>
  <c r="AR449" i="2"/>
  <c r="AF431" i="2"/>
  <c r="AP431" i="2"/>
  <c r="AY431" i="2"/>
  <c r="AS431" i="2"/>
  <c r="AT431" i="2"/>
  <c r="AL425" i="2"/>
  <c r="AV425" i="2"/>
  <c r="AL432" i="2"/>
  <c r="AV432" i="2"/>
  <c r="AN422" i="2"/>
  <c r="AX422" i="2"/>
  <c r="AN426" i="2"/>
  <c r="AX426" i="2"/>
  <c r="AH447" i="2"/>
  <c r="AR447" i="2"/>
  <c r="AU467" i="2"/>
  <c r="AW437" i="2"/>
  <c r="AQ468" i="2"/>
  <c r="AU451" i="2"/>
  <c r="AF418" i="2"/>
  <c r="AY418" i="2"/>
  <c r="AP418" i="2"/>
  <c r="AS418" i="2"/>
  <c r="AT418" i="2"/>
  <c r="AN427" i="2"/>
  <c r="AX427" i="2"/>
  <c r="AW440" i="2"/>
  <c r="AW449" i="2"/>
  <c r="AU426" i="2"/>
  <c r="AQ435" i="2"/>
  <c r="AU447" i="2"/>
  <c r="AQ467" i="2"/>
  <c r="AQ426" i="2"/>
  <c r="AW451" i="2"/>
  <c r="AQ449" i="2"/>
  <c r="AW425" i="2"/>
  <c r="AU441" i="2"/>
  <c r="AL452" i="2"/>
  <c r="AV452" i="2"/>
  <c r="AQ418" i="2"/>
  <c r="AN441" i="2"/>
  <c r="AX441" i="2"/>
  <c r="AH431" i="2"/>
  <c r="AR431" i="2"/>
  <c r="AU446" i="2"/>
  <c r="AW450" i="2"/>
  <c r="AQ447" i="2"/>
  <c r="AU417" i="2"/>
  <c r="AU448" i="2"/>
  <c r="AY450" i="2"/>
  <c r="AJ419" i="2"/>
  <c r="AT419" i="2"/>
  <c r="AN443" i="2"/>
  <c r="AX443" i="2"/>
  <c r="AJ438" i="2"/>
  <c r="AT438" i="2"/>
  <c r="AL417" i="2"/>
  <c r="AV417" i="2"/>
  <c r="AN446" i="2"/>
  <c r="AX446" i="2"/>
  <c r="AN420" i="2"/>
  <c r="AX420" i="2"/>
  <c r="AJ440" i="2"/>
  <c r="AT440" i="2"/>
  <c r="AU434" i="2"/>
  <c r="AW443" i="2"/>
  <c r="AU419" i="2"/>
  <c r="AU440" i="2"/>
  <c r="AQ438" i="2"/>
  <c r="AJ448" i="2"/>
  <c r="AT448" i="2"/>
  <c r="AN437" i="2"/>
  <c r="AX437" i="2"/>
  <c r="AN444" i="2"/>
  <c r="AX444" i="2"/>
  <c r="AH416" i="2"/>
  <c r="AR416" i="2"/>
  <c r="AQ469" i="2"/>
  <c r="AF442" i="2"/>
  <c r="AP442" i="2"/>
  <c r="AS442" i="2"/>
  <c r="AY442" i="2"/>
  <c r="AN450" i="2"/>
  <c r="AX450" i="2"/>
  <c r="AT449" i="2"/>
  <c r="AW439" i="2"/>
  <c r="AU428" i="2"/>
  <c r="AY443" i="2"/>
  <c r="AH429" i="2"/>
  <c r="AR429" i="2"/>
  <c r="AU425" i="2"/>
  <c r="AJ451" i="2"/>
  <c r="AT451" i="2"/>
  <c r="AN432" i="2"/>
  <c r="AX432" i="2"/>
  <c r="AN439" i="2"/>
  <c r="AX439" i="2"/>
  <c r="AH438" i="2"/>
  <c r="AR438" i="2"/>
  <c r="AW438" i="2"/>
  <c r="AQ429" i="2"/>
  <c r="AW420" i="2"/>
  <c r="AJ447" i="2"/>
  <c r="AT447" i="2"/>
  <c r="AL444" i="2"/>
  <c r="AV444" i="2"/>
  <c r="AN425" i="2"/>
  <c r="AX425" i="2"/>
  <c r="AT421" i="2"/>
  <c r="AW421" i="2"/>
  <c r="AU420" i="2"/>
  <c r="AQ433" i="2"/>
  <c r="AW468" i="2"/>
  <c r="AJ422" i="2"/>
  <c r="AT422" i="2"/>
  <c r="AN451" i="2"/>
  <c r="AX451" i="2"/>
  <c r="AW434" i="2"/>
  <c r="AY469" i="2"/>
  <c r="AW429" i="2"/>
  <c r="AQ424" i="2"/>
  <c r="AL467" i="2"/>
  <c r="AV467" i="2"/>
  <c r="AW467" i="2"/>
  <c r="AL441" i="2"/>
  <c r="AV441" i="2"/>
  <c r="AN429" i="2"/>
  <c r="AX429" i="2"/>
  <c r="AF432" i="2"/>
  <c r="AS432" i="2"/>
  <c r="AP432" i="2"/>
  <c r="AY432" i="2"/>
  <c r="AT432" i="2"/>
  <c r="AF430" i="2"/>
  <c r="AY430" i="2"/>
  <c r="AP430" i="2"/>
  <c r="AS430" i="2"/>
  <c r="AT430" i="2"/>
  <c r="AF469" i="2"/>
  <c r="AP469" i="2"/>
  <c r="AS469" i="2"/>
  <c r="AT469" i="2"/>
  <c r="AJ442" i="2"/>
  <c r="AT442" i="2"/>
  <c r="AN445" i="2"/>
  <c r="AX445" i="2"/>
  <c r="AH434" i="2"/>
  <c r="AR434" i="2"/>
  <c r="AX435" i="2"/>
  <c r="AU431" i="2"/>
  <c r="AU438" i="2"/>
  <c r="AQ452" i="2"/>
  <c r="AU437" i="2"/>
  <c r="AW417" i="2"/>
  <c r="AH424" i="2"/>
  <c r="AH421" i="2"/>
  <c r="AH426" i="2"/>
  <c r="AH435" i="2"/>
  <c r="AH422" i="2"/>
  <c r="AQ397" i="2"/>
  <c r="AH449" i="2"/>
  <c r="AF422" i="2"/>
  <c r="AJ449" i="2"/>
  <c r="AJ421" i="2"/>
  <c r="AF423" i="2"/>
  <c r="AN435" i="2"/>
  <c r="AH423" i="2"/>
  <c r="AN449" i="2"/>
  <c r="AH428" i="2"/>
  <c r="AL435" i="2"/>
  <c r="AL449" i="2"/>
  <c r="AL421" i="2"/>
  <c r="AH425" i="2"/>
  <c r="AF421" i="2"/>
  <c r="AF435" i="2"/>
  <c r="AF428" i="2"/>
  <c r="AH427" i="2"/>
  <c r="AF426" i="2"/>
  <c r="AF449" i="2"/>
  <c r="AN421" i="2"/>
  <c r="AF427" i="2"/>
  <c r="AF425" i="2"/>
  <c r="AF424" i="2"/>
  <c r="AW413" i="2"/>
  <c r="AQ413" i="2"/>
  <c r="AW397" i="2"/>
  <c r="AU413" i="2"/>
  <c r="AW405" i="2"/>
  <c r="AN397" i="2"/>
  <c r="AX397" i="2"/>
  <c r="AU362" i="2"/>
  <c r="AU397" i="2"/>
  <c r="AU405" i="2"/>
  <c r="AQ405" i="2"/>
  <c r="AF386" i="2"/>
  <c r="AP386" i="2"/>
  <c r="AH413" i="2"/>
  <c r="AR413" i="2"/>
  <c r="AH397" i="2"/>
  <c r="AR397" i="2"/>
  <c r="AF397" i="2"/>
  <c r="AT397" i="2"/>
  <c r="AY397" i="2"/>
  <c r="AP397" i="2"/>
  <c r="AH405" i="2"/>
  <c r="AR405" i="2"/>
  <c r="AX413" i="2"/>
  <c r="AY413" i="2"/>
  <c r="AP413" i="2"/>
  <c r="AT413" i="2"/>
  <c r="AF413" i="2"/>
  <c r="AL405" i="2"/>
  <c r="AV405" i="2"/>
  <c r="AF405" i="2"/>
  <c r="AY405" i="2"/>
  <c r="AT405" i="2"/>
  <c r="AP405" i="2"/>
  <c r="AL397" i="2"/>
  <c r="AV397" i="2"/>
  <c r="AL413" i="2"/>
  <c r="AV413" i="2"/>
  <c r="AN405" i="2"/>
  <c r="AX405" i="2"/>
  <c r="AQ368" i="2"/>
  <c r="AU359" i="2"/>
  <c r="AU373" i="2"/>
  <c r="AQ369" i="2"/>
  <c r="AW377" i="2"/>
  <c r="AU369" i="2"/>
  <c r="AW364" i="2"/>
  <c r="AQ371" i="2"/>
  <c r="AQ370" i="2"/>
  <c r="AW362" i="2"/>
  <c r="AU367" i="2"/>
  <c r="AU377" i="2"/>
  <c r="AQ372" i="2"/>
  <c r="AU363" i="2"/>
  <c r="AU365" i="2"/>
  <c r="W353" i="6"/>
  <c r="X11" i="14" s="1"/>
  <c r="AW359" i="2"/>
  <c r="AQ383" i="2"/>
  <c r="AW378" i="2"/>
  <c r="AU368" i="2"/>
  <c r="AU366" i="2"/>
  <c r="AQ365" i="2"/>
  <c r="AW366" i="2"/>
  <c r="AU380" i="2"/>
  <c r="AQ377" i="2"/>
  <c r="AW382" i="2"/>
  <c r="AW358" i="2"/>
  <c r="AQ373" i="2"/>
  <c r="AW374" i="2"/>
  <c r="AW363" i="2"/>
  <c r="AU360" i="2"/>
  <c r="AN381" i="2"/>
  <c r="AX381" i="2"/>
  <c r="AF361" i="2"/>
  <c r="AP361" i="2"/>
  <c r="AY361" i="2"/>
  <c r="AF363" i="2"/>
  <c r="AY363" i="2"/>
  <c r="AP363" i="2"/>
  <c r="AN364" i="2"/>
  <c r="AX364" i="2"/>
  <c r="AJ376" i="2"/>
  <c r="AT376" i="2"/>
  <c r="AL365" i="2"/>
  <c r="AV365" i="2"/>
  <c r="AQ366" i="2"/>
  <c r="AH359" i="2"/>
  <c r="AR359" i="2"/>
  <c r="AF379" i="2"/>
  <c r="AY379" i="2"/>
  <c r="AP379" i="2"/>
  <c r="AN372" i="2"/>
  <c r="AX372" i="2"/>
  <c r="AT368" i="2"/>
  <c r="AJ368" i="2"/>
  <c r="AL368" i="2"/>
  <c r="AV368" i="2"/>
  <c r="AQ378" i="2"/>
  <c r="AH376" i="2"/>
  <c r="AR376" i="2"/>
  <c r="AF371" i="2"/>
  <c r="AP371" i="2"/>
  <c r="AY371" i="2"/>
  <c r="AN368" i="2"/>
  <c r="AX368" i="2"/>
  <c r="AT360" i="2"/>
  <c r="AJ360" i="2"/>
  <c r="AL359" i="2"/>
  <c r="AV359" i="2"/>
  <c r="AH363" i="2"/>
  <c r="AR363" i="2"/>
  <c r="AF362" i="2"/>
  <c r="AY362" i="2"/>
  <c r="AP362" i="2"/>
  <c r="AN376" i="2"/>
  <c r="AX376" i="2"/>
  <c r="AJ382" i="2"/>
  <c r="AT382" i="2"/>
  <c r="AL376" i="2"/>
  <c r="AV376" i="2"/>
  <c r="AH379" i="2"/>
  <c r="AR379" i="2"/>
  <c r="AQ376" i="2"/>
  <c r="AH375" i="2"/>
  <c r="AR375" i="2"/>
  <c r="AF378" i="2"/>
  <c r="AY378" i="2"/>
  <c r="AP378" i="2"/>
  <c r="AU378" i="2"/>
  <c r="AN367" i="2"/>
  <c r="AX367" i="2"/>
  <c r="AJ383" i="2"/>
  <c r="AT383" i="2"/>
  <c r="AL371" i="2"/>
  <c r="AV371" i="2"/>
  <c r="AH370" i="2"/>
  <c r="AR370" i="2"/>
  <c r="AF366" i="2"/>
  <c r="AP366" i="2"/>
  <c r="AY366" i="2"/>
  <c r="AN383" i="2"/>
  <c r="AX383" i="2"/>
  <c r="AJ375" i="2"/>
  <c r="AT375" i="2"/>
  <c r="AL362" i="2"/>
  <c r="AV362" i="2"/>
  <c r="AH362" i="2"/>
  <c r="AR362" i="2"/>
  <c r="AF367" i="2"/>
  <c r="AY367" i="2"/>
  <c r="AP367" i="2"/>
  <c r="AN380" i="2"/>
  <c r="AX380" i="2"/>
  <c r="AT378" i="2"/>
  <c r="AJ378" i="2"/>
  <c r="AL367" i="2"/>
  <c r="AV367" i="2"/>
  <c r="AW372" i="2"/>
  <c r="AN371" i="2"/>
  <c r="AX371" i="2"/>
  <c r="AJ377" i="2"/>
  <c r="AT377" i="2"/>
  <c r="AL379" i="2"/>
  <c r="AV379" i="2"/>
  <c r="AH378" i="2"/>
  <c r="AR378" i="2"/>
  <c r="AQ380" i="2"/>
  <c r="AN362" i="2"/>
  <c r="AX362" i="2"/>
  <c r="AJ381" i="2"/>
  <c r="AT381" i="2"/>
  <c r="AL366" i="2"/>
  <c r="AV366" i="2"/>
  <c r="AH366" i="2"/>
  <c r="AR366" i="2"/>
  <c r="AL380" i="2"/>
  <c r="AV380" i="2"/>
  <c r="AQ361" i="2"/>
  <c r="AN370" i="2"/>
  <c r="AX370" i="2"/>
  <c r="AL378" i="2"/>
  <c r="AV378" i="2"/>
  <c r="AW379" i="2"/>
  <c r="AH374" i="2"/>
  <c r="AR374" i="2"/>
  <c r="AW380" i="2"/>
  <c r="AH367" i="2"/>
  <c r="AR367" i="2"/>
  <c r="AN366" i="2"/>
  <c r="AX366" i="2"/>
  <c r="AL374" i="2"/>
  <c r="AV374" i="2"/>
  <c r="AH371" i="2"/>
  <c r="AR371" i="2"/>
  <c r="AW360" i="2"/>
  <c r="AN374" i="2"/>
  <c r="AX374" i="2"/>
  <c r="AL382" i="2"/>
  <c r="AV382" i="2"/>
  <c r="AQ362" i="2"/>
  <c r="AQ359" i="2"/>
  <c r="AF383" i="2"/>
  <c r="AP383" i="2"/>
  <c r="AY383" i="2"/>
  <c r="AU383" i="2"/>
  <c r="AN382" i="2"/>
  <c r="AX382" i="2"/>
  <c r="AL361" i="2"/>
  <c r="AV361" i="2"/>
  <c r="AF374" i="2"/>
  <c r="AP374" i="2"/>
  <c r="AY374" i="2"/>
  <c r="AU374" i="2"/>
  <c r="AW361" i="2"/>
  <c r="AW371" i="2"/>
  <c r="AF365" i="2"/>
  <c r="AY365" i="2"/>
  <c r="AP365" i="2"/>
  <c r="AW365" i="2"/>
  <c r="AW381" i="2"/>
  <c r="AQ381" i="2"/>
  <c r="AF382" i="2"/>
  <c r="AP382" i="2"/>
  <c r="AY382" i="2"/>
  <c r="AT363" i="2"/>
  <c r="AJ363" i="2"/>
  <c r="AU382" i="2"/>
  <c r="AQ382" i="2"/>
  <c r="AH382" i="2"/>
  <c r="AR382" i="2"/>
  <c r="AQ379" i="2"/>
  <c r="AW383" i="2"/>
  <c r="AF375" i="2"/>
  <c r="AP375" i="2"/>
  <c r="AY375" i="2"/>
  <c r="AU375" i="2"/>
  <c r="AJ358" i="2"/>
  <c r="AT358" i="2"/>
  <c r="AF373" i="2"/>
  <c r="AY373" i="2"/>
  <c r="AP373" i="2"/>
  <c r="AJ374" i="2"/>
  <c r="AT374" i="2"/>
  <c r="AH361" i="2"/>
  <c r="AR361" i="2"/>
  <c r="AF369" i="2"/>
  <c r="AY369" i="2"/>
  <c r="AP369" i="2"/>
  <c r="AN379" i="2"/>
  <c r="AX379" i="2"/>
  <c r="AJ364" i="2"/>
  <c r="AT364" i="2"/>
  <c r="AL370" i="2"/>
  <c r="AV370" i="2"/>
  <c r="AW369" i="2"/>
  <c r="AH365" i="2"/>
  <c r="AR365" i="2"/>
  <c r="AQ363" i="2"/>
  <c r="AL372" i="2"/>
  <c r="AV372" i="2"/>
  <c r="AL363" i="2"/>
  <c r="AV363" i="2"/>
  <c r="AT361" i="2"/>
  <c r="AJ361" i="2"/>
  <c r="AH383" i="2"/>
  <c r="AR383" i="2"/>
  <c r="AN359" i="2"/>
  <c r="AX359" i="2"/>
  <c r="AF377" i="2"/>
  <c r="AY377" i="2"/>
  <c r="AP377" i="2"/>
  <c r="AN378" i="2"/>
  <c r="AX378" i="2"/>
  <c r="AJ372" i="2"/>
  <c r="AT372" i="2"/>
  <c r="AL375" i="2"/>
  <c r="AV375" i="2"/>
  <c r="AH373" i="2"/>
  <c r="AR373" i="2"/>
  <c r="AU372" i="2"/>
  <c r="AF358" i="2"/>
  <c r="AY358" i="2"/>
  <c r="AP358" i="2"/>
  <c r="AU358" i="2"/>
  <c r="AN363" i="2"/>
  <c r="AX363" i="2"/>
  <c r="AT371" i="2"/>
  <c r="AJ371" i="2"/>
  <c r="AL383" i="2"/>
  <c r="AV383" i="2"/>
  <c r="AU361" i="2"/>
  <c r="AH369" i="2"/>
  <c r="AR369" i="2"/>
  <c r="AQ375" i="2"/>
  <c r="AW367" i="2"/>
  <c r="AN358" i="2"/>
  <c r="AX358" i="2"/>
  <c r="AU381" i="2"/>
  <c r="AJ367" i="2"/>
  <c r="AT367" i="2"/>
  <c r="AJ379" i="2"/>
  <c r="AT379" i="2"/>
  <c r="AF381" i="2"/>
  <c r="AP381" i="2"/>
  <c r="AY381" i="2"/>
  <c r="AN361" i="2"/>
  <c r="AX361" i="2"/>
  <c r="AJ359" i="2"/>
  <c r="AT359" i="2"/>
  <c r="AL373" i="2"/>
  <c r="AV373" i="2"/>
  <c r="AH360" i="2"/>
  <c r="AR360" i="2"/>
  <c r="AU379" i="2"/>
  <c r="AF364" i="2"/>
  <c r="AP364" i="2"/>
  <c r="AY364" i="2"/>
  <c r="AU364" i="2"/>
  <c r="AN375" i="2"/>
  <c r="AX375" i="2"/>
  <c r="AT370" i="2"/>
  <c r="AJ370" i="2"/>
  <c r="AL369" i="2"/>
  <c r="AV369" i="2"/>
  <c r="AW373" i="2"/>
  <c r="AH377" i="2"/>
  <c r="AR377" i="2"/>
  <c r="AW375" i="2"/>
  <c r="AQ358" i="2"/>
  <c r="AF372" i="2"/>
  <c r="AY372" i="2"/>
  <c r="AP372" i="2"/>
  <c r="AN373" i="2"/>
  <c r="AX373" i="2"/>
  <c r="AJ365" i="2"/>
  <c r="AT365" i="2"/>
  <c r="AL360" i="2"/>
  <c r="AV360" i="2"/>
  <c r="AH381" i="2"/>
  <c r="AR381" i="2"/>
  <c r="AF370" i="2"/>
  <c r="AP370" i="2"/>
  <c r="AY370" i="2"/>
  <c r="AW370" i="2"/>
  <c r="AU370" i="2"/>
  <c r="AQ360" i="2"/>
  <c r="AF368" i="2"/>
  <c r="AY368" i="2"/>
  <c r="AP368" i="2"/>
  <c r="AN369" i="2"/>
  <c r="AX369" i="2"/>
  <c r="AT362" i="2"/>
  <c r="AJ362" i="2"/>
  <c r="AV381" i="2"/>
  <c r="AL381" i="2"/>
  <c r="AQ374" i="2"/>
  <c r="AH364" i="2"/>
  <c r="AR364" i="2"/>
  <c r="AW376" i="2"/>
  <c r="AH380" i="2"/>
  <c r="AR380" i="2"/>
  <c r="AT380" i="2"/>
  <c r="AJ380" i="2"/>
  <c r="AF380" i="2"/>
  <c r="AY380" i="2"/>
  <c r="AP380" i="2"/>
  <c r="AN365" i="2"/>
  <c r="AX365" i="2"/>
  <c r="AJ366" i="2"/>
  <c r="AT366" i="2"/>
  <c r="AL377" i="2"/>
  <c r="AV377" i="2"/>
  <c r="AH372" i="2"/>
  <c r="AR372" i="2"/>
  <c r="AW368" i="2"/>
  <c r="AF359" i="2"/>
  <c r="AY359" i="2"/>
  <c r="AP359" i="2"/>
  <c r="AN360" i="2"/>
  <c r="AX360" i="2"/>
  <c r="AJ369" i="2"/>
  <c r="AT369" i="2"/>
  <c r="AL358" i="2"/>
  <c r="AV358" i="2"/>
  <c r="AU371" i="2"/>
  <c r="AH368" i="2"/>
  <c r="AR368" i="2"/>
  <c r="AQ367" i="2"/>
  <c r="AQ364" i="2"/>
  <c r="AF360" i="2"/>
  <c r="AP360" i="2"/>
  <c r="AY360" i="2"/>
  <c r="AF376" i="2"/>
  <c r="AY376" i="2"/>
  <c r="AP376" i="2"/>
  <c r="AU376" i="2"/>
  <c r="AN377" i="2"/>
  <c r="AX377" i="2"/>
  <c r="AT373" i="2"/>
  <c r="AJ373" i="2"/>
  <c r="AL364" i="2"/>
  <c r="AV364" i="2"/>
  <c r="AH358" i="2"/>
  <c r="AR358" i="2"/>
  <c r="U380" i="6"/>
  <c r="V10" i="19" s="1"/>
  <c r="U385" i="6"/>
  <c r="V15" i="19" s="1"/>
  <c r="U390" i="6"/>
  <c r="V20" i="19" s="1"/>
  <c r="U397" i="6"/>
  <c r="V27" i="19" s="1"/>
  <c r="U382" i="6"/>
  <c r="V12" i="19" s="1"/>
  <c r="U384" i="6"/>
  <c r="V14" i="19" s="1"/>
  <c r="U379" i="6"/>
  <c r="V9" i="19" s="1"/>
  <c r="U375" i="6"/>
  <c r="V5" i="19" s="1"/>
  <c r="U396" i="6"/>
  <c r="V26" i="19" s="1"/>
  <c r="U392" i="6"/>
  <c r="V22" i="19" s="1"/>
  <c r="U387" i="6"/>
  <c r="V17" i="19" s="1"/>
  <c r="U394" i="6"/>
  <c r="V24" i="19" s="1"/>
  <c r="U386" i="6"/>
  <c r="V16" i="19" s="1"/>
  <c r="U376" i="6"/>
  <c r="V6" i="19" s="1"/>
  <c r="U377" i="6"/>
  <c r="V7" i="19" s="1"/>
  <c r="U389" i="6"/>
  <c r="V19" i="19" s="1"/>
  <c r="U391" i="6"/>
  <c r="V21" i="19" s="1"/>
  <c r="U381" i="6"/>
  <c r="V11" i="19" s="1"/>
  <c r="U399" i="6"/>
  <c r="U374" i="6"/>
  <c r="V4" i="19" s="1"/>
  <c r="U393" i="6"/>
  <c r="V23" i="19" s="1"/>
  <c r="U398" i="6"/>
  <c r="V28" i="19" s="1"/>
  <c r="U383" i="6"/>
  <c r="V13" i="19" s="1"/>
  <c r="U388" i="6"/>
  <c r="V18" i="19" s="1"/>
  <c r="U373" i="6"/>
  <c r="V3" i="19" s="1"/>
  <c r="U378" i="6"/>
  <c r="V8" i="19" s="1"/>
  <c r="U395" i="6"/>
  <c r="V25" i="19" s="1"/>
  <c r="X392" i="6"/>
  <c r="Y22" i="19" s="1"/>
  <c r="X387" i="6"/>
  <c r="Y17" i="19" s="1"/>
  <c r="X377" i="6"/>
  <c r="Y7" i="19" s="1"/>
  <c r="X373" i="6"/>
  <c r="Y3" i="19" s="1"/>
  <c r="W389" i="6"/>
  <c r="X19" i="19" s="1"/>
  <c r="X384" i="6"/>
  <c r="Y14" i="19" s="1"/>
  <c r="X374" i="6"/>
  <c r="Y4" i="19" s="1"/>
  <c r="W395" i="6"/>
  <c r="X25" i="19" s="1"/>
  <c r="X375" i="6"/>
  <c r="Y5" i="19" s="1"/>
  <c r="W396" i="6"/>
  <c r="X26" i="19" s="1"/>
  <c r="W376" i="6"/>
  <c r="X6" i="19" s="1"/>
  <c r="X391" i="6"/>
  <c r="Y21" i="19" s="1"/>
  <c r="W397" i="6"/>
  <c r="X27" i="19" s="1"/>
  <c r="W387" i="6"/>
  <c r="X17" i="19" s="1"/>
  <c r="W399" i="6"/>
  <c r="X389" i="6"/>
  <c r="Y19" i="19" s="1"/>
  <c r="W380" i="6"/>
  <c r="X10" i="19" s="1"/>
  <c r="W385" i="6"/>
  <c r="X15" i="19" s="1"/>
  <c r="W390" i="6"/>
  <c r="X20" i="19" s="1"/>
  <c r="X395" i="6"/>
  <c r="Y25" i="19" s="1"/>
  <c r="W386" i="6"/>
  <c r="X16" i="19" s="1"/>
  <c r="W391" i="6"/>
  <c r="X21" i="19" s="1"/>
  <c r="X386" i="6"/>
  <c r="Y16" i="19" s="1"/>
  <c r="X381" i="6"/>
  <c r="Y11" i="19" s="1"/>
  <c r="X397" i="6"/>
  <c r="Y27" i="19" s="1"/>
  <c r="W377" i="6"/>
  <c r="X7" i="19" s="1"/>
  <c r="X394" i="6"/>
  <c r="Y24" i="19" s="1"/>
  <c r="W375" i="6"/>
  <c r="X5" i="19" s="1"/>
  <c r="X380" i="6"/>
  <c r="Y10" i="19" s="1"/>
  <c r="X385" i="6"/>
  <c r="Y15" i="19" s="1"/>
  <c r="X390" i="6"/>
  <c r="Y20" i="19" s="1"/>
  <c r="W381" i="6"/>
  <c r="X11" i="19" s="1"/>
  <c r="X396" i="6"/>
  <c r="Y26" i="19" s="1"/>
  <c r="X376" i="6"/>
  <c r="Y6" i="19" s="1"/>
  <c r="X382" i="6"/>
  <c r="Y12" i="19" s="1"/>
  <c r="W374" i="6"/>
  <c r="X4" i="19" s="1"/>
  <c r="W392" i="6"/>
  <c r="X22" i="19" s="1"/>
  <c r="W382" i="6"/>
  <c r="X12" i="19" s="1"/>
  <c r="X378" i="6"/>
  <c r="Y8" i="19" s="1"/>
  <c r="W384" i="6"/>
  <c r="X14" i="19" s="1"/>
  <c r="W393" i="6"/>
  <c r="X23" i="19" s="1"/>
  <c r="W398" i="6"/>
  <c r="X28" i="19" s="1"/>
  <c r="W383" i="6"/>
  <c r="X13" i="19" s="1"/>
  <c r="W388" i="6"/>
  <c r="X18" i="19" s="1"/>
  <c r="X393" i="6"/>
  <c r="Y23" i="19" s="1"/>
  <c r="X398" i="6"/>
  <c r="Y28" i="19" s="1"/>
  <c r="W379" i="6"/>
  <c r="X9" i="19" s="1"/>
  <c r="X379" i="6"/>
  <c r="Y9" i="19" s="1"/>
  <c r="W373" i="6"/>
  <c r="X3" i="19" s="1"/>
  <c r="W378" i="6"/>
  <c r="X8" i="19" s="1"/>
  <c r="X383" i="6"/>
  <c r="Y13" i="19" s="1"/>
  <c r="X388" i="6"/>
  <c r="Y18" i="19" s="1"/>
  <c r="W394" i="6"/>
  <c r="X24" i="19" s="1"/>
  <c r="X399" i="6"/>
  <c r="S377" i="6"/>
  <c r="T7" i="19" s="1"/>
  <c r="S391" i="6"/>
  <c r="T21" i="19" s="1"/>
  <c r="S376" i="6"/>
  <c r="T6" i="19" s="1"/>
  <c r="S397" i="6"/>
  <c r="T27" i="19" s="1"/>
  <c r="S387" i="6"/>
  <c r="T17" i="19" s="1"/>
  <c r="S398" i="6"/>
  <c r="T28" i="19" s="1"/>
  <c r="S395" i="6"/>
  <c r="T25" i="19" s="1"/>
  <c r="S386" i="6"/>
  <c r="T16" i="19" s="1"/>
  <c r="S392" i="6"/>
  <c r="T22" i="19" s="1"/>
  <c r="S383" i="6"/>
  <c r="T13" i="19" s="1"/>
  <c r="S399" i="6"/>
  <c r="S385" i="6"/>
  <c r="T15" i="19" s="1"/>
  <c r="S396" i="6"/>
  <c r="T26" i="19" s="1"/>
  <c r="S381" i="6"/>
  <c r="T11" i="19" s="1"/>
  <c r="S382" i="6"/>
  <c r="T12" i="19" s="1"/>
  <c r="S388" i="6"/>
  <c r="T18" i="19" s="1"/>
  <c r="S384" i="6"/>
  <c r="T14" i="19" s="1"/>
  <c r="S394" i="6"/>
  <c r="T24" i="19" s="1"/>
  <c r="S390" i="6"/>
  <c r="T20" i="19" s="1"/>
  <c r="S393" i="6"/>
  <c r="T23" i="19" s="1"/>
  <c r="S380" i="6"/>
  <c r="T10" i="19" s="1"/>
  <c r="S373" i="6"/>
  <c r="S378" i="6"/>
  <c r="T8" i="19" s="1"/>
  <c r="S389" i="6"/>
  <c r="T19" i="19" s="1"/>
  <c r="S374" i="6"/>
  <c r="T4" i="19" s="1"/>
  <c r="S375" i="6"/>
  <c r="T5" i="19" s="1"/>
  <c r="S379" i="6"/>
  <c r="T9" i="19" s="1"/>
  <c r="AQ339" i="2"/>
  <c r="AW338" i="2"/>
  <c r="AQ340" i="2"/>
  <c r="AQ337" i="2"/>
  <c r="S363" i="6"/>
  <c r="T21" i="14" s="1"/>
  <c r="S367" i="6"/>
  <c r="T25" i="14" s="1"/>
  <c r="AP339" i="2"/>
  <c r="AF339" i="2"/>
  <c r="AY339" i="2"/>
  <c r="AU339" i="2"/>
  <c r="AJ341" i="2"/>
  <c r="AT341" i="2"/>
  <c r="AH337" i="2"/>
  <c r="AR337" i="2"/>
  <c r="AP350" i="2"/>
  <c r="AF350" i="2"/>
  <c r="AY350" i="2"/>
  <c r="AH340" i="2"/>
  <c r="AR340" i="2"/>
  <c r="AJ340" i="2"/>
  <c r="AT340" i="2"/>
  <c r="AN340" i="2"/>
  <c r="AX340" i="2"/>
  <c r="AR339" i="2"/>
  <c r="AH339" i="2"/>
  <c r="AF341" i="2"/>
  <c r="AP341" i="2"/>
  <c r="AY341" i="2"/>
  <c r="AU341" i="2"/>
  <c r="AW341" i="2"/>
  <c r="AL337" i="2"/>
  <c r="AV337" i="2"/>
  <c r="AH350" i="2"/>
  <c r="AR350" i="2"/>
  <c r="AH338" i="2"/>
  <c r="AR338" i="2"/>
  <c r="AU337" i="2"/>
  <c r="AW350" i="2"/>
  <c r="AN337" i="2"/>
  <c r="AX337" i="2"/>
  <c r="AL339" i="2"/>
  <c r="AV339" i="2"/>
  <c r="AL350" i="2"/>
  <c r="AV350" i="2"/>
  <c r="AW340" i="2"/>
  <c r="AL338" i="2"/>
  <c r="AV338" i="2"/>
  <c r="AQ338" i="2"/>
  <c r="AJ337" i="2"/>
  <c r="AT337" i="2"/>
  <c r="AN339" i="2"/>
  <c r="AX339" i="2"/>
  <c r="AN350" i="2"/>
  <c r="AX350" i="2"/>
  <c r="AH341" i="2"/>
  <c r="AR341" i="2"/>
  <c r="AL341" i="2"/>
  <c r="AV341" i="2"/>
  <c r="AU340" i="2"/>
  <c r="AJ338" i="2"/>
  <c r="AT338" i="2"/>
  <c r="AN338" i="2"/>
  <c r="AX338" i="2"/>
  <c r="AU350" i="2"/>
  <c r="AL340" i="2"/>
  <c r="AV340" i="2"/>
  <c r="AT339" i="2"/>
  <c r="AJ339" i="2"/>
  <c r="AF338" i="2"/>
  <c r="AY338" i="2"/>
  <c r="AP338" i="2"/>
  <c r="AU338" i="2"/>
  <c r="AJ350" i="2"/>
  <c r="AT350" i="2"/>
  <c r="AQ350" i="2"/>
  <c r="U363" i="6"/>
  <c r="V21" i="14" s="1"/>
  <c r="U367" i="6"/>
  <c r="V25" i="14" s="1"/>
  <c r="AF337" i="2"/>
  <c r="AY337" i="2"/>
  <c r="AP337" i="2"/>
  <c r="AN341" i="2"/>
  <c r="AX341" i="2"/>
  <c r="AQ341" i="2"/>
  <c r="AF340" i="2"/>
  <c r="AP340" i="2"/>
  <c r="AY340" i="2"/>
  <c r="W367" i="6"/>
  <c r="X25" i="14" s="1"/>
  <c r="X367" i="6"/>
  <c r="Y25" i="14" s="1"/>
  <c r="AW339" i="2"/>
  <c r="AW337" i="2"/>
  <c r="W363" i="6"/>
  <c r="X21" i="14" s="1"/>
  <c r="X363" i="6"/>
  <c r="Y21" i="14" s="1"/>
  <c r="W333" i="6"/>
  <c r="Y16" i="15" s="1"/>
  <c r="W328" i="6"/>
  <c r="Y11" i="15" s="1"/>
  <c r="W332" i="6"/>
  <c r="Y15" i="15" s="1"/>
  <c r="W337" i="6"/>
  <c r="Y20" i="15" s="1"/>
  <c r="X328" i="6"/>
  <c r="Z11" i="15" s="1"/>
  <c r="W327" i="6"/>
  <c r="Y10" i="15" s="1"/>
  <c r="X332" i="6"/>
  <c r="Z15" i="15" s="1"/>
  <c r="X337" i="6"/>
  <c r="Z20" i="15" s="1"/>
  <c r="X327" i="6"/>
  <c r="Z10" i="15" s="1"/>
  <c r="X338" i="6"/>
  <c r="Z21" i="15" s="1"/>
  <c r="W338" i="6"/>
  <c r="Y21" i="15" s="1"/>
  <c r="W323" i="6"/>
  <c r="Y6" i="15" s="1"/>
  <c r="W329" i="6"/>
  <c r="Y12" i="15" s="1"/>
  <c r="W334" i="6"/>
  <c r="Y17" i="15" s="1"/>
  <c r="W339" i="6"/>
  <c r="Y22" i="15" s="1"/>
  <c r="W324" i="6"/>
  <c r="Y7" i="15" s="1"/>
  <c r="X329" i="6"/>
  <c r="Z12" i="15" s="1"/>
  <c r="X334" i="6"/>
  <c r="Z17" i="15" s="1"/>
  <c r="X339" i="6"/>
  <c r="Z22" i="15" s="1"/>
  <c r="X324" i="6"/>
  <c r="Z7" i="15" s="1"/>
  <c r="W335" i="6"/>
  <c r="Y18" i="15" s="1"/>
  <c r="W340" i="6"/>
  <c r="Y23" i="15" s="1"/>
  <c r="X325" i="6"/>
  <c r="Z8" i="15" s="1"/>
  <c r="X330" i="6"/>
  <c r="Z13" i="15" s="1"/>
  <c r="X326" i="6"/>
  <c r="Z9" i="15" s="1"/>
  <c r="X331" i="6"/>
  <c r="Z14" i="15" s="1"/>
  <c r="X336" i="6"/>
  <c r="Z19" i="15" s="1"/>
  <c r="X341" i="6"/>
  <c r="Z24" i="15" s="1"/>
  <c r="X333" i="6"/>
  <c r="Z16" i="15" s="1"/>
  <c r="X323" i="6"/>
  <c r="Z6" i="15" s="1"/>
  <c r="W325" i="6"/>
  <c r="Y8" i="15" s="1"/>
  <c r="W330" i="6"/>
  <c r="Y13" i="15" s="1"/>
  <c r="X335" i="6"/>
  <c r="Z18" i="15" s="1"/>
  <c r="X340" i="6"/>
  <c r="Z23" i="15" s="1"/>
  <c r="W326" i="6"/>
  <c r="Y9" i="15" s="1"/>
  <c r="W331" i="6"/>
  <c r="Y14" i="15" s="1"/>
  <c r="W336" i="6"/>
  <c r="Y19" i="15" s="1"/>
  <c r="W341" i="6"/>
  <c r="Y24" i="15" s="1"/>
  <c r="U332" i="6"/>
  <c r="W15" i="15" s="1"/>
  <c r="U337" i="6"/>
  <c r="W20" i="15" s="1"/>
  <c r="U327" i="6"/>
  <c r="W10" i="15" s="1"/>
  <c r="U323" i="6"/>
  <c r="W6" i="15" s="1"/>
  <c r="U338" i="6"/>
  <c r="W21" i="15" s="1"/>
  <c r="U328" i="6"/>
  <c r="W11" i="15" s="1"/>
  <c r="U333" i="6"/>
  <c r="W16" i="15" s="1"/>
  <c r="U329" i="6"/>
  <c r="W12" i="15" s="1"/>
  <c r="U334" i="6"/>
  <c r="W17" i="15" s="1"/>
  <c r="U339" i="6"/>
  <c r="W22" i="15" s="1"/>
  <c r="U324" i="6"/>
  <c r="W7" i="15" s="1"/>
  <c r="U335" i="6"/>
  <c r="W18" i="15" s="1"/>
  <c r="U340" i="6"/>
  <c r="W23" i="15" s="1"/>
  <c r="U325" i="6"/>
  <c r="W8" i="15" s="1"/>
  <c r="U330" i="6"/>
  <c r="W13" i="15" s="1"/>
  <c r="U326" i="6"/>
  <c r="W9" i="15" s="1"/>
  <c r="U331" i="6"/>
  <c r="W14" i="15" s="1"/>
  <c r="U336" i="6"/>
  <c r="W19" i="15" s="1"/>
  <c r="U341" i="6"/>
  <c r="W24" i="15" s="1"/>
  <c r="S332" i="6"/>
  <c r="U15" i="15" s="1"/>
  <c r="S337" i="6"/>
  <c r="U20" i="15" s="1"/>
  <c r="S327" i="6"/>
  <c r="U10" i="15" s="1"/>
  <c r="S338" i="6"/>
  <c r="U21" i="15" s="1"/>
  <c r="S328" i="6"/>
  <c r="U11" i="15" s="1"/>
  <c r="S333" i="6"/>
  <c r="U16" i="15" s="1"/>
  <c r="S323" i="6"/>
  <c r="U6" i="15" s="1"/>
  <c r="S335" i="6"/>
  <c r="U18" i="15" s="1"/>
  <c r="S340" i="6"/>
  <c r="U23" i="15" s="1"/>
  <c r="S325" i="6"/>
  <c r="U8" i="15" s="1"/>
  <c r="S330" i="6"/>
  <c r="U13" i="15" s="1"/>
  <c r="S326" i="6"/>
  <c r="U9" i="15" s="1"/>
  <c r="S331" i="6"/>
  <c r="U14" i="15" s="1"/>
  <c r="S336" i="6"/>
  <c r="U19" i="15" s="1"/>
  <c r="S341" i="6"/>
  <c r="U24" i="15" s="1"/>
  <c r="S329" i="6"/>
  <c r="U12" i="15" s="1"/>
  <c r="S334" i="6"/>
  <c r="U17" i="15" s="1"/>
  <c r="S339" i="6"/>
  <c r="U22" i="15" s="1"/>
  <c r="S324" i="6"/>
  <c r="U7" i="15" s="1"/>
  <c r="AR276" i="2"/>
  <c r="BZ290" i="2"/>
  <c r="CC290" i="2"/>
  <c r="CA290" i="2"/>
  <c r="AT324" i="2"/>
  <c r="CK294" i="2"/>
  <c r="CI294" i="2"/>
  <c r="CB302" i="2"/>
  <c r="BZ302" i="2"/>
  <c r="CC302" i="2"/>
  <c r="CA302" i="2"/>
  <c r="AW276" i="2"/>
  <c r="AX276" i="2"/>
  <c r="AT276" i="2"/>
  <c r="AV276" i="2"/>
  <c r="AY276" i="2"/>
  <c r="AU276" i="2"/>
  <c r="AQ276" i="2"/>
  <c r="AP276" i="2"/>
  <c r="AN315" i="6"/>
  <c r="X316" i="6"/>
  <c r="AA56" i="8" s="1"/>
  <c r="X311" i="6"/>
  <c r="AA51" i="8" s="1"/>
  <c r="W309" i="6"/>
  <c r="Z49" i="8" s="1"/>
  <c r="X310" i="6"/>
  <c r="AA50" i="8" s="1"/>
  <c r="X295" i="6"/>
  <c r="AA35" i="8" s="1"/>
  <c r="X297" i="6"/>
  <c r="AA37" i="8" s="1"/>
  <c r="X292" i="6"/>
  <c r="AA32" i="8" s="1"/>
  <c r="X286" i="6"/>
  <c r="AA26" i="8" s="1"/>
  <c r="X287" i="6"/>
  <c r="AA27" i="8" s="1"/>
  <c r="X288" i="6"/>
  <c r="AA28" i="8" s="1"/>
  <c r="X289" i="6"/>
  <c r="AA29" i="8" s="1"/>
  <c r="X285" i="6"/>
  <c r="AA25" i="8" s="1"/>
  <c r="S316" i="6"/>
  <c r="V56" i="8" s="1"/>
  <c r="S311" i="6"/>
  <c r="V51" i="8" s="1"/>
  <c r="S310" i="6"/>
  <c r="V50" i="8" s="1"/>
  <c r="S292" i="6"/>
  <c r="V32" i="8" s="1"/>
  <c r="S289" i="6"/>
  <c r="V29" i="8" s="1"/>
  <c r="S288" i="6"/>
  <c r="V28" i="8" s="1"/>
  <c r="S287" i="6"/>
  <c r="V27" i="8" s="1"/>
  <c r="S286" i="6"/>
  <c r="V26" i="8" s="1"/>
  <c r="S269" i="6"/>
  <c r="V9" i="8" s="1"/>
  <c r="S285" i="6"/>
  <c r="V25" i="8" s="1"/>
  <c r="S267" i="6"/>
  <c r="V7" i="8" s="1"/>
  <c r="W310" i="6"/>
  <c r="Z50" i="8" s="1"/>
  <c r="U316" i="6"/>
  <c r="X56" i="8" s="1"/>
  <c r="U311" i="6"/>
  <c r="X51" i="8" s="1"/>
  <c r="U310" i="6"/>
  <c r="X50" i="8" s="1"/>
  <c r="U292" i="6"/>
  <c r="X32" i="8" s="1"/>
  <c r="U289" i="6"/>
  <c r="X29" i="8" s="1"/>
  <c r="U288" i="6"/>
  <c r="X28" i="8" s="1"/>
  <c r="U287" i="6"/>
  <c r="X27" i="8" s="1"/>
  <c r="U286" i="6"/>
  <c r="X26" i="8" s="1"/>
  <c r="U285" i="6"/>
  <c r="X25" i="8" s="1"/>
  <c r="U269" i="6"/>
  <c r="X9" i="8" s="1"/>
  <c r="U267" i="6"/>
  <c r="X7" i="8" s="1"/>
  <c r="X269" i="6"/>
  <c r="AA9" i="8" s="1"/>
  <c r="X267" i="6"/>
  <c r="AA7" i="8" s="1"/>
  <c r="W267" i="6"/>
  <c r="Z7" i="8" s="1"/>
  <c r="CB190" i="2"/>
  <c r="BY190" i="2"/>
  <c r="AU257" i="2"/>
  <c r="AU259" i="2"/>
  <c r="AW261" i="2"/>
  <c r="AW258" i="2"/>
  <c r="AW254" i="2"/>
  <c r="AX265" i="2"/>
  <c r="AU271" i="2"/>
  <c r="AV269" i="2"/>
  <c r="AV259" i="2"/>
  <c r="AW266" i="2"/>
  <c r="AT271" i="2"/>
  <c r="AW257" i="2"/>
  <c r="AP260" i="2"/>
  <c r="AQ260" i="2"/>
  <c r="AR260" i="2"/>
  <c r="AY260" i="2"/>
  <c r="AV254" i="2"/>
  <c r="AT259" i="2"/>
  <c r="AV255" i="2"/>
  <c r="AP269" i="2"/>
  <c r="AR269" i="2"/>
  <c r="AQ269" i="2"/>
  <c r="AY269" i="2"/>
  <c r="AT261" i="2"/>
  <c r="AV261" i="2"/>
  <c r="AT262" i="2"/>
  <c r="AV257" i="2"/>
  <c r="AV262" i="2"/>
  <c r="AV271" i="2"/>
  <c r="AU269" i="2"/>
  <c r="AX254" i="2"/>
  <c r="AW271" i="2"/>
  <c r="AT269" i="2"/>
  <c r="AX262" i="2"/>
  <c r="AP258" i="2"/>
  <c r="AQ258" i="2"/>
  <c r="AR258" i="2"/>
  <c r="AY258" i="2"/>
  <c r="AX259" i="2"/>
  <c r="AU258" i="2"/>
  <c r="AX255" i="2"/>
  <c r="AQ265" i="2"/>
  <c r="AY265" i="2"/>
  <c r="AP255" i="2"/>
  <c r="AQ255" i="2"/>
  <c r="AR255" i="2"/>
  <c r="AY255" i="2"/>
  <c r="AX269" i="2"/>
  <c r="AT260" i="2"/>
  <c r="AX271" i="2"/>
  <c r="AT255" i="2"/>
  <c r="AX260" i="2"/>
  <c r="AX266" i="2"/>
  <c r="AX257" i="2"/>
  <c r="AT258" i="2"/>
  <c r="AX258" i="2"/>
  <c r="AP257" i="2"/>
  <c r="AQ257" i="2"/>
  <c r="AR257" i="2"/>
  <c r="AY257" i="2"/>
  <c r="AQ254" i="2"/>
  <c r="AP254" i="2"/>
  <c r="AR254" i="2"/>
  <c r="AY254" i="2"/>
  <c r="AT266" i="2"/>
  <c r="AU255" i="2"/>
  <c r="AT265" i="2"/>
  <c r="AW260" i="2"/>
  <c r="AW265" i="2"/>
  <c r="AP259" i="2"/>
  <c r="AR259" i="2"/>
  <c r="AQ259" i="2"/>
  <c r="AY259" i="2"/>
  <c r="AW255" i="2"/>
  <c r="AQ262" i="2"/>
  <c r="AR262" i="2"/>
  <c r="AY262" i="2"/>
  <c r="AP261" i="2"/>
  <c r="AQ261" i="2"/>
  <c r="AR261" i="2"/>
  <c r="AT257" i="2"/>
  <c r="AW259" i="2"/>
  <c r="AT254" i="2"/>
  <c r="AU254" i="2"/>
  <c r="AR271" i="2"/>
  <c r="AP271" i="2"/>
  <c r="AQ271" i="2"/>
  <c r="AY271" i="2"/>
  <c r="AV266" i="2"/>
  <c r="AW269" i="2"/>
  <c r="AP266" i="2"/>
  <c r="AR266" i="2"/>
  <c r="AQ266" i="2"/>
  <c r="AY266" i="2"/>
  <c r="AV265" i="2"/>
  <c r="AU262" i="2"/>
  <c r="AV260" i="2"/>
  <c r="AU266" i="2"/>
  <c r="AV258" i="2"/>
  <c r="BM215" i="2"/>
  <c r="AK215" i="2" s="1"/>
  <c r="AU260" i="2"/>
  <c r="U233" i="6"/>
  <c r="W8" i="10" s="1"/>
  <c r="U236" i="6"/>
  <c r="W11" i="10" s="1"/>
  <c r="U237" i="6"/>
  <c r="W12" i="10" s="1"/>
  <c r="U230" i="6"/>
  <c r="W5" i="10" s="1"/>
  <c r="U238" i="6"/>
  <c r="W13" i="10" s="1"/>
  <c r="U232" i="6"/>
  <c r="W7" i="10" s="1"/>
  <c r="U234" i="6"/>
  <c r="W9" i="10" s="1"/>
  <c r="U235" i="6"/>
  <c r="W10" i="10" s="1"/>
  <c r="X235" i="6"/>
  <c r="Z10" i="10" s="1"/>
  <c r="X236" i="6"/>
  <c r="Z11" i="10" s="1"/>
  <c r="X237" i="6"/>
  <c r="Z12" i="10" s="1"/>
  <c r="X230" i="6"/>
  <c r="Z5" i="10" s="1"/>
  <c r="X238" i="6"/>
  <c r="Z13" i="10" s="1"/>
  <c r="X232" i="6"/>
  <c r="Z7" i="10" s="1"/>
  <c r="X233" i="6"/>
  <c r="Z8" i="10" s="1"/>
  <c r="X234" i="6"/>
  <c r="Z9" i="10" s="1"/>
  <c r="S236" i="6"/>
  <c r="U11" i="10" s="1"/>
  <c r="S237" i="6"/>
  <c r="U12" i="10" s="1"/>
  <c r="S230" i="6"/>
  <c r="U5" i="10" s="1"/>
  <c r="S238" i="6"/>
  <c r="U13" i="10" s="1"/>
  <c r="S232" i="6"/>
  <c r="U7" i="10" s="1"/>
  <c r="S233" i="6"/>
  <c r="U8" i="10" s="1"/>
  <c r="S234" i="6"/>
  <c r="U9" i="10" s="1"/>
  <c r="S235" i="6"/>
  <c r="U10" i="10" s="1"/>
  <c r="CA190" i="2"/>
  <c r="CC190" i="2"/>
  <c r="BZ190" i="2"/>
  <c r="BN215" i="2"/>
  <c r="AL215" i="2" s="1"/>
  <c r="BO215" i="2"/>
  <c r="AM215" i="2" s="1"/>
  <c r="AP197" i="2"/>
  <c r="AX191" i="2"/>
  <c r="AU230" i="2"/>
  <c r="AQ233" i="2"/>
  <c r="AP172" i="2"/>
  <c r="AY171" i="2"/>
  <c r="AT213" i="2"/>
  <c r="AY234" i="2"/>
  <c r="AQ183" i="2"/>
  <c r="AP181" i="2"/>
  <c r="AP184" i="2"/>
  <c r="AR180" i="2"/>
  <c r="AW182" i="2"/>
  <c r="AY217" i="2"/>
  <c r="AP223" i="2"/>
  <c r="AT184" i="2"/>
  <c r="AT176" i="2"/>
  <c r="AR223" i="2"/>
  <c r="AU228" i="2"/>
  <c r="AR231" i="2"/>
  <c r="AT223" i="2"/>
  <c r="AX177" i="2"/>
  <c r="AU238" i="2"/>
  <c r="O205" i="2"/>
  <c r="Z205" i="2" s="1"/>
  <c r="AJ205" i="2" s="1"/>
  <c r="M205" i="2"/>
  <c r="X205" i="2" s="1"/>
  <c r="AH205" i="2" s="1"/>
  <c r="AV206" i="2"/>
  <c r="AP192" i="2"/>
  <c r="AP189" i="2"/>
  <c r="AW214" i="2"/>
  <c r="AX236" i="2"/>
  <c r="AX173" i="2"/>
  <c r="AT175" i="2"/>
  <c r="AT238" i="2"/>
  <c r="AR228" i="2"/>
  <c r="AT231" i="2"/>
  <c r="AX223" i="2"/>
  <c r="AR191" i="2"/>
  <c r="AV208" i="2"/>
  <c r="AV223" i="2"/>
  <c r="AT208" i="2"/>
  <c r="AT191" i="2"/>
  <c r="AP186" i="2"/>
  <c r="AQ172" i="2"/>
  <c r="AT230" i="2"/>
  <c r="AR181" i="2"/>
  <c r="AV230" i="2"/>
  <c r="AV228" i="2"/>
  <c r="AR197" i="2"/>
  <c r="AX192" i="2"/>
  <c r="AY191" i="2"/>
  <c r="AP201" i="2"/>
  <c r="AX204" i="2"/>
  <c r="AQ181" i="2"/>
  <c r="AW230" i="2"/>
  <c r="AP217" i="2"/>
  <c r="AY214" i="2"/>
  <c r="AW191" i="2"/>
  <c r="AV232" i="2"/>
  <c r="AX194" i="2"/>
  <c r="AR230" i="2"/>
  <c r="AQ184" i="2"/>
  <c r="AY233" i="2"/>
  <c r="AP238" i="2"/>
  <c r="AW233" i="2"/>
  <c r="AQ192" i="2"/>
  <c r="AQ179" i="2"/>
  <c r="AX233" i="2"/>
  <c r="AP203" i="2"/>
  <c r="AV213" i="2"/>
  <c r="AU193" i="2"/>
  <c r="AV233" i="2"/>
  <c r="AU213" i="2"/>
  <c r="AR172" i="2"/>
  <c r="AP170" i="2"/>
  <c r="AR232" i="2"/>
  <c r="AU233" i="2"/>
  <c r="AU172" i="2"/>
  <c r="AU234" i="2"/>
  <c r="AT233" i="2"/>
  <c r="AT232" i="2"/>
  <c r="AV183" i="2"/>
  <c r="AX232" i="2"/>
  <c r="AY184" i="2"/>
  <c r="AP198" i="2"/>
  <c r="AX184" i="2"/>
  <c r="AY232" i="2"/>
  <c r="AP229" i="2"/>
  <c r="AW206" i="2"/>
  <c r="AW184" i="2"/>
  <c r="AQ232" i="2"/>
  <c r="AU175" i="2"/>
  <c r="AQ236" i="2"/>
  <c r="AW177" i="2"/>
  <c r="AV184" i="2"/>
  <c r="AY179" i="2"/>
  <c r="AR171" i="2"/>
  <c r="AQ174" i="2"/>
  <c r="AV177" i="2"/>
  <c r="AU184" i="2"/>
  <c r="AY207" i="2"/>
  <c r="AW169" i="2"/>
  <c r="AU177" i="2"/>
  <c r="AT225" i="2"/>
  <c r="AT177" i="2"/>
  <c r="AP228" i="2"/>
  <c r="AY223" i="2"/>
  <c r="AR177" i="2"/>
  <c r="AU194" i="2"/>
  <c r="AX199" i="2"/>
  <c r="AQ177" i="2"/>
  <c r="AV231" i="2"/>
  <c r="AP177" i="2"/>
  <c r="AT222" i="2"/>
  <c r="AP234" i="2"/>
  <c r="AW223" i="2"/>
  <c r="AY177" i="2"/>
  <c r="AU223" i="2"/>
  <c r="AU226" i="2"/>
  <c r="AW179" i="2"/>
  <c r="AT188" i="2"/>
  <c r="AW168" i="2"/>
  <c r="AX234" i="2"/>
  <c r="AX168" i="2"/>
  <c r="AY226" i="2"/>
  <c r="AW232" i="2"/>
  <c r="AP221" i="2"/>
  <c r="AP226" i="2"/>
  <c r="AX182" i="2"/>
  <c r="AP219" i="2"/>
  <c r="AX226" i="2"/>
  <c r="AR233" i="2"/>
  <c r="AX179" i="2"/>
  <c r="AQ223" i="2"/>
  <c r="AW226" i="2"/>
  <c r="AT228" i="2"/>
  <c r="AR237" i="2"/>
  <c r="AX217" i="2"/>
  <c r="AT196" i="2"/>
  <c r="AW180" i="2"/>
  <c r="AU183" i="2"/>
  <c r="AR173" i="2"/>
  <c r="AP214" i="2"/>
  <c r="AU208" i="2"/>
  <c r="AV220" i="2"/>
  <c r="AP179" i="2"/>
  <c r="AV200" i="2"/>
  <c r="AT218" i="2"/>
  <c r="AY208" i="2"/>
  <c r="AW178" i="2"/>
  <c r="AP235" i="2"/>
  <c r="AQ191" i="2"/>
  <c r="AX212" i="2"/>
  <c r="AP202" i="2"/>
  <c r="AV180" i="2"/>
  <c r="AQ234" i="2"/>
  <c r="AV238" i="2"/>
  <c r="AP178" i="2"/>
  <c r="AR192" i="2"/>
  <c r="AT172" i="2"/>
  <c r="AU180" i="2"/>
  <c r="AY178" i="2"/>
  <c r="AT180" i="2"/>
  <c r="AX178" i="2"/>
  <c r="AP180" i="2"/>
  <c r="AW217" i="2"/>
  <c r="AX214" i="2"/>
  <c r="AT204" i="2"/>
  <c r="AR213" i="2"/>
  <c r="AX235" i="2"/>
  <c r="AV217" i="2"/>
  <c r="AV214" i="2"/>
  <c r="AR204" i="2"/>
  <c r="AQ213" i="2"/>
  <c r="AW235" i="2"/>
  <c r="AU217" i="2"/>
  <c r="AU214" i="2"/>
  <c r="AW204" i="2"/>
  <c r="AP213" i="2"/>
  <c r="AV235" i="2"/>
  <c r="AT217" i="2"/>
  <c r="AR214" i="2"/>
  <c r="AV204" i="2"/>
  <c r="AY213" i="2"/>
  <c r="AT235" i="2"/>
  <c r="AQ214" i="2"/>
  <c r="AX213" i="2"/>
  <c r="AY230" i="2"/>
  <c r="AR217" i="2"/>
  <c r="AX186" i="2"/>
  <c r="AW213" i="2"/>
  <c r="AX230" i="2"/>
  <c r="AR184" i="2"/>
  <c r="AQ217" i="2"/>
  <c r="AW186" i="2"/>
  <c r="AU220" i="2"/>
  <c r="AR220" i="2"/>
  <c r="AP230" i="2"/>
  <c r="AW193" i="2"/>
  <c r="AR196" i="2"/>
  <c r="AP220" i="2"/>
  <c r="AY202" i="2"/>
  <c r="AT220" i="2"/>
  <c r="AQ230" i="2"/>
  <c r="AV193" i="2"/>
  <c r="AQ196" i="2"/>
  <c r="AU231" i="2"/>
  <c r="AU202" i="2"/>
  <c r="AR193" i="2"/>
  <c r="AX196" i="2"/>
  <c r="AP231" i="2"/>
  <c r="AQ193" i="2"/>
  <c r="AW196" i="2"/>
  <c r="AP233" i="2"/>
  <c r="AR218" i="2"/>
  <c r="AY186" i="2"/>
  <c r="AP193" i="2"/>
  <c r="AV196" i="2"/>
  <c r="AY231" i="2"/>
  <c r="AU178" i="2"/>
  <c r="AW199" i="2"/>
  <c r="AQ218" i="2"/>
  <c r="AY193" i="2"/>
  <c r="AW234" i="2"/>
  <c r="AQ237" i="2"/>
  <c r="AV178" i="2"/>
  <c r="AV199" i="2"/>
  <c r="AP218" i="2"/>
  <c r="AX193" i="2"/>
  <c r="AV234" i="2"/>
  <c r="AW237" i="2"/>
  <c r="AU199" i="2"/>
  <c r="AU218" i="2"/>
  <c r="AY180" i="2"/>
  <c r="AT234" i="2"/>
  <c r="AP237" i="2"/>
  <c r="AT178" i="2"/>
  <c r="AY218" i="2"/>
  <c r="AP196" i="2"/>
  <c r="AT193" i="2"/>
  <c r="AY196" i="2"/>
  <c r="AT212" i="2"/>
  <c r="AX180" i="2"/>
  <c r="AY238" i="2"/>
  <c r="AR178" i="2"/>
  <c r="AQ199" i="2"/>
  <c r="AX218" i="2"/>
  <c r="AQ180" i="2"/>
  <c r="AY235" i="2"/>
  <c r="AV186" i="2"/>
  <c r="AT202" i="2"/>
  <c r="AR234" i="2"/>
  <c r="AX238" i="2"/>
  <c r="AQ178" i="2"/>
  <c r="AY192" i="2"/>
  <c r="AP199" i="2"/>
  <c r="AW203" i="2"/>
  <c r="AX171" i="2"/>
  <c r="AU206" i="2"/>
  <c r="AW236" i="2"/>
  <c r="AR175" i="2"/>
  <c r="AQ197" i="2"/>
  <c r="AT171" i="2"/>
  <c r="AT206" i="2"/>
  <c r="AV236" i="2"/>
  <c r="AQ175" i="2"/>
  <c r="AQ171" i="2"/>
  <c r="AR206" i="2"/>
  <c r="AU236" i="2"/>
  <c r="AP175" i="2"/>
  <c r="AP171" i="2"/>
  <c r="AQ206" i="2"/>
  <c r="AX174" i="2"/>
  <c r="AT236" i="2"/>
  <c r="AU171" i="2"/>
  <c r="AP206" i="2"/>
  <c r="AW174" i="2"/>
  <c r="AY175" i="2"/>
  <c r="AV174" i="2"/>
  <c r="AR236" i="2"/>
  <c r="AW176" i="2"/>
  <c r="AX175" i="2"/>
  <c r="AW171" i="2"/>
  <c r="AU174" i="2"/>
  <c r="AT214" i="2"/>
  <c r="AP236" i="2"/>
  <c r="AV176" i="2"/>
  <c r="AT199" i="2"/>
  <c r="AW175" i="2"/>
  <c r="AV226" i="2"/>
  <c r="AV171" i="2"/>
  <c r="AQ231" i="2"/>
  <c r="AT174" i="2"/>
  <c r="AU204" i="2"/>
  <c r="AU176" i="2"/>
  <c r="AR199" i="2"/>
  <c r="AV175" i="2"/>
  <c r="AY169" i="2"/>
  <c r="AT226" i="2"/>
  <c r="AX169" i="2"/>
  <c r="AR226" i="2"/>
  <c r="AP174" i="2"/>
  <c r="AY188" i="2"/>
  <c r="AY173" i="2"/>
  <c r="AY176" i="2"/>
  <c r="AY199" i="2"/>
  <c r="AY225" i="2"/>
  <c r="AV169" i="2"/>
  <c r="AQ226" i="2"/>
  <c r="AY222" i="2"/>
  <c r="AQ228" i="2"/>
  <c r="AX231" i="2"/>
  <c r="AY174" i="2"/>
  <c r="AX188" i="2"/>
  <c r="AW173" i="2"/>
  <c r="AQ204" i="2"/>
  <c r="AR176" i="2"/>
  <c r="AX225" i="2"/>
  <c r="AU169" i="2"/>
  <c r="AX222" i="2"/>
  <c r="AY228" i="2"/>
  <c r="AW231" i="2"/>
  <c r="AW188" i="2"/>
  <c r="AV173" i="2"/>
  <c r="AP204" i="2"/>
  <c r="AX176" i="2"/>
  <c r="AT168" i="2"/>
  <c r="AX202" i="2"/>
  <c r="AW225" i="2"/>
  <c r="AT169" i="2"/>
  <c r="AW212" i="2"/>
  <c r="AW222" i="2"/>
  <c r="AX228" i="2"/>
  <c r="AV188" i="2"/>
  <c r="AU173" i="2"/>
  <c r="AY204" i="2"/>
  <c r="AQ176" i="2"/>
  <c r="AQ168" i="2"/>
  <c r="AW202" i="2"/>
  <c r="AV225" i="2"/>
  <c r="AR169" i="2"/>
  <c r="AV212" i="2"/>
  <c r="AV222" i="2"/>
  <c r="AU235" i="2"/>
  <c r="AW228" i="2"/>
  <c r="AW229" i="2"/>
  <c r="AW238" i="2"/>
  <c r="AU186" i="2"/>
  <c r="AU188" i="2"/>
  <c r="AT173" i="2"/>
  <c r="AP176" i="2"/>
  <c r="AU182" i="2"/>
  <c r="AY168" i="2"/>
  <c r="AV202" i="2"/>
  <c r="AU225" i="2"/>
  <c r="AQ169" i="2"/>
  <c r="AV194" i="2"/>
  <c r="AU212" i="2"/>
  <c r="AR235" i="2"/>
  <c r="AY201" i="2"/>
  <c r="AV229" i="2"/>
  <c r="AT186" i="2"/>
  <c r="AR188" i="2"/>
  <c r="AP173" i="2"/>
  <c r="AU200" i="2"/>
  <c r="AV182" i="2"/>
  <c r="AV168" i="2"/>
  <c r="AR202" i="2"/>
  <c r="AR225" i="2"/>
  <c r="AV203" i="2"/>
  <c r="AW194" i="2"/>
  <c r="AR212" i="2"/>
  <c r="AR222" i="2"/>
  <c r="AQ235" i="2"/>
  <c r="AX201" i="2"/>
  <c r="AT183" i="2"/>
  <c r="AU229" i="2"/>
  <c r="AR186" i="2"/>
  <c r="AQ188" i="2"/>
  <c r="AT200" i="2"/>
  <c r="AT182" i="2"/>
  <c r="AU168" i="2"/>
  <c r="AQ202" i="2"/>
  <c r="AV207" i="2"/>
  <c r="AU203" i="2"/>
  <c r="AT194" i="2"/>
  <c r="AQ212" i="2"/>
  <c r="AQ222" i="2"/>
  <c r="AX198" i="2"/>
  <c r="AW201" i="2"/>
  <c r="AP183" i="2"/>
  <c r="AT229" i="2"/>
  <c r="AR238" i="2"/>
  <c r="AQ186" i="2"/>
  <c r="AP188" i="2"/>
  <c r="AY221" i="2"/>
  <c r="AR182" i="2"/>
  <c r="AX207" i="2"/>
  <c r="AT203" i="2"/>
  <c r="AR194" i="2"/>
  <c r="AP212" i="2"/>
  <c r="AU222" i="2"/>
  <c r="AP222" i="2"/>
  <c r="AY219" i="2"/>
  <c r="AW198" i="2"/>
  <c r="AV201" i="2"/>
  <c r="AR183" i="2"/>
  <c r="AQ238" i="2"/>
  <c r="AV170" i="2"/>
  <c r="AV221" i="2"/>
  <c r="AR200" i="2"/>
  <c r="AQ182" i="2"/>
  <c r="AR168" i="2"/>
  <c r="AY203" i="2"/>
  <c r="AQ194" i="2"/>
  <c r="AY212" i="2"/>
  <c r="AY229" i="2"/>
  <c r="AX219" i="2"/>
  <c r="AV198" i="2"/>
  <c r="AU201" i="2"/>
  <c r="AR229" i="2"/>
  <c r="AU170" i="2"/>
  <c r="AU221" i="2"/>
  <c r="AQ200" i="2"/>
  <c r="AP182" i="2"/>
  <c r="AP168" i="2"/>
  <c r="AU224" i="2"/>
  <c r="AU207" i="2"/>
  <c r="AX203" i="2"/>
  <c r="AP194" i="2"/>
  <c r="AX229" i="2"/>
  <c r="AY189" i="2"/>
  <c r="AW219" i="2"/>
  <c r="AU198" i="2"/>
  <c r="AT201" i="2"/>
  <c r="AY183" i="2"/>
  <c r="AQ229" i="2"/>
  <c r="AT221" i="2"/>
  <c r="AP200" i="2"/>
  <c r="AY182" i="2"/>
  <c r="AT224" i="2"/>
  <c r="AW207" i="2"/>
  <c r="AY194" i="2"/>
  <c r="AX189" i="2"/>
  <c r="AV219" i="2"/>
  <c r="AY198" i="2"/>
  <c r="AX183" i="2"/>
  <c r="AY170" i="2"/>
  <c r="AY200" i="2"/>
  <c r="AT207" i="2"/>
  <c r="AR203" i="2"/>
  <c r="AQ173" i="2"/>
  <c r="AW189" i="2"/>
  <c r="AU219" i="2"/>
  <c r="AT198" i="2"/>
  <c r="AR201" i="2"/>
  <c r="AW183" i="2"/>
  <c r="AY237" i="2"/>
  <c r="AX181" i="2"/>
  <c r="AX170" i="2"/>
  <c r="AR221" i="2"/>
  <c r="AX200" i="2"/>
  <c r="AQ224" i="2"/>
  <c r="AR207" i="2"/>
  <c r="AQ203" i="2"/>
  <c r="AY197" i="2"/>
  <c r="AP225" i="2"/>
  <c r="AV189" i="2"/>
  <c r="AT219" i="2"/>
  <c r="AR198" i="2"/>
  <c r="AQ201" i="2"/>
  <c r="AX237" i="2"/>
  <c r="AW181" i="2"/>
  <c r="AW170" i="2"/>
  <c r="AQ221" i="2"/>
  <c r="AW200" i="2"/>
  <c r="AQ207" i="2"/>
  <c r="AX197" i="2"/>
  <c r="AP169" i="2"/>
  <c r="AU189" i="2"/>
  <c r="AQ198" i="2"/>
  <c r="AY220" i="2"/>
  <c r="AV237" i="2"/>
  <c r="AV181" i="2"/>
  <c r="AT170" i="2"/>
  <c r="AX221" i="2"/>
  <c r="AW192" i="2"/>
  <c r="AW224" i="2"/>
  <c r="AP207" i="2"/>
  <c r="AY172" i="2"/>
  <c r="AW197" i="2"/>
  <c r="AT189" i="2"/>
  <c r="AR219" i="2"/>
  <c r="AQ220" i="2"/>
  <c r="AU237" i="2"/>
  <c r="AU181" i="2"/>
  <c r="AR170" i="2"/>
  <c r="AW221" i="2"/>
  <c r="AV192" i="2"/>
  <c r="AX172" i="2"/>
  <c r="AV197" i="2"/>
  <c r="AR174" i="2"/>
  <c r="AR189" i="2"/>
  <c r="AQ219" i="2"/>
  <c r="AY206" i="2"/>
  <c r="AX220" i="2"/>
  <c r="AT237" i="2"/>
  <c r="AY181" i="2"/>
  <c r="AQ170" i="2"/>
  <c r="AU192" i="2"/>
  <c r="AW218" i="2"/>
  <c r="AW172" i="2"/>
  <c r="AU197" i="2"/>
  <c r="AQ225" i="2"/>
  <c r="AQ189" i="2"/>
  <c r="AU196" i="2"/>
  <c r="AX206" i="2"/>
  <c r="AW220" i="2"/>
  <c r="AT181" i="2"/>
  <c r="AY236" i="2"/>
  <c r="AT192" i="2"/>
  <c r="AV218" i="2"/>
  <c r="AV172" i="2"/>
  <c r="AT197" i="2"/>
  <c r="AK188" i="6"/>
  <c r="AQ188" i="6" s="1"/>
  <c r="AK159" i="6"/>
  <c r="AQ159" i="6" s="1"/>
  <c r="AK218" i="6"/>
  <c r="AQ202" i="6"/>
  <c r="AK202" i="6"/>
  <c r="AN218" i="6"/>
  <c r="AN222" i="6"/>
  <c r="S163" i="6"/>
  <c r="V11" i="21" s="1"/>
  <c r="S177" i="6"/>
  <c r="V25" i="21" s="1"/>
  <c r="S194" i="6"/>
  <c r="V42" i="21" s="1"/>
  <c r="AO202" i="6"/>
  <c r="W163" i="6"/>
  <c r="X177" i="6"/>
  <c r="X163" i="6"/>
  <c r="AA11" i="21" s="1"/>
  <c r="U194" i="6"/>
  <c r="X42" i="21" s="1"/>
  <c r="U195" i="6"/>
  <c r="X43" i="21" s="1"/>
  <c r="U177" i="6"/>
  <c r="X25" i="21" s="1"/>
  <c r="U163" i="6"/>
  <c r="X11" i="21" s="1"/>
  <c r="AY118" i="2"/>
  <c r="AY47" i="2"/>
  <c r="AY76" i="2"/>
  <c r="AY66" i="2"/>
  <c r="AW144" i="2"/>
  <c r="AW123" i="2"/>
  <c r="AW138" i="2"/>
  <c r="AW122" i="2"/>
  <c r="AW148" i="2"/>
  <c r="AW164" i="2"/>
  <c r="AY49" i="2"/>
  <c r="AQ118" i="2"/>
  <c r="AW125" i="2"/>
  <c r="AP118" i="2"/>
  <c r="AY46" i="2"/>
  <c r="AW130" i="2"/>
  <c r="AW118" i="2"/>
  <c r="AV118" i="2"/>
  <c r="AW150" i="2"/>
  <c r="AU118" i="2"/>
  <c r="AW128" i="2"/>
  <c r="AT118" i="2"/>
  <c r="AY52" i="2"/>
  <c r="AW143" i="2"/>
  <c r="AW146" i="2"/>
  <c r="AR118" i="2"/>
  <c r="AW134" i="2"/>
  <c r="AW163" i="2"/>
  <c r="AW165" i="2"/>
  <c r="AY83" i="2"/>
  <c r="AW136" i="2"/>
  <c r="AW124" i="2"/>
  <c r="AY43" i="2"/>
  <c r="AW129" i="2"/>
  <c r="AW161" i="2"/>
  <c r="AW142" i="2"/>
  <c r="AY64" i="2"/>
  <c r="AW151" i="2"/>
  <c r="AY86" i="2"/>
  <c r="AW154" i="2"/>
  <c r="AY74" i="2"/>
  <c r="AW140" i="2"/>
  <c r="AY73" i="2"/>
  <c r="AY69" i="2"/>
  <c r="AW126" i="2"/>
  <c r="AY51" i="2"/>
  <c r="AY38" i="2"/>
  <c r="AY71" i="2"/>
  <c r="AV44" i="2"/>
  <c r="AW44" i="2"/>
  <c r="AX44" i="2"/>
  <c r="AU44" i="2"/>
  <c r="AT44" i="2"/>
  <c r="AV79" i="2"/>
  <c r="AW79" i="2"/>
  <c r="AX79" i="2"/>
  <c r="AR79" i="2"/>
  <c r="AT79" i="2"/>
  <c r="AP79" i="2"/>
  <c r="AQ79" i="2"/>
  <c r="AU79" i="2"/>
  <c r="AU36" i="2"/>
  <c r="AV36" i="2"/>
  <c r="AX36" i="2"/>
  <c r="AT36" i="2"/>
  <c r="AW36" i="2"/>
  <c r="AX78" i="2"/>
  <c r="AP78" i="2"/>
  <c r="AQ78" i="2"/>
  <c r="AR78" i="2"/>
  <c r="AT78" i="2"/>
  <c r="AV78" i="2"/>
  <c r="AU78" i="2"/>
  <c r="AW78" i="2"/>
  <c r="AW45" i="2"/>
  <c r="AU45" i="2"/>
  <c r="AV45" i="2"/>
  <c r="AX45" i="2"/>
  <c r="AT45" i="2"/>
  <c r="AT39" i="2"/>
  <c r="AQ39" i="2"/>
  <c r="AU39" i="2"/>
  <c r="AW39" i="2"/>
  <c r="AX39" i="2"/>
  <c r="AP39" i="2"/>
  <c r="AV39" i="2"/>
  <c r="AU93" i="2"/>
  <c r="AT93" i="2"/>
  <c r="AW93" i="2"/>
  <c r="AX93" i="2"/>
  <c r="AV93" i="2"/>
  <c r="AY93" i="2"/>
  <c r="AW153" i="2"/>
  <c r="AR72" i="2"/>
  <c r="AT72" i="2"/>
  <c r="AP72" i="2"/>
  <c r="AW72" i="2"/>
  <c r="AU72" i="2"/>
  <c r="AV72" i="2"/>
  <c r="AX72" i="2"/>
  <c r="AT52" i="2"/>
  <c r="AP52" i="2"/>
  <c r="AR52" i="2"/>
  <c r="AV52" i="2"/>
  <c r="AW52" i="2"/>
  <c r="AX52" i="2"/>
  <c r="AU52" i="2"/>
  <c r="AU48" i="2"/>
  <c r="AV48" i="2"/>
  <c r="AT48" i="2"/>
  <c r="AW48" i="2"/>
  <c r="AX48" i="2"/>
  <c r="AT41" i="2"/>
  <c r="AW41" i="2"/>
  <c r="AQ41" i="2"/>
  <c r="AX41" i="2"/>
  <c r="AU41" i="2"/>
  <c r="AV41" i="2"/>
  <c r="AP41" i="2"/>
  <c r="AX40" i="2"/>
  <c r="AU40" i="2"/>
  <c r="AV40" i="2"/>
  <c r="AT40" i="2"/>
  <c r="AW40" i="2"/>
  <c r="AP81" i="2"/>
  <c r="AT81" i="2"/>
  <c r="AX81" i="2"/>
  <c r="AQ81" i="2"/>
  <c r="AU81" i="2"/>
  <c r="AV81" i="2"/>
  <c r="AW81" i="2"/>
  <c r="AW83" i="2"/>
  <c r="AV83" i="2"/>
  <c r="AP83" i="2"/>
  <c r="AT83" i="2"/>
  <c r="AX83" i="2"/>
  <c r="AQ83" i="2"/>
  <c r="AU83" i="2"/>
  <c r="AY39" i="2"/>
  <c r="AY41" i="2"/>
  <c r="AT43" i="2"/>
  <c r="AQ43" i="2"/>
  <c r="AX43" i="2"/>
  <c r="AW43" i="2"/>
  <c r="AU43" i="2"/>
  <c r="AV43" i="2"/>
  <c r="AP43" i="2"/>
  <c r="AX75" i="2"/>
  <c r="AW75" i="2"/>
  <c r="AT75" i="2"/>
  <c r="AR75" i="2"/>
  <c r="AV75" i="2"/>
  <c r="AP75" i="2"/>
  <c r="AU75" i="2"/>
  <c r="AY79" i="2"/>
  <c r="AX82" i="2"/>
  <c r="AP82" i="2"/>
  <c r="AQ82" i="2"/>
  <c r="AU82" i="2"/>
  <c r="AT82" i="2"/>
  <c r="AW82" i="2"/>
  <c r="AV82" i="2"/>
  <c r="AX87" i="2"/>
  <c r="AU87" i="2"/>
  <c r="AW87" i="2"/>
  <c r="AV87" i="2"/>
  <c r="AT87" i="2"/>
  <c r="AR87" i="2"/>
  <c r="AP87" i="2"/>
  <c r="AY78" i="2"/>
  <c r="AU90" i="2"/>
  <c r="AV90" i="2"/>
  <c r="AR90" i="2"/>
  <c r="AX90" i="2"/>
  <c r="AQ90" i="2"/>
  <c r="AW90" i="2"/>
  <c r="AP90" i="2"/>
  <c r="AT90" i="2"/>
  <c r="AU62" i="2"/>
  <c r="AW62" i="2"/>
  <c r="AX62" i="2"/>
  <c r="AV62" i="2"/>
  <c r="AT62" i="2"/>
  <c r="AW64" i="2"/>
  <c r="AX64" i="2"/>
  <c r="AU64" i="2"/>
  <c r="AV64" i="2"/>
  <c r="AT64" i="2"/>
  <c r="AV42" i="2"/>
  <c r="AT42" i="2"/>
  <c r="AP42" i="2"/>
  <c r="AU42" i="2"/>
  <c r="AW42" i="2"/>
  <c r="AQ42" i="2"/>
  <c r="AX42" i="2"/>
  <c r="AY48" i="2"/>
  <c r="AQ84" i="2"/>
  <c r="AU84" i="2"/>
  <c r="AV84" i="2"/>
  <c r="AW84" i="2"/>
  <c r="AX84" i="2"/>
  <c r="AT84" i="2"/>
  <c r="AP84" i="2"/>
  <c r="AV86" i="2"/>
  <c r="AP86" i="2"/>
  <c r="AW86" i="2"/>
  <c r="AU86" i="2"/>
  <c r="AT86" i="2"/>
  <c r="AX86" i="2"/>
  <c r="AW80" i="2"/>
  <c r="AU80" i="2"/>
  <c r="AX80" i="2"/>
  <c r="AT80" i="2"/>
  <c r="AP80" i="2"/>
  <c r="AV80" i="2"/>
  <c r="AU60" i="2"/>
  <c r="AV60" i="2"/>
  <c r="AW60" i="2"/>
  <c r="AP60" i="2"/>
  <c r="AT60" i="2"/>
  <c r="AR60" i="2"/>
  <c r="AX60" i="2"/>
  <c r="AY36" i="2"/>
  <c r="AR77" i="2"/>
  <c r="AP77" i="2"/>
  <c r="AV77" i="2"/>
  <c r="AU77" i="2"/>
  <c r="AT77" i="2"/>
  <c r="AX77" i="2"/>
  <c r="AW77" i="2"/>
  <c r="AY77" i="2"/>
  <c r="AT37" i="2"/>
  <c r="AU37" i="2"/>
  <c r="AW37" i="2"/>
  <c r="AX37" i="2"/>
  <c r="AV37" i="2"/>
  <c r="AW149" i="2"/>
  <c r="AY45" i="2"/>
  <c r="AY40" i="2"/>
  <c r="AT74" i="2"/>
  <c r="AR74" i="2"/>
  <c r="AP74" i="2"/>
  <c r="AX74" i="2"/>
  <c r="AV74" i="2"/>
  <c r="AU74" i="2"/>
  <c r="AW74" i="2"/>
  <c r="AW162" i="2"/>
  <c r="AW47" i="2"/>
  <c r="AV47" i="2"/>
  <c r="AT47" i="2"/>
  <c r="AU47" i="2"/>
  <c r="AX47" i="2"/>
  <c r="AW73" i="2"/>
  <c r="AT73" i="2"/>
  <c r="AX73" i="2"/>
  <c r="AR73" i="2"/>
  <c r="AV73" i="2"/>
  <c r="AP73" i="2"/>
  <c r="AU73" i="2"/>
  <c r="AW127" i="2"/>
  <c r="AY87" i="2"/>
  <c r="AY81" i="2"/>
  <c r="AV69" i="2"/>
  <c r="AW69" i="2"/>
  <c r="AX69" i="2"/>
  <c r="AU69" i="2"/>
  <c r="AT69" i="2"/>
  <c r="AP69" i="2"/>
  <c r="AR69" i="2"/>
  <c r="AY62" i="2"/>
  <c r="AX92" i="2"/>
  <c r="AT92" i="2"/>
  <c r="AU92" i="2"/>
  <c r="AV92" i="2"/>
  <c r="AW92" i="2"/>
  <c r="AY92" i="2"/>
  <c r="AT68" i="2"/>
  <c r="AP68" i="2"/>
  <c r="AR68" i="2"/>
  <c r="AU68" i="2"/>
  <c r="AV68" i="2"/>
  <c r="AX68" i="2"/>
  <c r="AW68" i="2"/>
  <c r="AY42" i="2"/>
  <c r="AX54" i="2"/>
  <c r="AU54" i="2"/>
  <c r="AT54" i="2"/>
  <c r="AW54" i="2"/>
  <c r="AR54" i="2"/>
  <c r="AP54" i="2"/>
  <c r="AV54" i="2"/>
  <c r="AY84" i="2"/>
  <c r="AY37" i="2"/>
  <c r="AV53" i="2"/>
  <c r="AW53" i="2"/>
  <c r="AT53" i="2"/>
  <c r="AU53" i="2"/>
  <c r="AP53" i="2"/>
  <c r="AX53" i="2"/>
  <c r="AY68" i="2"/>
  <c r="AT76" i="2"/>
  <c r="AU76" i="2"/>
  <c r="AR76" i="2"/>
  <c r="AQ76" i="2"/>
  <c r="AP76" i="2"/>
  <c r="AV76" i="2"/>
  <c r="AW76" i="2"/>
  <c r="AX76" i="2"/>
  <c r="AY54" i="2"/>
  <c r="AU51" i="2"/>
  <c r="AW51" i="2"/>
  <c r="AV51" i="2"/>
  <c r="AT51" i="2"/>
  <c r="AR51" i="2"/>
  <c r="AX51" i="2"/>
  <c r="AV38" i="2"/>
  <c r="AW38" i="2"/>
  <c r="AX38" i="2"/>
  <c r="AQ38" i="2"/>
  <c r="AP38" i="2"/>
  <c r="AU38" i="2"/>
  <c r="AT38" i="2"/>
  <c r="AY80" i="2"/>
  <c r="AT71" i="2"/>
  <c r="AU71" i="2"/>
  <c r="AV71" i="2"/>
  <c r="AW71" i="2"/>
  <c r="AX71" i="2"/>
  <c r="AW139" i="2"/>
  <c r="AY72" i="2"/>
  <c r="AU70" i="2"/>
  <c r="AT70" i="2"/>
  <c r="AX70" i="2"/>
  <c r="AW70" i="2"/>
  <c r="AV70" i="2"/>
  <c r="AY60" i="2"/>
  <c r="AY44" i="2"/>
  <c r="AT49" i="2"/>
  <c r="AW49" i="2"/>
  <c r="AX49" i="2"/>
  <c r="AV49" i="2"/>
  <c r="AU49" i="2"/>
  <c r="AY82" i="2"/>
  <c r="AY90" i="2"/>
  <c r="AU94" i="2"/>
  <c r="AV94" i="2"/>
  <c r="AW94" i="2"/>
  <c r="AX94" i="2"/>
  <c r="AT94" i="2"/>
  <c r="AY94" i="2"/>
  <c r="AY75" i="2"/>
  <c r="AY53" i="2"/>
  <c r="AU46" i="2"/>
  <c r="AW46" i="2"/>
  <c r="AV46" i="2"/>
  <c r="AX46" i="2"/>
  <c r="AT46" i="2"/>
  <c r="AW66" i="2"/>
  <c r="AT66" i="2"/>
  <c r="AR66" i="2"/>
  <c r="AX66" i="2"/>
  <c r="AP66" i="2"/>
  <c r="AV66" i="2"/>
  <c r="AU66" i="2"/>
  <c r="AW152" i="2"/>
  <c r="AY70" i="2"/>
  <c r="AW137" i="2"/>
  <c r="AT163" i="2"/>
  <c r="AX163" i="2"/>
  <c r="AU163" i="2"/>
  <c r="AQ163" i="2"/>
  <c r="AP163" i="2"/>
  <c r="AV163" i="2"/>
  <c r="AY163" i="2"/>
  <c r="AR163" i="2"/>
  <c r="AT159" i="2"/>
  <c r="AX159" i="2"/>
  <c r="AP159" i="2"/>
  <c r="AY159" i="2"/>
  <c r="AV159" i="2"/>
  <c r="AU159" i="2"/>
  <c r="AR159" i="2"/>
  <c r="AQ159" i="2"/>
  <c r="AT155" i="2"/>
  <c r="AR155" i="2"/>
  <c r="AU155" i="2"/>
  <c r="AQ155" i="2"/>
  <c r="AP155" i="2"/>
  <c r="AX155" i="2"/>
  <c r="AY155" i="2"/>
  <c r="AV155" i="2"/>
  <c r="AW145" i="2"/>
  <c r="AT151" i="2"/>
  <c r="AP151" i="2"/>
  <c r="AQ151" i="2"/>
  <c r="AU151" i="2"/>
  <c r="AY151" i="2"/>
  <c r="AV151" i="2"/>
  <c r="AR151" i="2"/>
  <c r="AX151" i="2"/>
  <c r="AT147" i="2"/>
  <c r="AU147" i="2"/>
  <c r="AV147" i="2"/>
  <c r="AR147" i="2"/>
  <c r="AY147" i="2"/>
  <c r="AP147" i="2"/>
  <c r="AQ147" i="2"/>
  <c r="AX147" i="2"/>
  <c r="AW158" i="2"/>
  <c r="AT143" i="2"/>
  <c r="AP143" i="2"/>
  <c r="AY143" i="2"/>
  <c r="AU143" i="2"/>
  <c r="AV143" i="2"/>
  <c r="AR143" i="2"/>
  <c r="AX143" i="2"/>
  <c r="AQ143" i="2"/>
  <c r="AW131" i="2"/>
  <c r="AT139" i="2"/>
  <c r="AV139" i="2"/>
  <c r="AU139" i="2"/>
  <c r="AQ139" i="2"/>
  <c r="AX139" i="2"/>
  <c r="AR139" i="2"/>
  <c r="AP139" i="2"/>
  <c r="AY139" i="2"/>
  <c r="AT135" i="2"/>
  <c r="AX135" i="2"/>
  <c r="AY135" i="2"/>
  <c r="AP135" i="2"/>
  <c r="AV135" i="2"/>
  <c r="AU135" i="2"/>
  <c r="AR135" i="2"/>
  <c r="AQ135" i="2"/>
  <c r="AW157" i="2"/>
  <c r="AT131" i="2"/>
  <c r="AX131" i="2"/>
  <c r="AQ131" i="2"/>
  <c r="AR131" i="2"/>
  <c r="AY131" i="2"/>
  <c r="AP131" i="2"/>
  <c r="AU131" i="2"/>
  <c r="AV131" i="2"/>
  <c r="AW156" i="2"/>
  <c r="AT127" i="2"/>
  <c r="AP127" i="2"/>
  <c r="AY127" i="2"/>
  <c r="AU127" i="2"/>
  <c r="AV127" i="2"/>
  <c r="AX127" i="2"/>
  <c r="AR127" i="2"/>
  <c r="AQ127" i="2"/>
  <c r="AT123" i="2"/>
  <c r="AU123" i="2"/>
  <c r="AQ123" i="2"/>
  <c r="AX123" i="2"/>
  <c r="AR123" i="2"/>
  <c r="AV123" i="2"/>
  <c r="AP123" i="2"/>
  <c r="AY123" i="2"/>
  <c r="AT165" i="2"/>
  <c r="AQ165" i="2"/>
  <c r="AR165" i="2"/>
  <c r="AP165" i="2"/>
  <c r="AV165" i="2"/>
  <c r="AU165" i="2"/>
  <c r="AY165" i="2"/>
  <c r="AX165" i="2"/>
  <c r="AT157" i="2"/>
  <c r="AX157" i="2"/>
  <c r="AQ157" i="2"/>
  <c r="AV157" i="2"/>
  <c r="AR157" i="2"/>
  <c r="AU157" i="2"/>
  <c r="AP157" i="2"/>
  <c r="AY157" i="2"/>
  <c r="AT153" i="2"/>
  <c r="AU153" i="2"/>
  <c r="AP153" i="2"/>
  <c r="AV153" i="2"/>
  <c r="AR153" i="2"/>
  <c r="AX153" i="2"/>
  <c r="AQ153" i="2"/>
  <c r="AY153" i="2"/>
  <c r="AT149" i="2"/>
  <c r="AY149" i="2"/>
  <c r="AQ149" i="2"/>
  <c r="AV149" i="2"/>
  <c r="AR149" i="2"/>
  <c r="AP149" i="2"/>
  <c r="AU149" i="2"/>
  <c r="AX149" i="2"/>
  <c r="AT145" i="2"/>
  <c r="AU145" i="2"/>
  <c r="AQ145" i="2"/>
  <c r="AV145" i="2"/>
  <c r="AP145" i="2"/>
  <c r="AR145" i="2"/>
  <c r="AY145" i="2"/>
  <c r="AX145" i="2"/>
  <c r="AT141" i="2"/>
  <c r="AY141" i="2"/>
  <c r="AQ141" i="2"/>
  <c r="AV141" i="2"/>
  <c r="AP141" i="2"/>
  <c r="AX141" i="2"/>
  <c r="AR141" i="2"/>
  <c r="AU141" i="2"/>
  <c r="AT137" i="2"/>
  <c r="AU137" i="2"/>
  <c r="AV137" i="2"/>
  <c r="AR137" i="2"/>
  <c r="AX137" i="2"/>
  <c r="AY137" i="2"/>
  <c r="AP137" i="2"/>
  <c r="AQ137" i="2"/>
  <c r="AT133" i="2"/>
  <c r="AV133" i="2"/>
  <c r="AR133" i="2"/>
  <c r="AQ133" i="2"/>
  <c r="AX133" i="2"/>
  <c r="AU133" i="2"/>
  <c r="AP133" i="2"/>
  <c r="AY133" i="2"/>
  <c r="AW147" i="2"/>
  <c r="AT164" i="2"/>
  <c r="AU164" i="2"/>
  <c r="AV164" i="2"/>
  <c r="AX164" i="2"/>
  <c r="AQ164" i="2"/>
  <c r="AR164" i="2"/>
  <c r="AY164" i="2"/>
  <c r="AP164" i="2"/>
  <c r="AT161" i="2"/>
  <c r="AV161" i="2"/>
  <c r="AP161" i="2"/>
  <c r="AY161" i="2"/>
  <c r="AU161" i="2"/>
  <c r="AR161" i="2"/>
  <c r="AX161" i="2"/>
  <c r="AQ161" i="2"/>
  <c r="AW133" i="2"/>
  <c r="AT160" i="2"/>
  <c r="AR160" i="2"/>
  <c r="AQ160" i="2"/>
  <c r="AU160" i="2"/>
  <c r="AY160" i="2"/>
  <c r="AP160" i="2"/>
  <c r="AV160" i="2"/>
  <c r="AX160" i="2"/>
  <c r="AT162" i="2"/>
  <c r="AR162" i="2"/>
  <c r="AX162" i="2"/>
  <c r="AP162" i="2"/>
  <c r="AQ162" i="2"/>
  <c r="AY162" i="2"/>
  <c r="AU162" i="2"/>
  <c r="AV162" i="2"/>
  <c r="AW141" i="2"/>
  <c r="AT148" i="2"/>
  <c r="AP148" i="2"/>
  <c r="AR148" i="2"/>
  <c r="AY148" i="2"/>
  <c r="AX148" i="2"/>
  <c r="AV148" i="2"/>
  <c r="AQ148" i="2"/>
  <c r="AU148" i="2"/>
  <c r="AT150" i="2"/>
  <c r="AR150" i="2"/>
  <c r="AV150" i="2"/>
  <c r="AU150" i="2"/>
  <c r="AQ150" i="2"/>
  <c r="AP150" i="2"/>
  <c r="AX150" i="2"/>
  <c r="AY150" i="2"/>
  <c r="AQ129" i="2"/>
  <c r="AT129" i="2"/>
  <c r="AP129" i="2"/>
  <c r="AX129" i="2"/>
  <c r="AY129" i="2"/>
  <c r="AV129" i="2"/>
  <c r="AU129" i="2"/>
  <c r="AR129" i="2"/>
  <c r="AT154" i="2"/>
  <c r="AV154" i="2"/>
  <c r="AR154" i="2"/>
  <c r="AQ154" i="2"/>
  <c r="AX154" i="2"/>
  <c r="AU154" i="2"/>
  <c r="AP154" i="2"/>
  <c r="AY154" i="2"/>
  <c r="AT144" i="2"/>
  <c r="AQ144" i="2"/>
  <c r="AU144" i="2"/>
  <c r="AY144" i="2"/>
  <c r="AP144" i="2"/>
  <c r="AV144" i="2"/>
  <c r="AR144" i="2"/>
  <c r="AX144" i="2"/>
  <c r="AW155" i="2"/>
  <c r="AT140" i="2"/>
  <c r="AQ140" i="2"/>
  <c r="AU140" i="2"/>
  <c r="AR140" i="2"/>
  <c r="AV140" i="2"/>
  <c r="AY140" i="2"/>
  <c r="AP140" i="2"/>
  <c r="AX140" i="2"/>
  <c r="AT142" i="2"/>
  <c r="AP142" i="2"/>
  <c r="AR142" i="2"/>
  <c r="AV142" i="2"/>
  <c r="AQ142" i="2"/>
  <c r="AX142" i="2"/>
  <c r="AU142" i="2"/>
  <c r="AY142" i="2"/>
  <c r="AT158" i="2"/>
  <c r="AX158" i="2"/>
  <c r="AU158" i="2"/>
  <c r="AR158" i="2"/>
  <c r="AP158" i="2"/>
  <c r="AQ158" i="2"/>
  <c r="AV158" i="2"/>
  <c r="AY158" i="2"/>
  <c r="AT152" i="2"/>
  <c r="AR152" i="2"/>
  <c r="AQ152" i="2"/>
  <c r="AX152" i="2"/>
  <c r="AP152" i="2"/>
  <c r="AU152" i="2"/>
  <c r="AY152" i="2"/>
  <c r="AV152" i="2"/>
  <c r="AW135" i="2"/>
  <c r="AT146" i="2"/>
  <c r="AX146" i="2"/>
  <c r="AV146" i="2"/>
  <c r="AP146" i="2"/>
  <c r="AQ146" i="2"/>
  <c r="AR146" i="2"/>
  <c r="AY146" i="2"/>
  <c r="AU146" i="2"/>
  <c r="AW160" i="2"/>
  <c r="AT136" i="2"/>
  <c r="AR136" i="2"/>
  <c r="AQ136" i="2"/>
  <c r="AX136" i="2"/>
  <c r="AU136" i="2"/>
  <c r="AP136" i="2"/>
  <c r="AY136" i="2"/>
  <c r="AV136" i="2"/>
  <c r="AT138" i="2"/>
  <c r="AX138" i="2"/>
  <c r="AV138" i="2"/>
  <c r="AY138" i="2"/>
  <c r="AR138" i="2"/>
  <c r="AP138" i="2"/>
  <c r="AQ138" i="2"/>
  <c r="AU138" i="2"/>
  <c r="AT132" i="2"/>
  <c r="AV132" i="2"/>
  <c r="AQ132" i="2"/>
  <c r="AU132" i="2"/>
  <c r="AX132" i="2"/>
  <c r="AP132" i="2"/>
  <c r="AR132" i="2"/>
  <c r="AY132" i="2"/>
  <c r="AW132" i="2"/>
  <c r="AT128" i="2"/>
  <c r="AY128" i="2"/>
  <c r="AP128" i="2"/>
  <c r="AX128" i="2"/>
  <c r="AR128" i="2"/>
  <c r="AU128" i="2"/>
  <c r="AQ128" i="2"/>
  <c r="AV128" i="2"/>
  <c r="AT124" i="2"/>
  <c r="AV124" i="2"/>
  <c r="AP124" i="2"/>
  <c r="AY124" i="2"/>
  <c r="AR124" i="2"/>
  <c r="AQ124" i="2"/>
  <c r="AU124" i="2"/>
  <c r="AX124" i="2"/>
  <c r="AT126" i="2"/>
  <c r="AQ126" i="2"/>
  <c r="AV126" i="2"/>
  <c r="AU126" i="2"/>
  <c r="AY126" i="2"/>
  <c r="AX126" i="2"/>
  <c r="AP126" i="2"/>
  <c r="AR126" i="2"/>
  <c r="AP156" i="2"/>
  <c r="AQ156" i="2"/>
  <c r="AR156" i="2"/>
  <c r="AT156" i="2"/>
  <c r="AY156" i="2"/>
  <c r="AV156" i="2"/>
  <c r="AU156" i="2"/>
  <c r="AX156" i="2"/>
  <c r="AT134" i="2"/>
  <c r="AV134" i="2"/>
  <c r="AU134" i="2"/>
  <c r="AQ134" i="2"/>
  <c r="AY134" i="2"/>
  <c r="AP134" i="2"/>
  <c r="AX134" i="2"/>
  <c r="AR134" i="2"/>
  <c r="AT130" i="2"/>
  <c r="AU130" i="2"/>
  <c r="AR130" i="2"/>
  <c r="AQ130" i="2"/>
  <c r="AX130" i="2"/>
  <c r="AP130" i="2"/>
  <c r="AY130" i="2"/>
  <c r="AV130" i="2"/>
  <c r="AW159" i="2"/>
  <c r="AT125" i="2"/>
  <c r="AP125" i="2"/>
  <c r="AQ125" i="2"/>
  <c r="AY125" i="2"/>
  <c r="AR125" i="2"/>
  <c r="AV125" i="2"/>
  <c r="AX125" i="2"/>
  <c r="AU125" i="2"/>
  <c r="AT122" i="2"/>
  <c r="AU122" i="2"/>
  <c r="AQ122" i="2"/>
  <c r="AP122" i="2"/>
  <c r="AY122" i="2"/>
  <c r="AV122" i="2"/>
  <c r="AX122" i="2"/>
  <c r="AR122" i="2"/>
  <c r="AR121" i="2"/>
  <c r="AT121" i="2"/>
  <c r="AU121" i="2"/>
  <c r="AX121" i="2"/>
  <c r="AQ121" i="2"/>
  <c r="AV121" i="2"/>
  <c r="AW121" i="2"/>
  <c r="AY121" i="2"/>
  <c r="AP121" i="2"/>
  <c r="U133" i="6"/>
  <c r="X28" i="9" s="1"/>
  <c r="U126" i="6"/>
  <c r="X21" i="9" s="1"/>
  <c r="U147" i="6"/>
  <c r="X42" i="9" s="1"/>
  <c r="S133" i="6"/>
  <c r="V28" i="9" s="1"/>
  <c r="S147" i="6"/>
  <c r="V42" i="9" s="1"/>
  <c r="S126" i="6"/>
  <c r="V21" i="9" s="1"/>
  <c r="W126" i="6"/>
  <c r="Z21" i="9" s="1"/>
  <c r="X126" i="6"/>
  <c r="AA21" i="9" s="1"/>
  <c r="X147" i="6"/>
  <c r="AA42" i="9" s="1"/>
  <c r="W147" i="6"/>
  <c r="Z42" i="9" s="1"/>
  <c r="X133" i="6"/>
  <c r="AA28" i="9" s="1"/>
  <c r="W133" i="6"/>
  <c r="Z28" i="9" s="1"/>
  <c r="U127" i="6"/>
  <c r="X22" i="9" s="1"/>
  <c r="U150" i="6"/>
  <c r="X45" i="9" s="1"/>
  <c r="S127" i="6"/>
  <c r="V22" i="9" s="1"/>
  <c r="S150" i="6"/>
  <c r="V45" i="9" s="1"/>
  <c r="X150" i="6"/>
  <c r="AA45" i="9" s="1"/>
  <c r="W150" i="6"/>
  <c r="Z45" i="9" s="1"/>
  <c r="X127" i="6"/>
  <c r="AA22" i="9" s="1"/>
  <c r="W127" i="6"/>
  <c r="Z22" i="9" s="1"/>
  <c r="U104" i="6"/>
  <c r="X23" i="16" s="1"/>
  <c r="U111" i="6"/>
  <c r="X6" i="9" s="1"/>
  <c r="U110" i="6"/>
  <c r="X5" i="9" s="1"/>
  <c r="U113" i="6"/>
  <c r="X8" i="9" s="1"/>
  <c r="U108" i="6"/>
  <c r="X3" i="9" s="1"/>
  <c r="U109" i="6"/>
  <c r="X4" i="9" s="1"/>
  <c r="U107" i="6"/>
  <c r="X2" i="9" s="1"/>
  <c r="U112" i="6"/>
  <c r="X7" i="9" s="1"/>
  <c r="W139" i="6"/>
  <c r="Z34" i="9" s="1"/>
  <c r="X139" i="6"/>
  <c r="AA34" i="9" s="1"/>
  <c r="X141" i="6"/>
  <c r="AA36" i="9" s="1"/>
  <c r="X148" i="6"/>
  <c r="AA43" i="9" s="1"/>
  <c r="W146" i="6"/>
  <c r="Z41" i="9" s="1"/>
  <c r="X111" i="6"/>
  <c r="AA6" i="9" s="1"/>
  <c r="X146" i="6"/>
  <c r="AA41" i="9" s="1"/>
  <c r="W111" i="6"/>
  <c r="Z6" i="9" s="1"/>
  <c r="X112" i="6"/>
  <c r="AA7" i="9" s="1"/>
  <c r="W110" i="6"/>
  <c r="Z5" i="9" s="1"/>
  <c r="X110" i="6"/>
  <c r="AA5" i="9" s="1"/>
  <c r="W112" i="6"/>
  <c r="Z7" i="9" s="1"/>
  <c r="W107" i="6"/>
  <c r="Z2" i="9" s="1"/>
  <c r="X107" i="6"/>
  <c r="AA2" i="9" s="1"/>
  <c r="W113" i="6"/>
  <c r="Z8" i="9" s="1"/>
  <c r="X113" i="6"/>
  <c r="AA8" i="9" s="1"/>
  <c r="X108" i="6"/>
  <c r="AA3" i="9" s="1"/>
  <c r="W109" i="6"/>
  <c r="Z4" i="9" s="1"/>
  <c r="W108" i="6"/>
  <c r="Z3" i="9" s="1"/>
  <c r="X109" i="6"/>
  <c r="AA4" i="9" s="1"/>
  <c r="S104" i="6"/>
  <c r="V23" i="16" s="1"/>
  <c r="S111" i="6"/>
  <c r="V6" i="9" s="1"/>
  <c r="S112" i="6"/>
  <c r="V7" i="9" s="1"/>
  <c r="S107" i="6"/>
  <c r="V2" i="9" s="1"/>
  <c r="S108" i="6"/>
  <c r="V3" i="9" s="1"/>
  <c r="S113" i="6"/>
  <c r="V8" i="9" s="1"/>
  <c r="S109" i="6"/>
  <c r="V4" i="9" s="1"/>
  <c r="S110" i="6"/>
  <c r="V5" i="9" s="1"/>
  <c r="X104" i="6"/>
  <c r="AA23" i="16" s="1"/>
  <c r="X99" i="6"/>
  <c r="AA18" i="16" s="1"/>
  <c r="W99" i="6"/>
  <c r="Z18" i="16" s="1"/>
  <c r="W104" i="6"/>
  <c r="BT54" i="2"/>
  <c r="BU54" i="2"/>
  <c r="BW54" i="2"/>
  <c r="BV54" i="2"/>
  <c r="BM57" i="2"/>
  <c r="BN57" i="2"/>
  <c r="BO57" i="2"/>
  <c r="BN56" i="2"/>
  <c r="BM56" i="2"/>
  <c r="BO56" i="2"/>
  <c r="K33" i="28"/>
  <c r="M33" i="28"/>
  <c r="O33" i="28"/>
  <c r="Q33" i="28"/>
  <c r="I33" i="28"/>
  <c r="AK38" i="6"/>
  <c r="AK53" i="6"/>
  <c r="S47" i="6"/>
  <c r="U27" i="12" s="1"/>
  <c r="S36" i="6"/>
  <c r="U16" i="12" s="1"/>
  <c r="S74" i="6"/>
  <c r="U54" i="12" s="1"/>
  <c r="S75" i="6"/>
  <c r="U55" i="12" s="1"/>
  <c r="S44" i="6"/>
  <c r="U24" i="12" s="1"/>
  <c r="S41" i="6"/>
  <c r="U21" i="12" s="1"/>
  <c r="S51" i="6"/>
  <c r="U31" i="12" s="1"/>
  <c r="U74" i="6"/>
  <c r="W54" i="12" s="1"/>
  <c r="U36" i="6"/>
  <c r="W16" i="12" s="1"/>
  <c r="U47" i="6"/>
  <c r="W27" i="12" s="1"/>
  <c r="U75" i="6"/>
  <c r="W55" i="12" s="1"/>
  <c r="U44" i="6"/>
  <c r="W24" i="12" s="1"/>
  <c r="U41" i="6"/>
  <c r="W21" i="12" s="1"/>
  <c r="U51" i="6"/>
  <c r="W31" i="12" s="1"/>
  <c r="W51" i="6"/>
  <c r="Y31" i="12" s="1"/>
  <c r="X41" i="6"/>
  <c r="Z21" i="12" s="1"/>
  <c r="X51" i="6"/>
  <c r="Z31" i="12" s="1"/>
  <c r="W36" i="6"/>
  <c r="Y16" i="12" s="1"/>
  <c r="X36" i="6"/>
  <c r="Z16" i="12" s="1"/>
  <c r="X74" i="6"/>
  <c r="Z54" i="12" s="1"/>
  <c r="W47" i="6"/>
  <c r="Y27" i="12" s="1"/>
  <c r="X47" i="6"/>
  <c r="Z27" i="12" s="1"/>
  <c r="X75" i="6"/>
  <c r="Z55" i="12" s="1"/>
  <c r="X44" i="6"/>
  <c r="Z24" i="12" s="1"/>
  <c r="X23" i="2"/>
  <c r="V23" i="2"/>
  <c r="AK245" i="6"/>
  <c r="AQ245" i="6" s="1"/>
  <c r="W254" i="6" s="1"/>
  <c r="Y29" i="10" s="1"/>
  <c r="AK231" i="6"/>
  <c r="AK249" i="6"/>
  <c r="AK241" i="6"/>
  <c r="AQ241" i="6" s="1"/>
  <c r="W253" i="6" s="1"/>
  <c r="Y28" i="10" s="1"/>
  <c r="AK237" i="6"/>
  <c r="AQ237" i="6" s="1"/>
  <c r="AK196" i="6"/>
  <c r="AQ196" i="6" s="1"/>
  <c r="X205" i="6" s="1"/>
  <c r="AA53" i="21" s="1"/>
  <c r="AK214" i="6"/>
  <c r="AQ214" i="6" s="1"/>
  <c r="W198" i="6" s="1"/>
  <c r="Z46" i="21" s="1"/>
  <c r="AK210" i="6"/>
  <c r="AK192" i="6"/>
  <c r="AK305" i="6"/>
  <c r="AQ305" i="6" s="1"/>
  <c r="X320" i="6"/>
  <c r="Z3" i="15" s="1"/>
  <c r="X321" i="6"/>
  <c r="Z4" i="15" s="1"/>
  <c r="X322" i="6"/>
  <c r="Z5" i="15" s="1"/>
  <c r="X319" i="6"/>
  <c r="Z2" i="15" s="1"/>
  <c r="T18" i="6"/>
  <c r="X432" i="6"/>
  <c r="Z32" i="20" s="1"/>
  <c r="X433" i="6"/>
  <c r="Z33" i="20" s="1"/>
  <c r="X434" i="6"/>
  <c r="Z34" i="20" s="1"/>
  <c r="X435" i="6"/>
  <c r="Z35" i="20" s="1"/>
  <c r="X436" i="6"/>
  <c r="Z36" i="20" s="1"/>
  <c r="X437" i="6"/>
  <c r="Z37" i="20" s="1"/>
  <c r="W406" i="6"/>
  <c r="Y6" i="20" s="1"/>
  <c r="X438" i="6"/>
  <c r="Z38" i="20" s="1"/>
  <c r="W407" i="6"/>
  <c r="Y7" i="20" s="1"/>
  <c r="X440" i="6"/>
  <c r="Z40" i="20" s="1"/>
  <c r="W405" i="6"/>
  <c r="Y5" i="20" s="1"/>
  <c r="X441" i="6"/>
  <c r="Z41" i="20" s="1"/>
  <c r="W403" i="6"/>
  <c r="Y3" i="20" s="1"/>
  <c r="X442" i="6"/>
  <c r="Z42" i="20" s="1"/>
  <c r="X423" i="6"/>
  <c r="Z23" i="20" s="1"/>
  <c r="X424" i="6"/>
  <c r="Z24" i="20" s="1"/>
  <c r="X425" i="6"/>
  <c r="Z25" i="20" s="1"/>
  <c r="W435" i="6"/>
  <c r="W426" i="6"/>
  <c r="X426" i="6"/>
  <c r="Z26" i="20" s="1"/>
  <c r="X427" i="6"/>
  <c r="Z27" i="20" s="1"/>
  <c r="X428" i="6"/>
  <c r="Z28" i="20" s="1"/>
  <c r="X429" i="6"/>
  <c r="Z29" i="20" s="1"/>
  <c r="X430" i="6"/>
  <c r="Z30" i="20" s="1"/>
  <c r="X431" i="6"/>
  <c r="Z31" i="20" s="1"/>
  <c r="U407" i="6"/>
  <c r="W7" i="20" s="1"/>
  <c r="U421" i="6"/>
  <c r="W21" i="20" s="1"/>
  <c r="U454" i="6"/>
  <c r="U426" i="6"/>
  <c r="W26" i="20" s="1"/>
  <c r="U435" i="6"/>
  <c r="W35" i="20" s="1"/>
  <c r="W454" i="6"/>
  <c r="Y54" i="20" s="1"/>
  <c r="S407" i="6"/>
  <c r="U7" i="20" s="1"/>
  <c r="S454" i="6"/>
  <c r="S435" i="6"/>
  <c r="U35" i="20" s="1"/>
  <c r="S426" i="6"/>
  <c r="U26" i="20" s="1"/>
  <c r="S421" i="6"/>
  <c r="AA333" i="2"/>
  <c r="AK333" i="2" s="1"/>
  <c r="S361" i="6"/>
  <c r="T19" i="14" s="1"/>
  <c r="X372" i="6"/>
  <c r="Y2" i="19" s="1"/>
  <c r="W361" i="6"/>
  <c r="X19" i="14" s="1"/>
  <c r="X361" i="6"/>
  <c r="Y19" i="14" s="1"/>
  <c r="AJ370" i="6"/>
  <c r="U361" i="6"/>
  <c r="V19" i="14" s="1"/>
  <c r="W206" i="6"/>
  <c r="Z54" i="21" s="1"/>
  <c r="AN370" i="6"/>
  <c r="AR201" i="6"/>
  <c r="AP370" i="6"/>
  <c r="X344" i="6"/>
  <c r="Y2" i="14" s="1"/>
  <c r="W320" i="6"/>
  <c r="Y3" i="15" s="1"/>
  <c r="X345" i="6"/>
  <c r="Y3" i="14" s="1"/>
  <c r="X346" i="6"/>
  <c r="Y4" i="14" s="1"/>
  <c r="X347" i="6"/>
  <c r="Y5" i="14" s="1"/>
  <c r="X348" i="6"/>
  <c r="Y6" i="14" s="1"/>
  <c r="X349" i="6"/>
  <c r="Y7" i="14" s="1"/>
  <c r="X350" i="6"/>
  <c r="Y8" i="14" s="1"/>
  <c r="X351" i="6"/>
  <c r="Y9" i="14" s="1"/>
  <c r="X352" i="6"/>
  <c r="Y10" i="14" s="1"/>
  <c r="X353" i="6"/>
  <c r="Y11" i="14" s="1"/>
  <c r="X354" i="6"/>
  <c r="Y12" i="14" s="1"/>
  <c r="X290" i="6"/>
  <c r="AA30" i="8" s="1"/>
  <c r="X356" i="6"/>
  <c r="Y14" i="14" s="1"/>
  <c r="X272" i="6"/>
  <c r="AA12" i="8" s="1"/>
  <c r="X357" i="6"/>
  <c r="Y15" i="14" s="1"/>
  <c r="X262" i="6"/>
  <c r="AA2" i="8" s="1"/>
  <c r="X358" i="6"/>
  <c r="Y16" i="14" s="1"/>
  <c r="W295" i="6"/>
  <c r="Z35" i="8" s="1"/>
  <c r="X359" i="6"/>
  <c r="Y17" i="14" s="1"/>
  <c r="W319" i="6"/>
  <c r="Y2" i="15" s="1"/>
  <c r="X360" i="6"/>
  <c r="Y18" i="14" s="1"/>
  <c r="X362" i="6"/>
  <c r="Y20" i="14" s="1"/>
  <c r="X364" i="6"/>
  <c r="Y22" i="14" s="1"/>
  <c r="X365" i="6"/>
  <c r="Y23" i="14" s="1"/>
  <c r="X366" i="6"/>
  <c r="Y24" i="14" s="1"/>
  <c r="X368" i="6"/>
  <c r="Y26" i="14" s="1"/>
  <c r="X369" i="6"/>
  <c r="Y27" i="14" s="1"/>
  <c r="W321" i="6"/>
  <c r="Y4" i="15" s="1"/>
  <c r="AL370" i="6"/>
  <c r="W322" i="6"/>
  <c r="Y5" i="15" s="1"/>
  <c r="S209" i="6"/>
  <c r="V57" i="21" s="1"/>
  <c r="S345" i="6"/>
  <c r="S346" i="6"/>
  <c r="T4" i="14" s="1"/>
  <c r="S347" i="6"/>
  <c r="T5" i="14" s="1"/>
  <c r="S348" i="6"/>
  <c r="T6" i="14" s="1"/>
  <c r="S344" i="6"/>
  <c r="R33" i="28"/>
  <c r="X251" i="6"/>
  <c r="Z26" i="10" s="1"/>
  <c r="X255" i="6"/>
  <c r="Z30" i="10" s="1"/>
  <c r="W251" i="6"/>
  <c r="Y26" i="10" s="1"/>
  <c r="W255" i="6"/>
  <c r="Y30" i="10" s="1"/>
  <c r="X181" i="6"/>
  <c r="AA29" i="21" s="1"/>
  <c r="X203" i="6"/>
  <c r="AA51" i="21" s="1"/>
  <c r="AN210" i="6"/>
  <c r="CB181" i="2"/>
  <c r="CA181" i="2" s="1"/>
  <c r="Q227" i="2" s="1"/>
  <c r="AB227" i="2" s="1"/>
  <c r="AL227" i="2" s="1"/>
  <c r="P195" i="2"/>
  <c r="AA195" i="2" s="1"/>
  <c r="AK195" i="2" s="1"/>
  <c r="S195" i="2"/>
  <c r="AD195" i="2" s="1"/>
  <c r="AN195" i="2" s="1"/>
  <c r="Q195" i="2"/>
  <c r="AB195" i="2" s="1"/>
  <c r="AL195" i="2" s="1"/>
  <c r="R195" i="2"/>
  <c r="AC195" i="2" s="1"/>
  <c r="AM195" i="2" s="1"/>
  <c r="AK26" i="6"/>
  <c r="AQ26" i="6" s="1"/>
  <c r="W63" i="6" s="1"/>
  <c r="Y43" i="12" s="1"/>
  <c r="AK198" i="6"/>
  <c r="AT196" i="6" s="1"/>
  <c r="AK422" i="6"/>
  <c r="AQ422" i="6" s="1"/>
  <c r="AP422" i="6" s="1"/>
  <c r="U135" i="6"/>
  <c r="X30" i="9" s="1"/>
  <c r="U209" i="6"/>
  <c r="X57" i="21" s="1"/>
  <c r="X183" i="6"/>
  <c r="AA31" i="21" s="1"/>
  <c r="AK163" i="6"/>
  <c r="AK55" i="6"/>
  <c r="AK167" i="6"/>
  <c r="AK176" i="6"/>
  <c r="AT176" i="6" s="1"/>
  <c r="AS176" i="6" s="1"/>
  <c r="AK172" i="6"/>
  <c r="AK88" i="6"/>
  <c r="AQ88" i="6" s="1"/>
  <c r="AP88" i="6" s="1"/>
  <c r="AK279" i="6"/>
  <c r="AQ279" i="6" s="1"/>
  <c r="AK34" i="6"/>
  <c r="AQ34" i="6" s="1"/>
  <c r="AP34" i="6" s="1"/>
  <c r="AK32" i="6"/>
  <c r="AK51" i="6"/>
  <c r="AQ51" i="6" s="1"/>
  <c r="AK418" i="6"/>
  <c r="AQ418" i="6" s="1"/>
  <c r="AK57" i="6"/>
  <c r="W209" i="6"/>
  <c r="Z57" i="21" s="1"/>
  <c r="BT215" i="2"/>
  <c r="Q211" i="2" s="1"/>
  <c r="AB211" i="2" s="1"/>
  <c r="AL211" i="2" s="1"/>
  <c r="BU225" i="2"/>
  <c r="S43" i="6"/>
  <c r="U23" i="12" s="1"/>
  <c r="S135" i="6"/>
  <c r="V30" i="9" s="1"/>
  <c r="AN55" i="6"/>
  <c r="W135" i="6"/>
  <c r="Z30" i="9" s="1"/>
  <c r="X135" i="6"/>
  <c r="AA30" i="9" s="1"/>
  <c r="H71" i="34"/>
  <c r="L52" i="34"/>
  <c r="L71" i="34"/>
  <c r="F71" i="34"/>
  <c r="J71" i="34"/>
  <c r="U120" i="6"/>
  <c r="X15" i="9" s="1"/>
  <c r="U43" i="6"/>
  <c r="W23" i="12" s="1"/>
  <c r="AK40" i="6"/>
  <c r="AK42" i="6"/>
  <c r="AK30" i="6"/>
  <c r="AK36" i="6"/>
  <c r="AQ36" i="6" s="1"/>
  <c r="AP36" i="6" s="1"/>
  <c r="AK71" i="6"/>
  <c r="AQ71" i="6" s="1"/>
  <c r="AK65" i="6"/>
  <c r="AQ65" i="6" s="1"/>
  <c r="W79" i="6" s="1"/>
  <c r="Y59" i="12" s="1"/>
  <c r="AK28" i="6"/>
  <c r="AV51" i="6"/>
  <c r="BA51" i="6" s="1"/>
  <c r="X43" i="6"/>
  <c r="Z23" i="12" s="1"/>
  <c r="U45" i="6"/>
  <c r="W25" i="12" s="1"/>
  <c r="U142" i="6"/>
  <c r="X37" i="9" s="1"/>
  <c r="AA59" i="2"/>
  <c r="AK59" i="2" s="1"/>
  <c r="U453" i="6"/>
  <c r="U229" i="6"/>
  <c r="W4" i="10" s="1"/>
  <c r="U360" i="6"/>
  <c r="V18" i="14" s="1"/>
  <c r="U274" i="6"/>
  <c r="X14" i="8" s="1"/>
  <c r="U204" i="6"/>
  <c r="X52" i="21" s="1"/>
  <c r="U203" i="6"/>
  <c r="X51" i="21" s="1"/>
  <c r="U455" i="6"/>
  <c r="W55" i="20" s="1"/>
  <c r="U300" i="6"/>
  <c r="X40" i="8" s="1"/>
  <c r="U202" i="6"/>
  <c r="X50" i="21" s="1"/>
  <c r="U96" i="6"/>
  <c r="X15" i="16" s="1"/>
  <c r="U431" i="6"/>
  <c r="W31" i="20" s="1"/>
  <c r="U68" i="6"/>
  <c r="W48" i="12" s="1"/>
  <c r="U67" i="6"/>
  <c r="W47" i="12" s="1"/>
  <c r="U295" i="6"/>
  <c r="X35" i="8" s="1"/>
  <c r="U87" i="6"/>
  <c r="X6" i="16" s="1"/>
  <c r="U26" i="6"/>
  <c r="W6" i="12" s="1"/>
  <c r="BX83" i="2"/>
  <c r="U275" i="6"/>
  <c r="X15" i="8" s="1"/>
  <c r="U179" i="6"/>
  <c r="X27" i="21" s="1"/>
  <c r="U322" i="6"/>
  <c r="W5" i="15" s="1"/>
  <c r="U157" i="6"/>
  <c r="X5" i="21" s="1"/>
  <c r="U414" i="6"/>
  <c r="W14" i="20" s="1"/>
  <c r="U320" i="6"/>
  <c r="W3" i="15" s="1"/>
  <c r="U217" i="6"/>
  <c r="X65" i="21" s="1"/>
  <c r="U173" i="6"/>
  <c r="X21" i="21" s="1"/>
  <c r="U266" i="6"/>
  <c r="X6" i="8" s="1"/>
  <c r="U115" i="6"/>
  <c r="X10" i="9" s="1"/>
  <c r="U46" i="6"/>
  <c r="W26" i="12" s="1"/>
  <c r="U239" i="6"/>
  <c r="W14" i="10" s="1"/>
  <c r="U160" i="6"/>
  <c r="X8" i="21" s="1"/>
  <c r="U117" i="6"/>
  <c r="X12" i="9" s="1"/>
  <c r="U257" i="6"/>
  <c r="W32" i="10" s="1"/>
  <c r="U245" i="6"/>
  <c r="W20" i="10" s="1"/>
  <c r="BU43" i="2"/>
  <c r="BV43" i="2"/>
  <c r="BW43" i="2"/>
  <c r="BT43" i="2"/>
  <c r="U256" i="6"/>
  <c r="W31" i="10" s="1"/>
  <c r="U186" i="6"/>
  <c r="X34" i="21" s="1"/>
  <c r="U430" i="6"/>
  <c r="W30" i="20" s="1"/>
  <c r="U231" i="6"/>
  <c r="W6" i="10" s="1"/>
  <c r="U94" i="6"/>
  <c r="X13" i="16" s="1"/>
  <c r="U56" i="6"/>
  <c r="W36" i="12" s="1"/>
  <c r="U165" i="6"/>
  <c r="X13" i="21" s="1"/>
  <c r="U410" i="6"/>
  <c r="W10" i="20" s="1"/>
  <c r="U411" i="6"/>
  <c r="W11" i="20" s="1"/>
  <c r="U118" i="6"/>
  <c r="X13" i="9" s="1"/>
  <c r="U262" i="6"/>
  <c r="X2" i="8" s="1"/>
  <c r="AS51" i="6"/>
  <c r="U62" i="6"/>
  <c r="W42" i="12" s="1"/>
  <c r="U207" i="6"/>
  <c r="X55" i="21" s="1"/>
  <c r="U52" i="6"/>
  <c r="W32" i="12" s="1"/>
  <c r="U258" i="6"/>
  <c r="W33" i="10" s="1"/>
  <c r="U99" i="6"/>
  <c r="X18" i="16" s="1"/>
  <c r="U24" i="6"/>
  <c r="W4" i="12" s="1"/>
  <c r="U199" i="6"/>
  <c r="X47" i="21" s="1"/>
  <c r="U219" i="6"/>
  <c r="X67" i="21" s="1"/>
  <c r="U417" i="6"/>
  <c r="W17" i="20" s="1"/>
  <c r="U185" i="6"/>
  <c r="X33" i="21" s="1"/>
  <c r="U259" i="6"/>
  <c r="W34" i="10" s="1"/>
  <c r="U344" i="6"/>
  <c r="V2" i="14" s="1"/>
  <c r="U54" i="6"/>
  <c r="W34" i="12" s="1"/>
  <c r="U356" i="6"/>
  <c r="V14" i="14" s="1"/>
  <c r="U364" i="6"/>
  <c r="V22" i="14" s="1"/>
  <c r="U65" i="6"/>
  <c r="W45" i="12" s="1"/>
  <c r="U351" i="6"/>
  <c r="V9" i="14" s="1"/>
  <c r="U190" i="6"/>
  <c r="X38" i="21" s="1"/>
  <c r="U304" i="6"/>
  <c r="X44" i="8" s="1"/>
  <c r="U89" i="6"/>
  <c r="X8" i="16" s="1"/>
  <c r="U438" i="6"/>
  <c r="W38" i="20" s="1"/>
  <c r="U279" i="6"/>
  <c r="X19" i="8" s="1"/>
  <c r="U346" i="6"/>
  <c r="V4" i="14" s="1"/>
  <c r="U253" i="6"/>
  <c r="W28" i="10" s="1"/>
  <c r="U76" i="6"/>
  <c r="W56" i="12" s="1"/>
  <c r="U220" i="6"/>
  <c r="X68" i="21" s="1"/>
  <c r="U181" i="6"/>
  <c r="X29" i="21" s="1"/>
  <c r="U172" i="6"/>
  <c r="X20" i="21" s="1"/>
  <c r="U428" i="6"/>
  <c r="W28" i="20" s="1"/>
  <c r="U116" i="6"/>
  <c r="X11" i="9" s="1"/>
  <c r="U60" i="6"/>
  <c r="W40" i="12" s="1"/>
  <c r="U101" i="6"/>
  <c r="X20" i="16" s="1"/>
  <c r="U197" i="6"/>
  <c r="X45" i="21" s="1"/>
  <c r="U49" i="6"/>
  <c r="W29" i="12" s="1"/>
  <c r="U277" i="6"/>
  <c r="X17" i="8" s="1"/>
  <c r="U61" i="6"/>
  <c r="W41" i="12" s="1"/>
  <c r="U158" i="6"/>
  <c r="X6" i="21" s="1"/>
  <c r="U148" i="6"/>
  <c r="X43" i="9" s="1"/>
  <c r="U37" i="6"/>
  <c r="W17" i="12" s="1"/>
  <c r="U77" i="6"/>
  <c r="W57" i="12" s="1"/>
  <c r="U58" i="6"/>
  <c r="W38" i="12" s="1"/>
  <c r="AL201" i="6"/>
  <c r="U419" i="6"/>
  <c r="W19" i="20" s="1"/>
  <c r="U352" i="6"/>
  <c r="V10" i="14" s="1"/>
  <c r="U290" i="6"/>
  <c r="X30" i="8" s="1"/>
  <c r="U159" i="6"/>
  <c r="X7" i="21" s="1"/>
  <c r="U214" i="6"/>
  <c r="X62" i="21" s="1"/>
  <c r="U59" i="6"/>
  <c r="W39" i="12" s="1"/>
  <c r="U222" i="6"/>
  <c r="X70" i="21" s="1"/>
  <c r="U191" i="6"/>
  <c r="X39" i="21" s="1"/>
  <c r="U283" i="6"/>
  <c r="X23" i="8" s="1"/>
  <c r="U423" i="6"/>
  <c r="W23" i="20" s="1"/>
  <c r="U244" i="6"/>
  <c r="W19" i="10" s="1"/>
  <c r="U70" i="6"/>
  <c r="W50" i="12" s="1"/>
  <c r="U125" i="6"/>
  <c r="X20" i="9" s="1"/>
  <c r="U151" i="6"/>
  <c r="X46" i="9" s="1"/>
  <c r="U416" i="6"/>
  <c r="W16" i="20" s="1"/>
  <c r="U441" i="6"/>
  <c r="W41" i="20" s="1"/>
  <c r="U205" i="6"/>
  <c r="X53" i="21" s="1"/>
  <c r="U227" i="6"/>
  <c r="W2" i="10" s="1"/>
  <c r="U83" i="6"/>
  <c r="X2" i="16" s="1"/>
  <c r="U134" i="6"/>
  <c r="X29" i="9" s="1"/>
  <c r="U451" i="6"/>
  <c r="W51" i="20" s="1"/>
  <c r="U301" i="6"/>
  <c r="X41" i="8" s="1"/>
  <c r="U84" i="6"/>
  <c r="X3" i="16" s="1"/>
  <c r="U347" i="6"/>
  <c r="V5" i="14" s="1"/>
  <c r="U176" i="6"/>
  <c r="X24" i="21" s="1"/>
  <c r="U372" i="6"/>
  <c r="V2" i="19" s="1"/>
  <c r="U22" i="6"/>
  <c r="W2" i="12" s="1"/>
  <c r="U248" i="6"/>
  <c r="W23" i="10" s="1"/>
  <c r="U368" i="6"/>
  <c r="V26" i="14" s="1"/>
  <c r="U369" i="6"/>
  <c r="V27" i="14" s="1"/>
  <c r="U350" i="6"/>
  <c r="V8" i="14" s="1"/>
  <c r="U404" i="6"/>
  <c r="W4" i="20" s="1"/>
  <c r="U35" i="6"/>
  <c r="W15" i="12" s="1"/>
  <c r="U122" i="6"/>
  <c r="X17" i="9" s="1"/>
  <c r="U175" i="6"/>
  <c r="X23" i="21" s="1"/>
  <c r="U315" i="6"/>
  <c r="X55" i="8" s="1"/>
  <c r="U405" i="6"/>
  <c r="W5" i="20" s="1"/>
  <c r="AJ156" i="6"/>
  <c r="AN156" i="6" s="1"/>
  <c r="U171" i="6" s="1"/>
  <c r="X19" i="21" s="1"/>
  <c r="U121" i="6"/>
  <c r="X16" i="9" s="1"/>
  <c r="U309" i="6"/>
  <c r="X49" i="8" s="1"/>
  <c r="U442" i="6"/>
  <c r="W42" i="20" s="1"/>
  <c r="U445" i="6"/>
  <c r="W45" i="20" s="1"/>
  <c r="U210" i="6"/>
  <c r="X58" i="21" s="1"/>
  <c r="U136" i="6"/>
  <c r="X31" i="9" s="1"/>
  <c r="U250" i="6"/>
  <c r="W25" i="10" s="1"/>
  <c r="U359" i="6"/>
  <c r="V17" i="14" s="1"/>
  <c r="U448" i="6"/>
  <c r="W48" i="20" s="1"/>
  <c r="U413" i="6"/>
  <c r="W13" i="20" s="1"/>
  <c r="U169" i="6"/>
  <c r="X17" i="21" s="1"/>
  <c r="U212" i="6"/>
  <c r="X60" i="21" s="1"/>
  <c r="U123" i="6"/>
  <c r="X18" i="9" s="1"/>
  <c r="U228" i="6"/>
  <c r="W3" i="10" s="1"/>
  <c r="U418" i="6"/>
  <c r="W18" i="20" s="1"/>
  <c r="U297" i="6"/>
  <c r="X37" i="8" s="1"/>
  <c r="U27" i="6"/>
  <c r="W7" i="12" s="1"/>
  <c r="U302" i="6"/>
  <c r="X42" i="8" s="1"/>
  <c r="U208" i="6"/>
  <c r="X56" i="21" s="1"/>
  <c r="U403" i="6"/>
  <c r="W3" i="20" s="1"/>
  <c r="U129" i="6"/>
  <c r="X24" i="9" s="1"/>
  <c r="U254" i="6"/>
  <c r="W29" i="10" s="1"/>
  <c r="U444" i="6"/>
  <c r="W44" i="20" s="1"/>
  <c r="U447" i="6"/>
  <c r="W47" i="20" s="1"/>
  <c r="U130" i="6"/>
  <c r="X25" i="9" s="1"/>
  <c r="U93" i="6"/>
  <c r="X12" i="16" s="1"/>
  <c r="U420" i="6"/>
  <c r="W20" i="20" s="1"/>
  <c r="U50" i="6"/>
  <c r="W30" i="12" s="1"/>
  <c r="U88" i="6"/>
  <c r="X7" i="16" s="1"/>
  <c r="U265" i="6"/>
  <c r="X5" i="8" s="1"/>
  <c r="U319" i="6"/>
  <c r="W2" i="15" s="1"/>
  <c r="U137" i="6"/>
  <c r="X32" i="9" s="1"/>
  <c r="U306" i="6"/>
  <c r="X46" i="8" s="1"/>
  <c r="U437" i="6"/>
  <c r="W37" i="20" s="1"/>
  <c r="U97" i="6"/>
  <c r="X16" i="16" s="1"/>
  <c r="U33" i="6"/>
  <c r="W13" i="12" s="1"/>
  <c r="U178" i="6"/>
  <c r="X26" i="21" s="1"/>
  <c r="U95" i="6"/>
  <c r="X14" i="16" s="1"/>
  <c r="U276" i="6"/>
  <c r="X16" i="8" s="1"/>
  <c r="U433" i="6"/>
  <c r="W33" i="20" s="1"/>
  <c r="U141" i="6"/>
  <c r="X36" i="9" s="1"/>
  <c r="U167" i="6"/>
  <c r="X15" i="21" s="1"/>
  <c r="U103" i="6"/>
  <c r="X22" i="16" s="1"/>
  <c r="U32" i="6"/>
  <c r="W12" i="12" s="1"/>
  <c r="U307" i="6"/>
  <c r="X47" i="8" s="1"/>
  <c r="U85" i="6"/>
  <c r="X4" i="16" s="1"/>
  <c r="U92" i="6"/>
  <c r="X11" i="16" s="1"/>
  <c r="U450" i="6"/>
  <c r="W50" i="20" s="1"/>
  <c r="U90" i="6"/>
  <c r="X9" i="16" s="1"/>
  <c r="U114" i="6"/>
  <c r="X9" i="9" s="1"/>
  <c r="U183" i="6"/>
  <c r="X31" i="21" s="1"/>
  <c r="U365" i="6"/>
  <c r="V23" i="14" s="1"/>
  <c r="U192" i="6"/>
  <c r="X40" i="21" s="1"/>
  <c r="U155" i="6"/>
  <c r="X3" i="21" s="1"/>
  <c r="U198" i="6"/>
  <c r="X46" i="21" s="1"/>
  <c r="U149" i="6"/>
  <c r="X44" i="9" s="1"/>
  <c r="U145" i="6"/>
  <c r="X40" i="9" s="1"/>
  <c r="U29" i="6"/>
  <c r="W9" i="12" s="1"/>
  <c r="U251" i="6"/>
  <c r="W26" i="10" s="1"/>
  <c r="U308" i="6"/>
  <c r="X48" i="8" s="1"/>
  <c r="U299" i="6"/>
  <c r="X39" i="8" s="1"/>
  <c r="U345" i="6"/>
  <c r="V3" i="14" s="1"/>
  <c r="U80" i="6"/>
  <c r="W60" i="12" s="1"/>
  <c r="U278" i="6"/>
  <c r="X18" i="8" s="1"/>
  <c r="U412" i="6"/>
  <c r="W12" i="20" s="1"/>
  <c r="U358" i="6"/>
  <c r="V16" i="14" s="1"/>
  <c r="U402" i="6"/>
  <c r="W2" i="20" s="1"/>
  <c r="U223" i="6"/>
  <c r="X71" i="21" s="1"/>
  <c r="U293" i="6"/>
  <c r="X33" i="8" s="1"/>
  <c r="U39" i="6"/>
  <c r="W19" i="12" s="1"/>
  <c r="U42" i="6"/>
  <c r="W22" i="12" s="1"/>
  <c r="U189" i="6"/>
  <c r="X37" i="21" s="1"/>
  <c r="U40" i="6"/>
  <c r="W20" i="12" s="1"/>
  <c r="U427" i="6"/>
  <c r="W27" i="20" s="1"/>
  <c r="U38" i="6"/>
  <c r="W18" i="12" s="1"/>
  <c r="U429" i="6"/>
  <c r="W29" i="20" s="1"/>
  <c r="U264" i="6"/>
  <c r="X4" i="8" s="1"/>
  <c r="U446" i="6"/>
  <c r="W46" i="20" s="1"/>
  <c r="U270" i="6"/>
  <c r="X10" i="8" s="1"/>
  <c r="U180" i="6"/>
  <c r="X28" i="21" s="1"/>
  <c r="U48" i="6"/>
  <c r="W28" i="12" s="1"/>
  <c r="U314" i="6"/>
  <c r="X54" i="8" s="1"/>
  <c r="U132" i="6"/>
  <c r="X27" i="9" s="1"/>
  <c r="U188" i="6"/>
  <c r="X36" i="21" s="1"/>
  <c r="U298" i="6"/>
  <c r="X38" i="8" s="1"/>
  <c r="U252" i="6"/>
  <c r="W27" i="10" s="1"/>
  <c r="U200" i="6"/>
  <c r="X48" i="21" s="1"/>
  <c r="U321" i="6"/>
  <c r="W4" i="15" s="1"/>
  <c r="U406" i="6"/>
  <c r="W6" i="20" s="1"/>
  <c r="U161" i="6"/>
  <c r="X9" i="21" s="1"/>
  <c r="U201" i="6"/>
  <c r="X49" i="21" s="1"/>
  <c r="U409" i="6"/>
  <c r="W9" i="20" s="1"/>
  <c r="U268" i="6"/>
  <c r="X8" i="8" s="1"/>
  <c r="U272" i="6"/>
  <c r="X12" i="8" s="1"/>
  <c r="U280" i="6"/>
  <c r="X20" i="8" s="1"/>
  <c r="U425" i="6"/>
  <c r="W25" i="20" s="1"/>
  <c r="U53" i="6"/>
  <c r="W33" i="12" s="1"/>
  <c r="U91" i="6"/>
  <c r="X10" i="16" s="1"/>
  <c r="U57" i="6"/>
  <c r="W37" i="12" s="1"/>
  <c r="U246" i="6"/>
  <c r="W21" i="10" s="1"/>
  <c r="U128" i="6"/>
  <c r="X23" i="9" s="1"/>
  <c r="U79" i="6"/>
  <c r="W59" i="12" s="1"/>
  <c r="U271" i="6"/>
  <c r="X11" i="8" s="1"/>
  <c r="U313" i="6"/>
  <c r="X53" i="8" s="1"/>
  <c r="U353" i="6"/>
  <c r="V11" i="14" s="1"/>
  <c r="U119" i="6"/>
  <c r="X14" i="9" s="1"/>
  <c r="U174" i="6"/>
  <c r="X22" i="21" s="1"/>
  <c r="U98" i="6"/>
  <c r="X17" i="16" s="1"/>
  <c r="U144" i="6"/>
  <c r="X39" i="9" s="1"/>
  <c r="U182" i="6"/>
  <c r="X30" i="21" s="1"/>
  <c r="U263" i="6"/>
  <c r="X3" i="8" s="1"/>
  <c r="U349" i="6"/>
  <c r="V7" i="14" s="1"/>
  <c r="U138" i="6"/>
  <c r="X33" i="9" s="1"/>
  <c r="U362" i="6"/>
  <c r="V20" i="14" s="1"/>
  <c r="U291" i="6"/>
  <c r="X31" i="8" s="1"/>
  <c r="U241" i="6"/>
  <c r="W16" i="10" s="1"/>
  <c r="U23" i="6"/>
  <c r="W3" i="12" s="1"/>
  <c r="U443" i="6"/>
  <c r="W43" i="20" s="1"/>
  <c r="U296" i="6"/>
  <c r="X36" i="8" s="1"/>
  <c r="U31" i="6"/>
  <c r="W11" i="12" s="1"/>
  <c r="U78" i="6"/>
  <c r="W58" i="12" s="1"/>
  <c r="U156" i="6"/>
  <c r="X4" i="21" s="1"/>
  <c r="U34" i="6"/>
  <c r="W14" i="12" s="1"/>
  <c r="U434" i="6"/>
  <c r="W34" i="20" s="1"/>
  <c r="U206" i="6"/>
  <c r="X54" i="21" s="1"/>
  <c r="U164" i="6"/>
  <c r="X12" i="21" s="1"/>
  <c r="U354" i="6"/>
  <c r="V12" i="14" s="1"/>
  <c r="U170" i="6"/>
  <c r="X18" i="21" s="1"/>
  <c r="U224" i="6"/>
  <c r="X72" i="21" s="1"/>
  <c r="U72" i="6"/>
  <c r="W52" i="12" s="1"/>
  <c r="U255" i="6"/>
  <c r="W30" i="10" s="1"/>
  <c r="U30" i="6"/>
  <c r="W10" i="12" s="1"/>
  <c r="U168" i="6"/>
  <c r="X16" i="21" s="1"/>
  <c r="U432" i="6"/>
  <c r="W32" i="20" s="1"/>
  <c r="U243" i="6"/>
  <c r="W18" i="10" s="1"/>
  <c r="U273" i="6"/>
  <c r="X13" i="8" s="1"/>
  <c r="U124" i="6"/>
  <c r="X19" i="9" s="1"/>
  <c r="U55" i="6"/>
  <c r="W35" i="12" s="1"/>
  <c r="U281" i="6"/>
  <c r="X21" i="8" s="1"/>
  <c r="U218" i="6"/>
  <c r="X66" i="21" s="1"/>
  <c r="U187" i="6"/>
  <c r="X35" i="21" s="1"/>
  <c r="U424" i="6"/>
  <c r="W24" i="20" s="1"/>
  <c r="U25" i="6"/>
  <c r="W5" i="12" s="1"/>
  <c r="U154" i="6"/>
  <c r="X2" i="21" s="1"/>
  <c r="U211" i="6"/>
  <c r="X59" i="21" s="1"/>
  <c r="U140" i="6"/>
  <c r="X35" i="9" s="1"/>
  <c r="U28" i="6"/>
  <c r="W8" i="12" s="1"/>
  <c r="U357" i="6"/>
  <c r="V15" i="14" s="1"/>
  <c r="U242" i="6"/>
  <c r="W17" i="10" s="1"/>
  <c r="U249" i="6"/>
  <c r="W24" i="10" s="1"/>
  <c r="U348" i="6"/>
  <c r="V6" i="14" s="1"/>
  <c r="U139" i="6"/>
  <c r="X34" i="9" s="1"/>
  <c r="U69" i="6"/>
  <c r="W49" i="12" s="1"/>
  <c r="U63" i="6"/>
  <c r="W43" i="12" s="1"/>
  <c r="U408" i="6"/>
  <c r="W8" i="20" s="1"/>
  <c r="U247" i="6"/>
  <c r="W22" i="10" s="1"/>
  <c r="U303" i="6"/>
  <c r="X43" i="8" s="1"/>
  <c r="U240" i="6"/>
  <c r="W15" i="10" s="1"/>
  <c r="U366" i="6"/>
  <c r="V24" i="14" s="1"/>
  <c r="U221" i="6"/>
  <c r="X69" i="21" s="1"/>
  <c r="U213" i="6"/>
  <c r="X61" i="21" s="1"/>
  <c r="U312" i="6"/>
  <c r="X52" i="8" s="1"/>
  <c r="U66" i="6"/>
  <c r="W46" i="12" s="1"/>
  <c r="U71" i="6"/>
  <c r="W51" i="12" s="1"/>
  <c r="U415" i="6"/>
  <c r="W15" i="20" s="1"/>
  <c r="U162" i="6"/>
  <c r="X10" i="21" s="1"/>
  <c r="AJ180" i="6"/>
  <c r="AL180" i="6" s="1"/>
  <c r="U193" i="6" s="1"/>
  <c r="X41" i="21" s="1"/>
  <c r="U440" i="6"/>
  <c r="W40" i="20" s="1"/>
  <c r="U86" i="6"/>
  <c r="X5" i="16" s="1"/>
  <c r="U294" i="6"/>
  <c r="X34" i="8" s="1"/>
  <c r="U143" i="6"/>
  <c r="X38" i="9" s="1"/>
  <c r="U131" i="6"/>
  <c r="X26" i="9" s="1"/>
  <c r="U196" i="6"/>
  <c r="X44" i="21" s="1"/>
  <c r="U102" i="6"/>
  <c r="X21" i="16" s="1"/>
  <c r="U305" i="6"/>
  <c r="X45" i="8" s="1"/>
  <c r="U436" i="6"/>
  <c r="W36" i="20" s="1"/>
  <c r="U166" i="6"/>
  <c r="X14" i="21" s="1"/>
  <c r="U100" i="6"/>
  <c r="X19" i="16" s="1"/>
  <c r="U146" i="6"/>
  <c r="X41" i="9" s="1"/>
  <c r="U215" i="6"/>
  <c r="X63" i="21" s="1"/>
  <c r="U449" i="6"/>
  <c r="W49" i="20" s="1"/>
  <c r="U284" i="6"/>
  <c r="X24" i="8" s="1"/>
  <c r="U184" i="6"/>
  <c r="X32" i="21" s="1"/>
  <c r="U216" i="6"/>
  <c r="X64" i="21" s="1"/>
  <c r="U73" i="6"/>
  <c r="W53" i="12" s="1"/>
  <c r="U282" i="6"/>
  <c r="X22" i="8" s="1"/>
  <c r="CB290" i="2"/>
  <c r="AK446" i="6"/>
  <c r="AQ446" i="6" s="1"/>
  <c r="W455" i="6" s="1"/>
  <c r="CA294" i="2"/>
  <c r="BZ282" i="2"/>
  <c r="BZ294" i="2"/>
  <c r="CA298" i="2"/>
  <c r="CA282" i="2"/>
  <c r="BZ298" i="2"/>
  <c r="BZ256" i="2"/>
  <c r="CA256" i="2"/>
  <c r="AQ405" i="6"/>
  <c r="W402" i="6" s="1"/>
  <c r="AK453" i="6"/>
  <c r="AQ453" i="6" s="1"/>
  <c r="AK184" i="6"/>
  <c r="AQ184" i="6" s="1"/>
  <c r="W207" i="6" s="1"/>
  <c r="Z55" i="21" s="1"/>
  <c r="AK85" i="6"/>
  <c r="AQ85" i="6" s="1"/>
  <c r="AP85" i="6" s="1"/>
  <c r="AK63" i="6"/>
  <c r="AK310" i="6"/>
  <c r="AQ310" i="6" s="1"/>
  <c r="AK414" i="6"/>
  <c r="AQ414" i="6" s="1"/>
  <c r="W419" i="6" s="1"/>
  <c r="AK424" i="6"/>
  <c r="AQ424" i="6" s="1"/>
  <c r="AK265" i="6"/>
  <c r="AQ265" i="6" s="1"/>
  <c r="AK49" i="6"/>
  <c r="AK274" i="6"/>
  <c r="AQ274" i="6" s="1"/>
  <c r="CA73" i="2"/>
  <c r="BZ73" i="2" s="1"/>
  <c r="BZ89" i="2"/>
  <c r="BY89" i="2" s="1"/>
  <c r="CB89" i="2"/>
  <c r="CA89" i="2" s="1"/>
  <c r="CA261" i="2"/>
  <c r="BZ261" i="2"/>
  <c r="CA65" i="2"/>
  <c r="BZ65" i="2" s="1"/>
  <c r="CB76" i="2" s="1"/>
  <c r="CA269" i="2"/>
  <c r="BZ269" i="2"/>
  <c r="W443" i="6"/>
  <c r="Y43" i="20" s="1"/>
  <c r="W262" i="6"/>
  <c r="Z2" i="8" s="1"/>
  <c r="W181" i="6"/>
  <c r="Z29" i="21" s="1"/>
  <c r="W305" i="6"/>
  <c r="Z45" i="8" s="1"/>
  <c r="AP201" i="6"/>
  <c r="W315" i="6"/>
  <c r="Z55" i="8" s="1"/>
  <c r="W446" i="6"/>
  <c r="Y46" i="20" s="1"/>
  <c r="W265" i="6"/>
  <c r="Z5" i="8" s="1"/>
  <c r="W302" i="6"/>
  <c r="Z42" i="8" s="1"/>
  <c r="W307" i="6"/>
  <c r="Z47" i="8" s="1"/>
  <c r="W264" i="6"/>
  <c r="Z4" i="8" s="1"/>
  <c r="W444" i="6"/>
  <c r="Y44" i="20" s="1"/>
  <c r="W449" i="6"/>
  <c r="Y49" i="20" s="1"/>
  <c r="Y20" i="20"/>
  <c r="W450" i="6"/>
  <c r="Y50" i="20" s="1"/>
  <c r="W312" i="6"/>
  <c r="Z52" i="8" s="1"/>
  <c r="W306" i="6"/>
  <c r="Z46" i="8" s="1"/>
  <c r="W266" i="6"/>
  <c r="Z6" i="8" s="1"/>
  <c r="W448" i="6"/>
  <c r="Y48" i="20" s="1"/>
  <c r="W270" i="6"/>
  <c r="Z10" i="8" s="1"/>
  <c r="W268" i="6"/>
  <c r="Z8" i="8" s="1"/>
  <c r="W313" i="6"/>
  <c r="Z53" i="8" s="1"/>
  <c r="W453" i="6"/>
  <c r="Y53" i="20" s="1"/>
  <c r="W314" i="6"/>
  <c r="Z54" i="8" s="1"/>
  <c r="W297" i="6"/>
  <c r="Z37" i="8" s="1"/>
  <c r="W445" i="6"/>
  <c r="Y45" i="20" s="1"/>
  <c r="W263" i="6"/>
  <c r="Z3" i="8" s="1"/>
  <c r="CA274" i="2"/>
  <c r="BZ274" i="2"/>
  <c r="CA242" i="2"/>
  <c r="CE250" i="2"/>
  <c r="BZ242" i="2"/>
  <c r="CB242" i="2"/>
  <c r="CC242" i="2"/>
  <c r="BX175" i="2"/>
  <c r="BV175" i="2"/>
  <c r="CA250" i="2"/>
  <c r="BZ250" i="2"/>
  <c r="CD250" i="2"/>
  <c r="CF250" i="2" s="1"/>
  <c r="W434" i="6"/>
  <c r="W144" i="6"/>
  <c r="Z39" i="9" s="1"/>
  <c r="W293" i="6"/>
  <c r="Z33" i="8" s="1"/>
  <c r="X65" i="6"/>
  <c r="Z45" i="12" s="1"/>
  <c r="W46" i="6"/>
  <c r="Y26" i="12" s="1"/>
  <c r="X224" i="6"/>
  <c r="AA72" i="21" s="1"/>
  <c r="W33" i="6"/>
  <c r="Y13" i="12" s="1"/>
  <c r="X28" i="6"/>
  <c r="Z8" i="12" s="1"/>
  <c r="X175" i="6"/>
  <c r="AA23" i="21" s="1"/>
  <c r="W258" i="6"/>
  <c r="Y33" i="10" s="1"/>
  <c r="X97" i="6"/>
  <c r="AA16" i="16" s="1"/>
  <c r="X26" i="6"/>
  <c r="Z6" i="12" s="1"/>
  <c r="X218" i="6"/>
  <c r="AA66" i="21" s="1"/>
  <c r="X27" i="6"/>
  <c r="Z7" i="12" s="1"/>
  <c r="W48" i="6"/>
  <c r="Y28" i="12" s="1"/>
  <c r="W55" i="6"/>
  <c r="Y35" i="12" s="1"/>
  <c r="W257" i="6"/>
  <c r="Y32" i="10" s="1"/>
  <c r="W114" i="6"/>
  <c r="Z9" i="9" s="1"/>
  <c r="X117" i="6"/>
  <c r="AA12" i="9" s="1"/>
  <c r="X85" i="6"/>
  <c r="AA4" i="16" s="1"/>
  <c r="X169" i="6"/>
  <c r="AA17" i="21" s="1"/>
  <c r="X114" i="6"/>
  <c r="AA9" i="9" s="1"/>
  <c r="W39" i="6"/>
  <c r="Y19" i="12" s="1"/>
  <c r="X155" i="6"/>
  <c r="AA3" i="21" s="1"/>
  <c r="X61" i="6"/>
  <c r="Z41" i="12" s="1"/>
  <c r="W222" i="6"/>
  <c r="Z70" i="21" s="1"/>
  <c r="X250" i="6"/>
  <c r="Z25" i="10" s="1"/>
  <c r="X60" i="6"/>
  <c r="Z40" i="12" s="1"/>
  <c r="X23" i="6"/>
  <c r="Z3" i="12" s="1"/>
  <c r="W344" i="6"/>
  <c r="X2" i="14" s="1"/>
  <c r="W244" i="6"/>
  <c r="Y19" i="10" s="1"/>
  <c r="X256" i="6"/>
  <c r="Z31" i="10" s="1"/>
  <c r="W88" i="6"/>
  <c r="Z7" i="16" s="1"/>
  <c r="X277" i="6"/>
  <c r="AA17" i="8" s="1"/>
  <c r="W101" i="6"/>
  <c r="Z20" i="16" s="1"/>
  <c r="W94" i="6"/>
  <c r="Z13" i="16" s="1"/>
  <c r="W433" i="6"/>
  <c r="W141" i="6"/>
  <c r="Z36" i="9" s="1"/>
  <c r="X191" i="6"/>
  <c r="AA39" i="21" s="1"/>
  <c r="X94" i="6"/>
  <c r="AA13" i="16" s="1"/>
  <c r="X95" i="6"/>
  <c r="AA14" i="16" s="1"/>
  <c r="W32" i="6"/>
  <c r="Y12" i="12" s="1"/>
  <c r="X121" i="6"/>
  <c r="AA16" i="9" s="1"/>
  <c r="X184" i="6"/>
  <c r="AA32" i="21" s="1"/>
  <c r="W187" i="6"/>
  <c r="Z35" i="21" s="1"/>
  <c r="AN49" i="6"/>
  <c r="AN38" i="6"/>
  <c r="AN32" i="6"/>
  <c r="AN362" i="6"/>
  <c r="X268" i="6"/>
  <c r="AA8" i="8" s="1"/>
  <c r="W423" i="6"/>
  <c r="X240" i="6"/>
  <c r="Z15" i="10" s="1"/>
  <c r="W436" i="6"/>
  <c r="W210" i="6"/>
  <c r="Z58" i="21" s="1"/>
  <c r="X134" i="6"/>
  <c r="AA29" i="9" s="1"/>
  <c r="W175" i="6"/>
  <c r="Z23" i="21" s="1"/>
  <c r="X253" i="6"/>
  <c r="Z28" i="10" s="1"/>
  <c r="W157" i="6"/>
  <c r="Z5" i="21" s="1"/>
  <c r="W180" i="6"/>
  <c r="Z28" i="21" s="1"/>
  <c r="X103" i="6"/>
  <c r="AA22" i="16" s="1"/>
  <c r="X76" i="6"/>
  <c r="Z56" i="12" s="1"/>
  <c r="X173" i="6"/>
  <c r="AA21" i="21" s="1"/>
  <c r="W246" i="6"/>
  <c r="Y21" i="10" s="1"/>
  <c r="W200" i="6"/>
  <c r="Z48" i="21" s="1"/>
  <c r="W121" i="6"/>
  <c r="Z16" i="9" s="1"/>
  <c r="X296" i="6"/>
  <c r="AA36" i="8" s="1"/>
  <c r="X252" i="6"/>
  <c r="Z27" i="10" s="1"/>
  <c r="X143" i="6"/>
  <c r="AA38" i="9" s="1"/>
  <c r="W119" i="6"/>
  <c r="Z14" i="9" s="1"/>
  <c r="X198" i="6"/>
  <c r="AA46" i="21" s="1"/>
  <c r="W130" i="6"/>
  <c r="Z25" i="9" s="1"/>
  <c r="W61" i="6"/>
  <c r="Y41" i="12" s="1"/>
  <c r="W199" i="6"/>
  <c r="Z47" i="21" s="1"/>
  <c r="W49" i="6"/>
  <c r="Y29" i="12" s="1"/>
  <c r="X98" i="6"/>
  <c r="AA17" i="16" s="1"/>
  <c r="W95" i="6"/>
  <c r="Z14" i="16" s="1"/>
  <c r="W24" i="6"/>
  <c r="Y4" i="12" s="1"/>
  <c r="W86" i="6"/>
  <c r="Z5" i="16" s="1"/>
  <c r="W156" i="6"/>
  <c r="Z4" i="21" s="1"/>
  <c r="W145" i="6"/>
  <c r="Z40" i="9" s="1"/>
  <c r="X50" i="6"/>
  <c r="Z30" i="12" s="1"/>
  <c r="X176" i="6"/>
  <c r="AA24" i="21" s="1"/>
  <c r="X89" i="6"/>
  <c r="AA8" i="16" s="1"/>
  <c r="W22" i="6"/>
  <c r="Y2" i="12" s="1"/>
  <c r="W214" i="6"/>
  <c r="Z62" i="21" s="1"/>
  <c r="W89" i="6"/>
  <c r="Z8" i="16" s="1"/>
  <c r="X129" i="6"/>
  <c r="AA24" i="9" s="1"/>
  <c r="X69" i="6"/>
  <c r="Z49" i="12" s="1"/>
  <c r="X172" i="6"/>
  <c r="AA20" i="21" s="1"/>
  <c r="W245" i="6"/>
  <c r="Y20" i="10" s="1"/>
  <c r="X92" i="6"/>
  <c r="AA11" i="16" s="1"/>
  <c r="W280" i="6"/>
  <c r="Z20" i="8" s="1"/>
  <c r="X122" i="6"/>
  <c r="AA17" i="9" s="1"/>
  <c r="X199" i="6"/>
  <c r="AA47" i="21" s="1"/>
  <c r="W166" i="6"/>
  <c r="Z14" i="21" s="1"/>
  <c r="AN176" i="6"/>
  <c r="AN249" i="6"/>
  <c r="AN28" i="6"/>
  <c r="X306" i="6"/>
  <c r="AA46" i="8" s="1"/>
  <c r="W428" i="6"/>
  <c r="W151" i="6"/>
  <c r="Z46" i="9" s="1"/>
  <c r="X161" i="6"/>
  <c r="AA9" i="21" s="1"/>
  <c r="X39" i="6"/>
  <c r="Z19" i="12" s="1"/>
  <c r="W224" i="6"/>
  <c r="Z72" i="21" s="1"/>
  <c r="X32" i="6"/>
  <c r="Z12" i="12" s="1"/>
  <c r="X170" i="6"/>
  <c r="AA18" i="21" s="1"/>
  <c r="X142" i="6"/>
  <c r="AA37" i="9" s="1"/>
  <c r="W40" i="6"/>
  <c r="Y20" i="12" s="1"/>
  <c r="X48" i="6"/>
  <c r="Z28" i="12" s="1"/>
  <c r="X91" i="6"/>
  <c r="AA10" i="16" s="1"/>
  <c r="W216" i="6"/>
  <c r="Z64" i="21" s="1"/>
  <c r="W91" i="6"/>
  <c r="Z10" i="16" s="1"/>
  <c r="W124" i="6"/>
  <c r="Z19" i="9" s="1"/>
  <c r="X31" i="6"/>
  <c r="Z11" i="12" s="1"/>
  <c r="W23" i="6"/>
  <c r="Y3" i="12" s="1"/>
  <c r="X248" i="6"/>
  <c r="Z23" i="10" s="1"/>
  <c r="X58" i="6"/>
  <c r="Z38" i="12" s="1"/>
  <c r="X271" i="6"/>
  <c r="AA11" i="8" s="1"/>
  <c r="X24" i="6"/>
  <c r="Z4" i="12" s="1"/>
  <c r="W164" i="6"/>
  <c r="Z12" i="21" s="1"/>
  <c r="X216" i="6"/>
  <c r="AA64" i="21" s="1"/>
  <c r="W140" i="6"/>
  <c r="Z35" i="9" s="1"/>
  <c r="X145" i="6"/>
  <c r="AA40" i="9" s="1"/>
  <c r="W149" i="6"/>
  <c r="Z44" i="9" s="1"/>
  <c r="X257" i="6"/>
  <c r="Z32" i="10" s="1"/>
  <c r="W159" i="6"/>
  <c r="Z7" i="21" s="1"/>
  <c r="X22" i="6"/>
  <c r="Z2" i="12" s="1"/>
  <c r="W178" i="6"/>
  <c r="Z26" i="21" s="1"/>
  <c r="X179" i="6"/>
  <c r="AA27" i="21" s="1"/>
  <c r="X72" i="6"/>
  <c r="Z52" i="12" s="1"/>
  <c r="W53" i="6"/>
  <c r="Y33" i="12" s="1"/>
  <c r="W242" i="6"/>
  <c r="Y17" i="10" s="1"/>
  <c r="W115" i="6"/>
  <c r="Z10" i="9" s="1"/>
  <c r="W132" i="6"/>
  <c r="Z27" i="9" s="1"/>
  <c r="X168" i="6"/>
  <c r="AA16" i="21" s="1"/>
  <c r="W58" i="6"/>
  <c r="Y38" i="12" s="1"/>
  <c r="X67" i="6"/>
  <c r="Z47" i="12" s="1"/>
  <c r="X53" i="6"/>
  <c r="Z33" i="12" s="1"/>
  <c r="W366" i="6"/>
  <c r="X24" i="14" s="1"/>
  <c r="AN42" i="6"/>
  <c r="AN201" i="6"/>
  <c r="AN30" i="6"/>
  <c r="W208" i="6"/>
  <c r="Z56" i="21" s="1"/>
  <c r="X307" i="6"/>
  <c r="AA47" i="8" s="1"/>
  <c r="X264" i="6"/>
  <c r="AA4" i="8" s="1"/>
  <c r="AN287" i="6"/>
  <c r="W362" i="6"/>
  <c r="X20" i="14" s="1"/>
  <c r="X151" i="6"/>
  <c r="AA46" i="9" s="1"/>
  <c r="X186" i="6"/>
  <c r="AA34" i="21" s="1"/>
  <c r="W223" i="6"/>
  <c r="Z71" i="21" s="1"/>
  <c r="W138" i="6"/>
  <c r="Z33" i="9" s="1"/>
  <c r="X56" i="6"/>
  <c r="Z36" i="12" s="1"/>
  <c r="W356" i="6"/>
  <c r="X14" i="14" s="1"/>
  <c r="W154" i="6"/>
  <c r="Z2" i="21" s="1"/>
  <c r="X118" i="6"/>
  <c r="AA13" i="9" s="1"/>
  <c r="W174" i="6"/>
  <c r="Z22" i="21" s="1"/>
  <c r="X279" i="6"/>
  <c r="AA19" i="8" s="1"/>
  <c r="X164" i="6"/>
  <c r="AA12" i="21" s="1"/>
  <c r="W25" i="6"/>
  <c r="Y5" i="12" s="1"/>
  <c r="X128" i="6"/>
  <c r="AA23" i="9" s="1"/>
  <c r="X157" i="6"/>
  <c r="AA5" i="21" s="1"/>
  <c r="W247" i="6"/>
  <c r="Y22" i="10" s="1"/>
  <c r="X174" i="6"/>
  <c r="AA22" i="21" s="1"/>
  <c r="W37" i="6"/>
  <c r="Y17" i="12" s="1"/>
  <c r="X180" i="6"/>
  <c r="AA28" i="21" s="1"/>
  <c r="W248" i="6"/>
  <c r="Y23" i="10" s="1"/>
  <c r="W50" i="6"/>
  <c r="Y30" i="12" s="1"/>
  <c r="X217" i="6"/>
  <c r="AA65" i="21" s="1"/>
  <c r="X227" i="6"/>
  <c r="Z2" i="10" s="1"/>
  <c r="W172" i="6"/>
  <c r="Z20" i="21" s="1"/>
  <c r="W211" i="6"/>
  <c r="Z59" i="21" s="1"/>
  <c r="X52" i="6"/>
  <c r="Z32" i="12" s="1"/>
  <c r="W162" i="6"/>
  <c r="Z10" i="21" s="1"/>
  <c r="W212" i="6"/>
  <c r="Z60" i="21" s="1"/>
  <c r="X212" i="6"/>
  <c r="AA60" i="21" s="1"/>
  <c r="W125" i="6"/>
  <c r="Z20" i="9" s="1"/>
  <c r="X46" i="6"/>
  <c r="Z26" i="12" s="1"/>
  <c r="X45" i="6"/>
  <c r="Z25" i="12" s="1"/>
  <c r="W308" i="6"/>
  <c r="Z48" i="8" s="1"/>
  <c r="W221" i="6"/>
  <c r="Z69" i="21" s="1"/>
  <c r="X282" i="6"/>
  <c r="AA22" i="8" s="1"/>
  <c r="X193" i="6"/>
  <c r="AA41" i="21" s="1"/>
  <c r="W168" i="6"/>
  <c r="Z16" i="21" s="1"/>
  <c r="X63" i="6"/>
  <c r="Z43" i="12" s="1"/>
  <c r="W120" i="6"/>
  <c r="Z15" i="9" s="1"/>
  <c r="W116" i="6"/>
  <c r="Z11" i="9" s="1"/>
  <c r="X159" i="6"/>
  <c r="AA7" i="21" s="1"/>
  <c r="W219" i="6"/>
  <c r="Z67" i="21" s="1"/>
  <c r="X116" i="6"/>
  <c r="AA11" i="9" s="1"/>
  <c r="AN163" i="6"/>
  <c r="X305" i="6"/>
  <c r="AA45" i="8" s="1"/>
  <c r="X270" i="6"/>
  <c r="AA10" i="8" s="1"/>
  <c r="W249" i="6"/>
  <c r="Y24" i="10" s="1"/>
  <c r="X156" i="6"/>
  <c r="AA4" i="21" s="1"/>
  <c r="X243" i="6"/>
  <c r="Z18" i="10" s="1"/>
  <c r="X258" i="6"/>
  <c r="Z33" i="10" s="1"/>
  <c r="X137" i="6"/>
  <c r="AA32" i="9" s="1"/>
  <c r="X213" i="6"/>
  <c r="AA61" i="21" s="1"/>
  <c r="X281" i="6"/>
  <c r="AA21" i="8" s="1"/>
  <c r="W30" i="6"/>
  <c r="Y10" i="12" s="1"/>
  <c r="W85" i="6"/>
  <c r="Z4" i="16" s="1"/>
  <c r="W176" i="6"/>
  <c r="Z24" i="21" s="1"/>
  <c r="X33" i="6"/>
  <c r="Z13" i="12" s="1"/>
  <c r="X231" i="6"/>
  <c r="Z6" i="10" s="1"/>
  <c r="W134" i="6"/>
  <c r="Z29" i="9" s="1"/>
  <c r="X87" i="6"/>
  <c r="AA6" i="16" s="1"/>
  <c r="W131" i="6"/>
  <c r="Z26" i="9" s="1"/>
  <c r="X247" i="6"/>
  <c r="Z22" i="10" s="1"/>
  <c r="X57" i="6"/>
  <c r="Z37" i="12" s="1"/>
  <c r="X35" i="6"/>
  <c r="Z15" i="12" s="1"/>
  <c r="W240" i="6"/>
  <c r="Y15" i="10" s="1"/>
  <c r="W54" i="6"/>
  <c r="Y34" i="12" s="1"/>
  <c r="X239" i="6"/>
  <c r="Z14" i="10" s="1"/>
  <c r="W57" i="6"/>
  <c r="Y37" i="12" s="1"/>
  <c r="X204" i="6"/>
  <c r="AA52" i="21" s="1"/>
  <c r="AN442" i="6"/>
  <c r="X304" i="6"/>
  <c r="AA44" i="8" s="1"/>
  <c r="W271" i="6"/>
  <c r="Z11" i="8" s="1"/>
  <c r="W432" i="6"/>
  <c r="W31" i="6"/>
  <c r="Y11" i="12" s="1"/>
  <c r="X166" i="6"/>
  <c r="AA14" i="21" s="1"/>
  <c r="X130" i="6"/>
  <c r="AA25" i="9" s="1"/>
  <c r="X132" i="6"/>
  <c r="AA27" i="9" s="1"/>
  <c r="X182" i="6"/>
  <c r="AA30" i="21" s="1"/>
  <c r="W56" i="6"/>
  <c r="Y36" i="12" s="1"/>
  <c r="X25" i="6"/>
  <c r="Z5" i="12" s="1"/>
  <c r="X138" i="6"/>
  <c r="AA33" i="9" s="1"/>
  <c r="X96" i="6"/>
  <c r="AA15" i="16" s="1"/>
  <c r="W158" i="6"/>
  <c r="Z6" i="21" s="1"/>
  <c r="X219" i="6"/>
  <c r="AA67" i="21" s="1"/>
  <c r="X34" i="6"/>
  <c r="Z14" i="12" s="1"/>
  <c r="X167" i="6"/>
  <c r="AA15" i="21" s="1"/>
  <c r="W193" i="6"/>
  <c r="Z41" i="21" s="1"/>
  <c r="X201" i="6"/>
  <c r="AA49" i="21" s="1"/>
  <c r="W250" i="6"/>
  <c r="Y25" i="10" s="1"/>
  <c r="X215" i="6"/>
  <c r="AA63" i="21" s="1"/>
  <c r="X229" i="6"/>
  <c r="Z4" i="10" s="1"/>
  <c r="X249" i="6"/>
  <c r="Z24" i="10" s="1"/>
  <c r="W96" i="6"/>
  <c r="Z15" i="16" s="1"/>
  <c r="W28" i="6"/>
  <c r="Y8" i="12" s="1"/>
  <c r="W169" i="6"/>
  <c r="Z17" i="21" s="1"/>
  <c r="AW65" i="6"/>
  <c r="X312" i="6"/>
  <c r="AA52" i="8" s="1"/>
  <c r="X313" i="6"/>
  <c r="AA53" i="8" s="1"/>
  <c r="X309" i="6"/>
  <c r="AA49" i="8" s="1"/>
  <c r="W284" i="6"/>
  <c r="Z24" i="8" s="1"/>
  <c r="W440" i="6"/>
  <c r="W442" i="6"/>
  <c r="W359" i="6"/>
  <c r="X17" i="14" s="1"/>
  <c r="W408" i="6"/>
  <c r="Y8" i="20" s="1"/>
  <c r="W148" i="6"/>
  <c r="Z43" i="9" s="1"/>
  <c r="W98" i="6"/>
  <c r="Z17" i="16" s="1"/>
  <c r="X241" i="6"/>
  <c r="Z16" i="10" s="1"/>
  <c r="X101" i="6"/>
  <c r="AA20" i="16" s="1"/>
  <c r="W186" i="6"/>
  <c r="Z34" i="21" s="1"/>
  <c r="X88" i="6"/>
  <c r="AA7" i="16" s="1"/>
  <c r="X244" i="6"/>
  <c r="Z19" i="10" s="1"/>
  <c r="W136" i="6"/>
  <c r="Z31" i="9" s="1"/>
  <c r="W27" i="6"/>
  <c r="Y7" i="12" s="1"/>
  <c r="X120" i="6"/>
  <c r="AA15" i="9" s="1"/>
  <c r="X40" i="6"/>
  <c r="Z20" i="12" s="1"/>
  <c r="W137" i="6"/>
  <c r="Z32" i="9" s="1"/>
  <c r="X124" i="6"/>
  <c r="AA19" i="9" s="1"/>
  <c r="W173" i="6"/>
  <c r="Z21" i="21" s="1"/>
  <c r="X68" i="6"/>
  <c r="Z48" i="12" s="1"/>
  <c r="W123" i="6"/>
  <c r="Z18" i="9" s="1"/>
  <c r="X228" i="6"/>
  <c r="Z3" i="10" s="1"/>
  <c r="X71" i="6"/>
  <c r="Z51" i="12" s="1"/>
  <c r="W155" i="6"/>
  <c r="Z3" i="21" s="1"/>
  <c r="W38" i="6"/>
  <c r="Y18" i="12" s="1"/>
  <c r="X102" i="6"/>
  <c r="AA21" i="16" s="1"/>
  <c r="X221" i="6"/>
  <c r="AA69" i="21" s="1"/>
  <c r="X315" i="6"/>
  <c r="AA55" i="8" s="1"/>
  <c r="X265" i="6"/>
  <c r="AA5" i="8" s="1"/>
  <c r="W352" i="6"/>
  <c r="X10" i="14" s="1"/>
  <c r="W273" i="6"/>
  <c r="Z13" i="8" s="1"/>
  <c r="W348" i="6"/>
  <c r="X6" i="14" s="1"/>
  <c r="W427" i="6"/>
  <c r="X38" i="6"/>
  <c r="Z18" i="12" s="1"/>
  <c r="W103" i="6"/>
  <c r="Z22" i="16" s="1"/>
  <c r="X49" i="6"/>
  <c r="Z29" i="12" s="1"/>
  <c r="W59" i="6"/>
  <c r="Y39" i="12" s="1"/>
  <c r="W97" i="6"/>
  <c r="Z16" i="16" s="1"/>
  <c r="W282" i="6"/>
  <c r="Z22" i="8" s="1"/>
  <c r="W179" i="6"/>
  <c r="Z27" i="21" s="1"/>
  <c r="X55" i="6"/>
  <c r="Z35" i="12" s="1"/>
  <c r="X259" i="6"/>
  <c r="Z34" i="10" s="1"/>
  <c r="X207" i="6"/>
  <c r="AA55" i="21" s="1"/>
  <c r="X90" i="6"/>
  <c r="AA9" i="16" s="1"/>
  <c r="W26" i="6"/>
  <c r="Y6" i="12" s="1"/>
  <c r="X59" i="6"/>
  <c r="Z39" i="12" s="1"/>
  <c r="W217" i="6"/>
  <c r="Z65" i="21" s="1"/>
  <c r="W182" i="6"/>
  <c r="Z30" i="21" s="1"/>
  <c r="X162" i="6"/>
  <c r="AA10" i="21" s="1"/>
  <c r="W281" i="6"/>
  <c r="Z21" i="8" s="1"/>
  <c r="W424" i="6"/>
  <c r="X125" i="6"/>
  <c r="AA20" i="9" s="1"/>
  <c r="X165" i="6"/>
  <c r="AA13" i="21" s="1"/>
  <c r="X154" i="6"/>
  <c r="AA2" i="21" s="1"/>
  <c r="X302" i="6"/>
  <c r="AA42" i="8" s="1"/>
  <c r="AN40" i="6"/>
  <c r="X314" i="6"/>
  <c r="AA54" i="8" s="1"/>
  <c r="X266" i="6"/>
  <c r="AA6" i="8" s="1"/>
  <c r="X299" i="6"/>
  <c r="AA39" i="8" s="1"/>
  <c r="X284" i="6"/>
  <c r="AA24" i="8" s="1"/>
  <c r="X280" i="6"/>
  <c r="AA20" i="8" s="1"/>
  <c r="X278" i="6"/>
  <c r="AA18" i="8" s="1"/>
  <c r="X242" i="6"/>
  <c r="Z17" i="10" s="1"/>
  <c r="W167" i="6"/>
  <c r="Z15" i="21" s="1"/>
  <c r="X220" i="6"/>
  <c r="AA68" i="21" s="1"/>
  <c r="X246" i="6"/>
  <c r="Z21" i="10" s="1"/>
  <c r="W122" i="6"/>
  <c r="Z17" i="9" s="1"/>
  <c r="W83" i="6"/>
  <c r="Z2" i="16" s="1"/>
  <c r="X37" i="6"/>
  <c r="Z17" i="12" s="1"/>
  <c r="W170" i="6"/>
  <c r="Z18" i="21" s="1"/>
  <c r="W128" i="6"/>
  <c r="Z23" i="9" s="1"/>
  <c r="W129" i="6"/>
  <c r="Z24" i="9" s="1"/>
  <c r="AN231" i="6"/>
  <c r="W277" i="6"/>
  <c r="Z17" i="8" s="1"/>
  <c r="W272" i="6"/>
  <c r="Z12" i="8" s="1"/>
  <c r="W351" i="6"/>
  <c r="X9" i="14" s="1"/>
  <c r="X188" i="6"/>
  <c r="AA36" i="21" s="1"/>
  <c r="W429" i="6"/>
  <c r="X84" i="6"/>
  <c r="AA3" i="16" s="1"/>
  <c r="W345" i="6"/>
  <c r="X3" i="14" s="1"/>
  <c r="W346" i="6"/>
  <c r="X4" i="14" s="1"/>
  <c r="AN167" i="6"/>
  <c r="W143" i="6"/>
  <c r="Z38" i="9" s="1"/>
  <c r="X192" i="6"/>
  <c r="AA40" i="21" s="1"/>
  <c r="W160" i="6"/>
  <c r="Z8" i="21" s="1"/>
  <c r="W118" i="6"/>
  <c r="Z13" i="9" s="1"/>
  <c r="X83" i="6"/>
  <c r="AA2" i="16" s="1"/>
  <c r="X254" i="6"/>
  <c r="Z29" i="10" s="1"/>
  <c r="W142" i="6"/>
  <c r="Z37" i="9" s="1"/>
  <c r="X100" i="6"/>
  <c r="AA19" i="16" s="1"/>
  <c r="W29" i="6"/>
  <c r="Y9" i="12" s="1"/>
  <c r="W358" i="6"/>
  <c r="X16" i="14" s="1"/>
  <c r="X86" i="6"/>
  <c r="AA5" i="16" s="1"/>
  <c r="AL156" i="6"/>
  <c r="X273" i="6"/>
  <c r="AA13" i="8" s="1"/>
  <c r="X274" i="6"/>
  <c r="AA14" i="8" s="1"/>
  <c r="X308" i="6"/>
  <c r="AA48" i="8" s="1"/>
  <c r="W438" i="6"/>
  <c r="W241" i="6"/>
  <c r="Y16" i="10" s="1"/>
  <c r="X123" i="6"/>
  <c r="AA18" i="9" s="1"/>
  <c r="W102" i="6"/>
  <c r="Z21" i="16" s="1"/>
  <c r="AN172" i="6"/>
  <c r="X160" i="6"/>
  <c r="AA8" i="21" s="1"/>
  <c r="X245" i="6"/>
  <c r="Z20" i="10" s="1"/>
  <c r="X294" i="6"/>
  <c r="AA34" i="8" s="1"/>
  <c r="W372" i="6"/>
  <c r="X2" i="19" s="1"/>
  <c r="W87" i="6"/>
  <c r="Z6" i="16" s="1"/>
  <c r="W84" i="6"/>
  <c r="Z3" i="16" s="1"/>
  <c r="X300" i="6"/>
  <c r="AA40" i="8" s="1"/>
  <c r="W197" i="6"/>
  <c r="Z45" i="21" s="1"/>
  <c r="X119" i="6"/>
  <c r="AA14" i="9" s="1"/>
  <c r="X140" i="6"/>
  <c r="AA35" i="9" s="1"/>
  <c r="W165" i="6"/>
  <c r="Z13" i="21" s="1"/>
  <c r="W171" i="6"/>
  <c r="Z19" i="21" s="1"/>
  <c r="X222" i="6"/>
  <c r="AA70" i="21" s="1"/>
  <c r="X178" i="6"/>
  <c r="AA26" i="21" s="1"/>
  <c r="X131" i="6"/>
  <c r="AA26" i="9" s="1"/>
  <c r="W441" i="6"/>
  <c r="X206" i="6"/>
  <c r="AA54" i="21" s="1"/>
  <c r="X303" i="6"/>
  <c r="AA43" i="8" s="1"/>
  <c r="W275" i="6"/>
  <c r="Z15" i="8" s="1"/>
  <c r="W425" i="6"/>
  <c r="W117" i="6"/>
  <c r="Z12" i="9" s="1"/>
  <c r="X29" i="6"/>
  <c r="Z9" i="12" s="1"/>
  <c r="X54" i="6"/>
  <c r="Z34" i="12" s="1"/>
  <c r="W430" i="6"/>
  <c r="W35" i="6"/>
  <c r="Y15" i="12" s="1"/>
  <c r="X291" i="6"/>
  <c r="AA31" i="8" s="1"/>
  <c r="X115" i="6"/>
  <c r="AA10" i="9" s="1"/>
  <c r="W34" i="6"/>
  <c r="Y14" i="12" s="1"/>
  <c r="W278" i="6"/>
  <c r="Z18" i="8" s="1"/>
  <c r="W369" i="6"/>
  <c r="X27" i="14" s="1"/>
  <c r="W252" i="6"/>
  <c r="Y27" i="10" s="1"/>
  <c r="W45" i="6"/>
  <c r="Y25" i="12" s="1"/>
  <c r="W437" i="6"/>
  <c r="W243" i="6"/>
  <c r="Y18" i="10" s="1"/>
  <c r="X93" i="6"/>
  <c r="AA12" i="16" s="1"/>
  <c r="X136" i="6"/>
  <c r="AA31" i="9" s="1"/>
  <c r="W220" i="6"/>
  <c r="Z68" i="21" s="1"/>
  <c r="X223" i="6"/>
  <c r="AA71" i="21" s="1"/>
  <c r="X211" i="6"/>
  <c r="AA59" i="21" s="1"/>
  <c r="W213" i="6"/>
  <c r="Z61" i="21" s="1"/>
  <c r="W215" i="6"/>
  <c r="Z63" i="21" s="1"/>
  <c r="W52" i="6"/>
  <c r="Y32" i="12" s="1"/>
  <c r="AN57" i="6"/>
  <c r="X263" i="6"/>
  <c r="AA3" i="8" s="1"/>
  <c r="X283" i="6"/>
  <c r="AA23" i="8" s="1"/>
  <c r="W357" i="6"/>
  <c r="X15" i="14" s="1"/>
  <c r="W368" i="6"/>
  <c r="X26" i="14" s="1"/>
  <c r="X276" i="6"/>
  <c r="AA16" i="8" s="1"/>
  <c r="X66" i="6"/>
  <c r="Z46" i="12" s="1"/>
  <c r="W360" i="6"/>
  <c r="X18" i="14" s="1"/>
  <c r="W90" i="6"/>
  <c r="Z9" i="16" s="1"/>
  <c r="X30" i="6"/>
  <c r="Z10" i="12" s="1"/>
  <c r="W60" i="6"/>
  <c r="Y40" i="12" s="1"/>
  <c r="X42" i="6"/>
  <c r="Z22" i="12" s="1"/>
  <c r="X149" i="6"/>
  <c r="AA44" i="9" s="1"/>
  <c r="X158" i="6"/>
  <c r="AA6" i="21" s="1"/>
  <c r="W294" i="6"/>
  <c r="Z34" i="8" s="1"/>
  <c r="X214" i="6"/>
  <c r="AA62" i="21" s="1"/>
  <c r="AN192" i="6"/>
  <c r="X298" i="6"/>
  <c r="AA38" i="8" s="1"/>
  <c r="X187" i="6"/>
  <c r="AA35" i="21" s="1"/>
  <c r="W218" i="6"/>
  <c r="Z66" i="21" s="1"/>
  <c r="X144" i="6"/>
  <c r="AA39" i="9" s="1"/>
  <c r="X293" i="6"/>
  <c r="AA33" i="8" s="1"/>
  <c r="W161" i="6"/>
  <c r="Z9" i="21" s="1"/>
  <c r="W100" i="6"/>
  <c r="Z19" i="16" s="1"/>
  <c r="X275" i="6"/>
  <c r="AA15" i="8" s="1"/>
  <c r="X70" i="6"/>
  <c r="Z50" i="12" s="1"/>
  <c r="X190" i="6"/>
  <c r="AA38" i="21" s="1"/>
  <c r="BZ265" i="2"/>
  <c r="CA265" i="2"/>
  <c r="CA246" i="2"/>
  <c r="CE246" i="2"/>
  <c r="CD246" i="2"/>
  <c r="CF246" i="2" s="1"/>
  <c r="BZ246" i="2"/>
  <c r="L195" i="2"/>
  <c r="W195" i="2" s="1"/>
  <c r="AG195" i="2" s="1"/>
  <c r="K195" i="2"/>
  <c r="V195" i="2" s="1"/>
  <c r="AF195" i="2" s="1"/>
  <c r="S451" i="6"/>
  <c r="U51" i="20" s="1"/>
  <c r="S431" i="6"/>
  <c r="U31" i="20" s="1"/>
  <c r="S437" i="6"/>
  <c r="U37" i="20" s="1"/>
  <c r="S406" i="6"/>
  <c r="U6" i="20" s="1"/>
  <c r="S436" i="6"/>
  <c r="U36" i="20" s="1"/>
  <c r="S434" i="6"/>
  <c r="U34" i="20" s="1"/>
  <c r="S362" i="6"/>
  <c r="T20" i="14" s="1"/>
  <c r="S210" i="6"/>
  <c r="V58" i="21" s="1"/>
  <c r="S270" i="6"/>
  <c r="V10" i="8" s="1"/>
  <c r="S146" i="6"/>
  <c r="V41" i="9" s="1"/>
  <c r="S151" i="6"/>
  <c r="V46" i="9" s="1"/>
  <c r="S148" i="6"/>
  <c r="V43" i="9" s="1"/>
  <c r="S402" i="6"/>
  <c r="S433" i="6"/>
  <c r="U33" i="20" s="1"/>
  <c r="S419" i="6"/>
  <c r="S357" i="6"/>
  <c r="T15" i="14" s="1"/>
  <c r="S284" i="6"/>
  <c r="V24" i="8" s="1"/>
  <c r="S298" i="6"/>
  <c r="V38" i="8" s="1"/>
  <c r="S444" i="6"/>
  <c r="S303" i="6"/>
  <c r="V43" i="8" s="1"/>
  <c r="S98" i="6"/>
  <c r="V17" i="16" s="1"/>
  <c r="S56" i="6"/>
  <c r="U36" i="12" s="1"/>
  <c r="S441" i="6"/>
  <c r="U41" i="20" s="1"/>
  <c r="S268" i="6"/>
  <c r="V8" i="8" s="1"/>
  <c r="S132" i="6"/>
  <c r="V27" i="9" s="1"/>
  <c r="S22" i="6"/>
  <c r="U2" i="12" s="1"/>
  <c r="S42" i="6"/>
  <c r="U22" i="12" s="1"/>
  <c r="S432" i="6"/>
  <c r="U32" i="20" s="1"/>
  <c r="S242" i="6"/>
  <c r="U17" i="10" s="1"/>
  <c r="S372" i="6"/>
  <c r="S57" i="6"/>
  <c r="U37" i="12" s="1"/>
  <c r="S192" i="6"/>
  <c r="V40" i="21" s="1"/>
  <c r="S447" i="6"/>
  <c r="U47" i="20" s="1"/>
  <c r="S49" i="6"/>
  <c r="U29" i="12" s="1"/>
  <c r="S190" i="6"/>
  <c r="V38" i="21" s="1"/>
  <c r="S38" i="6"/>
  <c r="U18" i="12" s="1"/>
  <c r="S156" i="6"/>
  <c r="V4" i="21" s="1"/>
  <c r="S25" i="6"/>
  <c r="U5" i="12" s="1"/>
  <c r="S259" i="6"/>
  <c r="U34" i="10" s="1"/>
  <c r="S123" i="6"/>
  <c r="V18" i="9" s="1"/>
  <c r="S187" i="6"/>
  <c r="V35" i="21" s="1"/>
  <c r="S117" i="6"/>
  <c r="V12" i="9" s="1"/>
  <c r="S251" i="6"/>
  <c r="U26" i="10" s="1"/>
  <c r="S28" i="6"/>
  <c r="U8" i="12" s="1"/>
  <c r="S180" i="6"/>
  <c r="V28" i="21" s="1"/>
  <c r="S34" i="6"/>
  <c r="U14" i="12" s="1"/>
  <c r="S364" i="6"/>
  <c r="T22" i="14" s="1"/>
  <c r="S114" i="6"/>
  <c r="V9" i="9" s="1"/>
  <c r="S200" i="6"/>
  <c r="V48" i="21" s="1"/>
  <c r="S450" i="6"/>
  <c r="S415" i="6"/>
  <c r="U15" i="20" s="1"/>
  <c r="S274" i="6"/>
  <c r="V14" i="8" s="1"/>
  <c r="S403" i="6"/>
  <c r="U3" i="20" s="1"/>
  <c r="S358" i="6"/>
  <c r="T16" i="14" s="1"/>
  <c r="S266" i="6"/>
  <c r="V6" i="8" s="1"/>
  <c r="S300" i="6"/>
  <c r="V40" i="8" s="1"/>
  <c r="S64" i="6"/>
  <c r="U44" i="12" s="1"/>
  <c r="S355" i="6"/>
  <c r="T13" i="14" s="1"/>
  <c r="S306" i="6"/>
  <c r="V46" i="8" s="1"/>
  <c r="S136" i="6"/>
  <c r="V31" i="9" s="1"/>
  <c r="S23" i="6"/>
  <c r="U3" i="12" s="1"/>
  <c r="S423" i="6"/>
  <c r="U23" i="20" s="1"/>
  <c r="S308" i="6"/>
  <c r="V48" i="8" s="1"/>
  <c r="S31" i="6"/>
  <c r="U11" i="12" s="1"/>
  <c r="S354" i="6"/>
  <c r="T12" i="14" s="1"/>
  <c r="S70" i="6"/>
  <c r="U50" i="12" s="1"/>
  <c r="S97" i="6"/>
  <c r="V16" i="16" s="1"/>
  <c r="S244" i="6"/>
  <c r="U19" i="10" s="1"/>
  <c r="S118" i="6"/>
  <c r="V13" i="9" s="1"/>
  <c r="S250" i="6"/>
  <c r="U25" i="10" s="1"/>
  <c r="S52" i="6"/>
  <c r="U32" i="12" s="1"/>
  <c r="S193" i="6"/>
  <c r="V41" i="21" s="1"/>
  <c r="S281" i="6"/>
  <c r="V21" i="8" s="1"/>
  <c r="S50" i="6"/>
  <c r="U30" i="12" s="1"/>
  <c r="S254" i="6"/>
  <c r="U29" i="10" s="1"/>
  <c r="S279" i="6"/>
  <c r="V19" i="8" s="1"/>
  <c r="S203" i="6"/>
  <c r="V51" i="21" s="1"/>
  <c r="S145" i="6"/>
  <c r="V40" i="9" s="1"/>
  <c r="S30" i="6"/>
  <c r="U10" i="12" s="1"/>
  <c r="S253" i="6"/>
  <c r="U28" i="10" s="1"/>
  <c r="T3" i="19"/>
  <c r="S199" i="6"/>
  <c r="V47" i="21" s="1"/>
  <c r="S176" i="6"/>
  <c r="V24" i="21" s="1"/>
  <c r="S181" i="6"/>
  <c r="V29" i="21" s="1"/>
  <c r="S65" i="6"/>
  <c r="U45" i="12" s="1"/>
  <c r="S412" i="6"/>
  <c r="U12" i="20" s="1"/>
  <c r="S448" i="6"/>
  <c r="S309" i="6"/>
  <c r="V49" i="8" s="1"/>
  <c r="S446" i="6"/>
  <c r="S360" i="6"/>
  <c r="T18" i="14" s="1"/>
  <c r="S299" i="6"/>
  <c r="V39" i="8" s="1"/>
  <c r="S353" i="6"/>
  <c r="T11" i="14" s="1"/>
  <c r="S99" i="6"/>
  <c r="V18" i="16" s="1"/>
  <c r="S296" i="6"/>
  <c r="V36" i="8" s="1"/>
  <c r="S128" i="6"/>
  <c r="V23" i="9" s="1"/>
  <c r="S315" i="6"/>
  <c r="V55" i="8" s="1"/>
  <c r="S139" i="6"/>
  <c r="V34" i="9" s="1"/>
  <c r="S221" i="6"/>
  <c r="V69" i="21" s="1"/>
  <c r="S87" i="6"/>
  <c r="V6" i="16" s="1"/>
  <c r="S301" i="6"/>
  <c r="V41" i="8" s="1"/>
  <c r="S255" i="6"/>
  <c r="U30" i="10" s="1"/>
  <c r="S271" i="6"/>
  <c r="V11" i="8" s="1"/>
  <c r="S141" i="6"/>
  <c r="V36" i="9" s="1"/>
  <c r="S252" i="6"/>
  <c r="U27" i="10" s="1"/>
  <c r="S356" i="6"/>
  <c r="T14" i="14" s="1"/>
  <c r="S116" i="6"/>
  <c r="V11" i="9" s="1"/>
  <c r="S291" i="6"/>
  <c r="V31" i="8" s="1"/>
  <c r="S206" i="6"/>
  <c r="V54" i="21" s="1"/>
  <c r="S59" i="6"/>
  <c r="U39" i="12" s="1"/>
  <c r="S76" i="6"/>
  <c r="U56" i="12" s="1"/>
  <c r="S248" i="6"/>
  <c r="U23" i="10" s="1"/>
  <c r="S119" i="6"/>
  <c r="V14" i="9" s="1"/>
  <c r="S189" i="6"/>
  <c r="V37" i="21" s="1"/>
  <c r="AJ201" i="6"/>
  <c r="S171" i="6"/>
  <c r="V19" i="21" s="1"/>
  <c r="S88" i="6"/>
  <c r="V7" i="16" s="1"/>
  <c r="S258" i="6"/>
  <c r="U33" i="10" s="1"/>
  <c r="S272" i="6"/>
  <c r="V12" i="8" s="1"/>
  <c r="S164" i="6"/>
  <c r="V12" i="21" s="1"/>
  <c r="S179" i="6"/>
  <c r="V27" i="21" s="1"/>
  <c r="S170" i="6"/>
  <c r="V18" i="21" s="1"/>
  <c r="S275" i="6"/>
  <c r="V15" i="8" s="1"/>
  <c r="S438" i="6"/>
  <c r="U38" i="20" s="1"/>
  <c r="S359" i="6"/>
  <c r="T17" i="14" s="1"/>
  <c r="S273" i="6"/>
  <c r="V13" i="8" s="1"/>
  <c r="S424" i="6"/>
  <c r="U24" i="20" s="1"/>
  <c r="S222" i="6"/>
  <c r="V70" i="21" s="1"/>
  <c r="S62" i="6"/>
  <c r="U42" i="12" s="1"/>
  <c r="S137" i="6"/>
  <c r="V32" i="9" s="1"/>
  <c r="S159" i="6"/>
  <c r="V7" i="21" s="1"/>
  <c r="S304" i="6"/>
  <c r="V44" i="8" s="1"/>
  <c r="S35" i="6"/>
  <c r="U15" i="12" s="1"/>
  <c r="S411" i="6"/>
  <c r="U11" i="20" s="1"/>
  <c r="S322" i="6"/>
  <c r="U5" i="15" s="1"/>
  <c r="S262" i="6"/>
  <c r="V2" i="8" s="1"/>
  <c r="S201" i="6"/>
  <c r="V49" i="21" s="1"/>
  <c r="S58" i="6"/>
  <c r="U38" i="12" s="1"/>
  <c r="S66" i="6"/>
  <c r="U46" i="12" s="1"/>
  <c r="S249" i="6"/>
  <c r="U24" i="10" s="1"/>
  <c r="S120" i="6"/>
  <c r="V15" i="9" s="1"/>
  <c r="S228" i="6"/>
  <c r="U3" i="10" s="1"/>
  <c r="S186" i="6"/>
  <c r="V34" i="21" s="1"/>
  <c r="S73" i="6"/>
  <c r="U53" i="12" s="1"/>
  <c r="S205" i="6"/>
  <c r="V53" i="21" s="1"/>
  <c r="S243" i="6"/>
  <c r="U18" i="10" s="1"/>
  <c r="S167" i="6"/>
  <c r="V15" i="21" s="1"/>
  <c r="S37" i="6"/>
  <c r="U17" i="12" s="1"/>
  <c r="S161" i="6"/>
  <c r="V9" i="21" s="1"/>
  <c r="S160" i="6"/>
  <c r="V8" i="21" s="1"/>
  <c r="S124" i="6"/>
  <c r="V19" i="9" s="1"/>
  <c r="S169" i="6"/>
  <c r="V17" i="21" s="1"/>
  <c r="S91" i="6"/>
  <c r="V10" i="16" s="1"/>
  <c r="S453" i="6"/>
  <c r="S416" i="6"/>
  <c r="U16" i="20" s="1"/>
  <c r="S350" i="6"/>
  <c r="T8" i="14" s="1"/>
  <c r="S282" i="6"/>
  <c r="V22" i="8" s="1"/>
  <c r="S455" i="6"/>
  <c r="U55" i="20" s="1"/>
  <c r="S366" i="6"/>
  <c r="T24" i="14" s="1"/>
  <c r="S320" i="6"/>
  <c r="U3" i="15" s="1"/>
  <c r="S417" i="6"/>
  <c r="U17" i="20" s="1"/>
  <c r="S314" i="6"/>
  <c r="V54" i="8" s="1"/>
  <c r="S368" i="6"/>
  <c r="T26" i="14" s="1"/>
  <c r="S27" i="6"/>
  <c r="U7" i="12" s="1"/>
  <c r="S80" i="6"/>
  <c r="U60" i="12" s="1"/>
  <c r="S213" i="6"/>
  <c r="V61" i="21" s="1"/>
  <c r="S125" i="6"/>
  <c r="V20" i="9" s="1"/>
  <c r="S71" i="6"/>
  <c r="U51" i="12" s="1"/>
  <c r="S443" i="6"/>
  <c r="S278" i="6"/>
  <c r="V18" i="8" s="1"/>
  <c r="S39" i="6"/>
  <c r="U19" i="12" s="1"/>
  <c r="S61" i="6"/>
  <c r="U41" i="12" s="1"/>
  <c r="S162" i="6"/>
  <c r="V10" i="21" s="1"/>
  <c r="S40" i="6"/>
  <c r="U20" i="12" s="1"/>
  <c r="S84" i="6"/>
  <c r="V3" i="16" s="1"/>
  <c r="S204" i="6"/>
  <c r="V52" i="21" s="1"/>
  <c r="S140" i="6"/>
  <c r="V35" i="9" s="1"/>
  <c r="S144" i="6"/>
  <c r="V39" i="9" s="1"/>
  <c r="S245" i="6"/>
  <c r="U20" i="10" s="1"/>
  <c r="S215" i="6"/>
  <c r="V63" i="21" s="1"/>
  <c r="S89" i="6"/>
  <c r="V8" i="16" s="1"/>
  <c r="S154" i="6"/>
  <c r="V2" i="21" s="1"/>
  <c r="S79" i="6"/>
  <c r="U59" i="12" s="1"/>
  <c r="S241" i="6"/>
  <c r="U16" i="10" s="1"/>
  <c r="S138" i="6"/>
  <c r="V33" i="9" s="1"/>
  <c r="S172" i="6"/>
  <c r="V20" i="21" s="1"/>
  <c r="S168" i="6"/>
  <c r="V16" i="21" s="1"/>
  <c r="S131" i="6"/>
  <c r="V26" i="9" s="1"/>
  <c r="S32" i="6"/>
  <c r="U12" i="12" s="1"/>
  <c r="S410" i="6"/>
  <c r="U10" i="20" s="1"/>
  <c r="S425" i="6"/>
  <c r="U25" i="20" s="1"/>
  <c r="S445" i="6"/>
  <c r="S351" i="6"/>
  <c r="T9" i="14" s="1"/>
  <c r="S276" i="6"/>
  <c r="V16" i="8" s="1"/>
  <c r="S293" i="6"/>
  <c r="V33" i="8" s="1"/>
  <c r="S413" i="6"/>
  <c r="U13" i="20" s="1"/>
  <c r="S319" i="6"/>
  <c r="U2" i="15" s="1"/>
  <c r="S418" i="6"/>
  <c r="S305" i="6"/>
  <c r="V45" i="8" s="1"/>
  <c r="S302" i="6"/>
  <c r="V42" i="8" s="1"/>
  <c r="S365" i="6"/>
  <c r="T23" i="14" s="1"/>
  <c r="S72" i="6"/>
  <c r="U52" i="12" s="1"/>
  <c r="S216" i="6"/>
  <c r="V64" i="21" s="1"/>
  <c r="S83" i="6"/>
  <c r="S26" i="6"/>
  <c r="U6" i="12" s="1"/>
  <c r="S409" i="6"/>
  <c r="U9" i="20" s="1"/>
  <c r="S264" i="6"/>
  <c r="V4" i="8" s="1"/>
  <c r="S129" i="6"/>
  <c r="V24" i="9" s="1"/>
  <c r="S121" i="6"/>
  <c r="V16" i="9" s="1"/>
  <c r="S214" i="6"/>
  <c r="V62" i="21" s="1"/>
  <c r="S165" i="6"/>
  <c r="V13" i="21" s="1"/>
  <c r="S115" i="6"/>
  <c r="V10" i="9" s="1"/>
  <c r="S207" i="6"/>
  <c r="V55" i="21" s="1"/>
  <c r="S166" i="6"/>
  <c r="V14" i="21" s="1"/>
  <c r="S53" i="6"/>
  <c r="U33" i="12" s="1"/>
  <c r="S122" i="6"/>
  <c r="V17" i="9" s="1"/>
  <c r="S240" i="6"/>
  <c r="U15" i="10" s="1"/>
  <c r="S102" i="6"/>
  <c r="V21" i="16" s="1"/>
  <c r="S184" i="6"/>
  <c r="V32" i="21" s="1"/>
  <c r="S103" i="6"/>
  <c r="V22" i="16" s="1"/>
  <c r="S257" i="6"/>
  <c r="U32" i="10" s="1"/>
  <c r="S173" i="6"/>
  <c r="V21" i="21" s="1"/>
  <c r="S211" i="6"/>
  <c r="V59" i="21" s="1"/>
  <c r="S430" i="6"/>
  <c r="U30" i="20" s="1"/>
  <c r="S247" i="6"/>
  <c r="U22" i="10" s="1"/>
  <c r="S90" i="6"/>
  <c r="V9" i="16" s="1"/>
  <c r="S429" i="6"/>
  <c r="U29" i="20" s="1"/>
  <c r="S405" i="6"/>
  <c r="U5" i="20" s="1"/>
  <c r="S321" i="6"/>
  <c r="U4" i="15" s="1"/>
  <c r="S312" i="6"/>
  <c r="V52" i="8" s="1"/>
  <c r="S283" i="6"/>
  <c r="V23" i="8" s="1"/>
  <c r="S404" i="6"/>
  <c r="U4" i="20" s="1"/>
  <c r="S295" i="6"/>
  <c r="V35" i="8" s="1"/>
  <c r="S63" i="6"/>
  <c r="U43" i="12" s="1"/>
  <c r="S155" i="6"/>
  <c r="V3" i="21" s="1"/>
  <c r="S46" i="6"/>
  <c r="U26" i="12" s="1"/>
  <c r="S33" i="6"/>
  <c r="U13" i="12" s="1"/>
  <c r="S290" i="6"/>
  <c r="V30" i="8" s="1"/>
  <c r="S48" i="6"/>
  <c r="U28" i="12" s="1"/>
  <c r="S78" i="6"/>
  <c r="U58" i="12" s="1"/>
  <c r="S178" i="6"/>
  <c r="V26" i="21" s="1"/>
  <c r="S183" i="6"/>
  <c r="V31" i="21" s="1"/>
  <c r="S94" i="6"/>
  <c r="V13" i="16" s="1"/>
  <c r="S182" i="6"/>
  <c r="V30" i="21" s="1"/>
  <c r="S188" i="6"/>
  <c r="V36" i="21" s="1"/>
  <c r="S68" i="6"/>
  <c r="U48" i="12" s="1"/>
  <c r="S85" i="6"/>
  <c r="V4" i="16" s="1"/>
  <c r="S60" i="6"/>
  <c r="U40" i="12" s="1"/>
  <c r="S202" i="6"/>
  <c r="V50" i="21" s="1"/>
  <c r="S294" i="6"/>
  <c r="V34" i="8" s="1"/>
  <c r="S217" i="6"/>
  <c r="V65" i="21" s="1"/>
  <c r="S428" i="6"/>
  <c r="U28" i="20" s="1"/>
  <c r="S142" i="6"/>
  <c r="V37" i="9" s="1"/>
  <c r="S208" i="6"/>
  <c r="V56" i="21" s="1"/>
  <c r="S277" i="6"/>
  <c r="V17" i="8" s="1"/>
  <c r="S185" i="6"/>
  <c r="V33" i="21" s="1"/>
  <c r="S265" i="6"/>
  <c r="V5" i="8" s="1"/>
  <c r="S246" i="6"/>
  <c r="U21" i="10" s="1"/>
  <c r="S157" i="6"/>
  <c r="V5" i="21" s="1"/>
  <c r="S100" i="6"/>
  <c r="V19" i="16" s="1"/>
  <c r="S449" i="6"/>
  <c r="S414" i="6"/>
  <c r="U14" i="20" s="1"/>
  <c r="S420" i="6"/>
  <c r="S349" i="6"/>
  <c r="T7" i="14" s="1"/>
  <c r="S297" i="6"/>
  <c r="V37" i="8" s="1"/>
  <c r="S313" i="6"/>
  <c r="V53" i="8" s="1"/>
  <c r="S280" i="6"/>
  <c r="V20" i="8" s="1"/>
  <c r="S427" i="6"/>
  <c r="U27" i="20" s="1"/>
  <c r="S263" i="6"/>
  <c r="V3" i="8" s="1"/>
  <c r="S24" i="6"/>
  <c r="U4" i="12" s="1"/>
  <c r="S29" i="6"/>
  <c r="U9" i="12" s="1"/>
  <c r="S229" i="6"/>
  <c r="U4" i="10" s="1"/>
  <c r="S101" i="6"/>
  <c r="V20" i="16" s="1"/>
  <c r="S55" i="6"/>
  <c r="U35" i="12" s="1"/>
  <c r="S307" i="6"/>
  <c r="V47" i="8" s="1"/>
  <c r="S67" i="6"/>
  <c r="U47" i="12" s="1"/>
  <c r="S69" i="6"/>
  <c r="U49" i="12" s="1"/>
  <c r="S224" i="6"/>
  <c r="V72" i="21" s="1"/>
  <c r="S408" i="6"/>
  <c r="U8" i="20" s="1"/>
  <c r="S86" i="6"/>
  <c r="V5" i="16" s="1"/>
  <c r="S195" i="6"/>
  <c r="V43" i="21" s="1"/>
  <c r="S175" i="6"/>
  <c r="V23" i="21" s="1"/>
  <c r="S143" i="6"/>
  <c r="V38" i="9" s="1"/>
  <c r="S130" i="6"/>
  <c r="V25" i="9" s="1"/>
  <c r="S92" i="6"/>
  <c r="V11" i="16" s="1"/>
  <c r="S196" i="6"/>
  <c r="V44" i="21" s="1"/>
  <c r="S134" i="6"/>
  <c r="V29" i="9" s="1"/>
  <c r="S198" i="6"/>
  <c r="V46" i="21" s="1"/>
  <c r="S93" i="6"/>
  <c r="V12" i="16" s="1"/>
  <c r="S158" i="6"/>
  <c r="V6" i="21" s="1"/>
  <c r="S77" i="6"/>
  <c r="U57" i="12" s="1"/>
  <c r="S223" i="6"/>
  <c r="V71" i="21" s="1"/>
  <c r="S95" i="6"/>
  <c r="V14" i="16" s="1"/>
  <c r="S197" i="6"/>
  <c r="V45" i="21" s="1"/>
  <c r="S45" i="6"/>
  <c r="U25" i="12" s="1"/>
  <c r="S440" i="6"/>
  <c r="U40" i="20" s="1"/>
  <c r="S96" i="6"/>
  <c r="V15" i="16" s="1"/>
  <c r="S212" i="6"/>
  <c r="V60" i="21" s="1"/>
  <c r="S218" i="6"/>
  <c r="V66" i="21" s="1"/>
  <c r="S54" i="6"/>
  <c r="U34" i="12" s="1"/>
  <c r="S227" i="6"/>
  <c r="U2" i="10" s="1"/>
  <c r="S191" i="6"/>
  <c r="V39" i="21" s="1"/>
  <c r="S239" i="6"/>
  <c r="U14" i="10" s="1"/>
  <c r="S442" i="6"/>
  <c r="U42" i="20" s="1"/>
  <c r="S369" i="6"/>
  <c r="T27" i="14" s="1"/>
  <c r="S231" i="6"/>
  <c r="U6" i="10" s="1"/>
  <c r="S256" i="6"/>
  <c r="U31" i="10" s="1"/>
  <c r="S352" i="6"/>
  <c r="T10" i="14" s="1"/>
  <c r="S220" i="6"/>
  <c r="V68" i="21" s="1"/>
  <c r="S149" i="6"/>
  <c r="V44" i="9" s="1"/>
  <c r="S174" i="6"/>
  <c r="V22" i="21" s="1"/>
  <c r="S219" i="6"/>
  <c r="V67" i="21" s="1"/>
  <c r="AP224" i="2" l="1"/>
  <c r="AR224" i="2"/>
  <c r="AX224" i="2"/>
  <c r="AV224" i="2"/>
  <c r="AY224" i="2"/>
  <c r="AV191" i="2"/>
  <c r="AP232" i="2"/>
  <c r="BC265" i="2"/>
  <c r="BD265" i="2" s="1"/>
  <c r="BE265" i="2" s="1"/>
  <c r="BF265" i="2" s="1"/>
  <c r="AY261" i="2"/>
  <c r="AU261" i="2"/>
  <c r="BC262" i="2"/>
  <c r="BD262" i="2" s="1"/>
  <c r="BE262" i="2" s="1"/>
  <c r="BF262" i="2" s="1"/>
  <c r="BC261" i="2"/>
  <c r="BD261" i="2" s="1"/>
  <c r="BE261" i="2" s="1"/>
  <c r="BF261" i="2" s="1"/>
  <c r="AP262" i="2"/>
  <c r="AR208" i="2"/>
  <c r="AR265" i="2"/>
  <c r="AP366" i="6"/>
  <c r="AP265" i="2"/>
  <c r="J265" i="2" s="1"/>
  <c r="AU191" i="2"/>
  <c r="AX208" i="2"/>
  <c r="AQ208" i="2"/>
  <c r="AR179" i="2"/>
  <c r="AT179" i="2"/>
  <c r="AP208" i="2"/>
  <c r="AV179" i="2"/>
  <c r="AV324" i="2"/>
  <c r="AP320" i="2"/>
  <c r="AX308" i="2"/>
  <c r="AR324" i="2"/>
  <c r="AV323" i="2"/>
  <c r="AU330" i="2"/>
  <c r="AV279" i="2"/>
  <c r="AP305" i="2"/>
  <c r="AX329" i="2"/>
  <c r="AQ222" i="6"/>
  <c r="AP222" i="6" s="1"/>
  <c r="AU295" i="2"/>
  <c r="AY319" i="2"/>
  <c r="AR299" i="2"/>
  <c r="AR313" i="2"/>
  <c r="AX307" i="2"/>
  <c r="AX295" i="2"/>
  <c r="AW313" i="2"/>
  <c r="AX304" i="2"/>
  <c r="AP314" i="2"/>
  <c r="AY302" i="2"/>
  <c r="AU310" i="2"/>
  <c r="AW322" i="2"/>
  <c r="AX316" i="2"/>
  <c r="AV298" i="2"/>
  <c r="AV330" i="2"/>
  <c r="AR301" i="2"/>
  <c r="AP303" i="2"/>
  <c r="AQ319" i="2"/>
  <c r="AQ321" i="2"/>
  <c r="AY278" i="2"/>
  <c r="AR322" i="2"/>
  <c r="AW307" i="2"/>
  <c r="AP282" i="2"/>
  <c r="AY277" i="2"/>
  <c r="AT327" i="2"/>
  <c r="AU314" i="2"/>
  <c r="AY316" i="2"/>
  <c r="AT305" i="2"/>
  <c r="AR329" i="2"/>
  <c r="AU313" i="2"/>
  <c r="AY308" i="2"/>
  <c r="AQ296" i="2"/>
  <c r="AP321" i="2"/>
  <c r="AU319" i="2"/>
  <c r="AQ282" i="2"/>
  <c r="AW329" i="2"/>
  <c r="AW314" i="2"/>
  <c r="AT300" i="2"/>
  <c r="AQ308" i="2"/>
  <c r="AU277" i="2"/>
  <c r="AT313" i="2"/>
  <c r="AQ305" i="2"/>
  <c r="J452" i="2"/>
  <c r="I437" i="17" s="1"/>
  <c r="AX298" i="2"/>
  <c r="AU279" i="2"/>
  <c r="AX296" i="2"/>
  <c r="AY313" i="2"/>
  <c r="AY327" i="2"/>
  <c r="AY321" i="2"/>
  <c r="AV282" i="2"/>
  <c r="AV326" i="2"/>
  <c r="AV316" i="2"/>
  <c r="AW319" i="2"/>
  <c r="AP319" i="2"/>
  <c r="AR305" i="2"/>
  <c r="AR294" i="2"/>
  <c r="AV319" i="2"/>
  <c r="AX294" i="2"/>
  <c r="AT280" i="2"/>
  <c r="AV327" i="2"/>
  <c r="AQ280" i="2"/>
  <c r="AT329" i="2"/>
  <c r="AU329" i="2"/>
  <c r="AR323" i="2"/>
  <c r="AV329" i="2"/>
  <c r="AT278" i="2"/>
  <c r="AY304" i="2"/>
  <c r="AQ294" i="2"/>
  <c r="AV281" i="2"/>
  <c r="J50" i="2"/>
  <c r="I16" i="12" s="1"/>
  <c r="AV304" i="2"/>
  <c r="AV296" i="2"/>
  <c r="AP329" i="2"/>
  <c r="AT301" i="2"/>
  <c r="AT281" i="2"/>
  <c r="AQ306" i="2"/>
  <c r="AX282" i="2"/>
  <c r="AY314" i="2"/>
  <c r="AW305" i="2"/>
  <c r="AX314" i="2"/>
  <c r="AV328" i="2"/>
  <c r="AR327" i="2"/>
  <c r="AY329" i="2"/>
  <c r="AT322" i="2"/>
  <c r="AV310" i="2"/>
  <c r="AQ329" i="2"/>
  <c r="AX327" i="2"/>
  <c r="AX301" i="2"/>
  <c r="AR319" i="2"/>
  <c r="AR280" i="2"/>
  <c r="AU301" i="2"/>
  <c r="AU307" i="2"/>
  <c r="AQ323" i="2"/>
  <c r="AY296" i="2"/>
  <c r="AQ301" i="2"/>
  <c r="AR307" i="2"/>
  <c r="AT314" i="2"/>
  <c r="AV295" i="2"/>
  <c r="AR308" i="2"/>
  <c r="U50" i="20"/>
  <c r="J433" i="2"/>
  <c r="I418" i="17" s="1"/>
  <c r="AV320" i="2"/>
  <c r="AU320" i="2"/>
  <c r="AW320" i="2"/>
  <c r="AQ320" i="2"/>
  <c r="AX320" i="2"/>
  <c r="AU300" i="2"/>
  <c r="AP308" i="2"/>
  <c r="AX279" i="2"/>
  <c r="AP301" i="2"/>
  <c r="AQ310" i="2"/>
  <c r="J456" i="2"/>
  <c r="I441" i="17" s="1"/>
  <c r="AY280" i="2"/>
  <c r="AW277" i="2"/>
  <c r="AP316" i="2"/>
  <c r="AW327" i="2"/>
  <c r="J463" i="2"/>
  <c r="I448" i="17" s="1"/>
  <c r="AW278" i="2"/>
  <c r="AX278" i="2"/>
  <c r="AQ277" i="2"/>
  <c r="AT328" i="2"/>
  <c r="AT321" i="2"/>
  <c r="AU299" i="2"/>
  <c r="AW299" i="2"/>
  <c r="AX299" i="2"/>
  <c r="AY299" i="2"/>
  <c r="AU321" i="2"/>
  <c r="AQ316" i="2"/>
  <c r="AU327" i="2"/>
  <c r="AQ281" i="2"/>
  <c r="J460" i="2"/>
  <c r="I445" i="17" s="1"/>
  <c r="AY279" i="2"/>
  <c r="AR277" i="2"/>
  <c r="AX280" i="2"/>
  <c r="AT279" i="2"/>
  <c r="AV280" i="2"/>
  <c r="AP323" i="2"/>
  <c r="AU323" i="2"/>
  <c r="AW323" i="2"/>
  <c r="AQ303" i="2"/>
  <c r="AU303" i="2"/>
  <c r="AR303" i="2"/>
  <c r="AT307" i="2"/>
  <c r="AW321" i="2"/>
  <c r="AU282" i="2"/>
  <c r="AX300" i="2"/>
  <c r="AP302" i="2"/>
  <c r="AQ302" i="2"/>
  <c r="AU302" i="2"/>
  <c r="AR302" i="2"/>
  <c r="AX302" i="2"/>
  <c r="J453" i="2"/>
  <c r="AV322" i="2"/>
  <c r="AU324" i="2"/>
  <c r="AY324" i="2"/>
  <c r="AP324" i="2"/>
  <c r="AX281" i="2"/>
  <c r="AY323" i="2"/>
  <c r="AT302" i="2"/>
  <c r="U20" i="20"/>
  <c r="AY307" i="2"/>
  <c r="AR278" i="2"/>
  <c r="AW303" i="2"/>
  <c r="AV299" i="2"/>
  <c r="AT323" i="2"/>
  <c r="J439" i="2"/>
  <c r="I424" i="17" s="1"/>
  <c r="AV294" i="2"/>
  <c r="AY298" i="2"/>
  <c r="AQ299" i="2"/>
  <c r="Y39" i="20"/>
  <c r="AY328" i="2"/>
  <c r="AR328" i="2"/>
  <c r="AQ328" i="2"/>
  <c r="AP328" i="2"/>
  <c r="AU328" i="2"/>
  <c r="AP298" i="2"/>
  <c r="AR298" i="2"/>
  <c r="AW298" i="2"/>
  <c r="AQ300" i="2"/>
  <c r="AY300" i="2"/>
  <c r="Y55" i="20"/>
  <c r="AW300" i="2"/>
  <c r="J442" i="2"/>
  <c r="I427" i="17" s="1"/>
  <c r="U45" i="20"/>
  <c r="U19" i="20"/>
  <c r="AP310" i="2"/>
  <c r="AW310" i="2"/>
  <c r="AY310" i="2"/>
  <c r="AP300" i="2"/>
  <c r="AY320" i="2"/>
  <c r="AU316" i="2"/>
  <c r="AW316" i="2"/>
  <c r="AR316" i="2"/>
  <c r="AP304" i="2"/>
  <c r="AU304" i="2"/>
  <c r="AR304" i="2"/>
  <c r="AT304" i="2"/>
  <c r="AU326" i="2"/>
  <c r="AR279" i="2"/>
  <c r="J458" i="2"/>
  <c r="I443" i="17" s="1"/>
  <c r="AR296" i="2"/>
  <c r="AT320" i="2"/>
  <c r="AV308" i="2"/>
  <c r="AR320" i="2"/>
  <c r="AV302" i="2"/>
  <c r="AX321" i="2"/>
  <c r="AP307" i="2"/>
  <c r="AX303" i="2"/>
  <c r="AX330" i="2"/>
  <c r="AP330" i="2"/>
  <c r="AQ330" i="2"/>
  <c r="AV313" i="2"/>
  <c r="AX313" i="2"/>
  <c r="AP313" i="2"/>
  <c r="AT330" i="2"/>
  <c r="AW330" i="2"/>
  <c r="AU298" i="2"/>
  <c r="AR330" i="2"/>
  <c r="AQ279" i="2"/>
  <c r="AU278" i="2"/>
  <c r="AV278" i="2"/>
  <c r="AQ278" i="2"/>
  <c r="AX310" i="2"/>
  <c r="AP327" i="2"/>
  <c r="AT316" i="2"/>
  <c r="AW280" i="2"/>
  <c r="AV321" i="2"/>
  <c r="J457" i="2"/>
  <c r="I442" i="17" s="1"/>
  <c r="AT294" i="2"/>
  <c r="AW294" i="2"/>
  <c r="AQ298" i="2"/>
  <c r="AR281" i="2"/>
  <c r="AY330" i="2"/>
  <c r="AW282" i="2"/>
  <c r="AR282" i="2"/>
  <c r="AV306" i="2"/>
  <c r="AT306" i="2"/>
  <c r="AP306" i="2"/>
  <c r="AR306" i="2"/>
  <c r="AU306" i="2"/>
  <c r="AW306" i="2"/>
  <c r="AX306" i="2"/>
  <c r="AV303" i="2"/>
  <c r="AX322" i="2"/>
  <c r="AP322" i="2"/>
  <c r="AU322" i="2"/>
  <c r="AY322" i="2"/>
  <c r="AQ322" i="2"/>
  <c r="AU294" i="2"/>
  <c r="AV307" i="2"/>
  <c r="AU280" i="2"/>
  <c r="AY303" i="2"/>
  <c r="AW302" i="2"/>
  <c r="J65" i="2"/>
  <c r="AX323" i="2"/>
  <c r="AW301" i="2"/>
  <c r="AY301" i="2"/>
  <c r="AX326" i="2"/>
  <c r="AP326" i="2"/>
  <c r="AQ326" i="2"/>
  <c r="AR326" i="2"/>
  <c r="AT326" i="2"/>
  <c r="AY326" i="2"/>
  <c r="AQ327" i="2"/>
  <c r="AY282" i="2"/>
  <c r="AT310" i="2"/>
  <c r="AR300" i="2"/>
  <c r="J418" i="2"/>
  <c r="I403" i="17" s="1"/>
  <c r="J441" i="2"/>
  <c r="I426" i="17" s="1"/>
  <c r="AT298" i="2"/>
  <c r="AX324" i="2"/>
  <c r="AQ307" i="2"/>
  <c r="AY294" i="2"/>
  <c r="AW326" i="2"/>
  <c r="AV300" i="2"/>
  <c r="AR310" i="2"/>
  <c r="AT277" i="2"/>
  <c r="AY305" i="2"/>
  <c r="AX305" i="2"/>
  <c r="AP281" i="2"/>
  <c r="AW281" i="2"/>
  <c r="AU281" i="2"/>
  <c r="AY281" i="2"/>
  <c r="AP295" i="2"/>
  <c r="AX328" i="2"/>
  <c r="AT319" i="2"/>
  <c r="AP294" i="2"/>
  <c r="AW304" i="2"/>
  <c r="AY306" i="2"/>
  <c r="AW296" i="2"/>
  <c r="J432" i="2"/>
  <c r="I417" i="17" s="1"/>
  <c r="J450" i="2"/>
  <c r="I435" i="17" s="1"/>
  <c r="J423" i="2"/>
  <c r="I408" i="17" s="1"/>
  <c r="AV277" i="2"/>
  <c r="AX277" i="2"/>
  <c r="AP277" i="2"/>
  <c r="AU308" i="2"/>
  <c r="AW308" i="2"/>
  <c r="AT308" i="2"/>
  <c r="AW295" i="2"/>
  <c r="AR295" i="2"/>
  <c r="AT295" i="2"/>
  <c r="AQ295" i="2"/>
  <c r="AY295" i="2"/>
  <c r="J465" i="2"/>
  <c r="I450" i="17" s="1"/>
  <c r="AT296" i="2"/>
  <c r="AU296" i="2"/>
  <c r="AP296" i="2"/>
  <c r="AR321" i="2"/>
  <c r="J455" i="2"/>
  <c r="I440" i="17" s="1"/>
  <c r="AP280" i="2"/>
  <c r="AQ304" i="2"/>
  <c r="AW328" i="2"/>
  <c r="AP278" i="2"/>
  <c r="AX319" i="2"/>
  <c r="AV301" i="2"/>
  <c r="J431" i="2"/>
  <c r="I416" i="17" s="1"/>
  <c r="J438" i="2"/>
  <c r="I423" i="17" s="1"/>
  <c r="J426" i="2"/>
  <c r="I411" i="17" s="1"/>
  <c r="J421" i="2"/>
  <c r="I406" i="17" s="1"/>
  <c r="J434" i="2"/>
  <c r="I419" i="17" s="1"/>
  <c r="AT282" i="2"/>
  <c r="AT303" i="2"/>
  <c r="AV305" i="2"/>
  <c r="J424" i="2"/>
  <c r="I409" i="17" s="1"/>
  <c r="J451" i="2"/>
  <c r="I436" i="17" s="1"/>
  <c r="U53" i="20"/>
  <c r="U46" i="20"/>
  <c r="J448" i="2"/>
  <c r="I433" i="17" s="1"/>
  <c r="J420" i="2"/>
  <c r="I405" i="17" s="1"/>
  <c r="J470" i="2"/>
  <c r="J461" i="2"/>
  <c r="I446" i="17" s="1"/>
  <c r="U22" i="20"/>
  <c r="U43" i="20"/>
  <c r="AP279" i="2"/>
  <c r="AR314" i="2"/>
  <c r="J469" i="2"/>
  <c r="J449" i="2"/>
  <c r="I434" i="17" s="1"/>
  <c r="J436" i="2"/>
  <c r="J462" i="2"/>
  <c r="I447" i="17" s="1"/>
  <c r="J464" i="2"/>
  <c r="I449" i="17" s="1"/>
  <c r="U48" i="20"/>
  <c r="U21" i="20"/>
  <c r="AW279" i="2"/>
  <c r="AP299" i="2"/>
  <c r="AQ324" i="2"/>
  <c r="AV314" i="2"/>
  <c r="AQ314" i="2"/>
  <c r="J425" i="2"/>
  <c r="I410" i="17" s="1"/>
  <c r="J445" i="2"/>
  <c r="I430" i="17" s="1"/>
  <c r="J419" i="2"/>
  <c r="I404" i="17" s="1"/>
  <c r="J459" i="2"/>
  <c r="I444" i="17" s="1"/>
  <c r="J435" i="2"/>
  <c r="I420" i="17" s="1"/>
  <c r="J446" i="2"/>
  <c r="I431" i="17" s="1"/>
  <c r="J422" i="2"/>
  <c r="I407" i="17" s="1"/>
  <c r="U18" i="20"/>
  <c r="J443" i="2"/>
  <c r="I428" i="17" s="1"/>
  <c r="J454" i="2"/>
  <c r="I439" i="17" s="1"/>
  <c r="U49" i="20"/>
  <c r="U54" i="20"/>
  <c r="AW324" i="2"/>
  <c r="J430" i="2"/>
  <c r="I415" i="17" s="1"/>
  <c r="J429" i="2"/>
  <c r="I414" i="17" s="1"/>
  <c r="J447" i="2"/>
  <c r="I432" i="17" s="1"/>
  <c r="J467" i="2"/>
  <c r="I452" i="17" s="1"/>
  <c r="AQ449" i="6"/>
  <c r="AP449" i="6" s="1"/>
  <c r="J466" i="2"/>
  <c r="AP315" i="6"/>
  <c r="J437" i="2"/>
  <c r="I422" i="17" s="1"/>
  <c r="U44" i="20"/>
  <c r="AT299" i="2"/>
  <c r="J417" i="2"/>
  <c r="I402" i="17" s="1"/>
  <c r="J427" i="2"/>
  <c r="I412" i="17" s="1"/>
  <c r="J440" i="2"/>
  <c r="I425" i="17" s="1"/>
  <c r="J468" i="2"/>
  <c r="I453" i="17" s="1"/>
  <c r="J444" i="2"/>
  <c r="I429" i="17" s="1"/>
  <c r="J428" i="2"/>
  <c r="I413" i="17" s="1"/>
  <c r="J89" i="2"/>
  <c r="J88" i="2"/>
  <c r="J61" i="2"/>
  <c r="Y38" i="20"/>
  <c r="Y40" i="20"/>
  <c r="Y27" i="20"/>
  <c r="Y35" i="20"/>
  <c r="Y28" i="20"/>
  <c r="Y41" i="20"/>
  <c r="Y33" i="20"/>
  <c r="Y30" i="20"/>
  <c r="Y29" i="20"/>
  <c r="Y32" i="20"/>
  <c r="Y26" i="20"/>
  <c r="Y36" i="20"/>
  <c r="Y23" i="20"/>
  <c r="Y34" i="20"/>
  <c r="Y25" i="20"/>
  <c r="Y37" i="20"/>
  <c r="Y24" i="20"/>
  <c r="Y42" i="20"/>
  <c r="W279" i="6"/>
  <c r="Z19" i="8" s="1"/>
  <c r="AP298" i="6"/>
  <c r="W303" i="6"/>
  <c r="Z43" i="8" s="1"/>
  <c r="W291" i="6"/>
  <c r="Z31" i="8" s="1"/>
  <c r="W283" i="6"/>
  <c r="Z23" i="8" s="1"/>
  <c r="W304" i="6"/>
  <c r="Z44" i="8" s="1"/>
  <c r="AP294" i="6"/>
  <c r="W422" i="6"/>
  <c r="Y22" i="20" s="1"/>
  <c r="AP428" i="6"/>
  <c r="AP414" i="6"/>
  <c r="Y19" i="20"/>
  <c r="AP446" i="6"/>
  <c r="W54" i="20"/>
  <c r="W53" i="20"/>
  <c r="AP424" i="6"/>
  <c r="W417" i="6"/>
  <c r="Y17" i="20" s="1"/>
  <c r="J405" i="2"/>
  <c r="J413" i="2"/>
  <c r="I398" i="17" s="1"/>
  <c r="J397" i="2"/>
  <c r="J382" i="2"/>
  <c r="J360" i="2"/>
  <c r="J371" i="2"/>
  <c r="J378" i="2"/>
  <c r="J368" i="2"/>
  <c r="J364" i="2"/>
  <c r="J358" i="2"/>
  <c r="I343" i="17" s="1"/>
  <c r="J379" i="2"/>
  <c r="J359" i="2"/>
  <c r="I344" i="17" s="1"/>
  <c r="J365" i="2"/>
  <c r="J369" i="2"/>
  <c r="J367" i="2"/>
  <c r="J370" i="2"/>
  <c r="J374" i="2"/>
  <c r="J362" i="2"/>
  <c r="J373" i="2"/>
  <c r="J381" i="2"/>
  <c r="J377" i="2"/>
  <c r="J363" i="2"/>
  <c r="J380" i="2"/>
  <c r="J372" i="2"/>
  <c r="J376" i="2"/>
  <c r="J383" i="2"/>
  <c r="J366" i="2"/>
  <c r="J361" i="2"/>
  <c r="J375" i="2"/>
  <c r="I360" i="17" s="1"/>
  <c r="J341" i="2"/>
  <c r="J340" i="2"/>
  <c r="J337" i="2"/>
  <c r="J350" i="2"/>
  <c r="J338" i="2"/>
  <c r="J339" i="2"/>
  <c r="Q317" i="2"/>
  <c r="AB317" i="2" s="1"/>
  <c r="O74" i="28" s="1"/>
  <c r="S317" i="2"/>
  <c r="AD317" i="2" s="1"/>
  <c r="Q74" i="28" s="1"/>
  <c r="P317" i="2"/>
  <c r="AA317" i="2" s="1"/>
  <c r="N74" i="28" s="1"/>
  <c r="R317" i="2"/>
  <c r="AC317" i="2" s="1"/>
  <c r="P74" i="28" s="1"/>
  <c r="P325" i="2"/>
  <c r="AA325" i="2" s="1"/>
  <c r="AK325" i="2" s="1"/>
  <c r="Q325" i="2"/>
  <c r="AB325" i="2" s="1"/>
  <c r="AL325" i="2" s="1"/>
  <c r="R325" i="2"/>
  <c r="AC325" i="2" s="1"/>
  <c r="AM325" i="2" s="1"/>
  <c r="O325" i="2"/>
  <c r="Z325" i="2" s="1"/>
  <c r="AJ325" i="2" s="1"/>
  <c r="S325" i="2"/>
  <c r="AD325" i="2" s="1"/>
  <c r="AN325" i="2" s="1"/>
  <c r="T325" i="2"/>
  <c r="P283" i="2"/>
  <c r="AA283" i="2" s="1"/>
  <c r="AK283" i="2" s="1"/>
  <c r="Q283" i="2"/>
  <c r="AB283" i="2" s="1"/>
  <c r="AL283" i="2" s="1"/>
  <c r="R283" i="2"/>
  <c r="AC283" i="2" s="1"/>
  <c r="AM283" i="2" s="1"/>
  <c r="S283" i="2"/>
  <c r="AD283" i="2" s="1"/>
  <c r="AN283" i="2" s="1"/>
  <c r="O283" i="2"/>
  <c r="Z283" i="2" s="1"/>
  <c r="AJ283" i="2" s="1"/>
  <c r="J276" i="2"/>
  <c r="I261" i="17" s="1"/>
  <c r="CL294" i="2"/>
  <c r="CI298" i="2"/>
  <c r="CJ298" i="2"/>
  <c r="CK298" i="2"/>
  <c r="CH298" i="2"/>
  <c r="W269" i="6"/>
  <c r="Z9" i="8" s="1"/>
  <c r="AP269" i="6"/>
  <c r="W286" i="6"/>
  <c r="Z26" i="8" s="1"/>
  <c r="W289" i="6"/>
  <c r="Z29" i="8" s="1"/>
  <c r="W287" i="6"/>
  <c r="Z27" i="8" s="1"/>
  <c r="W285" i="6"/>
  <c r="Z25" i="8" s="1"/>
  <c r="W288" i="6"/>
  <c r="Z28" i="8" s="1"/>
  <c r="W292" i="6"/>
  <c r="Z32" i="8" s="1"/>
  <c r="J255" i="2"/>
  <c r="J269" i="2"/>
  <c r="J259" i="2"/>
  <c r="J260" i="2"/>
  <c r="J266" i="2"/>
  <c r="J254" i="2"/>
  <c r="J271" i="2"/>
  <c r="J258" i="2"/>
  <c r="J257" i="2"/>
  <c r="CA191" i="2"/>
  <c r="CA194" i="2" s="1"/>
  <c r="BZ191" i="2"/>
  <c r="BZ194" i="2" s="1"/>
  <c r="CB191" i="2"/>
  <c r="CB194" i="2" s="1"/>
  <c r="BY191" i="2"/>
  <c r="BY194" i="2" s="1"/>
  <c r="CC191" i="2"/>
  <c r="CC194" i="2" s="1"/>
  <c r="S247" i="2"/>
  <c r="AD247" i="2" s="1"/>
  <c r="S252" i="2"/>
  <c r="AD252" i="2" s="1"/>
  <c r="S246" i="2"/>
  <c r="AD246" i="2" s="1"/>
  <c r="S249" i="2"/>
  <c r="AD249" i="2" s="1"/>
  <c r="S248" i="2"/>
  <c r="AD248" i="2" s="1"/>
  <c r="S251" i="2"/>
  <c r="AD251" i="2" s="1"/>
  <c r="S250" i="2"/>
  <c r="AD250" i="2" s="1"/>
  <c r="S244" i="2"/>
  <c r="AD244" i="2" s="1"/>
  <c r="W236" i="6"/>
  <c r="Y11" i="10" s="1"/>
  <c r="W232" i="6"/>
  <c r="Y7" i="10" s="1"/>
  <c r="W237" i="6"/>
  <c r="Y12" i="10" s="1"/>
  <c r="W233" i="6"/>
  <c r="Y8" i="10" s="1"/>
  <c r="W234" i="6"/>
  <c r="Y9" i="10" s="1"/>
  <c r="W235" i="6"/>
  <c r="Y10" i="10" s="1"/>
  <c r="W238" i="6"/>
  <c r="Y13" i="10" s="1"/>
  <c r="AP205" i="2"/>
  <c r="AT205" i="2"/>
  <c r="AT112" i="2"/>
  <c r="J184" i="2"/>
  <c r="I169" i="17" s="1"/>
  <c r="J223" i="2"/>
  <c r="J177" i="2"/>
  <c r="J25" i="21"/>
  <c r="L25" i="21" s="1"/>
  <c r="J42" i="21"/>
  <c r="L42" i="21" s="1"/>
  <c r="J233" i="2"/>
  <c r="I218" i="17" s="1"/>
  <c r="AV116" i="2"/>
  <c r="AX205" i="2"/>
  <c r="AV205" i="2"/>
  <c r="J217" i="2"/>
  <c r="I202" i="17" s="1"/>
  <c r="J196" i="2"/>
  <c r="I181" i="17" s="1"/>
  <c r="J213" i="2"/>
  <c r="I198" i="17" s="1"/>
  <c r="AR205" i="2"/>
  <c r="AQ106" i="2"/>
  <c r="AW205" i="2"/>
  <c r="AY205" i="2"/>
  <c r="AU205" i="2"/>
  <c r="AX114" i="2"/>
  <c r="AQ205" i="2"/>
  <c r="AY101" i="2"/>
  <c r="J200" i="2"/>
  <c r="I185" i="17" s="1"/>
  <c r="J204" i="2"/>
  <c r="I189" i="17" s="1"/>
  <c r="J231" i="2"/>
  <c r="I216" i="17" s="1"/>
  <c r="J193" i="2"/>
  <c r="I178" i="17" s="1"/>
  <c r="J198" i="2"/>
  <c r="I183" i="17" s="1"/>
  <c r="J228" i="2"/>
  <c r="I213" i="17" s="1"/>
  <c r="J220" i="2"/>
  <c r="I205" i="17" s="1"/>
  <c r="J178" i="2"/>
  <c r="I163" i="17" s="1"/>
  <c r="J230" i="2"/>
  <c r="I215" i="17" s="1"/>
  <c r="J224" i="2"/>
  <c r="I209" i="17" s="1"/>
  <c r="J194" i="2"/>
  <c r="I179" i="17" s="1"/>
  <c r="J234" i="2"/>
  <c r="I219" i="17" s="1"/>
  <c r="J174" i="2"/>
  <c r="I159" i="17" s="1"/>
  <c r="J207" i="2"/>
  <c r="I192" i="17" s="1"/>
  <c r="J226" i="2"/>
  <c r="I211" i="17" s="1"/>
  <c r="J225" i="2"/>
  <c r="I210" i="17" s="1"/>
  <c r="J221" i="2"/>
  <c r="I206" i="17" s="1"/>
  <c r="J182" i="2"/>
  <c r="I167" i="17" s="1"/>
  <c r="J202" i="2"/>
  <c r="I187" i="17" s="1"/>
  <c r="J176" i="2"/>
  <c r="I161" i="17" s="1"/>
  <c r="J199" i="2"/>
  <c r="I184" i="17" s="1"/>
  <c r="J189" i="2"/>
  <c r="I174" i="17" s="1"/>
  <c r="J214" i="2"/>
  <c r="I199" i="17" s="1"/>
  <c r="J222" i="2"/>
  <c r="I207" i="17" s="1"/>
  <c r="J235" i="2"/>
  <c r="I220" i="17" s="1"/>
  <c r="J219" i="2"/>
  <c r="I204" i="17" s="1"/>
  <c r="J169" i="2"/>
  <c r="I154" i="17" s="1"/>
  <c r="J212" i="2"/>
  <c r="I197" i="17" s="1"/>
  <c r="J236" i="2"/>
  <c r="I221" i="17" s="1"/>
  <c r="J170" i="2"/>
  <c r="I155" i="17" s="1"/>
  <c r="J229" i="2"/>
  <c r="I214" i="17" s="1"/>
  <c r="J197" i="2"/>
  <c r="I182" i="17" s="1"/>
  <c r="J206" i="2"/>
  <c r="I191" i="17" s="1"/>
  <c r="J172" i="2"/>
  <c r="I157" i="17" s="1"/>
  <c r="J188" i="2"/>
  <c r="I173" i="17" s="1"/>
  <c r="J218" i="2"/>
  <c r="I203" i="17" s="1"/>
  <c r="J186" i="2"/>
  <c r="I171" i="17" s="1"/>
  <c r="J173" i="2"/>
  <c r="I158" i="17" s="1"/>
  <c r="J192" i="2"/>
  <c r="I177" i="17" s="1"/>
  <c r="J238" i="2"/>
  <c r="I223" i="17" s="1"/>
  <c r="J183" i="2"/>
  <c r="I168" i="17" s="1"/>
  <c r="J181" i="2"/>
  <c r="I166" i="17" s="1"/>
  <c r="J201" i="2"/>
  <c r="I186" i="17" s="1"/>
  <c r="J171" i="2"/>
  <c r="I156" i="17" s="1"/>
  <c r="J237" i="2"/>
  <c r="I222" i="17" s="1"/>
  <c r="J175" i="2"/>
  <c r="I160" i="17" s="1"/>
  <c r="J203" i="2"/>
  <c r="I188" i="17" s="1"/>
  <c r="AT215" i="2"/>
  <c r="AU215" i="2"/>
  <c r="AV215" i="2"/>
  <c r="AX215" i="2"/>
  <c r="AW215" i="2"/>
  <c r="AY215" i="2"/>
  <c r="AQ215" i="2"/>
  <c r="AR215" i="2"/>
  <c r="AP215" i="2"/>
  <c r="AQ218" i="6"/>
  <c r="AP218" i="6" s="1"/>
  <c r="AP188" i="6"/>
  <c r="X197" i="6"/>
  <c r="AA45" i="21" s="1"/>
  <c r="AT166" i="6"/>
  <c r="AS166" i="6" s="1"/>
  <c r="X200" i="6"/>
  <c r="AA48" i="21" s="1"/>
  <c r="AP195" i="2"/>
  <c r="AX195" i="2"/>
  <c r="AY195" i="2"/>
  <c r="AR195" i="2"/>
  <c r="AT195" i="2"/>
  <c r="AW195" i="2"/>
  <c r="AU195" i="2"/>
  <c r="AV195" i="2"/>
  <c r="AQ195" i="2"/>
  <c r="AA25" i="21"/>
  <c r="Z11" i="21"/>
  <c r="AP202" i="6"/>
  <c r="AN202" i="6"/>
  <c r="AR202" i="6"/>
  <c r="AT184" i="6"/>
  <c r="AL202" i="6"/>
  <c r="AT180" i="6"/>
  <c r="AP159" i="6"/>
  <c r="W177" i="6"/>
  <c r="Z25" i="21" s="1"/>
  <c r="W196" i="6"/>
  <c r="Z44" i="21" s="1"/>
  <c r="W195" i="6"/>
  <c r="Z43" i="21" s="1"/>
  <c r="AP184" i="6"/>
  <c r="AR117" i="2"/>
  <c r="AT113" i="2"/>
  <c r="AT111" i="2"/>
  <c r="AP105" i="2"/>
  <c r="AR102" i="2"/>
  <c r="AR98" i="2"/>
  <c r="AQ108" i="2"/>
  <c r="AY97" i="2"/>
  <c r="J118" i="2"/>
  <c r="AP100" i="2"/>
  <c r="AQ113" i="2"/>
  <c r="AQ104" i="2"/>
  <c r="AY99" i="2"/>
  <c r="AX110" i="2"/>
  <c r="AR109" i="2"/>
  <c r="AW107" i="2"/>
  <c r="AR99" i="2"/>
  <c r="AR105" i="2"/>
  <c r="AU111" i="2"/>
  <c r="AY109" i="2"/>
  <c r="AU108" i="2"/>
  <c r="AT108" i="2"/>
  <c r="AQ117" i="2"/>
  <c r="AR112" i="2"/>
  <c r="AX98" i="2"/>
  <c r="AR106" i="2"/>
  <c r="AR108" i="2"/>
  <c r="AR116" i="2"/>
  <c r="AT103" i="2"/>
  <c r="AR101" i="2"/>
  <c r="AV102" i="2"/>
  <c r="AR114" i="2"/>
  <c r="AR100" i="2"/>
  <c r="AT115" i="2"/>
  <c r="AR107" i="2"/>
  <c r="AR113" i="2"/>
  <c r="AR97" i="2"/>
  <c r="AR110" i="2"/>
  <c r="AP104" i="2"/>
  <c r="AW106" i="2"/>
  <c r="AX101" i="2"/>
  <c r="AT109" i="2"/>
  <c r="AY111" i="2"/>
  <c r="AU102" i="2"/>
  <c r="AQ107" i="2"/>
  <c r="AU116" i="2"/>
  <c r="AV106" i="2"/>
  <c r="AW101" i="2"/>
  <c r="AQ109" i="2"/>
  <c r="AP111" i="2"/>
  <c r="AT102" i="2"/>
  <c r="AX107" i="2"/>
  <c r="AX116" i="2"/>
  <c r="AU106" i="2"/>
  <c r="AV101" i="2"/>
  <c r="AX97" i="2"/>
  <c r="AW111" i="2"/>
  <c r="AU107" i="2"/>
  <c r="AW116" i="2"/>
  <c r="AP99" i="2"/>
  <c r="AT106" i="2"/>
  <c r="AT101" i="2"/>
  <c r="AW97" i="2"/>
  <c r="AR111" i="2"/>
  <c r="AY103" i="2"/>
  <c r="AP102" i="2"/>
  <c r="AV107" i="2"/>
  <c r="AT116" i="2"/>
  <c r="AP97" i="2"/>
  <c r="AQ111" i="2"/>
  <c r="AP103" i="2"/>
  <c r="AX102" i="2"/>
  <c r="AT107" i="2"/>
  <c r="AX99" i="2"/>
  <c r="AY102" i="2"/>
  <c r="AP106" i="2"/>
  <c r="AU101" i="2"/>
  <c r="AV97" i="2"/>
  <c r="AX111" i="2"/>
  <c r="AW103" i="2"/>
  <c r="AP116" i="2"/>
  <c r="AV99" i="2"/>
  <c r="AX106" i="2"/>
  <c r="AQ101" i="2"/>
  <c r="AU97" i="2"/>
  <c r="AR103" i="2"/>
  <c r="AQ116" i="2"/>
  <c r="AU99" i="2"/>
  <c r="AY116" i="2"/>
  <c r="AP101" i="2"/>
  <c r="AV111" i="2"/>
  <c r="AQ103" i="2"/>
  <c r="AW99" i="2"/>
  <c r="AX112" i="2"/>
  <c r="AY114" i="2"/>
  <c r="AT97" i="2"/>
  <c r="AX103" i="2"/>
  <c r="AY117" i="2"/>
  <c r="AY110" i="2"/>
  <c r="AT99" i="2"/>
  <c r="AW112" i="2"/>
  <c r="AY115" i="2"/>
  <c r="AQ97" i="2"/>
  <c r="AU103" i="2"/>
  <c r="AX117" i="2"/>
  <c r="AQ110" i="2"/>
  <c r="AQ99" i="2"/>
  <c r="AU112" i="2"/>
  <c r="AW115" i="2"/>
  <c r="AV103" i="2"/>
  <c r="AW117" i="2"/>
  <c r="AP110" i="2"/>
  <c r="AV112" i="2"/>
  <c r="AR115" i="2"/>
  <c r="AV117" i="2"/>
  <c r="AW110" i="2"/>
  <c r="AP112" i="2"/>
  <c r="AQ115" i="2"/>
  <c r="AP117" i="2"/>
  <c r="AV110" i="2"/>
  <c r="AP115" i="2"/>
  <c r="AQ114" i="2"/>
  <c r="AU117" i="2"/>
  <c r="AU110" i="2"/>
  <c r="AX115" i="2"/>
  <c r="AW114" i="2"/>
  <c r="AT110" i="2"/>
  <c r="AY112" i="2"/>
  <c r="AQ112" i="2"/>
  <c r="AY100" i="2"/>
  <c r="AU115" i="2"/>
  <c r="AV114" i="2"/>
  <c r="AT117" i="2"/>
  <c r="AX100" i="2"/>
  <c r="AV115" i="2"/>
  <c r="AY98" i="2"/>
  <c r="AU114" i="2"/>
  <c r="AW100" i="2"/>
  <c r="AQ98" i="2"/>
  <c r="AY104" i="2"/>
  <c r="AT114" i="2"/>
  <c r="AY105" i="2"/>
  <c r="AV100" i="2"/>
  <c r="AP98" i="2"/>
  <c r="AV104" i="2"/>
  <c r="AX105" i="2"/>
  <c r="AT100" i="2"/>
  <c r="AW98" i="2"/>
  <c r="AU104" i="2"/>
  <c r="AY113" i="2"/>
  <c r="AP114" i="2"/>
  <c r="AW105" i="2"/>
  <c r="AU100" i="2"/>
  <c r="AV98" i="2"/>
  <c r="AT104" i="2"/>
  <c r="AW113" i="2"/>
  <c r="AV105" i="2"/>
  <c r="AQ100" i="2"/>
  <c r="AU98" i="2"/>
  <c r="AX104" i="2"/>
  <c r="AX113" i="2"/>
  <c r="AY108" i="2"/>
  <c r="AU105" i="2"/>
  <c r="AT98" i="2"/>
  <c r="AW104" i="2"/>
  <c r="AV113" i="2"/>
  <c r="AX108" i="2"/>
  <c r="AR104" i="2"/>
  <c r="AP113" i="2"/>
  <c r="AW108" i="2"/>
  <c r="AT105" i="2"/>
  <c r="AU113" i="2"/>
  <c r="AV108" i="2"/>
  <c r="AQ105" i="2"/>
  <c r="AP109" i="2"/>
  <c r="AW109" i="2"/>
  <c r="AP108" i="2"/>
  <c r="AV109" i="2"/>
  <c r="AY107" i="2"/>
  <c r="AX109" i="2"/>
  <c r="AQ102" i="2"/>
  <c r="AP107" i="2"/>
  <c r="AY106" i="2"/>
  <c r="AU109" i="2"/>
  <c r="AW102" i="2"/>
  <c r="AU67" i="2"/>
  <c r="AV67" i="2"/>
  <c r="AW67" i="2"/>
  <c r="AT67" i="2"/>
  <c r="AX67" i="2"/>
  <c r="AY67" i="2"/>
  <c r="AW63" i="2"/>
  <c r="AX63" i="2"/>
  <c r="AT63" i="2"/>
  <c r="AV63" i="2"/>
  <c r="AU63" i="2"/>
  <c r="AY63" i="2"/>
  <c r="J140" i="2"/>
  <c r="J124" i="2"/>
  <c r="J126" i="2"/>
  <c r="J123" i="2"/>
  <c r="J146" i="2"/>
  <c r="J163" i="2"/>
  <c r="J127" i="2"/>
  <c r="J141" i="2"/>
  <c r="J160" i="2"/>
  <c r="I145" i="17" s="1"/>
  <c r="J153" i="2"/>
  <c r="I138" i="17" s="1"/>
  <c r="J122" i="2"/>
  <c r="J148" i="2"/>
  <c r="I133" i="17" s="1"/>
  <c r="J125" i="2"/>
  <c r="J162" i="2"/>
  <c r="J121" i="2"/>
  <c r="Z23" i="16"/>
  <c r="CA54" i="2"/>
  <c r="BZ54" i="2" s="1"/>
  <c r="CA43" i="2"/>
  <c r="BZ43" i="2" s="1"/>
  <c r="J36" i="2"/>
  <c r="I2" i="12" s="1"/>
  <c r="J44" i="2"/>
  <c r="I29" i="17" s="1"/>
  <c r="J47" i="2"/>
  <c r="I32" i="17" s="1"/>
  <c r="J46" i="2"/>
  <c r="I31" i="17" s="1"/>
  <c r="J49" i="2"/>
  <c r="I34" i="17" s="1"/>
  <c r="J45" i="2"/>
  <c r="I30" i="17" s="1"/>
  <c r="J71" i="2"/>
  <c r="I56" i="17" s="1"/>
  <c r="J37" i="2"/>
  <c r="I22" i="17" s="1"/>
  <c r="J48" i="2"/>
  <c r="I33" i="17" s="1"/>
  <c r="J40" i="2"/>
  <c r="I25" i="17" s="1"/>
  <c r="J64" i="2"/>
  <c r="I49" i="17" s="1"/>
  <c r="J93" i="2"/>
  <c r="I78" i="17" s="1"/>
  <c r="J94" i="2"/>
  <c r="I79" i="17" s="1"/>
  <c r="W41" i="6"/>
  <c r="Y21" i="12" s="1"/>
  <c r="W43" i="6"/>
  <c r="Y23" i="12" s="1"/>
  <c r="W44" i="6"/>
  <c r="Y24" i="12" s="1"/>
  <c r="W42" i="6"/>
  <c r="Y22" i="12" s="1"/>
  <c r="AP305" i="6"/>
  <c r="W290" i="6"/>
  <c r="Z30" i="8" s="1"/>
  <c r="AP214" i="6"/>
  <c r="AQ210" i="6"/>
  <c r="AP210" i="6" s="1"/>
  <c r="U18" i="6"/>
  <c r="S18" i="6"/>
  <c r="T3" i="14"/>
  <c r="AU401" i="2"/>
  <c r="AV401" i="2"/>
  <c r="AY401" i="2"/>
  <c r="AT401" i="2"/>
  <c r="AW401" i="2"/>
  <c r="AP401" i="2"/>
  <c r="AX401" i="2"/>
  <c r="AR401" i="2"/>
  <c r="AQ401" i="2"/>
  <c r="W355" i="6"/>
  <c r="X13" i="14" s="1"/>
  <c r="V355" i="6"/>
  <c r="W13" i="14" s="1"/>
  <c r="U355" i="6"/>
  <c r="V13" i="14" s="1"/>
  <c r="W298" i="6"/>
  <c r="Z38" i="8" s="1"/>
  <c r="W299" i="6"/>
  <c r="Z39" i="8" s="1"/>
  <c r="W296" i="6"/>
  <c r="Z36" i="8" s="1"/>
  <c r="AP265" i="6"/>
  <c r="W274" i="6"/>
  <c r="Z14" i="8" s="1"/>
  <c r="Q293" i="2"/>
  <c r="AB293" i="2" s="1"/>
  <c r="O50" i="28" s="1"/>
  <c r="S293" i="2"/>
  <c r="AD293" i="2" s="1"/>
  <c r="Q50" i="28" s="1"/>
  <c r="P293" i="2"/>
  <c r="R293" i="2"/>
  <c r="AC293" i="2" s="1"/>
  <c r="P50" i="28" s="1"/>
  <c r="O227" i="2"/>
  <c r="Z227" i="2" s="1"/>
  <c r="AJ227" i="2" s="1"/>
  <c r="P187" i="2"/>
  <c r="AA187" i="2" s="1"/>
  <c r="AK187" i="2" s="1"/>
  <c r="W259" i="6"/>
  <c r="Y34" i="10" s="1"/>
  <c r="Q187" i="2"/>
  <c r="AB187" i="2" s="1"/>
  <c r="AL187" i="2" s="1"/>
  <c r="Q190" i="2"/>
  <c r="AB190" i="2" s="1"/>
  <c r="AL190" i="2" s="1"/>
  <c r="R187" i="2"/>
  <c r="AC187" i="2" s="1"/>
  <c r="AM187" i="2" s="1"/>
  <c r="P227" i="2"/>
  <c r="AA227" i="2" s="1"/>
  <c r="AK227" i="2" s="1"/>
  <c r="S190" i="2"/>
  <c r="AD190" i="2" s="1"/>
  <c r="AN190" i="2" s="1"/>
  <c r="O190" i="2"/>
  <c r="Z190" i="2" s="1"/>
  <c r="AJ190" i="2" s="1"/>
  <c r="S227" i="2"/>
  <c r="AD227" i="2" s="1"/>
  <c r="AN227" i="2" s="1"/>
  <c r="R190" i="2"/>
  <c r="AC190" i="2" s="1"/>
  <c r="AM190" i="2" s="1"/>
  <c r="R227" i="2"/>
  <c r="AC227" i="2" s="1"/>
  <c r="AM227" i="2" s="1"/>
  <c r="P190" i="2"/>
  <c r="AA190" i="2" s="1"/>
  <c r="AK190" i="2" s="1"/>
  <c r="S187" i="2"/>
  <c r="AD187" i="2" s="1"/>
  <c r="AN187" i="2" s="1"/>
  <c r="W201" i="6"/>
  <c r="Z49" i="21" s="1"/>
  <c r="W205" i="6"/>
  <c r="Z53" i="21" s="1"/>
  <c r="AP196" i="6"/>
  <c r="W204" i="6"/>
  <c r="Z52" i="21" s="1"/>
  <c r="O187" i="2"/>
  <c r="Z187" i="2" s="1"/>
  <c r="AJ187" i="2" s="1"/>
  <c r="X208" i="6"/>
  <c r="AA56" i="21" s="1"/>
  <c r="AP26" i="6"/>
  <c r="AS196" i="6"/>
  <c r="AQ57" i="6"/>
  <c r="AQ55" i="6"/>
  <c r="AP55" i="6" s="1"/>
  <c r="R211" i="2"/>
  <c r="AC211" i="2" s="1"/>
  <c r="AM211" i="2" s="1"/>
  <c r="W93" i="6"/>
  <c r="Z12" i="16" s="1"/>
  <c r="P211" i="2"/>
  <c r="AA211" i="2" s="1"/>
  <c r="AK211" i="2" s="1"/>
  <c r="AQ32" i="6"/>
  <c r="W68" i="6" s="1"/>
  <c r="Y48" i="12" s="1"/>
  <c r="S211" i="2"/>
  <c r="AD211" i="2" s="1"/>
  <c r="AN211" i="2" s="1"/>
  <c r="W70" i="6"/>
  <c r="Y50" i="12" s="1"/>
  <c r="AP418" i="6"/>
  <c r="W416" i="6"/>
  <c r="Y16" i="20" s="1"/>
  <c r="AP279" i="6"/>
  <c r="AP51" i="6"/>
  <c r="W64" i="6"/>
  <c r="Y44" i="12" s="1"/>
  <c r="AP71" i="6"/>
  <c r="J70" i="2"/>
  <c r="J92" i="2"/>
  <c r="BW93" i="2"/>
  <c r="BW76" i="2"/>
  <c r="J62" i="2"/>
  <c r="AO156" i="6"/>
  <c r="X171" i="6" s="1"/>
  <c r="AA19" i="21" s="1"/>
  <c r="AQ42" i="6"/>
  <c r="AQ249" i="6"/>
  <c r="AQ30" i="6"/>
  <c r="AP358" i="6"/>
  <c r="AQ172" i="6"/>
  <c r="AQ28" i="6"/>
  <c r="AQ442" i="6"/>
  <c r="AQ192" i="6"/>
  <c r="AQ167" i="6"/>
  <c r="W202" i="6" s="1"/>
  <c r="Z50" i="21" s="1"/>
  <c r="AQ38" i="6"/>
  <c r="AP349" i="6"/>
  <c r="CK290" i="2"/>
  <c r="CL290" i="2"/>
  <c r="CM290" i="2"/>
  <c r="CI290" i="2"/>
  <c r="CJ290" i="2"/>
  <c r="W92" i="6"/>
  <c r="Z11" i="16" s="1"/>
  <c r="AP274" i="6"/>
  <c r="AP241" i="6"/>
  <c r="W71" i="6"/>
  <c r="Y51" i="12" s="1"/>
  <c r="BX76" i="2"/>
  <c r="W78" i="6"/>
  <c r="Y58" i="12" s="1"/>
  <c r="AP65" i="6"/>
  <c r="AT64" i="6" s="1"/>
  <c r="AT65" i="6" s="1"/>
  <c r="W80" i="6"/>
  <c r="Y60" i="12" s="1"/>
  <c r="AP245" i="6"/>
  <c r="W239" i="6"/>
  <c r="Y14" i="10" s="1"/>
  <c r="AQ53" i="6"/>
  <c r="AQ362" i="6"/>
  <c r="W347" i="6" s="1"/>
  <c r="X5" i="14" s="1"/>
  <c r="AQ176" i="6"/>
  <c r="W349" i="6"/>
  <c r="X7" i="14" s="1"/>
  <c r="AQ163" i="6"/>
  <c r="AP237" i="6"/>
  <c r="AP283" i="6"/>
  <c r="BY76" i="2"/>
  <c r="BY69" i="2"/>
  <c r="AZ51" i="6"/>
  <c r="U64" i="6"/>
  <c r="W44" i="12" s="1"/>
  <c r="X64" i="6"/>
  <c r="Z44" i="12" s="1"/>
  <c r="CL256" i="2"/>
  <c r="S273" i="2"/>
  <c r="AD273" i="2" s="1"/>
  <c r="CB256" i="2"/>
  <c r="P246" i="2" s="1"/>
  <c r="AA246" i="2" s="1"/>
  <c r="CE256" i="2"/>
  <c r="CI256" i="2"/>
  <c r="CJ256" i="2"/>
  <c r="CM256" i="2"/>
  <c r="S253" i="2"/>
  <c r="AD253" i="2" s="1"/>
  <c r="CK256" i="2"/>
  <c r="AP453" i="6"/>
  <c r="W431" i="6"/>
  <c r="AP405" i="6"/>
  <c r="Y2" i="20"/>
  <c r="Y18" i="20"/>
  <c r="CL269" i="2"/>
  <c r="CB269" i="2"/>
  <c r="P268" i="2" s="1"/>
  <c r="AA268" i="2" s="1"/>
  <c r="S268" i="2"/>
  <c r="AD268" i="2" s="1"/>
  <c r="CM269" i="2"/>
  <c r="CE269" i="2"/>
  <c r="CI269" i="2"/>
  <c r="CJ269" i="2"/>
  <c r="CK269" i="2"/>
  <c r="AP310" i="6"/>
  <c r="W276" i="6"/>
  <c r="Z16" i="8" s="1"/>
  <c r="S267" i="2"/>
  <c r="AD267" i="2" s="1"/>
  <c r="CI261" i="2"/>
  <c r="CB261" i="2"/>
  <c r="R267" i="2" s="1"/>
  <c r="AC267" i="2" s="1"/>
  <c r="CK261" i="2"/>
  <c r="CE261" i="2"/>
  <c r="CM261" i="2"/>
  <c r="CJ261" i="2"/>
  <c r="CL261" i="2"/>
  <c r="AS63" i="6"/>
  <c r="AQ63" i="6"/>
  <c r="CO294" i="2"/>
  <c r="CN294" i="2"/>
  <c r="CM294" i="2"/>
  <c r="CC286" i="2"/>
  <c r="CK286" i="2"/>
  <c r="CH286" i="2"/>
  <c r="CL286" i="2"/>
  <c r="CE282" i="2"/>
  <c r="CC282" i="2"/>
  <c r="CI282" i="2"/>
  <c r="CI286" i="2"/>
  <c r="CJ286" i="2"/>
  <c r="CD282" i="2"/>
  <c r="CG282" i="2"/>
  <c r="CJ282" i="2"/>
  <c r="CH282" i="2"/>
  <c r="CK282" i="2"/>
  <c r="CG286" i="2"/>
  <c r="CA76" i="2"/>
  <c r="BZ76" i="2"/>
  <c r="BV69" i="2"/>
  <c r="BZ69" i="2"/>
  <c r="BW69" i="2"/>
  <c r="BX69" i="2"/>
  <c r="BY93" i="2"/>
  <c r="CA93" i="2"/>
  <c r="BZ93" i="2"/>
  <c r="CB93" i="2"/>
  <c r="AS40" i="6"/>
  <c r="AQ40" i="6"/>
  <c r="CL242" i="2"/>
  <c r="CJ242" i="2"/>
  <c r="CE242" i="2"/>
  <c r="CK242" i="2"/>
  <c r="CM242" i="2"/>
  <c r="CI242" i="2"/>
  <c r="CM250" i="2"/>
  <c r="CN250" i="2"/>
  <c r="CO250" i="2"/>
  <c r="CP250" i="2"/>
  <c r="S243" i="2"/>
  <c r="AD243" i="2" s="1"/>
  <c r="CB250" i="2"/>
  <c r="O243" i="2" s="1"/>
  <c r="CL250" i="2"/>
  <c r="CH250" i="2"/>
  <c r="AS231" i="6"/>
  <c r="AR231" i="6" s="1"/>
  <c r="AQ231" i="6"/>
  <c r="AS49" i="6"/>
  <c r="AQ49" i="6"/>
  <c r="CL265" i="2"/>
  <c r="CK265" i="2"/>
  <c r="CI265" i="2"/>
  <c r="CB265" i="2"/>
  <c r="R256" i="2" s="1"/>
  <c r="AC256" i="2" s="1"/>
  <c r="CE265" i="2"/>
  <c r="CJ265" i="2"/>
  <c r="CM265" i="2"/>
  <c r="CL246" i="2"/>
  <c r="CH246" i="2"/>
  <c r="CP246" i="2"/>
  <c r="CB246" i="2"/>
  <c r="P242" i="2" s="1"/>
  <c r="AA242" i="2" s="1"/>
  <c r="CN246" i="2"/>
  <c r="CO246" i="2"/>
  <c r="CM246" i="2"/>
  <c r="S242" i="2"/>
  <c r="AD242" i="2" s="1"/>
  <c r="S245" i="2"/>
  <c r="AD245" i="2" s="1"/>
  <c r="AS287" i="6"/>
  <c r="AQ287" i="6"/>
  <c r="W301" i="6" s="1"/>
  <c r="Z41" i="8" s="1"/>
  <c r="CE274" i="2"/>
  <c r="CM274" i="2"/>
  <c r="S270" i="2"/>
  <c r="AD270" i="2" s="1"/>
  <c r="CJ274" i="2"/>
  <c r="CK274" i="2"/>
  <c r="CI274" i="2"/>
  <c r="CL274" i="2"/>
  <c r="CB274" i="2"/>
  <c r="R270" i="2" s="1"/>
  <c r="AC270" i="2" s="1"/>
  <c r="T2" i="19"/>
  <c r="T2" i="14"/>
  <c r="V2" i="16"/>
  <c r="U2" i="20"/>
  <c r="AJ202" i="6"/>
  <c r="BX222" i="2"/>
  <c r="CB222" i="2"/>
  <c r="CC222" i="2" s="1"/>
  <c r="BZ222" i="2"/>
  <c r="CA222" i="2" s="1"/>
  <c r="J262" i="2" l="1"/>
  <c r="J261" i="2"/>
  <c r="I22" i="10" s="1"/>
  <c r="K22" i="10" s="1"/>
  <c r="X210" i="6"/>
  <c r="AA58" i="21" s="1"/>
  <c r="P244" i="2"/>
  <c r="AA244" i="2" s="1"/>
  <c r="CK295" i="2"/>
  <c r="J279" i="2"/>
  <c r="J5" i="8" s="1"/>
  <c r="L5" i="8" s="1"/>
  <c r="J294" i="2"/>
  <c r="I279" i="17" s="1"/>
  <c r="J302" i="2"/>
  <c r="I287" i="17" s="1"/>
  <c r="J280" i="2"/>
  <c r="J6" i="8" s="1"/>
  <c r="K6" i="8" s="1"/>
  <c r="J300" i="2"/>
  <c r="J26" i="8" s="1"/>
  <c r="L26" i="8" s="1"/>
  <c r="J301" i="2"/>
  <c r="J27" i="8" s="1"/>
  <c r="K27" i="8" s="1"/>
  <c r="J329" i="2"/>
  <c r="H86" i="28" s="1"/>
  <c r="J282" i="2"/>
  <c r="J8" i="8" s="1"/>
  <c r="K8" i="8" s="1"/>
  <c r="J319" i="2"/>
  <c r="J45" i="8" s="1"/>
  <c r="L45" i="8" s="1"/>
  <c r="J306" i="2"/>
  <c r="J32" i="8" s="1"/>
  <c r="K32" i="8" s="1"/>
  <c r="J314" i="2"/>
  <c r="H71" i="28" s="1"/>
  <c r="J295" i="2"/>
  <c r="H52" i="28" s="1"/>
  <c r="I35" i="17"/>
  <c r="J304" i="2"/>
  <c r="J30" i="8" s="1"/>
  <c r="J277" i="2"/>
  <c r="H34" i="28" s="1"/>
  <c r="J326" i="2"/>
  <c r="H83" i="28" s="1"/>
  <c r="J299" i="2"/>
  <c r="J25" i="8" s="1"/>
  <c r="K25" i="8" s="1"/>
  <c r="J278" i="2"/>
  <c r="H35" i="28" s="1"/>
  <c r="J310" i="2"/>
  <c r="I295" i="17" s="1"/>
  <c r="J308" i="2"/>
  <c r="J34" i="8" s="1"/>
  <c r="J327" i="2"/>
  <c r="J53" i="8" s="1"/>
  <c r="K53" i="8" s="1"/>
  <c r="J321" i="2"/>
  <c r="J47" i="8" s="1"/>
  <c r="J305" i="2"/>
  <c r="I290" i="17" s="1"/>
  <c r="J296" i="2"/>
  <c r="J22" i="8" s="1"/>
  <c r="J307" i="2"/>
  <c r="J33" i="8" s="1"/>
  <c r="K33" i="8" s="1"/>
  <c r="J328" i="2"/>
  <c r="J54" i="8" s="1"/>
  <c r="J324" i="2"/>
  <c r="J50" i="8" s="1"/>
  <c r="J330" i="2"/>
  <c r="J56" i="8" s="1"/>
  <c r="Q247" i="2"/>
  <c r="AB247" i="2" s="1"/>
  <c r="J303" i="2"/>
  <c r="J29" i="8" s="1"/>
  <c r="K29" i="8" s="1"/>
  <c r="J320" i="2"/>
  <c r="I305" i="17" s="1"/>
  <c r="J323" i="2"/>
  <c r="J49" i="8" s="1"/>
  <c r="L49" i="8" s="1"/>
  <c r="J281" i="2"/>
  <c r="H38" i="28" s="1"/>
  <c r="J322" i="2"/>
  <c r="J48" i="8" s="1"/>
  <c r="K48" i="8" s="1"/>
  <c r="J313" i="2"/>
  <c r="J39" i="8" s="1"/>
  <c r="Q246" i="2"/>
  <c r="AB246" i="2" s="1"/>
  <c r="Q251" i="2"/>
  <c r="AB251" i="2" s="1"/>
  <c r="J298" i="2"/>
  <c r="J24" i="8" s="1"/>
  <c r="L24" i="8" s="1"/>
  <c r="J316" i="2"/>
  <c r="J42" i="8" s="1"/>
  <c r="L42" i="8" s="1"/>
  <c r="H11" i="14"/>
  <c r="I11" i="14" s="1"/>
  <c r="I352" i="17"/>
  <c r="J27" i="9"/>
  <c r="K27" i="9" s="1"/>
  <c r="I131" i="17"/>
  <c r="I18" i="10"/>
  <c r="K18" i="10" s="1"/>
  <c r="I242" i="17"/>
  <c r="J4" i="9"/>
  <c r="K4" i="9" s="1"/>
  <c r="I108" i="17"/>
  <c r="I19" i="10"/>
  <c r="J19" i="10" s="1"/>
  <c r="I243" i="17"/>
  <c r="J7" i="9"/>
  <c r="K7" i="9" s="1"/>
  <c r="I111" i="17"/>
  <c r="H23" i="14"/>
  <c r="I23" i="14" s="1"/>
  <c r="I364" i="17"/>
  <c r="J21" i="9"/>
  <c r="K21" i="9" s="1"/>
  <c r="I125" i="17"/>
  <c r="J8" i="9"/>
  <c r="K8" i="9" s="1"/>
  <c r="I112" i="17"/>
  <c r="Q82" i="28"/>
  <c r="I6" i="15"/>
  <c r="K6" i="15" s="1"/>
  <c r="I322" i="17"/>
  <c r="H14" i="14"/>
  <c r="I14" i="14" s="1"/>
  <c r="I355" i="17"/>
  <c r="W456" i="6"/>
  <c r="I246" i="17"/>
  <c r="J20" i="8"/>
  <c r="L20" i="8" s="1"/>
  <c r="I9" i="15"/>
  <c r="K9" i="15" s="1"/>
  <c r="I325" i="17"/>
  <c r="I58" i="12"/>
  <c r="K58" i="12" s="1"/>
  <c r="I77" i="17"/>
  <c r="J57" i="21"/>
  <c r="L57" i="21" s="1"/>
  <c r="I208" i="17"/>
  <c r="I10" i="15"/>
  <c r="K10" i="15" s="1"/>
  <c r="I326" i="17"/>
  <c r="I36" i="12"/>
  <c r="K36" i="12" s="1"/>
  <c r="I55" i="17"/>
  <c r="J23" i="16"/>
  <c r="L23" i="16" s="1"/>
  <c r="I103" i="17"/>
  <c r="I451" i="17"/>
  <c r="I52" i="20"/>
  <c r="I32" i="10"/>
  <c r="K32" i="10" s="1"/>
  <c r="I256" i="17"/>
  <c r="N82" i="28"/>
  <c r="I421" i="17"/>
  <c r="I22" i="20"/>
  <c r="I27" i="10"/>
  <c r="K27" i="10" s="1"/>
  <c r="I251" i="17"/>
  <c r="I21" i="10"/>
  <c r="K21" i="10" s="1"/>
  <c r="I245" i="17"/>
  <c r="H8" i="14"/>
  <c r="J8" i="14" s="1"/>
  <c r="I349" i="17"/>
  <c r="J2" i="9"/>
  <c r="I106" i="17"/>
  <c r="I39" i="20"/>
  <c r="I438" i="17"/>
  <c r="I20" i="10"/>
  <c r="K20" i="10" s="1"/>
  <c r="I244" i="17"/>
  <c r="H24" i="14"/>
  <c r="I24" i="14" s="1"/>
  <c r="I365" i="17"/>
  <c r="H22" i="14"/>
  <c r="I22" i="14" s="1"/>
  <c r="I363" i="17"/>
  <c r="J6" i="9"/>
  <c r="K6" i="9" s="1"/>
  <c r="I110" i="17"/>
  <c r="I30" i="10"/>
  <c r="K30" i="10" s="1"/>
  <c r="I254" i="17"/>
  <c r="M40" i="28"/>
  <c r="H7" i="14"/>
  <c r="I7" i="14" s="1"/>
  <c r="I348" i="17"/>
  <c r="H15" i="14"/>
  <c r="I15" i="14" s="1"/>
  <c r="I356" i="17"/>
  <c r="Q250" i="2"/>
  <c r="AB250" i="2" s="1"/>
  <c r="I23" i="10"/>
  <c r="J23" i="10" s="1"/>
  <c r="I247" i="17"/>
  <c r="Q40" i="28"/>
  <c r="H21" i="14"/>
  <c r="I21" i="14" s="1"/>
  <c r="I362" i="17"/>
  <c r="H4" i="14"/>
  <c r="J4" i="14" s="1"/>
  <c r="I345" i="17"/>
  <c r="J44" i="9"/>
  <c r="K44" i="9" s="1"/>
  <c r="I148" i="17"/>
  <c r="J11" i="21"/>
  <c r="K11" i="21" s="1"/>
  <c r="I162" i="17"/>
  <c r="I264" i="17"/>
  <c r="H36" i="28"/>
  <c r="P82" i="28"/>
  <c r="H9" i="14"/>
  <c r="J9" i="14" s="1"/>
  <c r="I350" i="17"/>
  <c r="I15" i="10"/>
  <c r="J15" i="10" s="1"/>
  <c r="I239" i="17"/>
  <c r="H10" i="14"/>
  <c r="J10" i="14" s="1"/>
  <c r="I351" i="17"/>
  <c r="H27" i="14"/>
  <c r="I27" i="14" s="1"/>
  <c r="I368" i="17"/>
  <c r="I55" i="20"/>
  <c r="I454" i="17"/>
  <c r="H16" i="14"/>
  <c r="I16" i="14" s="1"/>
  <c r="I357" i="17"/>
  <c r="J43" i="9"/>
  <c r="K43" i="9" s="1"/>
  <c r="I147" i="17"/>
  <c r="P40" i="28"/>
  <c r="H13" i="19"/>
  <c r="I13" i="19" s="1"/>
  <c r="I382" i="17"/>
  <c r="I455" i="17"/>
  <c r="I56" i="20"/>
  <c r="M82" i="28"/>
  <c r="H13" i="14"/>
  <c r="J13" i="14" s="1"/>
  <c r="I354" i="17"/>
  <c r="O82" i="28"/>
  <c r="H5" i="14"/>
  <c r="I5" i="14" s="1"/>
  <c r="I346" i="17"/>
  <c r="J5" i="9"/>
  <c r="K5" i="9" s="1"/>
  <c r="I109" i="17"/>
  <c r="H20" i="14"/>
  <c r="I20" i="14" s="1"/>
  <c r="I361" i="17"/>
  <c r="J16" i="12"/>
  <c r="K16" i="12"/>
  <c r="I26" i="10"/>
  <c r="K26" i="10" s="1"/>
  <c r="I250" i="17"/>
  <c r="H12" i="14"/>
  <c r="J12" i="14" s="1"/>
  <c r="I353" i="17"/>
  <c r="J3" i="9"/>
  <c r="K3" i="9" s="1"/>
  <c r="I107" i="17"/>
  <c r="I16" i="10"/>
  <c r="K16" i="10" s="1"/>
  <c r="I240" i="17"/>
  <c r="H25" i="14"/>
  <c r="J25" i="14" s="1"/>
  <c r="I366" i="17"/>
  <c r="H26" i="14"/>
  <c r="I26" i="14" s="1"/>
  <c r="I367" i="17"/>
  <c r="O40" i="28"/>
  <c r="I8" i="15"/>
  <c r="J8" i="15" s="1"/>
  <c r="I324" i="17"/>
  <c r="H17" i="14"/>
  <c r="I17" i="14" s="1"/>
  <c r="I358" i="17"/>
  <c r="I31" i="12"/>
  <c r="I50" i="17"/>
  <c r="N40" i="28"/>
  <c r="I7" i="15"/>
  <c r="J7" i="15" s="1"/>
  <c r="I323" i="17"/>
  <c r="H6" i="14"/>
  <c r="I6" i="14" s="1"/>
  <c r="I347" i="17"/>
  <c r="I28" i="12"/>
  <c r="J28" i="12" s="1"/>
  <c r="I47" i="17"/>
  <c r="J22" i="9"/>
  <c r="K22" i="9" s="1"/>
  <c r="I126" i="17"/>
  <c r="Q244" i="2"/>
  <c r="AB244" i="2" s="1"/>
  <c r="I19" i="15"/>
  <c r="K19" i="15" s="1"/>
  <c r="I335" i="17"/>
  <c r="H18" i="14"/>
  <c r="J18" i="14" s="1"/>
  <c r="I359" i="17"/>
  <c r="H21" i="19"/>
  <c r="I21" i="19" s="1"/>
  <c r="I390" i="17"/>
  <c r="I73" i="17"/>
  <c r="I54" i="12"/>
  <c r="I55" i="12"/>
  <c r="I74" i="17"/>
  <c r="I27" i="12"/>
  <c r="I46" i="17"/>
  <c r="Y31" i="20"/>
  <c r="Q252" i="2"/>
  <c r="AB252" i="2" s="1"/>
  <c r="Q248" i="2"/>
  <c r="AB248" i="2" s="1"/>
  <c r="Q249" i="2"/>
  <c r="AB249" i="2" s="1"/>
  <c r="AP442" i="6"/>
  <c r="W452" i="6"/>
  <c r="I54" i="20"/>
  <c r="I7" i="20"/>
  <c r="I21" i="20"/>
  <c r="I35" i="20"/>
  <c r="H19" i="14"/>
  <c r="CL258" i="2"/>
  <c r="CN295" i="2"/>
  <c r="CL266" i="2"/>
  <c r="CO295" i="2"/>
  <c r="CI295" i="2"/>
  <c r="P249" i="2"/>
  <c r="AA249" i="2" s="1"/>
  <c r="P250" i="2"/>
  <c r="AA250" i="2" s="1"/>
  <c r="P252" i="2"/>
  <c r="AA252" i="2" s="1"/>
  <c r="P247" i="2"/>
  <c r="AA247" i="2" s="1"/>
  <c r="P251" i="2"/>
  <c r="AA251" i="2" s="1"/>
  <c r="P248" i="2"/>
  <c r="AA248" i="2" s="1"/>
  <c r="CL271" i="2"/>
  <c r="O244" i="2"/>
  <c r="Z244" i="2" s="1"/>
  <c r="BY197" i="2"/>
  <c r="BX197" i="2" s="1"/>
  <c r="CI275" i="2"/>
  <c r="X301" i="6"/>
  <c r="AA41" i="8" s="1"/>
  <c r="CI266" i="2"/>
  <c r="CL275" i="2"/>
  <c r="CK271" i="2"/>
  <c r="CK266" i="2"/>
  <c r="CK275" i="2"/>
  <c r="CJ271" i="2"/>
  <c r="CI271" i="2"/>
  <c r="CJ275" i="2"/>
  <c r="CK258" i="2"/>
  <c r="CM275" i="2"/>
  <c r="CM271" i="2"/>
  <c r="CM258" i="2"/>
  <c r="CM266" i="2"/>
  <c r="CJ258" i="2"/>
  <c r="CJ266" i="2"/>
  <c r="CI258" i="2"/>
  <c r="R248" i="2"/>
  <c r="AC248" i="2" s="1"/>
  <c r="R250" i="2"/>
  <c r="AC250" i="2" s="1"/>
  <c r="R249" i="2"/>
  <c r="AC249" i="2" s="1"/>
  <c r="R246" i="2"/>
  <c r="AC246" i="2" s="1"/>
  <c r="R247" i="2"/>
  <c r="AC247" i="2" s="1"/>
  <c r="R252" i="2"/>
  <c r="AC252" i="2" s="1"/>
  <c r="R251" i="2"/>
  <c r="AC251" i="2" s="1"/>
  <c r="K25" i="21"/>
  <c r="R244" i="2"/>
  <c r="AC244" i="2" s="1"/>
  <c r="W227" i="6"/>
  <c r="W230" i="6"/>
  <c r="Y5" i="10" s="1"/>
  <c r="K42" i="21"/>
  <c r="J205" i="2"/>
  <c r="I190" i="17" s="1"/>
  <c r="X202" i="6"/>
  <c r="AA50" i="21" s="1"/>
  <c r="X209" i="6"/>
  <c r="AA57" i="21" s="1"/>
  <c r="J215" i="2"/>
  <c r="I200" i="17" s="1"/>
  <c r="AV190" i="2"/>
  <c r="AV187" i="2"/>
  <c r="AP227" i="2"/>
  <c r="AQ227" i="2"/>
  <c r="AR227" i="2"/>
  <c r="AT227" i="2"/>
  <c r="AY227" i="2"/>
  <c r="AW211" i="2"/>
  <c r="AY187" i="2"/>
  <c r="AP187" i="2"/>
  <c r="AQ187" i="2"/>
  <c r="AR187" i="2"/>
  <c r="AT187" i="2"/>
  <c r="AX187" i="2"/>
  <c r="AU187" i="2"/>
  <c r="AW227" i="2"/>
  <c r="AV227" i="2"/>
  <c r="AW190" i="2"/>
  <c r="AX227" i="2"/>
  <c r="AY190" i="2"/>
  <c r="AP190" i="2"/>
  <c r="AQ190" i="2"/>
  <c r="AR190" i="2"/>
  <c r="AT190" i="2"/>
  <c r="AU190" i="2"/>
  <c r="AX190" i="2"/>
  <c r="AU227" i="2"/>
  <c r="AW187" i="2"/>
  <c r="AS180" i="6"/>
  <c r="X194" i="6"/>
  <c r="AA42" i="21" s="1"/>
  <c r="AX211" i="2"/>
  <c r="AP211" i="2"/>
  <c r="AQ211" i="2"/>
  <c r="AY211" i="2"/>
  <c r="AR211" i="2"/>
  <c r="AT211" i="2"/>
  <c r="AU211" i="2"/>
  <c r="AS184" i="6"/>
  <c r="X196" i="6"/>
  <c r="AA44" i="21" s="1"/>
  <c r="X195" i="6"/>
  <c r="AV211" i="2"/>
  <c r="J195" i="2"/>
  <c r="I180" i="17" s="1"/>
  <c r="W185" i="6"/>
  <c r="Z33" i="21" s="1"/>
  <c r="W194" i="6"/>
  <c r="W183" i="6"/>
  <c r="Z31" i="21" s="1"/>
  <c r="P55" i="2"/>
  <c r="AA55" i="2" s="1"/>
  <c r="AK55" i="2" s="1"/>
  <c r="P56" i="2"/>
  <c r="AA56" i="2" s="1"/>
  <c r="AK56" i="2" s="1"/>
  <c r="P57" i="2"/>
  <c r="AA57" i="2" s="1"/>
  <c r="AK57" i="2" s="1"/>
  <c r="S58" i="2"/>
  <c r="AD58" i="2" s="1"/>
  <c r="AN58" i="2" s="1"/>
  <c r="CC54" i="2"/>
  <c r="Q58" i="2" s="1"/>
  <c r="AB58" i="2" s="1"/>
  <c r="AL58" i="2" s="1"/>
  <c r="J63" i="2"/>
  <c r="I48" i="17" s="1"/>
  <c r="I59" i="12"/>
  <c r="I6" i="12"/>
  <c r="I3" i="12"/>
  <c r="I13" i="12"/>
  <c r="I12" i="12"/>
  <c r="I15" i="12"/>
  <c r="I37" i="12"/>
  <c r="I11" i="12"/>
  <c r="J2" i="12"/>
  <c r="K2" i="12"/>
  <c r="I60" i="12"/>
  <c r="I30" i="12"/>
  <c r="I14" i="12"/>
  <c r="I10" i="12"/>
  <c r="Q55" i="2"/>
  <c r="AB55" i="2" s="1"/>
  <c r="AL55" i="2" s="1"/>
  <c r="R55" i="2"/>
  <c r="AC55" i="2" s="1"/>
  <c r="AM55" i="2" s="1"/>
  <c r="S55" i="2"/>
  <c r="AD55" i="2" s="1"/>
  <c r="AN55" i="2" s="1"/>
  <c r="Q56" i="2"/>
  <c r="AB56" i="2" s="1"/>
  <c r="AL56" i="2" s="1"/>
  <c r="R56" i="2"/>
  <c r="AC56" i="2" s="1"/>
  <c r="AM56" i="2" s="1"/>
  <c r="S56" i="2"/>
  <c r="AD56" i="2" s="1"/>
  <c r="AN56" i="2" s="1"/>
  <c r="Q57" i="2"/>
  <c r="AB57" i="2" s="1"/>
  <c r="AL57" i="2" s="1"/>
  <c r="R57" i="2"/>
  <c r="AC57" i="2" s="1"/>
  <c r="AM57" i="2" s="1"/>
  <c r="S57" i="2"/>
  <c r="AD57" i="2" s="1"/>
  <c r="AN57" i="2" s="1"/>
  <c r="O55" i="2"/>
  <c r="Z55" i="2" s="1"/>
  <c r="AJ55" i="2" s="1"/>
  <c r="O56" i="2"/>
  <c r="Z56" i="2" s="1"/>
  <c r="AJ56" i="2" s="1"/>
  <c r="O57" i="2"/>
  <c r="Z57" i="2" s="1"/>
  <c r="AJ57" i="2" s="1"/>
  <c r="BX94" i="2"/>
  <c r="BX95" i="2" s="1"/>
  <c r="BL91" i="2" s="1"/>
  <c r="AJ91" i="2" s="1"/>
  <c r="BT94" i="2"/>
  <c r="BT95" i="2" s="1"/>
  <c r="BH91" i="2" s="1"/>
  <c r="AF91" i="2" s="1"/>
  <c r="BY94" i="2"/>
  <c r="BY95" i="2" s="1"/>
  <c r="BM91" i="2" s="1"/>
  <c r="AK91" i="2" s="1"/>
  <c r="BW94" i="2"/>
  <c r="BW95" i="2" s="1"/>
  <c r="BK91" i="2" s="1"/>
  <c r="AI91" i="2" s="1"/>
  <c r="CB94" i="2"/>
  <c r="CB95" i="2" s="1"/>
  <c r="BP91" i="2" s="1"/>
  <c r="AN91" i="2" s="1"/>
  <c r="BZ94" i="2"/>
  <c r="BZ95" i="2" s="1"/>
  <c r="BN91" i="2" s="1"/>
  <c r="AL91" i="2" s="1"/>
  <c r="CA94" i="2"/>
  <c r="CA95" i="2" s="1"/>
  <c r="BO91" i="2" s="1"/>
  <c r="AM91" i="2" s="1"/>
  <c r="J67" i="2"/>
  <c r="J66" i="2"/>
  <c r="I51" i="17" s="1"/>
  <c r="W190" i="6"/>
  <c r="Z38" i="21" s="1"/>
  <c r="W75" i="6"/>
  <c r="Y55" i="12" s="1"/>
  <c r="W72" i="6"/>
  <c r="Y52" i="12" s="1"/>
  <c r="W65" i="6"/>
  <c r="Y45" i="12" s="1"/>
  <c r="W74" i="6"/>
  <c r="Y54" i="12" s="1"/>
  <c r="AP53" i="6"/>
  <c r="W67" i="6"/>
  <c r="Y47" i="12" s="1"/>
  <c r="AP38" i="6"/>
  <c r="J401" i="2"/>
  <c r="I386" i="17" s="1"/>
  <c r="AP362" i="6"/>
  <c r="W365" i="6"/>
  <c r="X23" i="14" s="1"/>
  <c r="AR287" i="6"/>
  <c r="CM291" i="2"/>
  <c r="BP315" i="2" s="1"/>
  <c r="AN315" i="2" s="1"/>
  <c r="CE291" i="2"/>
  <c r="BH315" i="2" s="1"/>
  <c r="AF315" i="2" s="1"/>
  <c r="Z243" i="2"/>
  <c r="AA293" i="2"/>
  <c r="N50" i="28" s="1"/>
  <c r="W256" i="6"/>
  <c r="Y31" i="10" s="1"/>
  <c r="AP57" i="6"/>
  <c r="W203" i="6"/>
  <c r="Z51" i="21" s="1"/>
  <c r="W69" i="6"/>
  <c r="Y49" i="12" s="1"/>
  <c r="W189" i="6"/>
  <c r="Z37" i="21" s="1"/>
  <c r="W191" i="6"/>
  <c r="Z39" i="21" s="1"/>
  <c r="W192" i="6"/>
  <c r="Z40" i="21" s="1"/>
  <c r="W188" i="6"/>
  <c r="Z36" i="21" s="1"/>
  <c r="Q245" i="2"/>
  <c r="AB245" i="2" s="1"/>
  <c r="Q242" i="2"/>
  <c r="AB242" i="2" s="1"/>
  <c r="AP32" i="6"/>
  <c r="Q256" i="2"/>
  <c r="AB256" i="2" s="1"/>
  <c r="Q272" i="2"/>
  <c r="AB272" i="2" s="1"/>
  <c r="Q263" i="2"/>
  <c r="Q264" i="2"/>
  <c r="AB264" i="2" s="1"/>
  <c r="BT197" i="2"/>
  <c r="K216" i="2"/>
  <c r="R268" i="2"/>
  <c r="AC268" i="2" s="1"/>
  <c r="BY77" i="2"/>
  <c r="W66" i="6"/>
  <c r="Y46" i="12" s="1"/>
  <c r="W76" i="6"/>
  <c r="Y56" i="12" s="1"/>
  <c r="BU77" i="2"/>
  <c r="BW77" i="2"/>
  <c r="CC77" i="2"/>
  <c r="BT77" i="2"/>
  <c r="BX77" i="2"/>
  <c r="BZ77" i="2"/>
  <c r="CA77" i="2"/>
  <c r="CB77" i="2"/>
  <c r="Z59" i="2"/>
  <c r="AJ59" i="2" s="1"/>
  <c r="AD59" i="2"/>
  <c r="AN59" i="2" s="1"/>
  <c r="AB59" i="2"/>
  <c r="AL59" i="2" s="1"/>
  <c r="AC59" i="2"/>
  <c r="AM59" i="2" s="1"/>
  <c r="CB46" i="2"/>
  <c r="BX84" i="2"/>
  <c r="BL85" i="2" s="1"/>
  <c r="AJ85" i="2" s="1"/>
  <c r="BV84" i="2"/>
  <c r="BJ85" i="2" s="1"/>
  <c r="AH85" i="2" s="1"/>
  <c r="BY84" i="2"/>
  <c r="BM85" i="2" s="1"/>
  <c r="AK85" i="2" s="1"/>
  <c r="BT84" i="2"/>
  <c r="BH85" i="2" s="1"/>
  <c r="AF85" i="2" s="1"/>
  <c r="CA84" i="2"/>
  <c r="BO85" i="2" s="1"/>
  <c r="AM85" i="2" s="1"/>
  <c r="CC84" i="2"/>
  <c r="BQ85" i="2" s="1"/>
  <c r="AO85" i="2" s="1"/>
  <c r="BU84" i="2"/>
  <c r="BI85" i="2" s="1"/>
  <c r="AG85" i="2" s="1"/>
  <c r="CB84" i="2"/>
  <c r="BP85" i="2" s="1"/>
  <c r="AN85" i="2" s="1"/>
  <c r="BZ84" i="2"/>
  <c r="BN85" i="2" s="1"/>
  <c r="AL85" i="2" s="1"/>
  <c r="AP42" i="6"/>
  <c r="Q268" i="2"/>
  <c r="AB268" i="2" s="1"/>
  <c r="Q270" i="2"/>
  <c r="AB270" i="2" s="1"/>
  <c r="W184" i="6"/>
  <c r="Z32" i="21" s="1"/>
  <c r="AU64" i="6"/>
  <c r="AU65" i="6" s="1"/>
  <c r="AS64" i="6"/>
  <c r="AS65" i="6" s="1"/>
  <c r="AV64" i="6"/>
  <c r="AV65" i="6" s="1"/>
  <c r="AP172" i="6"/>
  <c r="AP28" i="6"/>
  <c r="AP249" i="6"/>
  <c r="AP192" i="6"/>
  <c r="W451" i="6"/>
  <c r="AP30" i="6"/>
  <c r="W447" i="6"/>
  <c r="AP167" i="6"/>
  <c r="BY46" i="2"/>
  <c r="BX46" i="2"/>
  <c r="BZ46" i="2"/>
  <c r="CA46" i="2"/>
  <c r="R245" i="2"/>
  <c r="AC245" i="2" s="1"/>
  <c r="S263" i="2"/>
  <c r="R272" i="2"/>
  <c r="AC272" i="2" s="1"/>
  <c r="R263" i="2"/>
  <c r="R242" i="2"/>
  <c r="AC242" i="2" s="1"/>
  <c r="R253" i="2"/>
  <c r="AC253" i="2" s="1"/>
  <c r="R273" i="2"/>
  <c r="AC273" i="2" s="1"/>
  <c r="R264" i="2"/>
  <c r="AC264" i="2" s="1"/>
  <c r="R243" i="2"/>
  <c r="AC243" i="2" s="1"/>
  <c r="O270" i="2"/>
  <c r="Z270" i="2" s="1"/>
  <c r="P270" i="2"/>
  <c r="AA270" i="2" s="1"/>
  <c r="AP163" i="6"/>
  <c r="AP176" i="6"/>
  <c r="S256" i="2"/>
  <c r="AD256" i="2" s="1"/>
  <c r="S264" i="2"/>
  <c r="AD264" i="2" s="1"/>
  <c r="S272" i="2"/>
  <c r="AD272" i="2" s="1"/>
  <c r="BW70" i="2"/>
  <c r="BZ70" i="2"/>
  <c r="I21" i="17"/>
  <c r="P253" i="2"/>
  <c r="AA253" i="2" s="1"/>
  <c r="BY70" i="2"/>
  <c r="P273" i="2"/>
  <c r="AA273" i="2" s="1"/>
  <c r="Q253" i="2"/>
  <c r="AB253" i="2" s="1"/>
  <c r="Q273" i="2"/>
  <c r="AB273" i="2" s="1"/>
  <c r="BX70" i="2"/>
  <c r="BT70" i="2"/>
  <c r="BV70" i="2"/>
  <c r="AP63" i="6"/>
  <c r="W77" i="6"/>
  <c r="Y57" i="12" s="1"/>
  <c r="CA70" i="2"/>
  <c r="AR63" i="6"/>
  <c r="X77" i="6"/>
  <c r="Z57" i="12" s="1"/>
  <c r="P267" i="2"/>
  <c r="AA267" i="2" s="1"/>
  <c r="Q267" i="2"/>
  <c r="AB267" i="2" s="1"/>
  <c r="P245" i="2"/>
  <c r="AA245" i="2" s="1"/>
  <c r="Q243" i="2"/>
  <c r="AB243" i="2" s="1"/>
  <c r="P263" i="2"/>
  <c r="P256" i="2"/>
  <c r="AA256" i="2" s="1"/>
  <c r="P264" i="2"/>
  <c r="AA264" i="2" s="1"/>
  <c r="P272" i="2"/>
  <c r="AA272" i="2" s="1"/>
  <c r="P243" i="2"/>
  <c r="AA243" i="2" s="1"/>
  <c r="AP287" i="6"/>
  <c r="X73" i="6"/>
  <c r="Z53" i="12" s="1"/>
  <c r="AR40" i="6"/>
  <c r="O263" i="2"/>
  <c r="O264" i="2"/>
  <c r="Z264" i="2" s="1"/>
  <c r="O272" i="2"/>
  <c r="Z272" i="2" s="1"/>
  <c r="O256" i="2"/>
  <c r="Z256" i="2" s="1"/>
  <c r="AP49" i="6"/>
  <c r="W62" i="6"/>
  <c r="Y42" i="12" s="1"/>
  <c r="O242" i="2"/>
  <c r="Z242" i="2" s="1"/>
  <c r="O245" i="2"/>
  <c r="Z245" i="2" s="1"/>
  <c r="AR49" i="6"/>
  <c r="X62" i="6"/>
  <c r="Z42" i="12" s="1"/>
  <c r="AP40" i="6"/>
  <c r="W73" i="6"/>
  <c r="Y53" i="12" s="1"/>
  <c r="W228" i="6"/>
  <c r="AP231" i="6"/>
  <c r="W229" i="6"/>
  <c r="W231" i="6"/>
  <c r="Y6" i="10" s="1"/>
  <c r="BY222" i="2"/>
  <c r="M216" i="2" s="1"/>
  <c r="T216" i="2"/>
  <c r="S216" i="2"/>
  <c r="Z263" i="2" l="1"/>
  <c r="O23" i="2"/>
  <c r="AA263" i="2"/>
  <c r="AA23" i="2" s="1"/>
  <c r="P23" i="2"/>
  <c r="AC263" i="2"/>
  <c r="AC23" i="2" s="1"/>
  <c r="R23" i="2"/>
  <c r="AD263" i="2"/>
  <c r="AD23" i="2" s="1"/>
  <c r="S23" i="2"/>
  <c r="AB263" i="2"/>
  <c r="AB23" i="2" s="1"/>
  <c r="Q23" i="2"/>
  <c r="H64" i="28"/>
  <c r="I292" i="17"/>
  <c r="I283" i="17"/>
  <c r="J7" i="8"/>
  <c r="H56" i="28"/>
  <c r="H55" i="28"/>
  <c r="I284" i="17"/>
  <c r="H84" i="28"/>
  <c r="I312" i="17"/>
  <c r="J28" i="8"/>
  <c r="L28" i="8" s="1"/>
  <c r="H62" i="28"/>
  <c r="I266" i="17"/>
  <c r="H57" i="28"/>
  <c r="I285" i="17"/>
  <c r="H51" i="28"/>
  <c r="H70" i="28"/>
  <c r="H79" i="28"/>
  <c r="I286" i="17"/>
  <c r="J14" i="14"/>
  <c r="J18" i="10"/>
  <c r="H58" i="28"/>
  <c r="I301" i="17"/>
  <c r="H63" i="28"/>
  <c r="J13" i="19"/>
  <c r="H78" i="28"/>
  <c r="L25" i="8"/>
  <c r="J55" i="8"/>
  <c r="K55" i="8" s="1"/>
  <c r="H53" i="28"/>
  <c r="K24" i="8"/>
  <c r="I281" i="17"/>
  <c r="J36" i="12"/>
  <c r="I298" i="17"/>
  <c r="I307" i="17"/>
  <c r="I4" i="14"/>
  <c r="K8" i="15"/>
  <c r="J16" i="14"/>
  <c r="H65" i="28"/>
  <c r="J21" i="19"/>
  <c r="I263" i="17"/>
  <c r="J52" i="8"/>
  <c r="K52" i="8" s="1"/>
  <c r="H76" i="28"/>
  <c r="I304" i="17"/>
  <c r="J5" i="14"/>
  <c r="H37" i="28"/>
  <c r="J21" i="8"/>
  <c r="L21" i="8" s="1"/>
  <c r="L8" i="9"/>
  <c r="I12" i="14"/>
  <c r="H59" i="28"/>
  <c r="K23" i="10"/>
  <c r="I9" i="14"/>
  <c r="J36" i="8"/>
  <c r="K36" i="8" s="1"/>
  <c r="H73" i="28"/>
  <c r="I280" i="17"/>
  <c r="K19" i="10"/>
  <c r="I291" i="17"/>
  <c r="J4" i="8"/>
  <c r="K30" i="8"/>
  <c r="L30" i="8"/>
  <c r="L22" i="8"/>
  <c r="K22" i="8"/>
  <c r="I262" i="17"/>
  <c r="AX55" i="2"/>
  <c r="AU283" i="2"/>
  <c r="H61" i="28"/>
  <c r="H77" i="28"/>
  <c r="I289" i="17"/>
  <c r="I306" i="17"/>
  <c r="H87" i="28"/>
  <c r="I299" i="17"/>
  <c r="I265" i="17"/>
  <c r="L6" i="9"/>
  <c r="I8" i="14"/>
  <c r="I314" i="17"/>
  <c r="J40" i="8"/>
  <c r="L40" i="8" s="1"/>
  <c r="I311" i="17"/>
  <c r="H39" i="28"/>
  <c r="I13" i="14"/>
  <c r="J7" i="14"/>
  <c r="I315" i="17"/>
  <c r="K45" i="8"/>
  <c r="L5" i="9"/>
  <c r="I267" i="17"/>
  <c r="K47" i="8"/>
  <c r="L47" i="8"/>
  <c r="K50" i="8"/>
  <c r="L50" i="8"/>
  <c r="K56" i="8"/>
  <c r="L56" i="8"/>
  <c r="L54" i="8"/>
  <c r="K54" i="8"/>
  <c r="K34" i="8"/>
  <c r="L34" i="8"/>
  <c r="L39" i="8"/>
  <c r="K39" i="8"/>
  <c r="J46" i="8"/>
  <c r="I10" i="14"/>
  <c r="AX283" i="2"/>
  <c r="J22" i="14"/>
  <c r="I288" i="17"/>
  <c r="L32" i="8"/>
  <c r="J10" i="15"/>
  <c r="H60" i="28"/>
  <c r="I308" i="17"/>
  <c r="L4" i="9"/>
  <c r="L53" i="8"/>
  <c r="J6" i="15"/>
  <c r="J17" i="14"/>
  <c r="J21" i="14"/>
  <c r="AW325" i="2"/>
  <c r="AX325" i="2"/>
  <c r="H80" i="28"/>
  <c r="L33" i="8"/>
  <c r="AV283" i="2"/>
  <c r="H81" i="28"/>
  <c r="L7" i="9"/>
  <c r="J30" i="10"/>
  <c r="J19" i="15"/>
  <c r="I293" i="17"/>
  <c r="I309" i="17"/>
  <c r="L43" i="9"/>
  <c r="J27" i="10"/>
  <c r="L48" i="8"/>
  <c r="K5" i="8"/>
  <c r="K7" i="15"/>
  <c r="J27" i="14"/>
  <c r="J24" i="14"/>
  <c r="J31" i="8"/>
  <c r="H67" i="28"/>
  <c r="I313" i="17"/>
  <c r="J21" i="10"/>
  <c r="L3" i="9"/>
  <c r="J22" i="10"/>
  <c r="J26" i="10"/>
  <c r="K42" i="8"/>
  <c r="K20" i="8"/>
  <c r="AV325" i="2"/>
  <c r="H85" i="28"/>
  <c r="AP283" i="2"/>
  <c r="J20" i="10"/>
  <c r="J52" i="20"/>
  <c r="K52" i="20"/>
  <c r="L27" i="9"/>
  <c r="AU55" i="2"/>
  <c r="L21" i="9"/>
  <c r="AV55" i="2"/>
  <c r="L22" i="9"/>
  <c r="J32" i="10"/>
  <c r="AQ325" i="2"/>
  <c r="AW283" i="2"/>
  <c r="AT325" i="2"/>
  <c r="L44" i="9"/>
  <c r="I18" i="14"/>
  <c r="Y56" i="20"/>
  <c r="I33" i="12"/>
  <c r="K33" i="12" s="1"/>
  <c r="I52" i="17"/>
  <c r="AR325" i="2"/>
  <c r="J11" i="14"/>
  <c r="K55" i="20"/>
  <c r="J55" i="20"/>
  <c r="AW55" i="2"/>
  <c r="K23" i="16"/>
  <c r="K26" i="8"/>
  <c r="K49" i="8"/>
  <c r="K28" i="12"/>
  <c r="AY283" i="2"/>
  <c r="L27" i="8"/>
  <c r="J15" i="14"/>
  <c r="J23" i="14"/>
  <c r="J26" i="14"/>
  <c r="J31" i="12"/>
  <c r="K31" i="12"/>
  <c r="J22" i="20"/>
  <c r="K22" i="20"/>
  <c r="J58" i="12"/>
  <c r="L8" i="8"/>
  <c r="K56" i="20"/>
  <c r="J56" i="20"/>
  <c r="AP325" i="2"/>
  <c r="J6" i="14"/>
  <c r="K39" i="20"/>
  <c r="J39" i="20"/>
  <c r="AU325" i="2"/>
  <c r="AY325" i="2"/>
  <c r="K57" i="21"/>
  <c r="AR283" i="2"/>
  <c r="Y52" i="20"/>
  <c r="L11" i="21"/>
  <c r="J16" i="10"/>
  <c r="K15" i="10"/>
  <c r="AT283" i="2"/>
  <c r="L29" i="8"/>
  <c r="L6" i="8"/>
  <c r="J9" i="15"/>
  <c r="J20" i="14"/>
  <c r="I25" i="14"/>
  <c r="AQ283" i="2"/>
  <c r="AT55" i="2"/>
  <c r="AS55" i="2"/>
  <c r="AY55" i="2"/>
  <c r="AP55" i="2"/>
  <c r="AR55" i="2"/>
  <c r="AQ55" i="2"/>
  <c r="K55" i="12"/>
  <c r="J55" i="12"/>
  <c r="K54" i="12"/>
  <c r="J54" i="12"/>
  <c r="K27" i="12"/>
  <c r="J27" i="12"/>
  <c r="Y47" i="20"/>
  <c r="Y51" i="20"/>
  <c r="J54" i="20"/>
  <c r="K54" i="20"/>
  <c r="J35" i="20"/>
  <c r="K35" i="20"/>
  <c r="J21" i="20"/>
  <c r="K21" i="20"/>
  <c r="K7" i="20"/>
  <c r="J7" i="20"/>
  <c r="H17" i="19"/>
  <c r="J19" i="14"/>
  <c r="I19" i="14"/>
  <c r="CB201" i="2"/>
  <c r="S209" i="2" s="1"/>
  <c r="AD209" i="2" s="1"/>
  <c r="CA197" i="2"/>
  <c r="BX201" i="2" s="1"/>
  <c r="O210" i="2" s="1"/>
  <c r="Z210" i="2" s="1"/>
  <c r="W18" i="6"/>
  <c r="Y4" i="10"/>
  <c r="O58" i="2"/>
  <c r="Z58" i="2" s="1"/>
  <c r="AJ58" i="2" s="1"/>
  <c r="BT201" i="2"/>
  <c r="K210" i="2" s="1"/>
  <c r="V210" i="2" s="1"/>
  <c r="BV201" i="2"/>
  <c r="BV202" i="2" s="1"/>
  <c r="BY201" i="2"/>
  <c r="BU201" i="2"/>
  <c r="BZ201" i="2"/>
  <c r="CC201" i="2"/>
  <c r="CA201" i="2"/>
  <c r="R58" i="2"/>
  <c r="AC58" i="2" s="1"/>
  <c r="AM58" i="2" s="1"/>
  <c r="J190" i="2"/>
  <c r="I175" i="17" s="1"/>
  <c r="J187" i="2"/>
  <c r="I172" i="17" s="1"/>
  <c r="J227" i="2"/>
  <c r="I212" i="17" s="1"/>
  <c r="AT172" i="6"/>
  <c r="AS172" i="6" s="1"/>
  <c r="AA43" i="21"/>
  <c r="X18" i="6"/>
  <c r="Z42" i="21"/>
  <c r="J211" i="2"/>
  <c r="I196" i="17" s="1"/>
  <c r="P58" i="2"/>
  <c r="AA58" i="2" s="1"/>
  <c r="AK58" i="2" s="1"/>
  <c r="J149" i="2"/>
  <c r="J34" i="9"/>
  <c r="J41" i="9"/>
  <c r="J29" i="9"/>
  <c r="I29" i="12"/>
  <c r="K29" i="12" s="1"/>
  <c r="J37" i="12"/>
  <c r="K37" i="12"/>
  <c r="K30" i="12"/>
  <c r="J30" i="12"/>
  <c r="J60" i="12"/>
  <c r="K60" i="12"/>
  <c r="J6" i="12"/>
  <c r="K6" i="12"/>
  <c r="J12" i="12"/>
  <c r="K12" i="12"/>
  <c r="K14" i="12"/>
  <c r="J14" i="12"/>
  <c r="J59" i="12"/>
  <c r="K59" i="12"/>
  <c r="I32" i="12"/>
  <c r="J3" i="12"/>
  <c r="K3" i="12"/>
  <c r="K10" i="12"/>
  <c r="J10" i="12"/>
  <c r="K11" i="12"/>
  <c r="J11" i="12"/>
  <c r="J15" i="12"/>
  <c r="K15" i="12"/>
  <c r="K13" i="12"/>
  <c r="J13" i="12"/>
  <c r="AR59" i="2"/>
  <c r="J80" i="2"/>
  <c r="I65" i="17" s="1"/>
  <c r="J83" i="2"/>
  <c r="I68" i="17" s="1"/>
  <c r="J60" i="2"/>
  <c r="I45" i="17" s="1"/>
  <c r="J54" i="2"/>
  <c r="I39" i="17" s="1"/>
  <c r="J76" i="2"/>
  <c r="I61" i="17" s="1"/>
  <c r="J79" i="2"/>
  <c r="I64" i="17" s="1"/>
  <c r="J52" i="2"/>
  <c r="I37" i="17" s="1"/>
  <c r="J87" i="2"/>
  <c r="I72" i="17" s="1"/>
  <c r="J75" i="2"/>
  <c r="I60" i="17" s="1"/>
  <c r="J68" i="2"/>
  <c r="I53" i="17" s="1"/>
  <c r="J77" i="2"/>
  <c r="I62" i="17" s="1"/>
  <c r="J53" i="2"/>
  <c r="I38" i="17" s="1"/>
  <c r="J82" i="2"/>
  <c r="I67" i="17" s="1"/>
  <c r="J43" i="2"/>
  <c r="J84" i="2"/>
  <c r="I69" i="17" s="1"/>
  <c r="J42" i="2"/>
  <c r="I27" i="17" s="1"/>
  <c r="J39" i="2"/>
  <c r="J74" i="2"/>
  <c r="I59" i="17" s="1"/>
  <c r="J72" i="2"/>
  <c r="I57" i="17" s="1"/>
  <c r="J38" i="2"/>
  <c r="I23" i="17" s="1"/>
  <c r="J69" i="2"/>
  <c r="I54" i="17" s="1"/>
  <c r="J81" i="2"/>
  <c r="I66" i="17" s="1"/>
  <c r="J51" i="2"/>
  <c r="I36" i="17" s="1"/>
  <c r="J41" i="2"/>
  <c r="I26" i="17" s="1"/>
  <c r="J78" i="2"/>
  <c r="I63" i="17" s="1"/>
  <c r="J73" i="2"/>
  <c r="I58" i="17" s="1"/>
  <c r="J86" i="2"/>
  <c r="I71" i="17" s="1"/>
  <c r="J90" i="2"/>
  <c r="I75" i="17" s="1"/>
  <c r="O216" i="2"/>
  <c r="L216" i="2"/>
  <c r="W216" i="2" s="1"/>
  <c r="AG216" i="2" s="1"/>
  <c r="AT169" i="6"/>
  <c r="X189" i="6" s="1"/>
  <c r="AA37" i="21" s="1"/>
  <c r="R216" i="2"/>
  <c r="AC216" i="2" s="1"/>
  <c r="AM216" i="2" s="1"/>
  <c r="N24" i="2"/>
  <c r="J155" i="2"/>
  <c r="I140" i="17" s="1"/>
  <c r="J145" i="2"/>
  <c r="I130" i="17" s="1"/>
  <c r="J131" i="2"/>
  <c r="I116" i="17" s="1"/>
  <c r="CM247" i="2"/>
  <c r="CN251" i="2"/>
  <c r="CK262" i="2"/>
  <c r="AZ65" i="6"/>
  <c r="AY65" i="6" s="1"/>
  <c r="CA47" i="2"/>
  <c r="BZ47" i="2"/>
  <c r="BY47" i="2"/>
  <c r="CB47" i="2"/>
  <c r="CC47" i="2"/>
  <c r="BT47" i="2"/>
  <c r="BX47" i="2"/>
  <c r="T24" i="2"/>
  <c r="O53" i="34" s="1"/>
  <c r="Y2" i="10"/>
  <c r="Y3" i="10"/>
  <c r="AD216" i="2"/>
  <c r="AN216" i="2" s="1"/>
  <c r="P216" i="2"/>
  <c r="Q216" i="2"/>
  <c r="Z23" i="2" l="1"/>
  <c r="K7" i="8"/>
  <c r="L7" i="8"/>
  <c r="K28" i="8"/>
  <c r="L36" i="8"/>
  <c r="L55" i="8"/>
  <c r="K21" i="8"/>
  <c r="L52" i="8"/>
  <c r="L4" i="8"/>
  <c r="K4" i="8"/>
  <c r="J283" i="2"/>
  <c r="I268" i="17" s="1"/>
  <c r="K40" i="8"/>
  <c r="L46" i="8"/>
  <c r="K46" i="8"/>
  <c r="AX58" i="2"/>
  <c r="K31" i="8"/>
  <c r="L31" i="8"/>
  <c r="J325" i="2"/>
  <c r="I310" i="17" s="1"/>
  <c r="J33" i="12"/>
  <c r="AV58" i="2"/>
  <c r="I5" i="12"/>
  <c r="K5" i="12" s="1"/>
  <c r="I24" i="17"/>
  <c r="I9" i="12"/>
  <c r="J9" i="12" s="1"/>
  <c r="I28" i="17"/>
  <c r="J30" i="9"/>
  <c r="L30" i="9" s="1"/>
  <c r="I134" i="17"/>
  <c r="J55" i="2"/>
  <c r="AW58" i="2"/>
  <c r="AU58" i="2"/>
  <c r="AT58" i="2"/>
  <c r="AS58" i="2"/>
  <c r="AP58" i="2"/>
  <c r="AQ58" i="2"/>
  <c r="AR58" i="2"/>
  <c r="AY58" i="2"/>
  <c r="AV85" i="2"/>
  <c r="BX202" i="2"/>
  <c r="O209" i="2"/>
  <c r="Z209" i="2" s="1"/>
  <c r="BT202" i="2"/>
  <c r="K209" i="2"/>
  <c r="V209" i="2" s="1"/>
  <c r="CB202" i="2"/>
  <c r="S210" i="2"/>
  <c r="AD210" i="2" s="1"/>
  <c r="I17" i="19"/>
  <c r="J17" i="19"/>
  <c r="M209" i="2"/>
  <c r="X209" i="2" s="1"/>
  <c r="M210" i="2"/>
  <c r="X210" i="2" s="1"/>
  <c r="BN243" i="2"/>
  <c r="AL243" i="2" s="1"/>
  <c r="BN244" i="2"/>
  <c r="AL244" i="2" s="1"/>
  <c r="BM245" i="2"/>
  <c r="AK245" i="2" s="1"/>
  <c r="BM242" i="2"/>
  <c r="AK242" i="2" s="1"/>
  <c r="BN267" i="2"/>
  <c r="AL267" i="2" s="1"/>
  <c r="BM272" i="2"/>
  <c r="AK272" i="2" s="1"/>
  <c r="BM256" i="2"/>
  <c r="AK256" i="2" s="1"/>
  <c r="BM263" i="2"/>
  <c r="AK263" i="2" s="1"/>
  <c r="BM264" i="2"/>
  <c r="AK264" i="2" s="1"/>
  <c r="BN268" i="2"/>
  <c r="AL268" i="2" s="1"/>
  <c r="BN270" i="2"/>
  <c r="AL270" i="2" s="1"/>
  <c r="AU91" i="2"/>
  <c r="AU85" i="2"/>
  <c r="X185" i="6"/>
  <c r="AA33" i="21" s="1"/>
  <c r="AW85" i="2"/>
  <c r="AT85" i="2"/>
  <c r="AW91" i="2"/>
  <c r="L209" i="2"/>
  <c r="W209" i="2" s="1"/>
  <c r="L210" i="2"/>
  <c r="W210" i="2" s="1"/>
  <c r="BU202" i="2"/>
  <c r="R209" i="2"/>
  <c r="AC209" i="2" s="1"/>
  <c r="R210" i="2"/>
  <c r="AC210" i="2" s="1"/>
  <c r="CA202" i="2"/>
  <c r="Q210" i="2"/>
  <c r="AB210" i="2" s="1"/>
  <c r="Q209" i="2"/>
  <c r="AB209" i="2" s="1"/>
  <c r="BZ202" i="2"/>
  <c r="T209" i="2"/>
  <c r="AE209" i="2" s="1"/>
  <c r="T210" i="2"/>
  <c r="AE210" i="2" s="1"/>
  <c r="CC202" i="2"/>
  <c r="P210" i="2"/>
  <c r="AA210" i="2" s="1"/>
  <c r="P209" i="2"/>
  <c r="AA209" i="2" s="1"/>
  <c r="BY202" i="2"/>
  <c r="AQ85" i="2"/>
  <c r="AE23" i="2"/>
  <c r="AE24" i="2" s="1"/>
  <c r="O54" i="34" s="1"/>
  <c r="AV91" i="2"/>
  <c r="AW56" i="2"/>
  <c r="AW57" i="2"/>
  <c r="AY59" i="2"/>
  <c r="AY85" i="2"/>
  <c r="AV59" i="2"/>
  <c r="AX59" i="2"/>
  <c r="AP59" i="2"/>
  <c r="AW59" i="2"/>
  <c r="AT59" i="2"/>
  <c r="AU59" i="2"/>
  <c r="AP91" i="2"/>
  <c r="AT91" i="2"/>
  <c r="AX91" i="2"/>
  <c r="AY91" i="2"/>
  <c r="AP85" i="2"/>
  <c r="AR85" i="2"/>
  <c r="AX85" i="2"/>
  <c r="AU56" i="2"/>
  <c r="AP56" i="2"/>
  <c r="AV56" i="2"/>
  <c r="AX56" i="2"/>
  <c r="AT56" i="2"/>
  <c r="AY56" i="2"/>
  <c r="AU57" i="2"/>
  <c r="AX57" i="2"/>
  <c r="AP57" i="2"/>
  <c r="AV57" i="2"/>
  <c r="AT57" i="2"/>
  <c r="AY57" i="2"/>
  <c r="J128" i="2"/>
  <c r="I113" i="17" s="1"/>
  <c r="J135" i="2"/>
  <c r="I120" i="17" s="1"/>
  <c r="J143" i="2"/>
  <c r="I128" i="17" s="1"/>
  <c r="J154" i="2"/>
  <c r="I139" i="17" s="1"/>
  <c r="J157" i="2"/>
  <c r="I142" i="17" s="1"/>
  <c r="J129" i="2"/>
  <c r="I114" i="17" s="1"/>
  <c r="J144" i="2"/>
  <c r="I129" i="17" s="1"/>
  <c r="J132" i="2"/>
  <c r="I117" i="17" s="1"/>
  <c r="J156" i="2"/>
  <c r="I141" i="17" s="1"/>
  <c r="J142" i="2"/>
  <c r="I127" i="17" s="1"/>
  <c r="J138" i="2"/>
  <c r="I123" i="17" s="1"/>
  <c r="J130" i="2"/>
  <c r="I115" i="17" s="1"/>
  <c r="J158" i="2"/>
  <c r="I143" i="17" s="1"/>
  <c r="J134" i="2"/>
  <c r="I119" i="17" s="1"/>
  <c r="J161" i="2"/>
  <c r="I146" i="17" s="1"/>
  <c r="J147" i="2"/>
  <c r="I132" i="17" s="1"/>
  <c r="J152" i="2"/>
  <c r="I137" i="17" s="1"/>
  <c r="J137" i="2"/>
  <c r="I122" i="17" s="1"/>
  <c r="J150" i="2"/>
  <c r="I135" i="17" s="1"/>
  <c r="J164" i="2"/>
  <c r="I149" i="17" s="1"/>
  <c r="J159" i="2"/>
  <c r="I144" i="17" s="1"/>
  <c r="J165" i="2"/>
  <c r="I150" i="17" s="1"/>
  <c r="J133" i="2"/>
  <c r="I118" i="17" s="1"/>
  <c r="J151" i="2"/>
  <c r="I136" i="17" s="1"/>
  <c r="J136" i="2"/>
  <c r="I121" i="17" s="1"/>
  <c r="J139" i="2"/>
  <c r="I124" i="17" s="1"/>
  <c r="L29" i="9"/>
  <c r="K29" i="9"/>
  <c r="K41" i="9"/>
  <c r="L41" i="9"/>
  <c r="K34" i="9"/>
  <c r="L34" i="9"/>
  <c r="J29" i="12"/>
  <c r="I35" i="12"/>
  <c r="I44" i="12"/>
  <c r="I39" i="12"/>
  <c r="I17" i="12"/>
  <c r="I8" i="12"/>
  <c r="I52" i="12"/>
  <c r="I7" i="12"/>
  <c r="I4" i="12"/>
  <c r="I40" i="12"/>
  <c r="I41" i="12"/>
  <c r="I38" i="12"/>
  <c r="I56" i="12"/>
  <c r="J32" i="12"/>
  <c r="K32" i="12"/>
  <c r="I43" i="12"/>
  <c r="I20" i="12"/>
  <c r="I46" i="12"/>
  <c r="I47" i="12"/>
  <c r="I50" i="12"/>
  <c r="I48" i="12"/>
  <c r="I19" i="12"/>
  <c r="I34" i="12"/>
  <c r="I53" i="12"/>
  <c r="I42" i="12"/>
  <c r="I26" i="12"/>
  <c r="I18" i="12"/>
  <c r="I45" i="12"/>
  <c r="I49" i="12"/>
  <c r="R24" i="2"/>
  <c r="M53" i="34" s="1"/>
  <c r="I26" i="20"/>
  <c r="J26" i="20" s="1"/>
  <c r="AS169" i="6"/>
  <c r="AC24" i="2"/>
  <c r="M54" i="34" s="1"/>
  <c r="S24" i="2"/>
  <c r="N53" i="34" s="1"/>
  <c r="AD24" i="2"/>
  <c r="N54" i="34" s="1"/>
  <c r="L24" i="2"/>
  <c r="G53" i="34" s="1"/>
  <c r="O24" i="2"/>
  <c r="J53" i="34" s="1"/>
  <c r="W24" i="2"/>
  <c r="G54" i="34" s="1"/>
  <c r="CK257" i="2"/>
  <c r="CE262" i="2"/>
  <c r="CJ262" i="2"/>
  <c r="CM262" i="2"/>
  <c r="CI262" i="2"/>
  <c r="CL262" i="2"/>
  <c r="CO251" i="2"/>
  <c r="CM251" i="2"/>
  <c r="CH251" i="2"/>
  <c r="CP251" i="2"/>
  <c r="CL251" i="2"/>
  <c r="CI257" i="2"/>
  <c r="CL257" i="2"/>
  <c r="CM257" i="2"/>
  <c r="CJ257" i="2"/>
  <c r="CE258" i="2"/>
  <c r="CE257" i="2"/>
  <c r="CE266" i="2"/>
  <c r="CJ243" i="2"/>
  <c r="BM241" i="2" s="1"/>
  <c r="AK241" i="2" s="1"/>
  <c r="CM243" i="2"/>
  <c r="BP241" i="2" s="1"/>
  <c r="AN241" i="2" s="1"/>
  <c r="CI243" i="2"/>
  <c r="BL241" i="2" s="1"/>
  <c r="AJ241" i="2" s="1"/>
  <c r="CE243" i="2"/>
  <c r="BH241" i="2" s="1"/>
  <c r="AF241" i="2" s="1"/>
  <c r="CL243" i="2"/>
  <c r="BO241" i="2" s="1"/>
  <c r="AM241" i="2" s="1"/>
  <c r="CK243" i="2"/>
  <c r="BN241" i="2" s="1"/>
  <c r="AL241" i="2" s="1"/>
  <c r="CE275" i="2"/>
  <c r="CE271" i="2"/>
  <c r="CN247" i="2"/>
  <c r="CL247" i="2"/>
  <c r="CH247" i="2"/>
  <c r="CO247" i="2"/>
  <c r="CP247" i="2"/>
  <c r="X78" i="6"/>
  <c r="Z58" i="12" s="1"/>
  <c r="X79" i="6"/>
  <c r="Z59" i="12" s="1"/>
  <c r="X80" i="6"/>
  <c r="Z60" i="12" s="1"/>
  <c r="Z216" i="2"/>
  <c r="AJ216" i="2" s="1"/>
  <c r="V216" i="2"/>
  <c r="AF216" i="2" s="1"/>
  <c r="K24" i="2"/>
  <c r="F53" i="34" s="1"/>
  <c r="AB216" i="2"/>
  <c r="AL216" i="2" s="1"/>
  <c r="Q24" i="2"/>
  <c r="L53" i="34" s="1"/>
  <c r="AA216" i="2"/>
  <c r="AK216" i="2" s="1"/>
  <c r="P24" i="2"/>
  <c r="K53" i="34" s="1"/>
  <c r="X216" i="2"/>
  <c r="AH216" i="2" s="1"/>
  <c r="M24" i="2"/>
  <c r="H53" i="34" s="1"/>
  <c r="BC241" i="2" l="1"/>
  <c r="J51" i="8"/>
  <c r="L51" i="8" s="1"/>
  <c r="H40" i="28"/>
  <c r="J9" i="8"/>
  <c r="K9" i="8" s="1"/>
  <c r="K9" i="12"/>
  <c r="H82" i="28"/>
  <c r="J5" i="12"/>
  <c r="I21" i="12"/>
  <c r="I40" i="17"/>
  <c r="K30" i="9"/>
  <c r="J58" i="2"/>
  <c r="AV241" i="2"/>
  <c r="BL243" i="2"/>
  <c r="AJ243" i="2" s="1"/>
  <c r="BL244" i="2"/>
  <c r="AJ244" i="2" s="1"/>
  <c r="BP244" i="2"/>
  <c r="AN244" i="2" s="1"/>
  <c r="BP243" i="2"/>
  <c r="AN243" i="2" s="1"/>
  <c r="BH243" i="2"/>
  <c r="AF243" i="2" s="1"/>
  <c r="BH244" i="2"/>
  <c r="AF244" i="2" s="1"/>
  <c r="BM244" i="2"/>
  <c r="AK244" i="2" s="1"/>
  <c r="BM243" i="2"/>
  <c r="AK243" i="2" s="1"/>
  <c r="BL242" i="2"/>
  <c r="AJ242" i="2" s="1"/>
  <c r="BL245" i="2"/>
  <c r="AJ245" i="2" s="1"/>
  <c r="BH245" i="2"/>
  <c r="AF245" i="2" s="1"/>
  <c r="BH242" i="2"/>
  <c r="AF242" i="2" s="1"/>
  <c r="BQ244" i="2"/>
  <c r="AO244" i="2" s="1"/>
  <c r="BQ243" i="2"/>
  <c r="AO243" i="2" s="1"/>
  <c r="BO243" i="2"/>
  <c r="AM243" i="2" s="1"/>
  <c r="BO244" i="2"/>
  <c r="AM244" i="2" s="1"/>
  <c r="BP245" i="2"/>
  <c r="AN245" i="2" s="1"/>
  <c r="BP242" i="2"/>
  <c r="AN242" i="2" s="1"/>
  <c r="BQ245" i="2"/>
  <c r="AO245" i="2" s="1"/>
  <c r="BQ242" i="2"/>
  <c r="AO242" i="2" s="1"/>
  <c r="BO245" i="2"/>
  <c r="AM245" i="2" s="1"/>
  <c r="BO242" i="2"/>
  <c r="AM242" i="2" s="1"/>
  <c r="AW241" i="2"/>
  <c r="AP241" i="2"/>
  <c r="AR241" i="2"/>
  <c r="AQ241" i="2"/>
  <c r="BN245" i="2"/>
  <c r="AL245" i="2" s="1"/>
  <c r="BN242" i="2"/>
  <c r="AL242" i="2" s="1"/>
  <c r="AT241" i="2"/>
  <c r="AY241" i="2"/>
  <c r="AX241" i="2"/>
  <c r="AU241" i="2"/>
  <c r="BP270" i="2"/>
  <c r="AN270" i="2" s="1"/>
  <c r="BL270" i="2"/>
  <c r="AJ270" i="2" s="1"/>
  <c r="BP268" i="2"/>
  <c r="AN268" i="2" s="1"/>
  <c r="BH268" i="2"/>
  <c r="AF268" i="2" s="1"/>
  <c r="BM270" i="2"/>
  <c r="AK270" i="2" s="1"/>
  <c r="BH270" i="2"/>
  <c r="AF270" i="2" s="1"/>
  <c r="BN253" i="2"/>
  <c r="AL253" i="2" s="1"/>
  <c r="BN247" i="2"/>
  <c r="AL247" i="2" s="1"/>
  <c r="BN251" i="2"/>
  <c r="AL251" i="2" s="1"/>
  <c r="BN248" i="2"/>
  <c r="AL248" i="2" s="1"/>
  <c r="BN252" i="2"/>
  <c r="AL252" i="2" s="1"/>
  <c r="BN249" i="2"/>
  <c r="AL249" i="2" s="1"/>
  <c r="BN246" i="2"/>
  <c r="AL246" i="2" s="1"/>
  <c r="BN250" i="2"/>
  <c r="AL250" i="2" s="1"/>
  <c r="BO272" i="2"/>
  <c r="AM272" i="2" s="1"/>
  <c r="BO256" i="2"/>
  <c r="AM256" i="2" s="1"/>
  <c r="BO263" i="2"/>
  <c r="AM263" i="2" s="1"/>
  <c r="BO264" i="2"/>
  <c r="AM264" i="2" s="1"/>
  <c r="BH272" i="2"/>
  <c r="AF272" i="2" s="1"/>
  <c r="BH263" i="2"/>
  <c r="AF263" i="2" s="1"/>
  <c r="BH256" i="2"/>
  <c r="AF256" i="2" s="1"/>
  <c r="BH264" i="2"/>
  <c r="AF264" i="2" s="1"/>
  <c r="BM268" i="2"/>
  <c r="AK268" i="2" s="1"/>
  <c r="BQ253" i="2"/>
  <c r="AO253" i="2" s="1"/>
  <c r="BQ247" i="2"/>
  <c r="AO247" i="2" s="1"/>
  <c r="BQ251" i="2"/>
  <c r="AO251" i="2" s="1"/>
  <c r="BQ248" i="2"/>
  <c r="AO248" i="2" s="1"/>
  <c r="BQ252" i="2"/>
  <c r="AO252" i="2" s="1"/>
  <c r="BQ249" i="2"/>
  <c r="AO249" i="2" s="1"/>
  <c r="BQ246" i="2"/>
  <c r="AO246" i="2" s="1"/>
  <c r="BQ250" i="2"/>
  <c r="AO250" i="2" s="1"/>
  <c r="BP267" i="2"/>
  <c r="AN267" i="2" s="1"/>
  <c r="BQ267" i="2"/>
  <c r="AO267" i="2" s="1"/>
  <c r="BN272" i="2"/>
  <c r="AL272" i="2" s="1"/>
  <c r="BN256" i="2"/>
  <c r="AL256" i="2" s="1"/>
  <c r="BN263" i="2"/>
  <c r="AL263" i="2" s="1"/>
  <c r="BN264" i="2"/>
  <c r="AL264" i="2" s="1"/>
  <c r="BL272" i="2"/>
  <c r="AJ272" i="2" s="1"/>
  <c r="BL264" i="2"/>
  <c r="AJ264" i="2" s="1"/>
  <c r="BL263" i="2"/>
  <c r="AJ263" i="2" s="1"/>
  <c r="BL256" i="2"/>
  <c r="AJ256" i="2" s="1"/>
  <c r="BM273" i="2"/>
  <c r="AK273" i="2" s="1"/>
  <c r="BP253" i="2"/>
  <c r="AN253" i="2" s="1"/>
  <c r="BP247" i="2"/>
  <c r="AN247" i="2" s="1"/>
  <c r="BP251" i="2"/>
  <c r="AN251" i="2" s="1"/>
  <c r="BP248" i="2"/>
  <c r="AN248" i="2" s="1"/>
  <c r="BP252" i="2"/>
  <c r="AN252" i="2" s="1"/>
  <c r="BP249" i="2"/>
  <c r="AN249" i="2" s="1"/>
  <c r="BP246" i="2"/>
  <c r="AN246" i="2" s="1"/>
  <c r="BP250" i="2"/>
  <c r="AN250" i="2" s="1"/>
  <c r="BO253" i="2"/>
  <c r="AM253" i="2" s="1"/>
  <c r="BO247" i="2"/>
  <c r="AM247" i="2" s="1"/>
  <c r="BO251" i="2"/>
  <c r="AM251" i="2" s="1"/>
  <c r="BO248" i="2"/>
  <c r="AM248" i="2" s="1"/>
  <c r="BO252" i="2"/>
  <c r="AM252" i="2" s="1"/>
  <c r="BO249" i="2"/>
  <c r="AM249" i="2" s="1"/>
  <c r="BO246" i="2"/>
  <c r="AM246" i="2" s="1"/>
  <c r="BO250" i="2"/>
  <c r="AM250" i="2" s="1"/>
  <c r="BL267" i="2"/>
  <c r="AJ267" i="2" s="1"/>
  <c r="BH267" i="2"/>
  <c r="AF267" i="2" s="1"/>
  <c r="BP272" i="2"/>
  <c r="AN272" i="2" s="1"/>
  <c r="BP256" i="2"/>
  <c r="AN256" i="2" s="1"/>
  <c r="BP263" i="2"/>
  <c r="AN263" i="2" s="1"/>
  <c r="BP264" i="2"/>
  <c r="AN264" i="2" s="1"/>
  <c r="BL273" i="2"/>
  <c r="AJ273" i="2" s="1"/>
  <c r="BL253" i="2"/>
  <c r="AJ253" i="2" s="1"/>
  <c r="BL247" i="2"/>
  <c r="AJ247" i="2" s="1"/>
  <c r="BL251" i="2"/>
  <c r="AJ251" i="2" s="1"/>
  <c r="BL248" i="2"/>
  <c r="AJ248" i="2" s="1"/>
  <c r="BL252" i="2"/>
  <c r="AJ252" i="2" s="1"/>
  <c r="BL249" i="2"/>
  <c r="AJ249" i="2" s="1"/>
  <c r="BL246" i="2"/>
  <c r="AJ246" i="2" s="1"/>
  <c r="BL250" i="2"/>
  <c r="AJ250" i="2" s="1"/>
  <c r="BQ273" i="2"/>
  <c r="AO273" i="2" s="1"/>
  <c r="BQ270" i="2"/>
  <c r="AO270" i="2" s="1"/>
  <c r="BO267" i="2"/>
  <c r="AM267" i="2" s="1"/>
  <c r="BN273" i="2"/>
  <c r="AL273" i="2" s="1"/>
  <c r="BH273" i="2"/>
  <c r="AF273" i="2" s="1"/>
  <c r="BM253" i="2"/>
  <c r="AK253" i="2" s="1"/>
  <c r="BM247" i="2"/>
  <c r="AK247" i="2" s="1"/>
  <c r="BM251" i="2"/>
  <c r="AK251" i="2" s="1"/>
  <c r="BM248" i="2"/>
  <c r="AK248" i="2" s="1"/>
  <c r="BM252" i="2"/>
  <c r="AK252" i="2" s="1"/>
  <c r="BM249" i="2"/>
  <c r="AK249" i="2" s="1"/>
  <c r="BM246" i="2"/>
  <c r="AK246" i="2" s="1"/>
  <c r="BM250" i="2"/>
  <c r="AK250" i="2" s="1"/>
  <c r="BO273" i="2"/>
  <c r="AM273" i="2" s="1"/>
  <c r="BO268" i="2"/>
  <c r="AM268" i="2" s="1"/>
  <c r="BQ268" i="2"/>
  <c r="AO268" i="2" s="1"/>
  <c r="BL268" i="2"/>
  <c r="AJ268" i="2" s="1"/>
  <c r="BO270" i="2"/>
  <c r="AM270" i="2" s="1"/>
  <c r="BM267" i="2"/>
  <c r="AK267" i="2" s="1"/>
  <c r="BQ272" i="2"/>
  <c r="AO272" i="2" s="1"/>
  <c r="BQ256" i="2"/>
  <c r="AO256" i="2" s="1"/>
  <c r="BQ263" i="2"/>
  <c r="AO263" i="2" s="1"/>
  <c r="BQ264" i="2"/>
  <c r="AO264" i="2" s="1"/>
  <c r="BH246" i="2"/>
  <c r="AF246" i="2" s="1"/>
  <c r="BH247" i="2"/>
  <c r="AF247" i="2" s="1"/>
  <c r="BH248" i="2"/>
  <c r="AF248" i="2" s="1"/>
  <c r="BH249" i="2"/>
  <c r="AF249" i="2" s="1"/>
  <c r="BH250" i="2"/>
  <c r="AF250" i="2" s="1"/>
  <c r="BH251" i="2"/>
  <c r="AF251" i="2" s="1"/>
  <c r="BH252" i="2"/>
  <c r="AF252" i="2" s="1"/>
  <c r="BH253" i="2"/>
  <c r="AF253" i="2" s="1"/>
  <c r="BP273" i="2"/>
  <c r="AN273" i="2" s="1"/>
  <c r="BT203" i="2"/>
  <c r="BH209" i="2" s="1"/>
  <c r="AR216" i="2"/>
  <c r="BY203" i="2"/>
  <c r="BX203" i="2"/>
  <c r="CA203" i="2"/>
  <c r="BV203" i="2"/>
  <c r="CB203" i="2"/>
  <c r="BU203" i="2"/>
  <c r="BZ203" i="2"/>
  <c r="CC203" i="2"/>
  <c r="AX216" i="2"/>
  <c r="AV216" i="2"/>
  <c r="AT216" i="2"/>
  <c r="AQ216" i="2"/>
  <c r="AU216" i="2"/>
  <c r="AP216" i="2"/>
  <c r="AY216" i="2"/>
  <c r="AW216" i="2"/>
  <c r="J20" i="9"/>
  <c r="J16" i="9"/>
  <c r="J12" i="9"/>
  <c r="J26" i="9"/>
  <c r="J13" i="9"/>
  <c r="J19" i="9"/>
  <c r="J35" i="9"/>
  <c r="J46" i="9"/>
  <c r="J42" i="9"/>
  <c r="J33" i="9"/>
  <c r="J25" i="9"/>
  <c r="J37" i="9"/>
  <c r="J10" i="9"/>
  <c r="J17" i="9"/>
  <c r="J28" i="9"/>
  <c r="J36" i="9"/>
  <c r="J23" i="9"/>
  <c r="J9" i="9"/>
  <c r="J18" i="9"/>
  <c r="J32" i="9"/>
  <c r="J15" i="9"/>
  <c r="J11" i="9"/>
  <c r="J45" i="9"/>
  <c r="J24" i="9"/>
  <c r="J38" i="9"/>
  <c r="J31" i="9"/>
  <c r="J39" i="9"/>
  <c r="J40" i="9"/>
  <c r="J14" i="9"/>
  <c r="J85" i="2"/>
  <c r="I70" i="17" s="1"/>
  <c r="J45" i="12"/>
  <c r="K45" i="12"/>
  <c r="J20" i="12"/>
  <c r="K20" i="12"/>
  <c r="K26" i="12"/>
  <c r="J26" i="12"/>
  <c r="J43" i="12"/>
  <c r="K43" i="12"/>
  <c r="J38" i="12"/>
  <c r="K38" i="12"/>
  <c r="K40" i="12"/>
  <c r="J40" i="12"/>
  <c r="J56" i="12"/>
  <c r="K56" i="12"/>
  <c r="J4" i="12"/>
  <c r="K4" i="12"/>
  <c r="J17" i="12"/>
  <c r="K17" i="12"/>
  <c r="J39" i="12"/>
  <c r="K39" i="12"/>
  <c r="J18" i="12"/>
  <c r="K18" i="12"/>
  <c r="J53" i="12"/>
  <c r="K53" i="12"/>
  <c r="J52" i="12"/>
  <c r="K52" i="12"/>
  <c r="J19" i="12"/>
  <c r="K19" i="12"/>
  <c r="J48" i="12"/>
  <c r="K48" i="12"/>
  <c r="K49" i="12"/>
  <c r="J49" i="12"/>
  <c r="J50" i="12"/>
  <c r="K50" i="12"/>
  <c r="J41" i="12"/>
  <c r="K41" i="12"/>
  <c r="J7" i="12"/>
  <c r="K7" i="12"/>
  <c r="J34" i="12"/>
  <c r="K34" i="12"/>
  <c r="J8" i="12"/>
  <c r="K8" i="12"/>
  <c r="J47" i="12"/>
  <c r="K47" i="12"/>
  <c r="J46" i="12"/>
  <c r="K46" i="12"/>
  <c r="J35" i="12"/>
  <c r="K35" i="12"/>
  <c r="K42" i="12"/>
  <c r="J42" i="12"/>
  <c r="J44" i="12"/>
  <c r="K44" i="12"/>
  <c r="J91" i="2"/>
  <c r="I76" i="17" s="1"/>
  <c r="J59" i="2"/>
  <c r="I44" i="17" s="1"/>
  <c r="AA24" i="2"/>
  <c r="K54" i="34" s="1"/>
  <c r="V24" i="2"/>
  <c r="F54" i="34" s="1"/>
  <c r="Z24" i="2"/>
  <c r="J54" i="34" s="1"/>
  <c r="AB24" i="2"/>
  <c r="L54" i="34" s="1"/>
  <c r="X24" i="2"/>
  <c r="H54" i="34" s="1"/>
  <c r="J56" i="2"/>
  <c r="I41" i="17" s="1"/>
  <c r="J57" i="2"/>
  <c r="I42" i="17" s="1"/>
  <c r="K26" i="20"/>
  <c r="AT345" i="2"/>
  <c r="AP345" i="2"/>
  <c r="AX345" i="2"/>
  <c r="AV345" i="2"/>
  <c r="AY345" i="2"/>
  <c r="AW345" i="2"/>
  <c r="AU345" i="2"/>
  <c r="AR345" i="2"/>
  <c r="AQ345" i="2"/>
  <c r="AR334" i="2"/>
  <c r="AP334" i="2"/>
  <c r="AW334" i="2"/>
  <c r="AU334" i="2"/>
  <c r="AV334" i="2"/>
  <c r="AY334" i="2"/>
  <c r="AX334" i="2"/>
  <c r="AQ334" i="2"/>
  <c r="AT334" i="2"/>
  <c r="AY336" i="2"/>
  <c r="AW336" i="2"/>
  <c r="AR336" i="2"/>
  <c r="AV336" i="2"/>
  <c r="AT336" i="2"/>
  <c r="AQ336" i="2"/>
  <c r="AX336" i="2"/>
  <c r="AP336" i="2"/>
  <c r="AU336" i="2"/>
  <c r="AT343" i="2"/>
  <c r="AY343" i="2"/>
  <c r="AP343" i="2"/>
  <c r="AU343" i="2"/>
  <c r="AW343" i="2"/>
  <c r="AV343" i="2"/>
  <c r="AX343" i="2"/>
  <c r="AQ343" i="2"/>
  <c r="AR343" i="2"/>
  <c r="AR351" i="2"/>
  <c r="AV351" i="2"/>
  <c r="AX351" i="2"/>
  <c r="AW351" i="2"/>
  <c r="AT351" i="2"/>
  <c r="AY351" i="2"/>
  <c r="AQ351" i="2"/>
  <c r="AU351" i="2"/>
  <c r="AP351" i="2"/>
  <c r="AX353" i="2"/>
  <c r="AU353" i="2"/>
  <c r="AQ353" i="2"/>
  <c r="AY353" i="2"/>
  <c r="AV353" i="2"/>
  <c r="AP353" i="2"/>
  <c r="AW353" i="2"/>
  <c r="AR353" i="2"/>
  <c r="AT353" i="2"/>
  <c r="AT349" i="2"/>
  <c r="AY349" i="2"/>
  <c r="AV349" i="2"/>
  <c r="AU349" i="2"/>
  <c r="AP349" i="2"/>
  <c r="AQ349" i="2"/>
  <c r="AW349" i="2"/>
  <c r="AX349" i="2"/>
  <c r="AR349" i="2"/>
  <c r="AW346" i="2"/>
  <c r="AP346" i="2"/>
  <c r="AX346" i="2"/>
  <c r="AV346" i="2"/>
  <c r="AU346" i="2"/>
  <c r="AY346" i="2"/>
  <c r="AR346" i="2"/>
  <c r="AT346" i="2"/>
  <c r="AQ346" i="2"/>
  <c r="AW335" i="2"/>
  <c r="AY335" i="2"/>
  <c r="AX335" i="2"/>
  <c r="AQ335" i="2"/>
  <c r="AT335" i="2"/>
  <c r="AP335" i="2"/>
  <c r="AR335" i="2"/>
  <c r="AV335" i="2"/>
  <c r="AU335" i="2"/>
  <c r="AV344" i="2"/>
  <c r="AR344" i="2"/>
  <c r="AY344" i="2"/>
  <c r="AX344" i="2"/>
  <c r="AP344" i="2"/>
  <c r="AT344" i="2"/>
  <c r="AQ344" i="2"/>
  <c r="AU344" i="2"/>
  <c r="AW344" i="2"/>
  <c r="AR348" i="2"/>
  <c r="AX348" i="2"/>
  <c r="AQ348" i="2"/>
  <c r="AY348" i="2"/>
  <c r="AT348" i="2"/>
  <c r="AV348" i="2"/>
  <c r="AU348" i="2"/>
  <c r="AP348" i="2"/>
  <c r="AW348" i="2"/>
  <c r="AQ333" i="2"/>
  <c r="AY333" i="2"/>
  <c r="AT333" i="2"/>
  <c r="AW333" i="2"/>
  <c r="AV333" i="2"/>
  <c r="AR333" i="2"/>
  <c r="AP333" i="2"/>
  <c r="AX333" i="2"/>
  <c r="AU333" i="2"/>
  <c r="AR355" i="2"/>
  <c r="AQ355" i="2"/>
  <c r="AY355" i="2"/>
  <c r="AP355" i="2"/>
  <c r="AT355" i="2"/>
  <c r="AW355" i="2"/>
  <c r="AV355" i="2"/>
  <c r="AX355" i="2"/>
  <c r="AU355" i="2"/>
  <c r="AX347" i="2"/>
  <c r="AQ347" i="2"/>
  <c r="AR347" i="2"/>
  <c r="AY347" i="2"/>
  <c r="AV347" i="2"/>
  <c r="AT347" i="2"/>
  <c r="AU347" i="2"/>
  <c r="AW347" i="2"/>
  <c r="AP347" i="2"/>
  <c r="AQ354" i="2"/>
  <c r="AY354" i="2"/>
  <c r="AT354" i="2"/>
  <c r="AX354" i="2"/>
  <c r="AU354" i="2"/>
  <c r="AW354" i="2"/>
  <c r="AV354" i="2"/>
  <c r="AR354" i="2"/>
  <c r="AP354" i="2"/>
  <c r="AY342" i="2"/>
  <c r="AW342" i="2"/>
  <c r="AV342" i="2"/>
  <c r="AQ342" i="2"/>
  <c r="AP342" i="2"/>
  <c r="AX342" i="2"/>
  <c r="AU342" i="2"/>
  <c r="AR342" i="2"/>
  <c r="AT342" i="2"/>
  <c r="AV352" i="2"/>
  <c r="AU352" i="2"/>
  <c r="AT352" i="2"/>
  <c r="AQ352" i="2"/>
  <c r="AX352" i="2"/>
  <c r="AP352" i="2"/>
  <c r="AW352" i="2"/>
  <c r="AY352" i="2"/>
  <c r="AR352" i="2"/>
  <c r="BC272" i="2" l="1"/>
  <c r="BD272" i="2" s="1"/>
  <c r="BE272" i="2" s="1"/>
  <c r="BF272" i="2" s="1"/>
  <c r="BD241" i="2"/>
  <c r="BC273" i="2"/>
  <c r="BD273" i="2" s="1"/>
  <c r="BE273" i="2" s="1"/>
  <c r="BF273" i="2" s="1"/>
  <c r="BC242" i="2"/>
  <c r="BD242" i="2" s="1"/>
  <c r="BE242" i="2" s="1"/>
  <c r="BF242" i="2" s="1"/>
  <c r="BC245" i="2"/>
  <c r="BD245" i="2" s="1"/>
  <c r="BE245" i="2" s="1"/>
  <c r="BF245" i="2" s="1"/>
  <c r="BC253" i="2"/>
  <c r="BD253" i="2" s="1"/>
  <c r="BE253" i="2" s="1"/>
  <c r="BF253" i="2" s="1"/>
  <c r="BC252" i="2"/>
  <c r="BD252" i="2" s="1"/>
  <c r="BE252" i="2" s="1"/>
  <c r="BF252" i="2" s="1"/>
  <c r="BC251" i="2"/>
  <c r="BD251" i="2" s="1"/>
  <c r="BE251" i="2" s="1"/>
  <c r="BF251" i="2" s="1"/>
  <c r="BC270" i="2"/>
  <c r="BD270" i="2" s="1"/>
  <c r="BE270" i="2" s="1"/>
  <c r="BF270" i="2" s="1"/>
  <c r="BC244" i="2"/>
  <c r="BD244" i="2" s="1"/>
  <c r="BE244" i="2" s="1"/>
  <c r="BF244" i="2" s="1"/>
  <c r="BC250" i="2"/>
  <c r="BD250" i="2" s="1"/>
  <c r="BE250" i="2" s="1"/>
  <c r="BF250" i="2" s="1"/>
  <c r="BC243" i="2"/>
  <c r="BD243" i="2" s="1"/>
  <c r="BE243" i="2" s="1"/>
  <c r="BF243" i="2" s="1"/>
  <c r="BC249" i="2"/>
  <c r="BD249" i="2" s="1"/>
  <c r="BE249" i="2" s="1"/>
  <c r="BF249" i="2" s="1"/>
  <c r="BC268" i="2"/>
  <c r="BD268" i="2" s="1"/>
  <c r="BE268" i="2" s="1"/>
  <c r="BF268" i="2" s="1"/>
  <c r="BC248" i="2"/>
  <c r="BD248" i="2" s="1"/>
  <c r="BE248" i="2" s="1"/>
  <c r="BF248" i="2" s="1"/>
  <c r="BC247" i="2"/>
  <c r="BD247" i="2" s="1"/>
  <c r="BE247" i="2" s="1"/>
  <c r="BF247" i="2" s="1"/>
  <c r="BC246" i="2"/>
  <c r="BD246" i="2" s="1"/>
  <c r="BE246" i="2" s="1"/>
  <c r="BF246" i="2" s="1"/>
  <c r="BC264" i="2"/>
  <c r="BD264" i="2" s="1"/>
  <c r="BE264" i="2" s="1"/>
  <c r="BF264" i="2" s="1"/>
  <c r="BC256" i="2"/>
  <c r="BD256" i="2" s="1"/>
  <c r="BE256" i="2" s="1"/>
  <c r="BF256" i="2" s="1"/>
  <c r="BC267" i="2"/>
  <c r="BD267" i="2" s="1"/>
  <c r="BE267" i="2" s="1"/>
  <c r="BF267" i="2" s="1"/>
  <c r="BC263" i="2"/>
  <c r="BD263" i="2" s="1"/>
  <c r="BE263" i="2" s="1"/>
  <c r="BF263" i="2" s="1"/>
  <c r="BF23" i="2" s="1"/>
  <c r="AP209" i="2"/>
  <c r="AF209" i="2"/>
  <c r="AP256" i="2"/>
  <c r="K51" i="8"/>
  <c r="L9" i="8"/>
  <c r="I24" i="12"/>
  <c r="I43" i="17"/>
  <c r="J21" i="12"/>
  <c r="K21" i="12"/>
  <c r="J351" i="2"/>
  <c r="J354" i="2"/>
  <c r="J349" i="2"/>
  <c r="J352" i="2"/>
  <c r="J336" i="2"/>
  <c r="J344" i="2"/>
  <c r="J353" i="2"/>
  <c r="J335" i="2"/>
  <c r="J347" i="2"/>
  <c r="J346" i="2"/>
  <c r="J355" i="2"/>
  <c r="J348" i="2"/>
  <c r="J345" i="2"/>
  <c r="J343" i="2"/>
  <c r="J342" i="2"/>
  <c r="J334" i="2"/>
  <c r="I319" i="17" s="1"/>
  <c r="AW243" i="2"/>
  <c r="AW267" i="2"/>
  <c r="AW264" i="2"/>
  <c r="AW256" i="2"/>
  <c r="AT246" i="2"/>
  <c r="AW263" i="2"/>
  <c r="AX247" i="2"/>
  <c r="AV256" i="2"/>
  <c r="AU270" i="2"/>
  <c r="AW245" i="2"/>
  <c r="AY244" i="2"/>
  <c r="AW242" i="2"/>
  <c r="AV273" i="2"/>
  <c r="AX273" i="2"/>
  <c r="AP273" i="2"/>
  <c r="AQ273" i="2"/>
  <c r="AR273" i="2"/>
  <c r="AX246" i="2"/>
  <c r="AP272" i="2"/>
  <c r="AR272" i="2"/>
  <c r="AQ272" i="2"/>
  <c r="AX249" i="2"/>
  <c r="AP253" i="2"/>
  <c r="AR253" i="2"/>
  <c r="AQ253" i="2"/>
  <c r="AV267" i="2"/>
  <c r="AP252" i="2"/>
  <c r="AR252" i="2"/>
  <c r="AQ252" i="2"/>
  <c r="AY270" i="2"/>
  <c r="AX252" i="2"/>
  <c r="AU272" i="2"/>
  <c r="AP251" i="2"/>
  <c r="AQ251" i="2"/>
  <c r="AR251" i="2"/>
  <c r="AY273" i="2"/>
  <c r="AX248" i="2"/>
  <c r="AW272" i="2"/>
  <c r="AP250" i="2"/>
  <c r="AR250" i="2"/>
  <c r="AQ250" i="2"/>
  <c r="AT250" i="2"/>
  <c r="AX251" i="2"/>
  <c r="AV250" i="2"/>
  <c r="AU256" i="2"/>
  <c r="AP249" i="2"/>
  <c r="AR249" i="2"/>
  <c r="AQ249" i="2"/>
  <c r="AV246" i="2"/>
  <c r="AP248" i="2"/>
  <c r="AR248" i="2"/>
  <c r="AQ248" i="2"/>
  <c r="AT249" i="2"/>
  <c r="AX253" i="2"/>
  <c r="AV249" i="2"/>
  <c r="AP247" i="2"/>
  <c r="AQ247" i="2"/>
  <c r="AR247" i="2"/>
  <c r="AU273" i="2"/>
  <c r="AY242" i="2"/>
  <c r="AP246" i="2"/>
  <c r="AQ246" i="2"/>
  <c r="AR246" i="2"/>
  <c r="AT252" i="2"/>
  <c r="AT256" i="2"/>
  <c r="AV252" i="2"/>
  <c r="AY245" i="2"/>
  <c r="AT248" i="2"/>
  <c r="AT263" i="2"/>
  <c r="AV248" i="2"/>
  <c r="AX242" i="2"/>
  <c r="AY264" i="2"/>
  <c r="AT251" i="2"/>
  <c r="AT264" i="2"/>
  <c r="AV251" i="2"/>
  <c r="AX245" i="2"/>
  <c r="AY263" i="2"/>
  <c r="AY23" i="2" s="1"/>
  <c r="AT247" i="2"/>
  <c r="AT272" i="2"/>
  <c r="AV247" i="2"/>
  <c r="AW244" i="2"/>
  <c r="AT253" i="2"/>
  <c r="AY256" i="2"/>
  <c r="AV264" i="2"/>
  <c r="AV253" i="2"/>
  <c r="AY272" i="2"/>
  <c r="AT273" i="2"/>
  <c r="AV263" i="2"/>
  <c r="AQ270" i="2"/>
  <c r="AR270" i="2"/>
  <c r="AP270" i="2"/>
  <c r="AY243" i="2"/>
  <c r="AW270" i="2"/>
  <c r="AV272" i="2"/>
  <c r="AP268" i="2"/>
  <c r="AR268" i="2"/>
  <c r="AQ268" i="2"/>
  <c r="AU263" i="2"/>
  <c r="AX256" i="2"/>
  <c r="AY267" i="2"/>
  <c r="AX268" i="2"/>
  <c r="AP242" i="2"/>
  <c r="AR242" i="2"/>
  <c r="AQ242" i="2"/>
  <c r="AT268" i="2"/>
  <c r="AX272" i="2"/>
  <c r="AX267" i="2"/>
  <c r="AT270" i="2"/>
  <c r="AP245" i="2"/>
  <c r="AR245" i="2"/>
  <c r="AQ245" i="2"/>
  <c r="AP267" i="2"/>
  <c r="AQ267" i="2"/>
  <c r="AR267" i="2"/>
  <c r="AY250" i="2"/>
  <c r="AX270" i="2"/>
  <c r="AU264" i="2"/>
  <c r="AY268" i="2"/>
  <c r="AY246" i="2"/>
  <c r="AV243" i="2"/>
  <c r="AT245" i="2"/>
  <c r="AW268" i="2"/>
  <c r="AT267" i="2"/>
  <c r="AY249" i="2"/>
  <c r="AT242" i="2"/>
  <c r="AX264" i="2"/>
  <c r="AW250" i="2"/>
  <c r="AV268" i="2"/>
  <c r="AU267" i="2"/>
  <c r="AX263" i="2"/>
  <c r="AU250" i="2"/>
  <c r="AW246" i="2"/>
  <c r="AY252" i="2"/>
  <c r="AV270" i="2"/>
  <c r="AU246" i="2"/>
  <c r="AW249" i="2"/>
  <c r="AY248" i="2"/>
  <c r="AV244" i="2"/>
  <c r="AU243" i="2"/>
  <c r="AU249" i="2"/>
  <c r="AY251" i="2"/>
  <c r="AU245" i="2"/>
  <c r="AU244" i="2"/>
  <c r="AW252" i="2"/>
  <c r="AY247" i="2"/>
  <c r="AP244" i="2"/>
  <c r="AQ244" i="2"/>
  <c r="AR244" i="2"/>
  <c r="AU252" i="2"/>
  <c r="AW248" i="2"/>
  <c r="AY253" i="2"/>
  <c r="AV242" i="2"/>
  <c r="AQ243" i="2"/>
  <c r="AR243" i="2"/>
  <c r="AP243" i="2"/>
  <c r="AW273" i="2"/>
  <c r="AU248" i="2"/>
  <c r="AW251" i="2"/>
  <c r="AU268" i="2"/>
  <c r="AV245" i="2"/>
  <c r="AX243" i="2"/>
  <c r="AU251" i="2"/>
  <c r="AW247" i="2"/>
  <c r="AP264" i="2"/>
  <c r="AQ264" i="2"/>
  <c r="AR264" i="2"/>
  <c r="AU242" i="2"/>
  <c r="AX244" i="2"/>
  <c r="AU247" i="2"/>
  <c r="AW253" i="2"/>
  <c r="AQ256" i="2"/>
  <c r="AR256" i="2"/>
  <c r="AT244" i="2"/>
  <c r="AU253" i="2"/>
  <c r="AX250" i="2"/>
  <c r="AP263" i="2"/>
  <c r="AQ263" i="2"/>
  <c r="AR263" i="2"/>
  <c r="AT243" i="2"/>
  <c r="BQ210" i="2"/>
  <c r="BQ209" i="2"/>
  <c r="BN209" i="2"/>
  <c r="BN210" i="2"/>
  <c r="BP210" i="2"/>
  <c r="BP209" i="2"/>
  <c r="BJ210" i="2"/>
  <c r="BJ209" i="2"/>
  <c r="BH210" i="2"/>
  <c r="AF210" i="2" s="1"/>
  <c r="BI210" i="2"/>
  <c r="BI209" i="2"/>
  <c r="BO209" i="2"/>
  <c r="BO210" i="2"/>
  <c r="BL209" i="2"/>
  <c r="BL210" i="2"/>
  <c r="BM209" i="2"/>
  <c r="BM210" i="2"/>
  <c r="J216" i="2"/>
  <c r="I201" i="17" s="1"/>
  <c r="K10" i="9"/>
  <c r="L10" i="9"/>
  <c r="K17" i="9"/>
  <c r="L17" i="9"/>
  <c r="L31" i="9"/>
  <c r="K31" i="9"/>
  <c r="L37" i="9"/>
  <c r="K37" i="9"/>
  <c r="K39" i="9"/>
  <c r="L39" i="9"/>
  <c r="K35" i="9"/>
  <c r="L35" i="9"/>
  <c r="K19" i="9"/>
  <c r="L19" i="9"/>
  <c r="K42" i="9"/>
  <c r="L42" i="9"/>
  <c r="K46" i="9"/>
  <c r="L46" i="9"/>
  <c r="L45" i="9"/>
  <c r="K45" i="9"/>
  <c r="K12" i="9"/>
  <c r="L12" i="9"/>
  <c r="K11" i="9"/>
  <c r="L11" i="9"/>
  <c r="L13" i="9"/>
  <c r="K13" i="9"/>
  <c r="K28" i="9"/>
  <c r="L28" i="9"/>
  <c r="K14" i="9"/>
  <c r="L14" i="9"/>
  <c r="K40" i="9"/>
  <c r="L40" i="9"/>
  <c r="K25" i="9"/>
  <c r="L25" i="9"/>
  <c r="K33" i="9"/>
  <c r="L33" i="9"/>
  <c r="K38" i="9"/>
  <c r="L38" i="9"/>
  <c r="K9" i="9"/>
  <c r="L9" i="9"/>
  <c r="K16" i="9"/>
  <c r="L16" i="9"/>
  <c r="L24" i="9"/>
  <c r="K24" i="9"/>
  <c r="K15" i="9"/>
  <c r="L15" i="9"/>
  <c r="K26" i="9"/>
  <c r="L26" i="9"/>
  <c r="K36" i="9"/>
  <c r="L36" i="9"/>
  <c r="L23" i="9"/>
  <c r="K23" i="9"/>
  <c r="K20" i="9"/>
  <c r="L20" i="9"/>
  <c r="L32" i="9"/>
  <c r="K32" i="9"/>
  <c r="K18" i="9"/>
  <c r="L18" i="9"/>
  <c r="K2" i="9"/>
  <c r="L2" i="9"/>
  <c r="I51" i="12"/>
  <c r="J51" i="12" s="1"/>
  <c r="I25" i="12"/>
  <c r="I22" i="12"/>
  <c r="I57" i="12"/>
  <c r="I23" i="12"/>
  <c r="AV406" i="2"/>
  <c r="AW406" i="2"/>
  <c r="AX406" i="2"/>
  <c r="AU406" i="2"/>
  <c r="AQ406" i="2"/>
  <c r="AT406" i="2"/>
  <c r="AR406" i="2"/>
  <c r="AP406" i="2"/>
  <c r="AY406" i="2"/>
  <c r="AQ392" i="2"/>
  <c r="AP392" i="2"/>
  <c r="AR392" i="2"/>
  <c r="AX392" i="2"/>
  <c r="AT392" i="2"/>
  <c r="AU392" i="2"/>
  <c r="AV392" i="2"/>
  <c r="AW392" i="2"/>
  <c r="AY392" i="2"/>
  <c r="AV412" i="2"/>
  <c r="AX412" i="2"/>
  <c r="AR412" i="2"/>
  <c r="AT412" i="2"/>
  <c r="AY412" i="2"/>
  <c r="AQ412" i="2"/>
  <c r="AW412" i="2"/>
  <c r="AP412" i="2"/>
  <c r="AU412" i="2"/>
  <c r="AU391" i="2"/>
  <c r="AQ391" i="2"/>
  <c r="AV391" i="2"/>
  <c r="AW391" i="2"/>
  <c r="AP391" i="2"/>
  <c r="AR391" i="2"/>
  <c r="AX391" i="2"/>
  <c r="AY391" i="2"/>
  <c r="AT391" i="2"/>
  <c r="AP393" i="2"/>
  <c r="AT393" i="2"/>
  <c r="AR393" i="2"/>
  <c r="AU393" i="2"/>
  <c r="AV393" i="2"/>
  <c r="AQ393" i="2"/>
  <c r="AY393" i="2"/>
  <c r="AW393" i="2"/>
  <c r="AX393" i="2"/>
  <c r="AT408" i="2"/>
  <c r="AR408" i="2"/>
  <c r="AX408" i="2"/>
  <c r="AU408" i="2"/>
  <c r="AV408" i="2"/>
  <c r="AQ408" i="2"/>
  <c r="AW408" i="2"/>
  <c r="AY408" i="2"/>
  <c r="AP408" i="2"/>
  <c r="AR411" i="2"/>
  <c r="AT411" i="2"/>
  <c r="AY411" i="2"/>
  <c r="AU411" i="2"/>
  <c r="AV411" i="2"/>
  <c r="AW411" i="2"/>
  <c r="AQ411" i="2"/>
  <c r="AP411" i="2"/>
  <c r="AX411" i="2"/>
  <c r="AV399" i="2"/>
  <c r="AW399" i="2"/>
  <c r="AY399" i="2"/>
  <c r="AX399" i="2"/>
  <c r="AU399" i="2"/>
  <c r="AP399" i="2"/>
  <c r="AQ399" i="2"/>
  <c r="AR399" i="2"/>
  <c r="AT399" i="2"/>
  <c r="AQ389" i="2"/>
  <c r="AX389" i="2"/>
  <c r="AU389" i="2"/>
  <c r="AW389" i="2"/>
  <c r="AY389" i="2"/>
  <c r="AP389" i="2"/>
  <c r="AR389" i="2"/>
  <c r="AT389" i="2"/>
  <c r="AV389" i="2"/>
  <c r="AR402" i="2"/>
  <c r="AW402" i="2"/>
  <c r="AP402" i="2"/>
  <c r="AX402" i="2"/>
  <c r="AY402" i="2"/>
  <c r="AQ402" i="2"/>
  <c r="AT402" i="2"/>
  <c r="AU402" i="2"/>
  <c r="AV402" i="2"/>
  <c r="AQ394" i="2"/>
  <c r="AP394" i="2"/>
  <c r="AR394" i="2"/>
  <c r="AV394" i="2"/>
  <c r="AU394" i="2"/>
  <c r="AT394" i="2"/>
  <c r="AW394" i="2"/>
  <c r="AX394" i="2"/>
  <c r="AY394" i="2"/>
  <c r="AP388" i="2"/>
  <c r="AQ388" i="2"/>
  <c r="AR388" i="2"/>
  <c r="AU388" i="2"/>
  <c r="AV388" i="2"/>
  <c r="AW388" i="2"/>
  <c r="AT388" i="2"/>
  <c r="AX388" i="2"/>
  <c r="AY388" i="2"/>
  <c r="AW386" i="2"/>
  <c r="AX386" i="2"/>
  <c r="AR386" i="2"/>
  <c r="AU386" i="2"/>
  <c r="AQ386" i="2"/>
  <c r="AV386" i="2"/>
  <c r="AY386" i="2"/>
  <c r="AT386" i="2"/>
  <c r="AP390" i="2"/>
  <c r="AT390" i="2"/>
  <c r="AY390" i="2"/>
  <c r="AU390" i="2"/>
  <c r="AQ390" i="2"/>
  <c r="AV390" i="2"/>
  <c r="AW390" i="2"/>
  <c r="AX390" i="2"/>
  <c r="AR390" i="2"/>
  <c r="AT403" i="2"/>
  <c r="AU403" i="2"/>
  <c r="AV403" i="2"/>
  <c r="AP403" i="2"/>
  <c r="AR403" i="2"/>
  <c r="AW403" i="2"/>
  <c r="AX403" i="2"/>
  <c r="AY403" i="2"/>
  <c r="AQ403" i="2"/>
  <c r="AT387" i="2"/>
  <c r="AU387" i="2"/>
  <c r="AV387" i="2"/>
  <c r="AW387" i="2"/>
  <c r="AX387" i="2"/>
  <c r="AY387" i="2"/>
  <c r="AR387" i="2"/>
  <c r="AP387" i="2"/>
  <c r="AQ387" i="2"/>
  <c r="AQ400" i="2"/>
  <c r="AU400" i="2"/>
  <c r="AW400" i="2"/>
  <c r="AY400" i="2"/>
  <c r="AP400" i="2"/>
  <c r="AR400" i="2"/>
  <c r="AT400" i="2"/>
  <c r="AV400" i="2"/>
  <c r="AX400" i="2"/>
  <c r="AU404" i="2"/>
  <c r="AR404" i="2"/>
  <c r="AV404" i="2"/>
  <c r="AT404" i="2"/>
  <c r="AX404" i="2"/>
  <c r="AQ404" i="2"/>
  <c r="AW404" i="2"/>
  <c r="AY404" i="2"/>
  <c r="AP404" i="2"/>
  <c r="AY396" i="2"/>
  <c r="AW396" i="2"/>
  <c r="AX396" i="2"/>
  <c r="AP396" i="2"/>
  <c r="AQ396" i="2"/>
  <c r="AR396" i="2"/>
  <c r="AT396" i="2"/>
  <c r="AU396" i="2"/>
  <c r="AV396" i="2"/>
  <c r="AQ398" i="2"/>
  <c r="AR398" i="2"/>
  <c r="AV398" i="2"/>
  <c r="AP398" i="2"/>
  <c r="AT398" i="2"/>
  <c r="AU398" i="2"/>
  <c r="AW398" i="2"/>
  <c r="AX398" i="2"/>
  <c r="AY398" i="2"/>
  <c r="AV409" i="2"/>
  <c r="AW409" i="2"/>
  <c r="AX409" i="2"/>
  <c r="AR409" i="2"/>
  <c r="AT409" i="2"/>
  <c r="AY409" i="2"/>
  <c r="AP409" i="2"/>
  <c r="AU409" i="2"/>
  <c r="AQ409" i="2"/>
  <c r="AR410" i="2"/>
  <c r="AV410" i="2"/>
  <c r="AX410" i="2"/>
  <c r="AY410" i="2"/>
  <c r="AU410" i="2"/>
  <c r="AW410" i="2"/>
  <c r="AT410" i="2"/>
  <c r="AP410" i="2"/>
  <c r="AQ410" i="2"/>
  <c r="AT395" i="2"/>
  <c r="AY395" i="2"/>
  <c r="AW395" i="2"/>
  <c r="AX395" i="2"/>
  <c r="AV395" i="2"/>
  <c r="AU395" i="2"/>
  <c r="AR395" i="2"/>
  <c r="AP395" i="2"/>
  <c r="AQ395" i="2"/>
  <c r="AW407" i="2"/>
  <c r="AQ407" i="2"/>
  <c r="AT407" i="2"/>
  <c r="AR407" i="2"/>
  <c r="AP407" i="2"/>
  <c r="AU407" i="2"/>
  <c r="AV407" i="2"/>
  <c r="AX407" i="2"/>
  <c r="AY407" i="2"/>
  <c r="J333" i="2"/>
  <c r="I318" i="17" s="1"/>
  <c r="O3" i="6"/>
  <c r="S54" i="34" l="1"/>
  <c r="BF24" i="2"/>
  <c r="BC23" i="2"/>
  <c r="BC24" i="2" s="1"/>
  <c r="BE241" i="2"/>
  <c r="BF241" i="2" s="1"/>
  <c r="BD23" i="2"/>
  <c r="BD24" i="2" s="1"/>
  <c r="AT210" i="2"/>
  <c r="AJ210" i="2"/>
  <c r="AT209" i="2"/>
  <c r="AJ209" i="2"/>
  <c r="AQ209" i="2"/>
  <c r="AG209" i="2"/>
  <c r="AR210" i="2"/>
  <c r="AH210" i="2"/>
  <c r="AX209" i="2"/>
  <c r="AN209" i="2"/>
  <c r="AX210" i="2"/>
  <c r="AN210" i="2"/>
  <c r="AU210" i="2"/>
  <c r="AK210" i="2"/>
  <c r="AV210" i="2"/>
  <c r="AL210" i="2"/>
  <c r="AU209" i="2"/>
  <c r="AK209" i="2"/>
  <c r="AW210" i="2"/>
  <c r="AM210" i="2"/>
  <c r="AV209" i="2"/>
  <c r="AL209" i="2"/>
  <c r="AY209" i="2"/>
  <c r="AO209" i="2"/>
  <c r="AR209" i="2"/>
  <c r="AH209" i="2"/>
  <c r="AY210" i="2"/>
  <c r="AO210" i="2"/>
  <c r="AW209" i="2"/>
  <c r="AM209" i="2"/>
  <c r="AQ210" i="2"/>
  <c r="AG210" i="2"/>
  <c r="J256" i="2"/>
  <c r="I241" i="17" s="1"/>
  <c r="I16" i="15"/>
  <c r="J16" i="15" s="1"/>
  <c r="I332" i="17"/>
  <c r="I22" i="15"/>
  <c r="J22" i="15" s="1"/>
  <c r="I338" i="17"/>
  <c r="I13" i="15"/>
  <c r="J13" i="15" s="1"/>
  <c r="I329" i="17"/>
  <c r="V456" i="6"/>
  <c r="V452" i="6"/>
  <c r="V439" i="6"/>
  <c r="V422" i="6"/>
  <c r="I18" i="15"/>
  <c r="J18" i="15" s="1"/>
  <c r="I334" i="17"/>
  <c r="I23" i="15"/>
  <c r="K23" i="15" s="1"/>
  <c r="I339" i="17"/>
  <c r="I12" i="15"/>
  <c r="J12" i="15" s="1"/>
  <c r="I328" i="17"/>
  <c r="I20" i="15"/>
  <c r="J20" i="15" s="1"/>
  <c r="I336" i="17"/>
  <c r="I11" i="15"/>
  <c r="K11" i="15" s="1"/>
  <c r="I327" i="17"/>
  <c r="I14" i="15"/>
  <c r="J14" i="15" s="1"/>
  <c r="I330" i="17"/>
  <c r="I15" i="15"/>
  <c r="K15" i="15" s="1"/>
  <c r="I331" i="17"/>
  <c r="I17" i="15"/>
  <c r="K17" i="15" s="1"/>
  <c r="I333" i="17"/>
  <c r="I4" i="15"/>
  <c r="K4" i="15" s="1"/>
  <c r="I320" i="17"/>
  <c r="I5" i="15"/>
  <c r="J5" i="15" s="1"/>
  <c r="I321" i="17"/>
  <c r="I21" i="15"/>
  <c r="J21" i="15" s="1"/>
  <c r="I337" i="17"/>
  <c r="I24" i="15"/>
  <c r="J24" i="15" s="1"/>
  <c r="I340" i="17"/>
  <c r="J24" i="12"/>
  <c r="K24" i="12"/>
  <c r="V395" i="6"/>
  <c r="V387" i="6"/>
  <c r="V380" i="6"/>
  <c r="V385" i="6"/>
  <c r="V390" i="6"/>
  <c r="V391" i="6"/>
  <c r="V382" i="6"/>
  <c r="V384" i="6"/>
  <c r="V399" i="6"/>
  <c r="Z399" i="6" s="1"/>
  <c r="M398" i="17" s="1"/>
  <c r="V374" i="6"/>
  <c r="V375" i="6"/>
  <c r="V386" i="6"/>
  <c r="V396" i="6"/>
  <c r="V376" i="6"/>
  <c r="V392" i="6"/>
  <c r="V397" i="6"/>
  <c r="V381" i="6"/>
  <c r="V377" i="6"/>
  <c r="V389" i="6"/>
  <c r="V393" i="6"/>
  <c r="V398" i="6"/>
  <c r="V378" i="6"/>
  <c r="V394" i="6"/>
  <c r="V383" i="6"/>
  <c r="V388" i="6"/>
  <c r="V373" i="6"/>
  <c r="Z373" i="6" s="1"/>
  <c r="M372" i="17" s="1"/>
  <c r="V379" i="6"/>
  <c r="V363" i="6"/>
  <c r="V367" i="6"/>
  <c r="V328" i="6"/>
  <c r="V327" i="6"/>
  <c r="V332" i="6"/>
  <c r="V337" i="6"/>
  <c r="V323" i="6"/>
  <c r="V338" i="6"/>
  <c r="V333" i="6"/>
  <c r="V329" i="6"/>
  <c r="V334" i="6"/>
  <c r="V339" i="6"/>
  <c r="V324" i="6"/>
  <c r="V335" i="6"/>
  <c r="V340" i="6"/>
  <c r="V325" i="6"/>
  <c r="V330" i="6"/>
  <c r="V326" i="6"/>
  <c r="V331" i="6"/>
  <c r="V336" i="6"/>
  <c r="V341" i="6"/>
  <c r="V316" i="6"/>
  <c r="V311" i="6"/>
  <c r="V310" i="6"/>
  <c r="V292" i="6"/>
  <c r="V289" i="6"/>
  <c r="V288" i="6"/>
  <c r="V287" i="6"/>
  <c r="V286" i="6"/>
  <c r="V269" i="6"/>
  <c r="V285" i="6"/>
  <c r="V267" i="6"/>
  <c r="J267" i="2"/>
  <c r="J252" i="2"/>
  <c r="J250" i="2"/>
  <c r="J243" i="2"/>
  <c r="J268" i="2"/>
  <c r="J270" i="2"/>
  <c r="J251" i="2"/>
  <c r="J263" i="2"/>
  <c r="I248" i="17" s="1"/>
  <c r="J246" i="2"/>
  <c r="J247" i="2"/>
  <c r="J272" i="2"/>
  <c r="J249" i="2"/>
  <c r="J245" i="2"/>
  <c r="J248" i="2"/>
  <c r="J244" i="2"/>
  <c r="J264" i="2"/>
  <c r="I249" i="17" s="1"/>
  <c r="J253" i="2"/>
  <c r="I238" i="17" s="1"/>
  <c r="J242" i="2"/>
  <c r="I227" i="17" s="1"/>
  <c r="J273" i="2"/>
  <c r="I258" i="17" s="1"/>
  <c r="V235" i="6"/>
  <c r="V236" i="6"/>
  <c r="V237" i="6"/>
  <c r="V230" i="6"/>
  <c r="V238" i="6"/>
  <c r="V232" i="6"/>
  <c r="V233" i="6"/>
  <c r="V234" i="6"/>
  <c r="AP210" i="2"/>
  <c r="V194" i="6"/>
  <c r="V177" i="6"/>
  <c r="V163" i="6"/>
  <c r="V133" i="6"/>
  <c r="V126" i="6"/>
  <c r="V147" i="6"/>
  <c r="V127" i="6"/>
  <c r="V150" i="6"/>
  <c r="V104" i="6"/>
  <c r="Y23" i="16" s="1"/>
  <c r="V111" i="6"/>
  <c r="V112" i="6"/>
  <c r="V110" i="6"/>
  <c r="V108" i="6"/>
  <c r="V109" i="6"/>
  <c r="V113" i="6"/>
  <c r="V107" i="6"/>
  <c r="Y2" i="9" s="1"/>
  <c r="K51" i="12"/>
  <c r="J25" i="12"/>
  <c r="K25" i="12"/>
  <c r="J23" i="12"/>
  <c r="K23" i="12"/>
  <c r="J57" i="12"/>
  <c r="K57" i="12"/>
  <c r="J22" i="12"/>
  <c r="K22" i="12"/>
  <c r="V41" i="6"/>
  <c r="V51" i="6"/>
  <c r="V47" i="6"/>
  <c r="V36" i="6"/>
  <c r="V74" i="6"/>
  <c r="V75" i="6"/>
  <c r="V44" i="6"/>
  <c r="I10" i="20"/>
  <c r="I3" i="15"/>
  <c r="J3" i="15" s="1"/>
  <c r="I2" i="15"/>
  <c r="K2" i="15" s="1"/>
  <c r="I8" i="20"/>
  <c r="I11" i="20"/>
  <c r="I14" i="20"/>
  <c r="I13" i="20"/>
  <c r="I12" i="20"/>
  <c r="I9" i="20"/>
  <c r="V407" i="6"/>
  <c r="V421" i="6"/>
  <c r="Z421" i="6" s="1"/>
  <c r="M420" i="17" s="1"/>
  <c r="V454" i="6"/>
  <c r="Z454" i="6" s="1"/>
  <c r="M453" i="17" s="1"/>
  <c r="V435" i="6"/>
  <c r="Z435" i="6" s="1"/>
  <c r="M434" i="17" s="1"/>
  <c r="V426" i="6"/>
  <c r="Z426" i="6" s="1"/>
  <c r="M425" i="17" s="1"/>
  <c r="J391" i="2"/>
  <c r="I376" i="17" s="1"/>
  <c r="J408" i="2"/>
  <c r="I393" i="17" s="1"/>
  <c r="J396" i="2"/>
  <c r="I381" i="17" s="1"/>
  <c r="J409" i="2"/>
  <c r="I394" i="17" s="1"/>
  <c r="J400" i="2"/>
  <c r="I385" i="17" s="1"/>
  <c r="J398" i="2"/>
  <c r="I383" i="17" s="1"/>
  <c r="J392" i="2"/>
  <c r="I377" i="17" s="1"/>
  <c r="J394" i="2"/>
  <c r="I379" i="17" s="1"/>
  <c r="J411" i="2"/>
  <c r="I396" i="17" s="1"/>
  <c r="J410" i="2"/>
  <c r="I395" i="17" s="1"/>
  <c r="J412" i="2"/>
  <c r="I397" i="17" s="1"/>
  <c r="J389" i="2"/>
  <c r="I374" i="17" s="1"/>
  <c r="J388" i="2"/>
  <c r="I373" i="17" s="1"/>
  <c r="J393" i="2"/>
  <c r="I378" i="17" s="1"/>
  <c r="J395" i="2"/>
  <c r="I380" i="17" s="1"/>
  <c r="J399" i="2"/>
  <c r="I384" i="17" s="1"/>
  <c r="J390" i="2"/>
  <c r="I375" i="17" s="1"/>
  <c r="J387" i="2"/>
  <c r="I372" i="17" s="1"/>
  <c r="J386" i="2"/>
  <c r="I371" i="17" s="1"/>
  <c r="V209" i="6"/>
  <c r="Y57" i="21" s="1"/>
  <c r="V361" i="6"/>
  <c r="V43" i="6"/>
  <c r="X23" i="12" s="1"/>
  <c r="V135" i="6"/>
  <c r="Y30" i="9" s="1"/>
  <c r="J407" i="2"/>
  <c r="I392" i="17" s="1"/>
  <c r="J403" i="2"/>
  <c r="I388" i="17" s="1"/>
  <c r="V258" i="6"/>
  <c r="X33" i="10" s="1"/>
  <c r="V366" i="6"/>
  <c r="W24" i="14" s="1"/>
  <c r="V430" i="6"/>
  <c r="Z430" i="6" s="1"/>
  <c r="M429" i="17" s="1"/>
  <c r="V220" i="6"/>
  <c r="Y68" i="21" s="1"/>
  <c r="V144" i="6"/>
  <c r="Y39" i="9" s="1"/>
  <c r="V224" i="6"/>
  <c r="Y72" i="21" s="1"/>
  <c r="V29" i="6"/>
  <c r="V414" i="6"/>
  <c r="V121" i="6"/>
  <c r="Y16" i="9" s="1"/>
  <c r="V280" i="6"/>
  <c r="Y20" i="8" s="1"/>
  <c r="V212" i="6"/>
  <c r="Y60" i="21" s="1"/>
  <c r="V157" i="6"/>
  <c r="Y5" i="21" s="1"/>
  <c r="V93" i="6"/>
  <c r="Y12" i="16" s="1"/>
  <c r="V60" i="6"/>
  <c r="V125" i="6"/>
  <c r="Y20" i="9" s="1"/>
  <c r="V451" i="6"/>
  <c r="Z451" i="6" s="1"/>
  <c r="M450" i="17" s="1"/>
  <c r="V278" i="6"/>
  <c r="Y18" i="8" s="1"/>
  <c r="V207" i="6"/>
  <c r="Y55" i="21" s="1"/>
  <c r="V446" i="6"/>
  <c r="Z446" i="6" s="1"/>
  <c r="M445" i="17" s="1"/>
  <c r="V279" i="6"/>
  <c r="Y19" i="8" s="1"/>
  <c r="V24" i="6"/>
  <c r="V255" i="6"/>
  <c r="X30" i="10" s="1"/>
  <c r="V27" i="6"/>
  <c r="V241" i="6"/>
  <c r="X16" i="10" s="1"/>
  <c r="V314" i="6"/>
  <c r="Y54" i="8" s="1"/>
  <c r="V271" i="6"/>
  <c r="Y11" i="8" s="1"/>
  <c r="V265" i="6"/>
  <c r="Y5" i="8" s="1"/>
  <c r="V263" i="6"/>
  <c r="Y3" i="8" s="1"/>
  <c r="V437" i="6"/>
  <c r="Z437" i="6" s="1"/>
  <c r="M436" i="17" s="1"/>
  <c r="V101" i="6"/>
  <c r="Y20" i="16" s="1"/>
  <c r="V175" i="6"/>
  <c r="Y23" i="21" s="1"/>
  <c r="V444" i="6"/>
  <c r="Z444" i="6" s="1"/>
  <c r="M443" i="17" s="1"/>
  <c r="V239" i="6"/>
  <c r="X14" i="10" s="1"/>
  <c r="V214" i="6"/>
  <c r="Y62" i="21" s="1"/>
  <c r="V351" i="6"/>
  <c r="W9" i="14" s="1"/>
  <c r="V408" i="6"/>
  <c r="V102" i="6"/>
  <c r="Y21" i="16" s="1"/>
  <c r="V424" i="6"/>
  <c r="Z424" i="6" s="1"/>
  <c r="M423" i="17" s="1"/>
  <c r="V270" i="6"/>
  <c r="Y10" i="8" s="1"/>
  <c r="V173" i="6"/>
  <c r="Y21" i="21" s="1"/>
  <c r="V302" i="6"/>
  <c r="Y42" i="8" s="1"/>
  <c r="V62" i="6"/>
  <c r="V282" i="6"/>
  <c r="Y22" i="8" s="1"/>
  <c r="V246" i="6"/>
  <c r="X21" i="10" s="1"/>
  <c r="V276" i="6"/>
  <c r="Y16" i="8" s="1"/>
  <c r="V358" i="6"/>
  <c r="V124" i="6"/>
  <c r="Y19" i="9" s="1"/>
  <c r="V299" i="6"/>
  <c r="Y39" i="8" s="1"/>
  <c r="V114" i="6"/>
  <c r="Y9" i="9" s="1"/>
  <c r="V78" i="6"/>
  <c r="X58" i="12" s="1"/>
  <c r="V73" i="6"/>
  <c r="V309" i="6"/>
  <c r="Y49" i="8" s="1"/>
  <c r="V447" i="6"/>
  <c r="Z447" i="6" s="1"/>
  <c r="M446" i="17" s="1"/>
  <c r="V243" i="6"/>
  <c r="X18" i="10" s="1"/>
  <c r="V132" i="6"/>
  <c r="Y27" i="9" s="1"/>
  <c r="V436" i="6"/>
  <c r="Z436" i="6" s="1"/>
  <c r="M435" i="17" s="1"/>
  <c r="V409" i="6"/>
  <c r="V71" i="6"/>
  <c r="V281" i="6"/>
  <c r="Y21" i="8" s="1"/>
  <c r="V354" i="6"/>
  <c r="W12" i="14" s="1"/>
  <c r="V95" i="6"/>
  <c r="Y14" i="16" s="1"/>
  <c r="V365" i="6"/>
  <c r="W23" i="14" s="1"/>
  <c r="V103" i="6"/>
  <c r="Y22" i="16" s="1"/>
  <c r="V227" i="6"/>
  <c r="V186" i="6"/>
  <c r="Y34" i="21" s="1"/>
  <c r="V61" i="6"/>
  <c r="V266" i="6"/>
  <c r="Y6" i="8" s="1"/>
  <c r="V46" i="6"/>
  <c r="V170" i="6"/>
  <c r="Y18" i="21" s="1"/>
  <c r="V412" i="6"/>
  <c r="V120" i="6"/>
  <c r="Y15" i="9" s="1"/>
  <c r="V242" i="6"/>
  <c r="X17" i="10" s="1"/>
  <c r="V202" i="6"/>
  <c r="Y50" i="21" s="1"/>
  <c r="V262" i="6"/>
  <c r="Y2" i="8" s="1"/>
  <c r="V148" i="6"/>
  <c r="Y43" i="9" s="1"/>
  <c r="V149" i="6"/>
  <c r="Y44" i="9" s="1"/>
  <c r="V284" i="6"/>
  <c r="Y24" i="8" s="1"/>
  <c r="V440" i="6"/>
  <c r="Z440" i="6" s="1"/>
  <c r="M439" i="17" s="1"/>
  <c r="V356" i="6"/>
  <c r="W14" i="14" s="1"/>
  <c r="V303" i="6"/>
  <c r="Y43" i="8" s="1"/>
  <c r="V141" i="6"/>
  <c r="Y36" i="9" s="1"/>
  <c r="V274" i="6"/>
  <c r="Y14" i="8" s="1"/>
  <c r="V45" i="6"/>
  <c r="V217" i="6"/>
  <c r="Y65" i="21" s="1"/>
  <c r="V259" i="6"/>
  <c r="X34" i="10" s="1"/>
  <c r="V171" i="6"/>
  <c r="Y19" i="21" s="1"/>
  <c r="V88" i="6"/>
  <c r="Y7" i="16" s="1"/>
  <c r="V183" i="6"/>
  <c r="Y31" i="21" s="1"/>
  <c r="V65" i="6"/>
  <c r="V349" i="6"/>
  <c r="W7" i="14" s="1"/>
  <c r="V344" i="6"/>
  <c r="Z344" i="6" s="1"/>
  <c r="M343" i="17" s="1"/>
  <c r="V38" i="6"/>
  <c r="V182" i="6"/>
  <c r="Y30" i="21" s="1"/>
  <c r="V293" i="6"/>
  <c r="Y33" i="8" s="1"/>
  <c r="V215" i="6"/>
  <c r="Y63" i="21" s="1"/>
  <c r="V154" i="6"/>
  <c r="Y2" i="21" s="1"/>
  <c r="V52" i="6"/>
  <c r="V213" i="6"/>
  <c r="Y61" i="21" s="1"/>
  <c r="V178" i="6"/>
  <c r="Y26" i="21" s="1"/>
  <c r="V229" i="6"/>
  <c r="X4" i="10" s="1"/>
  <c r="V434" i="6"/>
  <c r="Z434" i="6" s="1"/>
  <c r="M433" i="17" s="1"/>
  <c r="V294" i="6"/>
  <c r="Y34" i="8" s="1"/>
  <c r="V346" i="6"/>
  <c r="W4" i="14" s="1"/>
  <c r="V296" i="6"/>
  <c r="Y36" i="8" s="1"/>
  <c r="V119" i="6"/>
  <c r="Y14" i="9" s="1"/>
  <c r="V165" i="6"/>
  <c r="Y13" i="21" s="1"/>
  <c r="V416" i="6"/>
  <c r="V228" i="6"/>
  <c r="V410" i="6"/>
  <c r="V40" i="6"/>
  <c r="V216" i="6"/>
  <c r="Y64" i="21" s="1"/>
  <c r="V162" i="6"/>
  <c r="Y10" i="21" s="1"/>
  <c r="V283" i="6"/>
  <c r="Y23" i="8" s="1"/>
  <c r="V245" i="6"/>
  <c r="X20" i="10" s="1"/>
  <c r="V300" i="6"/>
  <c r="Y40" i="8" s="1"/>
  <c r="V168" i="6"/>
  <c r="Y16" i="21" s="1"/>
  <c r="V87" i="6"/>
  <c r="Y6" i="16" s="1"/>
  <c r="V304" i="6"/>
  <c r="Y44" i="8" s="1"/>
  <c r="V160" i="6"/>
  <c r="Y8" i="21" s="1"/>
  <c r="V83" i="6"/>
  <c r="V297" i="6"/>
  <c r="Y37" i="8" s="1"/>
  <c r="V195" i="6"/>
  <c r="Y43" i="21" s="1"/>
  <c r="V53" i="6"/>
  <c r="V193" i="6"/>
  <c r="Y41" i="21" s="1"/>
  <c r="V357" i="6"/>
  <c r="V131" i="6"/>
  <c r="Y26" i="9" s="1"/>
  <c r="V406" i="6"/>
  <c r="V203" i="6"/>
  <c r="Y51" i="21" s="1"/>
  <c r="V291" i="6"/>
  <c r="Y31" i="8" s="1"/>
  <c r="V308" i="6"/>
  <c r="Y48" i="8" s="1"/>
  <c r="V187" i="6"/>
  <c r="Y35" i="21" s="1"/>
  <c r="V129" i="6"/>
  <c r="Y24" i="9" s="1"/>
  <c r="V231" i="6"/>
  <c r="X6" i="10" s="1"/>
  <c r="V290" i="6"/>
  <c r="Y30" i="8" s="1"/>
  <c r="V206" i="6"/>
  <c r="Y54" i="21" s="1"/>
  <c r="V353" i="6"/>
  <c r="W11" i="14" s="1"/>
  <c r="V85" i="6"/>
  <c r="Y4" i="16" s="1"/>
  <c r="V248" i="6"/>
  <c r="X23" i="10" s="1"/>
  <c r="V72" i="6"/>
  <c r="V55" i="6"/>
  <c r="V26" i="6"/>
  <c r="V23" i="6"/>
  <c r="V84" i="6"/>
  <c r="Y3" i="16" s="1"/>
  <c r="V445" i="6"/>
  <c r="Z445" i="6" s="1"/>
  <c r="M444" i="17" s="1"/>
  <c r="V453" i="6"/>
  <c r="Z453" i="6" s="1"/>
  <c r="M452" i="17" s="1"/>
  <c r="V122" i="6"/>
  <c r="Y17" i="9" s="1"/>
  <c r="V185" i="6"/>
  <c r="Y33" i="21" s="1"/>
  <c r="V32" i="6"/>
  <c r="V420" i="6"/>
  <c r="Z420" i="6" s="1"/>
  <c r="M419" i="17" s="1"/>
  <c r="V98" i="6"/>
  <c r="Y17" i="16" s="1"/>
  <c r="V372" i="6"/>
  <c r="Z372" i="6" s="1"/>
  <c r="M371" i="17" s="1"/>
  <c r="V411" i="6"/>
  <c r="V33" i="6"/>
  <c r="V70" i="6"/>
  <c r="V321" i="6"/>
  <c r="X4" i="15" s="1"/>
  <c r="V90" i="6"/>
  <c r="Y9" i="16" s="1"/>
  <c r="V347" i="6"/>
  <c r="W5" i="14" s="1"/>
  <c r="V223" i="6"/>
  <c r="Y71" i="21" s="1"/>
  <c r="V188" i="6"/>
  <c r="Y36" i="21" s="1"/>
  <c r="V134" i="6"/>
  <c r="Y29" i="9" s="1"/>
  <c r="V315" i="6"/>
  <c r="Y55" i="8" s="1"/>
  <c r="V320" i="6"/>
  <c r="V92" i="6"/>
  <c r="Y11" i="16" s="1"/>
  <c r="V417" i="6"/>
  <c r="V359" i="6"/>
  <c r="W17" i="14" s="1"/>
  <c r="V50" i="6"/>
  <c r="V298" i="6"/>
  <c r="Y38" i="8" s="1"/>
  <c r="V350" i="6"/>
  <c r="W8" i="14" s="1"/>
  <c r="V441" i="6"/>
  <c r="Z441" i="6" s="1"/>
  <c r="M440" i="17" s="1"/>
  <c r="V35" i="6"/>
  <c r="V348" i="6"/>
  <c r="W6" i="14" s="1"/>
  <c r="V96" i="6"/>
  <c r="Y15" i="16" s="1"/>
  <c r="V143" i="6"/>
  <c r="Y38" i="9" s="1"/>
  <c r="V39" i="6"/>
  <c r="V244" i="6"/>
  <c r="X19" i="10" s="1"/>
  <c r="V77" i="6"/>
  <c r="X57" i="12" s="1"/>
  <c r="V364" i="6"/>
  <c r="W22" i="14" s="1"/>
  <c r="V402" i="6"/>
  <c r="V415" i="6"/>
  <c r="V64" i="6"/>
  <c r="V172" i="6"/>
  <c r="Y20" i="21" s="1"/>
  <c r="V305" i="6"/>
  <c r="Y45" i="8" s="1"/>
  <c r="V54" i="6"/>
  <c r="V156" i="6"/>
  <c r="Y4" i="21" s="1"/>
  <c r="V181" i="6"/>
  <c r="Y29" i="21" s="1"/>
  <c r="V79" i="6"/>
  <c r="X59" i="12" s="1"/>
  <c r="V155" i="6"/>
  <c r="Y3" i="21" s="1"/>
  <c r="V307" i="6"/>
  <c r="Y47" i="8" s="1"/>
  <c r="V268" i="6"/>
  <c r="Y8" i="8" s="1"/>
  <c r="AM201" i="6"/>
  <c r="V200" i="6"/>
  <c r="Y48" i="21" s="1"/>
  <c r="V190" i="6"/>
  <c r="Y38" i="21" s="1"/>
  <c r="V167" i="6"/>
  <c r="Y15" i="21" s="1"/>
  <c r="V455" i="6"/>
  <c r="V115" i="6"/>
  <c r="Y10" i="9" s="1"/>
  <c r="V254" i="6"/>
  <c r="X29" i="10" s="1"/>
  <c r="V128" i="6"/>
  <c r="Y23" i="9" s="1"/>
  <c r="V450" i="6"/>
  <c r="Z450" i="6" s="1"/>
  <c r="M449" i="17" s="1"/>
  <c r="V405" i="6"/>
  <c r="V180" i="6"/>
  <c r="Y28" i="21" s="1"/>
  <c r="V432" i="6"/>
  <c r="Z432" i="6" s="1"/>
  <c r="M431" i="17" s="1"/>
  <c r="V251" i="6"/>
  <c r="X26" i="10" s="1"/>
  <c r="V59" i="6"/>
  <c r="V166" i="6"/>
  <c r="Y14" i="21" s="1"/>
  <c r="V22" i="6"/>
  <c r="X2" i="12" s="1"/>
  <c r="V256" i="6"/>
  <c r="X31" i="10" s="1"/>
  <c r="V169" i="6"/>
  <c r="V199" i="6"/>
  <c r="Y47" i="21" s="1"/>
  <c r="V443" i="6"/>
  <c r="Z443" i="6" s="1"/>
  <c r="M442" i="17" s="1"/>
  <c r="V158" i="6"/>
  <c r="Y6" i="21" s="1"/>
  <c r="V67" i="6"/>
  <c r="V138" i="6"/>
  <c r="Y33" i="9" s="1"/>
  <c r="V208" i="6"/>
  <c r="Y56" i="21" s="1"/>
  <c r="V427" i="6"/>
  <c r="Z427" i="6" s="1"/>
  <c r="M426" i="17" s="1"/>
  <c r="V30" i="6"/>
  <c r="V192" i="6"/>
  <c r="Y40" i="21" s="1"/>
  <c r="V306" i="6"/>
  <c r="Y46" i="8" s="1"/>
  <c r="V264" i="6"/>
  <c r="Y4" i="8" s="1"/>
  <c r="V86" i="6"/>
  <c r="Y5" i="16" s="1"/>
  <c r="V249" i="6"/>
  <c r="X24" i="10" s="1"/>
  <c r="V49" i="6"/>
  <c r="V80" i="6"/>
  <c r="X60" i="12" s="1"/>
  <c r="V218" i="6"/>
  <c r="Y66" i="21" s="1"/>
  <c r="V136" i="6"/>
  <c r="Y31" i="9" s="1"/>
  <c r="V174" i="6"/>
  <c r="Y22" i="21" s="1"/>
  <c r="V360" i="6"/>
  <c r="W18" i="14" s="1"/>
  <c r="V123" i="6"/>
  <c r="Y18" i="9" s="1"/>
  <c r="V191" i="6"/>
  <c r="Y39" i="21" s="1"/>
  <c r="V58" i="6"/>
  <c r="V161" i="6"/>
  <c r="Y9" i="21" s="1"/>
  <c r="V449" i="6"/>
  <c r="Z449" i="6" s="1"/>
  <c r="M448" i="17" s="1"/>
  <c r="V196" i="6"/>
  <c r="Y44" i="21" s="1"/>
  <c r="V419" i="6"/>
  <c r="Z419" i="6" s="1"/>
  <c r="M418" i="17" s="1"/>
  <c r="V205" i="6"/>
  <c r="Y53" i="21" s="1"/>
  <c r="V25" i="6"/>
  <c r="V94" i="6"/>
  <c r="Y13" i="16" s="1"/>
  <c r="V42" i="6"/>
  <c r="V222" i="6"/>
  <c r="Y70" i="21" s="1"/>
  <c r="V431" i="6"/>
  <c r="Z431" i="6" s="1"/>
  <c r="M430" i="17" s="1"/>
  <c r="V442" i="6"/>
  <c r="Z442" i="6" s="1"/>
  <c r="M441" i="17" s="1"/>
  <c r="V322" i="6"/>
  <c r="X5" i="15" s="1"/>
  <c r="V198" i="6"/>
  <c r="Y46" i="21" s="1"/>
  <c r="V369" i="6"/>
  <c r="V277" i="6"/>
  <c r="Y17" i="8" s="1"/>
  <c r="V312" i="6"/>
  <c r="Y52" i="8" s="1"/>
  <c r="V37" i="6"/>
  <c r="V204" i="6"/>
  <c r="Y52" i="21" s="1"/>
  <c r="V179" i="6"/>
  <c r="Y27" i="21" s="1"/>
  <c r="V301" i="6"/>
  <c r="Y41" i="8" s="1"/>
  <c r="V438" i="6"/>
  <c r="Z438" i="6" s="1"/>
  <c r="M437" i="17" s="1"/>
  <c r="V272" i="6"/>
  <c r="Y12" i="8" s="1"/>
  <c r="V117" i="6"/>
  <c r="Y12" i="9" s="1"/>
  <c r="V99" i="6"/>
  <c r="Y18" i="16" s="1"/>
  <c r="V145" i="6"/>
  <c r="Y40" i="9" s="1"/>
  <c r="V100" i="6"/>
  <c r="Y19" i="16" s="1"/>
  <c r="V146" i="6"/>
  <c r="Y41" i="9" s="1"/>
  <c r="V176" i="6"/>
  <c r="Y24" i="21" s="1"/>
  <c r="V142" i="6"/>
  <c r="Y37" i="9" s="1"/>
  <c r="V404" i="6"/>
  <c r="V137" i="6"/>
  <c r="Y32" i="9" s="1"/>
  <c r="V211" i="6"/>
  <c r="Y59" i="21" s="1"/>
  <c r="V69" i="6"/>
  <c r="V197" i="6"/>
  <c r="Y45" i="21" s="1"/>
  <c r="V429" i="6"/>
  <c r="Z429" i="6" s="1"/>
  <c r="M428" i="17" s="1"/>
  <c r="V151" i="6"/>
  <c r="Y46" i="9" s="1"/>
  <c r="V210" i="6"/>
  <c r="Y58" i="21" s="1"/>
  <c r="V34" i="6"/>
  <c r="V240" i="6"/>
  <c r="X15" i="10" s="1"/>
  <c r="V140" i="6"/>
  <c r="Y35" i="9" s="1"/>
  <c r="V345" i="6"/>
  <c r="V362" i="6"/>
  <c r="W20" i="14" s="1"/>
  <c r="V252" i="6"/>
  <c r="X27" i="10" s="1"/>
  <c r="V118" i="6"/>
  <c r="Y13" i="9" s="1"/>
  <c r="V66" i="6"/>
  <c r="V257" i="6"/>
  <c r="X32" i="10" s="1"/>
  <c r="V201" i="6"/>
  <c r="Y49" i="21" s="1"/>
  <c r="V159" i="6"/>
  <c r="Y7" i="21" s="1"/>
  <c r="V76" i="6"/>
  <c r="X56" i="12" s="1"/>
  <c r="V428" i="6"/>
  <c r="Z428" i="6" s="1"/>
  <c r="M427" i="17" s="1"/>
  <c r="V91" i="6"/>
  <c r="Y10" i="16" s="1"/>
  <c r="V221" i="6"/>
  <c r="Y69" i="21" s="1"/>
  <c r="V63" i="6"/>
  <c r="V423" i="6"/>
  <c r="Z423" i="6" s="1"/>
  <c r="M422" i="17" s="1"/>
  <c r="V31" i="6"/>
  <c r="V413" i="6"/>
  <c r="V130" i="6"/>
  <c r="Y25" i="9" s="1"/>
  <c r="V352" i="6"/>
  <c r="W10" i="14" s="1"/>
  <c r="V184" i="6"/>
  <c r="Y32" i="21" s="1"/>
  <c r="V425" i="6"/>
  <c r="Z425" i="6" s="1"/>
  <c r="M424" i="17" s="1"/>
  <c r="V295" i="6"/>
  <c r="Y35" i="8" s="1"/>
  <c r="V275" i="6"/>
  <c r="Y15" i="8" s="1"/>
  <c r="V250" i="6"/>
  <c r="X25" i="10" s="1"/>
  <c r="V273" i="6"/>
  <c r="Y13" i="8" s="1"/>
  <c r="V247" i="6"/>
  <c r="X22" i="10" s="1"/>
  <c r="V164" i="6"/>
  <c r="Y12" i="21" s="1"/>
  <c r="V368" i="6"/>
  <c r="V189" i="6"/>
  <c r="Y37" i="21" s="1"/>
  <c r="V433" i="6"/>
  <c r="Z433" i="6" s="1"/>
  <c r="M432" i="17" s="1"/>
  <c r="V57" i="6"/>
  <c r="V219" i="6"/>
  <c r="Y67" i="21" s="1"/>
  <c r="V253" i="6"/>
  <c r="X28" i="10" s="1"/>
  <c r="V116" i="6"/>
  <c r="Y11" i="9" s="1"/>
  <c r="V97" i="6"/>
  <c r="Y16" i="16" s="1"/>
  <c r="V319" i="6"/>
  <c r="V313" i="6"/>
  <c r="Y53" i="8" s="1"/>
  <c r="V68" i="6"/>
  <c r="V48" i="6"/>
  <c r="V139" i="6"/>
  <c r="Y34" i="9" s="1"/>
  <c r="V418" i="6"/>
  <c r="Z418" i="6" s="1"/>
  <c r="M417" i="17" s="1"/>
  <c r="V89" i="6"/>
  <c r="Y8" i="16" s="1"/>
  <c r="V56" i="6"/>
  <c r="V448" i="6"/>
  <c r="Z448" i="6" s="1"/>
  <c r="M447" i="17" s="1"/>
  <c r="V403" i="6"/>
  <c r="V28" i="6"/>
  <c r="J404" i="2"/>
  <c r="I389" i="17" s="1"/>
  <c r="J406" i="2"/>
  <c r="I391" i="17" s="1"/>
  <c r="J402" i="2"/>
  <c r="I387" i="17" s="1"/>
  <c r="S52" i="34" l="1"/>
  <c r="BE23" i="2"/>
  <c r="J241" i="2"/>
  <c r="K21" i="15"/>
  <c r="K13" i="15"/>
  <c r="K12" i="15"/>
  <c r="K16" i="15"/>
  <c r="J11" i="15"/>
  <c r="K24" i="15"/>
  <c r="K22" i="15"/>
  <c r="J15" i="15"/>
  <c r="J4" i="15"/>
  <c r="K18" i="15"/>
  <c r="K14" i="15"/>
  <c r="K20" i="15"/>
  <c r="I13" i="10"/>
  <c r="J13" i="10" s="1"/>
  <c r="I237" i="17"/>
  <c r="I33" i="10"/>
  <c r="J33" i="10" s="1"/>
  <c r="I257" i="17"/>
  <c r="K5" i="15"/>
  <c r="J17" i="15"/>
  <c r="X52" i="20"/>
  <c r="Z452" i="6"/>
  <c r="I8" i="10"/>
  <c r="J8" i="10" s="1"/>
  <c r="I232" i="17"/>
  <c r="J23" i="15"/>
  <c r="X56" i="20"/>
  <c r="Z456" i="6"/>
  <c r="I7" i="10"/>
  <c r="K7" i="10" s="1"/>
  <c r="I231" i="17"/>
  <c r="X55" i="20"/>
  <c r="Z455" i="6"/>
  <c r="I28" i="10"/>
  <c r="J28" i="10" s="1"/>
  <c r="I252" i="17"/>
  <c r="I5" i="10"/>
  <c r="J5" i="10" s="1"/>
  <c r="I229" i="17"/>
  <c r="X39" i="20"/>
  <c r="Z439" i="6"/>
  <c r="I12" i="10"/>
  <c r="J12" i="10" s="1"/>
  <c r="I236" i="17"/>
  <c r="I31" i="10"/>
  <c r="J31" i="10" s="1"/>
  <c r="I255" i="17"/>
  <c r="I29" i="10"/>
  <c r="J29" i="10" s="1"/>
  <c r="I253" i="17"/>
  <c r="I11" i="10"/>
  <c r="K11" i="10" s="1"/>
  <c r="I235" i="17"/>
  <c r="I9" i="10"/>
  <c r="K9" i="10" s="1"/>
  <c r="I233" i="17"/>
  <c r="I6" i="10"/>
  <c r="J6" i="10" s="1"/>
  <c r="I230" i="17"/>
  <c r="I10" i="10"/>
  <c r="J10" i="10" s="1"/>
  <c r="I234" i="17"/>
  <c r="X22" i="20"/>
  <c r="Z422" i="6"/>
  <c r="I4" i="10"/>
  <c r="K4" i="10" s="1"/>
  <c r="I228" i="17"/>
  <c r="H24" i="19"/>
  <c r="H7" i="19"/>
  <c r="Z379" i="6"/>
  <c r="W9" i="19"/>
  <c r="Z388" i="6"/>
  <c r="W18" i="19"/>
  <c r="Z383" i="6"/>
  <c r="W13" i="19"/>
  <c r="Z378" i="6"/>
  <c r="W8" i="19"/>
  <c r="Z398" i="6"/>
  <c r="W28" i="19"/>
  <c r="Z394" i="6"/>
  <c r="W24" i="19"/>
  <c r="H22" i="19"/>
  <c r="H20" i="19"/>
  <c r="Z393" i="6"/>
  <c r="W23" i="19"/>
  <c r="H19" i="19"/>
  <c r="Z389" i="6"/>
  <c r="W19" i="19"/>
  <c r="Z392" i="6"/>
  <c r="W22" i="19"/>
  <c r="H11" i="19"/>
  <c r="Z376" i="6"/>
  <c r="W6" i="19"/>
  <c r="H9" i="19"/>
  <c r="Z396" i="6"/>
  <c r="W26" i="19"/>
  <c r="Z386" i="6"/>
  <c r="W16" i="19"/>
  <c r="Z377" i="6"/>
  <c r="W7" i="19"/>
  <c r="H4" i="19"/>
  <c r="Z375" i="6"/>
  <c r="W5" i="19"/>
  <c r="H23" i="19"/>
  <c r="H5" i="19"/>
  <c r="Z374" i="6"/>
  <c r="W4" i="19"/>
  <c r="Z381" i="6"/>
  <c r="W11" i="19"/>
  <c r="H15" i="19"/>
  <c r="Z384" i="6"/>
  <c r="W14" i="19"/>
  <c r="H27" i="19"/>
  <c r="Z382" i="6"/>
  <c r="W12" i="19"/>
  <c r="H28" i="19"/>
  <c r="Z391" i="6"/>
  <c r="W21" i="19"/>
  <c r="H8" i="19"/>
  <c r="Z390" i="6"/>
  <c r="W20" i="19"/>
  <c r="H14" i="19"/>
  <c r="Z385" i="6"/>
  <c r="W15" i="19"/>
  <c r="H10" i="19"/>
  <c r="H16" i="19"/>
  <c r="Z380" i="6"/>
  <c r="W10" i="19"/>
  <c r="H6" i="19"/>
  <c r="Z397" i="6"/>
  <c r="W27" i="19"/>
  <c r="H26" i="19"/>
  <c r="H25" i="19"/>
  <c r="Z387" i="6"/>
  <c r="W17" i="19"/>
  <c r="H18" i="19"/>
  <c r="H12" i="19"/>
  <c r="Z395" i="6"/>
  <c r="W25" i="19"/>
  <c r="Z357" i="6"/>
  <c r="M356" i="17" s="1"/>
  <c r="W15" i="14"/>
  <c r="Z361" i="6"/>
  <c r="M360" i="17" s="1"/>
  <c r="W19" i="14"/>
  <c r="Z369" i="6"/>
  <c r="M368" i="17" s="1"/>
  <c r="W27" i="14"/>
  <c r="Z358" i="6"/>
  <c r="M357" i="17" s="1"/>
  <c r="W16" i="14"/>
  <c r="Z363" i="6"/>
  <c r="W21" i="14"/>
  <c r="Z368" i="6"/>
  <c r="M367" i="17" s="1"/>
  <c r="W26" i="14"/>
  <c r="Z367" i="6"/>
  <c r="W25" i="14"/>
  <c r="Z341" i="6"/>
  <c r="X24" i="15"/>
  <c r="Z336" i="6"/>
  <c r="X19" i="15"/>
  <c r="Z326" i="6"/>
  <c r="X9" i="15"/>
  <c r="Z331" i="6"/>
  <c r="X14" i="15"/>
  <c r="Z330" i="6"/>
  <c r="X13" i="15"/>
  <c r="Z335" i="6"/>
  <c r="X18" i="15"/>
  <c r="Z340" i="6"/>
  <c r="X23" i="15"/>
  <c r="Z334" i="6"/>
  <c r="X17" i="15"/>
  <c r="Z325" i="6"/>
  <c r="X8" i="15"/>
  <c r="Z329" i="6"/>
  <c r="X12" i="15"/>
  <c r="Z339" i="6"/>
  <c r="X22" i="15"/>
  <c r="Z333" i="6"/>
  <c r="X16" i="15"/>
  <c r="Z337" i="6"/>
  <c r="X20" i="15"/>
  <c r="Z332" i="6"/>
  <c r="X15" i="15"/>
  <c r="Z327" i="6"/>
  <c r="X10" i="15"/>
  <c r="Z323" i="6"/>
  <c r="X6" i="15"/>
  <c r="Z328" i="6"/>
  <c r="X11" i="15"/>
  <c r="Z324" i="6"/>
  <c r="X7" i="15"/>
  <c r="Z338" i="6"/>
  <c r="X21" i="15"/>
  <c r="Z267" i="6"/>
  <c r="Y7" i="8"/>
  <c r="Z269" i="6"/>
  <c r="Y9" i="8"/>
  <c r="Z286" i="6"/>
  <c r="Y26" i="8"/>
  <c r="Z287" i="6"/>
  <c r="Y27" i="8"/>
  <c r="Z288" i="6"/>
  <c r="Y28" i="8"/>
  <c r="Z289" i="6"/>
  <c r="Y29" i="8"/>
  <c r="Z292" i="6"/>
  <c r="Y32" i="8"/>
  <c r="Z310" i="6"/>
  <c r="Y50" i="8"/>
  <c r="Z285" i="6"/>
  <c r="Y25" i="8"/>
  <c r="Z311" i="6"/>
  <c r="Y51" i="8"/>
  <c r="Z316" i="6"/>
  <c r="Y56" i="8"/>
  <c r="Z299" i="6"/>
  <c r="Z295" i="6"/>
  <c r="Z300" i="6"/>
  <c r="M299" i="17" s="1"/>
  <c r="Z271" i="6"/>
  <c r="M270" i="17" s="1"/>
  <c r="Z283" i="6"/>
  <c r="M282" i="17" s="1"/>
  <c r="Z298" i="6"/>
  <c r="M297" i="17" s="1"/>
  <c r="Z274" i="6"/>
  <c r="M273" i="17" s="1"/>
  <c r="Z309" i="6"/>
  <c r="M308" i="17" s="1"/>
  <c r="Z279" i="6"/>
  <c r="M278" i="17" s="1"/>
  <c r="Z303" i="6"/>
  <c r="M302" i="17" s="1"/>
  <c r="Z278" i="6"/>
  <c r="M277" i="17" s="1"/>
  <c r="Z296" i="6"/>
  <c r="M295" i="17" s="1"/>
  <c r="Z276" i="6"/>
  <c r="M275" i="17" s="1"/>
  <c r="Z282" i="6"/>
  <c r="M281" i="17" s="1"/>
  <c r="Z291" i="6"/>
  <c r="M290" i="17" s="1"/>
  <c r="M18" i="17"/>
  <c r="Q21" i="1" s="1"/>
  <c r="Z305" i="6"/>
  <c r="M304" i="17" s="1"/>
  <c r="Z272" i="6"/>
  <c r="M271" i="17" s="1"/>
  <c r="Z290" i="6"/>
  <c r="M289" i="17" s="1"/>
  <c r="Z268" i="6"/>
  <c r="M267" i="17" s="1"/>
  <c r="Z280" i="6"/>
  <c r="M279" i="17" s="1"/>
  <c r="Z293" i="6"/>
  <c r="M292" i="17" s="1"/>
  <c r="Z301" i="6"/>
  <c r="M300" i="17" s="1"/>
  <c r="Z284" i="6"/>
  <c r="Z302" i="6"/>
  <c r="M301" i="17" s="1"/>
  <c r="Z277" i="6"/>
  <c r="M276" i="17" s="1"/>
  <c r="Z306" i="6"/>
  <c r="M305" i="17" s="1"/>
  <c r="Z266" i="6"/>
  <c r="M265" i="17" s="1"/>
  <c r="Z273" i="6"/>
  <c r="M272" i="17" s="1"/>
  <c r="Z304" i="6"/>
  <c r="M303" i="17" s="1"/>
  <c r="Z294" i="6"/>
  <c r="M293" i="17" s="1"/>
  <c r="Z307" i="6"/>
  <c r="M306" i="17" s="1"/>
  <c r="Z308" i="6"/>
  <c r="M307" i="17" s="1"/>
  <c r="Z270" i="6"/>
  <c r="M269" i="17" s="1"/>
  <c r="Z297" i="6"/>
  <c r="M296" i="17" s="1"/>
  <c r="Z275" i="6"/>
  <c r="M274" i="17" s="1"/>
  <c r="Z281" i="6"/>
  <c r="M280" i="17" s="1"/>
  <c r="Z234" i="6"/>
  <c r="X9" i="10"/>
  <c r="Z233" i="6"/>
  <c r="X8" i="10"/>
  <c r="Z232" i="6"/>
  <c r="X7" i="10"/>
  <c r="Z238" i="6"/>
  <c r="X13" i="10"/>
  <c r="Z230" i="6"/>
  <c r="X5" i="10"/>
  <c r="Z237" i="6"/>
  <c r="X12" i="10"/>
  <c r="Z236" i="6"/>
  <c r="X11" i="10"/>
  <c r="Z235" i="6"/>
  <c r="X10" i="10"/>
  <c r="I34" i="10"/>
  <c r="I25" i="10"/>
  <c r="I24" i="10"/>
  <c r="I17" i="10"/>
  <c r="I14" i="10"/>
  <c r="I3" i="10"/>
  <c r="K3" i="10" s="1"/>
  <c r="J209" i="2"/>
  <c r="I194" i="17" s="1"/>
  <c r="J210" i="2"/>
  <c r="Y17" i="21"/>
  <c r="Z169" i="6"/>
  <c r="Y11" i="21"/>
  <c r="Z163" i="6"/>
  <c r="Y25" i="21"/>
  <c r="Z177" i="6"/>
  <c r="Y42" i="21"/>
  <c r="Z194" i="6"/>
  <c r="Z113" i="6"/>
  <c r="Y8" i="9"/>
  <c r="Z109" i="6"/>
  <c r="Y4" i="9"/>
  <c r="Z108" i="6"/>
  <c r="Y3" i="9"/>
  <c r="Z110" i="6"/>
  <c r="Y5" i="9"/>
  <c r="Z112" i="6"/>
  <c r="Y7" i="9"/>
  <c r="Z111" i="6"/>
  <c r="Y6" i="9"/>
  <c r="Z150" i="6"/>
  <c r="Y45" i="9"/>
  <c r="Z127" i="6"/>
  <c r="Y22" i="9"/>
  <c r="Z147" i="6"/>
  <c r="Y42" i="9"/>
  <c r="Z126" i="6"/>
  <c r="Y21" i="9"/>
  <c r="Z133" i="6"/>
  <c r="Y28" i="9"/>
  <c r="AL109" i="6"/>
  <c r="AO109" i="6"/>
  <c r="AN109" i="6"/>
  <c r="AQ109" i="6"/>
  <c r="AR109" i="6"/>
  <c r="AJ109" i="6"/>
  <c r="AK109" i="6"/>
  <c r="AP109" i="6"/>
  <c r="AS109" i="6"/>
  <c r="AM109" i="6"/>
  <c r="Z104" i="6"/>
  <c r="Z35" i="6"/>
  <c r="X15" i="12"/>
  <c r="Z31" i="6"/>
  <c r="X11" i="12"/>
  <c r="Z28" i="6"/>
  <c r="X8" i="12"/>
  <c r="Z36" i="6"/>
  <c r="X16" i="12"/>
  <c r="Z33" i="6"/>
  <c r="X13" i="12"/>
  <c r="Z29" i="6"/>
  <c r="X9" i="12"/>
  <c r="Z34" i="6"/>
  <c r="X14" i="12"/>
  <c r="Z25" i="6"/>
  <c r="X5" i="12"/>
  <c r="Z32" i="6"/>
  <c r="X12" i="12"/>
  <c r="Z24" i="6"/>
  <c r="X4" i="12"/>
  <c r="Z23" i="6"/>
  <c r="X3" i="12"/>
  <c r="Z41" i="6"/>
  <c r="X21" i="12"/>
  <c r="Z75" i="6"/>
  <c r="X55" i="12"/>
  <c r="Z26" i="6"/>
  <c r="X6" i="12"/>
  <c r="Z27" i="6"/>
  <c r="X7" i="12"/>
  <c r="Z30" i="6"/>
  <c r="X10" i="12"/>
  <c r="Z74" i="6"/>
  <c r="X54" i="12"/>
  <c r="Z58" i="6"/>
  <c r="X38" i="12"/>
  <c r="Z49" i="6"/>
  <c r="X29" i="12"/>
  <c r="Z40" i="6"/>
  <c r="X20" i="12"/>
  <c r="Z37" i="6"/>
  <c r="X17" i="12"/>
  <c r="Z73" i="6"/>
  <c r="X53" i="12"/>
  <c r="Z68" i="6"/>
  <c r="X48" i="12"/>
  <c r="Z63" i="6"/>
  <c r="X43" i="12"/>
  <c r="Z55" i="6"/>
  <c r="X35" i="12"/>
  <c r="Z72" i="6"/>
  <c r="X52" i="12"/>
  <c r="Z60" i="6"/>
  <c r="X40" i="12"/>
  <c r="Z62" i="6"/>
  <c r="X42" i="12"/>
  <c r="Z44" i="6"/>
  <c r="X24" i="12"/>
  <c r="Z50" i="6"/>
  <c r="X30" i="12"/>
  <c r="Z54" i="6"/>
  <c r="X34" i="12"/>
  <c r="Z57" i="6"/>
  <c r="X37" i="12"/>
  <c r="Z70" i="6"/>
  <c r="X50" i="12"/>
  <c r="Z47" i="6"/>
  <c r="X27" i="12"/>
  <c r="Z51" i="6"/>
  <c r="X31" i="12"/>
  <c r="Z45" i="6"/>
  <c r="X25" i="12"/>
  <c r="Z67" i="6"/>
  <c r="X47" i="12"/>
  <c r="Z64" i="6"/>
  <c r="X44" i="12"/>
  <c r="Z46" i="6"/>
  <c r="X26" i="12"/>
  <c r="Z56" i="6"/>
  <c r="X36" i="12"/>
  <c r="Z48" i="6"/>
  <c r="X28" i="12"/>
  <c r="Z66" i="6"/>
  <c r="X46" i="12"/>
  <c r="Z52" i="6"/>
  <c r="X32" i="12"/>
  <c r="Z42" i="6"/>
  <c r="X22" i="12"/>
  <c r="Z53" i="6"/>
  <c r="X33" i="12"/>
  <c r="Z61" i="6"/>
  <c r="X41" i="12"/>
  <c r="Z39" i="6"/>
  <c r="X19" i="12"/>
  <c r="Z59" i="6"/>
  <c r="X39" i="12"/>
  <c r="Z65" i="6"/>
  <c r="X45" i="12"/>
  <c r="Z71" i="6"/>
  <c r="X51" i="12"/>
  <c r="Z69" i="6"/>
  <c r="X49" i="12"/>
  <c r="Z38" i="6"/>
  <c r="X18" i="12"/>
  <c r="Z43" i="6"/>
  <c r="M42" i="17" s="1"/>
  <c r="X2" i="15"/>
  <c r="Z319" i="6"/>
  <c r="M318" i="17" s="1"/>
  <c r="X3" i="15"/>
  <c r="Z320" i="6"/>
  <c r="M319" i="17" s="1"/>
  <c r="V18" i="6"/>
  <c r="Z321" i="6"/>
  <c r="M320" i="17" s="1"/>
  <c r="Z322" i="6"/>
  <c r="M321" i="17" s="1"/>
  <c r="J2" i="15"/>
  <c r="X45" i="20"/>
  <c r="X28" i="20"/>
  <c r="Z417" i="6"/>
  <c r="M416" i="17" s="1"/>
  <c r="X17" i="20"/>
  <c r="Z410" i="6"/>
  <c r="M409" i="17" s="1"/>
  <c r="X10" i="20"/>
  <c r="J9" i="20"/>
  <c r="K9" i="20"/>
  <c r="Z416" i="6"/>
  <c r="M415" i="17" s="1"/>
  <c r="X16" i="20"/>
  <c r="X46" i="20"/>
  <c r="J12" i="20"/>
  <c r="K12" i="20"/>
  <c r="X26" i="20"/>
  <c r="X40" i="20"/>
  <c r="X35" i="20"/>
  <c r="Z409" i="6"/>
  <c r="M408" i="17" s="1"/>
  <c r="X9" i="20"/>
  <c r="X18" i="20"/>
  <c r="Z407" i="6"/>
  <c r="M406" i="17" s="1"/>
  <c r="X7" i="20"/>
  <c r="X27" i="20"/>
  <c r="X42" i="20"/>
  <c r="Z412" i="6"/>
  <c r="M411" i="17" s="1"/>
  <c r="X12" i="20"/>
  <c r="X31" i="20"/>
  <c r="Z408" i="6"/>
  <c r="M407" i="17" s="1"/>
  <c r="X8" i="20"/>
  <c r="W3" i="19"/>
  <c r="X44" i="20"/>
  <c r="X30" i="20"/>
  <c r="X50" i="20"/>
  <c r="X36" i="20"/>
  <c r="H3" i="19"/>
  <c r="X38" i="20"/>
  <c r="X54" i="20"/>
  <c r="K10" i="20"/>
  <c r="J10" i="20"/>
  <c r="X34" i="20"/>
  <c r="Z414" i="6"/>
  <c r="M413" i="17" s="1"/>
  <c r="X14" i="20"/>
  <c r="Z415" i="6"/>
  <c r="M414" i="17" s="1"/>
  <c r="X15" i="20"/>
  <c r="L2" i="19"/>
  <c r="X25" i="20"/>
  <c r="X19" i="20"/>
  <c r="Z405" i="6"/>
  <c r="M404" i="17" s="1"/>
  <c r="X5" i="20"/>
  <c r="X47" i="20"/>
  <c r="X33" i="20"/>
  <c r="X20" i="20"/>
  <c r="Z404" i="6"/>
  <c r="M403" i="17" s="1"/>
  <c r="X4" i="20"/>
  <c r="X23" i="20"/>
  <c r="Z406" i="6"/>
  <c r="M405" i="17" s="1"/>
  <c r="X6" i="20"/>
  <c r="J14" i="20"/>
  <c r="K14" i="20"/>
  <c r="Z411" i="6"/>
  <c r="M410" i="17" s="1"/>
  <c r="X11" i="20"/>
  <c r="X49" i="20"/>
  <c r="K11" i="20"/>
  <c r="J11" i="20"/>
  <c r="X24" i="20"/>
  <c r="X43" i="20"/>
  <c r="X37" i="20"/>
  <c r="K3" i="15"/>
  <c r="X41" i="20"/>
  <c r="J8" i="20"/>
  <c r="K8" i="20"/>
  <c r="X51" i="20"/>
  <c r="X21" i="20"/>
  <c r="J13" i="20"/>
  <c r="K13" i="20"/>
  <c r="X29" i="20"/>
  <c r="Z403" i="6"/>
  <c r="M402" i="17" s="1"/>
  <c r="X3" i="20"/>
  <c r="X48" i="20"/>
  <c r="Z413" i="6"/>
  <c r="M412" i="17" s="1"/>
  <c r="X13" i="20"/>
  <c r="X32" i="20"/>
  <c r="X53" i="20"/>
  <c r="J416" i="2"/>
  <c r="I401" i="17" s="1"/>
  <c r="Z359" i="6"/>
  <c r="M358" i="17" s="1"/>
  <c r="Z350" i="6"/>
  <c r="M349" i="17" s="1"/>
  <c r="Z353" i="6"/>
  <c r="M352" i="17" s="1"/>
  <c r="Z356" i="6"/>
  <c r="M355" i="17" s="1"/>
  <c r="Z360" i="6"/>
  <c r="M359" i="17" s="1"/>
  <c r="W3" i="14"/>
  <c r="Z345" i="6"/>
  <c r="M344" i="17" s="1"/>
  <c r="Z347" i="6"/>
  <c r="M346" i="17" s="1"/>
  <c r="Z346" i="6"/>
  <c r="M345" i="17" s="1"/>
  <c r="Z351" i="6"/>
  <c r="M350" i="17" s="1"/>
  <c r="Z364" i="6"/>
  <c r="M363" i="17" s="1"/>
  <c r="Z366" i="6"/>
  <c r="M365" i="17" s="1"/>
  <c r="Z365" i="6"/>
  <c r="M364" i="17" s="1"/>
  <c r="Z352" i="6"/>
  <c r="M351" i="17" s="1"/>
  <c r="Z349" i="6"/>
  <c r="M348" i="17" s="1"/>
  <c r="Z362" i="6"/>
  <c r="M361" i="17" s="1"/>
  <c r="Z354" i="6"/>
  <c r="M353" i="17" s="1"/>
  <c r="H2" i="19"/>
  <c r="I2" i="19" s="1"/>
  <c r="Z209" i="6"/>
  <c r="M208" i="17" s="1"/>
  <c r="Z211" i="6"/>
  <c r="M210" i="17" s="1"/>
  <c r="Z213" i="6"/>
  <c r="M212" i="17" s="1"/>
  <c r="Z215" i="6"/>
  <c r="M214" i="17" s="1"/>
  <c r="Z212" i="6"/>
  <c r="M211" i="17" s="1"/>
  <c r="Z214" i="6"/>
  <c r="M213" i="17" s="1"/>
  <c r="Z210" i="6"/>
  <c r="M209" i="17" s="1"/>
  <c r="Z135" i="6"/>
  <c r="Z159" i="6"/>
  <c r="M158" i="17" s="1"/>
  <c r="Z80" i="6"/>
  <c r="M79" i="17" s="1"/>
  <c r="Z183" i="6"/>
  <c r="M182" i="17" s="1"/>
  <c r="Z175" i="6"/>
  <c r="M174" i="17" s="1"/>
  <c r="Z144" i="6"/>
  <c r="Z348" i="6"/>
  <c r="M347" i="17" s="1"/>
  <c r="Z160" i="6"/>
  <c r="M159" i="17" s="1"/>
  <c r="Z136" i="6"/>
  <c r="Z254" i="6"/>
  <c r="M253" i="17" s="1"/>
  <c r="Z313" i="6"/>
  <c r="M312" i="17" s="1"/>
  <c r="Z76" i="6"/>
  <c r="M75" i="17" s="1"/>
  <c r="Z218" i="6"/>
  <c r="M217" i="17" s="1"/>
  <c r="Z115" i="6"/>
  <c r="Z84" i="6"/>
  <c r="M83" i="17" s="1"/>
  <c r="Z87" i="6"/>
  <c r="M86" i="17" s="1"/>
  <c r="Z95" i="6"/>
  <c r="M94" i="17" s="1"/>
  <c r="Z224" i="6"/>
  <c r="M223" i="17" s="1"/>
  <c r="Z97" i="6"/>
  <c r="M96" i="17" s="1"/>
  <c r="Z201" i="6"/>
  <c r="M200" i="17" s="1"/>
  <c r="Z179" i="6"/>
  <c r="M178" i="17" s="1"/>
  <c r="Z168" i="6"/>
  <c r="M167" i="17" s="1"/>
  <c r="Z88" i="6"/>
  <c r="M87" i="17" s="1"/>
  <c r="Z101" i="6"/>
  <c r="M100" i="17" s="1"/>
  <c r="Z220" i="6"/>
  <c r="M219" i="17" s="1"/>
  <c r="Z239" i="6"/>
  <c r="M238" i="17" s="1"/>
  <c r="Z257" i="6"/>
  <c r="M256" i="17" s="1"/>
  <c r="Z204" i="6"/>
  <c r="M203" i="17" s="1"/>
  <c r="Z167" i="6"/>
  <c r="M166" i="17" s="1"/>
  <c r="Z171" i="6"/>
  <c r="M170" i="17" s="1"/>
  <c r="Z182" i="6"/>
  <c r="M181" i="17" s="1"/>
  <c r="Z221" i="6"/>
  <c r="M220" i="17" s="1"/>
  <c r="Z128" i="6"/>
  <c r="Z249" i="6"/>
  <c r="M248" i="17" s="1"/>
  <c r="Z190" i="6"/>
  <c r="M189" i="17" s="1"/>
  <c r="Z245" i="6"/>
  <c r="M244" i="17" s="1"/>
  <c r="Z253" i="6"/>
  <c r="M252" i="17" s="1"/>
  <c r="Z118" i="6"/>
  <c r="Z312" i="6"/>
  <c r="M311" i="17" s="1"/>
  <c r="Z86" i="6"/>
  <c r="M85" i="17" s="1"/>
  <c r="Z200" i="6"/>
  <c r="M199" i="17" s="1"/>
  <c r="Z259" i="6"/>
  <c r="M258" i="17" s="1"/>
  <c r="Z252" i="6"/>
  <c r="M251" i="17" s="1"/>
  <c r="Z264" i="6"/>
  <c r="M263" i="17" s="1"/>
  <c r="AM202" i="6"/>
  <c r="AN204" i="6" s="1"/>
  <c r="Z92" i="6"/>
  <c r="M91" i="17" s="1"/>
  <c r="Z162" i="6"/>
  <c r="M161" i="17" s="1"/>
  <c r="Z217" i="6"/>
  <c r="M216" i="17" s="1"/>
  <c r="Z258" i="6"/>
  <c r="M257" i="17" s="1"/>
  <c r="Z219" i="6"/>
  <c r="M218" i="17" s="1"/>
  <c r="Z216" i="6"/>
  <c r="M215" i="17" s="1"/>
  <c r="Z132" i="6"/>
  <c r="Z263" i="6"/>
  <c r="M262" i="17" s="1"/>
  <c r="Z91" i="6"/>
  <c r="M90" i="17" s="1"/>
  <c r="Z174" i="6"/>
  <c r="M173" i="17" s="1"/>
  <c r="Z103" i="6"/>
  <c r="M102" i="17" s="1"/>
  <c r="Z116" i="6"/>
  <c r="Z192" i="6"/>
  <c r="M191" i="17" s="1"/>
  <c r="Z315" i="6"/>
  <c r="M314" i="17" s="1"/>
  <c r="Z248" i="6"/>
  <c r="M247" i="17" s="1"/>
  <c r="Z243" i="6"/>
  <c r="M242" i="17" s="1"/>
  <c r="Z265" i="6"/>
  <c r="M264" i="17" s="1"/>
  <c r="Z198" i="6"/>
  <c r="M197" i="17" s="1"/>
  <c r="Z155" i="6"/>
  <c r="M154" i="17" s="1"/>
  <c r="Z85" i="6"/>
  <c r="M84" i="17" s="1"/>
  <c r="Z141" i="6"/>
  <c r="Z314" i="6"/>
  <c r="M313" i="17" s="1"/>
  <c r="Z240" i="6"/>
  <c r="M239" i="17" s="1"/>
  <c r="Z208" i="6"/>
  <c r="M207" i="17" s="1"/>
  <c r="Z181" i="6"/>
  <c r="M180" i="17" s="1"/>
  <c r="Z188" i="6"/>
  <c r="M187" i="17" s="1"/>
  <c r="Z138" i="6"/>
  <c r="Z156" i="6"/>
  <c r="Z223" i="6"/>
  <c r="M222" i="17" s="1"/>
  <c r="Z255" i="6"/>
  <c r="M254" i="17" s="1"/>
  <c r="Z247" i="6"/>
  <c r="M246" i="17" s="1"/>
  <c r="Z231" i="6"/>
  <c r="M230" i="17" s="1"/>
  <c r="Z119" i="6"/>
  <c r="Z78" i="6"/>
  <c r="M77" i="17" s="1"/>
  <c r="Z172" i="6"/>
  <c r="M171" i="17" s="1"/>
  <c r="Z90" i="6"/>
  <c r="M89" i="17" s="1"/>
  <c r="Z187" i="6"/>
  <c r="M186" i="17" s="1"/>
  <c r="Z148" i="6"/>
  <c r="Z241" i="6"/>
  <c r="M240" i="17" s="1"/>
  <c r="Z164" i="6"/>
  <c r="M163" i="17" s="1"/>
  <c r="Z197" i="6"/>
  <c r="M196" i="17" s="1"/>
  <c r="Z199" i="6"/>
  <c r="M198" i="17" s="1"/>
  <c r="Z262" i="6"/>
  <c r="M261" i="17" s="1"/>
  <c r="Z124" i="6"/>
  <c r="Z207" i="6"/>
  <c r="M206" i="17" s="1"/>
  <c r="Z94" i="6"/>
  <c r="M93" i="17" s="1"/>
  <c r="Z202" i="6"/>
  <c r="M201" i="17" s="1"/>
  <c r="Z151" i="6"/>
  <c r="Z99" i="6"/>
  <c r="M98" i="17" s="1"/>
  <c r="Z122" i="6"/>
  <c r="W2" i="14"/>
  <c r="Z203" i="6"/>
  <c r="M202" i="17" s="1"/>
  <c r="Z205" i="6"/>
  <c r="M204" i="17" s="1"/>
  <c r="Z22" i="6"/>
  <c r="M2" i="12" s="1"/>
  <c r="Z178" i="6"/>
  <c r="M177" i="17" s="1"/>
  <c r="Z120" i="6"/>
  <c r="Z246" i="6"/>
  <c r="M245" i="17" s="1"/>
  <c r="Z121" i="6"/>
  <c r="Z256" i="6"/>
  <c r="M255" i="17" s="1"/>
  <c r="X2" i="20"/>
  <c r="Z402" i="6"/>
  <c r="M401" i="17" s="1"/>
  <c r="Z242" i="6"/>
  <c r="M241" i="17" s="1"/>
  <c r="Z184" i="6"/>
  <c r="M183" i="17" s="1"/>
  <c r="Z137" i="6"/>
  <c r="Z166" i="6"/>
  <c r="M165" i="17" s="1"/>
  <c r="Z131" i="6"/>
  <c r="Z355" i="6"/>
  <c r="M354" i="17" s="1"/>
  <c r="Z222" i="6"/>
  <c r="M221" i="17" s="1"/>
  <c r="Z125" i="6"/>
  <c r="Z130" i="6"/>
  <c r="Z142" i="6"/>
  <c r="Z77" i="6"/>
  <c r="M76" i="17" s="1"/>
  <c r="Z98" i="6"/>
  <c r="M97" i="17" s="1"/>
  <c r="Z170" i="6"/>
  <c r="M169" i="17" s="1"/>
  <c r="Z117" i="6"/>
  <c r="X3" i="10"/>
  <c r="Z228" i="6"/>
  <c r="M227" i="17" s="1"/>
  <c r="Z176" i="6"/>
  <c r="M175" i="17" s="1"/>
  <c r="Z161" i="6"/>
  <c r="M160" i="17" s="1"/>
  <c r="Z251" i="6"/>
  <c r="M250" i="17" s="1"/>
  <c r="Z173" i="6"/>
  <c r="M172" i="17" s="1"/>
  <c r="Z93" i="6"/>
  <c r="M92" i="17" s="1"/>
  <c r="Z165" i="6"/>
  <c r="M164" i="17" s="1"/>
  <c r="Z89" i="6"/>
  <c r="M88" i="17" s="1"/>
  <c r="Z146" i="6"/>
  <c r="Z244" i="6"/>
  <c r="M243" i="17" s="1"/>
  <c r="Z193" i="6"/>
  <c r="M192" i="17" s="1"/>
  <c r="Z154" i="6"/>
  <c r="M153" i="17" s="1"/>
  <c r="Z157" i="6"/>
  <c r="M156" i="17" s="1"/>
  <c r="Z145" i="6"/>
  <c r="Z96" i="6"/>
  <c r="M95" i="17" s="1"/>
  <c r="X2" i="10"/>
  <c r="Z227" i="6"/>
  <c r="M226" i="17" s="1"/>
  <c r="Y2" i="16"/>
  <c r="Z83" i="6"/>
  <c r="M82" i="17" s="1"/>
  <c r="Z79" i="6"/>
  <c r="M78" i="17" s="1"/>
  <c r="Z189" i="6"/>
  <c r="M188" i="17" s="1"/>
  <c r="Z140" i="6"/>
  <c r="Z134" i="6"/>
  <c r="Z206" i="6"/>
  <c r="M205" i="17" s="1"/>
  <c r="Z158" i="6"/>
  <c r="M157" i="17" s="1"/>
  <c r="Z129" i="6"/>
  <c r="Z149" i="6"/>
  <c r="Z114" i="6"/>
  <c r="M113" i="17" s="1"/>
  <c r="Z250" i="6"/>
  <c r="M249" i="17" s="1"/>
  <c r="Z229" i="6"/>
  <c r="M228" i="17" s="1"/>
  <c r="W2" i="19"/>
  <c r="Z100" i="6"/>
  <c r="M99" i="17" s="1"/>
  <c r="Z191" i="6"/>
  <c r="M190" i="17" s="1"/>
  <c r="Z180" i="6"/>
  <c r="M179" i="17" s="1"/>
  <c r="Z139" i="6"/>
  <c r="Z123" i="6"/>
  <c r="Z143" i="6"/>
  <c r="Z185" i="6"/>
  <c r="M184" i="17" s="1"/>
  <c r="Z195" i="6"/>
  <c r="M194" i="17" s="1"/>
  <c r="Z186" i="6"/>
  <c r="M185" i="17" s="1"/>
  <c r="Z102" i="6"/>
  <c r="M101" i="17" s="1"/>
  <c r="BE24" i="2" l="1"/>
  <c r="U52" i="34"/>
  <c r="I2" i="10"/>
  <c r="I226" i="17"/>
  <c r="K33" i="10"/>
  <c r="K6" i="10"/>
  <c r="K10" i="10"/>
  <c r="K13" i="10"/>
  <c r="K28" i="10"/>
  <c r="K8" i="10"/>
  <c r="K31" i="10"/>
  <c r="N15" i="9"/>
  <c r="M119" i="17"/>
  <c r="N4" i="9"/>
  <c r="M108" i="17"/>
  <c r="M10" i="10"/>
  <c r="M234" i="17"/>
  <c r="N44" i="9"/>
  <c r="M148" i="17"/>
  <c r="N37" i="9"/>
  <c r="M141" i="17"/>
  <c r="N27" i="9"/>
  <c r="M131" i="17"/>
  <c r="M45" i="12"/>
  <c r="M64" i="17"/>
  <c r="M28" i="12"/>
  <c r="M47" i="17"/>
  <c r="M35" i="12"/>
  <c r="M54" i="17"/>
  <c r="M12" i="12"/>
  <c r="M31" i="17"/>
  <c r="N28" i="8"/>
  <c r="M287" i="17"/>
  <c r="L20" i="19"/>
  <c r="M389" i="17"/>
  <c r="N25" i="9"/>
  <c r="M129" i="17"/>
  <c r="M11" i="10"/>
  <c r="M235" i="17"/>
  <c r="N20" i="9"/>
  <c r="M124" i="17"/>
  <c r="N22" i="9"/>
  <c r="M126" i="17"/>
  <c r="M12" i="10"/>
  <c r="M236" i="17"/>
  <c r="M19" i="12"/>
  <c r="M38" i="17"/>
  <c r="M48" i="12"/>
  <c r="M67" i="17"/>
  <c r="J11" i="10"/>
  <c r="N56" i="8"/>
  <c r="M315" i="17"/>
  <c r="M18" i="15"/>
  <c r="M334" i="17"/>
  <c r="N35" i="9"/>
  <c r="M139" i="17"/>
  <c r="N26" i="9"/>
  <c r="M130" i="17"/>
  <c r="N17" i="9"/>
  <c r="M121" i="17"/>
  <c r="N45" i="9"/>
  <c r="M149" i="17"/>
  <c r="M5" i="10"/>
  <c r="M229" i="17"/>
  <c r="L7" i="19"/>
  <c r="M376" i="17"/>
  <c r="N38" i="9"/>
  <c r="M142" i="17"/>
  <c r="N10" i="9"/>
  <c r="M114" i="17"/>
  <c r="M41" i="12"/>
  <c r="M60" i="17"/>
  <c r="M30" i="12"/>
  <c r="M49" i="17"/>
  <c r="M6" i="12"/>
  <c r="M25" i="17"/>
  <c r="K29" i="10"/>
  <c r="M20" i="15"/>
  <c r="M336" i="17"/>
  <c r="L27" i="19"/>
  <c r="M396" i="17"/>
  <c r="L12" i="19"/>
  <c r="M381" i="17"/>
  <c r="N18" i="9"/>
  <c r="M122" i="17"/>
  <c r="N46" i="9"/>
  <c r="M150" i="17"/>
  <c r="N6" i="9"/>
  <c r="M110" i="17"/>
  <c r="M13" i="10"/>
  <c r="M237" i="17"/>
  <c r="L16" i="19"/>
  <c r="M385" i="17"/>
  <c r="M52" i="20"/>
  <c r="M451" i="17"/>
  <c r="M33" i="12"/>
  <c r="M52" i="17"/>
  <c r="M47" i="12"/>
  <c r="M66" i="17"/>
  <c r="M24" i="12"/>
  <c r="M43" i="17"/>
  <c r="M17" i="12"/>
  <c r="M36" i="17"/>
  <c r="M55" i="12"/>
  <c r="M74" i="17"/>
  <c r="M13" i="12"/>
  <c r="M32" i="17"/>
  <c r="N17" i="21"/>
  <c r="M168" i="17"/>
  <c r="J4" i="10"/>
  <c r="N25" i="8"/>
  <c r="M284" i="17"/>
  <c r="N7" i="8"/>
  <c r="M266" i="17"/>
  <c r="M16" i="15"/>
  <c r="M332" i="17"/>
  <c r="M14" i="15"/>
  <c r="M330" i="17"/>
  <c r="L24" i="19"/>
  <c r="M393" i="17"/>
  <c r="M421" i="17"/>
  <c r="M22" i="20"/>
  <c r="M438" i="17"/>
  <c r="M39" i="20"/>
  <c r="N7" i="9"/>
  <c r="M111" i="17"/>
  <c r="K12" i="10"/>
  <c r="M7" i="10"/>
  <c r="M231" i="17"/>
  <c r="L10" i="19"/>
  <c r="M379" i="17"/>
  <c r="L14" i="19"/>
  <c r="M383" i="17"/>
  <c r="L26" i="19"/>
  <c r="M395" i="17"/>
  <c r="N21" i="9"/>
  <c r="M125" i="17"/>
  <c r="M50" i="12"/>
  <c r="M69" i="17"/>
  <c r="M15" i="12"/>
  <c r="M34" i="17"/>
  <c r="L25" i="14"/>
  <c r="M366" i="17"/>
  <c r="L18" i="19"/>
  <c r="M387" i="17"/>
  <c r="N24" i="9"/>
  <c r="M128" i="17"/>
  <c r="N8" i="9"/>
  <c r="M112" i="17"/>
  <c r="N35" i="8"/>
  <c r="M294" i="17"/>
  <c r="N41" i="9"/>
  <c r="M145" i="17"/>
  <c r="N36" i="9"/>
  <c r="M140" i="17"/>
  <c r="M39" i="12"/>
  <c r="M58" i="17"/>
  <c r="J9" i="10"/>
  <c r="N39" i="8"/>
  <c r="M298" i="17"/>
  <c r="N27" i="8"/>
  <c r="M286" i="17"/>
  <c r="M10" i="15"/>
  <c r="M326" i="17"/>
  <c r="M23" i="15"/>
  <c r="M339" i="17"/>
  <c r="L17" i="19"/>
  <c r="M386" i="17"/>
  <c r="L5" i="19"/>
  <c r="M374" i="17"/>
  <c r="L9" i="19"/>
  <c r="M378" i="17"/>
  <c r="M15" i="15"/>
  <c r="M331" i="17"/>
  <c r="L23" i="19"/>
  <c r="M392" i="17"/>
  <c r="N14" i="9"/>
  <c r="M118" i="17"/>
  <c r="M44" i="12"/>
  <c r="M63" i="17"/>
  <c r="M53" i="12"/>
  <c r="M72" i="17"/>
  <c r="M9" i="12"/>
  <c r="M28" i="17"/>
  <c r="N11" i="21"/>
  <c r="M162" i="17"/>
  <c r="N51" i="8"/>
  <c r="M310" i="17"/>
  <c r="N9" i="8"/>
  <c r="M268" i="17"/>
  <c r="M13" i="15"/>
  <c r="M329" i="17"/>
  <c r="N32" i="9"/>
  <c r="M136" i="17"/>
  <c r="N34" i="9"/>
  <c r="M138" i="17"/>
  <c r="M18" i="12"/>
  <c r="M37" i="17"/>
  <c r="M22" i="12"/>
  <c r="M41" i="17"/>
  <c r="M25" i="12"/>
  <c r="M44" i="17"/>
  <c r="M42" i="12"/>
  <c r="M61" i="17"/>
  <c r="M20" i="12"/>
  <c r="M39" i="17"/>
  <c r="M21" i="12"/>
  <c r="M40" i="17"/>
  <c r="M16" i="12"/>
  <c r="M35" i="17"/>
  <c r="AK204" i="6"/>
  <c r="AQ204" i="6" s="1"/>
  <c r="I195" i="17"/>
  <c r="N50" i="8"/>
  <c r="M309" i="17"/>
  <c r="M21" i="15"/>
  <c r="M337" i="17"/>
  <c r="M22" i="15"/>
  <c r="M338" i="17"/>
  <c r="M9" i="15"/>
  <c r="M325" i="17"/>
  <c r="L28" i="19"/>
  <c r="M397" i="17"/>
  <c r="L22" i="19"/>
  <c r="M391" i="17"/>
  <c r="M54" i="12"/>
  <c r="M73" i="17"/>
  <c r="M17" i="15"/>
  <c r="M333" i="17"/>
  <c r="N23" i="16"/>
  <c r="M103" i="17"/>
  <c r="L19" i="19"/>
  <c r="M388" i="17"/>
  <c r="M36" i="12"/>
  <c r="M55" i="17"/>
  <c r="M43" i="12"/>
  <c r="M62" i="17"/>
  <c r="M10" i="12"/>
  <c r="M29" i="17"/>
  <c r="N42" i="21"/>
  <c r="M193" i="17"/>
  <c r="M56" i="20"/>
  <c r="M455" i="17"/>
  <c r="N23" i="9"/>
  <c r="M127" i="17"/>
  <c r="N30" i="9"/>
  <c r="M134" i="17"/>
  <c r="N29" i="9"/>
  <c r="M133" i="17"/>
  <c r="M26" i="12"/>
  <c r="M45" i="17"/>
  <c r="M7" i="12"/>
  <c r="M26" i="17"/>
  <c r="N25" i="21"/>
  <c r="M176" i="17"/>
  <c r="N26" i="8"/>
  <c r="M285" i="17"/>
  <c r="N19" i="9"/>
  <c r="M123" i="17"/>
  <c r="N11" i="9"/>
  <c r="M115" i="17"/>
  <c r="N12" i="9"/>
  <c r="M116" i="17"/>
  <c r="M49" i="12"/>
  <c r="M68" i="17"/>
  <c r="M6" i="15"/>
  <c r="M322" i="17"/>
  <c r="N43" i="9"/>
  <c r="M147" i="17"/>
  <c r="N42" i="9"/>
  <c r="M146" i="17"/>
  <c r="M37" i="12"/>
  <c r="M56" i="17"/>
  <c r="M5" i="12"/>
  <c r="M24" i="17"/>
  <c r="L21" i="19"/>
  <c r="M390" i="17"/>
  <c r="M34" i="12"/>
  <c r="M53" i="17"/>
  <c r="M14" i="12"/>
  <c r="M33" i="17"/>
  <c r="L21" i="14"/>
  <c r="M362" i="17"/>
  <c r="N4" i="21"/>
  <c r="M155" i="17"/>
  <c r="N31" i="9"/>
  <c r="M135" i="17"/>
  <c r="N5" i="9"/>
  <c r="M109" i="17"/>
  <c r="M8" i="10"/>
  <c r="M232" i="17"/>
  <c r="N24" i="8"/>
  <c r="M283" i="17"/>
  <c r="N33" i="9"/>
  <c r="M137" i="17"/>
  <c r="M32" i="12"/>
  <c r="M51" i="17"/>
  <c r="M31" i="12"/>
  <c r="M50" i="17"/>
  <c r="M40" i="12"/>
  <c r="M59" i="17"/>
  <c r="M29" i="12"/>
  <c r="M48" i="17"/>
  <c r="M3" i="12"/>
  <c r="M22" i="17"/>
  <c r="M8" i="12"/>
  <c r="M27" i="17"/>
  <c r="J7" i="10"/>
  <c r="K5" i="10"/>
  <c r="N32" i="8"/>
  <c r="M291" i="17"/>
  <c r="M7" i="15"/>
  <c r="M323" i="17"/>
  <c r="M12" i="15"/>
  <c r="M328" i="17"/>
  <c r="M19" i="15"/>
  <c r="M335" i="17"/>
  <c r="L11" i="19"/>
  <c r="M380" i="17"/>
  <c r="L6" i="19"/>
  <c r="M375" i="17"/>
  <c r="L8" i="19"/>
  <c r="M377" i="17"/>
  <c r="N40" i="9"/>
  <c r="M144" i="17"/>
  <c r="N16" i="9"/>
  <c r="M120" i="17"/>
  <c r="N28" i="9"/>
  <c r="M132" i="17"/>
  <c r="N3" i="9"/>
  <c r="M107" i="17"/>
  <c r="M9" i="10"/>
  <c r="M233" i="17"/>
  <c r="L15" i="19"/>
  <c r="M384" i="17"/>
  <c r="N13" i="9"/>
  <c r="M117" i="17"/>
  <c r="N39" i="9"/>
  <c r="M143" i="17"/>
  <c r="M51" i="12"/>
  <c r="M70" i="17"/>
  <c r="M46" i="12"/>
  <c r="M65" i="17"/>
  <c r="M27" i="12"/>
  <c r="M46" i="17"/>
  <c r="M52" i="12"/>
  <c r="M71" i="17"/>
  <c r="M38" i="12"/>
  <c r="M57" i="17"/>
  <c r="M4" i="12"/>
  <c r="M23" i="17"/>
  <c r="M11" i="12"/>
  <c r="M30" i="17"/>
  <c r="N29" i="8"/>
  <c r="M288" i="17"/>
  <c r="M11" i="15"/>
  <c r="M327" i="17"/>
  <c r="M8" i="15"/>
  <c r="M324" i="17"/>
  <c r="M24" i="15"/>
  <c r="M340" i="17"/>
  <c r="L25" i="19"/>
  <c r="M394" i="17"/>
  <c r="L4" i="19"/>
  <c r="M373" i="17"/>
  <c r="L13" i="19"/>
  <c r="M382" i="17"/>
  <c r="M454" i="17"/>
  <c r="M55" i="20"/>
  <c r="J28" i="19"/>
  <c r="I28" i="19"/>
  <c r="J11" i="19"/>
  <c r="I11" i="19"/>
  <c r="I12" i="19"/>
  <c r="J12" i="19"/>
  <c r="J18" i="19"/>
  <c r="I18" i="19"/>
  <c r="I27" i="19"/>
  <c r="J27" i="19"/>
  <c r="J19" i="19"/>
  <c r="I19" i="19"/>
  <c r="J25" i="19"/>
  <c r="I25" i="19"/>
  <c r="I15" i="19"/>
  <c r="J15" i="19"/>
  <c r="I26" i="19"/>
  <c r="J26" i="19"/>
  <c r="I20" i="19"/>
  <c r="J20" i="19"/>
  <c r="I22" i="19"/>
  <c r="J22" i="19"/>
  <c r="I6" i="19"/>
  <c r="J6" i="19"/>
  <c r="J5" i="19"/>
  <c r="I5" i="19"/>
  <c r="J23" i="19"/>
  <c r="I23" i="19"/>
  <c r="I16" i="19"/>
  <c r="J16" i="19"/>
  <c r="J10" i="19"/>
  <c r="I10" i="19"/>
  <c r="J4" i="19"/>
  <c r="I4" i="19"/>
  <c r="J7" i="19"/>
  <c r="I7" i="19"/>
  <c r="I14" i="19"/>
  <c r="J14" i="19"/>
  <c r="I8" i="19"/>
  <c r="J8" i="19"/>
  <c r="I9" i="19"/>
  <c r="J9" i="19"/>
  <c r="J24" i="19"/>
  <c r="I24" i="19"/>
  <c r="L17" i="14"/>
  <c r="L12" i="14"/>
  <c r="L8" i="14"/>
  <c r="L20" i="14"/>
  <c r="L18" i="14"/>
  <c r="L10" i="14"/>
  <c r="L11" i="14"/>
  <c r="L7" i="14"/>
  <c r="L6" i="14"/>
  <c r="L22" i="14"/>
  <c r="L9" i="14"/>
  <c r="L23" i="14"/>
  <c r="L26" i="14"/>
  <c r="L14" i="14"/>
  <c r="L16" i="14"/>
  <c r="L4" i="14"/>
  <c r="L27" i="14"/>
  <c r="L13" i="14"/>
  <c r="L5" i="14"/>
  <c r="L19" i="14"/>
  <c r="L24" i="14"/>
  <c r="L3" i="14"/>
  <c r="L15" i="14"/>
  <c r="M4" i="15"/>
  <c r="M5" i="15"/>
  <c r="N19" i="8"/>
  <c r="N21" i="8"/>
  <c r="N14" i="8"/>
  <c r="N15" i="8"/>
  <c r="N23" i="8"/>
  <c r="N10" i="8"/>
  <c r="N11" i="8"/>
  <c r="N13" i="8"/>
  <c r="N6" i="8"/>
  <c r="N4" i="8"/>
  <c r="N17" i="8"/>
  <c r="N20" i="8"/>
  <c r="N8" i="8"/>
  <c r="N12" i="8"/>
  <c r="N22" i="8"/>
  <c r="N16" i="8"/>
  <c r="N5" i="8"/>
  <c r="N18" i="8"/>
  <c r="N41" i="8"/>
  <c r="N42" i="8"/>
  <c r="N36" i="8"/>
  <c r="N55" i="8"/>
  <c r="N43" i="8"/>
  <c r="N49" i="8"/>
  <c r="N38" i="8"/>
  <c r="N53" i="8"/>
  <c r="N37" i="8"/>
  <c r="N48" i="8"/>
  <c r="N40" i="8"/>
  <c r="N47" i="8"/>
  <c r="N34" i="8"/>
  <c r="N44" i="8"/>
  <c r="N30" i="8"/>
  <c r="N54" i="8"/>
  <c r="N45" i="8"/>
  <c r="N33" i="8"/>
  <c r="N31" i="8"/>
  <c r="N46" i="8"/>
  <c r="N52" i="8"/>
  <c r="J3" i="10"/>
  <c r="M15" i="10"/>
  <c r="M20" i="10"/>
  <c r="M16" i="10"/>
  <c r="M23" i="10"/>
  <c r="M17" i="10"/>
  <c r="M19" i="10"/>
  <c r="M21" i="10"/>
  <c r="M14" i="10"/>
  <c r="M4" i="10"/>
  <c r="M25" i="10"/>
  <c r="M6" i="10"/>
  <c r="M22" i="10"/>
  <c r="M29" i="10"/>
  <c r="J14" i="10"/>
  <c r="K14" i="10"/>
  <c r="M24" i="10"/>
  <c r="M18" i="10"/>
  <c r="M31" i="10"/>
  <c r="K17" i="10"/>
  <c r="J17" i="10"/>
  <c r="M32" i="10"/>
  <c r="K24" i="10"/>
  <c r="J24" i="10"/>
  <c r="M26" i="10"/>
  <c r="M30" i="10"/>
  <c r="M28" i="10"/>
  <c r="M27" i="10"/>
  <c r="M34" i="10"/>
  <c r="J25" i="10"/>
  <c r="K25" i="10"/>
  <c r="M33" i="10"/>
  <c r="J34" i="10"/>
  <c r="K34" i="10"/>
  <c r="H25" i="28"/>
  <c r="J43" i="21"/>
  <c r="H26" i="28"/>
  <c r="J44" i="21"/>
  <c r="N35" i="21"/>
  <c r="N18" i="21"/>
  <c r="N32" i="21"/>
  <c r="N65" i="21"/>
  <c r="N39" i="21"/>
  <c r="N14" i="21"/>
  <c r="N47" i="21"/>
  <c r="N10" i="21"/>
  <c r="N68" i="21"/>
  <c r="N45" i="21"/>
  <c r="N13" i="21"/>
  <c r="N12" i="21"/>
  <c r="N46" i="21"/>
  <c r="N24" i="21"/>
  <c r="N62" i="21"/>
  <c r="N6" i="21"/>
  <c r="N20" i="21"/>
  <c r="N48" i="21"/>
  <c r="N27" i="21"/>
  <c r="N60" i="21"/>
  <c r="N49" i="21"/>
  <c r="N63" i="21"/>
  <c r="N61" i="21"/>
  <c r="N72" i="21"/>
  <c r="N53" i="21"/>
  <c r="N59" i="21"/>
  <c r="N37" i="21"/>
  <c r="N40" i="21"/>
  <c r="N9" i="21"/>
  <c r="N66" i="21"/>
  <c r="N21" i="21"/>
  <c r="N7" i="21"/>
  <c r="N33" i="21"/>
  <c r="N38" i="21"/>
  <c r="N58" i="21"/>
  <c r="N43" i="21"/>
  <c r="N71" i="21"/>
  <c r="N16" i="21"/>
  <c r="N54" i="21"/>
  <c r="N26" i="21"/>
  <c r="N34" i="21"/>
  <c r="N70" i="21"/>
  <c r="N36" i="21"/>
  <c r="N69" i="21"/>
  <c r="N8" i="21"/>
  <c r="N57" i="21"/>
  <c r="N28" i="21"/>
  <c r="N29" i="21"/>
  <c r="N67" i="21"/>
  <c r="N30" i="21"/>
  <c r="N55" i="21"/>
  <c r="N56" i="21"/>
  <c r="N19" i="21"/>
  <c r="N22" i="21"/>
  <c r="N23" i="21"/>
  <c r="N51" i="21"/>
  <c r="M17" i="17"/>
  <c r="Q18" i="1" s="1"/>
  <c r="N50" i="21"/>
  <c r="N64" i="21"/>
  <c r="N5" i="21"/>
  <c r="N41" i="21"/>
  <c r="N15" i="21"/>
  <c r="N31" i="21"/>
  <c r="N52" i="21"/>
  <c r="N9" i="9"/>
  <c r="AK111" i="6"/>
  <c r="Z107" i="6" s="1"/>
  <c r="M59" i="12"/>
  <c r="M58" i="12"/>
  <c r="M60" i="12"/>
  <c r="M57" i="12"/>
  <c r="M56" i="12"/>
  <c r="M23" i="12"/>
  <c r="M54" i="20"/>
  <c r="I53" i="20"/>
  <c r="K53" i="20" s="1"/>
  <c r="Z18" i="6"/>
  <c r="M51" i="20"/>
  <c r="N3" i="21"/>
  <c r="M3" i="15"/>
  <c r="I51" i="20"/>
  <c r="M11" i="20"/>
  <c r="M16" i="20"/>
  <c r="I44" i="20"/>
  <c r="I45" i="20"/>
  <c r="M12" i="20"/>
  <c r="M46" i="20"/>
  <c r="M27" i="20"/>
  <c r="M41" i="20"/>
  <c r="M33" i="20"/>
  <c r="M7" i="20"/>
  <c r="M53" i="20"/>
  <c r="M32" i="20"/>
  <c r="M38" i="20"/>
  <c r="M18" i="20"/>
  <c r="I30" i="20"/>
  <c r="J3" i="19"/>
  <c r="I3" i="19"/>
  <c r="M9" i="20"/>
  <c r="I33" i="20"/>
  <c r="M48" i="20"/>
  <c r="M35" i="20"/>
  <c r="I15" i="20"/>
  <c r="I49" i="20"/>
  <c r="M40" i="20"/>
  <c r="M24" i="20"/>
  <c r="M42" i="20"/>
  <c r="I3" i="20"/>
  <c r="M13" i="20"/>
  <c r="M6" i="20"/>
  <c r="M3" i="20"/>
  <c r="I25" i="20"/>
  <c r="M5" i="20"/>
  <c r="I20" i="20"/>
  <c r="M26" i="20"/>
  <c r="I31" i="20"/>
  <c r="I37" i="20"/>
  <c r="I50" i="20"/>
  <c r="M49" i="20"/>
  <c r="M47" i="20"/>
  <c r="I38" i="20"/>
  <c r="I32" i="20"/>
  <c r="I42" i="20"/>
  <c r="M17" i="20"/>
  <c r="M2" i="15"/>
  <c r="M23" i="20"/>
  <c r="M30" i="20"/>
  <c r="I36" i="20"/>
  <c r="I24" i="20"/>
  <c r="I41" i="20"/>
  <c r="M29" i="20"/>
  <c r="L3" i="19"/>
  <c r="I48" i="20"/>
  <c r="I29" i="20"/>
  <c r="M20" i="20"/>
  <c r="M8" i="20"/>
  <c r="N2" i="21"/>
  <c r="I23" i="20"/>
  <c r="M37" i="20"/>
  <c r="M36" i="20"/>
  <c r="M10" i="20"/>
  <c r="M43" i="20"/>
  <c r="I18" i="20"/>
  <c r="I46" i="20"/>
  <c r="I19" i="20"/>
  <c r="I17" i="20"/>
  <c r="M44" i="20"/>
  <c r="I16" i="20"/>
  <c r="M4" i="20"/>
  <c r="I6" i="20"/>
  <c r="N2" i="8"/>
  <c r="I47" i="20"/>
  <c r="I5" i="20"/>
  <c r="M45" i="20"/>
  <c r="M14" i="20"/>
  <c r="M34" i="20"/>
  <c r="I4" i="20"/>
  <c r="M50" i="20"/>
  <c r="I28" i="20"/>
  <c r="M25" i="20"/>
  <c r="I40" i="20"/>
  <c r="I27" i="20"/>
  <c r="M21" i="20"/>
  <c r="M31" i="20"/>
  <c r="M19" i="20"/>
  <c r="M28" i="20"/>
  <c r="I34" i="20"/>
  <c r="M15" i="20"/>
  <c r="N3" i="8"/>
  <c r="I43" i="20"/>
  <c r="I2" i="20"/>
  <c r="J2" i="20" s="1"/>
  <c r="J2" i="19"/>
  <c r="N12" i="16"/>
  <c r="N4" i="16"/>
  <c r="N11" i="16"/>
  <c r="M3" i="10"/>
  <c r="L2" i="14"/>
  <c r="N16" i="16"/>
  <c r="N18" i="16"/>
  <c r="N2" i="16"/>
  <c r="N19" i="16"/>
  <c r="N14" i="16"/>
  <c r="M2" i="10"/>
  <c r="N8" i="16"/>
  <c r="N5" i="16"/>
  <c r="N6" i="16"/>
  <c r="N9" i="16"/>
  <c r="N20" i="16"/>
  <c r="N3" i="16"/>
  <c r="M21" i="17"/>
  <c r="N7" i="16"/>
  <c r="N22" i="16"/>
  <c r="N10" i="16"/>
  <c r="N21" i="16"/>
  <c r="M2" i="20"/>
  <c r="N15" i="16"/>
  <c r="N17" i="16"/>
  <c r="N13" i="16"/>
  <c r="K2" i="10" l="1"/>
  <c r="J2" i="10"/>
  <c r="N2" i="9"/>
  <c r="M106" i="17"/>
  <c r="K44" i="21"/>
  <c r="L44" i="21"/>
  <c r="L43" i="21"/>
  <c r="K43" i="21"/>
  <c r="Z196" i="6"/>
  <c r="M195" i="17" s="1"/>
  <c r="J53" i="20"/>
  <c r="L11" i="34"/>
  <c r="K2" i="20"/>
  <c r="J23" i="20"/>
  <c r="K23" i="20"/>
  <c r="K6" i="20"/>
  <c r="J6" i="20"/>
  <c r="J42" i="20"/>
  <c r="K42" i="20"/>
  <c r="J50" i="20"/>
  <c r="K50" i="20"/>
  <c r="K36" i="20"/>
  <c r="J36" i="20"/>
  <c r="K18" i="20"/>
  <c r="J18" i="20"/>
  <c r="J43" i="20"/>
  <c r="K43" i="20"/>
  <c r="K37" i="20"/>
  <c r="J37" i="20"/>
  <c r="J32" i="20"/>
  <c r="K32" i="20"/>
  <c r="K31" i="20"/>
  <c r="J31" i="20"/>
  <c r="K33" i="20"/>
  <c r="J33" i="20"/>
  <c r="J5" i="20"/>
  <c r="K5" i="20"/>
  <c r="K20" i="20"/>
  <c r="J20" i="20"/>
  <c r="K47" i="20"/>
  <c r="J47" i="20"/>
  <c r="J16" i="20"/>
  <c r="K16" i="20"/>
  <c r="J44" i="20"/>
  <c r="K44" i="20"/>
  <c r="J38" i="20"/>
  <c r="K38" i="20"/>
  <c r="J27" i="20"/>
  <c r="K27" i="20"/>
  <c r="J15" i="20"/>
  <c r="K15" i="20"/>
  <c r="K48" i="20"/>
  <c r="J48" i="20"/>
  <c r="J41" i="20"/>
  <c r="K41" i="20"/>
  <c r="J3" i="20"/>
  <c r="K3" i="20"/>
  <c r="J4" i="20"/>
  <c r="K4" i="20"/>
  <c r="K46" i="20"/>
  <c r="J46" i="20"/>
  <c r="J17" i="20"/>
  <c r="K17" i="20"/>
  <c r="J25" i="20"/>
  <c r="K25" i="20"/>
  <c r="J19" i="20"/>
  <c r="K19" i="20"/>
  <c r="J29" i="20"/>
  <c r="K29" i="20"/>
  <c r="K24" i="20"/>
  <c r="J24" i="20"/>
  <c r="J30" i="20"/>
  <c r="K30" i="20"/>
  <c r="J45" i="20"/>
  <c r="K45" i="20"/>
  <c r="J51" i="20"/>
  <c r="K51" i="20"/>
  <c r="K28" i="20"/>
  <c r="J28" i="20"/>
  <c r="J49" i="20"/>
  <c r="K49" i="20"/>
  <c r="K34" i="20"/>
  <c r="J34" i="20"/>
  <c r="J40" i="20"/>
  <c r="K40" i="20"/>
  <c r="J99" i="2"/>
  <c r="I84" i="17" s="1"/>
  <c r="J115" i="2"/>
  <c r="I100" i="17" s="1"/>
  <c r="J109" i="2"/>
  <c r="I94" i="17" s="1"/>
  <c r="J116" i="2"/>
  <c r="I101" i="17" s="1"/>
  <c r="J114" i="2"/>
  <c r="I99" i="17" s="1"/>
  <c r="J108" i="2"/>
  <c r="I93" i="17" s="1"/>
  <c r="J110" i="2"/>
  <c r="I95" i="17" s="1"/>
  <c r="J98" i="2"/>
  <c r="I83" i="17" s="1"/>
  <c r="J111" i="2"/>
  <c r="I96" i="17" s="1"/>
  <c r="J97" i="2"/>
  <c r="I82" i="17" s="1"/>
  <c r="M16" i="17" l="1"/>
  <c r="Q15" i="1" s="1"/>
  <c r="N44" i="21"/>
  <c r="J19" i="16"/>
  <c r="J13" i="16"/>
  <c r="J21" i="16"/>
  <c r="J15" i="16"/>
  <c r="J2" i="16"/>
  <c r="J3" i="16"/>
  <c r="J20" i="16"/>
  <c r="J16" i="16"/>
  <c r="J4" i="16"/>
  <c r="J14" i="16"/>
  <c r="L4" i="16" l="1"/>
  <c r="K4" i="16"/>
  <c r="K21" i="16"/>
  <c r="L21" i="16"/>
  <c r="K14" i="16"/>
  <c r="L14" i="16"/>
  <c r="L20" i="16"/>
  <c r="K20" i="16"/>
  <c r="K13" i="16"/>
  <c r="L13" i="16"/>
  <c r="K16" i="16"/>
  <c r="L16" i="16"/>
  <c r="L3" i="16"/>
  <c r="K3" i="16"/>
  <c r="K2" i="16"/>
  <c r="L2" i="16"/>
  <c r="K15" i="16"/>
  <c r="L15" i="16"/>
  <c r="L19" i="16"/>
  <c r="K19" i="16"/>
  <c r="J106" i="2"/>
  <c r="I91" i="17" s="1"/>
  <c r="J112" i="2"/>
  <c r="I97" i="17" s="1"/>
  <c r="J117" i="2"/>
  <c r="I102" i="17" s="1"/>
  <c r="J102" i="2"/>
  <c r="I87" i="17" s="1"/>
  <c r="J105" i="2"/>
  <c r="I90" i="17" s="1"/>
  <c r="J101" i="2"/>
  <c r="I86" i="17" s="1"/>
  <c r="J103" i="2"/>
  <c r="I88" i="17" s="1"/>
  <c r="J107" i="2"/>
  <c r="I92" i="17" s="1"/>
  <c r="J100" i="2"/>
  <c r="I85" i="17" s="1"/>
  <c r="J113" i="2"/>
  <c r="I98" i="17" s="1"/>
  <c r="J104" i="2"/>
  <c r="I89" i="17" s="1"/>
  <c r="J22" i="16" l="1"/>
  <c r="J10" i="16"/>
  <c r="J9" i="16"/>
  <c r="J5" i="16"/>
  <c r="J8" i="16"/>
  <c r="J17" i="16"/>
  <c r="J18" i="16"/>
  <c r="J12" i="16"/>
  <c r="J7" i="16"/>
  <c r="J11" i="16"/>
  <c r="J6" i="16"/>
  <c r="L11" i="16" l="1"/>
  <c r="K11" i="16"/>
  <c r="L12" i="16"/>
  <c r="K12" i="16"/>
  <c r="L17" i="16"/>
  <c r="K17" i="16"/>
  <c r="L10" i="16"/>
  <c r="K10" i="16"/>
  <c r="L6" i="16"/>
  <c r="K6" i="16"/>
  <c r="L7" i="16"/>
  <c r="K7" i="16"/>
  <c r="K18" i="16"/>
  <c r="L18" i="16"/>
  <c r="L8" i="16"/>
  <c r="K8" i="16"/>
  <c r="L5" i="16"/>
  <c r="K5" i="16"/>
  <c r="L9" i="16"/>
  <c r="K9" i="16"/>
  <c r="K22" i="16"/>
  <c r="L22" i="16"/>
  <c r="N30" i="2"/>
  <c r="N31" i="2" s="1"/>
  <c r="CJ283" i="2"/>
  <c r="BO293" i="2" s="1"/>
  <c r="AM293" i="2" s="1"/>
  <c r="CK299" i="2"/>
  <c r="BP318" i="2" s="1"/>
  <c r="AN318" i="2" s="1"/>
  <c r="BW175" i="2"/>
  <c r="J17" i="21" l="1"/>
  <c r="J49" i="21"/>
  <c r="J48" i="21"/>
  <c r="J46" i="21"/>
  <c r="J45" i="21"/>
  <c r="J56" i="21"/>
  <c r="J72" i="21"/>
  <c r="J23" i="21"/>
  <c r="H15" i="28"/>
  <c r="CC176" i="2"/>
  <c r="BQ185" i="2" s="1"/>
  <c r="AO185" i="2" s="1"/>
  <c r="BV176" i="2"/>
  <c r="BJ185" i="2" s="1"/>
  <c r="AH185" i="2" s="1"/>
  <c r="H3" i="14"/>
  <c r="J3" i="14" s="1"/>
  <c r="BX176" i="2"/>
  <c r="BL185" i="2" s="1"/>
  <c r="AJ185" i="2" s="1"/>
  <c r="CB176" i="2"/>
  <c r="BP185" i="2" s="1"/>
  <c r="AN185" i="2" s="1"/>
  <c r="H2" i="14"/>
  <c r="I2" i="14" s="1"/>
  <c r="L33" i="28"/>
  <c r="CG283" i="2"/>
  <c r="BL293" i="2" s="1"/>
  <c r="AJ293" i="2" s="1"/>
  <c r="H20" i="28"/>
  <c r="BT176" i="2"/>
  <c r="BH185" i="2" s="1"/>
  <c r="AF185" i="2" s="1"/>
  <c r="BW176" i="2"/>
  <c r="BK185" i="2" s="1"/>
  <c r="AI185" i="2" s="1"/>
  <c r="CI299" i="2"/>
  <c r="BN318" i="2" s="1"/>
  <c r="AL318" i="2" s="1"/>
  <c r="H29" i="28"/>
  <c r="H27" i="28"/>
  <c r="CJ287" i="2"/>
  <c r="BO297" i="2" s="1"/>
  <c r="AM297" i="2" s="1"/>
  <c r="CG287" i="2"/>
  <c r="BL297" i="2" s="1"/>
  <c r="AJ297" i="2" s="1"/>
  <c r="CI287" i="2"/>
  <c r="BN297" i="2" s="1"/>
  <c r="AL297" i="2" s="1"/>
  <c r="CK287" i="2"/>
  <c r="BP297" i="2" s="1"/>
  <c r="AN297" i="2" s="1"/>
  <c r="CH287" i="2"/>
  <c r="BM297" i="2" s="1"/>
  <c r="AK297" i="2" s="1"/>
  <c r="CC287" i="2"/>
  <c r="BH297" i="2" s="1"/>
  <c r="AF297" i="2" s="1"/>
  <c r="CL287" i="2"/>
  <c r="BQ297" i="2" s="1"/>
  <c r="AO297" i="2" s="1"/>
  <c r="CG299" i="2"/>
  <c r="BL318" i="2" s="1"/>
  <c r="AJ318" i="2" s="1"/>
  <c r="CJ299" i="2"/>
  <c r="BO318" i="2" s="1"/>
  <c r="AM318" i="2" s="1"/>
  <c r="CC299" i="2"/>
  <c r="BH318" i="2" s="1"/>
  <c r="AF318" i="2" s="1"/>
  <c r="CH299" i="2"/>
  <c r="BM318" i="2" s="1"/>
  <c r="AK318" i="2" s="1"/>
  <c r="CK283" i="2"/>
  <c r="BP293" i="2" s="1"/>
  <c r="AN293" i="2" s="1"/>
  <c r="CD283" i="2"/>
  <c r="BI293" i="2" s="1"/>
  <c r="AG293" i="2" s="1"/>
  <c r="CH283" i="2"/>
  <c r="BM293" i="2" s="1"/>
  <c r="AK293" i="2" s="1"/>
  <c r="CC283" i="2"/>
  <c r="BH293" i="2" s="1"/>
  <c r="AF293" i="2" s="1"/>
  <c r="CE283" i="2"/>
  <c r="BJ293" i="2" s="1"/>
  <c r="AH293" i="2" s="1"/>
  <c r="CI283" i="2"/>
  <c r="BN293" i="2" s="1"/>
  <c r="AL293" i="2" s="1"/>
  <c r="AU23" i="2"/>
  <c r="BZ176" i="2"/>
  <c r="BN185" i="2" s="1"/>
  <c r="AL185" i="2" s="1"/>
  <c r="CK291" i="2"/>
  <c r="BN315" i="2" s="1"/>
  <c r="AL315" i="2" s="1"/>
  <c r="BY176" i="2"/>
  <c r="BM185" i="2" s="1"/>
  <c r="AK185" i="2" s="1"/>
  <c r="CJ291" i="2"/>
  <c r="BM315" i="2" s="1"/>
  <c r="AK315" i="2" s="1"/>
  <c r="CL291" i="2"/>
  <c r="BO315" i="2" s="1"/>
  <c r="AM315" i="2" s="1"/>
  <c r="CA176" i="2"/>
  <c r="BO185" i="2" s="1"/>
  <c r="AM185" i="2" s="1"/>
  <c r="CI291" i="2"/>
  <c r="BL315" i="2" s="1"/>
  <c r="AJ315" i="2" s="1"/>
  <c r="AW315" i="2" l="1"/>
  <c r="AV293" i="2"/>
  <c r="AT293" i="2"/>
  <c r="AY297" i="2"/>
  <c r="AU293" i="2"/>
  <c r="AQ297" i="2"/>
  <c r="AP297" i="2"/>
  <c r="AR297" i="2"/>
  <c r="AW297" i="2"/>
  <c r="AU315" i="2"/>
  <c r="AT315" i="2"/>
  <c r="AP315" i="2"/>
  <c r="AR315" i="2"/>
  <c r="AQ315" i="2"/>
  <c r="AY315" i="2"/>
  <c r="AX315" i="2"/>
  <c r="AP293" i="2"/>
  <c r="AY293" i="2"/>
  <c r="AV297" i="2"/>
  <c r="AQ293" i="2"/>
  <c r="AX297" i="2"/>
  <c r="AU318" i="2"/>
  <c r="AU297" i="2"/>
  <c r="AV315" i="2"/>
  <c r="AR293" i="2"/>
  <c r="AX293" i="2"/>
  <c r="AT297" i="2"/>
  <c r="AW293" i="2"/>
  <c r="AW318" i="2"/>
  <c r="AP318" i="2"/>
  <c r="AY318" i="2"/>
  <c r="AQ318" i="2"/>
  <c r="AR318" i="2"/>
  <c r="AV318" i="2"/>
  <c r="AT318" i="2"/>
  <c r="AX318" i="2"/>
  <c r="AW185" i="2"/>
  <c r="AT185" i="2"/>
  <c r="AV185" i="2"/>
  <c r="AP185" i="2"/>
  <c r="AQ185" i="2"/>
  <c r="AR185" i="2"/>
  <c r="AX185" i="2"/>
  <c r="AY185" i="2"/>
  <c r="AU185" i="2"/>
  <c r="L72" i="21"/>
  <c r="K72" i="21"/>
  <c r="K56" i="21"/>
  <c r="L56" i="21"/>
  <c r="K23" i="21"/>
  <c r="L23" i="21"/>
  <c r="L45" i="21"/>
  <c r="K45" i="21"/>
  <c r="K46" i="21"/>
  <c r="L46" i="21"/>
  <c r="K48" i="21"/>
  <c r="L48" i="21"/>
  <c r="L49" i="21"/>
  <c r="K49" i="21"/>
  <c r="K17" i="21"/>
  <c r="L17" i="21"/>
  <c r="AW23" i="2"/>
  <c r="AW24" i="2" s="1"/>
  <c r="M49" i="34" s="1"/>
  <c r="AR23" i="2"/>
  <c r="AR24" i="2" s="1"/>
  <c r="H49" i="34" s="1"/>
  <c r="AY24" i="2"/>
  <c r="O49" i="34" s="1"/>
  <c r="AT23" i="2"/>
  <c r="AT24" i="2" s="1"/>
  <c r="J49" i="34" s="1"/>
  <c r="AX23" i="2"/>
  <c r="AX24" i="2" s="1"/>
  <c r="N49" i="34" s="1"/>
  <c r="AV23" i="2"/>
  <c r="AV24" i="2" s="1"/>
  <c r="L49" i="34" s="1"/>
  <c r="I49" i="34"/>
  <c r="AP23" i="2"/>
  <c r="AP24" i="2" s="1"/>
  <c r="F49" i="34" s="1"/>
  <c r="AQ23" i="2"/>
  <c r="AQ24" i="2" s="1"/>
  <c r="G49" i="34" s="1"/>
  <c r="AU24" i="2"/>
  <c r="K49" i="34" s="1"/>
  <c r="I3" i="14"/>
  <c r="J2" i="14"/>
  <c r="J180" i="2"/>
  <c r="I165" i="17" s="1"/>
  <c r="V285" i="2"/>
  <c r="AF285" i="2" s="1"/>
  <c r="J168" i="2"/>
  <c r="I153" i="17" s="1"/>
  <c r="I42" i="28" l="1"/>
  <c r="I18" i="17"/>
  <c r="M21" i="1" s="1"/>
  <c r="F9" i="17" s="1"/>
  <c r="J22" i="1" s="1"/>
  <c r="J297" i="2"/>
  <c r="J293" i="2"/>
  <c r="J315" i="2"/>
  <c r="J318" i="2"/>
  <c r="J185" i="2"/>
  <c r="I170" i="17" s="1"/>
  <c r="J29" i="21"/>
  <c r="J27" i="21"/>
  <c r="J10" i="21"/>
  <c r="J22" i="21"/>
  <c r="J28" i="21"/>
  <c r="J9" i="21"/>
  <c r="J20" i="21"/>
  <c r="J12" i="21"/>
  <c r="J38" i="21"/>
  <c r="J32" i="21"/>
  <c r="J47" i="21"/>
  <c r="J53" i="21"/>
  <c r="J16" i="21"/>
  <c r="J41" i="21"/>
  <c r="J5" i="21"/>
  <c r="J6" i="21"/>
  <c r="J30" i="21"/>
  <c r="J70" i="21"/>
  <c r="J39" i="21"/>
  <c r="J7" i="21"/>
  <c r="J65" i="21"/>
  <c r="J68" i="21"/>
  <c r="J59" i="21"/>
  <c r="J36" i="21"/>
  <c r="J40" i="21"/>
  <c r="J26" i="21"/>
  <c r="J21" i="21"/>
  <c r="J58" i="21"/>
  <c r="J60" i="21"/>
  <c r="J66" i="21"/>
  <c r="J4" i="21"/>
  <c r="J34" i="21"/>
  <c r="J61" i="21"/>
  <c r="J69" i="21"/>
  <c r="J31" i="21"/>
  <c r="J14" i="21"/>
  <c r="J35" i="21"/>
  <c r="J8" i="21"/>
  <c r="J37" i="21"/>
  <c r="J55" i="21"/>
  <c r="J71" i="21"/>
  <c r="J51" i="21"/>
  <c r="J62" i="21"/>
  <c r="J54" i="21"/>
  <c r="J15" i="21"/>
  <c r="J24" i="21"/>
  <c r="J33" i="21"/>
  <c r="J63" i="21"/>
  <c r="I17" i="17"/>
  <c r="M18" i="1" s="1"/>
  <c r="J50" i="21"/>
  <c r="J67" i="21"/>
  <c r="J52" i="21"/>
  <c r="J64" i="21"/>
  <c r="J18" i="21"/>
  <c r="J23" i="2"/>
  <c r="J24" i="2" s="1"/>
  <c r="D52" i="34" s="1"/>
  <c r="J3" i="8"/>
  <c r="K3" i="8" s="1"/>
  <c r="H24" i="28"/>
  <c r="J3" i="21"/>
  <c r="L3" i="21" s="1"/>
  <c r="H19" i="28"/>
  <c r="H13" i="28"/>
  <c r="J2" i="21"/>
  <c r="L2" i="21" s="1"/>
  <c r="H16" i="28"/>
  <c r="M309" i="2"/>
  <c r="X309" i="2" s="1"/>
  <c r="AH309" i="2" s="1"/>
  <c r="AE311" i="2"/>
  <c r="AO311" i="2" s="1"/>
  <c r="AD311" i="2"/>
  <c r="AN311" i="2" s="1"/>
  <c r="AC311" i="2"/>
  <c r="AM311" i="2" s="1"/>
  <c r="AA311" i="2"/>
  <c r="AK311" i="2" s="1"/>
  <c r="Z311" i="2"/>
  <c r="AJ311" i="2" s="1"/>
  <c r="M311" i="2"/>
  <c r="X311" i="2" s="1"/>
  <c r="AH311" i="2" s="1"/>
  <c r="W311" i="2"/>
  <c r="AG311" i="2" s="1"/>
  <c r="K311" i="2"/>
  <c r="V311" i="2" s="1"/>
  <c r="AF311" i="2" s="1"/>
  <c r="AB311" i="2"/>
  <c r="AL311" i="2" s="1"/>
  <c r="H23" i="28"/>
  <c r="AD290" i="2"/>
  <c r="AN290" i="2" s="1"/>
  <c r="AC290" i="2"/>
  <c r="AM290" i="2" s="1"/>
  <c r="AB290" i="2"/>
  <c r="AL290" i="2" s="1"/>
  <c r="AA290" i="2"/>
  <c r="AK290" i="2" s="1"/>
  <c r="Z290" i="2"/>
  <c r="AJ290" i="2" s="1"/>
  <c r="V290" i="2"/>
  <c r="AF290" i="2" s="1"/>
  <c r="AD288" i="2"/>
  <c r="AN288" i="2" s="1"/>
  <c r="AC288" i="2"/>
  <c r="AM288" i="2" s="1"/>
  <c r="AB288" i="2"/>
  <c r="AL288" i="2" s="1"/>
  <c r="AA288" i="2"/>
  <c r="AK288" i="2" s="1"/>
  <c r="Z288" i="2"/>
  <c r="AJ288" i="2" s="1"/>
  <c r="V288" i="2"/>
  <c r="AF288" i="2" s="1"/>
  <c r="H22" i="28"/>
  <c r="V287" i="2"/>
  <c r="AF287" i="2" s="1"/>
  <c r="AB284" i="2"/>
  <c r="AL284" i="2" s="1"/>
  <c r="AC285" i="2"/>
  <c r="AM285" i="2" s="1"/>
  <c r="AA284" i="2"/>
  <c r="AK284" i="2" s="1"/>
  <c r="AC284" i="2"/>
  <c r="AM284" i="2" s="1"/>
  <c r="Z285" i="2"/>
  <c r="AJ285" i="2" s="1"/>
  <c r="AA285" i="2"/>
  <c r="AK285" i="2" s="1"/>
  <c r="AB285" i="2"/>
  <c r="AL285" i="2" s="1"/>
  <c r="AD285" i="2"/>
  <c r="AN285" i="2" s="1"/>
  <c r="V284" i="2"/>
  <c r="Z284" i="2"/>
  <c r="AJ284" i="2" s="1"/>
  <c r="AD284" i="2"/>
  <c r="AN284" i="2" s="1"/>
  <c r="Z286" i="2"/>
  <c r="AJ286" i="2" s="1"/>
  <c r="AA286" i="2"/>
  <c r="AK286" i="2" s="1"/>
  <c r="AB286" i="2"/>
  <c r="AL286" i="2" s="1"/>
  <c r="AC286" i="2"/>
  <c r="AM286" i="2" s="1"/>
  <c r="AD286" i="2"/>
  <c r="AN286" i="2" s="1"/>
  <c r="Z289" i="2"/>
  <c r="AJ289" i="2" s="1"/>
  <c r="H28" i="28"/>
  <c r="AD289" i="2"/>
  <c r="AN289" i="2" s="1"/>
  <c r="V286" i="2"/>
  <c r="AF286" i="2" s="1"/>
  <c r="AB289" i="2"/>
  <c r="AL289" i="2" s="1"/>
  <c r="AB287" i="2"/>
  <c r="AL287" i="2" s="1"/>
  <c r="AA292" i="2"/>
  <c r="AK292" i="2" s="1"/>
  <c r="Z292" i="2"/>
  <c r="AJ292" i="2" s="1"/>
  <c r="Z287" i="2"/>
  <c r="AJ287" i="2" s="1"/>
  <c r="AA289" i="2"/>
  <c r="AK289" i="2" s="1"/>
  <c r="AB292" i="2"/>
  <c r="AL292" i="2" s="1"/>
  <c r="V292" i="2"/>
  <c r="AF292" i="2" s="1"/>
  <c r="AD292" i="2"/>
  <c r="AN292" i="2" s="1"/>
  <c r="AC289" i="2"/>
  <c r="AM289" i="2" s="1"/>
  <c r="AA287" i="2"/>
  <c r="AK287" i="2" s="1"/>
  <c r="AC287" i="2"/>
  <c r="AM287" i="2" s="1"/>
  <c r="AD287" i="2"/>
  <c r="AN287" i="2" s="1"/>
  <c r="AC292" i="2"/>
  <c r="AM292" i="2" s="1"/>
  <c r="V289" i="2"/>
  <c r="AF289" i="2" s="1"/>
  <c r="AC291" i="2"/>
  <c r="AM291" i="2" s="1"/>
  <c r="V291" i="2"/>
  <c r="AF291" i="2" s="1"/>
  <c r="AA291" i="2"/>
  <c r="AK291" i="2" s="1"/>
  <c r="AB291" i="2"/>
  <c r="AL291" i="2" s="1"/>
  <c r="AD291" i="2"/>
  <c r="AN291" i="2" s="1"/>
  <c r="CG295" i="2"/>
  <c r="BH317" i="2" s="1"/>
  <c r="AF317" i="2" s="1"/>
  <c r="H18" i="28"/>
  <c r="H14" i="28"/>
  <c r="K312" i="2"/>
  <c r="V312" i="2" s="1"/>
  <c r="AF312" i="2" s="1"/>
  <c r="AA309" i="2"/>
  <c r="AK309" i="2" s="1"/>
  <c r="W312" i="2"/>
  <c r="AG312" i="2" s="1"/>
  <c r="AE309" i="2"/>
  <c r="AO309" i="2" s="1"/>
  <c r="AB312" i="2"/>
  <c r="AL312" i="2" s="1"/>
  <c r="AE312" i="2"/>
  <c r="AO312" i="2" s="1"/>
  <c r="AB309" i="2"/>
  <c r="AL309" i="2" s="1"/>
  <c r="AD309" i="2"/>
  <c r="AN309" i="2" s="1"/>
  <c r="M312" i="2"/>
  <c r="X312" i="2" s="1"/>
  <c r="AH312" i="2" s="1"/>
  <c r="AA312" i="2"/>
  <c r="AK312" i="2" s="1"/>
  <c r="AC309" i="2"/>
  <c r="AM309" i="2" s="1"/>
  <c r="AC312" i="2"/>
  <c r="AM312" i="2" s="1"/>
  <c r="W309" i="2"/>
  <c r="AG309" i="2" s="1"/>
  <c r="Z312" i="2"/>
  <c r="AJ312" i="2" s="1"/>
  <c r="Z309" i="2"/>
  <c r="AJ309" i="2" s="1"/>
  <c r="AD312" i="2"/>
  <c r="AN312" i="2" s="1"/>
  <c r="K309" i="2"/>
  <c r="V309" i="2" s="1"/>
  <c r="AF309" i="2" s="1"/>
  <c r="H21" i="28"/>
  <c r="BC291" i="2" l="1"/>
  <c r="BD291" i="2" s="1"/>
  <c r="BC288" i="2"/>
  <c r="BD288" i="2" s="1"/>
  <c r="BC292" i="2"/>
  <c r="BD292" i="2" s="1"/>
  <c r="BC309" i="2"/>
  <c r="BD309" i="2" s="1"/>
  <c r="BC287" i="2"/>
  <c r="BD287" i="2" s="1"/>
  <c r="BC289" i="2"/>
  <c r="BD289" i="2" s="1"/>
  <c r="BC311" i="2"/>
  <c r="BD311" i="2" s="1"/>
  <c r="BC286" i="2"/>
  <c r="BD286" i="2" s="1"/>
  <c r="BC290" i="2"/>
  <c r="BD290" i="2" s="1"/>
  <c r="BC285" i="2"/>
  <c r="BD285" i="2" s="1"/>
  <c r="BC312" i="2"/>
  <c r="BD312" i="2" s="1"/>
  <c r="AF284" i="2"/>
  <c r="BC284" i="2" s="1"/>
  <c r="BD284" i="2" s="1"/>
  <c r="R69" i="28"/>
  <c r="Q44" i="28"/>
  <c r="M46" i="28"/>
  <c r="O41" i="28"/>
  <c r="O68" i="28"/>
  <c r="O69" i="28"/>
  <c r="N43" i="28"/>
  <c r="R68" i="28"/>
  <c r="J66" i="28"/>
  <c r="Q42" i="28"/>
  <c r="H75" i="28"/>
  <c r="I303" i="17"/>
  <c r="P69" i="28"/>
  <c r="O48" i="28"/>
  <c r="N49" i="28"/>
  <c r="O42" i="28"/>
  <c r="M47" i="28"/>
  <c r="I300" i="17"/>
  <c r="H72" i="28"/>
  <c r="P66" i="28"/>
  <c r="N48" i="28"/>
  <c r="O44" i="28"/>
  <c r="N42" i="28"/>
  <c r="N47" i="28"/>
  <c r="I278" i="17"/>
  <c r="H50" i="28"/>
  <c r="N69" i="28"/>
  <c r="I48" i="28"/>
  <c r="O46" i="28"/>
  <c r="M42" i="28"/>
  <c r="O47" i="28"/>
  <c r="H54" i="28"/>
  <c r="I282" i="17"/>
  <c r="P44" i="28"/>
  <c r="Q43" i="28"/>
  <c r="I44" i="28"/>
  <c r="I68" i="28"/>
  <c r="R66" i="28"/>
  <c r="P43" i="28"/>
  <c r="I45" i="28"/>
  <c r="Q49" i="28"/>
  <c r="M43" i="28"/>
  <c r="Q69" i="28"/>
  <c r="M41" i="28"/>
  <c r="Q68" i="28"/>
  <c r="M69" i="28"/>
  <c r="M44" i="28"/>
  <c r="I41" i="28"/>
  <c r="Q45" i="28"/>
  <c r="Q48" i="28"/>
  <c r="I47" i="28"/>
  <c r="K69" i="28"/>
  <c r="P48" i="28"/>
  <c r="I43" i="28"/>
  <c r="P41" i="28"/>
  <c r="P47" i="28"/>
  <c r="O43" i="28"/>
  <c r="N66" i="28"/>
  <c r="M68" i="28"/>
  <c r="O49" i="28"/>
  <c r="Q41" i="28"/>
  <c r="O45" i="28"/>
  <c r="P68" i="28"/>
  <c r="M66" i="28"/>
  <c r="N46" i="28"/>
  <c r="P45" i="28"/>
  <c r="M49" i="28"/>
  <c r="K66" i="28"/>
  <c r="Q66" i="28"/>
  <c r="I46" i="28"/>
  <c r="Q46" i="28"/>
  <c r="N41" i="28"/>
  <c r="Q47" i="28"/>
  <c r="N44" i="28"/>
  <c r="J68" i="28"/>
  <c r="J69" i="28"/>
  <c r="P46" i="28"/>
  <c r="K68" i="28"/>
  <c r="M45" i="28"/>
  <c r="I66" i="28"/>
  <c r="I69" i="28"/>
  <c r="I49" i="28"/>
  <c r="N45" i="28"/>
  <c r="N68" i="28"/>
  <c r="O66" i="28"/>
  <c r="P49" i="28"/>
  <c r="P42" i="28"/>
  <c r="J44" i="8"/>
  <c r="J41" i="8"/>
  <c r="J19" i="8"/>
  <c r="J23" i="8"/>
  <c r="B9" i="17"/>
  <c r="C9" i="17"/>
  <c r="G9" i="17"/>
  <c r="K22" i="1" s="1"/>
  <c r="H9" i="17"/>
  <c r="L22" i="1" s="1"/>
  <c r="D9" i="17"/>
  <c r="H17" i="28"/>
  <c r="J19" i="21"/>
  <c r="L19" i="21" s="1"/>
  <c r="B7" i="17"/>
  <c r="H7" i="17"/>
  <c r="L19" i="1" s="1"/>
  <c r="C7" i="17"/>
  <c r="D7" i="17"/>
  <c r="F7" i="17"/>
  <c r="J19" i="1" s="1"/>
  <c r="G7" i="17"/>
  <c r="K19" i="1" s="1"/>
  <c r="L27" i="21"/>
  <c r="K27" i="21"/>
  <c r="K22" i="21"/>
  <c r="L22" i="21"/>
  <c r="K10" i="21"/>
  <c r="L10" i="21"/>
  <c r="L28" i="21"/>
  <c r="K28" i="21"/>
  <c r="L29" i="21"/>
  <c r="K29" i="21"/>
  <c r="K69" i="21"/>
  <c r="L69" i="21"/>
  <c r="L31" i="21"/>
  <c r="K31" i="21"/>
  <c r="K50" i="21"/>
  <c r="L50" i="21"/>
  <c r="K67" i="21"/>
  <c r="L67" i="21"/>
  <c r="L39" i="21"/>
  <c r="K39" i="21"/>
  <c r="L33" i="21"/>
  <c r="K33" i="21"/>
  <c r="L4" i="21"/>
  <c r="K4" i="21"/>
  <c r="L52" i="21"/>
  <c r="K52" i="21"/>
  <c r="K15" i="21"/>
  <c r="L15" i="21"/>
  <c r="L18" i="21"/>
  <c r="K18" i="21"/>
  <c r="L7" i="21"/>
  <c r="K7" i="21"/>
  <c r="K66" i="21"/>
  <c r="L66" i="21"/>
  <c r="L16" i="21"/>
  <c r="K16" i="21"/>
  <c r="K34" i="21"/>
  <c r="L34" i="21"/>
  <c r="K54" i="21"/>
  <c r="L54" i="21"/>
  <c r="L35" i="21"/>
  <c r="K35" i="21"/>
  <c r="K65" i="21"/>
  <c r="L65" i="21"/>
  <c r="K14" i="21"/>
  <c r="L14" i="21"/>
  <c r="K6" i="21"/>
  <c r="L6" i="21"/>
  <c r="L53" i="21"/>
  <c r="K53" i="21"/>
  <c r="K47" i="21"/>
  <c r="L47" i="21"/>
  <c r="L51" i="21"/>
  <c r="K51" i="21"/>
  <c r="K63" i="21"/>
  <c r="L63" i="21"/>
  <c r="L62" i="21"/>
  <c r="K62" i="21"/>
  <c r="K26" i="21"/>
  <c r="L26" i="21"/>
  <c r="K55" i="21"/>
  <c r="L55" i="21"/>
  <c r="K36" i="21"/>
  <c r="L36" i="21"/>
  <c r="K12" i="21"/>
  <c r="L12" i="21"/>
  <c r="K24" i="21"/>
  <c r="L24" i="21"/>
  <c r="L60" i="21"/>
  <c r="K60" i="21"/>
  <c r="K58" i="21"/>
  <c r="L58" i="21"/>
  <c r="K61" i="21"/>
  <c r="L61" i="21"/>
  <c r="K38" i="21"/>
  <c r="L38" i="21"/>
  <c r="K37" i="21"/>
  <c r="L37" i="21"/>
  <c r="L59" i="21"/>
  <c r="K59" i="21"/>
  <c r="L20" i="21"/>
  <c r="K20" i="21"/>
  <c r="K30" i="21"/>
  <c r="L30" i="21"/>
  <c r="K21" i="21"/>
  <c r="L21" i="21"/>
  <c r="L32" i="21"/>
  <c r="K32" i="21"/>
  <c r="K40" i="21"/>
  <c r="L40" i="21"/>
  <c r="K5" i="21"/>
  <c r="L5" i="21"/>
  <c r="K71" i="21"/>
  <c r="L71" i="21"/>
  <c r="K8" i="21"/>
  <c r="L8" i="21"/>
  <c r="L68" i="21"/>
  <c r="K68" i="21"/>
  <c r="K9" i="21"/>
  <c r="L9" i="21"/>
  <c r="K64" i="21"/>
  <c r="L64" i="21"/>
  <c r="L70" i="21"/>
  <c r="K70" i="21"/>
  <c r="K41" i="21"/>
  <c r="L41" i="21"/>
  <c r="L3" i="8"/>
  <c r="K2" i="21"/>
  <c r="K3" i="21"/>
  <c r="D67" i="34"/>
  <c r="D61" i="34"/>
  <c r="D73" i="34"/>
  <c r="CM295" i="2"/>
  <c r="BN317" i="2" s="1"/>
  <c r="AL317" i="2" s="1"/>
  <c r="BP317" i="2"/>
  <c r="AN317" i="2" s="1"/>
  <c r="BJ317" i="2"/>
  <c r="AH317" i="2" s="1"/>
  <c r="CL295" i="2"/>
  <c r="BM317" i="2" s="1"/>
  <c r="AK317" i="2" s="1"/>
  <c r="BO317" i="2"/>
  <c r="AM317" i="2" s="1"/>
  <c r="BL317" i="2"/>
  <c r="AJ317" i="2" s="1"/>
  <c r="AT285" i="2" l="1"/>
  <c r="AR288" i="2"/>
  <c r="AU285" i="2"/>
  <c r="AX291" i="2"/>
  <c r="AU311" i="2"/>
  <c r="AY312" i="2"/>
  <c r="BE309" i="2"/>
  <c r="BF309" i="2" s="1"/>
  <c r="AV292" i="2"/>
  <c r="AX284" i="2"/>
  <c r="AW287" i="2"/>
  <c r="AT290" i="2"/>
  <c r="AV291" i="2"/>
  <c r="AQ289" i="2"/>
  <c r="AT289" i="2"/>
  <c r="AX286" i="2"/>
  <c r="AT288" i="2"/>
  <c r="AW289" i="2"/>
  <c r="AR291" i="2"/>
  <c r="AP311" i="2"/>
  <c r="AW286" i="2"/>
  <c r="AU292" i="2"/>
  <c r="AY289" i="2"/>
  <c r="BE311" i="2"/>
  <c r="BF311" i="2" s="1"/>
  <c r="AT312" i="2"/>
  <c r="AR284" i="2"/>
  <c r="AR285" i="2"/>
  <c r="AU287" i="2"/>
  <c r="AY288" i="2"/>
  <c r="AU289" i="2"/>
  <c r="BE288" i="2"/>
  <c r="BF288" i="2" s="1"/>
  <c r="AU312" i="2"/>
  <c r="AW292" i="2"/>
  <c r="AX312" i="2"/>
  <c r="AU286" i="2"/>
  <c r="AV312" i="2"/>
  <c r="AP285" i="2"/>
  <c r="AV309" i="2"/>
  <c r="AT284" i="2"/>
  <c r="AX289" i="2"/>
  <c r="AQ291" i="2"/>
  <c r="AV289" i="2"/>
  <c r="AW291" i="2"/>
  <c r="AR312" i="2"/>
  <c r="AY311" i="2"/>
  <c r="AQ311" i="2"/>
  <c r="AQ290" i="2"/>
  <c r="AR292" i="2"/>
  <c r="AW288" i="2"/>
  <c r="AP286" i="2"/>
  <c r="AU290" i="2"/>
  <c r="AX288" i="2"/>
  <c r="AX290" i="2"/>
  <c r="AX292" i="2"/>
  <c r="AV311" i="2"/>
  <c r="AT309" i="2"/>
  <c r="AV287" i="2"/>
  <c r="AT292" i="2"/>
  <c r="AY285" i="2"/>
  <c r="AT286" i="2"/>
  <c r="BE312" i="2"/>
  <c r="BF312" i="2" s="1"/>
  <c r="AV284" i="2"/>
  <c r="AT287" i="2"/>
  <c r="AR287" i="2"/>
  <c r="AQ288" i="2"/>
  <c r="AU284" i="2"/>
  <c r="AY292" i="2"/>
  <c r="AW309" i="2"/>
  <c r="AQ285" i="2"/>
  <c r="AV286" i="2"/>
  <c r="AP292" i="2"/>
  <c r="AP289" i="2"/>
  <c r="AQ292" i="2"/>
  <c r="AW290" i="2"/>
  <c r="AR289" i="2"/>
  <c r="AP309" i="2"/>
  <c r="AQ284" i="2"/>
  <c r="AX311" i="2"/>
  <c r="AR309" i="2"/>
  <c r="AY286" i="2"/>
  <c r="AV288" i="2"/>
  <c r="AY291" i="2"/>
  <c r="AU291" i="2"/>
  <c r="AP312" i="2"/>
  <c r="AQ287" i="2"/>
  <c r="AW285" i="2"/>
  <c r="AU309" i="2"/>
  <c r="AP287" i="2"/>
  <c r="AY284" i="2"/>
  <c r="AR290" i="2"/>
  <c r="AQ312" i="2"/>
  <c r="AP290" i="2"/>
  <c r="BE285" i="2"/>
  <c r="BF285" i="2" s="1"/>
  <c r="BE284" i="2"/>
  <c r="BF284" i="2" s="1"/>
  <c r="AQ309" i="2"/>
  <c r="AQ286" i="2"/>
  <c r="AV285" i="2"/>
  <c r="AP291" i="2"/>
  <c r="AX285" i="2"/>
  <c r="AY287" i="2"/>
  <c r="AW284" i="2"/>
  <c r="AW312" i="2"/>
  <c r="AR311" i="2"/>
  <c r="AR286" i="2"/>
  <c r="AU288" i="2"/>
  <c r="AT291" i="2"/>
  <c r="AT311" i="2"/>
  <c r="AW311" i="2"/>
  <c r="AX287" i="2"/>
  <c r="AP288" i="2"/>
  <c r="AX309" i="2"/>
  <c r="AV290" i="2"/>
  <c r="AY309" i="2"/>
  <c r="AY290" i="2"/>
  <c r="AP284" i="2"/>
  <c r="BE291" i="2"/>
  <c r="BF291" i="2" s="1"/>
  <c r="K23" i="8"/>
  <c r="L23" i="8"/>
  <c r="K19" i="8"/>
  <c r="L19" i="8"/>
  <c r="L41" i="8"/>
  <c r="K41" i="8"/>
  <c r="K44" i="8"/>
  <c r="L44" i="8"/>
  <c r="AQ317" i="2"/>
  <c r="AP317" i="2"/>
  <c r="AY317" i="2"/>
  <c r="AT317" i="2"/>
  <c r="AW317" i="2"/>
  <c r="AU317" i="2"/>
  <c r="AR317" i="2"/>
  <c r="AV317" i="2"/>
  <c r="AX317" i="2"/>
  <c r="K19" i="21"/>
  <c r="BE289" i="2"/>
  <c r="BF289" i="2" s="1"/>
  <c r="BE290" i="2"/>
  <c r="BF290" i="2" s="1"/>
  <c r="BE292" i="2"/>
  <c r="BF292" i="2" s="1"/>
  <c r="BE287" i="2"/>
  <c r="BF287" i="2" s="1"/>
  <c r="BE286" i="2"/>
  <c r="BF286" i="2" s="1"/>
  <c r="J285" i="2" l="1"/>
  <c r="J11" i="8" s="1"/>
  <c r="J291" i="2"/>
  <c r="H48" i="28" s="1"/>
  <c r="J288" i="2"/>
  <c r="J14" i="8" s="1"/>
  <c r="J309" i="2"/>
  <c r="J35" i="8" s="1"/>
  <c r="J311" i="2"/>
  <c r="H68" i="28" s="1"/>
  <c r="J312" i="2"/>
  <c r="J38" i="8" s="1"/>
  <c r="K38" i="8" s="1"/>
  <c r="J284" i="2"/>
  <c r="J10" i="8" s="1"/>
  <c r="J287" i="2"/>
  <c r="J292" i="2"/>
  <c r="J286" i="2"/>
  <c r="J12" i="8" s="1"/>
  <c r="J290" i="2"/>
  <c r="J16" i="8" s="1"/>
  <c r="J289" i="2"/>
  <c r="J15" i="8" s="1"/>
  <c r="J317" i="2"/>
  <c r="I16" i="17"/>
  <c r="M15" i="1" s="1"/>
  <c r="H41" i="28" l="1"/>
  <c r="H45" i="28"/>
  <c r="H42" i="28"/>
  <c r="I276" i="17"/>
  <c r="I273" i="17"/>
  <c r="I270" i="17"/>
  <c r="I269" i="17"/>
  <c r="J17" i="8"/>
  <c r="L17" i="8" s="1"/>
  <c r="L10" i="8"/>
  <c r="K10" i="8"/>
  <c r="H66" i="28"/>
  <c r="I294" i="17"/>
  <c r="I296" i="17"/>
  <c r="J37" i="8"/>
  <c r="L37" i="8" s="1"/>
  <c r="I297" i="17"/>
  <c r="H69" i="28"/>
  <c r="H49" i="28"/>
  <c r="I277" i="17"/>
  <c r="H44" i="28"/>
  <c r="I272" i="17"/>
  <c r="J18" i="8"/>
  <c r="L18" i="8" s="1"/>
  <c r="L38" i="8"/>
  <c r="J13" i="8"/>
  <c r="L13" i="8" s="1"/>
  <c r="H46" i="28"/>
  <c r="I274" i="17"/>
  <c r="I275" i="17"/>
  <c r="H47" i="28"/>
  <c r="H74" i="28"/>
  <c r="I302" i="17"/>
  <c r="I271" i="17"/>
  <c r="H43" i="28"/>
  <c r="J43" i="8"/>
  <c r="K16" i="8"/>
  <c r="L16" i="8"/>
  <c r="K35" i="8"/>
  <c r="L35" i="8"/>
  <c r="L12" i="8"/>
  <c r="K12" i="8"/>
  <c r="L14" i="8"/>
  <c r="K14" i="8"/>
  <c r="L15" i="8"/>
  <c r="K15" i="8"/>
  <c r="K11" i="8"/>
  <c r="L11" i="8"/>
  <c r="H5" i="17"/>
  <c r="L16" i="1" s="1"/>
  <c r="C5" i="17"/>
  <c r="F5" i="17"/>
  <c r="J16" i="1" s="1"/>
  <c r="B5" i="17"/>
  <c r="G5" i="17"/>
  <c r="K16" i="1" s="1"/>
  <c r="D5" i="17"/>
  <c r="G276" i="2"/>
  <c r="J2" i="8"/>
  <c r="K17" i="8" l="1"/>
  <c r="K37" i="8"/>
  <c r="K13" i="8"/>
  <c r="K18" i="8"/>
  <c r="K43" i="8"/>
  <c r="L43" i="8"/>
  <c r="K2" i="8"/>
  <c r="L2" i="8"/>
  <c r="H33"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Chan</author>
  </authors>
  <commentList>
    <comment ref="K14" authorId="0" shapeId="0" xr:uid="{00000000-0006-0000-0300-000001000000}">
      <text>
        <r>
          <rPr>
            <b/>
            <sz val="9"/>
            <color rgb="FF000000"/>
            <rFont val="細明體"/>
            <family val="3"/>
            <charset val="136"/>
          </rPr>
          <t>或</t>
        </r>
        <r>
          <rPr>
            <b/>
            <sz val="9"/>
            <color rgb="FF000000"/>
            <rFont val="Tahoma"/>
            <family val="2"/>
          </rPr>
          <t>Mean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Chan</author>
    <author>CHAN, Koon Ho</author>
  </authors>
  <commentList>
    <comment ref="E86" authorId="0" shapeId="0" xr:uid="{00000000-0006-0000-0000-000023000000}">
      <text>
        <r>
          <rPr>
            <b/>
            <sz val="9"/>
            <color indexed="81"/>
            <rFont val="Tahoma"/>
            <family val="2"/>
          </rPr>
          <t>x2:</t>
        </r>
        <r>
          <rPr>
            <b/>
            <sz val="9"/>
            <color indexed="81"/>
            <rFont val="細明體"/>
            <family val="3"/>
            <charset val="136"/>
          </rPr>
          <t xml:space="preserve">
</t>
        </r>
        <r>
          <rPr>
            <sz val="9"/>
            <color indexed="81"/>
            <rFont val="細明體"/>
            <family val="3"/>
            <charset val="136"/>
          </rPr>
          <t>英文、英語文學</t>
        </r>
        <r>
          <rPr>
            <b/>
            <sz val="9"/>
            <color indexed="81"/>
            <rFont val="細明體"/>
            <family val="3"/>
            <charset val="136"/>
          </rPr>
          <t xml:space="preserve">
</t>
        </r>
        <r>
          <rPr>
            <b/>
            <sz val="9"/>
            <color indexed="81"/>
            <rFont val="Tahoma"/>
            <family val="2"/>
          </rPr>
          <t xml:space="preserve">
x1.5:
</t>
        </r>
        <r>
          <rPr>
            <sz val="9"/>
            <color indexed="81"/>
            <rFont val="細明體"/>
            <family val="3"/>
            <charset val="136"/>
          </rPr>
          <t>中文、中國文學、通識、數學</t>
        </r>
      </text>
    </comment>
    <comment ref="E88" authorId="0" shapeId="0" xr:uid="{00000000-0006-0000-0000-000024000000}">
      <text>
        <r>
          <rPr>
            <b/>
            <sz val="9"/>
            <color indexed="81"/>
            <rFont val="Tahoma"/>
            <family val="2"/>
          </rPr>
          <t xml:space="preserve">x1.5:
英文 
</t>
        </r>
      </text>
    </comment>
    <comment ref="E89" authorId="0" shapeId="0" xr:uid="{00000000-0006-0000-0000-000025000000}">
      <text>
        <r>
          <rPr>
            <b/>
            <sz val="9"/>
            <color indexed="81"/>
            <rFont val="Tahoma"/>
            <family val="2"/>
          </rPr>
          <t xml:space="preserve">x1.5:
英文 
</t>
        </r>
      </text>
    </comment>
    <comment ref="E90" authorId="0" shapeId="0" xr:uid="{00000000-0006-0000-0000-000026000000}">
      <text>
        <r>
          <rPr>
            <b/>
            <sz val="9"/>
            <color indexed="81"/>
            <rFont val="Tahoma"/>
            <family val="2"/>
          </rPr>
          <t xml:space="preserve">Best 5 </t>
        </r>
        <r>
          <rPr>
            <b/>
            <sz val="9"/>
            <color indexed="81"/>
            <rFont val="細明體"/>
            <family val="3"/>
            <charset val="136"/>
          </rPr>
          <t xml:space="preserve">(包括中、英文)
</t>
        </r>
        <r>
          <rPr>
            <b/>
            <sz val="9"/>
            <color indexed="81"/>
            <rFont val="Tahoma"/>
            <family val="2"/>
          </rPr>
          <t>x1.25:
中文、英文</t>
        </r>
      </text>
    </comment>
    <comment ref="E91" authorId="0" shapeId="0" xr:uid="{00000000-0006-0000-0000-000027000000}">
      <text>
        <r>
          <rPr>
            <b/>
            <sz val="9"/>
            <color indexed="81"/>
            <rFont val="Tahoma"/>
            <family val="2"/>
          </rPr>
          <t xml:space="preserve">Best 5 </t>
        </r>
        <r>
          <rPr>
            <b/>
            <sz val="9"/>
            <color indexed="81"/>
            <rFont val="細明體"/>
            <family val="3"/>
            <charset val="136"/>
          </rPr>
          <t xml:space="preserve">(包括中、英文)
</t>
        </r>
        <r>
          <rPr>
            <b/>
            <sz val="9"/>
            <color indexed="81"/>
            <rFont val="Tahoma"/>
            <family val="2"/>
          </rPr>
          <t>x1.25:
中文、英文</t>
        </r>
      </text>
    </comment>
    <comment ref="E92" authorId="0" shapeId="0" xr:uid="{00000000-0006-0000-0000-000028000000}">
      <text>
        <r>
          <rPr>
            <b/>
            <sz val="9"/>
            <color indexed="81"/>
            <rFont val="Tahoma"/>
            <family val="2"/>
          </rPr>
          <t>Best 5 (</t>
        </r>
        <r>
          <rPr>
            <b/>
            <sz val="9"/>
            <color indexed="81"/>
            <rFont val="細明體"/>
            <family val="3"/>
            <charset val="136"/>
          </rPr>
          <t>包括英文</t>
        </r>
        <r>
          <rPr>
            <b/>
            <sz val="9"/>
            <color indexed="81"/>
            <rFont val="Tahoma"/>
            <family val="2"/>
          </rPr>
          <t>)</t>
        </r>
        <r>
          <rPr>
            <sz val="9"/>
            <color indexed="81"/>
            <rFont val="Tahoma"/>
            <family val="2"/>
          </rPr>
          <t xml:space="preserve">
</t>
        </r>
      </text>
    </comment>
    <comment ref="E93" authorId="0" shapeId="0" xr:uid="{00000000-0006-0000-0000-000029000000}">
      <text>
        <r>
          <rPr>
            <b/>
            <sz val="9"/>
            <color indexed="81"/>
            <rFont val="Tahoma"/>
            <family val="2"/>
          </rPr>
          <t>2021</t>
        </r>
        <r>
          <rPr>
            <b/>
            <sz val="9"/>
            <color indexed="81"/>
            <rFont val="細明體"/>
            <family val="3"/>
            <charset val="136"/>
          </rPr>
          <t>年新科目</t>
        </r>
        <r>
          <rPr>
            <b/>
            <sz val="9"/>
            <color indexed="81"/>
            <rFont val="Tahoma"/>
            <family val="2"/>
          </rPr>
          <t xml:space="preserve">
Best 5 </t>
        </r>
        <r>
          <rPr>
            <b/>
            <sz val="9"/>
            <color indexed="81"/>
            <rFont val="細明體"/>
            <family val="3"/>
            <charset val="136"/>
          </rPr>
          <t xml:space="preserve">(包括中、英文)
</t>
        </r>
        <r>
          <rPr>
            <b/>
            <sz val="9"/>
            <color indexed="81"/>
            <rFont val="Tahoma"/>
            <family val="2"/>
          </rPr>
          <t>x1.25:
中文、英文</t>
        </r>
      </text>
    </comment>
    <comment ref="E94" authorId="0" shapeId="0" xr:uid="{00000000-0006-0000-0000-00002A000000}">
      <text>
        <r>
          <rPr>
            <b/>
            <sz val="9"/>
            <color indexed="81"/>
            <rFont val="Tahoma"/>
            <family val="2"/>
          </rPr>
          <t>2021</t>
        </r>
        <r>
          <rPr>
            <b/>
            <sz val="9"/>
            <color indexed="81"/>
            <rFont val="細明體"/>
            <family val="3"/>
            <charset val="136"/>
          </rPr>
          <t>年新科目</t>
        </r>
        <r>
          <rPr>
            <b/>
            <sz val="9"/>
            <color indexed="81"/>
            <rFont val="Tahoma"/>
            <family val="2"/>
          </rPr>
          <t xml:space="preserve">
Best 5 </t>
        </r>
        <r>
          <rPr>
            <b/>
            <sz val="9"/>
            <color indexed="81"/>
            <rFont val="細明體"/>
            <family val="3"/>
            <charset val="136"/>
          </rPr>
          <t xml:space="preserve">(包括中、英文)
</t>
        </r>
        <r>
          <rPr>
            <b/>
            <sz val="9"/>
            <color indexed="81"/>
            <rFont val="Tahoma"/>
            <family val="2"/>
          </rPr>
          <t>x1.25:
中文、英文</t>
        </r>
      </text>
    </comment>
    <comment ref="E95" authorId="0" shapeId="0" xr:uid="{00000000-0006-0000-0000-00002B000000}">
      <text>
        <r>
          <rPr>
            <b/>
            <sz val="9"/>
            <color indexed="81"/>
            <rFont val="Tahoma"/>
            <family val="2"/>
          </rPr>
          <t xml:space="preserve">x1.5: </t>
        </r>
        <r>
          <rPr>
            <sz val="9"/>
            <color indexed="81"/>
            <rFont val="細明體"/>
            <family val="3"/>
            <charset val="136"/>
          </rPr>
          <t>中文、英文、生物</t>
        </r>
        <r>
          <rPr>
            <b/>
            <sz val="9"/>
            <color indexed="81"/>
            <rFont val="細明體"/>
            <family val="3"/>
            <charset val="136"/>
          </rPr>
          <t xml:space="preserve">
</t>
        </r>
        <r>
          <rPr>
            <b/>
            <sz val="9"/>
            <color indexed="81"/>
            <rFont val="Tahoma"/>
            <family val="2"/>
          </rPr>
          <t xml:space="preserve">x1.25: </t>
        </r>
        <r>
          <rPr>
            <sz val="9"/>
            <color indexed="81"/>
            <rFont val="細明體"/>
            <family val="3"/>
            <charset val="136"/>
          </rPr>
          <t>中史、中國文學、化學、組合科學、數學、物理</t>
        </r>
      </text>
    </comment>
    <comment ref="E96" authorId="0" shapeId="0" xr:uid="{00000000-0006-0000-0000-00002C000000}">
      <text>
        <r>
          <rPr>
            <b/>
            <sz val="9"/>
            <color indexed="81"/>
            <rFont val="Tahoma"/>
            <family val="2"/>
          </rPr>
          <t xml:space="preserve">x1.5: </t>
        </r>
        <r>
          <rPr>
            <sz val="9"/>
            <color indexed="81"/>
            <rFont val="細明體"/>
            <family val="3"/>
            <charset val="136"/>
          </rPr>
          <t>中文、英文、化學</t>
        </r>
        <r>
          <rPr>
            <b/>
            <sz val="9"/>
            <color indexed="81"/>
            <rFont val="細明體"/>
            <family val="3"/>
            <charset val="136"/>
          </rPr>
          <t xml:space="preserve">
</t>
        </r>
        <r>
          <rPr>
            <b/>
            <sz val="9"/>
            <color indexed="81"/>
            <rFont val="Tahoma"/>
            <family val="2"/>
          </rPr>
          <t xml:space="preserve">x1.25: </t>
        </r>
        <r>
          <rPr>
            <sz val="9"/>
            <color indexed="81"/>
            <rFont val="細明體"/>
            <family val="3"/>
            <charset val="136"/>
          </rPr>
          <t>生物、中國文學、組合科學、數學、物理</t>
        </r>
      </text>
    </comment>
    <comment ref="E97" authorId="1" shapeId="0" xr:uid="{00000000-0006-0000-0000-00002D000000}">
      <text>
        <r>
          <rPr>
            <b/>
            <sz val="9"/>
            <color indexed="81"/>
            <rFont val="Tahoma"/>
            <family val="2"/>
          </rPr>
          <t>2021年將以4C2X收生
此處仍以Best 6作估算，請注意</t>
        </r>
      </text>
    </comment>
    <comment ref="E98" authorId="0" shapeId="0" xr:uid="{00000000-0006-0000-0000-00002E000000}">
      <text>
        <r>
          <rPr>
            <b/>
            <sz val="9"/>
            <color indexed="81"/>
            <rFont val="Tahoma"/>
            <family val="2"/>
          </rPr>
          <t xml:space="preserve">x2:
英文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Chan</author>
    <author>User</author>
  </authors>
  <commentList>
    <comment ref="K1" authorId="0" shapeId="0" xr:uid="{00000000-0006-0000-0A00-000001000000}">
      <text>
        <r>
          <rPr>
            <b/>
            <sz val="9"/>
            <color rgb="FF000000"/>
            <rFont val="細明體"/>
            <family val="3"/>
            <charset val="136"/>
          </rPr>
          <t>可選擇：</t>
        </r>
        <r>
          <rPr>
            <b/>
            <sz val="9"/>
            <color rgb="FF000000"/>
            <rFont val="細明體"/>
            <family val="3"/>
            <charset val="136"/>
          </rPr>
          <t xml:space="preserve">
</t>
        </r>
        <r>
          <rPr>
            <b/>
            <sz val="9"/>
            <color rgb="FF000000"/>
            <rFont val="Tahoma"/>
            <family val="2"/>
          </rPr>
          <t>UQ/Median/LQ</t>
        </r>
        <r>
          <rPr>
            <sz val="9"/>
            <color rgb="FF000000"/>
            <rFont val="Tahoma"/>
            <family val="2"/>
          </rPr>
          <t xml:space="preserve">
</t>
        </r>
      </text>
    </comment>
    <comment ref="N9" authorId="1" shapeId="0" xr:uid="{CC579974-2045-4F4D-B8AD-F19C9EEED6ED}">
      <text>
        <r>
          <rPr>
            <sz val="9"/>
            <color indexed="81"/>
            <rFont val="Tahoma"/>
            <family val="2"/>
          </rPr>
          <t xml:space="preserve">Applicants should have attained a level of proficiency in their main instrument/ voice at or above Grade 8 (ABRSM/ Trinity College).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author>
    <author>Michael Chan</author>
  </authors>
  <commentList>
    <comment ref="M28" authorId="0" shapeId="0" xr:uid="{00000000-0006-0000-0B00-000014000000}">
      <text>
        <r>
          <rPr>
            <sz val="9"/>
            <color indexed="81"/>
            <rFont val="Tahoma"/>
            <family val="2"/>
          </rPr>
          <t>Submission of Design and Technology Project experience document (</t>
        </r>
        <r>
          <rPr>
            <b/>
            <sz val="9"/>
            <color indexed="81"/>
            <rFont val="Tahoma"/>
            <family val="2"/>
          </rPr>
          <t>DTP</t>
        </r>
        <r>
          <rPr>
            <sz val="9"/>
            <color indexed="81"/>
            <rFont val="Tahoma"/>
            <family val="2"/>
          </rPr>
          <t>)/ Student Learning Profile (</t>
        </r>
        <r>
          <rPr>
            <b/>
            <sz val="9"/>
            <color indexed="81"/>
            <rFont val="Tahoma"/>
            <family val="2"/>
          </rPr>
          <t>SLP</t>
        </r>
        <r>
          <rPr>
            <sz val="9"/>
            <color indexed="81"/>
            <rFont val="Tahoma"/>
            <family val="2"/>
          </rPr>
          <t>)/ Other Experiences and Achievements (</t>
        </r>
        <r>
          <rPr>
            <b/>
            <sz val="9"/>
            <color indexed="81"/>
            <rFont val="Tahoma"/>
            <family val="2"/>
          </rPr>
          <t>OEA</t>
        </r>
        <r>
          <rPr>
            <sz val="9"/>
            <color indexed="81"/>
            <rFont val="Tahoma"/>
            <family val="2"/>
          </rPr>
          <t xml:space="preserve">) are </t>
        </r>
        <r>
          <rPr>
            <b/>
            <sz val="9"/>
            <color indexed="81"/>
            <rFont val="Tahoma"/>
            <family val="2"/>
          </rPr>
          <t>compulsory for admissions</t>
        </r>
        <r>
          <rPr>
            <sz val="9"/>
            <color indexed="81"/>
            <rFont val="Tahoma"/>
            <family val="2"/>
          </rPr>
          <t xml:space="preserve"> to this program.</t>
        </r>
      </text>
    </comment>
    <comment ref="S29" authorId="0" shapeId="0" xr:uid="{00000000-0006-0000-0B00-000038000000}">
      <text>
        <r>
          <rPr>
            <b/>
            <sz val="9"/>
            <color indexed="81"/>
            <rFont val="細明體"/>
            <family val="3"/>
            <charset val="136"/>
          </rPr>
          <t>以下一科</t>
        </r>
        <r>
          <rPr>
            <b/>
            <sz val="9"/>
            <color indexed="81"/>
            <rFont val="Tahoma"/>
            <family val="2"/>
          </rPr>
          <t>:</t>
        </r>
        <r>
          <rPr>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text>
    </comment>
    <comment ref="S31" authorId="1" shapeId="0" xr:uid="{00000000-0006-0000-0B00-00003D000000}">
      <text>
        <r>
          <rPr>
            <b/>
            <sz val="9"/>
            <color indexed="81"/>
            <rFont val="細明體"/>
            <family val="3"/>
            <charset val="136"/>
          </rPr>
          <t>以下一科</t>
        </r>
        <r>
          <rPr>
            <b/>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r>
          <rPr>
            <sz val="9"/>
            <color indexed="81"/>
            <rFont val="Tahoma"/>
            <family val="2"/>
          </rPr>
          <t xml:space="preserve">/ </t>
        </r>
        <r>
          <rPr>
            <sz val="9"/>
            <color indexed="81"/>
            <rFont val="細明體"/>
            <family val="3"/>
            <charset val="136"/>
          </rPr>
          <t>綜合科學</t>
        </r>
        <r>
          <rPr>
            <sz val="9"/>
            <color indexed="81"/>
            <rFont val="Tahoma"/>
            <family val="2"/>
          </rPr>
          <t xml:space="preserve">/
</t>
        </r>
        <r>
          <rPr>
            <sz val="9"/>
            <color indexed="81"/>
            <rFont val="細明體"/>
            <family val="3"/>
            <charset val="136"/>
          </rPr>
          <t>經濟</t>
        </r>
        <r>
          <rPr>
            <sz val="9"/>
            <color indexed="81"/>
            <rFont val="Tahoma"/>
            <family val="2"/>
          </rPr>
          <t>/ M1/2</t>
        </r>
      </text>
    </comment>
    <comment ref="S34" authorId="1" shapeId="0" xr:uid="{00000000-0006-0000-0B00-000042000000}">
      <text>
        <r>
          <rPr>
            <b/>
            <sz val="9"/>
            <color indexed="81"/>
            <rFont val="細明體"/>
            <family val="3"/>
            <charset val="136"/>
          </rPr>
          <t>以下一科</t>
        </r>
        <r>
          <rPr>
            <b/>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r>
          <rPr>
            <sz val="9"/>
            <color indexed="81"/>
            <rFont val="Tahoma"/>
            <family val="2"/>
          </rPr>
          <t>/ ICT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Michael Chan</author>
  </authors>
  <commentList>
    <comment ref="L6" authorId="0" shapeId="0" xr:uid="{00000000-0006-0000-0E00-000009000000}">
      <text>
        <r>
          <rPr>
            <sz val="9"/>
            <color indexed="81"/>
            <rFont val="細明體"/>
            <family val="3"/>
            <charset val="136"/>
          </rPr>
          <t>同學亦須在額外的</t>
        </r>
        <r>
          <rPr>
            <sz val="9"/>
            <color indexed="81"/>
            <rFont val="Tahoma"/>
            <family val="2"/>
          </rPr>
          <t xml:space="preserve"> </t>
        </r>
        <r>
          <rPr>
            <b/>
            <sz val="9"/>
            <color indexed="81"/>
            <rFont val="細明體"/>
            <family val="3"/>
            <charset val="136"/>
          </rPr>
          <t>入學測試</t>
        </r>
        <r>
          <rPr>
            <b/>
            <sz val="9"/>
            <color indexed="81"/>
            <rFont val="Tahoma"/>
            <family val="2"/>
          </rPr>
          <t>/</t>
        </r>
        <r>
          <rPr>
            <b/>
            <sz val="9"/>
            <color indexed="81"/>
            <rFont val="細明體"/>
            <family val="3"/>
            <charset val="136"/>
          </rPr>
          <t>面試</t>
        </r>
        <r>
          <rPr>
            <b/>
            <sz val="9"/>
            <color indexed="81"/>
            <rFont val="Tahoma"/>
            <family val="2"/>
          </rPr>
          <t xml:space="preserve"> </t>
        </r>
        <r>
          <rPr>
            <sz val="9"/>
            <color indexed="81"/>
            <rFont val="細明體"/>
            <family val="3"/>
            <charset val="136"/>
          </rPr>
          <t>中考獲優異成績</t>
        </r>
      </text>
    </comment>
    <comment ref="L15" authorId="0" shapeId="0" xr:uid="{C9B5D196-1F97-44F8-83C0-A32F223A4005}">
      <text>
        <r>
          <rPr>
            <sz val="9"/>
            <color indexed="81"/>
            <rFont val="細明體"/>
            <family val="3"/>
            <charset val="136"/>
          </rPr>
          <t>同學亦須在額外的</t>
        </r>
        <r>
          <rPr>
            <sz val="9"/>
            <color indexed="81"/>
            <rFont val="Tahoma"/>
            <family val="2"/>
          </rPr>
          <t xml:space="preserve"> </t>
        </r>
        <r>
          <rPr>
            <b/>
            <sz val="9"/>
            <color indexed="81"/>
            <rFont val="細明體"/>
            <family val="3"/>
            <charset val="136"/>
          </rPr>
          <t>入學測試</t>
        </r>
        <r>
          <rPr>
            <b/>
            <sz val="9"/>
            <color indexed="81"/>
            <rFont val="Tahoma"/>
            <family val="2"/>
          </rPr>
          <t>/</t>
        </r>
        <r>
          <rPr>
            <b/>
            <sz val="9"/>
            <color indexed="81"/>
            <rFont val="細明體"/>
            <family val="3"/>
            <charset val="136"/>
          </rPr>
          <t>面試</t>
        </r>
        <r>
          <rPr>
            <b/>
            <sz val="9"/>
            <color indexed="81"/>
            <rFont val="Tahoma"/>
            <family val="2"/>
          </rPr>
          <t xml:space="preserve"> </t>
        </r>
        <r>
          <rPr>
            <sz val="9"/>
            <color indexed="81"/>
            <rFont val="細明體"/>
            <family val="3"/>
            <charset val="136"/>
          </rPr>
          <t>中考獲優異成績</t>
        </r>
      </text>
    </comment>
    <comment ref="L16" authorId="0" shapeId="0" xr:uid="{4F6FD512-2950-4022-B854-BB730BC5CF18}">
      <text>
        <r>
          <rPr>
            <sz val="9"/>
            <color indexed="81"/>
            <rFont val="細明體"/>
            <family val="3"/>
            <charset val="136"/>
          </rPr>
          <t>同學亦須在額外的</t>
        </r>
        <r>
          <rPr>
            <sz val="9"/>
            <color indexed="81"/>
            <rFont val="Tahoma"/>
            <family val="2"/>
          </rPr>
          <t xml:space="preserve"> </t>
        </r>
        <r>
          <rPr>
            <b/>
            <sz val="9"/>
            <color indexed="81"/>
            <rFont val="細明體"/>
            <family val="3"/>
            <charset val="136"/>
          </rPr>
          <t>入學測試</t>
        </r>
        <r>
          <rPr>
            <b/>
            <sz val="9"/>
            <color indexed="81"/>
            <rFont val="Tahoma"/>
            <family val="2"/>
          </rPr>
          <t>/</t>
        </r>
        <r>
          <rPr>
            <b/>
            <sz val="9"/>
            <color indexed="81"/>
            <rFont val="細明體"/>
            <family val="3"/>
            <charset val="136"/>
          </rPr>
          <t>面試</t>
        </r>
        <r>
          <rPr>
            <b/>
            <sz val="9"/>
            <color indexed="81"/>
            <rFont val="Tahoma"/>
            <family val="2"/>
          </rPr>
          <t xml:space="preserve"> </t>
        </r>
        <r>
          <rPr>
            <sz val="9"/>
            <color indexed="81"/>
            <rFont val="細明體"/>
            <family val="3"/>
            <charset val="136"/>
          </rPr>
          <t>中考獲優異成績</t>
        </r>
      </text>
    </comment>
    <comment ref="L26" authorId="0" shapeId="0" xr:uid="{764737D5-990D-4880-9993-9799CED8CF3F}">
      <text>
        <r>
          <rPr>
            <sz val="9"/>
            <color indexed="81"/>
            <rFont val="細明體"/>
            <family val="3"/>
            <charset val="136"/>
          </rPr>
          <t>同學亦須在額外的</t>
        </r>
        <r>
          <rPr>
            <sz val="9"/>
            <color indexed="81"/>
            <rFont val="Tahoma"/>
            <family val="2"/>
          </rPr>
          <t xml:space="preserve"> </t>
        </r>
        <r>
          <rPr>
            <b/>
            <sz val="9"/>
            <color indexed="81"/>
            <rFont val="細明體"/>
            <family val="3"/>
            <charset val="136"/>
          </rPr>
          <t>入學測試</t>
        </r>
        <r>
          <rPr>
            <b/>
            <sz val="9"/>
            <color indexed="81"/>
            <rFont val="Tahoma"/>
            <family val="2"/>
          </rPr>
          <t>/</t>
        </r>
        <r>
          <rPr>
            <b/>
            <sz val="9"/>
            <color indexed="81"/>
            <rFont val="細明體"/>
            <family val="3"/>
            <charset val="136"/>
          </rPr>
          <t>面試</t>
        </r>
        <r>
          <rPr>
            <b/>
            <sz val="9"/>
            <color indexed="81"/>
            <rFont val="Tahoma"/>
            <family val="2"/>
          </rPr>
          <t xml:space="preserve"> </t>
        </r>
        <r>
          <rPr>
            <sz val="9"/>
            <color indexed="81"/>
            <rFont val="細明體"/>
            <family val="3"/>
            <charset val="136"/>
          </rPr>
          <t>中考獲優異成績</t>
        </r>
      </text>
    </comment>
    <comment ref="L27" authorId="0" shapeId="0" xr:uid="{929E9026-7744-4547-AA1C-0BD13AF00241}">
      <text>
        <r>
          <rPr>
            <sz val="9"/>
            <color indexed="81"/>
            <rFont val="細明體"/>
            <family val="3"/>
            <charset val="136"/>
          </rPr>
          <t>同學亦須在額外的</t>
        </r>
        <r>
          <rPr>
            <sz val="9"/>
            <color indexed="81"/>
            <rFont val="Tahoma"/>
            <family val="2"/>
          </rPr>
          <t xml:space="preserve"> </t>
        </r>
        <r>
          <rPr>
            <b/>
            <sz val="9"/>
            <color indexed="81"/>
            <rFont val="細明體"/>
            <family val="3"/>
            <charset val="136"/>
          </rPr>
          <t>入學測試</t>
        </r>
        <r>
          <rPr>
            <b/>
            <sz val="9"/>
            <color indexed="81"/>
            <rFont val="Tahoma"/>
            <family val="2"/>
          </rPr>
          <t>/</t>
        </r>
        <r>
          <rPr>
            <b/>
            <sz val="9"/>
            <color indexed="81"/>
            <rFont val="細明體"/>
            <family val="3"/>
            <charset val="136"/>
          </rPr>
          <t>面試</t>
        </r>
        <r>
          <rPr>
            <b/>
            <sz val="9"/>
            <color indexed="81"/>
            <rFont val="Tahoma"/>
            <family val="2"/>
          </rPr>
          <t xml:space="preserve"> </t>
        </r>
        <r>
          <rPr>
            <sz val="9"/>
            <color indexed="81"/>
            <rFont val="細明體"/>
            <family val="3"/>
            <charset val="136"/>
          </rPr>
          <t>中考獲優異成績</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Michael Chan</author>
    <author>Michael</author>
  </authors>
  <commentList>
    <comment ref="N156" authorId="0" shapeId="0" xr:uid="{1B0A2212-67BB-4E5A-8EC5-FDAD42D8D971}">
      <text>
        <r>
          <rPr>
            <b/>
            <sz val="9"/>
            <color indexed="81"/>
            <rFont val="Tahoma"/>
            <family val="2"/>
          </rPr>
          <t>Exception as here LS x10</t>
        </r>
      </text>
    </comment>
    <comment ref="E423" authorId="1" shapeId="0" xr:uid="{00000000-0006-0000-0400-0000DD000000}">
      <text>
        <r>
          <rPr>
            <b/>
            <sz val="9"/>
            <color rgb="FF000000"/>
            <rFont val="Tahoma"/>
            <family val="2"/>
          </rPr>
          <t>Best 5 (</t>
        </r>
        <r>
          <rPr>
            <b/>
            <sz val="9"/>
            <color rgb="FF000000"/>
            <rFont val="細明體"/>
            <family val="3"/>
            <charset val="136"/>
          </rPr>
          <t>包括英文、數學</t>
        </r>
        <r>
          <rPr>
            <b/>
            <sz val="9"/>
            <color rgb="FF000000"/>
            <rFont val="Tahoma"/>
            <family val="2"/>
          </rPr>
          <t xml:space="preserve">)
</t>
        </r>
        <r>
          <rPr>
            <sz val="9"/>
            <color rgb="FF000000"/>
            <rFont val="Tahoma"/>
            <family val="2"/>
          </rPr>
          <t xml:space="preserve">
</t>
        </r>
        <r>
          <rPr>
            <b/>
            <sz val="9"/>
            <color rgb="FF000000"/>
            <rFont val="細明體"/>
            <family val="3"/>
            <charset val="136"/>
          </rPr>
          <t>此處並無計算比重</t>
        </r>
        <r>
          <rPr>
            <sz val="9"/>
            <color rgb="FF000000"/>
            <rFont val="細明體"/>
            <family val="3"/>
            <charset val="136"/>
          </rPr>
          <t xml:space="preserve">
</t>
        </r>
        <r>
          <rPr>
            <sz val="9"/>
            <color rgb="FF000000"/>
            <rFont val="細明體"/>
            <family val="3"/>
            <charset val="136"/>
          </rPr>
          <t xml:space="preserve">
</t>
        </r>
        <r>
          <rPr>
            <b/>
            <sz val="9"/>
            <color rgb="FF000000"/>
            <rFont val="Tahoma"/>
            <family val="2"/>
          </rPr>
          <t>x10:</t>
        </r>
        <r>
          <rPr>
            <sz val="9"/>
            <color rgb="FF000000"/>
            <rFont val="Tahoma"/>
            <family val="2"/>
          </rPr>
          <t xml:space="preserve"> </t>
        </r>
        <r>
          <rPr>
            <sz val="9"/>
            <color rgb="FF000000"/>
            <rFont val="細明體"/>
            <family val="3"/>
            <charset val="136"/>
          </rPr>
          <t>英文、數學、</t>
        </r>
        <r>
          <rPr>
            <sz val="9"/>
            <color rgb="FF000000"/>
            <rFont val="Tahoma"/>
            <family val="2"/>
          </rPr>
          <t>BAFS</t>
        </r>
        <r>
          <rPr>
            <sz val="9"/>
            <color rgb="FF000000"/>
            <rFont val="細明體"/>
            <family val="3"/>
            <charset val="136"/>
          </rPr>
          <t>、經濟、地理、</t>
        </r>
        <r>
          <rPr>
            <sz val="9"/>
            <color rgb="FF000000"/>
            <rFont val="Tahoma"/>
            <family val="2"/>
          </rPr>
          <t>ICT</t>
        </r>
        <r>
          <rPr>
            <sz val="9"/>
            <color rgb="FF000000"/>
            <rFont val="細明體"/>
            <family val="3"/>
            <charset val="136"/>
          </rPr>
          <t>、物理、</t>
        </r>
        <r>
          <rPr>
            <sz val="9"/>
            <color rgb="FF000000"/>
            <rFont val="Tahoma"/>
            <family val="2"/>
          </rPr>
          <t xml:space="preserve">M1/2
</t>
        </r>
        <r>
          <rPr>
            <sz val="9"/>
            <color rgb="FF000000"/>
            <rFont val="Tahoma"/>
            <family val="2"/>
          </rPr>
          <t xml:space="preserve">
</t>
        </r>
        <r>
          <rPr>
            <b/>
            <sz val="9"/>
            <color rgb="FF000000"/>
            <rFont val="Tahoma"/>
            <family val="2"/>
          </rPr>
          <t xml:space="preserve">x7: </t>
        </r>
        <r>
          <rPr>
            <sz val="9"/>
            <color rgb="FF000000"/>
            <rFont val="細明體"/>
            <family val="3"/>
            <charset val="136"/>
          </rPr>
          <t>中文、通識、組合科學、綜合科學、化學、生物</t>
        </r>
        <r>
          <rPr>
            <sz val="9"/>
            <color rgb="FF000000"/>
            <rFont val="細明體"/>
            <family val="3"/>
            <charset val="136"/>
          </rPr>
          <t xml:space="preserve">
</t>
        </r>
        <r>
          <rPr>
            <sz val="9"/>
            <color rgb="FF000000"/>
            <rFont val="細明體"/>
            <family val="3"/>
            <charset val="136"/>
          </rPr>
          <t xml:space="preserve">
</t>
        </r>
        <r>
          <rPr>
            <b/>
            <sz val="9"/>
            <color rgb="FF000000"/>
            <rFont val="Tahoma"/>
            <family val="2"/>
          </rPr>
          <t xml:space="preserve">x5: </t>
        </r>
        <r>
          <rPr>
            <sz val="9"/>
            <color rgb="FF000000"/>
            <rFont val="細明體"/>
            <family val="3"/>
            <charset val="136"/>
          </rPr>
          <t>其他選修科目</t>
        </r>
        <r>
          <rPr>
            <sz val="9"/>
            <color rgb="FF000000"/>
            <rFont val="Tahoma"/>
            <family val="2"/>
          </rPr>
          <t xml:space="preserve"> (1</t>
        </r>
        <r>
          <rPr>
            <sz val="9"/>
            <color rgb="FF000000"/>
            <rFont val="細明體"/>
            <family val="3"/>
            <charset val="136"/>
          </rPr>
          <t>個選修科</t>
        </r>
        <r>
          <rPr>
            <sz val="9"/>
            <color rgb="FF000000"/>
            <rFont val="Tahoma"/>
            <family val="2"/>
          </rPr>
          <t>)</t>
        </r>
      </text>
    </comment>
    <comment ref="E424" authorId="1" shapeId="0" xr:uid="{00000000-0006-0000-0400-0000DE000000}">
      <text>
        <r>
          <rPr>
            <b/>
            <sz val="9"/>
            <color rgb="FF000000"/>
            <rFont val="細明體"/>
            <family val="3"/>
            <charset val="136"/>
          </rPr>
          <t>此處並無計算比重</t>
        </r>
        <r>
          <rPr>
            <b/>
            <sz val="9"/>
            <color rgb="FF000000"/>
            <rFont val="細明體"/>
            <family val="3"/>
            <charset val="136"/>
          </rPr>
          <t xml:space="preserve">
</t>
        </r>
        <r>
          <rPr>
            <b/>
            <sz val="9"/>
            <color rgb="FF000000"/>
            <rFont val="細明體"/>
            <family val="3"/>
            <charset val="136"/>
          </rPr>
          <t xml:space="preserve">
</t>
        </r>
        <r>
          <rPr>
            <b/>
            <sz val="9"/>
            <color rgb="FF000000"/>
            <rFont val="Tahoma"/>
            <family val="2"/>
          </rPr>
          <t xml:space="preserve">x5: </t>
        </r>
        <r>
          <rPr>
            <sz val="9"/>
            <color rgb="FF000000"/>
            <rFont val="細明體"/>
            <family val="3"/>
            <charset val="136"/>
          </rPr>
          <t>英文、數學、</t>
        </r>
        <r>
          <rPr>
            <sz val="9"/>
            <color rgb="FF000000"/>
            <rFont val="Tahoma"/>
            <family val="2"/>
          </rPr>
          <t>BAFS</t>
        </r>
        <r>
          <rPr>
            <sz val="9"/>
            <color rgb="FF000000"/>
            <rFont val="細明體"/>
            <family val="3"/>
            <charset val="136"/>
          </rPr>
          <t>、經濟、</t>
        </r>
        <r>
          <rPr>
            <sz val="9"/>
            <color rgb="FF000000"/>
            <rFont val="Tahoma"/>
            <family val="2"/>
          </rPr>
          <t>M1/2</t>
        </r>
        <r>
          <rPr>
            <sz val="9"/>
            <color rgb="FF000000"/>
            <rFont val="細明體"/>
            <family val="3"/>
            <charset val="136"/>
          </rPr>
          <t>、經濟、物理</t>
        </r>
        <r>
          <rPr>
            <b/>
            <sz val="9"/>
            <color rgb="FF000000"/>
            <rFont val="細明體"/>
            <family val="3"/>
            <charset val="136"/>
          </rPr>
          <t xml:space="preserve">
</t>
        </r>
        <r>
          <rPr>
            <b/>
            <sz val="9"/>
            <color rgb="FF000000"/>
            <rFont val="細明體"/>
            <family val="3"/>
            <charset val="136"/>
          </rPr>
          <t xml:space="preserve">
</t>
        </r>
        <r>
          <rPr>
            <b/>
            <sz val="9"/>
            <color rgb="FF000000"/>
            <rFont val="Tahoma"/>
            <family val="2"/>
          </rPr>
          <t xml:space="preserve">x3: </t>
        </r>
        <r>
          <rPr>
            <sz val="9"/>
            <color rgb="FF000000"/>
            <rFont val="細明體"/>
            <family val="3"/>
            <charset val="136"/>
          </rPr>
          <t>中文、通識、</t>
        </r>
        <r>
          <rPr>
            <sz val="9"/>
            <color rgb="FF000000"/>
            <rFont val="Tahoma"/>
            <family val="2"/>
          </rPr>
          <t>ICT</t>
        </r>
        <r>
          <rPr>
            <sz val="9"/>
            <color rgb="FF000000"/>
            <rFont val="細明體"/>
            <family val="3"/>
            <charset val="136"/>
          </rPr>
          <t>、組合科學、綜合科學、化學、生物</t>
        </r>
        <r>
          <rPr>
            <b/>
            <sz val="9"/>
            <color rgb="FF000000"/>
            <rFont val="Tahoma"/>
            <family val="2"/>
          </rPr>
          <t xml:space="preserve">
</t>
        </r>
        <r>
          <rPr>
            <b/>
            <sz val="9"/>
            <color rgb="FF000000"/>
            <rFont val="細明體"/>
            <family val="3"/>
            <charset val="136"/>
          </rPr>
          <t xml:space="preserve">
</t>
        </r>
        <r>
          <rPr>
            <b/>
            <sz val="9"/>
            <color rgb="FF000000"/>
            <rFont val="Tahoma"/>
            <family val="2"/>
          </rPr>
          <t>x2:</t>
        </r>
        <r>
          <rPr>
            <sz val="9"/>
            <color rgb="FF000000"/>
            <rFont val="Tahoma"/>
            <family val="2"/>
          </rPr>
          <t xml:space="preserve"> </t>
        </r>
        <r>
          <rPr>
            <sz val="9"/>
            <color rgb="FF000000"/>
            <rFont val="細明體"/>
            <family val="3"/>
            <charset val="136"/>
          </rPr>
          <t>其他選修科</t>
        </r>
        <r>
          <rPr>
            <sz val="9"/>
            <color rgb="FF000000"/>
            <rFont val="Tahoma"/>
            <family val="2"/>
          </rPr>
          <t xml:space="preserve"> (1</t>
        </r>
        <r>
          <rPr>
            <sz val="9"/>
            <color rgb="FF000000"/>
            <rFont val="細明體"/>
            <family val="3"/>
            <charset val="136"/>
          </rPr>
          <t>個選修科</t>
        </r>
        <r>
          <rPr>
            <sz val="9"/>
            <color rgb="FF000000"/>
            <rFont val="Tahoma"/>
            <family val="2"/>
          </rPr>
          <t>)</t>
        </r>
      </text>
    </comment>
    <comment ref="E425" authorId="1" shapeId="0" xr:uid="{00000000-0006-0000-0400-0000DF000000}">
      <text>
        <r>
          <rPr>
            <b/>
            <sz val="9"/>
            <color rgb="FF000000"/>
            <rFont val="細明體"/>
            <family val="3"/>
            <charset val="136"/>
          </rPr>
          <t>此處並無計算比重</t>
        </r>
        <r>
          <rPr>
            <b/>
            <sz val="9"/>
            <color rgb="FF000000"/>
            <rFont val="Tahoma"/>
            <family val="2"/>
          </rPr>
          <t xml:space="preserve">
</t>
        </r>
        <r>
          <rPr>
            <b/>
            <sz val="9"/>
            <color rgb="FF000000"/>
            <rFont val="Tahoma"/>
            <family val="2"/>
          </rPr>
          <t xml:space="preserve">
</t>
        </r>
        <r>
          <rPr>
            <b/>
            <sz val="9"/>
            <color rgb="FF000000"/>
            <rFont val="Tahoma"/>
            <family val="2"/>
          </rPr>
          <t>x3:</t>
        </r>
        <r>
          <rPr>
            <sz val="9"/>
            <color rgb="FF000000"/>
            <rFont val="Tahoma"/>
            <family val="2"/>
          </rPr>
          <t xml:space="preserve"> </t>
        </r>
        <r>
          <rPr>
            <sz val="9"/>
            <color rgb="FF000000"/>
            <rFont val="細明體"/>
            <family val="3"/>
            <charset val="136"/>
          </rPr>
          <t>數學、</t>
        </r>
        <r>
          <rPr>
            <sz val="9"/>
            <color rgb="FF000000"/>
            <rFont val="Tahoma"/>
            <family val="2"/>
          </rPr>
          <t>ICT</t>
        </r>
        <r>
          <rPr>
            <sz val="9"/>
            <color rgb="FF000000"/>
            <rFont val="細明體"/>
            <family val="3"/>
            <charset val="136"/>
          </rPr>
          <t>、</t>
        </r>
        <r>
          <rPr>
            <sz val="9"/>
            <color rgb="FF000000"/>
            <rFont val="Tahoma"/>
            <family val="2"/>
          </rPr>
          <t>M1/2</t>
        </r>
        <r>
          <rPr>
            <sz val="9"/>
            <color rgb="FF000000"/>
            <rFont val="細明體"/>
            <family val="3"/>
            <charset val="136"/>
          </rPr>
          <t>、經濟、</t>
        </r>
        <r>
          <rPr>
            <sz val="9"/>
            <color rgb="FF000000"/>
            <rFont val="Tahoma"/>
            <family val="2"/>
          </rPr>
          <t>BAFS</t>
        </r>
        <r>
          <rPr>
            <sz val="9"/>
            <color rgb="FF000000"/>
            <rFont val="細明體"/>
            <family val="3"/>
            <charset val="136"/>
          </rPr>
          <t>、物理</t>
        </r>
        <r>
          <rPr>
            <sz val="9"/>
            <color rgb="FF000000"/>
            <rFont val="細明體"/>
            <family val="3"/>
            <charset val="136"/>
          </rPr>
          <t xml:space="preserve">
</t>
        </r>
        <r>
          <rPr>
            <sz val="9"/>
            <color rgb="FF000000"/>
            <rFont val="細明體"/>
            <family val="3"/>
            <charset val="136"/>
          </rPr>
          <t xml:space="preserve">
</t>
        </r>
        <r>
          <rPr>
            <b/>
            <sz val="9"/>
            <color rgb="FF000000"/>
            <rFont val="Tahoma"/>
            <family val="2"/>
          </rPr>
          <t>x2:</t>
        </r>
        <r>
          <rPr>
            <sz val="9"/>
            <color rgb="FF000000"/>
            <rFont val="Tahoma"/>
            <family val="2"/>
          </rPr>
          <t xml:space="preserve"> </t>
        </r>
        <r>
          <rPr>
            <sz val="9"/>
            <color rgb="FF000000"/>
            <rFont val="細明體"/>
            <family val="3"/>
            <charset val="136"/>
          </rPr>
          <t>中文、英文、通識、生物、化學、組合科學、綜合科學</t>
        </r>
      </text>
    </comment>
    <comment ref="E426" authorId="1" shapeId="0" xr:uid="{00000000-0006-0000-0400-0000E0000000}">
      <text>
        <r>
          <rPr>
            <b/>
            <sz val="9"/>
            <color rgb="FF000000"/>
            <rFont val="Tahoma"/>
            <family val="2"/>
          </rPr>
          <t>Best 5 (</t>
        </r>
        <r>
          <rPr>
            <b/>
            <sz val="9"/>
            <color rgb="FF000000"/>
            <rFont val="細明體"/>
            <family val="3"/>
            <charset val="136"/>
          </rPr>
          <t>包括數學</t>
        </r>
        <r>
          <rPr>
            <b/>
            <sz val="9"/>
            <color rgb="FF000000"/>
            <rFont val="Tahoma"/>
            <family val="2"/>
          </rPr>
          <t>)</t>
        </r>
      </text>
    </comment>
    <comment ref="E427" authorId="1" shapeId="0" xr:uid="{00000000-0006-0000-0400-0000E1000000}">
      <text>
        <r>
          <rPr>
            <b/>
            <sz val="9"/>
            <color indexed="81"/>
            <rFont val="細明體"/>
            <family val="3"/>
            <charset val="136"/>
          </rPr>
          <t>此處並無計算比重</t>
        </r>
        <r>
          <rPr>
            <b/>
            <sz val="9"/>
            <color indexed="81"/>
            <rFont val="Tahoma"/>
            <family val="2"/>
          </rPr>
          <t xml:space="preserve">
x10:</t>
        </r>
        <r>
          <rPr>
            <sz val="9"/>
            <color indexed="81"/>
            <rFont val="Tahoma"/>
            <family val="2"/>
          </rPr>
          <t xml:space="preserve"> </t>
        </r>
        <r>
          <rPr>
            <sz val="9"/>
            <color indexed="81"/>
            <rFont val="細明體"/>
            <family val="3"/>
            <charset val="136"/>
          </rPr>
          <t>英文、數學、</t>
        </r>
        <r>
          <rPr>
            <sz val="9"/>
            <color indexed="81"/>
            <rFont val="Tahoma"/>
            <family val="2"/>
          </rPr>
          <t>BAFS</t>
        </r>
        <r>
          <rPr>
            <sz val="9"/>
            <color indexed="81"/>
            <rFont val="細明體"/>
            <family val="3"/>
            <charset val="136"/>
          </rPr>
          <t>、經濟、地理、</t>
        </r>
        <r>
          <rPr>
            <sz val="9"/>
            <color indexed="81"/>
            <rFont val="Tahoma"/>
            <family val="2"/>
          </rPr>
          <t>ICT</t>
        </r>
        <r>
          <rPr>
            <sz val="9"/>
            <color indexed="81"/>
            <rFont val="細明體"/>
            <family val="3"/>
            <charset val="136"/>
          </rPr>
          <t>、物理、</t>
        </r>
        <r>
          <rPr>
            <sz val="9"/>
            <color indexed="81"/>
            <rFont val="Tahoma"/>
            <family val="2"/>
          </rPr>
          <t xml:space="preserve">M1/2
</t>
        </r>
        <r>
          <rPr>
            <b/>
            <sz val="9"/>
            <color indexed="81"/>
            <rFont val="Tahoma"/>
            <family val="2"/>
          </rPr>
          <t xml:space="preserve">x7: </t>
        </r>
        <r>
          <rPr>
            <sz val="9"/>
            <color indexed="81"/>
            <rFont val="細明體"/>
            <family val="3"/>
            <charset val="136"/>
          </rPr>
          <t xml:space="preserve">中文、通識、組合科學、綜合科學、化學、生物
</t>
        </r>
        <r>
          <rPr>
            <b/>
            <sz val="9"/>
            <color indexed="81"/>
            <rFont val="Tahoma"/>
            <family val="2"/>
          </rPr>
          <t>x5:</t>
        </r>
        <r>
          <rPr>
            <sz val="9"/>
            <color indexed="81"/>
            <rFont val="Tahoma"/>
            <family val="2"/>
          </rPr>
          <t xml:space="preserve"> </t>
        </r>
        <r>
          <rPr>
            <sz val="9"/>
            <color indexed="81"/>
            <rFont val="細明體"/>
            <family val="3"/>
            <charset val="136"/>
          </rPr>
          <t>其他選修科目</t>
        </r>
        <r>
          <rPr>
            <sz val="9"/>
            <color indexed="81"/>
            <rFont val="Tahoma"/>
            <family val="2"/>
          </rPr>
          <t xml:space="preserve"> (1</t>
        </r>
        <r>
          <rPr>
            <sz val="9"/>
            <color indexed="81"/>
            <rFont val="細明體"/>
            <family val="3"/>
            <charset val="136"/>
          </rPr>
          <t>個選修科</t>
        </r>
        <r>
          <rPr>
            <sz val="9"/>
            <color indexed="81"/>
            <rFont val="Tahoma"/>
            <family val="2"/>
          </rPr>
          <t xml:space="preserve">)
</t>
        </r>
      </text>
    </comment>
    <comment ref="E429" authorId="2" shapeId="0" xr:uid="{00000000-0006-0000-0400-0000E2000000}">
      <text>
        <r>
          <rPr>
            <sz val="9"/>
            <color indexed="81"/>
            <rFont val="細明體"/>
            <family val="3"/>
            <charset val="136"/>
          </rPr>
          <t>只考慮甲類科目</t>
        </r>
      </text>
    </comment>
    <comment ref="E430" authorId="1" shapeId="0" xr:uid="{00000000-0006-0000-0400-0000E3000000}">
      <text>
        <r>
          <rPr>
            <sz val="9"/>
            <color indexed="81"/>
            <rFont val="細明體"/>
            <family val="3"/>
            <charset val="136"/>
          </rPr>
          <t>優先考慮</t>
        </r>
        <r>
          <rPr>
            <sz val="9"/>
            <color indexed="81"/>
            <rFont val="Tahoma"/>
            <family val="2"/>
          </rPr>
          <t>:</t>
        </r>
        <r>
          <rPr>
            <sz val="9"/>
            <color indexed="81"/>
            <rFont val="細明體"/>
            <family val="3"/>
            <charset val="136"/>
          </rPr>
          <t xml:space="preserve">
</t>
        </r>
        <r>
          <rPr>
            <sz val="9"/>
            <color indexed="81"/>
            <rFont val="Tahoma"/>
            <family val="2"/>
          </rPr>
          <t xml:space="preserve">- </t>
        </r>
        <r>
          <rPr>
            <b/>
            <sz val="9"/>
            <color indexed="81"/>
            <rFont val="細明體"/>
            <family val="3"/>
            <charset val="136"/>
          </rPr>
          <t>英文</t>
        </r>
        <r>
          <rPr>
            <sz val="9"/>
            <color indexed="81"/>
            <rFont val="Tahoma"/>
            <family val="2"/>
          </rPr>
          <t xml:space="preserve"> </t>
        </r>
        <r>
          <rPr>
            <sz val="9"/>
            <color indexed="81"/>
            <rFont val="細明體"/>
            <family val="3"/>
            <charset val="136"/>
          </rPr>
          <t>考獲</t>
        </r>
        <r>
          <rPr>
            <b/>
            <sz val="9"/>
            <color indexed="81"/>
            <rFont val="Tahoma"/>
            <family val="2"/>
          </rPr>
          <t>Lv.4</t>
        </r>
        <r>
          <rPr>
            <b/>
            <sz val="9"/>
            <color indexed="81"/>
            <rFont val="細明體"/>
            <family val="3"/>
            <charset val="136"/>
          </rPr>
          <t>或以上</t>
        </r>
        <r>
          <rPr>
            <sz val="9"/>
            <color indexed="81"/>
            <rFont val="細明體"/>
            <family val="3"/>
            <charset val="136"/>
          </rPr>
          <t xml:space="preserve">者
</t>
        </r>
        <r>
          <rPr>
            <sz val="9"/>
            <color indexed="81"/>
            <rFont val="Tahoma"/>
            <family val="2"/>
          </rPr>
          <t xml:space="preserve">- </t>
        </r>
        <r>
          <rPr>
            <b/>
            <sz val="9"/>
            <color indexed="81"/>
            <rFont val="細明體"/>
            <family val="3"/>
            <charset val="136"/>
          </rPr>
          <t>化學</t>
        </r>
        <r>
          <rPr>
            <b/>
            <sz val="9"/>
            <color indexed="81"/>
            <rFont val="Tahoma"/>
            <family val="2"/>
          </rPr>
          <t xml:space="preserve"> </t>
        </r>
        <r>
          <rPr>
            <sz val="9"/>
            <color indexed="81"/>
            <rFont val="細明體"/>
            <family val="3"/>
            <charset val="136"/>
          </rPr>
          <t>或</t>
        </r>
        <r>
          <rPr>
            <sz val="9"/>
            <color indexed="81"/>
            <rFont val="Tahoma"/>
            <family val="2"/>
          </rPr>
          <t xml:space="preserve"> </t>
        </r>
        <r>
          <rPr>
            <b/>
            <sz val="9"/>
            <color indexed="81"/>
            <rFont val="細明體"/>
            <family val="3"/>
            <charset val="136"/>
          </rPr>
          <t>組合科學</t>
        </r>
        <r>
          <rPr>
            <b/>
            <sz val="9"/>
            <color indexed="81"/>
            <rFont val="Tahoma"/>
            <family val="2"/>
          </rPr>
          <t xml:space="preserve"> (</t>
        </r>
        <r>
          <rPr>
            <b/>
            <sz val="9"/>
            <color indexed="81"/>
            <rFont val="細明體"/>
            <family val="3"/>
            <charset val="136"/>
          </rPr>
          <t>化學</t>
        </r>
        <r>
          <rPr>
            <b/>
            <sz val="9"/>
            <color indexed="81"/>
            <rFont val="Tahoma"/>
            <family val="2"/>
          </rPr>
          <t>)</t>
        </r>
        <r>
          <rPr>
            <sz val="9"/>
            <color indexed="81"/>
            <rFont val="Tahoma"/>
            <family val="2"/>
          </rPr>
          <t xml:space="preserve"> </t>
        </r>
        <r>
          <rPr>
            <sz val="9"/>
            <color indexed="81"/>
            <rFont val="細明體"/>
            <family val="3"/>
            <charset val="136"/>
          </rPr>
          <t>考獲</t>
        </r>
        <r>
          <rPr>
            <b/>
            <sz val="9"/>
            <color indexed="81"/>
            <rFont val="Tahoma"/>
            <family val="2"/>
          </rPr>
          <t>Lv.4</t>
        </r>
        <r>
          <rPr>
            <b/>
            <sz val="9"/>
            <color indexed="81"/>
            <rFont val="細明體"/>
            <family val="3"/>
            <charset val="136"/>
          </rPr>
          <t>或以上</t>
        </r>
        <r>
          <rPr>
            <sz val="9"/>
            <color indexed="81"/>
            <rFont val="細明體"/>
            <family val="3"/>
            <charset val="136"/>
          </rPr>
          <t>者</t>
        </r>
      </text>
    </comment>
    <comment ref="E431" authorId="1" shapeId="0" xr:uid="{00000000-0006-0000-0400-0000E4000000}">
      <text>
        <r>
          <rPr>
            <sz val="9"/>
            <color indexed="81"/>
            <rFont val="細明體"/>
            <family val="3"/>
            <charset val="136"/>
          </rPr>
          <t>優先考慮</t>
        </r>
        <r>
          <rPr>
            <sz val="9"/>
            <color indexed="81"/>
            <rFont val="Tahoma"/>
            <family val="2"/>
          </rPr>
          <t>:</t>
        </r>
        <r>
          <rPr>
            <sz val="9"/>
            <color indexed="81"/>
            <rFont val="細明體"/>
            <family val="3"/>
            <charset val="136"/>
          </rPr>
          <t xml:space="preserve">
</t>
        </r>
        <r>
          <rPr>
            <sz val="9"/>
            <color indexed="81"/>
            <rFont val="Tahoma"/>
            <family val="2"/>
          </rPr>
          <t xml:space="preserve">- </t>
        </r>
        <r>
          <rPr>
            <b/>
            <sz val="9"/>
            <color indexed="81"/>
            <rFont val="細明體"/>
            <family val="3"/>
            <charset val="136"/>
          </rPr>
          <t>英文</t>
        </r>
        <r>
          <rPr>
            <sz val="9"/>
            <color indexed="81"/>
            <rFont val="Tahoma"/>
            <family val="2"/>
          </rPr>
          <t xml:space="preserve"> </t>
        </r>
        <r>
          <rPr>
            <sz val="9"/>
            <color indexed="81"/>
            <rFont val="細明體"/>
            <family val="3"/>
            <charset val="136"/>
          </rPr>
          <t>考獲</t>
        </r>
        <r>
          <rPr>
            <b/>
            <sz val="9"/>
            <color indexed="81"/>
            <rFont val="Tahoma"/>
            <family val="2"/>
          </rPr>
          <t>Lv.4</t>
        </r>
        <r>
          <rPr>
            <b/>
            <sz val="9"/>
            <color indexed="81"/>
            <rFont val="細明體"/>
            <family val="3"/>
            <charset val="136"/>
          </rPr>
          <t>或以上</t>
        </r>
        <r>
          <rPr>
            <sz val="9"/>
            <color indexed="81"/>
            <rFont val="細明體"/>
            <family val="3"/>
            <charset val="136"/>
          </rPr>
          <t>者</t>
        </r>
        <r>
          <rPr>
            <sz val="9"/>
            <color indexed="81"/>
            <rFont val="Tahoma"/>
            <family val="2"/>
          </rPr>
          <t xml:space="preserve">
- </t>
        </r>
        <r>
          <rPr>
            <b/>
            <sz val="9"/>
            <color indexed="81"/>
            <rFont val="細明體"/>
            <family val="3"/>
            <charset val="136"/>
          </rPr>
          <t>數學</t>
        </r>
        <r>
          <rPr>
            <sz val="9"/>
            <color indexed="81"/>
            <rFont val="Tahoma"/>
            <family val="2"/>
          </rPr>
          <t xml:space="preserve"> </t>
        </r>
        <r>
          <rPr>
            <sz val="9"/>
            <color indexed="81"/>
            <rFont val="細明體"/>
            <family val="3"/>
            <charset val="136"/>
          </rPr>
          <t>和</t>
        </r>
        <r>
          <rPr>
            <sz val="9"/>
            <color indexed="81"/>
            <rFont val="Tahoma"/>
            <family val="2"/>
          </rPr>
          <t xml:space="preserve"> </t>
        </r>
        <r>
          <rPr>
            <b/>
            <sz val="9"/>
            <color indexed="81"/>
            <rFont val="細明體"/>
            <family val="3"/>
            <charset val="136"/>
          </rPr>
          <t>通識</t>
        </r>
        <r>
          <rPr>
            <sz val="9"/>
            <color indexed="81"/>
            <rFont val="Tahoma"/>
            <family val="2"/>
          </rPr>
          <t xml:space="preserve"> </t>
        </r>
        <r>
          <rPr>
            <sz val="9"/>
            <color indexed="81"/>
            <rFont val="細明體"/>
            <family val="3"/>
            <charset val="136"/>
          </rPr>
          <t>考獲</t>
        </r>
        <r>
          <rPr>
            <b/>
            <sz val="9"/>
            <color indexed="81"/>
            <rFont val="Tahoma"/>
            <family val="2"/>
          </rPr>
          <t>Lv.3</t>
        </r>
        <r>
          <rPr>
            <b/>
            <sz val="9"/>
            <color indexed="81"/>
            <rFont val="細明體"/>
            <family val="3"/>
            <charset val="136"/>
          </rPr>
          <t>或以上</t>
        </r>
        <r>
          <rPr>
            <sz val="9"/>
            <color indexed="81"/>
            <rFont val="細明體"/>
            <family val="3"/>
            <charset val="136"/>
          </rPr>
          <t xml:space="preserve">者
</t>
        </r>
        <r>
          <rPr>
            <sz val="9"/>
            <color indexed="81"/>
            <rFont val="Tahoma"/>
            <family val="2"/>
          </rPr>
          <t xml:space="preserve">- </t>
        </r>
        <r>
          <rPr>
            <b/>
            <sz val="9"/>
            <color indexed="81"/>
            <rFont val="細明體"/>
            <family val="3"/>
            <charset val="136"/>
          </rPr>
          <t>物理</t>
        </r>
        <r>
          <rPr>
            <sz val="9"/>
            <color indexed="81"/>
            <rFont val="Tahoma"/>
            <family val="2"/>
          </rPr>
          <t xml:space="preserve"> </t>
        </r>
        <r>
          <rPr>
            <sz val="9"/>
            <color indexed="81"/>
            <rFont val="細明體"/>
            <family val="3"/>
            <charset val="136"/>
          </rPr>
          <t>或</t>
        </r>
        <r>
          <rPr>
            <sz val="9"/>
            <color indexed="81"/>
            <rFont val="Tahoma"/>
            <family val="2"/>
          </rPr>
          <t xml:space="preserve"> </t>
        </r>
        <r>
          <rPr>
            <b/>
            <sz val="9"/>
            <color indexed="81"/>
            <rFont val="細明體"/>
            <family val="3"/>
            <charset val="136"/>
          </rPr>
          <t>綜合科學</t>
        </r>
        <r>
          <rPr>
            <sz val="9"/>
            <color indexed="81"/>
            <rFont val="Tahoma"/>
            <family val="2"/>
          </rPr>
          <t xml:space="preserve"> </t>
        </r>
        <r>
          <rPr>
            <sz val="9"/>
            <color indexed="81"/>
            <rFont val="細明體"/>
            <family val="3"/>
            <charset val="136"/>
          </rPr>
          <t>或</t>
        </r>
        <r>
          <rPr>
            <sz val="9"/>
            <color indexed="81"/>
            <rFont val="Tahoma"/>
            <family val="2"/>
          </rPr>
          <t xml:space="preserve"> </t>
        </r>
        <r>
          <rPr>
            <b/>
            <sz val="9"/>
            <color indexed="81"/>
            <rFont val="細明體"/>
            <family val="3"/>
            <charset val="136"/>
          </rPr>
          <t>組合科學</t>
        </r>
        <r>
          <rPr>
            <b/>
            <sz val="9"/>
            <color indexed="81"/>
            <rFont val="Tahoma"/>
            <family val="2"/>
          </rPr>
          <t>(</t>
        </r>
        <r>
          <rPr>
            <b/>
            <sz val="9"/>
            <color indexed="81"/>
            <rFont val="細明體"/>
            <family val="3"/>
            <charset val="136"/>
          </rPr>
          <t>物理</t>
        </r>
        <r>
          <rPr>
            <b/>
            <sz val="9"/>
            <color indexed="81"/>
            <rFont val="Tahoma"/>
            <family val="2"/>
          </rPr>
          <t>)</t>
        </r>
        <r>
          <rPr>
            <sz val="9"/>
            <color indexed="81"/>
            <rFont val="Tahoma"/>
            <family val="2"/>
          </rPr>
          <t xml:space="preserve"> </t>
        </r>
        <r>
          <rPr>
            <sz val="9"/>
            <color indexed="81"/>
            <rFont val="細明體"/>
            <family val="3"/>
            <charset val="136"/>
          </rPr>
          <t>考獲</t>
        </r>
        <r>
          <rPr>
            <b/>
            <sz val="9"/>
            <color indexed="81"/>
            <rFont val="Tahoma"/>
            <family val="2"/>
          </rPr>
          <t>Lv.3</t>
        </r>
        <r>
          <rPr>
            <b/>
            <sz val="9"/>
            <color indexed="81"/>
            <rFont val="細明體"/>
            <family val="3"/>
            <charset val="136"/>
          </rPr>
          <t>或以上</t>
        </r>
        <r>
          <rPr>
            <sz val="9"/>
            <color indexed="81"/>
            <rFont val="細明體"/>
            <family val="3"/>
            <charset val="136"/>
          </rPr>
          <t>者</t>
        </r>
      </text>
    </comment>
    <comment ref="E432" authorId="1" shapeId="0" xr:uid="{00000000-0006-0000-0400-0000E5000000}">
      <text>
        <r>
          <rPr>
            <sz val="9"/>
            <color indexed="81"/>
            <rFont val="細明體"/>
            <family val="3"/>
            <charset val="136"/>
          </rPr>
          <t>優先考慮</t>
        </r>
        <r>
          <rPr>
            <sz val="9"/>
            <color indexed="81"/>
            <rFont val="Tahoma"/>
            <family val="2"/>
          </rPr>
          <t xml:space="preserve">:
- </t>
        </r>
        <r>
          <rPr>
            <b/>
            <sz val="9"/>
            <color indexed="81"/>
            <rFont val="細明體"/>
            <family val="3"/>
            <charset val="136"/>
          </rPr>
          <t>生物</t>
        </r>
        <r>
          <rPr>
            <sz val="9"/>
            <color indexed="81"/>
            <rFont val="Tahoma"/>
            <family val="2"/>
          </rPr>
          <t xml:space="preserve"> </t>
        </r>
        <r>
          <rPr>
            <sz val="9"/>
            <color indexed="81"/>
            <rFont val="細明體"/>
            <family val="3"/>
            <charset val="136"/>
          </rPr>
          <t>或</t>
        </r>
        <r>
          <rPr>
            <sz val="9"/>
            <color indexed="81"/>
            <rFont val="Tahoma"/>
            <family val="2"/>
          </rPr>
          <t xml:space="preserve"> </t>
        </r>
        <r>
          <rPr>
            <b/>
            <sz val="9"/>
            <color indexed="81"/>
            <rFont val="細明體"/>
            <family val="3"/>
            <charset val="136"/>
          </rPr>
          <t>組合科學</t>
        </r>
        <r>
          <rPr>
            <b/>
            <sz val="9"/>
            <color indexed="81"/>
            <rFont val="Tahoma"/>
            <family val="2"/>
          </rPr>
          <t xml:space="preserve"> (</t>
        </r>
        <r>
          <rPr>
            <b/>
            <sz val="9"/>
            <color indexed="81"/>
            <rFont val="細明體"/>
            <family val="3"/>
            <charset val="136"/>
          </rPr>
          <t>生物</t>
        </r>
        <r>
          <rPr>
            <b/>
            <sz val="9"/>
            <color indexed="81"/>
            <rFont val="Tahoma"/>
            <family val="2"/>
          </rPr>
          <t>)</t>
        </r>
        <r>
          <rPr>
            <sz val="9"/>
            <color indexed="81"/>
            <rFont val="Tahoma"/>
            <family val="2"/>
          </rPr>
          <t xml:space="preserve"> </t>
        </r>
        <r>
          <rPr>
            <sz val="9"/>
            <color indexed="81"/>
            <rFont val="細明體"/>
            <family val="3"/>
            <charset val="136"/>
          </rPr>
          <t>考獲</t>
        </r>
        <r>
          <rPr>
            <b/>
            <sz val="9"/>
            <color indexed="81"/>
            <rFont val="Tahoma"/>
            <family val="2"/>
          </rPr>
          <t>Lv.3</t>
        </r>
        <r>
          <rPr>
            <b/>
            <sz val="9"/>
            <color indexed="81"/>
            <rFont val="細明體"/>
            <family val="3"/>
            <charset val="136"/>
          </rPr>
          <t>或以上</t>
        </r>
        <r>
          <rPr>
            <sz val="9"/>
            <color indexed="81"/>
            <rFont val="細明體"/>
            <family val="3"/>
            <charset val="136"/>
          </rPr>
          <t xml:space="preserve">者
</t>
        </r>
        <r>
          <rPr>
            <sz val="9"/>
            <color indexed="81"/>
            <rFont val="Tahoma"/>
            <family val="2"/>
          </rPr>
          <t xml:space="preserve">- </t>
        </r>
        <r>
          <rPr>
            <b/>
            <sz val="9"/>
            <color indexed="81"/>
            <rFont val="細明體"/>
            <family val="3"/>
            <charset val="136"/>
          </rPr>
          <t>英文</t>
        </r>
        <r>
          <rPr>
            <sz val="9"/>
            <color indexed="81"/>
            <rFont val="Tahoma"/>
            <family val="2"/>
          </rPr>
          <t xml:space="preserve"> </t>
        </r>
        <r>
          <rPr>
            <sz val="9"/>
            <color indexed="81"/>
            <rFont val="細明體"/>
            <family val="3"/>
            <charset val="136"/>
          </rPr>
          <t>考獲</t>
        </r>
        <r>
          <rPr>
            <b/>
            <sz val="9"/>
            <color indexed="81"/>
            <rFont val="Tahoma"/>
            <family val="2"/>
          </rPr>
          <t>Lv.4</t>
        </r>
        <r>
          <rPr>
            <b/>
            <sz val="9"/>
            <color indexed="81"/>
            <rFont val="細明體"/>
            <family val="3"/>
            <charset val="136"/>
          </rPr>
          <t>或以上</t>
        </r>
        <r>
          <rPr>
            <sz val="9"/>
            <color indexed="81"/>
            <rFont val="細明體"/>
            <family val="3"/>
            <charset val="136"/>
          </rPr>
          <t>者</t>
        </r>
      </text>
    </comment>
    <comment ref="E433" authorId="1" shapeId="0" xr:uid="{00000000-0006-0000-0400-0000E6000000}">
      <text>
        <r>
          <rPr>
            <sz val="9"/>
            <color indexed="81"/>
            <rFont val="細明體"/>
            <family val="3"/>
            <charset val="136"/>
          </rPr>
          <t>優先考慮</t>
        </r>
        <r>
          <rPr>
            <sz val="9"/>
            <color indexed="81"/>
            <rFont val="Tahoma"/>
            <family val="2"/>
          </rPr>
          <t xml:space="preserve">:
- </t>
        </r>
        <r>
          <rPr>
            <b/>
            <sz val="9"/>
            <color indexed="81"/>
            <rFont val="細明體"/>
            <family val="3"/>
            <charset val="136"/>
          </rPr>
          <t>生物</t>
        </r>
        <r>
          <rPr>
            <sz val="9"/>
            <color indexed="81"/>
            <rFont val="Tahoma"/>
            <family val="2"/>
          </rPr>
          <t xml:space="preserve"> </t>
        </r>
        <r>
          <rPr>
            <sz val="9"/>
            <color indexed="81"/>
            <rFont val="細明體"/>
            <family val="3"/>
            <charset val="136"/>
          </rPr>
          <t>或</t>
        </r>
        <r>
          <rPr>
            <b/>
            <sz val="9"/>
            <color indexed="81"/>
            <rFont val="Tahoma"/>
            <family val="2"/>
          </rPr>
          <t xml:space="preserve"> </t>
        </r>
        <r>
          <rPr>
            <b/>
            <sz val="9"/>
            <color indexed="81"/>
            <rFont val="細明體"/>
            <family val="3"/>
            <charset val="136"/>
          </rPr>
          <t>組合科學</t>
        </r>
        <r>
          <rPr>
            <b/>
            <sz val="9"/>
            <color indexed="81"/>
            <rFont val="Tahoma"/>
            <family val="2"/>
          </rPr>
          <t xml:space="preserve"> (</t>
        </r>
        <r>
          <rPr>
            <b/>
            <sz val="9"/>
            <color indexed="81"/>
            <rFont val="細明體"/>
            <family val="3"/>
            <charset val="136"/>
          </rPr>
          <t>生物</t>
        </r>
        <r>
          <rPr>
            <b/>
            <sz val="9"/>
            <color indexed="81"/>
            <rFont val="Tahoma"/>
            <family val="2"/>
          </rPr>
          <t>)</t>
        </r>
        <r>
          <rPr>
            <sz val="9"/>
            <color indexed="81"/>
            <rFont val="Tahoma"/>
            <family val="2"/>
          </rPr>
          <t xml:space="preserve"> </t>
        </r>
        <r>
          <rPr>
            <sz val="9"/>
            <color indexed="81"/>
            <rFont val="細明體"/>
            <family val="3"/>
            <charset val="136"/>
          </rPr>
          <t>考獲</t>
        </r>
        <r>
          <rPr>
            <b/>
            <sz val="9"/>
            <color indexed="81"/>
            <rFont val="Tahoma"/>
            <family val="2"/>
          </rPr>
          <t>Lv.3</t>
        </r>
        <r>
          <rPr>
            <b/>
            <sz val="9"/>
            <color indexed="81"/>
            <rFont val="細明體"/>
            <family val="3"/>
            <charset val="136"/>
          </rPr>
          <t>或以上</t>
        </r>
        <r>
          <rPr>
            <sz val="9"/>
            <color indexed="81"/>
            <rFont val="細明體"/>
            <family val="3"/>
            <charset val="136"/>
          </rPr>
          <t xml:space="preserve">者
</t>
        </r>
        <r>
          <rPr>
            <sz val="9"/>
            <color indexed="81"/>
            <rFont val="Tahoma"/>
            <family val="2"/>
          </rPr>
          <t xml:space="preserve">- </t>
        </r>
        <r>
          <rPr>
            <b/>
            <sz val="9"/>
            <color indexed="81"/>
            <rFont val="細明體"/>
            <family val="3"/>
            <charset val="136"/>
          </rPr>
          <t>英文</t>
        </r>
        <r>
          <rPr>
            <sz val="9"/>
            <color indexed="81"/>
            <rFont val="Tahoma"/>
            <family val="2"/>
          </rPr>
          <t xml:space="preserve"> </t>
        </r>
        <r>
          <rPr>
            <sz val="9"/>
            <color indexed="81"/>
            <rFont val="細明體"/>
            <family val="3"/>
            <charset val="136"/>
          </rPr>
          <t>考獲</t>
        </r>
        <r>
          <rPr>
            <b/>
            <sz val="9"/>
            <color indexed="81"/>
            <rFont val="Tahoma"/>
            <family val="2"/>
          </rPr>
          <t>Lv.4</t>
        </r>
        <r>
          <rPr>
            <b/>
            <sz val="9"/>
            <color indexed="81"/>
            <rFont val="細明體"/>
            <family val="3"/>
            <charset val="136"/>
          </rPr>
          <t>或以上</t>
        </r>
        <r>
          <rPr>
            <sz val="9"/>
            <color indexed="81"/>
            <rFont val="細明體"/>
            <family val="3"/>
            <charset val="136"/>
          </rPr>
          <t>者</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Michael</author>
    <author>Michael Chan</author>
  </authors>
  <commentList>
    <comment ref="L226" authorId="0" shapeId="0" xr:uid="{00000000-0006-0000-0200-000087000000}">
      <text>
        <r>
          <rPr>
            <b/>
            <sz val="9"/>
            <color indexed="81"/>
            <rFont val="細明體"/>
            <family val="3"/>
            <charset val="136"/>
          </rPr>
          <t>入學要求</t>
        </r>
      </text>
    </comment>
    <comment ref="S226" authorId="0" shapeId="0" xr:uid="{00000000-0006-0000-0200-000088000000}">
      <text>
        <r>
          <rPr>
            <b/>
            <sz val="9"/>
            <color indexed="81"/>
            <rFont val="細明體"/>
            <family val="3"/>
            <charset val="136"/>
          </rPr>
          <t>入學要求</t>
        </r>
      </text>
    </comment>
    <comment ref="P227" authorId="1" shapeId="0" xr:uid="{00000000-0006-0000-0200-00008A000000}">
      <text>
        <r>
          <rPr>
            <b/>
            <sz val="9"/>
            <color rgb="FF000000"/>
            <rFont val="細明體"/>
            <family val="3"/>
            <charset val="136"/>
          </rPr>
          <t>以下一科</t>
        </r>
        <r>
          <rPr>
            <b/>
            <sz val="9"/>
            <color rgb="FF000000"/>
            <rFont val="Tahoma"/>
            <family val="2"/>
          </rPr>
          <t>:</t>
        </r>
        <r>
          <rPr>
            <sz val="9"/>
            <color rgb="FF000000"/>
            <rFont val="Tahoma"/>
            <family val="2"/>
          </rPr>
          <t xml:space="preserve">
</t>
        </r>
        <r>
          <rPr>
            <sz val="9"/>
            <color rgb="FF000000"/>
            <rFont val="Tahoma"/>
            <family val="2"/>
          </rPr>
          <t xml:space="preserve">M1/2 / </t>
        </r>
        <r>
          <rPr>
            <sz val="9"/>
            <color rgb="FF000000"/>
            <rFont val="細明體"/>
            <family val="3"/>
            <charset val="136"/>
          </rPr>
          <t>生物</t>
        </r>
        <r>
          <rPr>
            <sz val="9"/>
            <color rgb="FF000000"/>
            <rFont val="Tahoma"/>
            <family val="2"/>
          </rPr>
          <t xml:space="preserve">/ </t>
        </r>
        <r>
          <rPr>
            <sz val="9"/>
            <color rgb="FF000000"/>
            <rFont val="細明體"/>
            <family val="3"/>
            <charset val="136"/>
          </rPr>
          <t>化學</t>
        </r>
        <r>
          <rPr>
            <sz val="9"/>
            <color rgb="FF000000"/>
            <rFont val="Tahoma"/>
            <family val="2"/>
          </rPr>
          <t xml:space="preserve"> /</t>
        </r>
        <r>
          <rPr>
            <sz val="9"/>
            <color rgb="FF000000"/>
            <rFont val="細明體"/>
            <family val="3"/>
            <charset val="136"/>
          </rPr>
          <t>物理</t>
        </r>
        <r>
          <rPr>
            <sz val="9"/>
            <color rgb="FF000000"/>
            <rFont val="Tahoma"/>
            <family val="2"/>
          </rPr>
          <t xml:space="preserve"> / </t>
        </r>
        <r>
          <rPr>
            <sz val="9"/>
            <color rgb="FF000000"/>
            <rFont val="細明體"/>
            <family val="3"/>
            <charset val="136"/>
          </rPr>
          <t>組合科學</t>
        </r>
        <r>
          <rPr>
            <sz val="9"/>
            <color rgb="FF000000"/>
            <rFont val="Tahoma"/>
            <family val="2"/>
          </rPr>
          <t xml:space="preserve">
</t>
        </r>
      </text>
    </comment>
    <comment ref="P228" authorId="1" shapeId="0" xr:uid="{00000000-0006-0000-0200-00008D000000}">
      <text>
        <r>
          <rPr>
            <b/>
            <sz val="9"/>
            <color indexed="81"/>
            <rFont val="細明體"/>
            <family val="3"/>
            <charset val="136"/>
          </rPr>
          <t>以下一科</t>
        </r>
        <r>
          <rPr>
            <b/>
            <sz val="9"/>
            <color indexed="81"/>
            <rFont val="Tahoma"/>
            <family val="2"/>
          </rPr>
          <t>:</t>
        </r>
        <r>
          <rPr>
            <sz val="9"/>
            <color indexed="81"/>
            <rFont val="Tahoma"/>
            <family val="2"/>
          </rPr>
          <t xml:space="preserve">
M1/2 /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text>
    </comment>
    <comment ref="P229" authorId="1" shapeId="0" xr:uid="{00000000-0006-0000-0200-00008F000000}">
      <text>
        <r>
          <rPr>
            <b/>
            <sz val="9"/>
            <color indexed="81"/>
            <rFont val="細明體"/>
            <family val="3"/>
            <charset val="136"/>
          </rPr>
          <t>以下一科</t>
        </r>
        <r>
          <rPr>
            <b/>
            <sz val="9"/>
            <color indexed="81"/>
            <rFont val="Tahoma"/>
            <family val="2"/>
          </rPr>
          <t>:</t>
        </r>
        <r>
          <rPr>
            <sz val="9"/>
            <color indexed="81"/>
            <rFont val="Tahoma"/>
            <family val="2"/>
          </rPr>
          <t xml:space="preserve">
M1/2 /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text>
    </comment>
    <comment ref="P230" authorId="1" shapeId="0" xr:uid="{E38A9D29-8F66-4049-B911-AFC9BAD00E16}">
      <text>
        <r>
          <rPr>
            <b/>
            <sz val="9"/>
            <color indexed="81"/>
            <rFont val="細明體"/>
            <family val="3"/>
            <charset val="136"/>
          </rPr>
          <t>以下一科</t>
        </r>
        <r>
          <rPr>
            <b/>
            <sz val="9"/>
            <color indexed="81"/>
            <rFont val="Tahoma"/>
            <family val="2"/>
          </rPr>
          <t>:</t>
        </r>
        <r>
          <rPr>
            <sz val="9"/>
            <color indexed="81"/>
            <rFont val="Tahoma"/>
            <family val="2"/>
          </rPr>
          <t xml:space="preserve">
M1/2 /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text>
    </comment>
    <comment ref="P231" authorId="1" shapeId="0" xr:uid="{00000000-0006-0000-0200-000091000000}">
      <text>
        <r>
          <rPr>
            <b/>
            <sz val="9"/>
            <color indexed="81"/>
            <rFont val="細明體"/>
            <family val="3"/>
            <charset val="136"/>
          </rPr>
          <t>以下一科</t>
        </r>
        <r>
          <rPr>
            <b/>
            <sz val="9"/>
            <color indexed="81"/>
            <rFont val="Tahoma"/>
            <family val="2"/>
          </rPr>
          <t>:</t>
        </r>
        <r>
          <rPr>
            <sz val="9"/>
            <color indexed="81"/>
            <rFont val="Tahoma"/>
            <family val="2"/>
          </rPr>
          <t xml:space="preserve">
M1/2 /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text>
    </comment>
    <comment ref="P232" authorId="1" shapeId="0" xr:uid="{BAFB7936-695C-46BF-94E4-0CBDC8A0BC66}">
      <text>
        <r>
          <rPr>
            <b/>
            <sz val="9"/>
            <color indexed="81"/>
            <rFont val="細明體"/>
            <family val="3"/>
            <charset val="136"/>
          </rPr>
          <t>以下一科</t>
        </r>
        <r>
          <rPr>
            <b/>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r>
          <rPr>
            <sz val="9"/>
            <color indexed="81"/>
            <rFont val="Tahoma"/>
            <family val="2"/>
          </rPr>
          <t>/ ICT</t>
        </r>
      </text>
    </comment>
    <comment ref="P233" authorId="1" shapeId="0" xr:uid="{D6BB7201-DB50-4E9D-AD0B-63FB86A07376}">
      <text>
        <r>
          <rPr>
            <b/>
            <sz val="9"/>
            <color indexed="81"/>
            <rFont val="細明體"/>
            <family val="3"/>
            <charset val="136"/>
          </rPr>
          <t>以下一科</t>
        </r>
        <r>
          <rPr>
            <b/>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r>
          <rPr>
            <sz val="9"/>
            <color indexed="81"/>
            <rFont val="Tahoma"/>
            <family val="2"/>
          </rPr>
          <t>/ ICT</t>
        </r>
      </text>
    </comment>
    <comment ref="P234" authorId="1" shapeId="0" xr:uid="{EF12BDB3-BE34-44E8-89A1-089EA9977EFA}">
      <text>
        <r>
          <rPr>
            <b/>
            <sz val="9"/>
            <color indexed="81"/>
            <rFont val="細明體"/>
            <family val="3"/>
            <charset val="136"/>
          </rPr>
          <t>以下一科</t>
        </r>
        <r>
          <rPr>
            <b/>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r>
          <rPr>
            <sz val="9"/>
            <color indexed="81"/>
            <rFont val="Tahoma"/>
            <family val="2"/>
          </rPr>
          <t>/ ICT</t>
        </r>
      </text>
    </comment>
    <comment ref="P235" authorId="1" shapeId="0" xr:uid="{D0CCFED5-9117-44FE-AE05-68D1923C4705}">
      <text>
        <r>
          <rPr>
            <b/>
            <sz val="9"/>
            <color indexed="81"/>
            <rFont val="細明體"/>
            <family val="3"/>
            <charset val="136"/>
          </rPr>
          <t>以下一科</t>
        </r>
        <r>
          <rPr>
            <b/>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r>
          <rPr>
            <sz val="9"/>
            <color indexed="81"/>
            <rFont val="Tahoma"/>
            <family val="2"/>
          </rPr>
          <t>/ ICT</t>
        </r>
      </text>
    </comment>
    <comment ref="P236" authorId="1" shapeId="0" xr:uid="{5CE570B4-9A5F-4C66-9949-3CE6273395EF}">
      <text>
        <r>
          <rPr>
            <b/>
            <sz val="9"/>
            <color indexed="81"/>
            <rFont val="細明體"/>
            <family val="3"/>
            <charset val="136"/>
          </rPr>
          <t>以下一科</t>
        </r>
        <r>
          <rPr>
            <b/>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r>
          <rPr>
            <sz val="9"/>
            <color indexed="81"/>
            <rFont val="Tahoma"/>
            <family val="2"/>
          </rPr>
          <t>/ ICT</t>
        </r>
      </text>
    </comment>
    <comment ref="P237" authorId="1" shapeId="0" xr:uid="{4FD1780F-C794-4071-AC42-CE12C56D2F4F}">
      <text>
        <r>
          <rPr>
            <b/>
            <sz val="9"/>
            <color indexed="81"/>
            <rFont val="細明體"/>
            <family val="3"/>
            <charset val="136"/>
          </rPr>
          <t>以下一科</t>
        </r>
        <r>
          <rPr>
            <b/>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r>
          <rPr>
            <sz val="9"/>
            <color indexed="81"/>
            <rFont val="Tahoma"/>
            <family val="2"/>
          </rPr>
          <t>/ ICT</t>
        </r>
      </text>
    </comment>
    <comment ref="P238" authorId="1" shapeId="0" xr:uid="{87EC5886-2E5A-4A34-98D3-6F6D9CF768EC}">
      <text>
        <r>
          <rPr>
            <b/>
            <sz val="9"/>
            <color indexed="81"/>
            <rFont val="細明體"/>
            <family val="3"/>
            <charset val="136"/>
          </rPr>
          <t>以下一科</t>
        </r>
        <r>
          <rPr>
            <b/>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r>
          <rPr>
            <sz val="9"/>
            <color indexed="81"/>
            <rFont val="Tahoma"/>
            <family val="2"/>
          </rPr>
          <t>/ ICT</t>
        </r>
      </text>
    </comment>
    <comment ref="P239" authorId="1" shapeId="0" xr:uid="{00000000-0006-0000-0200-000097000000}">
      <text>
        <r>
          <rPr>
            <b/>
            <sz val="9"/>
            <color rgb="FF000000"/>
            <rFont val="細明體"/>
            <family val="3"/>
            <charset val="136"/>
          </rPr>
          <t>以下一科</t>
        </r>
        <r>
          <rPr>
            <b/>
            <sz val="9"/>
            <color rgb="FF000000"/>
            <rFont val="Tahoma"/>
            <family val="2"/>
          </rPr>
          <t xml:space="preserve">:
</t>
        </r>
        <r>
          <rPr>
            <sz val="9"/>
            <color rgb="FF000000"/>
            <rFont val="細明體"/>
            <family val="3"/>
            <charset val="136"/>
          </rPr>
          <t>生物</t>
        </r>
        <r>
          <rPr>
            <sz val="9"/>
            <color rgb="FF000000"/>
            <rFont val="Tahoma"/>
            <family val="2"/>
          </rPr>
          <t xml:space="preserve">/ </t>
        </r>
        <r>
          <rPr>
            <sz val="9"/>
            <color rgb="FF000000"/>
            <rFont val="細明體"/>
            <family val="3"/>
            <charset val="136"/>
          </rPr>
          <t>化學</t>
        </r>
        <r>
          <rPr>
            <sz val="9"/>
            <color rgb="FF000000"/>
            <rFont val="Tahoma"/>
            <family val="2"/>
          </rPr>
          <t xml:space="preserve"> /</t>
        </r>
        <r>
          <rPr>
            <sz val="9"/>
            <color rgb="FF000000"/>
            <rFont val="細明體"/>
            <family val="3"/>
            <charset val="136"/>
          </rPr>
          <t>物理</t>
        </r>
        <r>
          <rPr>
            <sz val="9"/>
            <color rgb="FF000000"/>
            <rFont val="Tahoma"/>
            <family val="2"/>
          </rPr>
          <t xml:space="preserve"> / </t>
        </r>
        <r>
          <rPr>
            <sz val="9"/>
            <color rgb="FF000000"/>
            <rFont val="細明體"/>
            <family val="3"/>
            <charset val="136"/>
          </rPr>
          <t>組合科學</t>
        </r>
        <r>
          <rPr>
            <sz val="9"/>
            <color rgb="FF000000"/>
            <rFont val="Tahoma"/>
            <family val="2"/>
          </rPr>
          <t>/ ICT</t>
        </r>
      </text>
    </comment>
    <comment ref="P253" authorId="1" shapeId="0" xr:uid="{00000000-0006-0000-0200-000095000000}">
      <text>
        <r>
          <rPr>
            <b/>
            <sz val="9"/>
            <color indexed="81"/>
            <rFont val="細明體"/>
            <family val="3"/>
            <charset val="136"/>
          </rPr>
          <t>以下一科</t>
        </r>
        <r>
          <rPr>
            <b/>
            <sz val="9"/>
            <color indexed="81"/>
            <rFont val="Tahoma"/>
            <family val="2"/>
          </rPr>
          <t xml:space="preserve">:
</t>
        </r>
        <r>
          <rPr>
            <sz val="9"/>
            <color indexed="81"/>
            <rFont val="細明體"/>
            <family val="3"/>
            <charset val="136"/>
          </rPr>
          <t>生物</t>
        </r>
        <r>
          <rPr>
            <sz val="9"/>
            <color indexed="81"/>
            <rFont val="Tahoma"/>
            <family val="2"/>
          </rPr>
          <t xml:space="preserve">/ </t>
        </r>
        <r>
          <rPr>
            <sz val="9"/>
            <color indexed="81"/>
            <rFont val="細明體"/>
            <family val="3"/>
            <charset val="136"/>
          </rPr>
          <t>化學</t>
        </r>
        <r>
          <rPr>
            <sz val="9"/>
            <color indexed="81"/>
            <rFont val="Tahoma"/>
            <family val="2"/>
          </rPr>
          <t xml:space="preserve"> /</t>
        </r>
        <r>
          <rPr>
            <sz val="9"/>
            <color indexed="81"/>
            <rFont val="細明體"/>
            <family val="3"/>
            <charset val="136"/>
          </rPr>
          <t>物理</t>
        </r>
        <r>
          <rPr>
            <sz val="9"/>
            <color indexed="81"/>
            <rFont val="Tahoma"/>
            <family val="2"/>
          </rPr>
          <t xml:space="preserve"> / </t>
        </r>
        <r>
          <rPr>
            <sz val="9"/>
            <color indexed="81"/>
            <rFont val="細明體"/>
            <family val="3"/>
            <charset val="136"/>
          </rPr>
          <t>組合科學</t>
        </r>
        <r>
          <rPr>
            <sz val="9"/>
            <color indexed="81"/>
            <rFont val="Tahoma"/>
            <family val="2"/>
          </rPr>
          <t>/ ICT / DAT</t>
        </r>
      </text>
    </comment>
    <comment ref="P254" authorId="0" shapeId="0" xr:uid="{00000000-0006-0000-0200-0000A6000000}">
      <text>
        <r>
          <rPr>
            <b/>
            <sz val="9"/>
            <color rgb="FF000000"/>
            <rFont val="細明體"/>
            <family val="3"/>
            <charset val="136"/>
          </rPr>
          <t>以下一科</t>
        </r>
        <r>
          <rPr>
            <b/>
            <sz val="9"/>
            <color rgb="FF000000"/>
            <rFont val="Tahoma"/>
            <family val="2"/>
          </rPr>
          <t>:</t>
        </r>
        <r>
          <rPr>
            <sz val="9"/>
            <color rgb="FF000000"/>
            <rFont val="Tahoma"/>
            <family val="2"/>
          </rPr>
          <t xml:space="preserve">
</t>
        </r>
        <r>
          <rPr>
            <sz val="9"/>
            <color rgb="FF000000"/>
            <rFont val="細明體"/>
            <family val="3"/>
            <charset val="136"/>
          </rPr>
          <t>生物</t>
        </r>
        <r>
          <rPr>
            <sz val="9"/>
            <color rgb="FF000000"/>
            <rFont val="Tahoma"/>
            <family val="2"/>
          </rPr>
          <t xml:space="preserve">/ </t>
        </r>
        <r>
          <rPr>
            <sz val="9"/>
            <color rgb="FF000000"/>
            <rFont val="細明體"/>
            <family val="3"/>
            <charset val="136"/>
          </rPr>
          <t>化學</t>
        </r>
        <r>
          <rPr>
            <sz val="9"/>
            <color rgb="FF000000"/>
            <rFont val="Tahoma"/>
            <family val="2"/>
          </rPr>
          <t xml:space="preserve"> </t>
        </r>
      </text>
    </comment>
    <comment ref="P256" authorId="1" shapeId="0" xr:uid="{00000000-0006-0000-0200-0000A9000000}">
      <text>
        <r>
          <rPr>
            <b/>
            <sz val="9"/>
            <color rgb="FF000000"/>
            <rFont val="細明體"/>
            <family val="3"/>
            <charset val="136"/>
          </rPr>
          <t>以下一科</t>
        </r>
        <r>
          <rPr>
            <b/>
            <sz val="9"/>
            <color rgb="FF000000"/>
            <rFont val="Tahoma"/>
            <family val="2"/>
          </rPr>
          <t xml:space="preserve">:
</t>
        </r>
        <r>
          <rPr>
            <sz val="9"/>
            <color rgb="FF000000"/>
            <rFont val="細明體"/>
            <family val="3"/>
            <charset val="136"/>
          </rPr>
          <t>生物</t>
        </r>
        <r>
          <rPr>
            <sz val="9"/>
            <color rgb="FF000000"/>
            <rFont val="Tahoma"/>
            <family val="2"/>
          </rPr>
          <t xml:space="preserve">/ </t>
        </r>
        <r>
          <rPr>
            <sz val="9"/>
            <color rgb="FF000000"/>
            <rFont val="細明體"/>
            <family val="3"/>
            <charset val="136"/>
          </rPr>
          <t>化學</t>
        </r>
        <r>
          <rPr>
            <sz val="9"/>
            <color rgb="FF000000"/>
            <rFont val="Tahoma"/>
            <family val="2"/>
          </rPr>
          <t xml:space="preserve"> /</t>
        </r>
        <r>
          <rPr>
            <sz val="9"/>
            <color rgb="FF000000"/>
            <rFont val="細明體"/>
            <family val="3"/>
            <charset val="136"/>
          </rPr>
          <t>物理</t>
        </r>
        <r>
          <rPr>
            <sz val="9"/>
            <color rgb="FF000000"/>
            <rFont val="Tahoma"/>
            <family val="2"/>
          </rPr>
          <t xml:space="preserve"> / </t>
        </r>
        <r>
          <rPr>
            <sz val="9"/>
            <color rgb="FF000000"/>
            <rFont val="細明體"/>
            <family val="3"/>
            <charset val="136"/>
          </rPr>
          <t>組合科學</t>
        </r>
        <r>
          <rPr>
            <sz val="9"/>
            <color rgb="FF000000"/>
            <rFont val="Tahoma"/>
            <family val="2"/>
          </rPr>
          <t xml:space="preserve">/ </t>
        </r>
        <r>
          <rPr>
            <sz val="9"/>
            <color rgb="FF000000"/>
            <rFont val="細明體"/>
            <family val="3"/>
            <charset val="136"/>
          </rPr>
          <t>經濟</t>
        </r>
        <r>
          <rPr>
            <sz val="9"/>
            <color rgb="FF000000"/>
            <rFont val="Tahoma"/>
            <family val="2"/>
          </rPr>
          <t>/ M1/2</t>
        </r>
      </text>
    </comment>
    <comment ref="P259" authorId="1" shapeId="0" xr:uid="{00000000-0006-0000-0200-0000AC000000}">
      <text>
        <r>
          <rPr>
            <b/>
            <sz val="9"/>
            <color rgb="FF000000"/>
            <rFont val="細明體"/>
            <family val="3"/>
            <charset val="136"/>
          </rPr>
          <t>以下一科</t>
        </r>
        <r>
          <rPr>
            <b/>
            <sz val="9"/>
            <color rgb="FF000000"/>
            <rFont val="Tahoma"/>
            <family val="2"/>
          </rPr>
          <t xml:space="preserve">:
</t>
        </r>
        <r>
          <rPr>
            <sz val="9"/>
            <color rgb="FF000000"/>
            <rFont val="細明體"/>
            <family val="3"/>
            <charset val="136"/>
          </rPr>
          <t>生物</t>
        </r>
        <r>
          <rPr>
            <sz val="9"/>
            <color rgb="FF000000"/>
            <rFont val="Tahoma"/>
            <family val="2"/>
          </rPr>
          <t xml:space="preserve">/ </t>
        </r>
        <r>
          <rPr>
            <sz val="9"/>
            <color rgb="FF000000"/>
            <rFont val="細明體"/>
            <family val="3"/>
            <charset val="136"/>
          </rPr>
          <t>化學</t>
        </r>
        <r>
          <rPr>
            <sz val="9"/>
            <color rgb="FF000000"/>
            <rFont val="Tahoma"/>
            <family val="2"/>
          </rPr>
          <t xml:space="preserve"> /</t>
        </r>
        <r>
          <rPr>
            <sz val="9"/>
            <color rgb="FF000000"/>
            <rFont val="細明體"/>
            <family val="3"/>
            <charset val="136"/>
          </rPr>
          <t>物理</t>
        </r>
        <r>
          <rPr>
            <sz val="9"/>
            <color rgb="FF000000"/>
            <rFont val="Tahoma"/>
            <family val="2"/>
          </rPr>
          <t xml:space="preserve"> / </t>
        </r>
        <r>
          <rPr>
            <sz val="9"/>
            <color rgb="FF000000"/>
            <rFont val="細明體"/>
            <family val="3"/>
            <charset val="136"/>
          </rPr>
          <t>組合科學</t>
        </r>
        <r>
          <rPr>
            <sz val="9"/>
            <color rgb="FF000000"/>
            <rFont val="Tahoma"/>
            <family val="2"/>
          </rPr>
          <t>/ ICT</t>
        </r>
      </text>
    </comment>
    <comment ref="Q312" authorId="0" shapeId="0" xr:uid="{00000000-0006-0000-0200-0000ED000000}">
      <text>
        <r>
          <rPr>
            <b/>
            <sz val="9"/>
            <color indexed="81"/>
            <rFont val="Tahoma"/>
            <family val="2"/>
          </rPr>
          <t>M1/2 is required.</t>
        </r>
        <r>
          <rPr>
            <sz val="9"/>
            <color indexed="81"/>
            <rFont val="Tahoma"/>
            <family val="2"/>
          </rPr>
          <t xml:space="preserve">
</t>
        </r>
      </text>
    </comment>
    <comment ref="Z348" authorId="1" shapeId="0" xr:uid="{E65F5EE5-BC36-43A2-ABDB-DFDF7DA210A8}">
      <text>
        <r>
          <rPr>
            <sz val="9"/>
            <color rgb="FF000000"/>
            <rFont val="細明體"/>
            <family val="3"/>
            <charset val="136"/>
          </rPr>
          <t>同學亦須在額外的</t>
        </r>
        <r>
          <rPr>
            <sz val="9"/>
            <color rgb="FF000000"/>
            <rFont val="Tahoma"/>
            <family val="2"/>
          </rPr>
          <t xml:space="preserve"> </t>
        </r>
        <r>
          <rPr>
            <b/>
            <sz val="9"/>
            <color rgb="FF000000"/>
            <rFont val="細明體"/>
            <family val="3"/>
            <charset val="136"/>
          </rPr>
          <t>入學測試</t>
        </r>
        <r>
          <rPr>
            <b/>
            <sz val="9"/>
            <color rgb="FF000000"/>
            <rFont val="Tahoma"/>
            <family val="2"/>
          </rPr>
          <t>/</t>
        </r>
        <r>
          <rPr>
            <b/>
            <sz val="9"/>
            <color rgb="FF000000"/>
            <rFont val="細明體"/>
            <family val="3"/>
            <charset val="136"/>
          </rPr>
          <t>面試</t>
        </r>
        <r>
          <rPr>
            <b/>
            <sz val="9"/>
            <color rgb="FF000000"/>
            <rFont val="Tahoma"/>
            <family val="2"/>
          </rPr>
          <t xml:space="preserve"> </t>
        </r>
        <r>
          <rPr>
            <sz val="9"/>
            <color rgb="FF000000"/>
            <rFont val="細明體"/>
            <family val="3"/>
            <charset val="136"/>
          </rPr>
          <t>中考獲優異成績</t>
        </r>
      </text>
    </comment>
    <comment ref="Z357" authorId="1" shapeId="0" xr:uid="{DE26C8B8-4464-4D51-A260-103FB33CB293}">
      <text>
        <r>
          <rPr>
            <sz val="9"/>
            <color rgb="FF000000"/>
            <rFont val="細明體"/>
            <family val="3"/>
            <charset val="136"/>
          </rPr>
          <t>同學亦須在額外的</t>
        </r>
        <r>
          <rPr>
            <sz val="9"/>
            <color rgb="FF000000"/>
            <rFont val="Tahoma"/>
            <family val="2"/>
          </rPr>
          <t xml:space="preserve"> </t>
        </r>
        <r>
          <rPr>
            <b/>
            <sz val="9"/>
            <color rgb="FF000000"/>
            <rFont val="細明體"/>
            <family val="3"/>
            <charset val="136"/>
          </rPr>
          <t>入學測試</t>
        </r>
        <r>
          <rPr>
            <b/>
            <sz val="9"/>
            <color rgb="FF000000"/>
            <rFont val="Tahoma"/>
            <family val="2"/>
          </rPr>
          <t>/</t>
        </r>
        <r>
          <rPr>
            <b/>
            <sz val="9"/>
            <color rgb="FF000000"/>
            <rFont val="細明體"/>
            <family val="3"/>
            <charset val="136"/>
          </rPr>
          <t>面試</t>
        </r>
        <r>
          <rPr>
            <b/>
            <sz val="9"/>
            <color rgb="FF000000"/>
            <rFont val="Tahoma"/>
            <family val="2"/>
          </rPr>
          <t xml:space="preserve"> </t>
        </r>
        <r>
          <rPr>
            <sz val="9"/>
            <color rgb="FF000000"/>
            <rFont val="細明體"/>
            <family val="3"/>
            <charset val="136"/>
          </rPr>
          <t>中考獲優異成績</t>
        </r>
      </text>
    </comment>
    <comment ref="Z358" authorId="1" shapeId="0" xr:uid="{92BAA19B-7FE2-45B9-B767-EB8FE047179C}">
      <text>
        <r>
          <rPr>
            <sz val="9"/>
            <color rgb="FF000000"/>
            <rFont val="細明體"/>
            <family val="3"/>
            <charset val="136"/>
          </rPr>
          <t>同學亦須在額外的</t>
        </r>
        <r>
          <rPr>
            <sz val="9"/>
            <color rgb="FF000000"/>
            <rFont val="Tahoma"/>
            <family val="2"/>
          </rPr>
          <t xml:space="preserve"> </t>
        </r>
        <r>
          <rPr>
            <b/>
            <sz val="9"/>
            <color rgb="FF000000"/>
            <rFont val="細明體"/>
            <family val="3"/>
            <charset val="136"/>
          </rPr>
          <t>入學測試</t>
        </r>
        <r>
          <rPr>
            <b/>
            <sz val="9"/>
            <color rgb="FF000000"/>
            <rFont val="Tahoma"/>
            <family val="2"/>
          </rPr>
          <t>/</t>
        </r>
        <r>
          <rPr>
            <b/>
            <sz val="9"/>
            <color rgb="FF000000"/>
            <rFont val="細明體"/>
            <family val="3"/>
            <charset val="136"/>
          </rPr>
          <t>面試</t>
        </r>
        <r>
          <rPr>
            <b/>
            <sz val="9"/>
            <color rgb="FF000000"/>
            <rFont val="Tahoma"/>
            <family val="2"/>
          </rPr>
          <t xml:space="preserve"> </t>
        </r>
        <r>
          <rPr>
            <sz val="9"/>
            <color rgb="FF000000"/>
            <rFont val="細明體"/>
            <family val="3"/>
            <charset val="136"/>
          </rPr>
          <t>中考獲優異成績</t>
        </r>
      </text>
    </comment>
    <comment ref="Z368" authorId="1" shapeId="0" xr:uid="{1268F489-4016-431D-899B-9FAEE773F1E6}">
      <text>
        <r>
          <rPr>
            <sz val="9"/>
            <color rgb="FF000000"/>
            <rFont val="細明體"/>
            <family val="3"/>
            <charset val="136"/>
          </rPr>
          <t>同學亦須在額外的</t>
        </r>
        <r>
          <rPr>
            <sz val="9"/>
            <color rgb="FF000000"/>
            <rFont val="Tahoma"/>
            <family val="2"/>
          </rPr>
          <t xml:space="preserve"> </t>
        </r>
        <r>
          <rPr>
            <b/>
            <sz val="9"/>
            <color rgb="FF000000"/>
            <rFont val="細明體"/>
            <family val="3"/>
            <charset val="136"/>
          </rPr>
          <t>入學測試</t>
        </r>
        <r>
          <rPr>
            <b/>
            <sz val="9"/>
            <color rgb="FF000000"/>
            <rFont val="Tahoma"/>
            <family val="2"/>
          </rPr>
          <t>/</t>
        </r>
        <r>
          <rPr>
            <b/>
            <sz val="9"/>
            <color rgb="FF000000"/>
            <rFont val="細明體"/>
            <family val="3"/>
            <charset val="136"/>
          </rPr>
          <t>面試</t>
        </r>
        <r>
          <rPr>
            <b/>
            <sz val="9"/>
            <color rgb="FF000000"/>
            <rFont val="Tahoma"/>
            <family val="2"/>
          </rPr>
          <t xml:space="preserve"> </t>
        </r>
        <r>
          <rPr>
            <sz val="9"/>
            <color rgb="FF000000"/>
            <rFont val="細明體"/>
            <family val="3"/>
            <charset val="136"/>
          </rPr>
          <t>中考獲優異成績</t>
        </r>
      </text>
    </comment>
    <comment ref="Z369" authorId="1" shapeId="0" xr:uid="{95D6EA89-129E-4731-980E-F29F4E9D8DA5}">
      <text>
        <r>
          <rPr>
            <sz val="9"/>
            <color rgb="FF000000"/>
            <rFont val="細明體"/>
            <family val="3"/>
            <charset val="136"/>
          </rPr>
          <t>同學亦須在額外的</t>
        </r>
        <r>
          <rPr>
            <sz val="9"/>
            <color rgb="FF000000"/>
            <rFont val="Tahoma"/>
            <family val="2"/>
          </rPr>
          <t xml:space="preserve"> </t>
        </r>
        <r>
          <rPr>
            <b/>
            <sz val="9"/>
            <color rgb="FF000000"/>
            <rFont val="細明體"/>
            <family val="3"/>
            <charset val="136"/>
          </rPr>
          <t>入學測試</t>
        </r>
        <r>
          <rPr>
            <b/>
            <sz val="9"/>
            <color rgb="FF000000"/>
            <rFont val="Tahoma"/>
            <family val="2"/>
          </rPr>
          <t>/</t>
        </r>
        <r>
          <rPr>
            <b/>
            <sz val="9"/>
            <color rgb="FF000000"/>
            <rFont val="細明體"/>
            <family val="3"/>
            <charset val="136"/>
          </rPr>
          <t>面試</t>
        </r>
        <r>
          <rPr>
            <b/>
            <sz val="9"/>
            <color rgb="FF000000"/>
            <rFont val="Tahoma"/>
            <family val="2"/>
          </rPr>
          <t xml:space="preserve"> </t>
        </r>
        <r>
          <rPr>
            <sz val="9"/>
            <color rgb="FF000000"/>
            <rFont val="細明體"/>
            <family val="3"/>
            <charset val="136"/>
          </rPr>
          <t>中考獲優異成績</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<sst xmlns="http://schemas.openxmlformats.org/spreadsheetml/2006/main" count="50348" uniqueCount="3321">
  <si>
    <t>只供參考</t>
    <phoneticPr fontId="3" type="noConversion"/>
  </si>
  <si>
    <r>
      <t>請在下載後以</t>
    </r>
    <r>
      <rPr>
        <b/>
        <sz val="12"/>
        <color theme="1"/>
        <rFont val="微軟正黑體"/>
        <family val="2"/>
        <charset val="136"/>
      </rPr>
      <t>電腦</t>
    </r>
    <r>
      <rPr>
        <b/>
        <sz val="11"/>
        <color theme="1"/>
        <rFont val="微軟正黑體"/>
        <family val="2"/>
        <charset val="136"/>
      </rPr>
      <t xml:space="preserve"> Excel 開啟及使用。 (不能用Google Sheet) </t>
    </r>
    <phoneticPr fontId="3" type="noConversion"/>
  </si>
  <si>
    <t>包括M1/2?</t>
  </si>
  <si>
    <t>1.</t>
  </si>
  <si>
    <t>請輸入你的成績:</t>
    <phoneticPr fontId="3" type="noConversion"/>
  </si>
  <si>
    <t>以數字輸入成績?</t>
  </si>
  <si>
    <t>2.</t>
  </si>
  <si>
    <t>分數概覽 (未計比重)</t>
  </si>
  <si>
    <t>若開啟數字模式，則無法以下拉選單選擇分數</t>
    <phoneticPr fontId="3" type="noConversion"/>
  </si>
  <si>
    <t>(0/1/2/3/4/5/6/7)</t>
  </si>
  <si>
    <t>核心科目</t>
    <phoneticPr fontId="3" type="noConversion"/>
  </si>
  <si>
    <t>Best 5</t>
    <phoneticPr fontId="3" type="noConversion"/>
  </si>
  <si>
    <t>中國語文</t>
    <phoneticPr fontId="3" type="noConversion"/>
  </si>
  <si>
    <t>Best 6</t>
    <phoneticPr fontId="3" type="noConversion"/>
  </si>
  <si>
    <t>英國語文</t>
    <phoneticPr fontId="3" type="noConversion"/>
  </si>
  <si>
    <t>請定期檢查更新</t>
    <phoneticPr fontId="3" type="noConversion"/>
  </si>
  <si>
    <t>一鍵前往</t>
    <phoneticPr fontId="3" type="noConversion"/>
  </si>
  <si>
    <t>數學</t>
    <phoneticPr fontId="3" type="noConversion"/>
  </si>
  <si>
    <t xml:space="preserve"> All in One 超級計分器</t>
    <phoneticPr fontId="3" type="noConversion"/>
  </si>
  <si>
    <t>3.</t>
  </si>
  <si>
    <t>JUPAS排位</t>
    <phoneticPr fontId="3" type="noConversion"/>
  </si>
  <si>
    <t>M1/2</t>
    <phoneticPr fontId="3" type="noConversion"/>
  </si>
  <si>
    <t>請輸入JUPAS編號 (e.g. JS4862)</t>
    <phoneticPr fontId="3" type="noConversion"/>
  </si>
  <si>
    <t>請前往院校版面查看詳細註釋</t>
    <phoneticPr fontId="3" type="noConversion"/>
  </si>
  <si>
    <t>以百分比顯示差距?</t>
  </si>
  <si>
    <t>2022年</t>
  </si>
  <si>
    <t>Band A</t>
    <phoneticPr fontId="3" type="noConversion"/>
  </si>
  <si>
    <t>例如課程要求M1/2，若同學沒有修讀，就會變紅</t>
    <phoneticPr fontId="3" type="noConversion"/>
  </si>
  <si>
    <t>選修科目</t>
    <phoneticPr fontId="3" type="noConversion"/>
  </si>
  <si>
    <t>院校</t>
    <phoneticPr fontId="3" type="noConversion"/>
  </si>
  <si>
    <t>學科</t>
    <phoneticPr fontId="3" type="noConversion"/>
  </si>
  <si>
    <t>計分方式</t>
    <phoneticPr fontId="3" type="noConversion"/>
  </si>
  <si>
    <t>UQ</t>
    <phoneticPr fontId="3" type="noConversion"/>
  </si>
  <si>
    <t>Median</t>
    <phoneticPr fontId="3" type="noConversion"/>
  </si>
  <si>
    <t>LQ</t>
    <phoneticPr fontId="3" type="noConversion"/>
  </si>
  <si>
    <t>你的分數</t>
    <phoneticPr fontId="3" type="noConversion"/>
  </si>
  <si>
    <t>學額</t>
    <phoneticPr fontId="3" type="noConversion"/>
  </si>
  <si>
    <t>取錄人數</t>
    <phoneticPr fontId="3" type="noConversion"/>
  </si>
  <si>
    <t>競爭人數</t>
    <phoneticPr fontId="3" type="noConversion"/>
  </si>
  <si>
    <t>合乎基本入學要求?(並非入讀機率)</t>
    <phoneticPr fontId="3" type="noConversion"/>
  </si>
  <si>
    <t>A1</t>
    <phoneticPr fontId="3" type="noConversion"/>
  </si>
  <si>
    <t>JS4862</t>
  </si>
  <si>
    <t>按此</t>
    <phoneticPr fontId="3" type="noConversion"/>
  </si>
  <si>
    <t>展開</t>
  </si>
  <si>
    <t>A2</t>
    <phoneticPr fontId="3" type="noConversion"/>
  </si>
  <si>
    <r>
      <rPr>
        <b/>
        <sz val="12"/>
        <color theme="1"/>
        <rFont val="微軟正黑體"/>
        <family val="2"/>
        <charset val="136"/>
      </rPr>
      <t>詳細資料及比重</t>
    </r>
    <r>
      <rPr>
        <sz val="12"/>
        <color theme="1"/>
        <rFont val="微軟正黑體"/>
        <family val="2"/>
        <charset val="136"/>
      </rPr>
      <t>請前往院校分頁</t>
    </r>
    <phoneticPr fontId="3" type="noConversion"/>
  </si>
  <si>
    <t>選單</t>
  </si>
  <si>
    <t>請選擇第四選修科</t>
    <phoneticPr fontId="3" type="noConversion"/>
  </si>
  <si>
    <t>A3</t>
    <phoneticPr fontId="3" type="noConversion"/>
  </si>
  <si>
    <t>*= 合併學額</t>
    <phoneticPr fontId="3" type="noConversion"/>
  </si>
  <si>
    <t>競爭人數: 幾多人爭一個位</t>
    <phoneticPr fontId="3" type="noConversion"/>
  </si>
  <si>
    <t>(合併學額或有誤導成份，請以取錄人數為準)</t>
  </si>
  <si>
    <r>
      <t>每次使用前請檢查計分器是否為</t>
    </r>
    <r>
      <rPr>
        <b/>
        <sz val="14"/>
        <color rgb="FFFF0000"/>
        <rFont val="微軟正黑體"/>
        <family val="2"/>
        <charset val="136"/>
      </rPr>
      <t>最新版本</t>
    </r>
    <r>
      <rPr>
        <b/>
        <sz val="11"/>
        <color rgb="FFFF0000"/>
        <rFont val="微軟正黑體"/>
        <family val="2"/>
        <charset val="136"/>
      </rPr>
      <t>:</t>
    </r>
    <phoneticPr fontId="3" type="noConversion"/>
  </si>
  <si>
    <t>https://drive.google.com/drive/folders/1PmyDrmQ2CumbWrqY7NRqa0Ol-M9VnkFz?usp=drive_link</t>
  </si>
  <si>
    <t>O&amp;A 及使用須知:</t>
  </si>
  <si>
    <t>4.</t>
    <phoneticPr fontId="3" type="noConversion"/>
  </si>
  <si>
    <t>重考扣分 (測試中)</t>
    <phoneticPr fontId="3" type="noConversion"/>
  </si>
  <si>
    <t>Previous Update Patch</t>
    <phoneticPr fontId="3" type="noConversion"/>
  </si>
  <si>
    <t xml:space="preserve"> 使用須知 及 免責聲明</t>
  </si>
  <si>
    <t>重考?</t>
    <phoneticPr fontId="3" type="noConversion"/>
  </si>
  <si>
    <t>Beta UPDATE PATCH:</t>
  </si>
  <si>
    <t>改善 排版設計</t>
  </si>
  <si>
    <t>更正 資料及計算錯漏</t>
  </si>
  <si>
    <t>目前只得 CUHK 及 HKU 有列明重考扣分</t>
    <phoneticPr fontId="3" type="noConversion"/>
  </si>
  <si>
    <t>.</t>
  </si>
  <si>
    <t>All in One 超級計分器</t>
    <phoneticPr fontId="3" type="noConversion"/>
  </si>
  <si>
    <t>請在此手動輸入科目的JUPAS編號</t>
  </si>
  <si>
    <t>輸入JUPAS編號</t>
    <phoneticPr fontId="3" type="noConversion"/>
  </si>
  <si>
    <t>院校</t>
  </si>
  <si>
    <t>課程/學科</t>
  </si>
  <si>
    <t>學額</t>
  </si>
  <si>
    <t>JS1805</t>
  </si>
  <si>
    <t>中文</t>
    <phoneticPr fontId="3" type="noConversion"/>
  </si>
  <si>
    <t>英文</t>
  </si>
  <si>
    <t>數學</t>
  </si>
  <si>
    <t>通識</t>
  </si>
  <si>
    <t>X1</t>
  </si>
  <si>
    <t>X2</t>
  </si>
  <si>
    <t>Band A競爭人數</t>
    <phoneticPr fontId="3" type="noConversion"/>
  </si>
  <si>
    <t>基本入學要求</t>
    <phoneticPr fontId="3" type="noConversion"/>
  </si>
  <si>
    <t>(幾多人爭一個位)</t>
    <phoneticPr fontId="3" type="noConversion"/>
  </si>
  <si>
    <t>上年計分方式︰</t>
    <phoneticPr fontId="3" type="noConversion"/>
  </si>
  <si>
    <t>由於每年分數計算方式或會更改，</t>
  </si>
  <si>
    <r>
      <t>此計分器一律會以*</t>
    </r>
    <r>
      <rPr>
        <b/>
        <sz val="10"/>
        <color theme="1"/>
        <rFont val="微軟正黑體"/>
        <family val="2"/>
        <charset val="136"/>
      </rPr>
      <t>上年計分方式*</t>
    </r>
    <r>
      <rPr>
        <sz val="10"/>
        <color theme="1"/>
        <rFont val="微軟正黑體"/>
        <family val="2"/>
        <charset val="136"/>
      </rPr>
      <t>計算你的分數，</t>
    </r>
  </si>
  <si>
    <t>以便估計與上年度收生分數的差距。</t>
  </si>
  <si>
    <t>比重︰</t>
    <phoneticPr fontId="3" type="noConversion"/>
  </si>
  <si>
    <t>加分制 (5**→8.5)</t>
  </si>
  <si>
    <t>今年計分方式︰</t>
    <phoneticPr fontId="3" type="noConversion"/>
  </si>
  <si>
    <t>此處將列出今年度計分方式 及 比重詳情，</t>
  </si>
  <si>
    <t>以供大家參考 及 估算自己入讀機會，敬請留意。</t>
  </si>
  <si>
    <t>其他考慮因素</t>
    <phoneticPr fontId="3" type="noConversion"/>
  </si>
  <si>
    <t>重考扣分</t>
  </si>
  <si>
    <t>面試</t>
    <phoneticPr fontId="3" type="noConversion"/>
  </si>
  <si>
    <t>額外資料</t>
    <phoneticPr fontId="3" type="noConversion"/>
  </si>
  <si>
    <t>中文</t>
  </si>
  <si>
    <t xml:space="preserve"> M1/2</t>
  </si>
  <si>
    <t>比重</t>
    <phoneticPr fontId="3" type="noConversion"/>
  </si>
  <si>
    <t>X1</t>
    <phoneticPr fontId="3" type="noConversion"/>
  </si>
  <si>
    <t>X2</t>
    <phoneticPr fontId="3" type="noConversion"/>
  </si>
  <si>
    <t>X3</t>
    <phoneticPr fontId="3" type="noConversion"/>
  </si>
  <si>
    <t>LQ</t>
  </si>
  <si>
    <t>相差</t>
    <phoneticPr fontId="3" type="noConversion"/>
  </si>
  <si>
    <t>Median</t>
  </si>
  <si>
    <t>UQ</t>
  </si>
  <si>
    <t>編號</t>
  </si>
  <si>
    <t>學院</t>
  </si>
  <si>
    <t>課程/學科</t>
    <phoneticPr fontId="3" type="noConversion"/>
  </si>
  <si>
    <t>計分方式</t>
  </si>
  <si>
    <t>你的分數</t>
  </si>
  <si>
    <t>差距(Median)</t>
  </si>
  <si>
    <t>資格</t>
    <phoneticPr fontId="3" type="noConversion"/>
  </si>
  <si>
    <t>中</t>
    <phoneticPr fontId="3" type="noConversion"/>
  </si>
  <si>
    <t>英</t>
    <phoneticPr fontId="3" type="noConversion"/>
  </si>
  <si>
    <t>數</t>
    <phoneticPr fontId="3" type="noConversion"/>
  </si>
  <si>
    <t>通</t>
    <phoneticPr fontId="3" type="noConversion"/>
  </si>
  <si>
    <t>E1</t>
    <phoneticPr fontId="3" type="noConversion"/>
  </si>
  <si>
    <t>E2</t>
    <phoneticPr fontId="3" type="noConversion"/>
  </si>
  <si>
    <t>Band A 競爭</t>
  </si>
  <si>
    <t>取錄人數</t>
  </si>
  <si>
    <t>Total</t>
    <phoneticPr fontId="3" type="noConversion"/>
  </si>
  <si>
    <t>Band A</t>
  </si>
  <si>
    <t>Band B</t>
  </si>
  <si>
    <t>Band C</t>
  </si>
  <si>
    <t>Band D</t>
  </si>
  <si>
    <t>Band E</t>
  </si>
  <si>
    <t>申請人數</t>
    <phoneticPr fontId="3" type="noConversion"/>
  </si>
  <si>
    <r>
      <t>*入學資格：</t>
    </r>
    <r>
      <rPr>
        <b/>
        <sz val="10"/>
        <color rgb="FF548235"/>
        <rFont val="微軟正黑體"/>
        <family val="2"/>
        <charset val="136"/>
      </rPr>
      <t>綠色</t>
    </r>
    <r>
      <rPr>
        <sz val="10"/>
        <color rgb="FF000000"/>
        <rFont val="微軟正黑體"/>
        <family val="2"/>
        <charset val="136"/>
      </rPr>
      <t>＝合符資格，</t>
    </r>
    <r>
      <rPr>
        <b/>
        <sz val="10"/>
        <color rgb="FFC00000"/>
        <rFont val="微軟正黑體"/>
        <family val="2"/>
        <charset val="136"/>
      </rPr>
      <t>紅色</t>
    </r>
    <r>
      <rPr>
        <sz val="10"/>
        <color rgb="FF000000"/>
        <rFont val="微軟正黑體"/>
        <family val="2"/>
        <charset val="136"/>
      </rPr>
      <t>＝不符資格，</t>
    </r>
    <r>
      <rPr>
        <b/>
        <sz val="10"/>
        <color rgb="FFBF8F00"/>
        <rFont val="微軟正黑體"/>
        <family val="2"/>
        <charset val="136"/>
      </rPr>
      <t>黃色</t>
    </r>
    <r>
      <rPr>
        <sz val="10"/>
        <color rgb="FF000000"/>
        <rFont val="微軟正黑體"/>
        <family val="2"/>
        <charset val="136"/>
      </rPr>
      <t>＝不確定（通常有關其他入學要求，例如作品集，或是個別科目分數）</t>
    </r>
  </si>
  <si>
    <t>估算方式:</t>
    <phoneticPr fontId="3" type="noConversion"/>
  </si>
  <si>
    <t>由於城大每年均會直接公佈加權後分數 (即已計算比重)，故此處直接引用城大數字，未有作任何估算。</t>
    <phoneticPr fontId="3" type="noConversion"/>
  </si>
  <si>
    <t>參考資料:</t>
    <phoneticPr fontId="3" type="noConversion"/>
  </si>
  <si>
    <t>https://www.admo.cityu.edu.hk/jupas/entreq/bd/</t>
  </si>
  <si>
    <t>https://www.admo.cityu.edu.hk/assessment/score_calculation/</t>
  </si>
  <si>
    <t>https://www.admo.cityu.edu.hk/jupas/assessment/bd</t>
    <phoneticPr fontId="3" type="noConversion"/>
  </si>
  <si>
    <t>https://www.admo.cityu.edu.hk/interview_arrangements/jupas</t>
  </si>
  <si>
    <t>編號</t>
    <phoneticPr fontId="3" type="noConversion"/>
  </si>
  <si>
    <t>Total</t>
  </si>
  <si>
    <t>申請人數</t>
  </si>
  <si>
    <t>由於浸大每年除了公佈平均分外，亦會公佈各分布位置(中位數、下四分位數)的同學的詳細分數，故此處即以其細分 加以比重 作估算。</t>
    <phoneticPr fontId="3" type="noConversion"/>
  </si>
  <si>
    <t>*只有主科有比重的學科 (如 JS2310)，則會直接為主科計算比重，然後再加上剩餘科目分數。</t>
    <phoneticPr fontId="3" type="noConversion"/>
  </si>
  <si>
    <t>*而選修有比重的學科 (如 JS2420)，由於浸大並未有列出參考分數的選修科目，此處保守起見，將會假設參考分數的選修科均有最大比重，故估算分數或會高於真實分數，請注意。</t>
    <phoneticPr fontId="3" type="noConversion"/>
  </si>
  <si>
    <r>
      <t>*其中位數(Median)詳細分數為︰中文 4 、英文 4 、數學 4 、通識 4 、選修一  4 、選修二  3 、選修三 3，此處將假設其兩科選修</t>
    </r>
    <r>
      <rPr>
        <b/>
        <sz val="10"/>
        <rFont val="微軟正黑體"/>
        <family val="2"/>
        <charset val="136"/>
      </rPr>
      <t>「食中曬比重」</t>
    </r>
    <r>
      <rPr>
        <sz val="10"/>
        <rFont val="微軟正黑體"/>
        <family val="2"/>
        <charset val="136"/>
      </rPr>
      <t>，即為 「化學」(x1.5) 及「生物」(x1.25)。</t>
    </r>
  </si>
  <si>
    <r>
      <t>*計算比重後，分數為︰中文 4 (</t>
    </r>
    <r>
      <rPr>
        <b/>
        <sz val="10"/>
        <rFont val="微軟正黑體"/>
        <family val="2"/>
        <charset val="136"/>
      </rPr>
      <t>4</t>
    </r>
    <r>
      <rPr>
        <sz val="10"/>
        <rFont val="微軟正黑體"/>
        <family val="2"/>
        <charset val="136"/>
      </rPr>
      <t>)、英文 4x1.5 (</t>
    </r>
    <r>
      <rPr>
        <b/>
        <sz val="10"/>
        <rFont val="微軟正黑體"/>
        <family val="2"/>
        <charset val="136"/>
      </rPr>
      <t>6</t>
    </r>
    <r>
      <rPr>
        <sz val="10"/>
        <rFont val="微軟正黑體"/>
        <family val="2"/>
        <charset val="136"/>
      </rPr>
      <t>) 、數學 4x1.25 (</t>
    </r>
    <r>
      <rPr>
        <b/>
        <sz val="10"/>
        <rFont val="微軟正黑體"/>
        <family val="2"/>
        <charset val="136"/>
      </rPr>
      <t>5</t>
    </r>
    <r>
      <rPr>
        <sz val="10"/>
        <rFont val="微軟正黑體"/>
        <family val="2"/>
        <charset val="136"/>
      </rPr>
      <t>) 、通識 4 (</t>
    </r>
    <r>
      <rPr>
        <b/>
        <sz val="10"/>
        <rFont val="微軟正黑體"/>
        <family val="2"/>
        <charset val="136"/>
      </rPr>
      <t>4</t>
    </r>
    <r>
      <rPr>
        <sz val="10"/>
        <rFont val="微軟正黑體"/>
        <family val="2"/>
        <charset val="136"/>
      </rPr>
      <t>) 、選修一  4x1.5 (</t>
    </r>
    <r>
      <rPr>
        <b/>
        <sz val="10"/>
        <rFont val="微軟正黑體"/>
        <family val="2"/>
        <charset val="136"/>
      </rPr>
      <t>6</t>
    </r>
    <r>
      <rPr>
        <sz val="10"/>
        <rFont val="微軟正黑體"/>
        <family val="2"/>
        <charset val="136"/>
      </rPr>
      <t>) 、選修二  3x1.25 (</t>
    </r>
    <r>
      <rPr>
        <b/>
        <sz val="10"/>
        <rFont val="微軟正黑體"/>
        <family val="2"/>
        <charset val="136"/>
      </rPr>
      <t>3.75</t>
    </r>
    <r>
      <rPr>
        <sz val="10"/>
        <rFont val="微軟正黑體"/>
        <family val="2"/>
        <charset val="136"/>
      </rPr>
      <t>) 、選修三  3 (</t>
    </r>
    <r>
      <rPr>
        <b/>
        <sz val="10"/>
        <rFont val="微軟正黑體"/>
        <family val="2"/>
        <charset val="136"/>
      </rPr>
      <t>3</t>
    </r>
    <r>
      <rPr>
        <sz val="10"/>
        <rFont val="微軟正黑體"/>
        <family val="2"/>
        <charset val="136"/>
      </rPr>
      <t xml:space="preserve">) </t>
    </r>
  </si>
  <si>
    <r>
      <t xml:space="preserve">*最後以其計分方式，即 Best 5 作挑選，得出︰6 + 6 + 5 + 4 + 4 = </t>
    </r>
    <r>
      <rPr>
        <b/>
        <sz val="10"/>
        <rFont val="微軟正黑體"/>
        <family val="2"/>
        <charset val="136"/>
      </rPr>
      <t>25</t>
    </r>
  </si>
  <si>
    <t>https://admissions.hkbu.edu.hk/en/hkdse.html</t>
    <phoneticPr fontId="3" type="noConversion"/>
  </si>
  <si>
    <t>https://admissions.hkbu.edu.hk/en/programmes-offer.html</t>
  </si>
  <si>
    <t>JS1807</t>
  </si>
  <si>
    <t>*理大自2020/21年度起推出「加分制」，考獲5級或以上學科將獲額外加分。( Lv.5 -&gt; 5.5 | Lv.5* -&gt; 7 | Lv. 5** -&gt;8.5)</t>
    <phoneticPr fontId="3" type="noConversion"/>
  </si>
  <si>
    <t>*為了公平比較往年數據，新學年修改了比重的學科在此處將繼續以往年比重估算，請注意。</t>
  </si>
  <si>
    <t>https://www51.polyu.edu.hk/eprospectus/ug/jupas/programme-requirements</t>
    <phoneticPr fontId="3" type="noConversion"/>
  </si>
  <si>
    <t>https://www51.polyu.edu.hk/eprospectus/ug/jupas/admission-selection</t>
    <phoneticPr fontId="3" type="noConversion"/>
  </si>
  <si>
    <t>https://www51.polyu.edu.hk/eprospectus/ug/jupas/interview-arrangement</t>
    <phoneticPr fontId="3" type="noConversion"/>
  </si>
  <si>
    <t>https://www.polyu.edu.hk/aradm/jupas/admission_figures.pdf</t>
    <phoneticPr fontId="3" type="noConversion"/>
  </si>
  <si>
    <t>*中大自2019/20年度起推出「加分制」，考獲5級或以上學科將獲額外加分。( Lv.5 -&gt; 5.5 | Lv.5* -&gt; 7 | Lv. 5** -&gt;8.5) (JS4501及JS4502 除外)</t>
    <phoneticPr fontId="3" type="noConversion"/>
  </si>
  <si>
    <t>IRE</t>
  </si>
  <si>
    <t>SSCI-A</t>
  </si>
  <si>
    <t>SSCI-B</t>
  </si>
  <si>
    <t>SSCI-A (AI)</t>
  </si>
  <si>
    <t>ENGG</t>
  </si>
  <si>
    <t>ISDN</t>
  </si>
  <si>
    <t>ENGG+AI</t>
  </si>
  <si>
    <t>B&amp;M</t>
  </si>
  <si>
    <t>ECON</t>
  </si>
  <si>
    <t>FINA</t>
  </si>
  <si>
    <t>GBUS</t>
  </si>
  <si>
    <t>IS</t>
  </si>
  <si>
    <t>MGMT</t>
  </si>
  <si>
    <t>MARK</t>
  </si>
  <si>
    <t>OM</t>
  </si>
  <si>
    <t>ACCT</t>
  </si>
  <si>
    <t>ECOF</t>
  </si>
  <si>
    <t>QFIN</t>
  </si>
  <si>
    <t>GCS</t>
  </si>
  <si>
    <t>QSA</t>
  </si>
  <si>
    <t>BIBU</t>
  </si>
  <si>
    <t>EVMT</t>
  </si>
  <si>
    <t>MAEC</t>
  </si>
  <si>
    <t>RMBI</t>
  </si>
  <si>
    <t>T&amp;M-DDP</t>
  </si>
  <si>
    <t>*科大自2022/23年度起推出「加分制」，考獲5級或以上學科將獲額外加分。( Lv.5 -&gt; 5.5 | Lv.5* -&gt; 7 | Lv. 5** -&gt;8.5)</t>
    <phoneticPr fontId="3" type="noConversion"/>
  </si>
  <si>
    <t>由於科大每年均會直接公佈加權後分數 (即已計算比重)，故此處直接引用科大數字，未有作任何估算。</t>
    <phoneticPr fontId="3" type="noConversion"/>
  </si>
  <si>
    <r>
      <t>*港大公佈的分數為</t>
    </r>
    <r>
      <rPr>
        <b/>
        <sz val="12"/>
        <color theme="1"/>
        <rFont val="微軟正黑體"/>
        <family val="2"/>
        <charset val="136"/>
      </rPr>
      <t>已計加分制及比重的分數</t>
    </r>
    <r>
      <rPr>
        <sz val="10"/>
        <color theme="1"/>
        <rFont val="微軟正黑體"/>
        <family val="2"/>
        <charset val="136"/>
      </rPr>
      <t>，只供參考。</t>
    </r>
    <phoneticPr fontId="3" type="noConversion"/>
  </si>
  <si>
    <t>*港大自2019/20年度起推出「加分制」，考獲5級或以上學科將獲額外加分。( Lv.5 -&gt; 5.5 | Lv.5* -&gt; 7 | Lv. 5** -&gt;8.5)</t>
    <phoneticPr fontId="3" type="noConversion"/>
  </si>
  <si>
    <t>一鍵前住</t>
    <phoneticPr fontId="3" type="noConversion"/>
  </si>
  <si>
    <t>由於港大今年直接公佈加權後分數 (即已計算比重)，故此處直接引用港大數字，未有作任何估算。</t>
    <phoneticPr fontId="3" type="noConversion"/>
  </si>
  <si>
    <t>https://admissions.hku.hk/apply/jupas</t>
  </si>
  <si>
    <r>
      <t>*入學資格：</t>
    </r>
    <r>
      <rPr>
        <b/>
        <sz val="10"/>
        <color theme="9" tint="-0.249977111117893"/>
        <rFont val="微軟正黑體"/>
        <family val="2"/>
        <charset val="136"/>
      </rPr>
      <t>綠色</t>
    </r>
    <r>
      <rPr>
        <sz val="10"/>
        <color theme="1"/>
        <rFont val="微軟正黑體"/>
        <family val="2"/>
        <charset val="136"/>
      </rPr>
      <t>＝合符資格，</t>
    </r>
    <r>
      <rPr>
        <b/>
        <sz val="10"/>
        <color rgb="FFC00000"/>
        <rFont val="微軟正黑體"/>
        <family val="2"/>
        <charset val="136"/>
      </rPr>
      <t>紅色</t>
    </r>
    <r>
      <rPr>
        <sz val="10"/>
        <color theme="1"/>
        <rFont val="微軟正黑體"/>
        <family val="2"/>
        <charset val="136"/>
      </rPr>
      <t>＝不符資格，</t>
    </r>
    <r>
      <rPr>
        <b/>
        <sz val="10"/>
        <color theme="7" tint="-0.249977111117893"/>
        <rFont val="微軟正黑體"/>
        <family val="2"/>
        <charset val="136"/>
      </rPr>
      <t>黃色</t>
    </r>
    <r>
      <rPr>
        <sz val="10"/>
        <color theme="1"/>
        <rFont val="微軟正黑體"/>
        <family val="2"/>
        <charset val="136"/>
      </rPr>
      <t>＝不確定（通常有關其他入學要求，例如作品集，或是個別科目分數）</t>
    </r>
  </si>
  <si>
    <t>由於嶺大每年均會直接公佈加權後分數 (即已計算比重)，已往此處一慣直接引用嶺大數字，不作任何估算。</t>
  </si>
  <si>
    <t>Mean</t>
    <phoneticPr fontId="3" type="noConversion"/>
  </si>
  <si>
    <t>差距(Mean)</t>
    <phoneticPr fontId="3" type="noConversion"/>
  </si>
  <si>
    <t>估算方式:</t>
  </si>
  <si>
    <t>https://www.apply.eduhk.hk/ug/jupas_scores</t>
  </si>
  <si>
    <r>
      <t>*都大公佈的分數為</t>
    </r>
    <r>
      <rPr>
        <b/>
        <sz val="12"/>
        <color theme="1"/>
        <rFont val="微軟正黑體"/>
        <family val="2"/>
        <charset val="136"/>
      </rPr>
      <t>已計比重的分數</t>
    </r>
    <r>
      <rPr>
        <sz val="10"/>
        <color theme="1"/>
        <rFont val="微軟正黑體"/>
        <family val="2"/>
        <charset val="136"/>
      </rPr>
      <t>，只供參考。</t>
    </r>
    <phoneticPr fontId="3" type="noConversion"/>
  </si>
  <si>
    <t>由於都大每年均會直接公佈加權後分數 (即已計算比重)，故此處直接引用都大數字，未有作任何估算。</t>
  </si>
  <si>
    <t>https://admissions.hkmu.edu.hk/ug/jupas/</t>
  </si>
  <si>
    <t>SSSDP 各院校公佈的參考分數各有不同，以下將詳細列出各院校的方式。</t>
    <phoneticPr fontId="3" type="noConversion"/>
  </si>
  <si>
    <t>明愛:</t>
    <phoneticPr fontId="3" type="noConversion"/>
  </si>
  <si>
    <t>公佈的為未有計算比重的平均分數，但無提及科目比重，故未有作出估算。</t>
    <phoneticPr fontId="3" type="noConversion"/>
  </si>
  <si>
    <t>珠海:</t>
    <phoneticPr fontId="3" type="noConversion"/>
  </si>
  <si>
    <t>公佈的為未有計算比重的 上四分位數 及 下四分位數 ，但無提及科目比重，故未有作出估算。</t>
    <phoneticPr fontId="3" type="noConversion"/>
  </si>
  <si>
    <t>恆大:</t>
    <phoneticPr fontId="3" type="noConversion"/>
  </si>
  <si>
    <t>公佈的未有計算比重的平均分數，故此處無法為比重作任何估算，只能列出其科目供同學參考。</t>
    <phoneticPr fontId="3" type="noConversion"/>
  </si>
  <si>
    <t>東華:</t>
    <phoneticPr fontId="3" type="noConversion"/>
  </si>
  <si>
    <t>都大:</t>
    <phoneticPr fontId="3" type="noConversion"/>
  </si>
  <si>
    <t>公佈的為加權後分數 (即已計算比重)，故此處直接引用都大數字，未有作任何估算。</t>
    <phoneticPr fontId="3" type="noConversion"/>
  </si>
  <si>
    <t>THEi:</t>
    <phoneticPr fontId="3" type="noConversion"/>
  </si>
  <si>
    <t>伍倫貢:</t>
    <phoneticPr fontId="3" type="noConversion"/>
  </si>
  <si>
    <t>樹仁:</t>
    <phoneticPr fontId="3" type="noConversion"/>
  </si>
  <si>
    <t>課程:</t>
    <phoneticPr fontId="3" type="noConversion"/>
  </si>
  <si>
    <t>https://www.jupas.edu.hk/en/programme/sssdp/</t>
    <phoneticPr fontId="3" type="noConversion"/>
  </si>
  <si>
    <t>分數:</t>
    <phoneticPr fontId="3" type="noConversion"/>
  </si>
  <si>
    <t>https://www.cihe.edu.hk/en/programmes/index.html</t>
    <phoneticPr fontId="3" type="noConversion"/>
  </si>
  <si>
    <t>https://registry.hsu.edu.hk/prospective-students/undergraduate/programmes-offered/</t>
    <phoneticPr fontId="3" type="noConversion"/>
  </si>
  <si>
    <t>https://www.twc.edu.hk/en/Programme_cat</t>
    <phoneticPr fontId="3" type="noConversion"/>
  </si>
  <si>
    <t>https://admissions.hkmu.edu.hk/ug/jupas/</t>
    <phoneticPr fontId="3" type="noConversion"/>
  </si>
  <si>
    <t>https://www.uowchk.edu.hk/study-at-uowchk/find-programmes/programmes-by-entry-level/bachelor-degrees/</t>
    <phoneticPr fontId="3" type="noConversion"/>
  </si>
  <si>
    <t>https://ef.hksyu.edu/Programmes/BCom-in-FinTech</t>
    <phoneticPr fontId="3" type="noConversion"/>
  </si>
  <si>
    <t>RawScore</t>
    <phoneticPr fontId="3" type="noConversion"/>
  </si>
  <si>
    <t>總分</t>
  </si>
  <si>
    <t>數學延伸</t>
    <phoneticPr fontId="3" type="noConversion"/>
  </si>
  <si>
    <t>最高分選修科</t>
    <phoneticPr fontId="3" type="noConversion"/>
  </si>
  <si>
    <t>等級</t>
  </si>
  <si>
    <t>CityU</t>
    <phoneticPr fontId="3" type="noConversion"/>
  </si>
  <si>
    <t>HKBU</t>
  </si>
  <si>
    <t>數字模式</t>
    <phoneticPr fontId="3" type="noConversion"/>
  </si>
  <si>
    <t>成績(以星星表示)</t>
    <phoneticPr fontId="3" type="noConversion"/>
  </si>
  <si>
    <t>PolyU</t>
    <phoneticPr fontId="3" type="noConversion"/>
  </si>
  <si>
    <t>原始輸入</t>
    <phoneticPr fontId="3" type="noConversion"/>
  </si>
  <si>
    <t>CUHK</t>
    <phoneticPr fontId="3" type="noConversion"/>
  </si>
  <si>
    <t>防錯</t>
    <phoneticPr fontId="3" type="noConversion"/>
  </si>
  <si>
    <t>HKUST</t>
    <phoneticPr fontId="3" type="noConversion"/>
  </si>
  <si>
    <t>轉換後成績</t>
    <phoneticPr fontId="3" type="noConversion"/>
  </si>
  <si>
    <t>HKU</t>
    <phoneticPr fontId="3" type="noConversion"/>
  </si>
  <si>
    <t>LingU</t>
  </si>
  <si>
    <t>EdUHK</t>
  </si>
  <si>
    <t>Thei</t>
    <phoneticPr fontId="3" type="noConversion"/>
  </si>
  <si>
    <t>珠海</t>
    <phoneticPr fontId="3" type="noConversion"/>
  </si>
  <si>
    <t>&lt;- SSSDP 語言科目轉換</t>
    <phoneticPr fontId="3" type="noConversion"/>
  </si>
  <si>
    <t>HKMU</t>
  </si>
  <si>
    <t>無加分制</t>
    <phoneticPr fontId="3" type="noConversion"/>
  </si>
  <si>
    <t>RawScore for Display</t>
    <phoneticPr fontId="3" type="noConversion"/>
  </si>
  <si>
    <t>有Retake過?</t>
    <phoneticPr fontId="3" type="noConversion"/>
  </si>
  <si>
    <t>Retake:</t>
    <phoneticPr fontId="3" type="noConversion"/>
  </si>
  <si>
    <t>IF($D27="v",IF($C27="4C2X",IF(AH27&gt;LARGE($AH27:$AM27,3),TRUE),IF($C27="4C1X",IF(AH27&gt;LARGE($AH27:$AM27,2),TRUE),IF($C27="Best 5",IF(AH27&gt;LARGE($AD27:$AM27,6),TRUE),IF($C27="Best 6",IF(AH27&gt;LARGE($AD27:$AM27,7),TRUE))))),FALSE)</t>
    <phoneticPr fontId="3" type="noConversion"/>
  </si>
  <si>
    <t>IF($E27="E",IF($C27="4C2X",IF(AM27&gt;LARGE($AH27:$AM27,3),TRUE),IF($C27="4C1X",IF(AM27&gt;LARGE($AH27:$AM27,2),TRUE),IF($C27="Best 5",IF(AM27&gt;LARGE($AD27:$AM27,6),TRUE),IF($C27="Best 6",IF(AM27&gt;LARGE($AD27:$AM27,7),TRUE))))),FALSE)</t>
    <phoneticPr fontId="3" type="noConversion"/>
  </si>
  <si>
    <t>For All in One</t>
    <phoneticPr fontId="3" type="noConversion"/>
  </si>
  <si>
    <t>總分</t>
    <phoneticPr fontId="3" type="noConversion"/>
  </si>
  <si>
    <t>中文比重</t>
  </si>
  <si>
    <t>英文比重</t>
  </si>
  <si>
    <t>數學比重</t>
  </si>
  <si>
    <t>通識比重</t>
  </si>
  <si>
    <t xml:space="preserve"> M1/2比重</t>
  </si>
  <si>
    <t xml:space="preserve"> X1比重</t>
  </si>
  <si>
    <t xml:space="preserve"> X2比重</t>
  </si>
  <si>
    <t xml:space="preserve"> X3比重</t>
  </si>
  <si>
    <t xml:space="preserve"> X4比重</t>
  </si>
  <si>
    <t>語言比重</t>
    <phoneticPr fontId="3" type="noConversion"/>
  </si>
  <si>
    <t>中文最後揀咗？</t>
  </si>
  <si>
    <t>英文最後揀咗？</t>
  </si>
  <si>
    <t>數學最後揀咗？</t>
  </si>
  <si>
    <t xml:space="preserve"> M1/2最後揀咗？</t>
  </si>
  <si>
    <t xml:space="preserve"> X1最後揀咗？</t>
  </si>
  <si>
    <t xml:space="preserve"> X2最後揀咗？</t>
  </si>
  <si>
    <t xml:space="preserve"> X3最後揀咗？</t>
  </si>
  <si>
    <t xml:space="preserve"> X4最後揀咗？</t>
  </si>
  <si>
    <t xml:space="preserve"> 語言最後揀咗？</t>
    <phoneticPr fontId="3" type="noConversion"/>
  </si>
  <si>
    <t>Update Check</t>
  </si>
  <si>
    <t>This column is for updating the number of subjects for the new year.</t>
  </si>
  <si>
    <t>M1/2?</t>
    <phoneticPr fontId="3" type="noConversion"/>
  </si>
  <si>
    <t>Cat C</t>
    <phoneticPr fontId="3" type="noConversion"/>
  </si>
  <si>
    <t>ApL</t>
    <phoneticPr fontId="3" type="noConversion"/>
  </si>
  <si>
    <t>特別比重計算</t>
    <phoneticPr fontId="3" type="noConversion"/>
  </si>
  <si>
    <t>School of Energy and Environment</t>
    <phoneticPr fontId="3" type="noConversion"/>
  </si>
  <si>
    <t>JS1051</t>
    <phoneticPr fontId="3" type="noConversion"/>
  </si>
  <si>
    <t>第一選修係?</t>
    <phoneticPr fontId="3" type="noConversion"/>
  </si>
  <si>
    <t>x2.5</t>
    <phoneticPr fontId="3" type="noConversion"/>
  </si>
  <si>
    <t>第二選修係?</t>
    <phoneticPr fontId="3" type="noConversion"/>
  </si>
  <si>
    <t>x1.5</t>
    <phoneticPr fontId="3" type="noConversion"/>
  </si>
  <si>
    <t>College of Engineering</t>
    <phoneticPr fontId="3" type="noConversion"/>
  </si>
  <si>
    <t>最佳理科</t>
    <phoneticPr fontId="3" type="noConversion"/>
  </si>
  <si>
    <t>JS1204</t>
    <phoneticPr fontId="3" type="noConversion"/>
  </si>
  <si>
    <t>JS1210</t>
    <phoneticPr fontId="3" type="noConversion"/>
  </si>
  <si>
    <t>數學定M1/2高分啲？</t>
    <phoneticPr fontId="3" type="noConversion"/>
  </si>
  <si>
    <t>若同學同時修讀數學及M1/2，最佳五科只會包含其中一科。</t>
    <phoneticPr fontId="3" type="noConversion"/>
  </si>
  <si>
    <t>JS1211</t>
    <phoneticPr fontId="3" type="noConversion"/>
  </si>
  <si>
    <t>Jockey Club College of Veterinary Medicine and Life Sciences</t>
    <phoneticPr fontId="3" type="noConversion"/>
  </si>
  <si>
    <t>有冇 生物、化學 其中兩科？</t>
    <phoneticPr fontId="3" type="noConversion"/>
  </si>
  <si>
    <t>JS1801</t>
    <phoneticPr fontId="3" type="noConversion"/>
  </si>
  <si>
    <t>HKBU</t>
    <phoneticPr fontId="3" type="noConversion"/>
  </si>
  <si>
    <t>語言比重</t>
  </si>
  <si>
    <t xml:space="preserve"> 語言最後揀咗？</t>
  </si>
  <si>
    <t>IFERROR(INDEX($AS112:$BT112,MATCH(J$1,$AS$111:$BT$111,0)),0)</t>
  </si>
  <si>
    <t>中國語文</t>
  </si>
  <si>
    <t>英國語文</t>
  </si>
  <si>
    <t>通識教育</t>
  </si>
  <si>
    <t>數學延伸</t>
  </si>
  <si>
    <t>物理</t>
  </si>
  <si>
    <t>化學</t>
  </si>
  <si>
    <t>生物</t>
  </si>
  <si>
    <t>經濟</t>
  </si>
  <si>
    <t>地理</t>
  </si>
  <si>
    <t>音樂</t>
  </si>
  <si>
    <t>體育</t>
  </si>
  <si>
    <t>歷史</t>
  </si>
  <si>
    <t>中國歷史</t>
  </si>
  <si>
    <t>視覺藝術</t>
  </si>
  <si>
    <t>綜合科學</t>
  </si>
  <si>
    <t>組合科學(物理、化學)</t>
    <phoneticPr fontId="3" type="noConversion"/>
  </si>
  <si>
    <t>組合科學(生物、化學)</t>
    <phoneticPr fontId="3" type="noConversion"/>
  </si>
  <si>
    <t>組合科學(物理、生物)</t>
    <phoneticPr fontId="3" type="noConversion"/>
  </si>
  <si>
    <t>中國文學</t>
  </si>
  <si>
    <t>英語文學</t>
  </si>
  <si>
    <t>旅遊與款待</t>
  </si>
  <si>
    <t>倫理與宗教</t>
  </si>
  <si>
    <t>科技與生活</t>
  </si>
  <si>
    <t>資訊及通訊科技</t>
    <phoneticPr fontId="3" type="noConversion"/>
  </si>
  <si>
    <t>設計與應用科技</t>
    <phoneticPr fontId="3" type="noConversion"/>
  </si>
  <si>
    <t>健康管理與社會關懷</t>
  </si>
  <si>
    <t>JS4238</t>
    <phoneticPr fontId="3" type="noConversion"/>
  </si>
  <si>
    <t>JS4460</t>
    <phoneticPr fontId="3" type="noConversion"/>
  </si>
  <si>
    <t>JS4252</t>
    <phoneticPr fontId="3" type="noConversion"/>
  </si>
  <si>
    <t>有冇 M1/2、化學、物理或經濟 其中一科？</t>
    <phoneticPr fontId="3" type="noConversion"/>
  </si>
  <si>
    <t>JS4276</t>
    <phoneticPr fontId="3" type="noConversion"/>
  </si>
  <si>
    <t>係邊一科？</t>
    <phoneticPr fontId="3" type="noConversion"/>
  </si>
  <si>
    <t>JS4824</t>
    <phoneticPr fontId="3" type="noConversion"/>
  </si>
  <si>
    <t>/</t>
  </si>
  <si>
    <t>JS4601</t>
    <phoneticPr fontId="3" type="noConversion"/>
  </si>
  <si>
    <t>中文定英文高分啲？</t>
    <phoneticPr fontId="3" type="noConversion"/>
  </si>
  <si>
    <t>第一最高</t>
  </si>
  <si>
    <t>第二最高</t>
  </si>
  <si>
    <t>第三最高</t>
  </si>
  <si>
    <t>JS4361</t>
  </si>
  <si>
    <t>JS5101</t>
    <phoneticPr fontId="3" type="noConversion"/>
  </si>
  <si>
    <t>第一理科</t>
    <phoneticPr fontId="3" type="noConversion"/>
  </si>
  <si>
    <t>第二理科</t>
    <phoneticPr fontId="3" type="noConversion"/>
  </si>
  <si>
    <t>M1/2 / 生物/ 化學 /物理 / 組合科學</t>
    <phoneticPr fontId="3" type="noConversion"/>
  </si>
  <si>
    <t>JS5102</t>
    <phoneticPr fontId="3" type="noConversion"/>
  </si>
  <si>
    <t>JS5181</t>
    <phoneticPr fontId="3" type="noConversion"/>
  </si>
  <si>
    <t>UST</t>
    <phoneticPr fontId="3" type="noConversion"/>
  </si>
  <si>
    <t>JS5282</t>
    <phoneticPr fontId="3" type="noConversion"/>
  </si>
  <si>
    <t>JS5901</t>
    <phoneticPr fontId="3" type="noConversion"/>
  </si>
  <si>
    <t>生物/ 化學 /物理 / 組合科學 / ICT</t>
    <phoneticPr fontId="3" type="noConversion"/>
  </si>
  <si>
    <t>For JS5901</t>
    <phoneticPr fontId="3" type="noConversion"/>
  </si>
  <si>
    <t>JS5211</t>
    <phoneticPr fontId="3" type="noConversion"/>
  </si>
  <si>
    <t>生物/ 化學 /物理 / 組合科學 / ICT / DAT</t>
    <phoneticPr fontId="3" type="noConversion"/>
  </si>
  <si>
    <t>JS5312</t>
    <phoneticPr fontId="3" type="noConversion"/>
  </si>
  <si>
    <t>最佳選修</t>
    <phoneticPr fontId="3" type="noConversion"/>
  </si>
  <si>
    <t>JS5331</t>
    <phoneticPr fontId="3" type="noConversion"/>
  </si>
  <si>
    <t>JS5332</t>
    <phoneticPr fontId="3" type="noConversion"/>
  </si>
  <si>
    <t>[化學、經濟、物理、M1/2]中最佳一科</t>
    <phoneticPr fontId="3" type="noConversion"/>
  </si>
  <si>
    <t>JS5822</t>
    <phoneticPr fontId="3" type="noConversion"/>
  </si>
  <si>
    <t>JS5811</t>
    <phoneticPr fontId="3" type="noConversion"/>
  </si>
  <si>
    <t>生物/ 化學</t>
    <phoneticPr fontId="3" type="noConversion"/>
  </si>
  <si>
    <t>JS5813</t>
    <phoneticPr fontId="3" type="noConversion"/>
  </si>
  <si>
    <t>JS6755</t>
  </si>
  <si>
    <t>JS6767</t>
  </si>
  <si>
    <t>JS6781</t>
  </si>
  <si>
    <t>JS6860</t>
  </si>
  <si>
    <t>JS6808</t>
  </si>
  <si>
    <t>JS6793</t>
  </si>
  <si>
    <t>JS6896</t>
  </si>
  <si>
    <t>JS6846</t>
  </si>
  <si>
    <t>JS6884</t>
  </si>
  <si>
    <t>Refer to JS6107</t>
    <phoneticPr fontId="3" type="noConversion"/>
  </si>
  <si>
    <t>JS6688</t>
    <phoneticPr fontId="3" type="noConversion"/>
  </si>
  <si>
    <t>生物、化學、物理、組合科學</t>
    <phoneticPr fontId="3" type="noConversion"/>
  </si>
  <si>
    <t>Refer to JS6781 &amp; JS6107</t>
    <phoneticPr fontId="3" type="noConversion"/>
  </si>
  <si>
    <t>JS6901</t>
    <phoneticPr fontId="3" type="noConversion"/>
  </si>
  <si>
    <t>JS6418</t>
  </si>
  <si>
    <t>JS6468</t>
  </si>
  <si>
    <t>JS6482</t>
  </si>
  <si>
    <t>LingU</t>
    <phoneticPr fontId="3" type="noConversion"/>
  </si>
  <si>
    <t>JS7101</t>
  </si>
  <si>
    <t>中國歷史&amp;中國文學 邊個高分啲？</t>
  </si>
  <si>
    <t>中國歷史、中國文學</t>
  </si>
  <si>
    <t>EdU</t>
  </si>
  <si>
    <t>SSSDP</t>
    <phoneticPr fontId="3" type="noConversion"/>
  </si>
  <si>
    <t>M</t>
    <phoneticPr fontId="3" type="noConversion"/>
  </si>
  <si>
    <t>E3</t>
  </si>
  <si>
    <t>E4</t>
  </si>
  <si>
    <t>Lang(Processed)</t>
    <phoneticPr fontId="3" type="noConversion"/>
  </si>
  <si>
    <t>Lang(Original)</t>
    <phoneticPr fontId="3" type="noConversion"/>
  </si>
  <si>
    <t>是否接受以下科目為選修科入學要求？</t>
  </si>
  <si>
    <t>入學要求1</t>
    <phoneticPr fontId="3" type="noConversion"/>
  </si>
  <si>
    <t>要求2</t>
    <phoneticPr fontId="3" type="noConversion"/>
  </si>
  <si>
    <t>DSE分數</t>
  </si>
  <si>
    <t>分數是否符合入學要求？</t>
  </si>
  <si>
    <t>For All in ONE</t>
    <phoneticPr fontId="3" type="noConversion"/>
  </si>
  <si>
    <t>1＝是、0＝否、2＝不確定</t>
  </si>
  <si>
    <t>This column is for updating the correct number of rows for the new year.</t>
  </si>
  <si>
    <t>.</t>
    <phoneticPr fontId="3" type="noConversion"/>
  </si>
  <si>
    <t>入學要求</t>
    <phoneticPr fontId="3" type="noConversion"/>
  </si>
  <si>
    <t>v</t>
    <phoneticPr fontId="3" type="noConversion"/>
  </si>
  <si>
    <t>E</t>
    <phoneticPr fontId="3" type="noConversion"/>
  </si>
  <si>
    <t>NO</t>
    <phoneticPr fontId="3" type="noConversion"/>
  </si>
  <si>
    <t>/</t>
    <phoneticPr fontId="3" type="noConversion"/>
  </si>
  <si>
    <t>JS1201</t>
    <phoneticPr fontId="3" type="noConversion"/>
  </si>
  <si>
    <t>JS1205</t>
    <phoneticPr fontId="3" type="noConversion"/>
  </si>
  <si>
    <t>JS1207</t>
    <phoneticPr fontId="3" type="noConversion"/>
  </si>
  <si>
    <t>JS1217</t>
    <phoneticPr fontId="3" type="noConversion"/>
  </si>
  <si>
    <t>JS1221</t>
    <phoneticPr fontId="3" type="noConversion"/>
  </si>
  <si>
    <t>College of Science</t>
    <phoneticPr fontId="3" type="noConversion"/>
  </si>
  <si>
    <t>有冇 生物、化學、經濟、M1/2、物理 其中兩科？</t>
    <phoneticPr fontId="3" type="noConversion"/>
  </si>
  <si>
    <t>JS1200</t>
    <phoneticPr fontId="3" type="noConversion"/>
  </si>
  <si>
    <t>數學有Lv.3?</t>
    <phoneticPr fontId="3" type="noConversion"/>
  </si>
  <si>
    <t>JS1202</t>
    <phoneticPr fontId="3" type="noConversion"/>
  </si>
  <si>
    <t>JS1208</t>
    <phoneticPr fontId="3" type="noConversion"/>
  </si>
  <si>
    <t>有冇 BAFS、化學、M1/2、物理 其中一科？</t>
    <phoneticPr fontId="3" type="noConversion"/>
  </si>
  <si>
    <t>JS1220</t>
    <phoneticPr fontId="3" type="noConversion"/>
  </si>
  <si>
    <t xml:space="preserve">以下兩科選修取得Lv.3︰生物、化學、經濟、M1/2、物理 </t>
    <phoneticPr fontId="3" type="noConversion"/>
  </si>
  <si>
    <t>以下一科選修取得Lv.3︰化學、組合科學(化學)</t>
    <phoneticPr fontId="3" type="noConversion"/>
  </si>
  <si>
    <t>JS1805</t>
    <phoneticPr fontId="3" type="noConversion"/>
  </si>
  <si>
    <t>以下兩科選修取得Lv.3︰生物、化學</t>
    <phoneticPr fontId="3" type="noConversion"/>
  </si>
  <si>
    <t>以下一科選修取得Lv.3︰生物、化學、組合科學</t>
    <phoneticPr fontId="3" type="noConversion"/>
  </si>
  <si>
    <t>有冇 化學、生物 其中一科?</t>
    <phoneticPr fontId="3" type="noConversion"/>
  </si>
  <si>
    <t>JS2410</t>
    <phoneticPr fontId="3" type="noConversion"/>
  </si>
  <si>
    <t>有冇 化學?</t>
    <phoneticPr fontId="3" type="noConversion"/>
  </si>
  <si>
    <t>JS2420</t>
    <phoneticPr fontId="3" type="noConversion"/>
  </si>
  <si>
    <t>以下一科選修取得Lv.3︰生物、化學</t>
    <phoneticPr fontId="3" type="noConversion"/>
  </si>
  <si>
    <t>以下一科選修取得Lv.3︰化學</t>
    <phoneticPr fontId="3" type="noConversion"/>
  </si>
  <si>
    <t>v</t>
  </si>
  <si>
    <t>E</t>
  </si>
  <si>
    <t>NO</t>
  </si>
  <si>
    <t>ApL-Bonus</t>
    <phoneticPr fontId="3" type="noConversion"/>
  </si>
  <si>
    <t>符唔符合資格</t>
    <phoneticPr fontId="3" type="noConversion"/>
  </si>
  <si>
    <t>數學有冇Lv5?</t>
    <phoneticPr fontId="3" type="noConversion"/>
  </si>
  <si>
    <t>M1/2有冇Lv.5?</t>
    <phoneticPr fontId="3" type="noConversion"/>
  </si>
  <si>
    <t>JS4386</t>
  </si>
  <si>
    <t>有冇 理科?</t>
    <phoneticPr fontId="3" type="noConversion"/>
  </si>
  <si>
    <t>JS4412</t>
  </si>
  <si>
    <t>JS4446</t>
  </si>
  <si>
    <t>JS4460</t>
  </si>
  <si>
    <t>申請人應於某種樂器/聲樂考獲8級或以上。</t>
    <phoneticPr fontId="3" type="noConversion"/>
  </si>
  <si>
    <t>JS4408</t>
    <phoneticPr fontId="3" type="noConversion"/>
  </si>
  <si>
    <t>JS4462</t>
    <phoneticPr fontId="3" type="noConversion"/>
  </si>
  <si>
    <t>JS4434</t>
    <phoneticPr fontId="3" type="noConversion"/>
  </si>
  <si>
    <t xml:space="preserve">若同學於 數學科 只考獲Lv.4或以下，M1/2需考獲Lv.5 </t>
    <phoneticPr fontId="3" type="noConversion"/>
  </si>
  <si>
    <t>JS4468</t>
    <phoneticPr fontId="3" type="noConversion"/>
  </si>
  <si>
    <t>JS4501</t>
    <phoneticPr fontId="3" type="noConversion"/>
  </si>
  <si>
    <t>有冇 生物、化學 其中一科?</t>
    <phoneticPr fontId="3" type="noConversion"/>
  </si>
  <si>
    <t>JS4502</t>
  </si>
  <si>
    <t>JS4550</t>
    <phoneticPr fontId="3" type="noConversion"/>
  </si>
  <si>
    <t>M1/2 需取得Lv.3或以上</t>
    <phoneticPr fontId="3" type="noConversion"/>
  </si>
  <si>
    <t>以下一科選修取得Lv.3︰M1/2、生物、化學、組合科學、物理</t>
    <phoneticPr fontId="3" type="noConversion"/>
  </si>
  <si>
    <t>JS4648</t>
    <phoneticPr fontId="3" type="noConversion"/>
  </si>
  <si>
    <t>JS4682</t>
    <phoneticPr fontId="3" type="noConversion"/>
  </si>
  <si>
    <t>有冇 物理?</t>
    <phoneticPr fontId="3" type="noConversion"/>
  </si>
  <si>
    <t>JS4690</t>
    <phoneticPr fontId="3" type="noConversion"/>
  </si>
  <si>
    <t>數學科考獲 Lv.4 及 其他科目考獲優異成績的考生</t>
    <phoneticPr fontId="3" type="noConversion"/>
  </si>
  <si>
    <t>優先考慮 同時修讀 生物 及 化學 者</t>
  </si>
  <si>
    <t>以下一科選修取得Lv.3︰生物、化學 (優先考慮 同時修讀 者)</t>
  </si>
  <si>
    <t>JS4502</t>
    <phoneticPr fontId="3" type="noConversion"/>
  </si>
  <si>
    <t>5**</t>
    <phoneticPr fontId="3" type="noConversion"/>
  </si>
  <si>
    <t>4科5**?</t>
    <phoneticPr fontId="3" type="noConversion"/>
  </si>
  <si>
    <t>結果？</t>
    <phoneticPr fontId="3" type="noConversion"/>
  </si>
  <si>
    <t>物理 需考獲Lv.4或以上</t>
    <phoneticPr fontId="3" type="noConversion"/>
  </si>
  <si>
    <t>以下一科選修取得Lv.3︰M1/2、生物、化學、組合科學、經濟、地理、ICT、綜合科學、科技與生活</t>
    <phoneticPr fontId="3" type="noConversion"/>
  </si>
  <si>
    <t>M1/2 需取得Lv.5或以上</t>
    <phoneticPr fontId="3" type="noConversion"/>
  </si>
  <si>
    <t>UST</t>
  </si>
  <si>
    <t>申請人必須出席面試</t>
    <phoneticPr fontId="3" type="noConversion"/>
  </si>
  <si>
    <t>JS5101</t>
  </si>
  <si>
    <t>JS5102</t>
  </si>
  <si>
    <t>JS5103</t>
  </si>
  <si>
    <t>以下一科選修取得Lv.3︰生物、化學、組合科學、物理、ICT</t>
    <phoneticPr fontId="3" type="noConversion"/>
  </si>
  <si>
    <t>JS5181</t>
  </si>
  <si>
    <t>以下一科選修取得Lv.3︰生物、化學、組合科學、物理、ICT、DAT</t>
    <phoneticPr fontId="3" type="noConversion"/>
  </si>
  <si>
    <t>申請人必須以指定連結遞交 設計相關履歷。</t>
    <phoneticPr fontId="3" type="noConversion"/>
  </si>
  <si>
    <t>有冇 理科？</t>
    <phoneticPr fontId="3" type="noConversion"/>
  </si>
  <si>
    <t>英文科應考獲Lv.5 或以上</t>
    <phoneticPr fontId="3" type="noConversion"/>
  </si>
  <si>
    <t>有冇 生物、化學？</t>
    <phoneticPr fontId="3" type="noConversion"/>
  </si>
  <si>
    <t>生物、化學</t>
    <phoneticPr fontId="3" type="noConversion"/>
  </si>
  <si>
    <t>數學科應考獲Lv.4 或以上</t>
    <phoneticPr fontId="3" type="noConversion"/>
  </si>
  <si>
    <t>以下一科選修取得Lv.3︰M1/2、生物、化學、組合科學、物理、經濟</t>
    <phoneticPr fontId="3" type="noConversion"/>
  </si>
  <si>
    <t>申請人須參與 能力傾向測試(Aptitude Test)</t>
    <phoneticPr fontId="3" type="noConversion"/>
  </si>
  <si>
    <t>詳情可細閱課程網站，受邀申請人亦會於電郵收到相應指示。</t>
    <phoneticPr fontId="3" type="noConversion"/>
  </si>
  <si>
    <t>JS6004</t>
  </si>
  <si>
    <t>建築學文學士</t>
  </si>
  <si>
    <t>JS6016</t>
  </si>
  <si>
    <t>理學士(測量學)</t>
  </si>
  <si>
    <t>申請人須參與 能力傾向測試(Aptitude Test) 及 遞交 一份 創意作品 作品集。</t>
  </si>
  <si>
    <t>JS6028</t>
  </si>
  <si>
    <t>園境學文學士</t>
  </si>
  <si>
    <t>生物、化學、組合科學、物理、ICT、綜合科學</t>
    <phoneticPr fontId="3" type="noConversion"/>
  </si>
  <si>
    <t>JS6042</t>
  </si>
  <si>
    <t>文學士(城市研究)</t>
  </si>
  <si>
    <t>JS6054</t>
  </si>
  <si>
    <t>文學士</t>
  </si>
  <si>
    <t>JS6286</t>
  </si>
  <si>
    <t>文學士(人文及數碼科技)</t>
  </si>
  <si>
    <t>經濟學學士 / 經濟金融學學士</t>
  </si>
  <si>
    <t>生物、化學、組合科學、物理、綜合科學</t>
    <phoneticPr fontId="3" type="noConversion"/>
  </si>
  <si>
    <t>工商管理學學士 / 工商管理學學士(會計及財務)</t>
  </si>
  <si>
    <t>JS6482</t>
    <phoneticPr fontId="3" type="noConversion"/>
  </si>
  <si>
    <t>JS6858</t>
  </si>
  <si>
    <t>金融學學士(資產管理及私人銀行)</t>
  </si>
  <si>
    <t>以下一科選修取得Lv.3︰生物、化學、組合科學、物理、ICT、綜合科學</t>
    <phoneticPr fontId="3" type="noConversion"/>
  </si>
  <si>
    <t>優先考慮 M1/2 考獲Lv. 3 或以上 者</t>
  </si>
  <si>
    <t>工商管理學學士(資訊系統)</t>
  </si>
  <si>
    <t>JS6925</t>
  </si>
  <si>
    <t>工商管理學學士(法學)及法學士 (雙學位課程)</t>
  </si>
  <si>
    <t>以下一科選修取得Lv.3︰生物、化學、組合科學、物理、ICT、綜合科學、經濟、BAFS</t>
  </si>
  <si>
    <t>理學士(營銷分析及科技)</t>
  </si>
  <si>
    <t>M1/2 需考獲Lv. 3 或以上</t>
    <phoneticPr fontId="3" type="noConversion"/>
  </si>
  <si>
    <t>理學士及法學士(雙學位課程)</t>
  </si>
  <si>
    <t>理學士(計量金融)</t>
  </si>
  <si>
    <t>以下一科選修取得Lv.3︰生物、化學、組合科學、物理、綜合科學</t>
    <phoneticPr fontId="3" type="noConversion"/>
  </si>
  <si>
    <t>工商管理學學士(國際商業及環球管理)</t>
  </si>
  <si>
    <t>JS6456</t>
  </si>
  <si>
    <t>JS6107</t>
  </si>
  <si>
    <t>牙醫學士</t>
  </si>
  <si>
    <t>JS6494</t>
    <phoneticPr fontId="3" type="noConversion"/>
  </si>
  <si>
    <t>化學、組合科學(化學)</t>
    <phoneticPr fontId="3" type="noConversion"/>
  </si>
  <si>
    <t>JS6066</t>
  </si>
  <si>
    <t>文學士及教育學士(語文教育) - 英文教育 (雙學位課程)</t>
  </si>
  <si>
    <t>JS6080</t>
  </si>
  <si>
    <t>文學士及教育學士(語文教育) - 中文教育 (雙學位課程)</t>
  </si>
  <si>
    <t>JS6092</t>
  </si>
  <si>
    <t>教育學士(幼兒教育及特殊教育)</t>
  </si>
  <si>
    <t>申請人必須掌握流利廣東話及英語。</t>
  </si>
  <si>
    <t>JS6949</t>
    <phoneticPr fontId="3" type="noConversion"/>
  </si>
  <si>
    <t>JS6119</t>
  </si>
  <si>
    <t>教育學士及理學士 (雙學位課程)</t>
  </si>
  <si>
    <t>生物、化學、組合科學</t>
    <phoneticPr fontId="3" type="noConversion"/>
  </si>
  <si>
    <t>JS6157</t>
  </si>
  <si>
    <t>理學士(言語及聽覺科學)</t>
  </si>
  <si>
    <t>工學學士(生物醫學工程)</t>
  </si>
  <si>
    <t>JS6937</t>
  </si>
  <si>
    <t>環球工程與商業課程</t>
  </si>
  <si>
    <t>JS6951</t>
  </si>
  <si>
    <t>工學學士(工程科學)</t>
  </si>
  <si>
    <t>JS6963</t>
  </si>
  <si>
    <t>工學學士</t>
  </si>
  <si>
    <t>JS6078</t>
  </si>
  <si>
    <t>文學士及法學士 (雙學位課程)</t>
  </si>
  <si>
    <t>如欲升讀至MBBS，申請人必須有修讀化學 或 組合科學(化學)。</t>
    <phoneticPr fontId="3" type="noConversion"/>
  </si>
  <si>
    <t>JS6406</t>
  </si>
  <si>
    <t>法學士</t>
  </si>
  <si>
    <t>JS6846</t>
    <phoneticPr fontId="3" type="noConversion"/>
  </si>
  <si>
    <t>護理學學士菁英領袖培育專修組別</t>
  </si>
  <si>
    <t>生物、化學、組合科學、物理、ICT、綜合科學、經濟、BAFS</t>
  </si>
  <si>
    <t>內外全科醫學士</t>
  </si>
  <si>
    <t>JS6494</t>
  </si>
  <si>
    <t>藥劑學學士</t>
  </si>
  <si>
    <t>護理學學士</t>
  </si>
  <si>
    <t>中醫全科學士</t>
  </si>
  <si>
    <t>JS6470</t>
  </si>
  <si>
    <t>理學士(生物訊息學)</t>
  </si>
  <si>
    <t>JS6949</t>
  </si>
  <si>
    <t>生物醫學學士</t>
  </si>
  <si>
    <t>M1/2 需考獲Lv. 4 或以上</t>
    <phoneticPr fontId="3" type="noConversion"/>
  </si>
  <si>
    <t>JS6688</t>
  </si>
  <si>
    <t>科研專才啟導課程</t>
  </si>
  <si>
    <t>JS6729</t>
  </si>
  <si>
    <t>理學士(精算學)</t>
  </si>
  <si>
    <t>JS6901</t>
  </si>
  <si>
    <t>理學士</t>
  </si>
  <si>
    <t>JS6717</t>
  </si>
  <si>
    <t>社會科學學士</t>
  </si>
  <si>
    <t>JS6731</t>
  </si>
  <si>
    <t>社會工作學學士</t>
  </si>
  <si>
    <t>JS6810</t>
  </si>
  <si>
    <t>社會科學學士(政治學與法學)及法學士 (雙學位課程)</t>
  </si>
  <si>
    <t>JS6822</t>
  </si>
  <si>
    <t>新聞學學士</t>
  </si>
  <si>
    <t>JS6212</t>
  </si>
  <si>
    <t>文理學士</t>
  </si>
  <si>
    <t>JS6224</t>
  </si>
  <si>
    <t>文理學士(應用人工智能)</t>
  </si>
  <si>
    <t>申請人須遞交 一份 創意作品 作品集。</t>
  </si>
  <si>
    <t>詳情可細閱課程網站。</t>
  </si>
  <si>
    <t>JS6236</t>
  </si>
  <si>
    <t>文理學士(設計＋)</t>
  </si>
  <si>
    <t>JS6248</t>
  </si>
  <si>
    <t>文理學士(金融科技)</t>
  </si>
  <si>
    <t>JS6250</t>
  </si>
  <si>
    <t>文理學士(環球衞生及發展)</t>
  </si>
  <si>
    <t>EdUHK</t>
    <phoneticPr fontId="3" type="noConversion"/>
  </si>
  <si>
    <t>JS8702</t>
    <phoneticPr fontId="3" type="noConversion"/>
  </si>
  <si>
    <t>此課程不能以其他資歷取代DSE中國語文科要求。</t>
    <phoneticPr fontId="3" type="noConversion"/>
  </si>
  <si>
    <t>JS8714</t>
    <phoneticPr fontId="3" type="noConversion"/>
  </si>
  <si>
    <t>SSSDP</t>
  </si>
  <si>
    <t>申請人在兩個選修科目中的表現將被視為收生過程中的加分項目</t>
  </si>
  <si>
    <t>優先考慮:  英文 考獲 Lv.4 或以上 者 及</t>
    <phoneticPr fontId="3" type="noConversion"/>
  </si>
  <si>
    <t>優先考慮 物理 或 生物 或 組合科學 (物理、生物) 考獲Lv.3或以上者</t>
    <phoneticPr fontId="3" type="noConversion"/>
  </si>
  <si>
    <t>JSST04</t>
    <phoneticPr fontId="3" type="noConversion"/>
  </si>
  <si>
    <t>JSSA03</t>
    <phoneticPr fontId="3" type="noConversion"/>
  </si>
  <si>
    <t>物理、生物、組合科學(物理、生物)</t>
    <phoneticPr fontId="3" type="noConversion"/>
  </si>
  <si>
    <t>JSST02</t>
    <phoneticPr fontId="3" type="noConversion"/>
  </si>
  <si>
    <t>優先考慮:  英文 考獲 Lv.4 或以上 者</t>
    <phoneticPr fontId="3" type="noConversion"/>
  </si>
  <si>
    <t>優先考慮:  化學 或 組合科學 (化學) 考獲Lv.4或以上者</t>
    <phoneticPr fontId="3" type="noConversion"/>
  </si>
  <si>
    <t>優先考慮:  英文 Lv.4 或以上，數學 和 通識 及 [物理 或 綜合科學 或 組合科學(物理) ]Lv.3或以上者</t>
    <phoneticPr fontId="3" type="noConversion"/>
  </si>
  <si>
    <t>優先考慮 生物 或 組合科學 (生物) 考獲Lv.3或以上者</t>
    <phoneticPr fontId="3" type="noConversion"/>
  </si>
  <si>
    <t>JSST03</t>
    <phoneticPr fontId="3" type="noConversion"/>
  </si>
  <si>
    <t>優先考慮: 物理、綜合科學、組合科學(物理)</t>
    <phoneticPr fontId="3" type="noConversion"/>
  </si>
  <si>
    <t>JSSV05</t>
    <phoneticPr fontId="3" type="noConversion"/>
  </si>
  <si>
    <t>JSSV10</t>
  </si>
  <si>
    <t>有冇 ICT？</t>
  </si>
  <si>
    <t>優先考慮  生物 或 化學 或 組合科學 (生物、化學) 考獲Lv.2或以上者</t>
  </si>
  <si>
    <t>JSSY01</t>
    <phoneticPr fontId="3" type="noConversion"/>
  </si>
  <si>
    <t>JSSU67</t>
  </si>
  <si>
    <t>生物、化學、組合科學(生物、化學)</t>
  </si>
  <si>
    <t>以下一科選修取得Lv.2︰生物、化學、組合科學、物理、綜合科學、M1/2</t>
    <phoneticPr fontId="3" type="noConversion"/>
  </si>
  <si>
    <t>優先考慮:  數學 及/或 資訊及通訊科技 考獲Lv.3或以上者</t>
  </si>
  <si>
    <t>MEAN</t>
  </si>
  <si>
    <t>取錄</t>
    <phoneticPr fontId="3" type="noConversion"/>
  </si>
  <si>
    <t>Band A Application</t>
    <phoneticPr fontId="3" type="noConversion"/>
  </si>
  <si>
    <t>Band A Offer</t>
    <phoneticPr fontId="3" type="noConversion"/>
  </si>
  <si>
    <t>其他考慮因素1</t>
    <phoneticPr fontId="3" type="noConversion"/>
  </si>
  <si>
    <t>其他考慮因素2</t>
  </si>
  <si>
    <t>其他考慮因素3</t>
  </si>
  <si>
    <t>額外資料1</t>
    <phoneticPr fontId="3" type="noConversion"/>
  </si>
  <si>
    <t>額外資料2</t>
  </si>
  <si>
    <t>額外資料3</t>
  </si>
  <si>
    <t>額外資料4</t>
  </si>
  <si>
    <t>額外資料5</t>
  </si>
  <si>
    <t>額外資料6</t>
  </si>
  <si>
    <t>估算1</t>
  </si>
  <si>
    <t>估算2</t>
  </si>
  <si>
    <t>重考扣分</t>
    <phoneticPr fontId="3" type="noConversion"/>
  </si>
  <si>
    <t>面試1</t>
    <phoneticPr fontId="3" type="noConversion"/>
  </si>
  <si>
    <t>面試2</t>
    <phoneticPr fontId="3" type="noConversion"/>
  </si>
  <si>
    <t>面試3</t>
  </si>
  <si>
    <t>LQ中文比重</t>
    <phoneticPr fontId="3" type="noConversion"/>
  </si>
  <si>
    <t>LQ英文比重</t>
    <phoneticPr fontId="3" type="noConversion"/>
  </si>
  <si>
    <t>LQ數學比重</t>
    <phoneticPr fontId="3" type="noConversion"/>
  </si>
  <si>
    <t>LQ M1/2比重</t>
    <phoneticPr fontId="3" type="noConversion"/>
  </si>
  <si>
    <t>LQ X1比重</t>
    <phoneticPr fontId="3" type="noConversion"/>
  </si>
  <si>
    <t>LQ X2比重</t>
    <phoneticPr fontId="3" type="noConversion"/>
  </si>
  <si>
    <t>LQ X3比重</t>
    <phoneticPr fontId="3" type="noConversion"/>
  </si>
  <si>
    <t>LQ中文</t>
    <phoneticPr fontId="3" type="noConversion"/>
  </si>
  <si>
    <t>LQ英文</t>
    <phoneticPr fontId="3" type="noConversion"/>
  </si>
  <si>
    <t>LQ數學</t>
    <phoneticPr fontId="3" type="noConversion"/>
  </si>
  <si>
    <t>LQ M1/2</t>
    <phoneticPr fontId="3" type="noConversion"/>
  </si>
  <si>
    <t>LQ X1</t>
    <phoneticPr fontId="3" type="noConversion"/>
  </si>
  <si>
    <t>LQ X2</t>
    <phoneticPr fontId="3" type="noConversion"/>
  </si>
  <si>
    <t>LQ X3</t>
    <phoneticPr fontId="3" type="noConversion"/>
  </si>
  <si>
    <t>LQ中文加權後</t>
  </si>
  <si>
    <t>LQ英文加權後</t>
  </si>
  <si>
    <t>LQ數學加權後</t>
  </si>
  <si>
    <t>LQ M1/2加權後</t>
  </si>
  <si>
    <t>LQ X1加權後</t>
  </si>
  <si>
    <t>LQ X2加權後</t>
  </si>
  <si>
    <t>LQ X3加權後</t>
  </si>
  <si>
    <t>LQ中文最後揀咗？</t>
    <phoneticPr fontId="3" type="noConversion"/>
  </si>
  <si>
    <t>LQ英文最後揀咗？</t>
  </si>
  <si>
    <t>LQ數學最後揀咗？</t>
  </si>
  <si>
    <t>LQ M1/2最後揀咗？</t>
  </si>
  <si>
    <t>LQ X1最後揀咗？</t>
  </si>
  <si>
    <t>LQ X2最後揀咗？</t>
  </si>
  <si>
    <t>LQ X3最後揀咗？</t>
  </si>
  <si>
    <t>M中文比重</t>
  </si>
  <si>
    <t>M英文比重</t>
  </si>
  <si>
    <t>M數學比重</t>
  </si>
  <si>
    <t>M M1/2比重</t>
  </si>
  <si>
    <t>M X1比重</t>
  </si>
  <si>
    <t>M X2比重</t>
  </si>
  <si>
    <t>M X3比重</t>
  </si>
  <si>
    <t>M中文</t>
  </si>
  <si>
    <t>M英文</t>
  </si>
  <si>
    <t>M數學</t>
  </si>
  <si>
    <t>M M1/2</t>
  </si>
  <si>
    <t>M X1</t>
  </si>
  <si>
    <t>M X2</t>
  </si>
  <si>
    <t>M X3</t>
  </si>
  <si>
    <t>M中文加權後</t>
  </si>
  <si>
    <t>M英文加權後</t>
  </si>
  <si>
    <t>M數學加權後</t>
  </si>
  <si>
    <t>M M1/2加權後</t>
  </si>
  <si>
    <t>M X1加權後</t>
  </si>
  <si>
    <t>M X2加權後</t>
  </si>
  <si>
    <t>M X3加權後</t>
  </si>
  <si>
    <t>M中文最後揀咗？</t>
  </si>
  <si>
    <t>M英文最後揀咗？</t>
  </si>
  <si>
    <t>M數學最後揀咗？</t>
  </si>
  <si>
    <t>M M1/2最後揀咗？</t>
  </si>
  <si>
    <t>M X1最後揀咗？</t>
  </si>
  <si>
    <t>M X2最後揀咗？</t>
  </si>
  <si>
    <t>M X3最後揀咗？</t>
  </si>
  <si>
    <t>UQ中文比重</t>
  </si>
  <si>
    <t>UQ英文比重</t>
  </si>
  <si>
    <t>UQ數學比重</t>
  </si>
  <si>
    <t>UQ M1/2比重</t>
  </si>
  <si>
    <t>UQ X1比重</t>
  </si>
  <si>
    <t>UQ X2比重</t>
  </si>
  <si>
    <t>UQ X3比重</t>
  </si>
  <si>
    <t>UQ中文</t>
  </si>
  <si>
    <t>UQ英文</t>
  </si>
  <si>
    <t>UQ數學</t>
  </si>
  <si>
    <t>UQ M1/2</t>
  </si>
  <si>
    <t>UQ X1</t>
  </si>
  <si>
    <t>UQ X2</t>
  </si>
  <si>
    <t>UQ X3</t>
  </si>
  <si>
    <t>UQ中文加權後</t>
  </si>
  <si>
    <t>UQ英文加權後</t>
  </si>
  <si>
    <t>UQ數學加權後</t>
  </si>
  <si>
    <t>UQ通識加權後</t>
  </si>
  <si>
    <t>UQ M1/2加權後</t>
  </si>
  <si>
    <t>UQ X1加權後</t>
  </si>
  <si>
    <t>UQ X2加權後</t>
  </si>
  <si>
    <t>UQ X3加權後</t>
  </si>
  <si>
    <t>UQ中文最後揀咗？</t>
  </si>
  <si>
    <t>UQ英文最後揀咗？</t>
  </si>
  <si>
    <t>UQ數學最後揀咗？</t>
  </si>
  <si>
    <t>UQ通識最後揀咗？</t>
  </si>
  <si>
    <t>UQ M1/2最後揀咗？</t>
  </si>
  <si>
    <t>UQ X1最後揀咗？</t>
  </si>
  <si>
    <t>UQ X2最後揀咗？</t>
  </si>
  <si>
    <t>UQ X3最後揀咗？</t>
  </si>
  <si>
    <t>Debug</t>
    <phoneticPr fontId="3" type="noConversion"/>
  </si>
  <si>
    <t>2022年</t>
    <phoneticPr fontId="3" type="noConversion"/>
  </si>
  <si>
    <t>JS1000</t>
  </si>
  <si>
    <t>商學院</t>
  </si>
  <si>
    <t>理學士(計算金融及金融科技)</t>
  </si>
  <si>
    <t>BScCFFT</t>
  </si>
  <si>
    <t>無</t>
    <phoneticPr fontId="3" type="noConversion"/>
  </si>
  <si>
    <t>JUPAS Band排位</t>
    <phoneticPr fontId="3" type="noConversion"/>
  </si>
  <si>
    <t>面試表現/SLP/OEA</t>
    <phoneticPr fontId="3" type="noConversion"/>
  </si>
  <si>
    <t>此參考分數為院校公佈的 已計比重分數，沒有估算成份。</t>
  </si>
  <si>
    <t>JS1001</t>
  </si>
  <si>
    <t>工商管理學士(環球商業)</t>
  </si>
  <si>
    <t>BBAGBU</t>
  </si>
  <si>
    <t>面試表現/SLP/OEA</t>
  </si>
  <si>
    <t>JS1002</t>
  </si>
  <si>
    <t>工商管理學士(會計)</t>
  </si>
  <si>
    <t>BBAAC</t>
  </si>
  <si>
    <t>Best 6</t>
  </si>
  <si>
    <t>最佳六科必須包括︰英文、數學</t>
  </si>
  <si>
    <t>JS1005</t>
  </si>
  <si>
    <t>工商管理學士(管理學)</t>
  </si>
  <si>
    <t>BBAMGMT</t>
  </si>
  <si>
    <t>英文 及 其他選修 成績</t>
    <phoneticPr fontId="3" type="noConversion"/>
  </si>
  <si>
    <t>JS1007</t>
  </si>
  <si>
    <t>工商管理學士(市場營銷)</t>
  </si>
  <si>
    <t>x1.5: 英文</t>
    <phoneticPr fontId="3" type="noConversion"/>
  </si>
  <si>
    <t>BBAMKT</t>
  </si>
  <si>
    <t>x1.5: 英文</t>
  </si>
  <si>
    <t>面試表現</t>
    <phoneticPr fontId="3" type="noConversion"/>
  </si>
  <si>
    <t>JS1012</t>
  </si>
  <si>
    <t>經濟及金融系 [選項: 工商管理學士(商業經濟)、工商管理學士(金融)]</t>
  </si>
  <si>
    <t>EF</t>
  </si>
  <si>
    <t>中文 及 英文 成績</t>
    <phoneticPr fontId="3" type="noConversion"/>
  </si>
  <si>
    <t>OEA</t>
    <phoneticPr fontId="3" type="noConversion"/>
  </si>
  <si>
    <t>JS1013</t>
  </si>
  <si>
    <t>工商管理學士(商業經濟)</t>
  </si>
  <si>
    <t>BBABE</t>
  </si>
  <si>
    <t>JS1014</t>
  </si>
  <si>
    <t>工商管理學士(金融)</t>
  </si>
  <si>
    <t>BBAFIN</t>
  </si>
  <si>
    <t>JS1017</t>
  </si>
  <si>
    <t>資訊系統學系 [選項: 工商管理學士(環球商業系統管理)、工商管理學士(資訊管理)]</t>
  </si>
  <si>
    <t>JS1018</t>
  </si>
  <si>
    <t>工商管理學士(環球商業系統管理)</t>
  </si>
  <si>
    <t>BBAGBSM</t>
  </si>
  <si>
    <t>JS1019</t>
  </si>
  <si>
    <t>工商管理學士(資訊管理)</t>
  </si>
  <si>
    <t>BBAIFMG</t>
  </si>
  <si>
    <t>JS1025</t>
  </si>
  <si>
    <t>管理科學系 [選項: 工商管理學士(商業決策分析)、工商管理學士(環球營運管理)]</t>
  </si>
  <si>
    <t>MS</t>
  </si>
  <si>
    <t>中文、英文 及 數學 成績</t>
    <phoneticPr fontId="3" type="noConversion"/>
  </si>
  <si>
    <t>JS1026</t>
  </si>
  <si>
    <t>工商管理學士(商業決策分析)</t>
  </si>
  <si>
    <t>BBABANL</t>
  </si>
  <si>
    <t>JS1027</t>
  </si>
  <si>
    <t>工商管理學士(環球營運管理)</t>
  </si>
  <si>
    <t>BBABOM</t>
  </si>
  <si>
    <t>JS1041</t>
  </si>
  <si>
    <t>創意媒體學院</t>
  </si>
  <si>
    <t>創意媒體學院 [選項: 文學士(創意媒體)、理學士(創意媒體)、文理學士(新媒體)]</t>
  </si>
  <si>
    <t>x2: 英文</t>
    <phoneticPr fontId="3" type="noConversion"/>
  </si>
  <si>
    <t>SCM</t>
  </si>
  <si>
    <t>x2: 英文</t>
  </si>
  <si>
    <t>個人作品集、創意潛能、電腦能力</t>
    <phoneticPr fontId="3" type="noConversion"/>
  </si>
  <si>
    <t>其他成績 及 資料</t>
    <phoneticPr fontId="3" type="noConversion"/>
  </si>
  <si>
    <t>JS1042</t>
  </si>
  <si>
    <t>文學士(創意媒體)</t>
  </si>
  <si>
    <t>BACM</t>
  </si>
  <si>
    <t>JS1043</t>
  </si>
  <si>
    <t>理學士(創意媒體)</t>
  </si>
  <si>
    <t>x1.5: 數學</t>
    <phoneticPr fontId="3" type="noConversion"/>
  </si>
  <si>
    <t>BScCM</t>
  </si>
  <si>
    <t>x1.5: 數學</t>
  </si>
  <si>
    <t>JS1044</t>
  </si>
  <si>
    <t>文理學士(新媒體)</t>
  </si>
  <si>
    <t>最佳五科必須包括︰英文</t>
    <phoneticPr fontId="3" type="noConversion"/>
  </si>
  <si>
    <t>BAS</t>
  </si>
  <si>
    <t>Best 5</t>
  </si>
  <si>
    <t>最佳五科必須包括︰英文</t>
  </si>
  <si>
    <t>JS1051</t>
  </si>
  <si>
    <t>能源及環境學院</t>
  </si>
  <si>
    <t>能源及環境學院 [選項: 工學士(能源科學及工程學)、工學士(環境科學及工程學)]</t>
  </si>
  <si>
    <t>最佳五科必須包括︰英文、數學 及 以下其中一科︰</t>
  </si>
  <si>
    <t>SEE</t>
  </si>
  <si>
    <t>x2.5: 數學 | x2: 英文</t>
  </si>
  <si>
    <t>其他入學分數</t>
    <phoneticPr fontId="3" type="noConversion"/>
  </si>
  <si>
    <t>其他申請資料</t>
    <phoneticPr fontId="3" type="noConversion"/>
  </si>
  <si>
    <t>JS1061</t>
  </si>
  <si>
    <t>法律學院</t>
  </si>
  <si>
    <t>法律學學士</t>
  </si>
  <si>
    <t>LLB</t>
  </si>
  <si>
    <t>最佳六科必須包括︰英文</t>
  </si>
  <si>
    <t>面試表現/OEA</t>
    <phoneticPr fontId="3" type="noConversion"/>
  </si>
  <si>
    <t>JS1062</t>
  </si>
  <si>
    <t>法律學院/商學院</t>
  </si>
  <si>
    <t>法律學學士與工商管理學士(會計)</t>
  </si>
  <si>
    <t>LLB&amp;BBAAC</t>
  </si>
  <si>
    <t>JS1071</t>
  </si>
  <si>
    <t>數據科學學院</t>
  </si>
  <si>
    <t>數據科學學院 [選項：理學士 (數據科學)、理學士 (數據與系統工程)]</t>
  </si>
  <si>
    <t>x2: 英文、數學</t>
    <phoneticPr fontId="3" type="noConversion"/>
  </si>
  <si>
    <t>SDSC</t>
  </si>
  <si>
    <t>x2: 英文、數學</t>
  </si>
  <si>
    <t>M1/2 成績</t>
    <phoneticPr fontId="3" type="noConversion"/>
  </si>
  <si>
    <t>JS1072</t>
  </si>
  <si>
    <t>理學士(數據科學)</t>
  </si>
  <si>
    <t>BScDSC</t>
  </si>
  <si>
    <t>JS1074</t>
  </si>
  <si>
    <t>理學士(數據與系統工程)</t>
  </si>
  <si>
    <t>BEngDSE</t>
  </si>
  <si>
    <t>JS1102</t>
  </si>
  <si>
    <t>人文社會科學院</t>
  </si>
  <si>
    <t>社會科學學士(國際關係及全球事務)</t>
  </si>
  <si>
    <t>BSocScASIS</t>
  </si>
  <si>
    <t>JS1103</t>
  </si>
  <si>
    <t>文學士(中文及歷史)</t>
  </si>
  <si>
    <t>BACHIS</t>
  </si>
  <si>
    <t>x2: 中文、英文</t>
  </si>
  <si>
    <t>JS1104</t>
  </si>
  <si>
    <t>文學士(英語語言)</t>
  </si>
  <si>
    <t>BAEN</t>
  </si>
  <si>
    <t>x2.5: 英文</t>
  </si>
  <si>
    <t>JS1106</t>
  </si>
  <si>
    <t>媒體與傳播系 [選項: 文學士(數碼電視與廣播)、文學士(媒體與傳播)]</t>
  </si>
  <si>
    <t>x1.25: 中文、英文</t>
    <phoneticPr fontId="3" type="noConversion"/>
  </si>
  <si>
    <t>COM</t>
  </si>
  <si>
    <t>x1.25: 中文、英文</t>
  </si>
  <si>
    <t>OEA/SPN</t>
    <phoneticPr fontId="3" type="noConversion"/>
  </si>
  <si>
    <t>JS1108</t>
  </si>
  <si>
    <t>社會科學學士(公共政策與政治)</t>
  </si>
  <si>
    <t>BSocScPPP</t>
  </si>
  <si>
    <t>JS1109</t>
  </si>
  <si>
    <t>文學士(語言學及語言應用)</t>
  </si>
  <si>
    <t>BALLA</t>
  </si>
  <si>
    <t>x1.5: 中文、數學</t>
  </si>
  <si>
    <t>相關科目 成績</t>
    <phoneticPr fontId="3" type="noConversion"/>
  </si>
  <si>
    <t>此課程JUPAS編號先前為JS1105</t>
    <phoneticPr fontId="3" type="noConversion"/>
  </si>
  <si>
    <t>JS1110</t>
  </si>
  <si>
    <t>社會及行為科學系 [選項: 社會科學學士(犯罪學及社會學)、社會科學學士(心理學)、社會科學學士(社會工作)]</t>
  </si>
  <si>
    <t>SS</t>
  </si>
  <si>
    <t>課程相關科目 成績</t>
    <phoneticPr fontId="3" type="noConversion"/>
  </si>
  <si>
    <t>JS1111</t>
  </si>
  <si>
    <t>社會科學學士(犯罪學及社會學)</t>
  </si>
  <si>
    <t>BSocScCRSO</t>
  </si>
  <si>
    <t>JS1112</t>
  </si>
  <si>
    <t>社會科學學士(心理學)</t>
  </si>
  <si>
    <t>BSocScPSY</t>
  </si>
  <si>
    <t>JS1113</t>
  </si>
  <si>
    <t>社會科學學士(社會工作)</t>
  </si>
  <si>
    <t>BSocScSW</t>
  </si>
  <si>
    <t>JS1122</t>
  </si>
  <si>
    <t>社會科學學士(公共政策)與法律學學士</t>
  </si>
  <si>
    <t>BSocScPP&amp;LLB</t>
  </si>
  <si>
    <t>JS1123</t>
  </si>
  <si>
    <t>社會科學學士(犯罪學)與法律學學士</t>
  </si>
  <si>
    <t>BSocScCR&amp;LLB</t>
  </si>
  <si>
    <t>JS1200</t>
  </si>
  <si>
    <t>理學院</t>
  </si>
  <si>
    <t>環球精研與科創課程</t>
  </si>
  <si>
    <t>GREAT</t>
  </si>
  <si>
    <t>x2.5: 數學、生物、化學、經濟、M1/2、物理</t>
  </si>
  <si>
    <t>JS1201</t>
  </si>
  <si>
    <t>工學院</t>
  </si>
  <si>
    <t>建築學及土木工程學系 [選項: 工學士(建築工程)、工學士(土木工程)、理學士(建築學及測量學)]</t>
  </si>
  <si>
    <t>ACE</t>
  </si>
  <si>
    <t>x1.5: 中文</t>
  </si>
  <si>
    <t>JS1202</t>
  </si>
  <si>
    <t>理學士(化學)</t>
  </si>
  <si>
    <t>BScCHEM</t>
  </si>
  <si>
    <t>x2: 英文、化學</t>
  </si>
  <si>
    <t>JS1204</t>
  </si>
  <si>
    <t>理學士(電腦科學)</t>
  </si>
  <si>
    <t>BScCSC</t>
  </si>
  <si>
    <t>SPN、OEA</t>
    <phoneticPr fontId="3" type="noConversion"/>
  </si>
  <si>
    <t>JS1205</t>
  </si>
  <si>
    <t>電機工程學系 [選項: 工學士(電子計算機及數據工程學)、工學士(電子及電機工程學)、工學士(資訊工程學)、工學士(微電子工程學)]</t>
  </si>
  <si>
    <t>最佳五科必須包括︰英文、數學</t>
    <phoneticPr fontId="3" type="noConversion"/>
  </si>
  <si>
    <t>EE</t>
  </si>
  <si>
    <t>最佳五科必須包括︰英文、數學</t>
  </si>
  <si>
    <t>面試表現/SLP/OEA/SPN</t>
    <phoneticPr fontId="3" type="noConversion"/>
  </si>
  <si>
    <t>收生主要考慮2020至2022DSE的成績</t>
    <phoneticPr fontId="3" type="noConversion"/>
  </si>
  <si>
    <t>JS1206</t>
  </si>
  <si>
    <t>理學士(計算數學)</t>
  </si>
  <si>
    <t>最佳五科必須包括︰數學</t>
  </si>
  <si>
    <t>x2.5: 數學 | x2: 英文、M1/2</t>
  </si>
  <si>
    <t>JS1207</t>
  </si>
  <si>
    <t>機械工程學系 [選項: 工學士(航空航天工程)、工學士(機械工程)、工學士(核子及風險工程)]</t>
  </si>
  <si>
    <t>MNE</t>
  </si>
  <si>
    <t>x2: 英文、數學、物理</t>
  </si>
  <si>
    <t>JS1208</t>
  </si>
  <si>
    <t>理學士(物理學)</t>
  </si>
  <si>
    <t>BScPHY</t>
  </si>
  <si>
    <t>x2: 英文、物理 | x1.5: M1/2</t>
  </si>
  <si>
    <t>x1.25: 數學</t>
  </si>
  <si>
    <t>JS1210</t>
  </si>
  <si>
    <t>工學士(材料科學及工程)</t>
  </si>
  <si>
    <t>BEngMASE</t>
  </si>
  <si>
    <t>x2: 數學、物理</t>
  </si>
  <si>
    <t>x1.5: 英文、生物、化學、M1/2</t>
  </si>
  <si>
    <t>JS1211</t>
  </si>
  <si>
    <t>工學士(生物醫學工程)</t>
  </si>
  <si>
    <t>BEngBME</t>
  </si>
  <si>
    <t>若同學同時修讀數學及M1/2，最佳五科只會包含其中一科。</t>
  </si>
  <si>
    <t>JS1216</t>
  </si>
  <si>
    <t>工學士(智能製造工程學)</t>
  </si>
  <si>
    <t>ITME</t>
  </si>
  <si>
    <t>x2: 英文、數學、ICT、M1/2、物理</t>
  </si>
  <si>
    <t>JS1217</t>
  </si>
  <si>
    <t>工學院(選項: 工學院任何一個主修及工程創業副修)</t>
  </si>
  <si>
    <t>CENG</t>
  </si>
  <si>
    <t>JS1220</t>
  </si>
  <si>
    <t>法律學院/理學院</t>
  </si>
  <si>
    <t>法律學學士與理學士(計算數學)</t>
  </si>
  <si>
    <t>LLB&amp;BScCM</t>
  </si>
  <si>
    <t>JS1221</t>
  </si>
  <si>
    <t>理學士(電腦科學)與理學士(計算金融及金融科技)</t>
  </si>
  <si>
    <t>BScCS&amp;BScCFFT</t>
  </si>
  <si>
    <t>JS1801</t>
  </si>
  <si>
    <t>賽馬會動物醫學及生命科學院</t>
  </si>
  <si>
    <t>獸醫學學士</t>
  </si>
  <si>
    <t>BVM</t>
  </si>
  <si>
    <t>面試表現/個人自述(OEA)</t>
    <phoneticPr fontId="3" type="noConversion"/>
  </si>
  <si>
    <t>英文水平</t>
    <phoneticPr fontId="3" type="noConversion"/>
  </si>
  <si>
    <t>生物醫學系 [選項: 理學士(生物科學)、理學士(生物醫學)]</t>
  </si>
  <si>
    <t>BMS</t>
  </si>
  <si>
    <t>JS1806</t>
  </si>
  <si>
    <t>理學士(生物科學)</t>
  </si>
  <si>
    <t>BScBISI</t>
  </si>
  <si>
    <t>理學士(生物醫學)</t>
  </si>
  <si>
    <t>BScBMS</t>
  </si>
  <si>
    <t>BandA競爭人數</t>
  </si>
  <si>
    <t>JS2020</t>
  </si>
  <si>
    <t>文學院</t>
  </si>
  <si>
    <t>文學士(榮譽) (中國語言文學 / 創意及專業寫作 / 英國語言文學 / 人文學 / 翻譯學)</t>
  </si>
  <si>
    <t>BA</t>
  </si>
  <si>
    <t>面試表現/OEA/SPN</t>
    <phoneticPr fontId="3" type="noConversion"/>
  </si>
  <si>
    <t>英文科成績</t>
    <phoneticPr fontId="3" type="noConversion"/>
  </si>
  <si>
    <t>此參考分數 以院校公佈的 原始分數 及 比重 作估算，並非完全準確。</t>
  </si>
  <si>
    <t>以上含比重分數一律以最大比重作估算，或會稍高於真實分數，只供參考。</t>
  </si>
  <si>
    <t>JS2025</t>
  </si>
  <si>
    <t>文學院</t>
    <phoneticPr fontId="3" type="noConversion"/>
  </si>
  <si>
    <t>宗教、哲學及倫理文學士(榮譽)</t>
  </si>
  <si>
    <t>BA(RPE)</t>
  </si>
  <si>
    <t>部份同學或會受邀參與面試。</t>
    <phoneticPr fontId="3" type="noConversion"/>
  </si>
  <si>
    <t>JS2060</t>
  </si>
  <si>
    <t>文學士(榮譽) / 音樂學士(榮譽) (音樂 / 創意產業)</t>
  </si>
  <si>
    <t>BA/BMUS(MUSIC/CI)</t>
  </si>
  <si>
    <t xml:space="preserve">學系將審視申請人的音樂資歷。
</t>
    <phoneticPr fontId="3" type="noConversion"/>
  </si>
  <si>
    <t xml:space="preserve">同學須遞交作品集，或參與入學面試/考試。 </t>
    <phoneticPr fontId="3" type="noConversion"/>
  </si>
  <si>
    <t>詳情請細閱以下網站: https://mus.hkbu.edu.hk/</t>
    <phoneticPr fontId="3" type="noConversion"/>
  </si>
  <si>
    <t>JS2110</t>
  </si>
  <si>
    <t>工商管理學士(榮譽) - 會計學專修</t>
  </si>
  <si>
    <t>BBA(ACCT)</t>
  </si>
  <si>
    <t>優先考慮 英文 成績優異者</t>
    <phoneticPr fontId="3" type="noConversion"/>
  </si>
  <si>
    <t>JS2120</t>
  </si>
  <si>
    <t>工商管理學士(榮譽)</t>
  </si>
  <si>
    <t>BBA</t>
  </si>
  <si>
    <t>JS2310</t>
  </si>
  <si>
    <t>傳理學院</t>
  </si>
  <si>
    <t>傳理學學士(榮譽) (新聞與數碼媒體 / 公關及廣告)</t>
  </si>
  <si>
    <t>最佳五科必須包括︰中文、英文</t>
    <phoneticPr fontId="3" type="noConversion"/>
  </si>
  <si>
    <t>BCOMM</t>
  </si>
  <si>
    <t>優先考慮 中文、英文 成績優異者</t>
    <phoneticPr fontId="3" type="noConversion"/>
  </si>
  <si>
    <t>JS2330</t>
  </si>
  <si>
    <t>電影電視文學士(榮譽)</t>
  </si>
  <si>
    <t>BCOMM(FTV)</t>
  </si>
  <si>
    <t>較前JUPAS Band排位</t>
    <phoneticPr fontId="3" type="noConversion"/>
  </si>
  <si>
    <t>優先考慮 中文 及 英文 成績優異者</t>
    <phoneticPr fontId="3" type="noConversion"/>
  </si>
  <si>
    <t>通過初審的申請者將會被安排進行個人或小組面試，申請人只須於面試期間匯報其作品集。</t>
    <phoneticPr fontId="3" type="noConversion"/>
  </si>
  <si>
    <t>考生應以數碼形式準備作品集，以便匯報。作品應表現申請者的創意、講故事技巧和圖像概念。</t>
    <phoneticPr fontId="3" type="noConversion"/>
  </si>
  <si>
    <t>JS2340</t>
  </si>
  <si>
    <t>環球螢幕演技藝術學士(榮譽)</t>
  </si>
  <si>
    <t>BFA(AGS)</t>
  </si>
  <si>
    <t>受邀的同學須參與入學測試及面試。</t>
    <phoneticPr fontId="3" type="noConversion"/>
  </si>
  <si>
    <t>申請人亦須遞交作品集。</t>
    <phoneticPr fontId="3" type="noConversion"/>
  </si>
  <si>
    <t>詳情請細閱以下網站:  http://af.hkbu.edu.hk/en/prog-bfa</t>
    <phoneticPr fontId="3" type="noConversion"/>
  </si>
  <si>
    <t>JS2370</t>
  </si>
  <si>
    <t>傳理學學士(榮譽) - 遊戲設計與動畫主修</t>
  </si>
  <si>
    <t>BCOMM(GDA)</t>
  </si>
  <si>
    <t>x1.25: 英文</t>
  </si>
  <si>
    <t>x1.15: 視覺藝術</t>
  </si>
  <si>
    <t>x1.1: 數學</t>
  </si>
  <si>
    <t>通過初審的申請者將會被安排進行個人或小組面試，申請人只須於面試期間匯報其作品集。</t>
  </si>
  <si>
    <t>考生應以數碼形式準備作品集，以便匯報。作品應表現申請者的創意、視像及設計能力 和 動畫/遊戲設計的潛能。</t>
    <phoneticPr fontId="3" type="noConversion"/>
  </si>
  <si>
    <t>由於院校公佈的 LQ/Median是綜合所有表現的整體收生分數，所以可出現DSE分數較低，但其他表現分數較高的情況。</t>
  </si>
  <si>
    <t>JS2410</t>
  </si>
  <si>
    <t>中醫藥學院</t>
  </si>
  <si>
    <t>中醫學學士及生物醫學理學士(榮譽)</t>
  </si>
  <si>
    <t>x1.5: 中文、英文、生物</t>
  </si>
  <si>
    <t>x1.25: 化學</t>
  </si>
  <si>
    <t>BCM&amp;BSc(BIOMED)</t>
  </si>
  <si>
    <t>JS2420</t>
  </si>
  <si>
    <t>中藥學學士(榮譽)</t>
  </si>
  <si>
    <t>x1.5: 英文、化學</t>
  </si>
  <si>
    <t>x1.25: 生物、數學</t>
  </si>
  <si>
    <t>BPharm</t>
  </si>
  <si>
    <t>JS2510</t>
  </si>
  <si>
    <t>理學士(榮譽)</t>
  </si>
  <si>
    <t>BSc</t>
  </si>
  <si>
    <t>優先考慮 理科* 成績優異者</t>
    <phoneticPr fontId="3" type="noConversion"/>
  </si>
  <si>
    <t>*理科: 化學、生物、物理、數學、ICT、組合科學、綜合科學</t>
    <phoneticPr fontId="3" type="noConversion"/>
  </si>
  <si>
    <t>JS2610</t>
  </si>
  <si>
    <t>社會科學院</t>
  </si>
  <si>
    <t>文學士(榮譽) / 社會科學學士(榮譽) (歐洲研究 [法文/德文] / 地理 / 全球及中國研究 / 政治及國際關係學 / 歷史 / 社會學)</t>
  </si>
  <si>
    <t>BA/BSocSc</t>
  </si>
  <si>
    <t>Applied Learning subjects  will be considered in the admissions selection process.</t>
    <phoneticPr fontId="3" type="noConversion"/>
  </si>
  <si>
    <t>JS2620</t>
  </si>
  <si>
    <t>體育及康樂管理文學士(榮譽)</t>
  </si>
  <si>
    <t>BA(PERM)</t>
  </si>
  <si>
    <t>JS2660</t>
  </si>
  <si>
    <t>社會工作學士(榮譽)</t>
  </si>
  <si>
    <t>BSW</t>
  </si>
  <si>
    <t>JS2810</t>
  </si>
  <si>
    <t>視覺藝術院</t>
  </si>
  <si>
    <t>視覺藝術文學士(榮譽)</t>
  </si>
  <si>
    <t>BA(VA)</t>
  </si>
  <si>
    <t>申請人須遞交作品集，受邀的同學須參與入學測試及面試。</t>
    <phoneticPr fontId="3" type="noConversion"/>
  </si>
  <si>
    <t>有關作品集指引、考核詳情及時間表，請查閱以下網站: https://ava.hkbu.edu.hk/en/bachelor/admission</t>
    <phoneticPr fontId="3" type="noConversion"/>
  </si>
  <si>
    <t>JS2910</t>
  </si>
  <si>
    <t>跨學院課程</t>
    <phoneticPr fontId="3" type="noConversion"/>
  </si>
  <si>
    <t>商業計算及數據分析理學士(榮譽)</t>
  </si>
  <si>
    <t>BSc(BCDA)</t>
  </si>
  <si>
    <t>JS2920</t>
  </si>
  <si>
    <t>藝術及科技文理學士(榮譽)</t>
  </si>
  <si>
    <t>x1.2: 數學</t>
    <phoneticPr fontId="3" type="noConversion"/>
  </si>
  <si>
    <t>BASc(ARTT)</t>
  </si>
  <si>
    <t>申請人須遞交作品集及參與入學面試。</t>
    <phoneticPr fontId="3" type="noConversion"/>
  </si>
  <si>
    <t>JS2930</t>
  </si>
  <si>
    <t>工商管理文學士(榮譽)(全球娛樂)</t>
  </si>
  <si>
    <t>BA(BUSADMIN-GE)</t>
  </si>
  <si>
    <t>JS2940</t>
  </si>
  <si>
    <t>創新醫療及社會健康社會科學學士(榮譽) / 理學士(榮譽)</t>
  </si>
  <si>
    <t>BSocSc/BSc(HSWB)</t>
  </si>
  <si>
    <t>1. 院校在收生時，除了DSE分數，亦有不同考慮，例如面試表現、OEA等。</t>
  </si>
  <si>
    <t>JS2950</t>
  </si>
  <si>
    <t>文理及科技學士(榮譽)自訂主修</t>
  </si>
  <si>
    <t>BAScT</t>
  </si>
  <si>
    <t>JS3010</t>
  </si>
  <si>
    <t>有</t>
    <phoneticPr fontId="3" type="noConversion"/>
  </si>
  <si>
    <t>JS3020</t>
  </si>
  <si>
    <t>數據科學(榮譽)理學士組合課程 (數據科學及分析 / 投資科學及金融分析)</t>
  </si>
  <si>
    <t>DATA SCI</t>
  </si>
  <si>
    <t>JS3030</t>
  </si>
  <si>
    <t>物理學(榮譽)理學士 副主修人工智能及數據分析 / 創新及創業</t>
  </si>
  <si>
    <t>PHYSICS</t>
  </si>
  <si>
    <t>JS3050</t>
  </si>
  <si>
    <t>時裝及紡織學院</t>
  </si>
  <si>
    <t>時裝(榮譽)文學士組合課程 (時裝設計 / 針織時裝設計 / 內衣及運動服裝 / 時裝商務 / 時裝創新及科技)</t>
  </si>
  <si>
    <t>FASHION</t>
  </si>
  <si>
    <t>JS3060</t>
  </si>
  <si>
    <t>工商管理學院</t>
  </si>
  <si>
    <t>會計及金融(榮譽)工商管理學士組合課程 (會計學 / 會計及金融 / 數碼金融及投資學)</t>
  </si>
  <si>
    <t>ACCT &amp; FINANCE</t>
  </si>
  <si>
    <t>JS3070</t>
  </si>
  <si>
    <t>航空、航運及供應鏈管理(榮譽)工商管理學士組合課程 (航空管理及金融 / 國際航運及物流管理 / 供應鏈管理及分析)</t>
  </si>
  <si>
    <t>AVIAT, MARITIME &amp; SC MGT</t>
  </si>
  <si>
    <t>JS3080</t>
  </si>
  <si>
    <t>管理及市場學(榮譽)工商管理學士組合課程 (管理學 / 市場學)</t>
  </si>
  <si>
    <t>MGT &amp; MARKETING</t>
  </si>
  <si>
    <t>JS3100</t>
  </si>
  <si>
    <t>建築及環境學院</t>
  </si>
  <si>
    <t>建築及房地產(榮譽)理學士組合課程 (建築工程及管理學 / 物業管理學 / 地產及建設測量學)</t>
  </si>
  <si>
    <t>BLDG &amp; REAL ESTATE</t>
  </si>
  <si>
    <t>JS3110</t>
  </si>
  <si>
    <t>建築科學及工程學(榮譽)工學士組合課程 (建築科學及工程學 / 建築科學及工程學(屋宇設備工程學))</t>
  </si>
  <si>
    <t>BLDG SCI &amp; ENGG</t>
  </si>
  <si>
    <t>JS3120</t>
  </si>
  <si>
    <t>土木工程及可持續發展學(榮譽)工學士組合課程</t>
  </si>
  <si>
    <t>CIVIL ENGG &amp; SUS DEVELOP</t>
  </si>
  <si>
    <t>JS3130</t>
  </si>
  <si>
    <t>空間數據科學及智慧城市(榮譽)理學士組合課程 (土地測量及地理資訊學)</t>
  </si>
  <si>
    <t>LAND SURV &amp; GEO-INFO</t>
  </si>
  <si>
    <t>JS3140</t>
  </si>
  <si>
    <t>工程學院</t>
  </si>
  <si>
    <t>航空工程學(榮譽)工學士組合課程 (航空工程學 / 民航工程學)</t>
  </si>
  <si>
    <t>AVIATION ENGG</t>
  </si>
  <si>
    <t>JS3150</t>
  </si>
  <si>
    <t>生物醫學工程(榮譽)理學士組合課程</t>
  </si>
  <si>
    <t>BIOMEDICAL ENGG</t>
  </si>
  <si>
    <t>JS3170</t>
  </si>
  <si>
    <t>電機工程學(榮譽)工學士組合課程 (電機工程學 / 運輸系統工程學)</t>
  </si>
  <si>
    <t>ELECTRICAL ENGG</t>
  </si>
  <si>
    <t>JS3180</t>
  </si>
  <si>
    <t>資訊及人工智能工程學(榮譽)工學士 / 理學士組合課程 (物聯網 / 人工智能 / 資訊安全)</t>
  </si>
  <si>
    <t>INFO &amp; AI ENGG</t>
  </si>
  <si>
    <t>JS3240</t>
  </si>
  <si>
    <t>醫療及社會科學院</t>
  </si>
  <si>
    <t>英文及應用語言學(榮譽)文學士組合課程</t>
  </si>
  <si>
    <t>中英Best3</t>
  </si>
  <si>
    <t>ENGL &amp; APP LINGUISTICS</t>
  </si>
  <si>
    <t>JS3250</t>
  </si>
  <si>
    <t>應用社會科學(榮譽)文學士組合課程 (社會工作 / 社會政策及社會創業)</t>
  </si>
  <si>
    <t>APPLIED SOC SCI</t>
  </si>
  <si>
    <t>JS3290</t>
  </si>
  <si>
    <t>眼科視光學(榮譽)理學士組合課程</t>
  </si>
  <si>
    <t>OPTOMETRY</t>
  </si>
  <si>
    <t>JS3310</t>
  </si>
  <si>
    <t>酒店及旅遊業管理學院</t>
  </si>
  <si>
    <t>酒店及旅遊管理(榮譽)理學士組合課程 (酒店管理 / 智慧旅遊及酒店產業 / 會展及體驗管理)</t>
  </si>
  <si>
    <t>x10: 英文</t>
  </si>
  <si>
    <t>x7: 其他科目</t>
  </si>
  <si>
    <t>HOTEL &amp; TOURISM MGT</t>
  </si>
  <si>
    <t>JS3320</t>
  </si>
  <si>
    <t>人文學院</t>
  </si>
  <si>
    <t>中國歷史及文化(榮譽)文學士組合課程</t>
  </si>
  <si>
    <t>CHI HISTORY &amp; CULTURE</t>
  </si>
  <si>
    <t>JS3330</t>
  </si>
  <si>
    <t>語言科學、翻譯學及言語治療(榮譽)文學士/理學士組合課程 (語言學及翻譯學 / 語言科學與語言數據分析 / 言語治療)</t>
  </si>
  <si>
    <t>LANG SCI, TRANSLAT, &amp; ST</t>
  </si>
  <si>
    <t>JS3337</t>
  </si>
  <si>
    <t>護理學(榮譽)理學士組合課程 - 精神健康護理學(榮譽)理學士</t>
  </si>
  <si>
    <t>MENTAL HEALTH NURSING</t>
  </si>
  <si>
    <t>JS3478</t>
  </si>
  <si>
    <t>醫療化驗科學及放射學(榮譽)理學士組合課程 - 醫療化驗科學(榮譽)理學士</t>
  </si>
  <si>
    <t>MED LAB SCI</t>
  </si>
  <si>
    <t>JS3557</t>
  </si>
  <si>
    <t>產品及工業工程(榮譽)工學士組合課程 (產品工程兼市場學 / 工業及系統工程學)</t>
  </si>
  <si>
    <t>PROD &amp; INDUSTRIAL ENGG</t>
  </si>
  <si>
    <t>JS3569</t>
  </si>
  <si>
    <t>設計學院</t>
  </si>
  <si>
    <t>設計學(榮譽)文學士組合課程 (廣告設計/環境設計/信息設計/交互設計/室内設計/媒體設計/產品設計/服務創新設計/社會創新設計)</t>
  </si>
  <si>
    <t>DESIGN</t>
  </si>
  <si>
    <t>x7: BAFS、經濟、歷史、音樂、科技與生活、旅遊與款待</t>
  </si>
  <si>
    <t>JS3571</t>
  </si>
  <si>
    <t>物流及企業工程(榮譽)理學士組合課程 (物流工程兼管理學 / 企業工程兼管理學)</t>
  </si>
  <si>
    <t>LOG &amp; ENTERPRISE ENGG</t>
  </si>
  <si>
    <t>JS3612</t>
  </si>
  <si>
    <t>醫療化驗科學及放射學(榮譽)理學士組合課程 - 放射學(榮譽)理學士</t>
  </si>
  <si>
    <t>RADIOGRAPHY</t>
  </si>
  <si>
    <t>JS3624</t>
  </si>
  <si>
    <t>康復治療科學(榮譽)理學士組合課程 - 職業治療學(榮譽)理學士</t>
  </si>
  <si>
    <t>OCCUPATIONAL THERAPY</t>
  </si>
  <si>
    <t>JS3636</t>
  </si>
  <si>
    <t>康復治療科學(榮譽)理學士組合課程 - 物理治療學(榮譽)理學士</t>
  </si>
  <si>
    <t>PHYSIOTHERAPY</t>
  </si>
  <si>
    <t>JS3648</t>
  </si>
  <si>
    <t>護理學(榮譽)理學士組合課程 - 護理學(榮譽)理學士</t>
  </si>
  <si>
    <t>NURSING</t>
  </si>
  <si>
    <t>JS3741</t>
  </si>
  <si>
    <t>機械工程學(榮譽)工學士組合課程 (機械工程學 / 產品分析及工程設計學)</t>
  </si>
  <si>
    <t>MECHANICAL ENGG</t>
  </si>
  <si>
    <t>JS3868</t>
  </si>
  <si>
    <t>電子計算及人工智能(榮譽)理學士組合課程 (計算機科學 / 金融科技及人工智能 / 企業信息管理)</t>
  </si>
  <si>
    <t>COMPUTING &amp; AI</t>
  </si>
  <si>
    <t>JS4006</t>
  </si>
  <si>
    <t>人類學</t>
  </si>
  <si>
    <t>ANTHROPOLOGY</t>
  </si>
  <si>
    <t>JS4018</t>
  </si>
  <si>
    <t>中國語言及文學</t>
  </si>
  <si>
    <t>x1.2: 中文</t>
  </si>
  <si>
    <t>CHI LANG &amp; LIT</t>
  </si>
  <si>
    <t>JS4020</t>
  </si>
  <si>
    <t>文化研究</t>
  </si>
  <si>
    <t>CULTURAL STUDIES</t>
  </si>
  <si>
    <t>JS4022</t>
  </si>
  <si>
    <t>文化管理</t>
  </si>
  <si>
    <t>CULTURAL MANAGEMENT</t>
  </si>
  <si>
    <t>JS4032</t>
  </si>
  <si>
    <t>ENGLISH</t>
  </si>
  <si>
    <t>優先考慮修讀 英語文學 者</t>
    <phoneticPr fontId="3" type="noConversion"/>
  </si>
  <si>
    <t>JS4044</t>
  </si>
  <si>
    <t>藝術</t>
  </si>
  <si>
    <t>FINE ARTS</t>
  </si>
  <si>
    <t>優先考慮修讀 視覺藝術 者</t>
    <phoneticPr fontId="3" type="noConversion"/>
  </si>
  <si>
    <t>JS4056</t>
  </si>
  <si>
    <t>HISTORY</t>
  </si>
  <si>
    <t>JS4068</t>
  </si>
  <si>
    <t>日本研究</t>
  </si>
  <si>
    <t>JAPANESE STUDIES</t>
  </si>
  <si>
    <t>JS4070</t>
  </si>
  <si>
    <t>語言學</t>
  </si>
  <si>
    <t>LINGUISTICS</t>
  </si>
  <si>
    <t>JS4082</t>
  </si>
  <si>
    <t>MUSIC</t>
  </si>
  <si>
    <t>優先考慮修讀 音樂 者</t>
    <phoneticPr fontId="3" type="noConversion"/>
  </si>
  <si>
    <t>JS4094</t>
  </si>
  <si>
    <t>哲學</t>
  </si>
  <si>
    <t>PHILOSOPHY</t>
  </si>
  <si>
    <t>JS4109</t>
  </si>
  <si>
    <t>宗教研究</t>
  </si>
  <si>
    <t>RELIGION</t>
  </si>
  <si>
    <t>JS4111</t>
  </si>
  <si>
    <t>神學</t>
  </si>
  <si>
    <t>THEOLOGY</t>
  </si>
  <si>
    <t>由於此課程收生人數極少，基於私隱原因，院校未有公佈詳細收生分數。</t>
  </si>
  <si>
    <t>JS4123</t>
  </si>
  <si>
    <t>翻譯</t>
  </si>
  <si>
    <t>TRANSLATION</t>
  </si>
  <si>
    <t>5%或更少(全Cert)</t>
    <phoneticPr fontId="3" type="noConversion"/>
  </si>
  <si>
    <t>JS4136</t>
  </si>
  <si>
    <t>中國研究</t>
  </si>
  <si>
    <t>CHINESE STUDIES</t>
  </si>
  <si>
    <t>x1.25: 英文</t>
    <phoneticPr fontId="3" type="noConversion"/>
  </si>
  <si>
    <t>JS4202</t>
  </si>
  <si>
    <t>工商管理學士綜合課程</t>
  </si>
  <si>
    <t>INTEGRATED BBA</t>
  </si>
  <si>
    <t>JS4214</t>
  </si>
  <si>
    <t>環球商業學</t>
  </si>
  <si>
    <t>GBS</t>
  </si>
  <si>
    <t>JS4226</t>
  </si>
  <si>
    <t>酒店旅遊及房地產</t>
  </si>
  <si>
    <t>HOSP &amp; REAL EST</t>
  </si>
  <si>
    <t>JS4238</t>
  </si>
  <si>
    <t>保險、金融與精算學</t>
  </si>
  <si>
    <t>IFAA</t>
  </si>
  <si>
    <t>若數學科只考獲Lv.4或以下，M1/2需考獲Lv.5</t>
    <phoneticPr fontId="3" type="noConversion"/>
  </si>
  <si>
    <t>6%-10%(全Cert)</t>
    <phoneticPr fontId="3" type="noConversion"/>
  </si>
  <si>
    <t>JS4240</t>
  </si>
  <si>
    <t>專業會計學</t>
  </si>
  <si>
    <t>PROF ACCOUNTANCY</t>
  </si>
  <si>
    <t>JS4252</t>
  </si>
  <si>
    <t>計量金融學</t>
  </si>
  <si>
    <t>x1.5: [M1/2、化學、物理或經濟] 其中最佳一科</t>
    <phoneticPr fontId="3" type="noConversion"/>
  </si>
  <si>
    <t>JS4254</t>
  </si>
  <si>
    <t>商學院/社會科學院</t>
  </si>
  <si>
    <t>環球經濟與金融跨學科主修課程</t>
  </si>
  <si>
    <t>GLEF</t>
  </si>
  <si>
    <t>JS4264</t>
  </si>
  <si>
    <t>商學院/法學院</t>
  </si>
  <si>
    <t>工商管理學士（工商管理學士綜合課程）及法律博士雙學位課程</t>
  </si>
  <si>
    <t>BBA-JD</t>
  </si>
  <si>
    <t>JS4276</t>
  </si>
  <si>
    <t>商學院/理學院</t>
  </si>
  <si>
    <t>計量金融學及風險管理科學</t>
  </si>
  <si>
    <t>QFRM</t>
  </si>
  <si>
    <t>JS4329</t>
  </si>
  <si>
    <t>教育學院</t>
  </si>
  <si>
    <t>健康與體育運動科學</t>
  </si>
  <si>
    <t>PHY ED, EX SCI &amp; HEALTH</t>
  </si>
  <si>
    <t>JS4331</t>
  </si>
  <si>
    <t>文學士 (中國語文研究) 及教育學士 (中國語文教育)</t>
  </si>
  <si>
    <t>x2: 中文</t>
  </si>
  <si>
    <t>BA (CHI) BEd (CHI EDU)</t>
  </si>
  <si>
    <t>JS4343</t>
  </si>
  <si>
    <t>文學士(英國語文研究)及教育學士(英國語文教育)</t>
  </si>
  <si>
    <t>BA (ENG) BEd (ENG EDU)</t>
  </si>
  <si>
    <t>教育學士(數學及數學教育)</t>
  </si>
  <si>
    <t>x2: 數學、M1/2</t>
  </si>
  <si>
    <t>x1.5: 中文 或 英文</t>
  </si>
  <si>
    <t>MATHS EDUCATION</t>
  </si>
  <si>
    <t>最佳五科必須包括︰數學、M1/2</t>
    <phoneticPr fontId="3" type="noConversion"/>
  </si>
  <si>
    <t>x1.5: [物理、經濟 或 ICT] 其中最佳一科</t>
  </si>
  <si>
    <t>JS4372</t>
  </si>
  <si>
    <t>教育學士(幼兒教育)</t>
  </si>
  <si>
    <t>BEd (ECE)</t>
  </si>
  <si>
    <t>教育學院/工程學院/理學院</t>
    <phoneticPr fontId="3" type="noConversion"/>
  </si>
  <si>
    <t>理學士（學習設計與科技）</t>
  </si>
  <si>
    <t>LEARNING DESIGN AND TECH</t>
  </si>
  <si>
    <t>優先考慮修讀以下科目者︰</t>
    <phoneticPr fontId="3" type="noConversion"/>
  </si>
  <si>
    <t>x1.75: M1/2</t>
    <phoneticPr fontId="3" type="noConversion"/>
  </si>
  <si>
    <t>JS4408</t>
  </si>
  <si>
    <t>機械與自動化工程學</t>
  </si>
  <si>
    <t>MAEG</t>
  </si>
  <si>
    <t>x1.5: 數學、M1/2、物理</t>
    <phoneticPr fontId="3" type="noConversion"/>
  </si>
  <si>
    <t>計算機科學與工程</t>
  </si>
  <si>
    <t>COMPUTER SCI &amp; ENG</t>
  </si>
  <si>
    <t>JS4416</t>
  </si>
  <si>
    <t>工程學院/理學院</t>
    <phoneticPr fontId="3" type="noConversion"/>
  </si>
  <si>
    <t>計算數據科學</t>
  </si>
  <si>
    <t>CDAS</t>
  </si>
  <si>
    <t>JS4428</t>
  </si>
  <si>
    <t>金融科技學</t>
  </si>
  <si>
    <t>BENG FINTECH</t>
  </si>
  <si>
    <t>x1.75: 數學、M1/2</t>
    <phoneticPr fontId="3" type="noConversion"/>
  </si>
  <si>
    <t>JS4434</t>
  </si>
  <si>
    <t>電子工程學</t>
  </si>
  <si>
    <t>ELEG</t>
  </si>
  <si>
    <t>5%或更少(全Cert)</t>
  </si>
  <si>
    <t>信息工程學</t>
  </si>
  <si>
    <t>IERGN</t>
  </si>
  <si>
    <t>x2: 數學 | x1.75: M1/2</t>
    <phoneticPr fontId="3" type="noConversion"/>
  </si>
  <si>
    <t>JS4458</t>
  </si>
  <si>
    <t>系統工程與工程管理</t>
  </si>
  <si>
    <t>SEEM</t>
  </si>
  <si>
    <t>生物醫學工程學</t>
  </si>
  <si>
    <t>BMEG</t>
  </si>
  <si>
    <t>x1.5: [M1/2、數學] 其中最佳一科</t>
    <phoneticPr fontId="3" type="noConversion"/>
  </si>
  <si>
    <t>JS4462</t>
  </si>
  <si>
    <t>能源與環境工程學</t>
  </si>
  <si>
    <t>EEEN</t>
  </si>
  <si>
    <t>x1.2: 經濟、地理</t>
    <phoneticPr fontId="3" type="noConversion"/>
  </si>
  <si>
    <t>JS4468</t>
  </si>
  <si>
    <t>人工智能：系統與科技</t>
  </si>
  <si>
    <t>AIST</t>
  </si>
  <si>
    <t>JS4501</t>
  </si>
  <si>
    <t>醫學院</t>
  </si>
  <si>
    <t>內外全科醫學士課程</t>
  </si>
  <si>
    <t>MBChB</t>
  </si>
  <si>
    <t>優先考慮修讀 化學、生物 者</t>
    <phoneticPr fontId="3" type="noConversion"/>
  </si>
  <si>
    <t>優先考慮修讀 第三科選修 及/或 M1/2 者</t>
    <phoneticPr fontId="3" type="noConversion"/>
  </si>
  <si>
    <t>內外全科醫學士課程環球醫學領袖培訓專修組別</t>
  </si>
  <si>
    <t>MBChB-GPS</t>
  </si>
  <si>
    <t>JS4513</t>
  </si>
  <si>
    <t>護理學</t>
  </si>
  <si>
    <t>優先考慮修讀以下科目者:</t>
    <phoneticPr fontId="3" type="noConversion"/>
  </si>
  <si>
    <t>JS4525</t>
  </si>
  <si>
    <t>藥劑學</t>
  </si>
  <si>
    <t>PHARMACY</t>
  </si>
  <si>
    <t>JS4537</t>
  </si>
  <si>
    <t>公共衞生</t>
  </si>
  <si>
    <t>PUBLIC HEALTH</t>
  </si>
  <si>
    <t>JS4542</t>
  </si>
  <si>
    <t>中醫學</t>
  </si>
  <si>
    <t>CHIN MEDICINE</t>
  </si>
  <si>
    <t>JS4550</t>
  </si>
  <si>
    <t>生物醫學</t>
  </si>
  <si>
    <t>BIOMEDICAL SCIENCES</t>
  </si>
  <si>
    <t>JS4601</t>
  </si>
  <si>
    <t>理學</t>
  </si>
  <si>
    <t>SCIENCE</t>
  </si>
  <si>
    <t>x1.5: 英文或數學、經濟、地理、ICT、科技與生活</t>
  </si>
  <si>
    <t>註: 只有最多三科將會用以計算比重</t>
    <phoneticPr fontId="3" type="noConversion"/>
  </si>
  <si>
    <t>地球與環境科學</t>
  </si>
  <si>
    <t>EESC</t>
  </si>
  <si>
    <t>JS4682</t>
  </si>
  <si>
    <t>數學精研</t>
  </si>
  <si>
    <t>x3.5: M1/2</t>
  </si>
  <si>
    <t>ENRICHMENT MATHEMATICS</t>
  </si>
  <si>
    <t>優先考慮 M1/2 成績優異者</t>
    <phoneticPr fontId="3" type="noConversion"/>
  </si>
  <si>
    <t>JS4690</t>
  </si>
  <si>
    <t>理論物理精研</t>
  </si>
  <si>
    <t>x2: 物理</t>
  </si>
  <si>
    <t>x1.5: 數學、M1/2</t>
  </si>
  <si>
    <t>THEORETICAL PHYSICS</t>
  </si>
  <si>
    <t>優先考慮修讀  M1/2 者</t>
    <phoneticPr fontId="3" type="noConversion"/>
  </si>
  <si>
    <t>JS4719</t>
  </si>
  <si>
    <t>風險管理科學</t>
  </si>
  <si>
    <t>RISK MGT SCI</t>
  </si>
  <si>
    <t>x2: 數學、M1/2</t>
    <phoneticPr fontId="3" type="noConversion"/>
  </si>
  <si>
    <t>JS4725</t>
  </si>
  <si>
    <t>理學院/商學院</t>
    <phoneticPr fontId="3" type="noConversion"/>
  </si>
  <si>
    <t>生物科技、創業與醫療管理</t>
  </si>
  <si>
    <t>BEHM</t>
  </si>
  <si>
    <t>JS4733</t>
  </si>
  <si>
    <t>理學院/工程學院</t>
    <phoneticPr fontId="3" type="noConversion"/>
  </si>
  <si>
    <t>數學與信息工程學</t>
  </si>
  <si>
    <t>MIEGN</t>
  </si>
  <si>
    <t>中大(深圳)</t>
    <phoneticPr fontId="3" type="noConversion"/>
  </si>
  <si>
    <t>跨學科數據分析及Ｘ 理學士雙主修課程</t>
  </si>
  <si>
    <t>JS4801</t>
  </si>
  <si>
    <t>社會科學</t>
  </si>
  <si>
    <t>SOCIAL SCIENCE</t>
  </si>
  <si>
    <t>x1.3: 英文</t>
    <phoneticPr fontId="3" type="noConversion"/>
  </si>
  <si>
    <t>JS4812</t>
  </si>
  <si>
    <t>建築學</t>
  </si>
  <si>
    <t>ARCHITECTURE</t>
  </si>
  <si>
    <t>此課程鼓勵申請人向學校遞交 設計作品集。 詳情請細閱學校網站。</t>
    <phoneticPr fontId="3" type="noConversion"/>
  </si>
  <si>
    <t>http://www.arch.cuhk.edu.hk/programme/bachelor-social-science-architectural-studies/</t>
    <phoneticPr fontId="3" type="noConversion"/>
  </si>
  <si>
    <t>JS4824</t>
  </si>
  <si>
    <t>經濟學</t>
  </si>
  <si>
    <t>ECONOMICS</t>
  </si>
  <si>
    <t>JS4836</t>
  </si>
  <si>
    <t>地理與資源管理學</t>
  </si>
  <si>
    <t>GEO &amp; RES MGT</t>
  </si>
  <si>
    <t>x1.5: 英文、地理</t>
    <phoneticPr fontId="3" type="noConversion"/>
  </si>
  <si>
    <t>JS4838</t>
  </si>
  <si>
    <t>城市研究</t>
  </si>
  <si>
    <t>URBAN STUDIES</t>
  </si>
  <si>
    <t>JS4848</t>
  </si>
  <si>
    <t>政治與行政學</t>
  </si>
  <si>
    <t>GOV'T &amp; PUBLIC ADMIN</t>
  </si>
  <si>
    <t>JS4850</t>
  </si>
  <si>
    <t>新聞與傳播學</t>
  </si>
  <si>
    <t>JOURNALISM &amp; COMMUN</t>
  </si>
  <si>
    <t>x1.3: 中文、英文</t>
    <phoneticPr fontId="3" type="noConversion"/>
  </si>
  <si>
    <t>JS4858</t>
  </si>
  <si>
    <t>全球傳播</t>
  </si>
  <si>
    <t>GLOBAL COMM</t>
  </si>
  <si>
    <t>心理學</t>
  </si>
  <si>
    <t>x1.5: 英文、數學</t>
  </si>
  <si>
    <t>PSYCHOLOGY</t>
  </si>
  <si>
    <t>x1.5: 英文、數學</t>
    <phoneticPr fontId="3" type="noConversion"/>
  </si>
  <si>
    <t>JS4874</t>
  </si>
  <si>
    <t>社會工作</t>
  </si>
  <si>
    <t>SOCIAL WORK</t>
  </si>
  <si>
    <t>JS4886</t>
  </si>
  <si>
    <t>社會學</t>
  </si>
  <si>
    <t>SOCIOLOGY</t>
  </si>
  <si>
    <t>JS4892</t>
  </si>
  <si>
    <t>全球研究</t>
  </si>
  <si>
    <t>GLOBAL STUDIES</t>
  </si>
  <si>
    <t>JS4893</t>
  </si>
  <si>
    <t>數據科學與政策研究</t>
  </si>
  <si>
    <t>DSPS</t>
  </si>
  <si>
    <t>JS4903</t>
  </si>
  <si>
    <t>法學院</t>
  </si>
  <si>
    <t>Band A Application</t>
  </si>
  <si>
    <t>Band A Offer</t>
  </si>
  <si>
    <t>國際科研</t>
  </si>
  <si>
    <t>英數Best3</t>
  </si>
  <si>
    <t>英文 x1 + 數學 x1</t>
    <phoneticPr fontId="3" type="noConversion"/>
  </si>
  <si>
    <t>+ 最佳一科 x1</t>
    <phoneticPr fontId="3" type="noConversion"/>
  </si>
  <si>
    <t>含比重科目的平均成績︰</t>
    <phoneticPr fontId="3" type="noConversion"/>
  </si>
  <si>
    <t>申請人必須出席面試</t>
  </si>
  <si>
    <t>理學Ａ組</t>
  </si>
  <si>
    <t>英文 x1.5 + 數學 x1 + 最佳一科理科x1 + 最佳兩科x1</t>
    <phoneticPr fontId="3" type="noConversion"/>
  </si>
  <si>
    <t>最多只有兩科理科會計算比重</t>
    <phoneticPr fontId="3" type="noConversion"/>
  </si>
  <si>
    <t>物理 / M1/2: Lv.4</t>
    <phoneticPr fontId="3" type="noConversion"/>
  </si>
  <si>
    <t>理學Ｂ組</t>
  </si>
  <si>
    <t>生物/化學: Lv.4</t>
    <phoneticPr fontId="3" type="noConversion"/>
  </si>
  <si>
    <t>理學Ａ組– 延伸主修人工智能</t>
  </si>
  <si>
    <t>物理 / M1/2: Lv.5</t>
    <phoneticPr fontId="3" type="noConversion"/>
  </si>
  <si>
    <t>數學 / M1/2: Lv.5</t>
    <phoneticPr fontId="3" type="noConversion"/>
  </si>
  <si>
    <t>JS5200</t>
  </si>
  <si>
    <t>工程學</t>
  </si>
  <si>
    <t>英文x2  + 數學x2 + 最佳理科* x2 + 最佳兩科 x1</t>
    <phoneticPr fontId="3" type="noConversion"/>
  </si>
  <si>
    <t>(*理科: 生物/ 化學 /物理 / 組合科學) (ICT則只會x1)</t>
    <phoneticPr fontId="3" type="noConversion"/>
  </si>
  <si>
    <t>(若最佳兩科包括M1/2，則M1/2會 x 1.5)</t>
    <phoneticPr fontId="3" type="noConversion"/>
  </si>
  <si>
    <t>理科 / ICT: Lv.5</t>
  </si>
  <si>
    <t>理學士（綜合系統與設計）</t>
  </si>
  <si>
    <t>(*理科: 生物/ 化學 /物理 / 組合科學/DAT) (ICT則只會x1)</t>
    <phoneticPr fontId="3" type="noConversion"/>
  </si>
  <si>
    <t>理科 / ICT /DAT: Lv.5</t>
    <phoneticPr fontId="3" type="noConversion"/>
  </si>
  <si>
    <t>申請人必須以指定連結遞交 設計相關履歷，或以OEA/SLP形式遞交。</t>
    <phoneticPr fontId="3" type="noConversion"/>
  </si>
  <si>
    <t>受邀的申請人須參與入學面試/團體設計活動，詳情請細閱以下網站:</t>
    <phoneticPr fontId="3" type="noConversion"/>
  </si>
  <si>
    <t>https://isd.hkust.edu.hk/academics/bsc-in-integrative-systems-and-design-isd</t>
    <phoneticPr fontId="3" type="noConversion"/>
  </si>
  <si>
    <t>JS5282</t>
  </si>
  <si>
    <t>工程學– 延伸主修人工智能</t>
  </si>
  <si>
    <t>JS5300</t>
  </si>
  <si>
    <t>工商管理</t>
  </si>
  <si>
    <t>英數Best4</t>
  </si>
  <si>
    <t>JS5311</t>
  </si>
  <si>
    <t>工商管理學士（經濟學）</t>
  </si>
  <si>
    <t>JS5312</t>
  </si>
  <si>
    <t>工商管理學士（金融學）</t>
  </si>
  <si>
    <t>英文x2  + 數學x2</t>
    <phoneticPr fontId="3" type="noConversion"/>
  </si>
  <si>
    <t>JS5313</t>
  </si>
  <si>
    <t>工商管理學士（環球商業管理）</t>
  </si>
  <si>
    <t>英文科應考獲Lv.5 或以上</t>
  </si>
  <si>
    <t>JS5314</t>
  </si>
  <si>
    <t>工商管理學士（資訊系統學）</t>
  </si>
  <si>
    <t>JS5315</t>
  </si>
  <si>
    <t>工商管理學士（管理學）</t>
  </si>
  <si>
    <t>JS5316</t>
  </si>
  <si>
    <t>工商管理學士（市場學）</t>
  </si>
  <si>
    <t>JS5317</t>
  </si>
  <si>
    <t>工商管理學士（營運管理學）</t>
  </si>
  <si>
    <t>JS5318</t>
  </si>
  <si>
    <t>工商管理學士（專業會計學）</t>
  </si>
  <si>
    <t>JS5331</t>
  </si>
  <si>
    <t>理學士（經濟及金融學）</t>
  </si>
  <si>
    <t>JS5332</t>
  </si>
  <si>
    <t>理學士（量化金融學）</t>
  </si>
  <si>
    <t>JS5411</t>
  </si>
  <si>
    <t>人文社會科學學院</t>
  </si>
  <si>
    <t>理學士（環球中國研究）</t>
  </si>
  <si>
    <t>中文: Lv.4</t>
    <phoneticPr fontId="3" type="noConversion"/>
  </si>
  <si>
    <t>JS5412</t>
  </si>
  <si>
    <t>理學士（定量社會數據分析）</t>
  </si>
  <si>
    <t>數學 / M1/2: Lv.5</t>
  </si>
  <si>
    <t>數學科應考獲Lv.4 或以上</t>
  </si>
  <si>
    <t>JS5811</t>
  </si>
  <si>
    <t>跨學科課程</t>
  </si>
  <si>
    <t>理學士（生物科技及商學）</t>
  </si>
  <si>
    <t>(*選修: 生物/ 化學 )</t>
    <phoneticPr fontId="3" type="noConversion"/>
  </si>
  <si>
    <t>JS5812</t>
  </si>
  <si>
    <t>理學士（環境管理及科技）</t>
  </si>
  <si>
    <t>JS5813</t>
  </si>
  <si>
    <t>理學士（數學與經濟學）</t>
  </si>
  <si>
    <t>JS5814</t>
  </si>
  <si>
    <t>理學士（風險管理及商業智能學）</t>
  </si>
  <si>
    <t>JS5822</t>
  </si>
  <si>
    <t>理學士（可持續發展及綠色金融）</t>
  </si>
  <si>
    <t>SGFN</t>
  </si>
  <si>
    <t>JS5901</t>
  </si>
  <si>
    <t>科技及管理學雙學位課程</t>
  </si>
  <si>
    <t>HKU</t>
  </si>
  <si>
    <t>建築學院</t>
  </si>
  <si>
    <t>可包含 M1/2 或丙類科目 (較高者) 於計算內</t>
  </si>
  <si>
    <t>BA(AS)</t>
  </si>
  <si>
    <t>能力傾向測試  (Aptitude Test)</t>
    <phoneticPr fontId="3" type="noConversion"/>
  </si>
  <si>
    <t>Combine Cert:</t>
    <phoneticPr fontId="3" type="noConversion"/>
  </si>
  <si>
    <t>Best results in 2 or more sittings of HKDSE</t>
  </si>
  <si>
    <t xml:space="preserve">	BSC(SURV)</t>
  </si>
  <si>
    <t>學生學習概覽 (SLP)</t>
    <phoneticPr fontId="3" type="noConversion"/>
  </si>
  <si>
    <t>其他科目</t>
    <phoneticPr fontId="3" type="noConversion"/>
  </si>
  <si>
    <t xml:space="preserve">	BA(LS)</t>
  </si>
  <si>
    <t>作品集 (Portfolio)</t>
    <phoneticPr fontId="3" type="noConversion"/>
  </si>
  <si>
    <t>申請人可遞交 一份 創意作品 (如 畫作、寫作 或 任何創作) 供學系作考慮。作品集 及 推薦信(如有) 應直接以紙本方式向學系遞交。</t>
    <phoneticPr fontId="3" type="noConversion"/>
  </si>
  <si>
    <t xml:space="preserve">	BA(US)</t>
  </si>
  <si>
    <t>x1.5: 英文、中文</t>
  </si>
  <si>
    <t xml:space="preserve">	BA</t>
  </si>
  <si>
    <t>可包含 M1/2 或丙類科目 (較高者) 於計算內</t>
    <phoneticPr fontId="3" type="noConversion"/>
  </si>
  <si>
    <t>Lv.5/5*/5** 數量</t>
    <phoneticPr fontId="3" type="noConversion"/>
  </si>
  <si>
    <t>BA(HDT)</t>
  </si>
  <si>
    <t>經濟及工商管理學院</t>
  </si>
  <si>
    <t>如同學有修讀七科，第七科成績 (x0.2) 會額外加上原有的Best 6分數</t>
  </si>
  <si>
    <t>x0.2: 第七最佳科目</t>
    <phoneticPr fontId="3" type="noConversion"/>
  </si>
  <si>
    <t>此課程原為JS6781，2023年分拆為兩科獨立收生。</t>
  </si>
  <si>
    <t>如同學有修讀七科，第七科成績 (x0.2) 會額外加上原有的Best 6分數</t>
    <phoneticPr fontId="3" type="noConversion"/>
  </si>
  <si>
    <t xml:space="preserve">	BEcon/BEcon&amp;Fin</t>
  </si>
  <si>
    <t xml:space="preserve">	BBA/BBA(Acc&amp;Fin)</t>
  </si>
  <si>
    <t xml:space="preserve">	BFin(AMPB)</t>
  </si>
  <si>
    <t xml:space="preserve">	BBA(IS)</t>
  </si>
  <si>
    <t xml:space="preserve">	BBA(Law)&amp;LLB</t>
  </si>
  <si>
    <t>最佳六科必須包括︰英文、數學、M1/2</t>
  </si>
  <si>
    <t>x1.25: 數學、M1/M2</t>
  </si>
  <si>
    <t>BSc(MAT)</t>
  </si>
  <si>
    <t xml:space="preserve">	BSc(QFin)</t>
  </si>
  <si>
    <t>BBA(IBGM)</t>
  </si>
  <si>
    <t>牙醫學院</t>
  </si>
  <si>
    <t>最佳六科必須包括 最佳理科*</t>
    <phoneticPr fontId="3" type="noConversion"/>
  </si>
  <si>
    <t>BDS</t>
  </si>
  <si>
    <t>10%(重考科目)</t>
    <phoneticPr fontId="3" type="noConversion"/>
  </si>
  <si>
    <t>BA&amp;BED(LangEd)-Eng</t>
  </si>
  <si>
    <t>Candidates are strongly advised to include their personal statement in English in the "Additional Information" of their JUPAS application.</t>
    <phoneticPr fontId="3" type="noConversion"/>
  </si>
  <si>
    <t>Candidates are encouraged to enter details about their other learning experiences or extra curricular activities.</t>
    <phoneticPr fontId="3" type="noConversion"/>
  </si>
  <si>
    <t>Supporting documents should be uploaded to the appropriate sections of OEA or SLP.</t>
    <phoneticPr fontId="3" type="noConversion"/>
  </si>
  <si>
    <t xml:space="preserve">	BA&amp;BED(LangEd)-Chin</t>
  </si>
  <si>
    <t xml:space="preserve">	BED(ECE&amp;SE)</t>
  </si>
  <si>
    <t>最佳五科必須包括︰英文、數學、最佳理科*</t>
    <phoneticPr fontId="3" type="noConversion"/>
  </si>
  <si>
    <t xml:space="preserve">	BED&amp;BSC</t>
  </si>
  <si>
    <t xml:space="preserve">	BSC(SPEECH)</t>
  </si>
  <si>
    <t>Lv.5**/5* 數量</t>
  </si>
  <si>
    <t>可包含 M1/2 或丙類科目於計算內</t>
  </si>
  <si>
    <t>Best results in the latest 3 sittings of HKDSE</t>
  </si>
  <si>
    <t xml:space="preserve">	BENG(BME)</t>
  </si>
  <si>
    <t>可包含 M1/2 或丙類科目於計算內</t>
    <phoneticPr fontId="3" type="noConversion"/>
  </si>
  <si>
    <t>GEBP</t>
  </si>
  <si>
    <t xml:space="preserve">	BENG(EngSc)</t>
  </si>
  <si>
    <t xml:space="preserve">	BENG</t>
  </si>
  <si>
    <t xml:space="preserve">	BA&amp;LLB</t>
  </si>
  <si>
    <t xml:space="preserve">	LLB</t>
  </si>
  <si>
    <t>如同學有修讀六科，第六科成績 (x0.5) 會額外加上原有的Best 5分數</t>
  </si>
  <si>
    <t>x0.5: 第六最佳科目</t>
    <phoneticPr fontId="3" type="noConversion"/>
  </si>
  <si>
    <t>BNURS-ALT</t>
  </si>
  <si>
    <t>如同學有修讀六科，第六科成績 (x0.5) 會額外加上原有的Best 5分數</t>
    <phoneticPr fontId="3" type="noConversion"/>
  </si>
  <si>
    <t xml:space="preserve">	MBBS</t>
  </si>
  <si>
    <t xml:space="preserve">	BNURS</t>
  </si>
  <si>
    <t>BSc(Bioinformatics)</t>
  </si>
  <si>
    <t>面試表現</t>
  </si>
  <si>
    <t>學生學習概覽 (SLP)</t>
  </si>
  <si>
    <t>BChinMed</t>
  </si>
  <si>
    <t xml:space="preserve">	BBiomedSc</t>
  </si>
  <si>
    <t>SMC</t>
  </si>
  <si>
    <t>最佳五科必須包括︰英文、數學、最佳兩科理科*</t>
  </si>
  <si>
    <t>*理科: M1/2、生物、化學、物理、組合科學</t>
  </si>
  <si>
    <t>最佳五科必須包括︰英文、數學、M1/2</t>
  </si>
  <si>
    <t>x1.2: 英文、數學、M1/M2</t>
  </si>
  <si>
    <t xml:space="preserve">	BSC(AC)</t>
  </si>
  <si>
    <t>最佳六科必須包括︰英文、[數學或M1/2]、最佳理科*</t>
    <phoneticPr fontId="3" type="noConversion"/>
  </si>
  <si>
    <t>x2: 英文、[數學 或 M1/2]、最佳理科</t>
    <phoneticPr fontId="3" type="noConversion"/>
  </si>
  <si>
    <t>BSc&amp;LLB</t>
  </si>
  <si>
    <t>其他科目</t>
  </si>
  <si>
    <t xml:space="preserve">	BSC</t>
  </si>
  <si>
    <t>Completion of Junior Science Institute (JSI) workshop</t>
  </si>
  <si>
    <t>JS6705</t>
  </si>
  <si>
    <t>心理學學士</t>
  </si>
  <si>
    <t>BPsych</t>
  </si>
  <si>
    <t xml:space="preserve">	BSS</t>
  </si>
  <si>
    <t xml:space="preserve">	BSS(GL)&amp;LLB</t>
  </si>
  <si>
    <t xml:space="preserve">	BJ</t>
  </si>
  <si>
    <t>文理學士學位</t>
  </si>
  <si>
    <t xml:space="preserve">	BASc</t>
  </si>
  <si>
    <t>最佳五科必須包括︰英文、數學、M1/2</t>
    <phoneticPr fontId="3" type="noConversion"/>
  </si>
  <si>
    <t>x2: 英文、數學、M1/M2</t>
  </si>
  <si>
    <t>BASc(AppliedAI)</t>
  </si>
  <si>
    <t xml:space="preserve">	BASc(Design+)</t>
  </si>
  <si>
    <t xml:space="preserve">	BASc(FinTech)</t>
  </si>
  <si>
    <t xml:space="preserve">	BASc(GHD)</t>
  </si>
  <si>
    <t>x1.5: 中文、英文、[中國歷史或中國文學]</t>
  </si>
  <si>
    <t>BA (Hons) Chinese</t>
  </si>
  <si>
    <t>JS7123</t>
  </si>
  <si>
    <t>跨學院</t>
  </si>
  <si>
    <t>環球可持續發展(榮譽)博雅學士</t>
  </si>
  <si>
    <t>BLA (Hons) GDS</t>
  </si>
  <si>
    <t>JS7133</t>
  </si>
  <si>
    <t>動畫及數碼藝術(榮譽)文學士</t>
  </si>
  <si>
    <t>x1.5: 中文、英文</t>
    <phoneticPr fontId="3" type="noConversion"/>
  </si>
  <si>
    <t>BA (Hons) ADA</t>
  </si>
  <si>
    <t>x1.5: 中文、英文、ICT、視覺藝術</t>
  </si>
  <si>
    <t>JS7200</t>
  </si>
  <si>
    <t>工商管理(榮譽)學士</t>
  </si>
  <si>
    <t>BBA (Hons)</t>
  </si>
  <si>
    <t>JS7204</t>
  </si>
  <si>
    <t>翻譯、跨文化研究及企業傳訊(榮譽)文學士</t>
  </si>
  <si>
    <t>BA (Hons) Trans, CS &amp; CC</t>
  </si>
  <si>
    <t>x1.5: 中文、中國文學、英語文學</t>
  </si>
  <si>
    <t>JS7216</t>
  </si>
  <si>
    <t>工商管理(榮譽)學士 - 風險及保險管理</t>
  </si>
  <si>
    <t>BBA (Hons) - RIM</t>
  </si>
  <si>
    <t>JS7225</t>
  </si>
  <si>
    <t>數據科學(榮譽)理學士</t>
  </si>
  <si>
    <t>BSc (Hons) Data Science</t>
  </si>
  <si>
    <t>JS7301</t>
  </si>
  <si>
    <t>社會科學(榮譽)學士 - 經濟學</t>
  </si>
  <si>
    <t>BSocSc (Hons) Economics</t>
  </si>
  <si>
    <t>JS7302</t>
  </si>
  <si>
    <t>社會科學(榮譽)學士 - 政府與國際事務學</t>
  </si>
  <si>
    <t>BSocSc (Hons) Gov't &amp; IA</t>
  </si>
  <si>
    <t>JS7303</t>
  </si>
  <si>
    <t>社會科學(榮譽)學士 - 心理學</t>
  </si>
  <si>
    <t>BSocSc (Hons) Psychology</t>
  </si>
  <si>
    <t>JS7304</t>
  </si>
  <si>
    <t>社會科學(榮譽)學士 - 社會學</t>
  </si>
  <si>
    <t>BSocSc (Hons) Sociology</t>
  </si>
  <si>
    <t>JS7305</t>
  </si>
  <si>
    <t>社會科學(榮譽)學士 - 健康及社會服務管理</t>
  </si>
  <si>
    <t>BSocSc (Hons) HSSM</t>
  </si>
  <si>
    <t>JS7306</t>
  </si>
  <si>
    <t>社會科學(榮譽)學士 - 社會與公共政策研究</t>
  </si>
  <si>
    <t>BSocSc (Hons) SPPS</t>
  </si>
  <si>
    <t>JS7503</t>
  </si>
  <si>
    <t>當代英語語言文學課程(榮譽)文學士</t>
  </si>
  <si>
    <t>BA (Hons) Contem English</t>
  </si>
  <si>
    <t>x1.5: 中文、英語文學</t>
  </si>
  <si>
    <t>JS7606</t>
  </si>
  <si>
    <t>文化研究(榮譽)文學士</t>
  </si>
  <si>
    <t>BA (Hons) Cultural Stud</t>
  </si>
  <si>
    <t>JS7709</t>
  </si>
  <si>
    <t>歷史(榮譽)文學士</t>
  </si>
  <si>
    <t>BA (Hons) History</t>
  </si>
  <si>
    <t>x1.2: 中國歷史、歷史</t>
  </si>
  <si>
    <t>JS7802</t>
  </si>
  <si>
    <t>哲學(榮譽)文學士</t>
  </si>
  <si>
    <t>BA (Hons) Philosophy</t>
  </si>
  <si>
    <t>JS7905</t>
  </si>
  <si>
    <t>視覺研究(榮譽)文學士</t>
  </si>
  <si>
    <t>BA (Hons) Visual Studies</t>
  </si>
  <si>
    <t>x1.5: ICT、視覺藝術</t>
  </si>
  <si>
    <t>JS8105</t>
  </si>
  <si>
    <t>中國語文教育榮譽學士</t>
  </si>
  <si>
    <t>中文平均分: Lv. 5</t>
    <phoneticPr fontId="3" type="noConversion"/>
  </si>
  <si>
    <t>BEd(CHI)</t>
  </si>
  <si>
    <t>此參考分數為院校公佈的 平均分數，沒有估算成份。</t>
  </si>
  <si>
    <t>JS8222</t>
  </si>
  <si>
    <t>英國語文教育榮譽學士 — 小學</t>
  </si>
  <si>
    <t>英文平均分: Lv. 5</t>
    <phoneticPr fontId="3" type="noConversion"/>
  </si>
  <si>
    <t>BEd(ENG)-Pri</t>
  </si>
  <si>
    <t>JS8234</t>
  </si>
  <si>
    <t>博文及社會科學學院</t>
  </si>
  <si>
    <t>小學教育榮譽學士 - 常識</t>
  </si>
  <si>
    <t>BEd(P)-GS</t>
  </si>
  <si>
    <t>JS8246</t>
  </si>
  <si>
    <t>小學教育榮譽學士 - 數學</t>
  </si>
  <si>
    <t>BEd(P)-MA</t>
  </si>
  <si>
    <t>JS8325</t>
  </si>
  <si>
    <t>體育教育榮譽學士</t>
  </si>
  <si>
    <t>BEd(PE)</t>
  </si>
  <si>
    <t>JS8361</t>
  </si>
  <si>
    <t>中學教育榮譽學士 - 資訊及通訊科技</t>
  </si>
  <si>
    <t>BEd(S)-ICT</t>
  </si>
  <si>
    <t>JS8371</t>
  </si>
  <si>
    <t>企業、會計與財務概論教育榮譽學士</t>
  </si>
  <si>
    <t>BEd(BAFS)</t>
  </si>
  <si>
    <t>JS8381</t>
  </si>
  <si>
    <t>BEd(HIST)</t>
  </si>
  <si>
    <t>JS8404</t>
  </si>
  <si>
    <t>教育及人類發展學院</t>
  </si>
  <si>
    <t>幼兒教育榮譽學士</t>
  </si>
  <si>
    <t>BEd(ECE)</t>
  </si>
  <si>
    <t>JS8428</t>
  </si>
  <si>
    <t>地理教育榮譽學士</t>
  </si>
  <si>
    <t>BEd(GEOG)</t>
  </si>
  <si>
    <t>JS8430</t>
  </si>
  <si>
    <t>科學教育榮譽學士</t>
  </si>
  <si>
    <t>BEd(Science)</t>
  </si>
  <si>
    <t>JS8507</t>
  </si>
  <si>
    <t>幼兒教育高級文憑</t>
  </si>
  <si>
    <t>HD(ECE)</t>
  </si>
  <si>
    <t>JS8600</t>
  </si>
  <si>
    <t>語文研究榮譽文學士 (中文主修)</t>
  </si>
  <si>
    <t>BA(Lang Studies)-CN</t>
  </si>
  <si>
    <t>JS8612</t>
  </si>
  <si>
    <t>語文研究榮譽文學士 (英文主修)</t>
  </si>
  <si>
    <t>BA(Lang Studies)-EG</t>
  </si>
  <si>
    <t>JS8636</t>
  </si>
  <si>
    <t>創意藝術與文化榮譽文學士 (音樂)</t>
  </si>
  <si>
    <t>BA(CAC)-MU</t>
  </si>
  <si>
    <t>JS8648</t>
  </si>
  <si>
    <t>創意藝術與文化榮譽文學士 (視覺藝術)</t>
  </si>
  <si>
    <t>BA(CAC)-VA</t>
  </si>
  <si>
    <t>JS8651</t>
  </si>
  <si>
    <t>心理學榮譽社會科學學士</t>
  </si>
  <si>
    <t>BSocSc(Psy)</t>
  </si>
  <si>
    <t>JS8663</t>
  </si>
  <si>
    <t>特殊教育榮譽文學士</t>
  </si>
  <si>
    <t>BA(SE)</t>
  </si>
  <si>
    <t>文化傳承教育與藝術管理榮譽文學士</t>
  </si>
  <si>
    <t>JS8702</t>
  </si>
  <si>
    <t>綜合環境管理榮譽理學士</t>
  </si>
  <si>
    <t>BSc(IEM)</t>
  </si>
  <si>
    <t>JS8714</t>
  </si>
  <si>
    <t>人工智能與教育科技榮譽理學士</t>
  </si>
  <si>
    <t>BSc(AI&amp;EdTech)</t>
  </si>
  <si>
    <t>JS8726</t>
  </si>
  <si>
    <t>運動科學及教練榮譽理學士</t>
  </si>
  <si>
    <t>BSc(SPSC)</t>
  </si>
  <si>
    <t>JS8801</t>
  </si>
  <si>
    <t>創意藝術與文化榮譽文學士及音樂教育榮譽學士 (同期結業雙學位課程)</t>
  </si>
  <si>
    <t>BA(CAC) &amp; BEd(MU)</t>
  </si>
  <si>
    <t>JS8813</t>
  </si>
  <si>
    <t>創意藝術與文化榮譽文學士及視覺藝術教育榮譽學士 (同期結業雙學位課程)</t>
  </si>
  <si>
    <t>BA(CAC) &amp; BEd(VA)</t>
  </si>
  <si>
    <t>JS8825</t>
  </si>
  <si>
    <t>語文研究榮譽文學士及英文教育榮譽學士 (同期結業雙學位課程)</t>
  </si>
  <si>
    <t>BA(Lang Studies)&amp;BEd(EL)</t>
  </si>
  <si>
    <t>JS9009</t>
    <phoneticPr fontId="3" type="noConversion"/>
  </si>
  <si>
    <t>社會科學榮譽學士</t>
  </si>
  <si>
    <t>BSSc(Hons)</t>
  </si>
  <si>
    <t>此課程由以下舊課程整合而成︰</t>
  </si>
  <si>
    <t>JS9003 政治及公共行政榮譽社會科學學士、JS9004 應用社會研究榮譽社會科學學士</t>
  </si>
  <si>
    <t>JS9005 全球與中國研究榮譽社會科學學士、JS9006 高齡社會與服務研究榮譽社會科學學士</t>
  </si>
  <si>
    <t>JS9007 經濟及公共政策分析榮譽社會科學學士</t>
  </si>
  <si>
    <t>JS9010</t>
    <phoneticPr fontId="3" type="noConversion"/>
  </si>
  <si>
    <t>心理學榮譽社會科學學士</t>
    <phoneticPr fontId="3" type="noConversion"/>
  </si>
  <si>
    <t>BSSc(Hons)Psychology</t>
  </si>
  <si>
    <t>JS9001 心理學榮譽社會科學學士</t>
  </si>
  <si>
    <t>JS9008 心理學與精神健康榮譽社會科學學士</t>
  </si>
  <si>
    <t>JS9011</t>
  </si>
  <si>
    <t>中文榮譽文學士</t>
  </si>
  <si>
    <t>x2: 中文</t>
    <phoneticPr fontId="3" type="noConversion"/>
  </si>
  <si>
    <t>BA(Hons) Chinese</t>
  </si>
  <si>
    <t>JS9013</t>
  </si>
  <si>
    <t>語言研究與翻譯榮譽文學士</t>
  </si>
  <si>
    <t>BA(Hons) LangStud &amp; Tran</t>
  </si>
  <si>
    <t>JS9016</t>
  </si>
  <si>
    <t>創意廣告及媒體設計榮譽文學士</t>
  </si>
  <si>
    <t>BA(Hons)CreAd&amp;MediaDesig</t>
  </si>
  <si>
    <t>JS9019</t>
  </si>
  <si>
    <t>英語及文化榮譽文學士</t>
  </si>
  <si>
    <t>BA(Hons) EngLang&amp;Cult</t>
  </si>
  <si>
    <t>JS9220</t>
  </si>
  <si>
    <t>李兆基商業管理學院</t>
  </si>
  <si>
    <t>專業會計榮譽工商管理學士</t>
  </si>
  <si>
    <t>BBA(Hons) Pro Acct</t>
  </si>
  <si>
    <t>BBA(Hons)AviServMgt</t>
  </si>
  <si>
    <t>JS9230</t>
  </si>
  <si>
    <t>商業管理學榮譽工商管理學士</t>
  </si>
  <si>
    <t>BBA(Hons) Business Mgt</t>
  </si>
  <si>
    <t>JS9240</t>
  </si>
  <si>
    <t>環球商業及市場學榮譽工商管理學士</t>
  </si>
  <si>
    <t>BBA(Hons)GB &amp; Mktg</t>
  </si>
  <si>
    <t>JS9250</t>
  </si>
  <si>
    <t>JS9262</t>
  </si>
  <si>
    <t>人力資源管理學榮譽工商管理學士</t>
  </si>
  <si>
    <t>BBA(Hons)HRM</t>
  </si>
  <si>
    <t>JS9266</t>
  </si>
  <si>
    <t>市場學榮譽工商管理學士</t>
  </si>
  <si>
    <t>BBA(Hons)Mkt</t>
  </si>
  <si>
    <t>JS9280</t>
  </si>
  <si>
    <t>應用心理學榮譽學士，商業管理榮譽學士</t>
  </si>
  <si>
    <t>BAPH &amp; BBMH</t>
  </si>
  <si>
    <t>JS9291</t>
  </si>
  <si>
    <t>酒店及可持續旅遊管理榮譽工商管理學士</t>
  </si>
  <si>
    <t>BBA(Hons)Hotel &amp;SustTour</t>
  </si>
  <si>
    <t>JS9294</t>
  </si>
  <si>
    <t>運動及電競運動管理榮譽工商管理學士</t>
  </si>
  <si>
    <t>BBA(Hons) eSports Mgt</t>
  </si>
  <si>
    <t>JS9530</t>
  </si>
  <si>
    <t>教育及語文學院</t>
  </si>
  <si>
    <t>英語教學榮譽教育學士及英語研究榮譽學士</t>
  </si>
  <si>
    <t>BEd(Hons)&amp;BEngLang(Hons)</t>
  </si>
  <si>
    <t>JS9540</t>
  </si>
  <si>
    <t>英語研究榮譽學士</t>
  </si>
  <si>
    <t>BEng Lang (Hons)</t>
  </si>
  <si>
    <t>JS9550</t>
  </si>
  <si>
    <t>語言研究榮譽學士（應用中國語言）</t>
  </si>
  <si>
    <t>x2: 中文、中國文學</t>
    <phoneticPr fontId="3" type="noConversion"/>
  </si>
  <si>
    <t>BLang(Hons) Applied Chin</t>
  </si>
  <si>
    <t>JS9560</t>
  </si>
  <si>
    <t>教育榮譽學士（中國語文教學）及語言研究榮譽學士（應用中國語言）</t>
  </si>
  <si>
    <t>BEd(Hons)&amp;BLang(Hons)Chi</t>
  </si>
  <si>
    <t>JS9580</t>
  </si>
  <si>
    <t>教育榮譽學士（幼兒教育：領導及特殊教育需要）</t>
  </si>
  <si>
    <t>x2: (ApL) 幼兒教育 Child Care and Education</t>
    <phoneticPr fontId="3" type="noConversion"/>
  </si>
  <si>
    <t>BEd(Hons)ECE-Leader&amp;SEN</t>
  </si>
  <si>
    <t>JS9719</t>
  </si>
  <si>
    <t>科技學院</t>
  </si>
  <si>
    <t>網路及電腦安全榮譽理學士</t>
  </si>
  <si>
    <t>BSc(Hons) Cyber&amp;ComSecy</t>
  </si>
  <si>
    <t>JS9720</t>
  </si>
  <si>
    <t>電子及電腦工程學榮譽工學士</t>
  </si>
  <si>
    <t>BEng(Hons)Elec &amp; CompEng</t>
  </si>
  <si>
    <t>JS9731</t>
  </si>
  <si>
    <t>環境科學與綠色管理榮譽理學士</t>
  </si>
  <si>
    <t>BSc(Hons)EnvSci&amp;GreenMgt</t>
  </si>
  <si>
    <t>JS9732</t>
  </si>
  <si>
    <t>生命科學榮譽理學士</t>
  </si>
  <si>
    <t>BSc(Hons) LifeSci</t>
  </si>
  <si>
    <t>JS9733</t>
  </si>
  <si>
    <t>科學（ＳＴＥＭ）榮譽理學士</t>
  </si>
  <si>
    <t>BSc(Hons)Science(STEM)</t>
  </si>
  <si>
    <t>JSSA01</t>
  </si>
  <si>
    <t>明愛專上學院</t>
  </si>
  <si>
    <t>無</t>
  </si>
  <si>
    <t>JSSA02</t>
  </si>
  <si>
    <t>BSDET (Hons)</t>
  </si>
  <si>
    <t>JSSA03</t>
  </si>
  <si>
    <t>BSPT (Hons)</t>
  </si>
  <si>
    <t>JSSA04</t>
  </si>
  <si>
    <t>BSAI (Hons)</t>
  </si>
  <si>
    <t>JSSA05</t>
  </si>
  <si>
    <t>JSSC02</t>
  </si>
  <si>
    <t>珠海學院</t>
  </si>
  <si>
    <t>B.Sc (Hons) in Arch</t>
  </si>
  <si>
    <t>JSSH01</t>
  </si>
  <si>
    <t>恒生大學</t>
  </si>
  <si>
    <t>BBA-SCM</t>
  </si>
  <si>
    <t>JSSH02</t>
  </si>
  <si>
    <t>JSSH03</t>
  </si>
  <si>
    <t>JSSH04</t>
  </si>
  <si>
    <t>JSSH05</t>
  </si>
  <si>
    <t>BMSIM</t>
  </si>
  <si>
    <t>JSSH06</t>
  </si>
  <si>
    <t>BA-AD</t>
  </si>
  <si>
    <t>JSST01</t>
  </si>
  <si>
    <t>東華學院</t>
  </si>
  <si>
    <t>BHSc(N)</t>
  </si>
  <si>
    <t>JSST02</t>
  </si>
  <si>
    <t>BSc(MLSc)</t>
  </si>
  <si>
    <t>JSST03</t>
  </si>
  <si>
    <t>BSc(RT)</t>
  </si>
  <si>
    <t>JSST04</t>
  </si>
  <si>
    <t>BSc(OT)</t>
  </si>
  <si>
    <t>JSST05</t>
  </si>
  <si>
    <t>BSc(PT)</t>
  </si>
  <si>
    <t>BSc(AG)</t>
  </si>
  <si>
    <t>JSSU12</t>
  </si>
  <si>
    <t>都會大學</t>
    <phoneticPr fontId="3" type="noConversion"/>
  </si>
  <si>
    <t>JSSU14</t>
  </si>
  <si>
    <t>JSSU15</t>
  </si>
  <si>
    <t>JSSU40</t>
  </si>
  <si>
    <t>x1.2: 生物、化學、物理、綜合科學、組合科學、健康管理及社會關懷</t>
  </si>
  <si>
    <t>JSSU50</t>
  </si>
  <si>
    <t>x1.2: 生物、化學、物理、綜合科學、組合科學、健康管理及社會關懷</t>
    <phoneticPr fontId="3" type="noConversion"/>
  </si>
  <si>
    <t>JSSU55</t>
  </si>
  <si>
    <t>JSSU61</t>
  </si>
  <si>
    <t>此課程前身原為 JSSU65 檢測和認證榮譽工學士，</t>
    <phoneticPr fontId="3" type="noConversion"/>
  </si>
  <si>
    <t>現重新命名為 JSSU61 綜合檢測和認證榮譽應用理學士。</t>
    <phoneticPr fontId="3" type="noConversion"/>
  </si>
  <si>
    <t>JSSU68</t>
  </si>
  <si>
    <t>JSSU69</t>
  </si>
  <si>
    <t>BSc(Hons)FoodTestSci</t>
  </si>
  <si>
    <t>JSSU70</t>
  </si>
  <si>
    <t>JSSU72</t>
  </si>
  <si>
    <t>此課程前身原為 JS9718 電腦科學榮譽理學士，</t>
  </si>
  <si>
    <t>現轉為SSSDP課程（JSSU72 電腦科學榮譽理學士）</t>
  </si>
  <si>
    <t>此課程前身原為 JS9721 屋宇設備工程及可持續發展榮譽工學士，</t>
  </si>
  <si>
    <t>現轉為SSSDP課程（JSSU78 屋宇設備工程及可持續發展榮譽工學士）</t>
  </si>
  <si>
    <t>BEng(Hons)BSE&amp;SustainDev</t>
  </si>
  <si>
    <t>此課程前身原為 JS9722 土木及環境工程榮譽工學士，</t>
  </si>
  <si>
    <t>現轉為SSSDP課程（JSSU79 土木工程榮譽工學士）</t>
  </si>
  <si>
    <t>BEng(Hons)Civil Eng</t>
  </si>
  <si>
    <t>JSSU90</t>
  </si>
  <si>
    <t>JSSU95</t>
  </si>
  <si>
    <t>JSSU96</t>
  </si>
  <si>
    <t>JSSU97</t>
  </si>
  <si>
    <t>JSSV01</t>
  </si>
  <si>
    <t>THEi</t>
  </si>
  <si>
    <t>BA(FD)</t>
  </si>
  <si>
    <t>JSSV02</t>
  </si>
  <si>
    <t>BA(PD)</t>
  </si>
  <si>
    <t>JSSV03</t>
  </si>
  <si>
    <t>BA(LA)</t>
  </si>
  <si>
    <t>JSSV04</t>
  </si>
  <si>
    <t>BA(CAM)</t>
  </si>
  <si>
    <t>JSSV05</t>
  </si>
  <si>
    <t>BEng(CE)</t>
  </si>
  <si>
    <t>JSSV07</t>
  </si>
  <si>
    <t>BSc(HALM)</t>
  </si>
  <si>
    <t>JSSV08</t>
  </si>
  <si>
    <t>BSc(SUR)</t>
  </si>
  <si>
    <t>JSSV09</t>
  </si>
  <si>
    <t>BSocSc(SRM)</t>
  </si>
  <si>
    <t>JSSW01</t>
  </si>
  <si>
    <t>伍倫貢學院</t>
  </si>
  <si>
    <t>營運及管理（榮譽）航空學士</t>
  </si>
  <si>
    <t>BAvOM</t>
  </si>
  <si>
    <t>JSSY01</t>
  </si>
  <si>
    <t>樹仁大學</t>
  </si>
  <si>
    <t>金融科技（榮譽）商學士</t>
  </si>
  <si>
    <t>BCom (Hons) FinTech</t>
  </si>
  <si>
    <t>Retake扣分資訊</t>
    <phoneticPr fontId="3" type="noConversion"/>
  </si>
  <si>
    <t>今年重考</t>
    <phoneticPr fontId="3" type="noConversion"/>
  </si>
  <si>
    <t>現時香港只有CUHK及HKU兩間院校有列明重考扣分︰</t>
    <phoneticPr fontId="3" type="noConversion"/>
  </si>
  <si>
    <t>CUHK</t>
  </si>
  <si>
    <t>你的總分</t>
    <phoneticPr fontId="3" type="noConversion"/>
  </si>
  <si>
    <t>扣分</t>
    <phoneticPr fontId="3" type="noConversion"/>
  </si>
  <si>
    <t>合併成績</t>
    <phoneticPr fontId="3" type="noConversion"/>
  </si>
  <si>
    <t>最近3次</t>
    <phoneticPr fontId="3" type="noConversion"/>
  </si>
  <si>
    <t>最近3次</t>
  </si>
  <si>
    <t>參考資料</t>
    <phoneticPr fontId="3" type="noConversion"/>
  </si>
  <si>
    <t>CityU</t>
  </si>
  <si>
    <t>BScDSE</t>
  </si>
  <si>
    <t>JS1109</t>
    <phoneticPr fontId="3" type="noConversion"/>
  </si>
  <si>
    <t>BScCS</t>
  </si>
  <si>
    <t>BEngITME</t>
  </si>
  <si>
    <t>JS2021</t>
  </si>
  <si>
    <t>JS2022</t>
  </si>
  <si>
    <t>JS2023</t>
  </si>
  <si>
    <t>JS2024</t>
  </si>
  <si>
    <t>JS2026</t>
  </si>
  <si>
    <t>JS2030</t>
  </si>
  <si>
    <t>JS2040</t>
  </si>
  <si>
    <t>JS2050</t>
  </si>
  <si>
    <t>JS2320</t>
  </si>
  <si>
    <t>JS2350</t>
  </si>
  <si>
    <t>JS2360</t>
  </si>
  <si>
    <t>JS2630</t>
  </si>
  <si>
    <t>JS2640</t>
  </si>
  <si>
    <t>JS2670</t>
  </si>
  <si>
    <t>JS2690</t>
  </si>
  <si>
    <t>PolyU</t>
  </si>
  <si>
    <t>JS3014</t>
  </si>
  <si>
    <t>JS3466</t>
  </si>
  <si>
    <t>JS3026</t>
  </si>
  <si>
    <t>JS3595</t>
  </si>
  <si>
    <t>JS3038</t>
  </si>
  <si>
    <t>JS3911</t>
  </si>
  <si>
    <t>JS3040</t>
  </si>
  <si>
    <t>JS3662</t>
  </si>
  <si>
    <t>JS3052</t>
  </si>
  <si>
    <t>JS3765</t>
  </si>
  <si>
    <t>JS3064</t>
  </si>
  <si>
    <t>JS3507</t>
  </si>
  <si>
    <t>JS3076</t>
  </si>
  <si>
    <t>JS3674</t>
  </si>
  <si>
    <t>JS3105</t>
  </si>
  <si>
    <t>JS3844</t>
  </si>
  <si>
    <t>JS3117</t>
  </si>
  <si>
    <t>JS3600</t>
  </si>
  <si>
    <t>JS3284</t>
  </si>
  <si>
    <t>JS3349</t>
  </si>
  <si>
    <t>JS3923</t>
  </si>
  <si>
    <t>JS3997</t>
  </si>
  <si>
    <t>JS3442</t>
  </si>
  <si>
    <t>JS3789</t>
  </si>
  <si>
    <t>JS3791</t>
  </si>
  <si>
    <t>JS3753</t>
  </si>
  <si>
    <t>JS3375</t>
  </si>
  <si>
    <t>JS3739</t>
  </si>
  <si>
    <t>JS3777</t>
  </si>
  <si>
    <t>JS3806</t>
  </si>
  <si>
    <t>JS3351</t>
  </si>
  <si>
    <t>JS3715</t>
  </si>
  <si>
    <t>JS3832</t>
  </si>
  <si>
    <t>JS3492</t>
  </si>
  <si>
    <t>JS3820</t>
  </si>
  <si>
    <t>JS3882</t>
  </si>
  <si>
    <t>JS3519</t>
  </si>
  <si>
    <t>JS3703</t>
  </si>
  <si>
    <t>JS3230</t>
  </si>
  <si>
    <t>JS3818</t>
  </si>
  <si>
    <t>JS3583</t>
  </si>
  <si>
    <t>JS3894</t>
  </si>
  <si>
    <t>JS3650</t>
  </si>
  <si>
    <t>JS3387</t>
  </si>
  <si>
    <t>JS4401</t>
  </si>
  <si>
    <t>JS4633</t>
  </si>
  <si>
    <t>JS4648</t>
  </si>
  <si>
    <t>HKUST</t>
  </si>
  <si>
    <t>BA(LS)</t>
  </si>
  <si>
    <t>BA(US)</t>
  </si>
  <si>
    <t>BA&amp;LLB</t>
  </si>
  <si>
    <t>JS6195</t>
  </si>
  <si>
    <t>BASc(Design+)</t>
  </si>
  <si>
    <t>BASc(FinTech)</t>
  </si>
  <si>
    <t>BASc(GHD)</t>
  </si>
  <si>
    <t>JS6262</t>
  </si>
  <si>
    <t>BEng(DS&amp;E)</t>
  </si>
  <si>
    <t>工學學士(數據科學及工程)</t>
  </si>
  <si>
    <t>MBBS</t>
  </si>
  <si>
    <t>BEcon/BEcon&amp;Fin</t>
  </si>
  <si>
    <t>BBA(BA)</t>
  </si>
  <si>
    <t>工商管理學學士(商業分析)</t>
  </si>
  <si>
    <t>BBA(Law)&amp;LLB</t>
  </si>
  <si>
    <t>BJ</t>
  </si>
  <si>
    <t>BFin(AMPB)</t>
  </si>
  <si>
    <t>BSc(QFin)</t>
  </si>
  <si>
    <t>BBiomedSc</t>
  </si>
  <si>
    <t>LingnanU</t>
  </si>
  <si>
    <t>中文(榮譽)文學士</t>
  </si>
  <si>
    <t>JS7300</t>
  </si>
  <si>
    <t>JS8391</t>
  </si>
  <si>
    <t>歷史教育榮譽學士</t>
  </si>
  <si>
    <t>JS8416</t>
  </si>
  <si>
    <t>BEd(CHI HIST)</t>
  </si>
  <si>
    <t>中國歷史教育榮譽學士</t>
  </si>
  <si>
    <t>JS8624</t>
  </si>
  <si>
    <t>OUHK</t>
  </si>
  <si>
    <t>JS9001</t>
  </si>
  <si>
    <t>JS9003</t>
  </si>
  <si>
    <t>JS9004</t>
  </si>
  <si>
    <t>JS9005</t>
  </si>
  <si>
    <t>JS9006</t>
  </si>
  <si>
    <t>JS9007</t>
  </si>
  <si>
    <t>JS9008</t>
  </si>
  <si>
    <t>JS9222</t>
  </si>
  <si>
    <t>JS9261</t>
  </si>
  <si>
    <t>JS9272</t>
  </si>
  <si>
    <t>JS9276</t>
  </si>
  <si>
    <t>JS9570</t>
  </si>
  <si>
    <t>JS9718</t>
  </si>
  <si>
    <t>電腦科學榮譽理學士</t>
  </si>
  <si>
    <t>JS9721</t>
  </si>
  <si>
    <t>屋宇設備工程及可持續發展榮譽工學士</t>
  </si>
  <si>
    <t>JS9722</t>
  </si>
  <si>
    <t>BN (Hons)</t>
  </si>
  <si>
    <t>JSSC03</t>
  </si>
  <si>
    <t>JSSC04</t>
  </si>
  <si>
    <t>JSST06</t>
  </si>
  <si>
    <t>JSSU61</t>
    <phoneticPr fontId="3" type="noConversion"/>
  </si>
  <si>
    <t>JSSU71</t>
  </si>
  <si>
    <t>JSSV11</t>
  </si>
  <si>
    <t>JSSV12</t>
  </si>
  <si>
    <t>Band B (Offer)</t>
    <phoneticPr fontId="3" type="noConversion"/>
  </si>
  <si>
    <t>Band C (Offer)</t>
    <phoneticPr fontId="3" type="noConversion"/>
  </si>
  <si>
    <t>Band D (Offer)</t>
    <phoneticPr fontId="3" type="noConversion"/>
  </si>
  <si>
    <t>Band E (Offer)</t>
    <phoneticPr fontId="3" type="noConversion"/>
  </si>
  <si>
    <t>2018年</t>
    <phoneticPr fontId="3" type="noConversion"/>
  </si>
  <si>
    <t>2018年</t>
  </si>
  <si>
    <t>2019年</t>
  </si>
  <si>
    <t>JS1073</t>
    <phoneticPr fontId="3" type="noConversion"/>
  </si>
  <si>
    <t>JS1074</t>
    <phoneticPr fontId="3" type="noConversion"/>
  </si>
  <si>
    <t>JS1091</t>
  </si>
  <si>
    <t>前身</t>
  </si>
  <si>
    <t>JS1093</t>
  </si>
  <si>
    <t>JSSU65</t>
    <phoneticPr fontId="3" type="noConversion"/>
  </si>
  <si>
    <t>JS2680</t>
  </si>
  <si>
    <t>JS7101</t>
    <phoneticPr fontId="3" type="noConversion"/>
  </si>
  <si>
    <t>2020年</t>
    <phoneticPr fontId="3" type="noConversion"/>
  </si>
  <si>
    <t>2020年</t>
  </si>
  <si>
    <t>JS1105(已更新為JS1109)</t>
    <phoneticPr fontId="3" type="noConversion"/>
  </si>
  <si>
    <t>JS3765</t>
    <phoneticPr fontId="3" type="noConversion"/>
  </si>
  <si>
    <t>JS3777</t>
    <phoneticPr fontId="3" type="noConversion"/>
  </si>
  <si>
    <t>2021年</t>
  </si>
  <si>
    <t>JS3985</t>
  </si>
  <si>
    <t>2021年</t>
    <phoneticPr fontId="3" type="noConversion"/>
  </si>
  <si>
    <t>JS1113</t>
    <phoneticPr fontId="3" type="noConversion"/>
  </si>
  <si>
    <t>JS3337</t>
    <phoneticPr fontId="3" type="noConversion"/>
  </si>
  <si>
    <t>JS3478</t>
    <phoneticPr fontId="3" type="noConversion"/>
  </si>
  <si>
    <t>JS3492</t>
    <phoneticPr fontId="3" type="noConversion"/>
  </si>
  <si>
    <t>JS3557</t>
    <phoneticPr fontId="3" type="noConversion"/>
  </si>
  <si>
    <t>JS3569</t>
    <phoneticPr fontId="3" type="noConversion"/>
  </si>
  <si>
    <t>JS3636</t>
    <phoneticPr fontId="3" type="noConversion"/>
  </si>
  <si>
    <t>JS3648</t>
    <phoneticPr fontId="3" type="noConversion"/>
  </si>
  <si>
    <t>JS3868</t>
    <phoneticPr fontId="3" type="noConversion"/>
  </si>
  <si>
    <t>分數差距</t>
  </si>
  <si>
    <t>分數差距百分比</t>
  </si>
  <si>
    <t>JUPAS No.</t>
  </si>
  <si>
    <t>學科</t>
  </si>
  <si>
    <t>英文縮寫</t>
    <phoneticPr fontId="3" type="noConversion"/>
  </si>
  <si>
    <t>BandA競爭人數</t>
    <phoneticPr fontId="3" type="noConversion"/>
  </si>
  <si>
    <t>\</t>
    <phoneticPr fontId="3" type="noConversion"/>
  </si>
  <si>
    <t>JUPAS Code</t>
  </si>
  <si>
    <t>Percentile</t>
  </si>
  <si>
    <t>Chi</t>
  </si>
  <si>
    <t>Eng</t>
  </si>
  <si>
    <t>Maths</t>
  </si>
  <si>
    <t>LS</t>
  </si>
  <si>
    <t>M1/2</t>
  </si>
  <si>
    <t>E1</t>
  </si>
  <si>
    <t>E2</t>
  </si>
  <si>
    <t>5*</t>
  </si>
  <si>
    <t>M</t>
  </si>
  <si>
    <t>5**</t>
  </si>
  <si>
    <t>A</t>
  </si>
  <si>
    <t>JS4760</t>
  </si>
  <si>
    <t>等級</t>
    <phoneticPr fontId="5" type="noConversion"/>
  </si>
  <si>
    <t>選修科</t>
    <phoneticPr fontId="3" type="noConversion"/>
  </si>
  <si>
    <t>第一選修科</t>
    <phoneticPr fontId="3" type="noConversion"/>
  </si>
  <si>
    <t>第二選修科</t>
    <phoneticPr fontId="3" type="noConversion"/>
  </si>
  <si>
    <t>第三選修科</t>
    <phoneticPr fontId="3" type="noConversion"/>
  </si>
  <si>
    <t>第四選修科</t>
  </si>
  <si>
    <t>丙類選修科</t>
  </si>
  <si>
    <t>丙類科目等級</t>
    <phoneticPr fontId="5" type="noConversion"/>
  </si>
  <si>
    <t>差距(UQ)</t>
    <phoneticPr fontId="3" type="noConversion"/>
  </si>
  <si>
    <t>是否</t>
  </si>
  <si>
    <t>請選擇等級</t>
    <phoneticPr fontId="5" type="noConversion"/>
  </si>
  <si>
    <t>請選擇第一選修科</t>
    <phoneticPr fontId="3" type="noConversion"/>
  </si>
  <si>
    <t>請選擇第二選修科</t>
    <phoneticPr fontId="3" type="noConversion"/>
  </si>
  <si>
    <t>請選擇第三選修科</t>
    <phoneticPr fontId="3" type="noConversion"/>
  </si>
  <si>
    <t>請選擇語言科目</t>
    <phoneticPr fontId="3" type="noConversion"/>
  </si>
  <si>
    <t>5**</t>
    <phoneticPr fontId="5" type="noConversion"/>
  </si>
  <si>
    <t>法語</t>
  </si>
  <si>
    <t>差距(LQ)</t>
    <phoneticPr fontId="3" type="noConversion"/>
  </si>
  <si>
    <t>是</t>
  </si>
  <si>
    <t>5*</t>
    <phoneticPr fontId="5" type="noConversion"/>
  </si>
  <si>
    <t>日語</t>
  </si>
  <si>
    <t>2019年</t>
    <phoneticPr fontId="3" type="noConversion"/>
  </si>
  <si>
    <t>否</t>
  </si>
  <si>
    <t>德語</t>
  </si>
  <si>
    <t>西班牙語</t>
  </si>
  <si>
    <t>烏爾都語</t>
  </si>
  <si>
    <t>U</t>
    <phoneticPr fontId="5" type="noConversion"/>
  </si>
  <si>
    <t>已選擇科目</t>
    <phoneticPr fontId="3" type="noConversion"/>
  </si>
  <si>
    <t>數字模式  (Drop Menu)</t>
  </si>
  <si>
    <t>包括M1/2 (Drop Menu)</t>
  </si>
  <si>
    <t>&lt;-以百分比顯示差距 (Tickbox)</t>
  </si>
  <si>
    <t>&lt;-以百分比顯示差距 (Drop Menu)</t>
  </si>
  <si>
    <t>&lt;- DO NOT DELETE, Data Validation on front page</t>
  </si>
  <si>
    <t>2023年</t>
  </si>
  <si>
    <t>公社科</t>
  </si>
  <si>
    <t>達標</t>
  </si>
  <si>
    <t>不達標</t>
  </si>
  <si>
    <t>3C+1X</t>
  </si>
  <si>
    <t>3C+2X</t>
  </si>
  <si>
    <t>請前往All in One 計分器查看比重、入學要求等詳情。</t>
  </si>
  <si>
    <t>BBABDAN</t>
  </si>
  <si>
    <t>BBAGOM</t>
  </si>
  <si>
    <t>JS1052</t>
  </si>
  <si>
    <t>BEngESE&amp;BBAFIN</t>
  </si>
  <si>
    <t>工學士(環境科學及工程學)與工商管理學士(金融)</t>
  </si>
  <si>
    <t>BSocScIRGA</t>
  </si>
  <si>
    <t>PRIME</t>
  </si>
  <si>
    <t>JS3011</t>
  </si>
  <si>
    <t>JS3910</t>
  </si>
  <si>
    <t>IDADM</t>
  </si>
  <si>
    <t>JS4750</t>
  </si>
  <si>
    <t>JS5711</t>
  </si>
  <si>
    <t>工商管理學學士</t>
  </si>
  <si>
    <t>BSc(Surv)</t>
  </si>
  <si>
    <t>BA&amp;BEd(LangEd)-Eng</t>
  </si>
  <si>
    <t>BA&amp;BEd(LangEd)-Chin</t>
  </si>
  <si>
    <t>BEd(ECE&amp;SE)</t>
  </si>
  <si>
    <t>BEd&amp;BSc</t>
  </si>
  <si>
    <t>BSc(SLP)</t>
  </si>
  <si>
    <t>理學士(言語及語言病理學)</t>
  </si>
  <si>
    <t>BNurs-ALT</t>
  </si>
  <si>
    <t>BNurs</t>
  </si>
  <si>
    <t>BBA(Acc&amp;Fin)/BBA(ADA)</t>
  </si>
  <si>
    <t>工商管理學學士(會計及財務) / 工商管理學學士(會計數據分析)</t>
  </si>
  <si>
    <t>電影與視覺藝術(榮譽)文學士</t>
  </si>
  <si>
    <t>JS8687</t>
  </si>
  <si>
    <t>BA(HE&amp;AM)</t>
  </si>
  <si>
    <t>JS8675</t>
  </si>
  <si>
    <t>BA(ESDC)</t>
  </si>
  <si>
    <t>英語研究及數碼傳訊榮譽文學士</t>
  </si>
  <si>
    <t>JS9009</t>
  </si>
  <si>
    <t>JS9010</t>
  </si>
  <si>
    <t>JS9223</t>
  </si>
  <si>
    <t>航空服務管理榮譽工商管理學士</t>
  </si>
  <si>
    <t>BA(Hons)Chinese</t>
  </si>
  <si>
    <t>BBA(Hons)Pro Acct</t>
  </si>
  <si>
    <t>BBA(Hons)Business Mgt</t>
  </si>
  <si>
    <t>BBA(Hons)Glbl Bus</t>
  </si>
  <si>
    <t>環球商業榮譽工商管理學士</t>
  </si>
  <si>
    <t>BBA(Hons)SusTour&amp;HosMgt</t>
  </si>
  <si>
    <t>持續旅遊及款待管理榮譽工商管理學士</t>
  </si>
  <si>
    <t>BBA(Hons)eSports Mgt</t>
  </si>
  <si>
    <t>JS9520</t>
  </si>
  <si>
    <t>BEd&amp;BLang(Hons)Putonghua</t>
  </si>
  <si>
    <t>教育榮譽學士（普通話及中文教育）及語言研究榮譽學士（漢語語言學研究）</t>
  </si>
  <si>
    <t>BSc(Hons)BioMed&amp;BioTech</t>
  </si>
  <si>
    <t>生物醫學與生物科技榮譽理學士</t>
  </si>
  <si>
    <t>BSc(Hons)Science(STEAM)</t>
  </si>
  <si>
    <t>科學（ＳＴＥＡＭ）榮譽理學士</t>
  </si>
  <si>
    <t>數碼娛樂科技（榮譽）理學士</t>
  </si>
  <si>
    <t>物理治療學（榮譽）理學士</t>
  </si>
  <si>
    <t>人工智能（榮譽）理學士</t>
  </si>
  <si>
    <t>BATT (Hons)</t>
  </si>
  <si>
    <t>建築學（榮譽）理學士</t>
  </si>
  <si>
    <t>供應鏈管理工商管理（榮譽）學士</t>
  </si>
  <si>
    <t>精算及保險 （榮譽）理學士</t>
  </si>
  <si>
    <t>計算機應用（榮譽）理學士</t>
  </si>
  <si>
    <t>數據科學及商業智能學（榮譽）理學士</t>
  </si>
  <si>
    <t>管理科學與資訊管理（榮譽）學士</t>
  </si>
  <si>
    <t>藝術設計（榮譽）文學士</t>
  </si>
  <si>
    <t>護理學（榮譽）健康科學學士</t>
  </si>
  <si>
    <t>醫療化驗科學（榮譽）理學士</t>
  </si>
  <si>
    <t>放射治療學（榮譽）理學士</t>
  </si>
  <si>
    <t>職業治療學（榮譽）理學士</t>
  </si>
  <si>
    <t>物理治療學(榮譽)理學士</t>
  </si>
  <si>
    <t>都會大學</t>
  </si>
  <si>
    <t>創意寫作與電影藝術榮譽文學士</t>
  </si>
  <si>
    <t>動畫及視覺特效榮譽藝術學士</t>
  </si>
  <si>
    <t>影像設計及數碼藝術榮譽藝術學士</t>
  </si>
  <si>
    <t>護理學榮譽學士（普通科）</t>
  </si>
  <si>
    <t>護理學榮譽學士（精神科）</t>
  </si>
  <si>
    <t>物理治療學榮譽理學士</t>
  </si>
  <si>
    <t>綜合檢測和認證榮譽應用理學士</t>
  </si>
  <si>
    <t>醫療化驗科學榮譽理學士</t>
  </si>
  <si>
    <t>BSc(Hons)MedLabSci</t>
  </si>
  <si>
    <t>食品測試科學榮譽理學士</t>
  </si>
  <si>
    <t>數據科學及人工智能榮譽理學士</t>
  </si>
  <si>
    <t>BSc (Hons)CompSci</t>
  </si>
  <si>
    <t>JSSU78</t>
  </si>
  <si>
    <t>JSSU79</t>
  </si>
  <si>
    <t>土木工程榮譽工學士</t>
  </si>
  <si>
    <t>BBA(Hons)Hos&amp;AttractMgt</t>
  </si>
  <si>
    <t>BBA(Hons)Sports&amp;RecMgt</t>
  </si>
  <si>
    <t>時裝設計（榮譽）文學士</t>
  </si>
  <si>
    <t>產品設計（榮譽）文學士</t>
  </si>
  <si>
    <t>園境建築（榮譽）文學士</t>
  </si>
  <si>
    <t>廚藝及管理（榮譽）文學士</t>
  </si>
  <si>
    <t>土木工程（榮譽）工學士</t>
  </si>
  <si>
    <t>園藝樹藝及園境管理（榮譽）理學士</t>
  </si>
  <si>
    <t>測量學（榮譽）理學士</t>
  </si>
  <si>
    <t>運動及康樂管理（榮譽）社會科學學士</t>
  </si>
  <si>
    <t>屋宇設備工程（榮譽）工學士</t>
  </si>
  <si>
    <t>BEng(BSE)</t>
  </si>
  <si>
    <t>JSSA06</t>
  </si>
  <si>
    <t>BBA-AHTM</t>
  </si>
  <si>
    <t>BSc-AIN</t>
  </si>
  <si>
    <t>BSc-AC</t>
  </si>
  <si>
    <t>BSc-DSBI</t>
  </si>
  <si>
    <t>JSST07</t>
  </si>
  <si>
    <t>BHISM</t>
  </si>
  <si>
    <t>BA(Hons)CreaWri&amp;FilmArts</t>
  </si>
  <si>
    <t>BFA(Hons)AnimatVisEff</t>
  </si>
  <si>
    <t>BFA(Hons)IDDA</t>
  </si>
  <si>
    <t>JSSU18</t>
  </si>
  <si>
    <t>BA(Hons)NewMusic&amp;Enter</t>
  </si>
  <si>
    <t>BNursing(Hons)General</t>
  </si>
  <si>
    <t>BNursing(Hons)Mental</t>
  </si>
  <si>
    <t>BSc(Hons)Physiotherapy</t>
  </si>
  <si>
    <t>BASc(Hons)IntTestInsCert</t>
  </si>
  <si>
    <t>BSc(Hons)AnalyTestSci</t>
  </si>
  <si>
    <t>BSc (Hons) Data Sci &amp; AI</t>
  </si>
  <si>
    <t>JSSU77</t>
  </si>
  <si>
    <t>BSc(Hons)CMQSurveying</t>
  </si>
  <si>
    <t>BBA(Hons)Fin&amp;FinTech</t>
  </si>
  <si>
    <t>BBA(Hons)GM &amp; SCM</t>
  </si>
  <si>
    <t>JSSW02</t>
  </si>
  <si>
    <t>BMSOM</t>
  </si>
  <si>
    <t>護理學（榮譽）學士</t>
  </si>
  <si>
    <t>翻譯科技（榮譽）文學士</t>
  </si>
  <si>
    <t>工商管理（榮譽）酒店及旅遊管理應用學士</t>
  </si>
  <si>
    <t>應用老年學（榮譽）理學士</t>
  </si>
  <si>
    <t>醫療資訊及服務管理（榮譽）學士</t>
  </si>
  <si>
    <t>新音樂及互動娛樂榮譽文學士</t>
  </si>
  <si>
    <t>分析檢測科學榮譽理學士</t>
  </si>
  <si>
    <t>建築管理及工料測量學榮譽理學士</t>
  </si>
  <si>
    <t>國際款待及景區管理榮譽工商管理學士</t>
  </si>
  <si>
    <t>運動及康樂管理榮譽工商管理學士</t>
  </si>
  <si>
    <t>財務及金融科技榮譽工商管理學士</t>
  </si>
  <si>
    <t>環球市場及供應鏈管理榮譽工商管理學士</t>
  </si>
  <si>
    <t>航運服務及營運管理學士（榮譽）</t>
  </si>
  <si>
    <t>WORKING</t>
  </si>
  <si>
    <t>Year (Offer)</t>
  </si>
  <si>
    <t>Band A (Offer)</t>
  </si>
  <si>
    <t>Band A (Apply)</t>
  </si>
  <si>
    <t>Band B (Apply)</t>
  </si>
  <si>
    <t>Band C (Apply)</t>
  </si>
  <si>
    <t>Band D (Apply)</t>
  </si>
  <si>
    <t>Band E (Apply)</t>
  </si>
  <si>
    <t>前身JS5211</t>
  </si>
  <si>
    <t>2024加分制</t>
  </si>
  <si>
    <t>2024計分詳情1</t>
  </si>
  <si>
    <t>2024計分詳情2</t>
  </si>
  <si>
    <t>2024比重1</t>
  </si>
  <si>
    <t>2024比重2</t>
  </si>
  <si>
    <t>2024比重3</t>
  </si>
  <si>
    <r>
      <t>*計分方式：</t>
    </r>
    <r>
      <rPr>
        <i/>
        <sz val="10"/>
        <color theme="1"/>
        <rFont val="微軟正黑體"/>
        <family val="2"/>
        <charset val="136"/>
      </rPr>
      <t>斜體</t>
    </r>
    <r>
      <rPr>
        <sz val="10"/>
        <color theme="1"/>
        <rFont val="微軟正黑體"/>
        <family val="2"/>
        <charset val="136"/>
      </rPr>
      <t xml:space="preserve"> = 2024年新科目/新安排，</t>
    </r>
    <r>
      <rPr>
        <b/>
        <sz val="10"/>
        <color theme="1"/>
        <rFont val="微軟正黑體"/>
        <family val="2"/>
        <charset val="136"/>
      </rPr>
      <t>粗體</t>
    </r>
    <r>
      <rPr>
        <sz val="10"/>
        <color theme="1"/>
        <rFont val="微軟正黑體"/>
        <family val="2"/>
        <charset val="136"/>
      </rPr>
      <t xml:space="preserve"> = 有比重</t>
    </r>
  </si>
  <si>
    <t>公</t>
  </si>
  <si>
    <t xml:space="preserve">(只需選擇今年有重新考試的科目) </t>
  </si>
  <si>
    <t>2024年</t>
  </si>
  <si>
    <t>公社科 ##</t>
  </si>
  <si>
    <t>##註: 往年通識科成績不會被納入分數計算中。</t>
  </si>
  <si>
    <t>Best 4</t>
  </si>
  <si>
    <t>此功能只能計算 本年度DSE重考的情況，</t>
  </si>
  <si>
    <t>暫未能考慮其他年份。</t>
  </si>
  <si>
    <t>3C2X</t>
  </si>
  <si>
    <t>x2.5: 英文、數學、M1/2、物理</t>
  </si>
  <si>
    <t>x1.5: 生物、化學</t>
  </si>
  <si>
    <t>x1.5: 化學、DAT、M1/2</t>
  </si>
  <si>
    <t>x2: 英文、數學、生物、化學、M1/2、物理</t>
  </si>
  <si>
    <t>x1.5: 化學、DAT</t>
  </si>
  <si>
    <t>x2: 英文、數學、生物、化學、DAT、ICT、M1/2、物理</t>
  </si>
  <si>
    <t>x1.5: 中史、中國文學、歷史、藝術</t>
  </si>
  <si>
    <t>x1.5: 英語文學</t>
  </si>
  <si>
    <t>最佳四科必須包括︰英文</t>
  </si>
  <si>
    <t>最佳四科必須包括︰數學</t>
  </si>
  <si>
    <t>x1.5: 生物、化學、物理</t>
  </si>
  <si>
    <t>最佳五科必須包括︰英文、數學、生物 及 化學</t>
  </si>
  <si>
    <t>x2: 英文、生物、化學</t>
  </si>
  <si>
    <t>x1.5: 數學、BAFS、DAT、ICT、M1/2、物理</t>
  </si>
  <si>
    <t>生物、化學、物理</t>
  </si>
  <si>
    <t>第一選修(x2.5): 生物、化學、物理</t>
  </si>
  <si>
    <t>第二選修(x1.5): 生物、化學、地理、M1/2、物理</t>
  </si>
  <si>
    <t>23年計分方式</t>
  </si>
  <si>
    <r>
      <t>此計算器提供的資料只作一般私人參考用途，並不可視為官方的詳盡及權威性的說明，亦不可取代專業諮詢。使用前請先留意</t>
    </r>
    <r>
      <rPr>
        <b/>
        <sz val="9"/>
        <color theme="1"/>
        <rFont val="微軟正黑體"/>
        <family val="2"/>
        <charset val="136"/>
      </rPr>
      <t>最新版本</t>
    </r>
    <r>
      <rPr>
        <sz val="9"/>
        <color theme="1"/>
        <rFont val="微軟正黑體"/>
        <family val="2"/>
        <charset val="136"/>
      </rPr>
      <t>，以及閱讀</t>
    </r>
    <r>
      <rPr>
        <b/>
        <sz val="9"/>
        <color theme="1"/>
        <rFont val="微軟正黑體"/>
        <family val="2"/>
        <charset val="136"/>
      </rPr>
      <t>使用須知</t>
    </r>
    <r>
      <rPr>
        <sz val="9"/>
        <color theme="1"/>
        <rFont val="微軟正黑體"/>
        <family val="2"/>
        <charset val="136"/>
      </rPr>
      <t>。
本人在編製此計算器時已力求審慎，盡可能確保計算器所提供的資料正確無誤、沒有錯漏，惟在個別情況下，這些資料仍可能與最新的情況有所不同。本人並不保證計算器內全部資料在各方面均絕對正確、毫無錯漏。任何使用此計算器人士，須自行承擔一切風險，對於因使用或依據此計算器內所提供的任何資料而引致的任何損失或損害，本人一概無須負上任何法律責任。</t>
    </r>
  </si>
  <si>
    <t>食品科技與食物安全(榮譽)理學士組合課程</t>
  </si>
  <si>
    <t>FOOD SAFETY &amp; TECH</t>
  </si>
  <si>
    <t>BIOTECH &amp; CHEM TECH</t>
  </si>
  <si>
    <t>Sum of All Sub</t>
  </si>
  <si>
    <t>Count non 0</t>
  </si>
  <si>
    <t>Best 4 (M)</t>
  </si>
  <si>
    <t>Best 5 (M)</t>
  </si>
  <si>
    <t>(2024年)</t>
  </si>
  <si>
    <t>生物、化學、DAT、M1/2、物理</t>
  </si>
  <si>
    <t>生物、化學、ICT、M1/2、物理</t>
  </si>
  <si>
    <t>CityU Done</t>
  </si>
  <si>
    <t>有冇 物理?</t>
  </si>
  <si>
    <t xml:space="preserve">以下一科選修取得Lv.3︰物理 </t>
  </si>
  <si>
    <t>有冇 化學、生物、ICT、M1/2、物理 其中一科?</t>
  </si>
  <si>
    <t>有冇 生物、化學、ICT、M1/2、物理 其中一科？</t>
  </si>
  <si>
    <t>有冇 化學、DAT、M1/2、物理 其中一科？</t>
  </si>
  <si>
    <t>有冇 化學、DAT、物理 其中一科？</t>
  </si>
  <si>
    <t>有冇 生物、化學、物理 其中一科？</t>
  </si>
  <si>
    <t>有冇 生物、化學、DAT、ICT、M1/2、物理 其中兩科？</t>
  </si>
  <si>
    <t>有冇 化學？</t>
  </si>
  <si>
    <t>有冇 生物、BAFS、化學、DAT、ICT、M1/2、物理 其中一科？</t>
  </si>
  <si>
    <t>有冇 生物、化學 其中一科？</t>
  </si>
  <si>
    <t>有冇 生物、BAFS、DAT、ICT、物理 其中一科?</t>
  </si>
  <si>
    <t>有冇 生物、化學、物理 其中一科?</t>
  </si>
  <si>
    <t>以下一科選修取得Lv.3︰化學</t>
  </si>
  <si>
    <t>若數學未有Lv.3，則以下一科選修需取得Lv.3: 生物、BAFS、DAT、ICT、物理</t>
  </si>
  <si>
    <t>以下一科選修取得Lv.3︰生物、化學、ICT、M1/2、物理</t>
  </si>
  <si>
    <t>以下一科選修取得Lv.3︰生物、BAFS、化學、DAT、ICT、M1/2、物理</t>
  </si>
  <si>
    <t>以下一科選修取得Lv.3︰化學、DAT、M1/2、物理</t>
  </si>
  <si>
    <t>以下一科選修取得Lv.3︰化學、DAT、物理</t>
  </si>
  <si>
    <t>以下一科選修取得Lv.3︰生物、化學、物理</t>
  </si>
  <si>
    <t xml:space="preserve">以下兩科選修取得Lv.3︰生物、化學、DAT、ICT、M1/2、物理 </t>
  </si>
  <si>
    <t>以下一科選修取得Lv.3︰生物、化學</t>
  </si>
  <si>
    <t>有冇 化學、DAT、物理、M1/2 其中一科？</t>
  </si>
  <si>
    <t>以下一科選修取得Lv.3︰化學、DAT、物理、M1/2</t>
  </si>
  <si>
    <t>3C+1X (M)</t>
  </si>
  <si>
    <t>3C+2X (M)</t>
  </si>
  <si>
    <t>C</t>
  </si>
  <si>
    <t>x1.1: 健康管理與社會關懷</t>
  </si>
  <si>
    <t>HKBU Done</t>
  </si>
  <si>
    <t>24年計分方式</t>
  </si>
  <si>
    <t>*以2023年 JS2420為例，其比重為 「英文、化學」x1.5、 「生物、數學」x1.25</t>
  </si>
  <si>
    <t>生物科技及化學科技(榮譽)理學士組合課程</t>
  </si>
  <si>
    <t>此處PolyU 公佈的 LQ分數比Median高，可能原因如下︰</t>
  </si>
  <si>
    <t>x7: 中文、M1/2、綜合科學</t>
  </si>
  <si>
    <t>x7: 中文</t>
  </si>
  <si>
    <t>x7: 中文、英文、數學、M1/2、DAT、歷史、ICT、綜合科學、英語文學、物理、科技與生活</t>
  </si>
  <si>
    <t>x5: 音樂、體育、科技與生活、視覺藝術</t>
  </si>
  <si>
    <t>x7: 中文、英文</t>
  </si>
  <si>
    <t>x7: 中文、BAFS、中國文學、DAT、經濟、英語文學</t>
  </si>
  <si>
    <t>x7: 中文、DAT、綜合科學</t>
  </si>
  <si>
    <t>x7: 數學</t>
  </si>
  <si>
    <t>x5: DAT、音樂、體育、科技與生活、視覺藝術</t>
  </si>
  <si>
    <t>x7: M1/2</t>
  </si>
  <si>
    <t>x7: 中文、M1/2、物理、綜合科學</t>
  </si>
  <si>
    <t>x1.2: 數學</t>
  </si>
  <si>
    <t>x5: DAT、倫理與宗教、音樂、體育、科技與生活、視覺藝術</t>
  </si>
  <si>
    <t>x10: 英文、數學</t>
  </si>
  <si>
    <t>x5: 其他科目</t>
  </si>
  <si>
    <t>x5: 中國歷史、中國文學、倫理與宗教、歷史、英語文學、音樂、體育、科技與生活、旅遊與款待、視覺藝術</t>
  </si>
  <si>
    <t>x10: 中文、英文</t>
  </si>
  <si>
    <t>x10: 中文、英文、中國歷史、中國文學、歷史</t>
  </si>
  <si>
    <t>x10: 中文、英文、數學</t>
  </si>
  <si>
    <t xml:space="preserve">x10: 英文 </t>
  </si>
  <si>
    <t>x10: 中文、英文、數學、DAT、ICT、視覺藝術</t>
  </si>
  <si>
    <t>x7: DAT、ICT</t>
  </si>
  <si>
    <t>組合科學(物理、化學)</t>
  </si>
  <si>
    <t>組合科學(生物、化學)</t>
  </si>
  <si>
    <t>組合科學(物理、生物)</t>
  </si>
  <si>
    <t>資訊及通訊科技</t>
  </si>
  <si>
    <t>ICT</t>
  </si>
  <si>
    <t>DAT</t>
  </si>
  <si>
    <t>HMSC</t>
  </si>
  <si>
    <t>BAFS</t>
  </si>
  <si>
    <t>Formula for matching appropriate weighting to the user's subjects, based on the following table.</t>
  </si>
  <si>
    <t>(Starting from cell J117 in this page)</t>
  </si>
  <si>
    <t>Formula for automatically matching the weighting data in words in the " Reference Score Calculation" to numbers (Creating the following table)</t>
  </si>
  <si>
    <t>IF(ISNUMBER(SEARCH(AV$113,'Reference Score Calculation'!$N93)),10,IF(ISNUMBER(SEARCH(AV$113,'Reference Score Calculation'!$O93)),7,IF(ISNUMBER(SEARCH(AV$113,'Reference Score Calculation'!$P93)),5,IF(ISNUMBER(SEARCH($AV$111,'Reference Score Calculation'!$N93)),10,IF(ISNUMBER(SEARCH($AV$111,'Reference Score Calculation'!$O93)),7,5)))))</t>
  </si>
  <si>
    <t>Formula specifically for 組合科學:</t>
  </si>
  <si>
    <t>x10: 英文、數學、生物、化學、組合科學(任何)</t>
  </si>
  <si>
    <t>x10: 中文、英文、數學、生物、化學、組合科學(任何)、經濟、地理、綜合科學、M1/2、物理</t>
  </si>
  <si>
    <t>x10: 數學、M1/2、生物、化學、物理、組合科學(任何)</t>
  </si>
  <si>
    <t>x10: 英文、數學、生物、化學、組合科學(任何)、ICT、M1/2、物理</t>
  </si>
  <si>
    <t>x5: 生物、化學、組合科學(任何)、經濟、綜合科學、M1/2、體育、物理、科技與生活</t>
  </si>
  <si>
    <t>x10: 英文、數學、生物、化學、組合科學(任何)、M1/2、物理</t>
  </si>
  <si>
    <t>x10: 中文、英文、數學、生物、化學、組合科學(任何)、物理</t>
  </si>
  <si>
    <t>x10: 中文、英文、生物、組合科學(任何)、物理</t>
  </si>
  <si>
    <t>x10: 英文、數學、生物、化學、組合科學(任何)、ICT、M1/2、物理 、DAT</t>
  </si>
  <si>
    <t>x10: 英文、數學、生物、BAFS、化學、組合科學(任何)、經濟、ICT、M1/2、物理</t>
  </si>
  <si>
    <t>IF(ISNUMBER(SEARCH(BL$113,'Reference Score Calculation'!$N93)),10,IF(ISNUMBER(SEARCH(BL$113,'Reference Score Calculation'!$O93)),7,IF(ISNUMBER(SEARCH(BL$113,'Reference Score Calculation'!$P93)),5,IF(ISNUMBER(SEARCH($AV$105,'Reference Score Calculation'!$N93)),10,IF(ISNUMBER(SEARCH("組合科學(任何)",'Reference Score Calculation'!$N93)),10,IF(ISNUMBER(SEARCH("組合科學(任何)",'Reference Score Calculation'!$O93)),7,IF(ISNUMBER(SEARCH("組合科學(任何)",'Reference Score Calculation'!$P93)),5,IF(ISNUMBER(SEARCH($AV$105,'Reference Score Calculation'!$O93)),7,5))))))))</t>
  </si>
  <si>
    <t xml:space="preserve">v </t>
  </si>
  <si>
    <t>前身為 JS3010</t>
  </si>
  <si>
    <t>航天科學與地球信息學＋Ｘ雙主修課程</t>
  </si>
  <si>
    <t>JS4501 及 JS4502 不受加分制影響。（即5**只會是7分，而非8.5）</t>
  </si>
  <si>
    <t>M1/M2 will contribute to the total HKDSE score if its attained level is higher than that of the worst one of the 6 subjects.</t>
  </si>
  <si>
    <t>In that case, the score for the worst subject is replaced by a new score comprising</t>
  </si>
  <si>
    <t>half of the original score of that subject and half the score of the extended Maths module.</t>
  </si>
  <si>
    <t>ASEIDM</t>
  </si>
  <si>
    <t>最佳五科必須包括︰中文、英文、數學</t>
  </si>
  <si>
    <t>x1.5: [物理、經濟、BASF 或 ICT] 其中最佳一科</t>
  </si>
  <si>
    <t>M1/2、生物、化學、物理、DAT、ICT、BAFS、經濟、地理、科技與生活</t>
  </si>
  <si>
    <t>x1.5: 生物、化學、物理、DAT、ICT、BAFS、經濟、地理、科技與生活</t>
  </si>
  <si>
    <t>x1.25: 生物、化學、DAT、ICT</t>
  </si>
  <si>
    <t>M1/2、生物、化學、DAT、ICT、物理</t>
  </si>
  <si>
    <t>M1/2、生物、化學、經濟、ICT、物理</t>
  </si>
  <si>
    <t>x1.5: 生物、化學、物理、經濟、ICT</t>
  </si>
  <si>
    <t>M1/2、生物、BAFS、化學、經濟、ICT、物理</t>
  </si>
  <si>
    <t>x1.5: 生物、化學、DAT、ICT、物理</t>
  </si>
  <si>
    <t>x1.5: 生物、化學、物理、BAFS、經濟、ICT</t>
  </si>
  <si>
    <t>x1.5: 數學、生物、化學、物理、DAT、ICT</t>
  </si>
  <si>
    <t>x1.5: 生物、化學、物理、經濟、BAFS、ICT</t>
  </si>
  <si>
    <t>x1.5: 英文、生物、化學、物理</t>
  </si>
  <si>
    <t>x1.5: 數學、M1/2、生物、化學、物理、DAT、ICT</t>
  </si>
  <si>
    <t>x1.5: 生物、化學、物理、ICT</t>
  </si>
  <si>
    <t>M1/2、生物、化學、物理、ICT</t>
  </si>
  <si>
    <t>生物、化學、ICT、物理</t>
  </si>
  <si>
    <t>M1/2、生物、化學、物理、地理</t>
  </si>
  <si>
    <t>x2: M1/2、物理、地理</t>
  </si>
  <si>
    <t>3C3X</t>
  </si>
  <si>
    <t>x1.2: [生物、化學、物理] 其中最佳一科</t>
  </si>
  <si>
    <t>Effective from 2026 intake, applicants must have obtained “Level 3 or above” in Chemistry</t>
  </si>
  <si>
    <t>優先考慮修讀以下科目者︰</t>
  </si>
  <si>
    <t>x1.5: 英文、生物、化學</t>
  </si>
  <si>
    <t>最佳五科必須包括︰中文</t>
  </si>
  <si>
    <t>優先考慮 化學 考獲Lv.3或以上者</t>
  </si>
  <si>
    <t>最佳五科必須包括︰中文、英文、數學 及 [化學 或 生物]最佳一科</t>
  </si>
  <si>
    <t>x2: M1/2、物理、生物、化學</t>
  </si>
  <si>
    <t>x2: 英文、數學、M1/2、生物、化學、物理</t>
  </si>
  <si>
    <t>x1.5: 地理</t>
  </si>
  <si>
    <t>x1.25: 中文</t>
  </si>
  <si>
    <t>有冇 物理、經濟 或 ICT 其中一科？</t>
  </si>
  <si>
    <t>M1/2 高過最低分一科？</t>
  </si>
  <si>
    <t>六科最低分科?</t>
  </si>
  <si>
    <t>M1/2 Ratio:</t>
  </si>
  <si>
    <t>物理、化學、生物 邊科最高?</t>
  </si>
  <si>
    <t>數學定英文高分啲？</t>
  </si>
  <si>
    <t>M1/2、生物、化學、物理</t>
  </si>
  <si>
    <t>JS4412 2nd sub</t>
  </si>
  <si>
    <t>優先考慮以下一科選修︰M1/2、生物、化學、DAT、ICT、物理</t>
  </si>
  <si>
    <t>JS4446 2nd sub</t>
  </si>
  <si>
    <t>M1/2 需考獲Lv.4或以上</t>
  </si>
  <si>
    <t>優先考慮以下一科選修︰M1/2、生物、化學、物理、ICT</t>
  </si>
  <si>
    <t>JS4733 2nd sub</t>
  </si>
  <si>
    <t>Phy Chem Bio ICT</t>
  </si>
  <si>
    <t>M1/2、生物、化學、物理、經濟、BAFS、ICT</t>
  </si>
  <si>
    <t>M1/2、生物、化學、地理、物理</t>
  </si>
  <si>
    <t>有冇化學?</t>
  </si>
  <si>
    <t>生物、化學、經濟、地理、ICT、物理、科技與生活</t>
  </si>
  <si>
    <t>LQ 每科平均成績:</t>
  </si>
  <si>
    <t>理科 / M1/2: Lv.5**</t>
  </si>
  <si>
    <t>理科 /  ICT: Lv.5</t>
  </si>
  <si>
    <t>數學 / M1/2: Lv.5*</t>
  </si>
  <si>
    <t>生物 / 化學: Lv.5</t>
  </si>
  <si>
    <t>理科、經濟、M1/2: Lv.5</t>
  </si>
  <si>
    <t>4.38 (已計算加分制)</t>
  </si>
  <si>
    <t>M1/2、生物、化學、物理、經濟</t>
  </si>
  <si>
    <t>生物、化學、物理、ICT、組合科學</t>
  </si>
  <si>
    <t>生物、化學、物理、ICT、DAT、組合科學</t>
  </si>
  <si>
    <t>(x2: M1/2/ 物理 | x1.5: 生物 / 化學)</t>
  </si>
  <si>
    <t>(x2: 生物 / 化學 | x1.5: M1/2/ 物理)</t>
  </si>
  <si>
    <t>+ 最佳兩科理科 x1 (M1/2 / 生物/ 化學 /物理)</t>
  </si>
  <si>
    <t>英文x2  + 數學x2 + 最佳三科x1</t>
  </si>
  <si>
    <t>+ 最佳三科x1 或</t>
  </si>
  <si>
    <t>+ [化學、經濟、物理、M1/2]中最佳一科x1.5 + 最佳兩科x1</t>
  </si>
  <si>
    <t>英文x2  + 中文 x1.5 + 最佳三科x1</t>
  </si>
  <si>
    <t>英文x2  + 數學x2 + 最佳三科*x1</t>
  </si>
  <si>
    <t>(若最佳三科包括M1/2，則M1/2會 x 1.5)</t>
  </si>
  <si>
    <t>英文x2  + 數學x2 + 最佳選修* x1.5 + 最佳兩科 x1</t>
  </si>
  <si>
    <t>英文x2  + 數學x2 + 最佳理科* + 最佳兩科 x1</t>
  </si>
  <si>
    <t>(*理科: M1/2 x2、生物/化學/物理/經濟 x1.5)</t>
  </si>
  <si>
    <t>英文x2  + 數學x2 + 最佳理科* x2 + 最佳兩科 x1</t>
  </si>
  <si>
    <t>(若最佳兩科包括M1/2，則M1/2會 x 1.5)</t>
  </si>
  <si>
    <t>M1/2 / 生物/ 化學 /物理</t>
  </si>
  <si>
    <t xml:space="preserve">M1/2 / 生物/ 化學 /物理 </t>
  </si>
  <si>
    <t>M1/2 x2、生物/化學/物理/經濟 x1.5</t>
  </si>
  <si>
    <r>
      <t>*城大本年公佈的分數為</t>
    </r>
    <r>
      <rPr>
        <b/>
        <sz val="12"/>
        <color theme="1"/>
        <rFont val="微軟正黑體"/>
        <family val="2"/>
        <charset val="136"/>
      </rPr>
      <t>已計比重的分數</t>
    </r>
    <r>
      <rPr>
        <sz val="10"/>
        <color theme="1"/>
        <rFont val="微軟正黑體"/>
        <family val="2"/>
        <charset val="136"/>
      </rPr>
      <t>，只供參考。</t>
    </r>
  </si>
  <si>
    <t>*為了公平比較往年數據，新學年修改了計分方式 或 比重的學科在此處將繼續以往年方式 或 比重估算，請注意。</t>
  </si>
  <si>
    <t>https://www.cuhk.edu.hk/adm/jupas/arrangement-for-more-than-one-sitting-2024.pdf</t>
  </si>
  <si>
    <r>
      <t>*入學資格：</t>
    </r>
    <r>
      <rPr>
        <b/>
        <sz val="10"/>
        <color rgb="FF548235"/>
        <rFont val="微軟正黑體"/>
        <family val="2"/>
        <charset val="136"/>
      </rPr>
      <t>綠色</t>
    </r>
    <r>
      <rPr>
        <sz val="10"/>
        <color rgb="FF000000"/>
        <rFont val="微軟正黑體"/>
        <family val="2"/>
        <charset val="136"/>
      </rPr>
      <t>＝合符資格，</t>
    </r>
    <r>
      <rPr>
        <b/>
        <sz val="10"/>
        <color rgb="FFC00000"/>
        <rFont val="微軟正黑體"/>
        <family val="2"/>
        <charset val="136"/>
      </rPr>
      <t>紅色</t>
    </r>
    <r>
      <rPr>
        <sz val="10"/>
        <color rgb="FF000000"/>
        <rFont val="微軟正黑體"/>
        <family val="2"/>
        <charset val="136"/>
      </rPr>
      <t>＝不符資格，</t>
    </r>
    <r>
      <rPr>
        <b/>
        <sz val="10"/>
        <color rgb="FFBF8F00"/>
        <rFont val="微軟正黑體"/>
        <family val="2"/>
        <charset val="136"/>
      </rPr>
      <t>黃色</t>
    </r>
    <r>
      <rPr>
        <sz val="10"/>
        <color rgb="FF000000"/>
        <rFont val="微軟正黑體"/>
        <family val="2"/>
        <charset val="136"/>
      </rPr>
      <t>＝或有額外要求（通常有關其他入學要求，例如作品集，或是個別科目分數）</t>
    </r>
  </si>
  <si>
    <t>由於中大今年直接公佈了加權後分數 (即已計算比重)，故此處直接引用中大數字，未有作任何估算。</t>
  </si>
  <si>
    <t>由於理大今年直接公佈了加權後分數 (即已計算比重)，故此處直接引用理大數字，未有作任何估算。</t>
  </si>
  <si>
    <t>https://join.hkust.edu.hk/admissions/jupas#jupas-interview</t>
  </si>
  <si>
    <t>https://join.hkust.edu.hk/admissions/jupas</t>
  </si>
  <si>
    <r>
      <rPr>
        <sz val="10"/>
        <color theme="1"/>
        <rFont val="微軟正黑體"/>
        <family val="2"/>
        <charset val="136"/>
      </rPr>
      <t>*科大公佈的分數為</t>
    </r>
    <r>
      <rPr>
        <b/>
        <sz val="12"/>
        <color theme="1"/>
        <rFont val="微軟正黑體"/>
        <family val="2"/>
        <charset val="136"/>
      </rPr>
      <t>已計加分制及比重的分數</t>
    </r>
    <r>
      <rPr>
        <sz val="10"/>
        <color theme="1"/>
        <rFont val="微軟正黑體"/>
        <family val="2"/>
        <charset val="136"/>
      </rPr>
      <t>，只供參考。</t>
    </r>
  </si>
  <si>
    <r>
      <t>*中大本年公佈的分數為</t>
    </r>
    <r>
      <rPr>
        <b/>
        <sz val="12"/>
        <color theme="1"/>
        <rFont val="微軟正黑體"/>
      </rPr>
      <t>已計加分制及比重的分數</t>
    </r>
    <r>
      <rPr>
        <sz val="10"/>
        <color theme="1"/>
        <rFont val="微軟正黑體"/>
        <family val="2"/>
        <charset val="136"/>
      </rPr>
      <t>，只供參考。</t>
    </r>
  </si>
  <si>
    <t>x0.2: 第七最佳科目</t>
  </si>
  <si>
    <t>最佳六科必須包括 最佳理科*</t>
  </si>
  <si>
    <t>*理科: 生物、化學、物理、組合科學、綜合科學</t>
  </si>
  <si>
    <t>最佳五科必須包括︰中文、英文</t>
  </si>
  <si>
    <t>最佳五科必須包括︰英文、數學、最佳理科*</t>
  </si>
  <si>
    <t>x0.5: 第六最佳科目</t>
  </si>
  <si>
    <t>最佳六科必須包括︰英文、[數學或M1/2]、最佳理科*</t>
  </si>
  <si>
    <t>x2: 英文、[數學 或 M1/2]、最佳理科</t>
  </si>
  <si>
    <t>x1.5: 生物、化學、物理、組合科學、綜合科學、ICT</t>
  </si>
  <si>
    <t>申請人須參與 能力傾向測試(Aptitude Test)，詳情可細閱課程網站，受邀申請人亦會於電郵收到相應指示。</t>
  </si>
  <si>
    <t>如同學有修讀六科，第六科成績 (x0.2) 會額外加上原有的Best 6分數</t>
  </si>
  <si>
    <t>x0.2: 第六最佳科目</t>
  </si>
  <si>
    <t>*理科: 生物、化學</t>
  </si>
  <si>
    <t>x1.3: [生物、化學] 其中最佳一科</t>
  </si>
  <si>
    <t>由於本年HKU不再為 物理 及 組合科學 計算比重，此處的估算分數亦不會為其計算比重。</t>
  </si>
  <si>
    <t>x1.5: 生物、化學、物理、組合科學、綜合科學、M1/M2</t>
  </si>
  <si>
    <t>生物、化學</t>
  </si>
  <si>
    <t>x1.25: 生物、BAFS、DAT、經濟、地理、HSMC、科技與生活、旅遊與款待</t>
  </si>
  <si>
    <t>x1.25: 物理</t>
  </si>
  <si>
    <t>x2: 英文、數學、ICT、化學、M1/2</t>
  </si>
  <si>
    <t>x1.5: 數學、中國歷史、地理、歷史、M1/2</t>
  </si>
  <si>
    <t>x1.5: 英文、倫理與宗教、健康管理與社會關懷</t>
  </si>
  <si>
    <t>x1.5: 數學、經濟</t>
  </si>
  <si>
    <t>Candidates are strongly advised to include their personal statement in English in the
"Additional Information" of their JUPAS application.</t>
  </si>
  <si>
    <t>Candidates are encouraged to enter details about their other learning experiences or
extra curricular activities.</t>
  </si>
  <si>
    <t>生物、化學、組合科學、物理</t>
  </si>
  <si>
    <t>中</t>
  </si>
  <si>
    <t>英</t>
  </si>
  <si>
    <t>數</t>
  </si>
  <si>
    <t>通</t>
  </si>
  <si>
    <t>x1.5: 中文、英文、中國文學</t>
  </si>
  <si>
    <t>x1.5: 英文、英語文學</t>
  </si>
  <si>
    <t>x1.5: 英文、數學、M1/2</t>
  </si>
  <si>
    <t>x1.5: 體育</t>
  </si>
  <si>
    <t>x1.5: ICT、生物、化學、物理、組合科學、綜合科學</t>
  </si>
  <si>
    <t>x1.2: BAFS</t>
  </si>
  <si>
    <t>x1.5: 歷史</t>
  </si>
  <si>
    <t>x1.5: 中文、英文</t>
  </si>
  <si>
    <t>x1.5: 英文、地理</t>
  </si>
  <si>
    <t>x1.5: 生物 或 化學 *</t>
  </si>
  <si>
    <t>*註: 由於2024年只提供生物Major，故此只有生物科有比重。</t>
  </si>
  <si>
    <t>x1.5: 中文、中國文學</t>
  </si>
  <si>
    <t>x1.5: 音樂</t>
  </si>
  <si>
    <t>x1.5: 視覺藝術</t>
  </si>
  <si>
    <t>x1.5: 英文、英語文學、ICT</t>
  </si>
  <si>
    <t>x1.5: 中文、英文、中國歷史、歷史、DAT、視覺藝術</t>
  </si>
  <si>
    <t>x1.5: 數學、物理、生物、化學、地理</t>
  </si>
  <si>
    <t>x1.5: 數學、M1/2、物理、生物、化學、DAT、ICT、組合科學、綜合科學</t>
  </si>
  <si>
    <t>x2: 生物、體育</t>
  </si>
  <si>
    <t>x1.5: 中文、英文、數學、M1/2、DAT、ICT</t>
  </si>
  <si>
    <t>同學亦須在額外的 入學測試 (Audition) 中考獲優異成績</t>
  </si>
  <si>
    <t>優先考慮 有修讀以上兩科 者</t>
  </si>
  <si>
    <t>優先考慮修讀 中國歷史、歷史、視覺藝術、DAT 者</t>
  </si>
  <si>
    <t>同學亦須在額外的 入學體能測試 中考獲優異成績</t>
  </si>
  <si>
    <t>中文平均分: Lv. 5*</t>
  </si>
  <si>
    <t>*港大由2022/23年起接受 M1/2 作為基本入學要求中的選修科(即是視為甲類科目，Catergory A Subject)</t>
  </si>
  <si>
    <t>x2: 中文、中國文學</t>
  </si>
  <si>
    <t>x2: (ApL) 幼兒教育 Child Care and Education</t>
  </si>
  <si>
    <t>只計算甲類科目</t>
  </si>
  <si>
    <t>優先考慮:  英文 考獲 Lv.4 或以上 者 及</t>
  </si>
  <si>
    <t>優先考慮修讀  化學 或 物理 者</t>
  </si>
  <si>
    <t>Best results in year 2023 and 2024 Only</t>
  </si>
  <si>
    <t>Best results in the latest 2 sittings of HKDSE, one of which should include the year of admission (i.e. 2024)</t>
  </si>
  <si>
    <t>Best results in year 2022 and 2024 or, 2023 and 2024</t>
  </si>
  <si>
    <t>Best results in year 2022, 2023 and 2024</t>
  </si>
  <si>
    <t>Latest results in year 2022, 2023 and 2024</t>
  </si>
  <si>
    <t>公佈的為未有計算比重的平均分數，但無提及科目比重，故未有作出估算。</t>
  </si>
  <si>
    <t>https://www.chuhai.edu.hk/</t>
  </si>
  <si>
    <t>https://www.thei.edu.hk/admissions/local-students-admission-for-year-1-entry/general-entrance-requirement-year-1-entry</t>
  </si>
  <si>
    <t>https://www.hkmu.edu.hk/REG/reg_ftae/Admission/Scores_JUPAS.pdf</t>
  </si>
  <si>
    <t>https://docs.google.com/document/d/1tqdAzSbqYhME53ZdAFDEsJy-LOS5JIw8ViIbdLR9GI8/edit</t>
  </si>
  <si>
    <t>210*</t>
  </si>
  <si>
    <t>125*</t>
  </si>
  <si>
    <t>18*</t>
  </si>
  <si>
    <t>更新 2025年入學資料</t>
  </si>
  <si>
    <t>跨學院課程</t>
  </si>
  <si>
    <t>教育學院/工程學院/理學院</t>
  </si>
  <si>
    <t>工程學院/理學院</t>
  </si>
  <si>
    <t>理學院/商學院</t>
  </si>
  <si>
    <t>理學院/工程學院</t>
  </si>
  <si>
    <t>中大(深圳)</t>
  </si>
  <si>
    <t>理學士(計算金融及金融科技) (專修：計算金融 / 金融科技)</t>
  </si>
  <si>
    <t>工商管理學士(環球商業) (特點: 三次海外交流 / 美國哥倫比亞大學雙聯學士學位 / 海外暑期及遊學課程 / 商業諮詢課程 / 獎學金及資助)</t>
  </si>
  <si>
    <t>工商管理學士(會計) (專修: 專業會計 / 環境，社會，治理和科技)</t>
  </si>
  <si>
    <t>工商管理學士 (管理學 ) (專修 : 人 力資源管理 / 策略及國際管理 )</t>
  </si>
  <si>
    <t>工商管理學士(市場營銷) (專修: 環球市場營銷 / 營銷數據分析)</t>
  </si>
  <si>
    <t>經濟及金融 [主修: 工商管理學士(商業經濟) / 工商管理學士(金融)]</t>
  </si>
  <si>
    <t>工商管理學士(商業經濟) (特點: 經濟理論 / 國際經濟 / 經濟與商業預測 / 定量分析)</t>
  </si>
  <si>
    <t>工商管理學士(金融) (特點: 投資分析 / 金融市場 / 公司金融/ 風險管理 / 交易室工作坊)</t>
  </si>
  <si>
    <t>資訊系統學 [主修: 工商管理學士(環球商業系統管理) 、工商管理學士(資訊管理)]</t>
  </si>
  <si>
    <t>工商管理學士(環球商業系統管理) (特點: 智能科技 / 環球商業 / 海外及内地交流)</t>
  </si>
  <si>
    <t>工商管理學士(資訊管理) (專修: 商務智能 / 信息系統審計 / 互聯網服務及社交網絡 / 數據信息學)</t>
  </si>
  <si>
    <t>DAO</t>
  </si>
  <si>
    <t>決策分析及營運學 [主修: 工商管理學士(商業決策分析) / 工商管理學士(環球營運管理)]</t>
  </si>
  <si>
    <t>工商管理學士(商業決策分析) (專修: 決策分析學 / 數據信息學)</t>
  </si>
  <si>
    <t>工商管理學士(環球營運管理) (特點: 供應鏈管理 / 營運效率 / 流程改善 / 營運分析 / 資源規劃)</t>
  </si>
  <si>
    <t>JS1040</t>
  </si>
  <si>
    <t>CREATE</t>
  </si>
  <si>
    <t>卓越創藝與科技課程 [選項: 創意媒體(校本課程)、 文學士(創意媒體)、理學士(創意媒體)、文理學士(新媒體)]</t>
  </si>
  <si>
    <t>創意媒體 [主修: 文學士(創意媒體) / 理學士(創意媒體) / 文理學士(新媒體)]</t>
  </si>
  <si>
    <t>文學士(創意媒體) (特點: 動畫 / 電影及攝影 / 批判理論及實踐 / 遊戲及可玩媒體 / 新媒體藝術 / 聲音藝術)</t>
  </si>
  <si>
    <t>理學士(創意媒體) (特點: 結合創意媒體及電腦科學課程 / 動畫 / 遊戲 / 裝置藝術 / 互動媒體)</t>
  </si>
  <si>
    <t>文理學士(新媒體) (特點: 媒體藝術 / 機械人學及人工智能 / 藝術及科技 / 物料及數位製造)</t>
  </si>
  <si>
    <t>JS1050</t>
  </si>
  <si>
    <t>INSPIRE</t>
  </si>
  <si>
    <t>環球可持續發展科創課程 [主修: 工學士(能源科學及工程學) / 工學士(環境科學及工程學)＋特點：環球視野]</t>
  </si>
  <si>
    <t>能源及環境學 [主修: 工學士(能源科學及工程學) / 工學士(環境科學及工程學)]</t>
  </si>
  <si>
    <t>工學士(環境科學及工程學)與工商管理學士(金融)[雙學位；特點：環境、社會和管治 / 綠色金融 / 環保技術 / 跨學科教育]</t>
  </si>
  <si>
    <t>JS1053</t>
  </si>
  <si>
    <t>BScESB</t>
  </si>
  <si>
    <t>理學士(環境及可持續發展商業) [特點：環境科學 / 商業可持續發展 / 環境、社會和管治]</t>
  </si>
  <si>
    <t>法律學學士與工商管理學士(會計) (雙學位)</t>
  </si>
  <si>
    <t>JS1070</t>
  </si>
  <si>
    <t>DELTA</t>
  </si>
  <si>
    <t>數據賦能: 學習･突破･成就課程(特點: 自由選擇學院專業學科 / 一對一專業導師 / 精英學生實習培訓 / 專業導師指導計劃 / 頂尖海外大學交流)</t>
  </si>
  <si>
    <t>數據科學 [主修：理學士 (數據科學) / 理學士 (數據與系統工程)]</t>
  </si>
  <si>
    <t>理學士(數據科學) (特點: 數據科學 / 機器學習 / 數據挖掘 / 大數據分析)</t>
  </si>
  <si>
    <t>理學士(數據與系統工程) (特點: 數據科學 / 金融科技 / 工業人工智能 / 智慧城市 / 物聯網)</t>
  </si>
  <si>
    <t>JS1100</t>
  </si>
  <si>
    <t>WE-CARE</t>
  </si>
  <si>
    <t>社會科學學士(心理學) (專修: 康健與關懷管理課程)</t>
  </si>
  <si>
    <t>社會科學學士(國際關係及全球事務) (專修: 亞洲研究 / 國際研究 / 發展研究)</t>
  </si>
  <si>
    <t>文學士(中文及歷史) (專修: 中文 / 歷史及文化遺產)</t>
  </si>
  <si>
    <t>文學士(英語語言) (專修: 英語及專業傳意 / 語言及文學)</t>
  </si>
  <si>
    <t>媒體與傳播 [主修: 文學士(數碼電視與廣播) / 文學士(媒體與傳播)]</t>
  </si>
  <si>
    <t>BSocScPAFM</t>
  </si>
  <si>
    <t>社會科學學士(公共事務與管理) (專修: 公共事務與管冶 / 公共政策與管理)</t>
  </si>
  <si>
    <t>文學士(語言學及語言應用) (特點: 語言學 / 語言應用 / 語言技術)</t>
  </si>
  <si>
    <t>社會科學學士 (犯罪科學) (特點: 犯罪預防 / 安保實務 / 全球警政 / 犯罪分析 / 科網與未來犯罪)</t>
  </si>
  <si>
    <t>社會科學學士(心理學) (專修: 健康與人類發展 / 大腦與認知)</t>
  </si>
  <si>
    <t>社會科學學士(社會工作) (特點: 社會參與及人文關懷 – 健康與福祉 / 社會多元與持續 / 人在環境的專業介入)</t>
  </si>
  <si>
    <t>社會科學學士(犯罪科學)與法律學學士 (雙學位)</t>
  </si>
  <si>
    <t>環球精研與科創課程 [主修：理學士 (化學) / 理學士 (計算數學) / 理學士 (物理學) ＋ 環球精研與科創]</t>
  </si>
  <si>
    <t>建築學及土木工程學 [主修:工學士(建築工程) / 工學士(土木工程) / 理學士(建築學及測量學)]</t>
  </si>
  <si>
    <t>理學士(化學) (專修: 綜合化學 / 化妝品化學 / 鑑證化學 / 環球精研與科創)</t>
  </si>
  <si>
    <t>理學士(計算機科學) (專修: 人工智能 / 網絡安全 / 數據科學 / 多媒體計算 / 軟件工程與項目管理)</t>
  </si>
  <si>
    <t>電機工程學 [主修: 工學士(電子計算機及數據工程學) ／工學士(電子及電機工程學) ／ 工學士(資訊工程學) ／ 工學士(微電子工程學)]</t>
  </si>
  <si>
    <t>理學士 (計算數學) (專修範疇: 數學精研 / 金融數學 / 環球精研與科創)</t>
  </si>
  <si>
    <t>機械工程學 [主修: 工學士(航空航天工程) / 工學士(機械工程) / 工學士(核子及風險工程)]</t>
  </si>
  <si>
    <t>理學士 (物理學) (特點：經典物理 / 近代物理 / 實驗與電算物理 / 醫學物理 / 凝聚態物理 / 環球精研與科創)</t>
  </si>
  <si>
    <t>工學士(材料科學及工程) (特點: 香港工程師學會認可 / 工業和科研實習 / 海外雙學位課程 / 知識到應用遷移 / 世界領先的研究)</t>
  </si>
  <si>
    <t>工學士(生物醫學工程) (特點: 醫療技術 / 生物儀器 / 細胞和組織工程 / 醫療機器人)</t>
  </si>
  <si>
    <t>工學士(智能製造工程學) (特點: 物聯網 / 工業大數據 / 機器人技術與自動化 / 物流與供應鏈 / 智慧城市工程)</t>
  </si>
  <si>
    <t>研究、創新和環球工程課程 (特點: 工學院任何一個主修 十 海外經驗 / 跨學科 / 創業培訓)</t>
  </si>
  <si>
    <t>JS1218</t>
  </si>
  <si>
    <t>BScCBS</t>
  </si>
  <si>
    <t>理學士 (網絡安全) (特點: 系統安全 / 軟件安全 / 密碼學 / 隱私增強技術 / 網絡風險管理)</t>
  </si>
  <si>
    <t>JS1219</t>
  </si>
  <si>
    <t>BEngIEEG</t>
  </si>
  <si>
    <t>工學士(創新與企業工程學) (特點: 工程學 / 科技 / 創新 / 企業 / 創業)</t>
  </si>
  <si>
    <t>理學士（計算機科學）與理學士（計算金融及金融科技）(雙學位；特點：企業會計與經濟 / 計算金融 / 高階統計 / 建模與演算法 / 金融科技軟件工程)</t>
  </si>
  <si>
    <t>獸醫學學士 (特點: 健康一體化 / 動物健康與福利 / 公共衞生 / 雙認證獸醫課程)</t>
  </si>
  <si>
    <t>生物醫學 [主修: 理學士(生物科學) / 理學士(生物醫學)]</t>
  </si>
  <si>
    <t>理學士(生物科學) (特點: 生物資訊學、生物化學、遺傳學、細胞與分子生物學、免疫學 / 參與不同研究項目提供實踐經驗)</t>
  </si>
  <si>
    <t>理學士(生物醫學) (特點: 臨床化學、血液學、微生物學和病理學 / 臨床實習 / 密集實驗室經驗)</t>
  </si>
  <si>
    <t>BA(FTV)</t>
  </si>
  <si>
    <t>JS2960</t>
  </si>
  <si>
    <t>BASc(DIFH)</t>
  </si>
  <si>
    <t>數位未來與人文學科文理學士(榮譽)</t>
  </si>
  <si>
    <t>BA (Hons) Translation</t>
  </si>
  <si>
    <t>翻譯(榮譽)文學士</t>
  </si>
  <si>
    <t>JS7211</t>
  </si>
  <si>
    <t>BBA (Hons) ACG</t>
  </si>
  <si>
    <t>工商管理(榮譽)學士 – 會計與企業管治</t>
  </si>
  <si>
    <t>JS7212</t>
  </si>
  <si>
    <t>BBA (Hons) BAI</t>
  </si>
  <si>
    <t>工商管理(榮譽)學士 – 商業分析與創新</t>
  </si>
  <si>
    <t>JS7213</t>
  </si>
  <si>
    <t>BBA (Hons) FIN</t>
  </si>
  <si>
    <t>工商管理(榮譽)學士 – 金融</t>
  </si>
  <si>
    <t>JS7214</t>
  </si>
  <si>
    <t>BBA (Hons) HRMA</t>
  </si>
  <si>
    <t>工商管理(榮譽)學士 – 人力資源管理與分析</t>
  </si>
  <si>
    <t>JS7215</t>
  </si>
  <si>
    <t>BBA (Hons) MSM</t>
  </si>
  <si>
    <t>工商管理(榮譽)學士 – 市場學與社交媒體</t>
  </si>
  <si>
    <t>BBA (Hons) in RIM</t>
  </si>
  <si>
    <t>JS7307</t>
  </si>
  <si>
    <t>BSocSc (Hons) SocDS</t>
  </si>
  <si>
    <t>社會科學(榮譽)學士 - 社會數據科學</t>
  </si>
  <si>
    <t>BA (Hons) Eng Studies</t>
  </si>
  <si>
    <t>英語語言文學課程(榮譽)文學士</t>
  </si>
  <si>
    <t>BA (Hons) FVA</t>
  </si>
  <si>
    <t>JS4100</t>
  </si>
  <si>
    <t>PUBLIC HUMANITIES</t>
  </si>
  <si>
    <t>公共人文學</t>
  </si>
  <si>
    <t>JS4320</t>
  </si>
  <si>
    <t>HUM MOV SCI &amp; HEALTH STU</t>
  </si>
  <si>
    <t>人體運動科學與健康研究</t>
  </si>
  <si>
    <t>JS4470</t>
  </si>
  <si>
    <t>MATERIALS SCI &amp; ENG</t>
  </si>
  <si>
    <t>材料科學與工程學</t>
  </si>
  <si>
    <t>航天科學與地球信息學及Ｘ雙主修課程</t>
  </si>
  <si>
    <t>跨學科數據分析及Ｘ雙主修課程</t>
  </si>
  <si>
    <t>JS8001</t>
  </si>
  <si>
    <t>BA(CDA)&amp;BEd(MU)</t>
  </si>
  <si>
    <t>創意藝術與數碼藝術榮譽文學士及音樂教育榮譽學士</t>
  </si>
  <si>
    <t>JS8002</t>
  </si>
  <si>
    <t>BA(CDA)&amp;BEd(VA)</t>
  </si>
  <si>
    <t>創意藝術與數碼藝術榮譽文學士及視覺藝術教育榮譽學士</t>
  </si>
  <si>
    <t>JS8003</t>
  </si>
  <si>
    <t>BA(DCCC)&amp;BEd(CL)</t>
  </si>
  <si>
    <t>數碼中國文化與傳意榮譽文學士及中文教育榮譽學士</t>
  </si>
  <si>
    <t>JS8004</t>
  </si>
  <si>
    <t>BA(ESDC)&amp;BEd(EL)</t>
  </si>
  <si>
    <t>英語研究及數碼傳訊榮譽文學士及英文教育榮譽學士</t>
  </si>
  <si>
    <t>JS8005</t>
  </si>
  <si>
    <t>BA(HE&amp;AM)&amp;BEd(CHI HIST)</t>
  </si>
  <si>
    <t>文化傳承教育與藝術管理榮譽文學士及中國歷史教育榮譽學士</t>
  </si>
  <si>
    <t>JS8006</t>
  </si>
  <si>
    <t>BSocSc(Psy)&amp;BEd(ECE)</t>
  </si>
  <si>
    <t>心理學榮譽社會科學學士及幼兒教育榮譽學士</t>
  </si>
  <si>
    <t>JS8007</t>
  </si>
  <si>
    <t>BA(PF)&amp;BEd(BAFS)</t>
  </si>
  <si>
    <t>個人理財榮譽文學士及企業、會計與財務概論教育榮譽學士</t>
  </si>
  <si>
    <t>JS8008</t>
  </si>
  <si>
    <t>BSc(AIET)&amp;BEd(ICT&amp;PSci)</t>
  </si>
  <si>
    <t>人工智能與教育科技榮譽理學士及資訊及通訊科技及小學科學教育榮譽學士</t>
  </si>
  <si>
    <t>JS8009</t>
  </si>
  <si>
    <t>BSc(AIET)&amp;BEd(PM)</t>
  </si>
  <si>
    <t>人工智能與教育科技榮譽理學士及小學數學教育榮譽學士</t>
  </si>
  <si>
    <t>JS8010</t>
  </si>
  <si>
    <t>BSc(SPSC)&amp;BEd(PE)</t>
  </si>
  <si>
    <t>運動科學及教練榮譽理學士及體育教育榮譽學士</t>
  </si>
  <si>
    <t>JS8011</t>
  </si>
  <si>
    <t>BSc(IEM)&amp;BEd(SCI)</t>
  </si>
  <si>
    <t>綜合環境管理榮譽理學士及科學教育榮譽學士</t>
  </si>
  <si>
    <t>JS8012</t>
  </si>
  <si>
    <t>BSocSc(SCS)&amp;BEd(GEOG)</t>
  </si>
  <si>
    <t>社會學與社區研究榮譽社會科學學士及地理教育榮譽學士</t>
  </si>
  <si>
    <t>JS8013</t>
  </si>
  <si>
    <t>BSocSc(SCS)&amp;BEd(PHM)</t>
  </si>
  <si>
    <t>社會學與社區研究榮譽社會科學學士及小學人文科教育榮譽學士</t>
  </si>
  <si>
    <t>JS8674</t>
  </si>
  <si>
    <t>BA(DCCC)</t>
  </si>
  <si>
    <t>數碼中國文化與傳意榮譽文學士</t>
  </si>
  <si>
    <t>JS8685</t>
  </si>
  <si>
    <t>BA(CDA)-MU</t>
  </si>
  <si>
    <t>創意藝術與數碼藝術榮譽文學士 (音樂)</t>
  </si>
  <si>
    <t>JS8686</t>
  </si>
  <si>
    <t>BA(CDA)-VA</t>
  </si>
  <si>
    <t>創意藝術與數碼藝術榮譽文學士 (視覺藝術)</t>
  </si>
  <si>
    <t>JS8688</t>
  </si>
  <si>
    <t>BA(PF)</t>
  </si>
  <si>
    <t>個人理財榮譽文學士</t>
  </si>
  <si>
    <t>JS8727</t>
  </si>
  <si>
    <t>BSc(SPR)</t>
  </si>
  <si>
    <t>言語病理學及復康榮譽理學士</t>
  </si>
  <si>
    <t>JS3000</t>
  </si>
  <si>
    <t>INTERDISCIP STUDIES</t>
  </si>
  <si>
    <t>跨學科組合學士課程</t>
  </si>
  <si>
    <t>JS3003</t>
  </si>
  <si>
    <t>BUSINESS ADMIN</t>
  </si>
  <si>
    <t>工商管理組合學士課程</t>
  </si>
  <si>
    <t>JS3004</t>
  </si>
  <si>
    <t>CONSTRUCT &amp; ENVIR</t>
  </si>
  <si>
    <t>建設及環境組合學士課程</t>
  </si>
  <si>
    <t>JS3005</t>
  </si>
  <si>
    <t>ENGINEERING</t>
  </si>
  <si>
    <t>工程學科組合學士課程</t>
  </si>
  <si>
    <t>JS3006</t>
  </si>
  <si>
    <t>COMP &amp; MATH SCI</t>
  </si>
  <si>
    <t>計算機及數學科學組合學士課程</t>
  </si>
  <si>
    <t>JS3007</t>
  </si>
  <si>
    <t>HUMANITIES</t>
  </si>
  <si>
    <t>人文學科組合學士課程</t>
  </si>
  <si>
    <t>JS3008</t>
  </si>
  <si>
    <t>理學組合學士課程</t>
  </si>
  <si>
    <t>物理學(榮譽)理學士副主修人工智能及數據分析 / 創新及創業</t>
  </si>
  <si>
    <t>GBL,AVIAT,MARI &amp; SC MGT</t>
  </si>
  <si>
    <t>環球商業及物流、航空、航運及供應鏈管理(榮譽)工商管理學士組合課程</t>
  </si>
  <si>
    <t>SPAT DATA &amp; SMART CITIES</t>
  </si>
  <si>
    <t>空間數據科學及智慧城市(榮譽)理學士組合課程 (土地測量及地理資訊學 / 城市信息學及智慧城市)</t>
  </si>
  <si>
    <t>資訊及人工智能工程學(榮譽)工學士/理學士組合課程 (物聯網 / 人工智能 / 資訊安全)</t>
  </si>
  <si>
    <t>JS3211</t>
  </si>
  <si>
    <t>建築科學及工程學(榮譽)工學士</t>
  </si>
  <si>
    <t>JS3214</t>
  </si>
  <si>
    <t>ARCHIT STUDIES</t>
  </si>
  <si>
    <t>建築學(榮譽)理學士</t>
  </si>
  <si>
    <t>JS3220</t>
  </si>
  <si>
    <t>APP MATHS &amp; FIN ANA</t>
  </si>
  <si>
    <t>應用數學及金融分析(榮譽)理學士組合課程 (應用數學 / 投資科學及金融分析 / 量化金融及金融科技)</t>
  </si>
  <si>
    <t>JS3223</t>
  </si>
  <si>
    <t>DATA SCI &amp; AI</t>
  </si>
  <si>
    <t>數據科學及人工智能(榮譽)理學士組合課程 (數據科學及分析 / 金融科技及人工智能)</t>
  </si>
  <si>
    <t>JS3236</t>
  </si>
  <si>
    <t>PROD INNO &amp; SMART MFG</t>
  </si>
  <si>
    <t>產品創新及智能製造(榮譽)工學士組合課程 (產品創新兼市場學 / 智能製造)</t>
  </si>
  <si>
    <t>JS3237</t>
  </si>
  <si>
    <t>INTELLI S C &amp; ENGG MGT</t>
  </si>
  <si>
    <t>智能供應鏈及工程管理(榮譽)理學士組合課程 (智能供應鏈 / 工程管理兼數據分析)</t>
  </si>
  <si>
    <t>英文及應用語言學(榮譽)文學士</t>
  </si>
  <si>
    <t>JS3241</t>
  </si>
  <si>
    <t>TRANSLAT, LANG SCI &amp; ANA</t>
  </si>
  <si>
    <t>翻譯學、語言科學與語言數據分析(榮譽)文學士/理學士組合課程 (語言學及翻譯學 / 語言科學與語言數據分析)</t>
  </si>
  <si>
    <t>JS3242</t>
  </si>
  <si>
    <t>SPEECH THERAPY</t>
  </si>
  <si>
    <t>言語治療(榮譽)理學士</t>
  </si>
  <si>
    <t>JS3255</t>
  </si>
  <si>
    <t>FOOD SCI &amp; NUTRITION</t>
  </si>
  <si>
    <t>食品科學及營養學(榮譽)理學士組合課程 (食品科技與食物安全 / 人類營養學及健康)</t>
  </si>
  <si>
    <t>眼科視光學(榮譽)理學士</t>
  </si>
  <si>
    <t>中國歷史及文化(榮譽)文學士</t>
  </si>
  <si>
    <t>精神健康護理學(榮譽)理學士</t>
  </si>
  <si>
    <t>ENVIR ENGG &amp; SUS DEVELOP</t>
  </si>
  <si>
    <t>環境工程及可持續發展學(榮譽)工學士</t>
  </si>
  <si>
    <t>醫療化驗科學(榮譽)理學士</t>
  </si>
  <si>
    <t>放射學(榮譽)理學士</t>
  </si>
  <si>
    <t>職業治療學(榮譽)理學士</t>
  </si>
  <si>
    <t>護理學(榮譽)理學士</t>
  </si>
  <si>
    <t>CIVIL ENGG</t>
  </si>
  <si>
    <t>土木工程學(榮譽)工學士</t>
  </si>
  <si>
    <t>機械工程學(榮譽)工學士組合課程 (智能機械人工程學 / 機械工程學)</t>
  </si>
  <si>
    <t>SURVEYING</t>
  </si>
  <si>
    <t>地產及建設測量學(榮譽)理學士</t>
  </si>
  <si>
    <t>BLDG ENGG &amp; MGT</t>
  </si>
  <si>
    <t>建築工程及管理學(榮譽)理學士</t>
  </si>
  <si>
    <t>電子計算及人工智能(榮譽)理學士組合課程 (計算機科學 / 企業信息管理)</t>
  </si>
  <si>
    <t>JS5118</t>
  </si>
  <si>
    <t>BMH</t>
  </si>
  <si>
    <t>理學士（生物醫學及健康科學）</t>
  </si>
  <si>
    <t>JS5212</t>
  </si>
  <si>
    <t>CPEG</t>
  </si>
  <si>
    <t>工學士（計算機工程學）</t>
  </si>
  <si>
    <t>JS5220</t>
  </si>
  <si>
    <t>CBE</t>
  </si>
  <si>
    <t>化學及生物工程學系</t>
  </si>
  <si>
    <t>JS5230</t>
  </si>
  <si>
    <t>CIVL</t>
  </si>
  <si>
    <t>土木及環境工程學系</t>
  </si>
  <si>
    <t>JS5240</t>
  </si>
  <si>
    <t>CSE</t>
  </si>
  <si>
    <t>計算機科學及工程學系</t>
  </si>
  <si>
    <t>JS5250</t>
  </si>
  <si>
    <t>ECE</t>
  </si>
  <si>
    <t>電子及計算機工程學系</t>
  </si>
  <si>
    <t>JS5260</t>
  </si>
  <si>
    <t>IEDA</t>
  </si>
  <si>
    <t>工業工程及決策分析學系</t>
  </si>
  <si>
    <t>JS5270</t>
  </si>
  <si>
    <t>MAE</t>
  </si>
  <si>
    <t>機械及航空航天工程學系</t>
  </si>
  <si>
    <t>文學士及教育學士(語文教育) - 英文教育</t>
  </si>
  <si>
    <t>文學士及法學士</t>
  </si>
  <si>
    <t>文學士及教育學士(語文教育) - 中文教育</t>
  </si>
  <si>
    <t>教育學士及理學士</t>
  </si>
  <si>
    <t>JS6274</t>
  </si>
  <si>
    <t>BA(GCIN)</t>
  </si>
  <si>
    <t>文學士（全球創意產業）</t>
  </si>
  <si>
    <t>JS6298</t>
  </si>
  <si>
    <t>BA&amp;BEng(AI&amp;DataSc)</t>
  </si>
  <si>
    <t>文學士及工學學士(人工智能及數據科學)</t>
  </si>
  <si>
    <t>JS6303</t>
  </si>
  <si>
    <t>BEng(Elite)</t>
  </si>
  <si>
    <t>工學學士精英課程</t>
  </si>
  <si>
    <t>JS6315</t>
  </si>
  <si>
    <t>BEng(DASE)</t>
  </si>
  <si>
    <t>工學學士(數據與系統工程)</t>
  </si>
  <si>
    <t>JS6339</t>
  </si>
  <si>
    <t>BEng(ME)</t>
  </si>
  <si>
    <t>工學學士(機械工程)</t>
  </si>
  <si>
    <t>JS6353</t>
  </si>
  <si>
    <t>BEng(CivE)</t>
  </si>
  <si>
    <t>工學學士(土木工程)</t>
  </si>
  <si>
    <t>JS6377</t>
  </si>
  <si>
    <t>BEng X + MScEng AIE</t>
  </si>
  <si>
    <t>工學學士與人工智能理學碩士聯合課程</t>
  </si>
  <si>
    <t>JS6602</t>
  </si>
  <si>
    <t>BSc(I&amp;T)</t>
  </si>
  <si>
    <t>理學士(創新與科技)</t>
  </si>
  <si>
    <t>科研專才啟導課程(雙學位課程)</t>
  </si>
  <si>
    <t>BSocSc</t>
  </si>
  <si>
    <t>BSc(ActuarSc)</t>
  </si>
  <si>
    <t>JS6779</t>
  </si>
  <si>
    <t>SDS</t>
  </si>
  <si>
    <t>統計決策科學</t>
  </si>
  <si>
    <t>工商管理學學士(法學)及法學士</t>
  </si>
  <si>
    <t>BSocSc(Govt&amp;Laws)&amp;LLB</t>
  </si>
  <si>
    <t>社會科學學士(政治學與法學)及法學士(雙學位課程)</t>
  </si>
  <si>
    <t>BEng(BME)</t>
  </si>
  <si>
    <t>JS6987</t>
  </si>
  <si>
    <t>BEng(CE/EE/ElecE)</t>
  </si>
  <si>
    <t>工學學士(計算機工程/電機工程/電子工程)</t>
  </si>
  <si>
    <t>JS6999</t>
  </si>
  <si>
    <t>CDS</t>
  </si>
  <si>
    <t>計算與數據科學</t>
  </si>
  <si>
    <t>BA(Hons)LangStud &amp; Tran</t>
  </si>
  <si>
    <t>BA(Hons)EngLang&amp;Cult</t>
  </si>
  <si>
    <t>BBA(Hons)RealEst&amp;Surv</t>
  </si>
  <si>
    <t>房地產及測量學榮譽工商管理學士</t>
  </si>
  <si>
    <t>BLang(Hons)Applied Chin</t>
  </si>
  <si>
    <t>JS9555</t>
  </si>
  <si>
    <t>BLang(Hons)Biligua&amp;Drama</t>
  </si>
  <si>
    <t>雙語研究及應用戲劇語言研究榮譽學士</t>
  </si>
  <si>
    <t>BSc(Hons)Cyber&amp;ComSecy</t>
  </si>
  <si>
    <t>JS9776</t>
  </si>
  <si>
    <t>BSc(Hons)BE&amp;Mgt</t>
  </si>
  <si>
    <t>建造工程與管理榮譽理學士</t>
  </si>
  <si>
    <t>由聖方濟各大學開辦：護理學（榮譽）學士</t>
  </si>
  <si>
    <t>由聖方濟各大學開辦：數碼娛樂科技（榮譽）理學士</t>
  </si>
  <si>
    <t>由聖方濟各大學開辦：物理治療學（榮譽）理學士</t>
  </si>
  <si>
    <t>由聖方濟各大學開辦：人工智能（榮譽）理學士</t>
  </si>
  <si>
    <t>由聖方濟各大學開辦：翻譯科技（榮譽）文學士</t>
  </si>
  <si>
    <t>由聖方濟各大學開辦：工商管理（榮譽）酒店及旅遊管理應用學士</t>
  </si>
  <si>
    <t>由香港珠海學院開辦：建築學（榮譽）理學士</t>
  </si>
  <si>
    <t>由香港恒生大學開辦：供應鏈管理工商管理（榮譽）學士</t>
  </si>
  <si>
    <t>由香港恒生大學開辦：精算及保險 （榮譽）理學士</t>
  </si>
  <si>
    <t>由香港恒生大學開辦：計算機應用（榮譽）理學士</t>
  </si>
  <si>
    <t>由香港恒生大學開辦：數據科學及商業智能學（榮譽）理學士</t>
  </si>
  <si>
    <t>BSc-BAIM</t>
  </si>
  <si>
    <t>由香港恒生大學開辦：商業分析與資訊管理（榮譽）理學士</t>
  </si>
  <si>
    <t>由香港恒生大學開辦：藝術設計（榮譽）文學士</t>
  </si>
  <si>
    <t>由東華學院開辦：護理學（榮譽）健康科學學士</t>
  </si>
  <si>
    <t>由東華學院開辦：醫療化驗科學（榮譽）理學士</t>
  </si>
  <si>
    <t>由東華學院開辦：放射治療學（榮譽）理學士</t>
  </si>
  <si>
    <t>由東華學院開辦：職業治療學（榮譽）理學士</t>
  </si>
  <si>
    <t>由東華學院開辦：物理治療學（榮譽）理學士</t>
  </si>
  <si>
    <t>由東華學院開辦：應用老年學（榮譽）理學士</t>
  </si>
  <si>
    <t>由東華學院開辦：醫療資訊及服務管理（榮譽）學士</t>
  </si>
  <si>
    <t>JSST08</t>
  </si>
  <si>
    <t>BSc(MI)</t>
  </si>
  <si>
    <t>由東華學院開辦：醫療影像學（榮譽）理學士</t>
  </si>
  <si>
    <t>由香港都會大學開辦：創意寫作與電影藝術榮譽文學士</t>
  </si>
  <si>
    <t>由香港都會大學開辦：動畫及視覺特效榮譽藝術學士</t>
  </si>
  <si>
    <t>由香港都會大學開辦：影像設計及數碼藝術榮譽藝術學士</t>
  </si>
  <si>
    <t>由香港都會大學開辦：新音樂及互動娛樂榮譽文學士</t>
  </si>
  <si>
    <t>由香港都會大學開辦：護理學榮譽學士（普通科）</t>
  </si>
  <si>
    <t>由香港都會大學開辦：護理學榮譽學士（精神科）</t>
  </si>
  <si>
    <t>由香港都會大學開辦：物理治療學榮譽理學士</t>
  </si>
  <si>
    <t>由香港都會大學開辦：綜合檢測和認證榮譽應用理學士</t>
  </si>
  <si>
    <t>由香港都會大學開辦：醫療化驗科學榮譽理學士</t>
  </si>
  <si>
    <t>由香港都會大學開辦：食品測試科學榮譽理學士</t>
  </si>
  <si>
    <t>由香港都會大學開辦：數據科學及人工智能榮譽理學士</t>
  </si>
  <si>
    <t>由香港都會大學開辦：電腦科學榮譽理學士</t>
  </si>
  <si>
    <t>由香港都會大學開辦：建築管理及工料測量學榮譽理學士</t>
  </si>
  <si>
    <t>由香港都會大學開辦：屋宇設備工程及可持續發展榮譽工學士</t>
  </si>
  <si>
    <t>由香港都會大學開辦：土木工程榮譽工學士</t>
  </si>
  <si>
    <t>由香港都會大學開辦：國際款待及景區管理榮譽工商管理學士</t>
  </si>
  <si>
    <t>JSSU93</t>
  </si>
  <si>
    <t>由香港都會大學開辦：航空服務管理榮譽工商管理學士</t>
  </si>
  <si>
    <t>由香港都會大學開辦：運動及康樂管理榮譽工商管理學士</t>
  </si>
  <si>
    <t>由香港都會大學開辦：財務及金融科技榮譽工商管理學士</t>
  </si>
  <si>
    <t>由香港都會大學開辦：環球市場及供應鏈管理榮譽工商管理學士</t>
  </si>
  <si>
    <t>由高科院開辦：時裝設計（榮譽）文學士</t>
  </si>
  <si>
    <t>由高科院開辦：產品設計（榮譽）文學士</t>
  </si>
  <si>
    <t>由高科院開辦：園境建築（榮譽）文學士</t>
  </si>
  <si>
    <t>由高科院開辦：廚藝及管理（榮譽）文學士</t>
  </si>
  <si>
    <t>由高科院開辦：土木工程（榮譽）工學士</t>
  </si>
  <si>
    <t>由高科院開辦：園藝樹藝及園境管理（榮譽）理學士</t>
  </si>
  <si>
    <t>由高科院開辦：測量學（榮譽）理學士</t>
  </si>
  <si>
    <t>由高科院開辦：運動及康樂管理（榮譽）社會科學學士</t>
  </si>
  <si>
    <t>由高科院開辦：屋宇設備工程（榮譽）工學士</t>
  </si>
  <si>
    <t>JSSV13</t>
  </si>
  <si>
    <t>BSocSc(SC)</t>
  </si>
  <si>
    <t>由高科院開辦：運動教練(榮譽)社會科學學士</t>
  </si>
  <si>
    <t>由香港伍倫貢學院開辦：營運及管理（榮譽）航空學士</t>
  </si>
  <si>
    <t>由香港伍倫貢學院開辦：航運服務及營運管理學士（榮譽）</t>
  </si>
  <si>
    <t>由香港樹仁大學開辦： 金融科技（榮譽）商學士</t>
  </si>
  <si>
    <t>JSSY02</t>
  </si>
  <si>
    <t>BSc (Hons) ADS</t>
  </si>
  <si>
    <t>由香港樹仁大學開辦：應用數據科學（榮譽）理學士</t>
  </si>
  <si>
    <t>計算學院</t>
  </si>
  <si>
    <t>188 (Combined intake for programmes JS3003 [around 19], JS3060 [around 78], JS3070 [around 43] and JS3080 [around 48]) (JUPAS and Non-JUPAS)</t>
  </si>
  <si>
    <t>計算與數據科學學院</t>
  </si>
  <si>
    <t>2025加分制</t>
  </si>
  <si>
    <t>2025入學要求1</t>
  </si>
  <si>
    <t>2025入學要求2</t>
  </si>
  <si>
    <t>2025計分方式</t>
  </si>
  <si>
    <t>2025 UPDATE</t>
  </si>
  <si>
    <t>2025 UDPATE 2</t>
  </si>
  <si>
    <t>2025計分詳情1</t>
  </si>
  <si>
    <t>2025計分詳情2</t>
  </si>
  <si>
    <t>2025比重1</t>
  </si>
  <si>
    <t>2025比重2</t>
  </si>
  <si>
    <t>2025比重3</t>
  </si>
  <si>
    <t>2025年</t>
  </si>
  <si>
    <t>25年新科目</t>
  </si>
  <si>
    <t>有</t>
  </si>
  <si>
    <t>無*</t>
  </si>
  <si>
    <t>x2: 英文、數學、生物、化學、DAT、經濟、ICT、M1/2、物理</t>
  </si>
  <si>
    <t>x1.5: 英文 (己計算 2025 比重)</t>
  </si>
  <si>
    <t>今年城大公佈的入學分數，是由2024年入學學生的分數，以2025年比重及加分制計算而成。</t>
  </si>
  <si>
    <t>因此，本計算器亦會直接以2025年比重計算同學的分數，以作公平比較。</t>
  </si>
  <si>
    <t>第二選修: (x2.5) 經濟、BAFS，或 (x1.5) 生物、化學、地理、M1/2、物理</t>
  </si>
  <si>
    <t>以下一科選修取得Lv.3︰生物、化學、DAT、經濟、ICT、M1/2、物理</t>
  </si>
  <si>
    <t>有冇 生物、化學、DAT、經濟、ICT、M1/2、物理 其中一科？</t>
  </si>
  <si>
    <t>JS1216, JS1219</t>
  </si>
  <si>
    <t>以下一科選修取得Lv.3︰生物、BAFS、化學、ICT、M1/2、物理</t>
  </si>
  <si>
    <t>有冇 生物、BAFS、化學、ICT、M1/2、物理 其中一科？</t>
  </si>
  <si>
    <t>JS1204, JS1218</t>
  </si>
  <si>
    <t>Total (Application)</t>
  </si>
  <si>
    <t>Total (Offer)</t>
  </si>
  <si>
    <t>Year (Application)</t>
  </si>
  <si>
    <t>此處顯示為2024年計分方式及數字 (分數已計比重)</t>
  </si>
  <si>
    <t>粗斜體代表計分方式不是正常的Best 4/5 或 3C2X，而是需要另外處理。(例如 Best 5 (包括英文))</t>
  </si>
  <si>
    <t>必須包含:</t>
  </si>
  <si>
    <t>x1.5 or 2.5</t>
  </si>
  <si>
    <t>比重:</t>
  </si>
  <si>
    <r>
      <t>*計分方式：</t>
    </r>
    <r>
      <rPr>
        <i/>
        <sz val="10"/>
        <color theme="1"/>
        <rFont val="微軟正黑體"/>
        <family val="2"/>
        <charset val="136"/>
      </rPr>
      <t>斜體</t>
    </r>
    <r>
      <rPr>
        <sz val="10"/>
        <color theme="1"/>
        <rFont val="微軟正黑體"/>
        <family val="2"/>
        <charset val="136"/>
      </rPr>
      <t xml:space="preserve"> = 2025年新科目/新安排，</t>
    </r>
    <r>
      <rPr>
        <b/>
        <sz val="10"/>
        <color theme="1"/>
        <rFont val="微軟正黑體"/>
        <family val="2"/>
        <charset val="136"/>
      </rPr>
      <t>粗體</t>
    </r>
    <r>
      <rPr>
        <sz val="10"/>
        <color theme="1"/>
        <rFont val="微軟正黑體"/>
        <family val="2"/>
        <charset val="136"/>
      </rPr>
      <t xml:space="preserve"> = 有比重</t>
    </r>
  </si>
  <si>
    <t>25年新計分方式</t>
  </si>
  <si>
    <r>
      <t>合乎</t>
    </r>
    <r>
      <rPr>
        <b/>
        <sz val="14"/>
        <color theme="1"/>
        <rFont val="微軟正黑體"/>
        <charset val="136"/>
      </rPr>
      <t>基本</t>
    </r>
    <r>
      <rPr>
        <b/>
        <sz val="10"/>
        <color theme="1"/>
        <rFont val="微軟正黑體"/>
        <family val="2"/>
        <charset val="136"/>
      </rPr>
      <t>入學要求?</t>
    </r>
  </si>
  <si>
    <t>2024年取錄人數</t>
  </si>
  <si>
    <t>2025年更新事項：</t>
  </si>
  <si>
    <t>(2025年)</t>
  </si>
  <si>
    <t>*今年城大公佈的入學分數，是由2024年入學學生的分數，以2025年比重及加分制計算而成。</t>
  </si>
  <si>
    <t>*因此，本計算器亦會直接以2025年比重計算同學的分數，以作公平比較，敬請留意。</t>
  </si>
  <si>
    <t>計分方式︰</t>
  </si>
  <si>
    <t>x1.5: 數學、M1、健康管理與社會關懷</t>
  </si>
  <si>
    <t>Mean</t>
  </si>
  <si>
    <t>25年計分方式</t>
  </si>
  <si>
    <t>差距(Mean)</t>
  </si>
  <si>
    <t>現重新整合並分拆為 JS3789 及 JS3791。</t>
  </si>
  <si>
    <t>此課程前身原為 JS3330 語言科學、翻譯學及言語治療(榮譽)文學士/理學士組合課程 (語言學及翻譯學 / 語言科學與語言數據分析 / 言語治療)</t>
  </si>
  <si>
    <t>現重新整合並分拆為 JS3241 及 JS3242。</t>
  </si>
  <si>
    <t>此課程前身原為 JS3571 物流及企業工程(榮譽)理學士組合課程 (物流工程兼管理學 / 企業工程兼管理學)，</t>
  </si>
  <si>
    <t>此課程前身原為 JS3330 語言科學、翻譯學及言語治療(榮譽)文學士/理學士組合課程 (語言學及翻譯學 / 語言科學與語言數據分析 / 言語治療)，</t>
  </si>
  <si>
    <t>此課程前身原為 JS3120土木工程及可持續發展學(榮譽)工學士組合課程，</t>
  </si>
  <si>
    <t>此課程前身原為 JS3120 土木工程及可持續發展學(榮譽)工學士組合課程，</t>
  </si>
  <si>
    <t>此課程前身原為 JS3100 建築及房地產(榮譽)理學士組合課程 (建築工程及管理學 / 物業管理學 / 地產及建設測量學)，</t>
  </si>
  <si>
    <t>現重新整合為 JS3255 食品科學及營養學(榮譽)理學士組合課程 (食品科技與食物安全 / 人類營養學及健康)。</t>
  </si>
  <si>
    <t>現重新整合為 JS3237 智能供應鏈及工程管理(榮譽)理學士組合課程 (智能供應鏈 / 工程管理兼數據分析)。</t>
  </si>
  <si>
    <t>此課程前身原為 JS3110 建築科學及工程學(榮譽)工學士組合課程 (建築科學及工程學 / 建築科學及工程學(屋宇設備工程學))，</t>
  </si>
  <si>
    <t>現重新整合為 JS3211 建築科學及工程學(榮譽)工學士。</t>
  </si>
  <si>
    <t>現重新整合並分拆為 JS3375 及 JS3739。</t>
  </si>
  <si>
    <t>此課程前身原為 JS3020 數據科學(榮譽)理學士組合課程 (數據科學及分析 / 投資科學及金融分析)，</t>
  </si>
  <si>
    <t>現重新整合並分拆為 JS3220 及 JS3223。</t>
  </si>
  <si>
    <t>此課程前身原為 JS3557 產品及工業工程(榮譽)工學士組合課程 (產品工程兼市場學 / 工業及系統工程學)，</t>
  </si>
  <si>
    <t>現重新整合為 JS3236 產品創新及智能製造(榮譽)工學士組合課程 (產品創新兼市場學 / 智能製造)。</t>
  </si>
  <si>
    <t>&lt;-DO NOT DELETE, as this is used in keyword matching in the Reference Score Calculation sheet.</t>
  </si>
  <si>
    <t>x5: DAT、倫理與宗教、HMSC、ICT、音樂、體育、科技與生活、旅遊與款待、視覺藝術</t>
  </si>
  <si>
    <t>x5: 中國歷史、中國文學、倫理與宗教、HMSC、歷史、英語文學、音樂、體育、科技與生活、旅遊與款待、視覺藝術</t>
  </si>
  <si>
    <t>x10: 英文、數學、生物、BAFS、化學、組合科學(任何)、DAT、經濟、ICT、M1/2、物理</t>
  </si>
  <si>
    <t>x7: 中文、中國文學、地理、綜合科學、英語文學</t>
  </si>
  <si>
    <t>x7: 中文、綜合科學</t>
  </si>
  <si>
    <t>x5: 音樂、體育、視覺藝術</t>
  </si>
  <si>
    <t>x7: 中文、中國文學、地理、英語文學</t>
  </si>
  <si>
    <t>x10: 英文、數學、生物、BAFS、化學、組合科學(任何)、DAT、經濟、ICT、綜合科學、M1/2、物理</t>
  </si>
  <si>
    <t>x10: 英文、數學、M1/2、經濟、物理、生物、化學、ICT、綜合科學、組合科學(任何)</t>
  </si>
  <si>
    <t>x10: 英文、數學、生物、化學、物理、組合科學(任何)</t>
  </si>
  <si>
    <t>x10: 經濟、BAFS、視覺藝術、中國歷史、地理、化學、生物、組合科學(任何)</t>
  </si>
  <si>
    <t>x5: 中國文學、倫理與宗教、HMSC、英語文學、音樂、體育、旅遊與款待</t>
  </si>
  <si>
    <t>x5: HMSC、ICT、體育、科技與生活</t>
  </si>
  <si>
    <t>x7: 中文、BAFS、DAT、經濟、綜合科學</t>
  </si>
  <si>
    <t>x10: 英文、數學、BAFS、經濟、ICT</t>
  </si>
  <si>
    <t>x7: 中文、生物、化學、組合科學(任何)、地理、綜合科學、物理</t>
  </si>
  <si>
    <t>x10: 中文、英文、生物、化學、組合科學(任何)、物理</t>
  </si>
  <si>
    <t>x10: 中文、英文、數學、生物、化學、組合科學(任何)、綜合科學、M1/2、物理</t>
  </si>
  <si>
    <t>x7: HMSC、體育</t>
  </si>
  <si>
    <t>x10: 英文、數學、化學、組合科學(任何)、綜合科學、M1/2、物理</t>
  </si>
  <si>
    <t>x7: 中文、生物、DAT、經濟、ICT、地理</t>
  </si>
  <si>
    <t>組合科學(Phy、Chem)</t>
  </si>
  <si>
    <t>組合科學(Bio、Chem)</t>
  </si>
  <si>
    <t>組合科學(Phy、Bio)</t>
  </si>
  <si>
    <t>x7: 中文、生物、BAFS、化學、組合科學(任何)、經濟、ICT、M1/2、物理</t>
  </si>
  <si>
    <t>x10: 中文、英文、生物、組合科學(Phy、Bio)、物理</t>
  </si>
  <si>
    <t>x10: 經濟、BAFS、視覺藝術、中國歷史、地理、化學、生物、組合科學(Bio、Chem)、歷史、科技與生活(服裝、成衣與紡織)</t>
  </si>
  <si>
    <t>x7: 中文、生物、組合科學(Phy、Bio)、組合科學(Bio、Chem)、綜合科學</t>
  </si>
  <si>
    <t>x10: 中文、英文、數學、生物、組合科學(Phy、Bio)、組合科學(Bio、Chem)</t>
  </si>
  <si>
    <t>x10: 中文、英文、數學、生物、化學、組合科學(Bio、Chem)、M1/2</t>
  </si>
  <si>
    <t>x10: 英文、數學、組合科學(Phy、Chem)、組合科學(Phy、Bio)、地理、ICT、綜合科學、M1/2、物理</t>
  </si>
  <si>
    <t>x10: 英文、數學、化學、組合科學(Phy、Chem)、ICT、M1/2、物理</t>
  </si>
  <si>
    <t>x10: 英文、數學、組合科學(Phy、Chem)、組合科學(Phy、Bio)、物理</t>
  </si>
  <si>
    <t>x7: 組合科學(Phy、Chem)、組合科學(Phy、Bio)、物理</t>
  </si>
  <si>
    <t>x7: 數學、化學、組合科學(Phy、Chem)、組合科學(Bio、Chem)、HMSC、綜合科學、體育</t>
  </si>
  <si>
    <t>x10: 英文、數學、組合科學(Phy、Chem)、組合科學(Phy、Bio)、M1/2、物理</t>
  </si>
  <si>
    <t>5科34.5分？</t>
  </si>
  <si>
    <t>PolyU Done</t>
  </si>
  <si>
    <t>前身為 JS3110</t>
  </si>
  <si>
    <t>前身為 JS3020</t>
  </si>
  <si>
    <t>優先考慮修讀 英語文學 者</t>
  </si>
  <si>
    <t>優先考慮修讀 視覺藝術 者</t>
  </si>
  <si>
    <t>優先考慮修讀 音樂 者</t>
  </si>
  <si>
    <t>最佳五科必須包括︰英文 及 [數學 和 M1/2] 其中最佳一科</t>
  </si>
  <si>
    <t>若數學科只考獲Lv.4或以下，M1/2需考獲Lv.5</t>
  </si>
  <si>
    <t>x1.5: [M1/2、化學、物理或經濟] 其中最佳一科</t>
  </si>
  <si>
    <t>優先考慮 數學 考獲Lv.4或以上者</t>
  </si>
  <si>
    <t>最佳五科必須包括︰數學、M1/2</t>
  </si>
  <si>
    <t>x0.5: 通識</t>
  </si>
  <si>
    <t>x1.5: 數學、M1/2、物理</t>
  </si>
  <si>
    <t>x0.75: 通識</t>
  </si>
  <si>
    <t>x1.75: M1/2</t>
  </si>
  <si>
    <t>x1.75: 數學、M1/2</t>
  </si>
  <si>
    <t>x2: 數學 | x1.75: M1/2</t>
  </si>
  <si>
    <t>x1.5: [M1/2、數學] 其中最佳一科</t>
  </si>
  <si>
    <t>x1.2: 經濟、地理</t>
  </si>
  <si>
    <t>優先考慮修讀 化學、生物 者</t>
  </si>
  <si>
    <t>優先考慮修讀 第三科選修 及/或 M1/2 者</t>
  </si>
  <si>
    <t>優先考慮修讀以下科目者:</t>
  </si>
  <si>
    <t>註: 只有最多三科將會用以計算比重</t>
  </si>
  <si>
    <t>優先考慮 M1/2 成績優異者</t>
  </si>
  <si>
    <t>優先考慮修讀  M1/2 者</t>
  </si>
  <si>
    <t>x1.3: 英文</t>
  </si>
  <si>
    <t>x1.3: 中文、英文</t>
  </si>
  <si>
    <t>有冇 物理、生物 ?</t>
  </si>
  <si>
    <t>以下一科選修取得Lv.3︰M1/2、生物、化學、ICT、物理</t>
  </si>
  <si>
    <t>優先考慮以下一科選修︰M1/2、生物、化學、ICT、物理</t>
  </si>
  <si>
    <t>以下一科選修取得Lv.3︰M1/2、生物、化學、DAT、ICT、物理</t>
  </si>
  <si>
    <t>以下一科選修取得Lv.3︰M1/2、生物、化學、物理</t>
  </si>
  <si>
    <t>以下一科選修取得Lv.4︰M1/2、生物、化學、地理、物理</t>
  </si>
  <si>
    <t>以下一科選修取得Lv.3︰生物、化學、經濟、地理、ICT、物理、科技與生活</t>
  </si>
  <si>
    <t>JS4470 2nd sub</t>
  </si>
  <si>
    <t>Phy Chem Bio ICT M1/2</t>
  </si>
  <si>
    <t>優先考慮修讀以下科目者︰M1/2、經濟、ICT</t>
  </si>
  <si>
    <t>優先考慮修讀 M1/2 者</t>
  </si>
  <si>
    <t>M1/2、地理、物理</t>
  </si>
  <si>
    <t>M1/2、經濟、ICT</t>
  </si>
  <si>
    <t>2nd Sub</t>
  </si>
  <si>
    <t>6科不低於40分，並至少有4科5**</t>
  </si>
  <si>
    <t>6科40分？</t>
  </si>
  <si>
    <t>優先考慮修讀 化學 取得Lv.3或以上 者</t>
  </si>
  <si>
    <t>由2026年開始，化學 需取得Lv.3或以上</t>
  </si>
  <si>
    <t>JS4601 2nd Sub</t>
  </si>
  <si>
    <t>x:1.5: 數學、M1/2 | x1.25: 英文</t>
  </si>
  <si>
    <t>x1.25: [化學、物理、ICT或經濟] 其中最佳一科</t>
  </si>
  <si>
    <t>x2: M1/2</t>
  </si>
  <si>
    <t>x1.5: [經濟 或  ICT] 其中最佳一科</t>
  </si>
  <si>
    <t>x1.25: 數學、M1/2、化學、物理</t>
  </si>
  <si>
    <t>x1.5: [生物、化學、經濟 或 HMSC] 其中最佳一科</t>
  </si>
  <si>
    <t>此分數為 2024年 JS4020 文化研究 的收生分數。</t>
  </si>
  <si>
    <t>化學、生物 邊科高啲?</t>
  </si>
  <si>
    <t>(「是」 不等如夠分入讀)</t>
  </si>
  <si>
    <t>First Pick (Ensure 3C+Best of Bio/Chem is picked)</t>
  </si>
  <si>
    <t>Final Score:</t>
  </si>
  <si>
    <t>企業、會計與財務概論</t>
  </si>
  <si>
    <t>請選擇語言科目</t>
  </si>
  <si>
    <t>有冇 物理、經濟、BAFS 或 ICT 其中一科？</t>
  </si>
  <si>
    <t>CUHK Done</t>
  </si>
  <si>
    <t xml:space="preserve">歡迎各位有心人Debug, </t>
  </si>
  <si>
    <t>請於Drive中Debug文件內註明Bug及其位置。</t>
  </si>
  <si>
    <t>無收生</t>
  </si>
  <si>
    <t>此課程的加權後的 *最高可考獲分數* 為:  44.63</t>
  </si>
  <si>
    <t>此課程的加權後的 *最高可考獲分數* 為:  66.94</t>
  </si>
  <si>
    <t>此課程的加權後的 *最高可考獲分數* 為:  75.86</t>
  </si>
  <si>
    <t>此課程的加權後的 *最高可考獲分數* 為:  58.01</t>
  </si>
  <si>
    <t>此課程的加權後的 *最高可考獲分數* 為:  62.48</t>
  </si>
  <si>
    <t>此課程的加權後的 *最高可考獲分數* 為:  71.4</t>
  </si>
  <si>
    <t>英文 x1 + 數學 x1</t>
  </si>
  <si>
    <t>+ 最佳一科 x1</t>
  </si>
  <si>
    <t>英文 x1.5 + 數學 x1 + 最佳一科理科x1 + 最佳兩科x1</t>
  </si>
  <si>
    <t>最多只有兩科理科會計算比重</t>
  </si>
  <si>
    <t>(*理科: 生物/ 化學 /物理 / 組合科學) (ICT則只會x1)</t>
  </si>
  <si>
    <t>英文x2  + 數學x2</t>
  </si>
  <si>
    <t>(*理科: 生物/ 化學 /物理 / 組合科學/DAT) (ICT則只會x1)</t>
  </si>
  <si>
    <t>(*選修: 生物/ 化學 )</t>
  </si>
  <si>
    <t>4.42 (已計算加分制)</t>
  </si>
  <si>
    <t>4.70 (已計算加分制)</t>
  </si>
  <si>
    <t>5.44 (已計算加分制)</t>
  </si>
  <si>
    <t>6.81 (已計算加分制)</t>
  </si>
  <si>
    <t>4.80 (已計算加分制)</t>
  </si>
  <si>
    <t>4.45 (已計算加分制)</t>
  </si>
  <si>
    <t>4.43 (已計算加分制)</t>
  </si>
  <si>
    <t>4.36 (已計算加分制)</t>
  </si>
  <si>
    <t>6.18 (已計算加分制)</t>
  </si>
  <si>
    <t>7.51 (已計算加分制)</t>
  </si>
  <si>
    <t>4.71 (已計算加分制)</t>
  </si>
  <si>
    <t>理科、ICT: Lv.5*</t>
  </si>
  <si>
    <t>英文、數學、其他選修: Lv. 5</t>
  </si>
  <si>
    <t>408*</t>
  </si>
  <si>
    <t>JS5212-5270</t>
  </si>
  <si>
    <t>此分數為 上年 JS5200工程學 的 收生分數，敬請注意。</t>
  </si>
  <si>
    <t>此分數為 上年 JS5282 工程學– 延伸主修人工智能 的 收生分數，敬請注意。</t>
  </si>
  <si>
    <t>此分數為 上年 JS5200 工程學 的 收生分數，敬請注意。</t>
  </si>
  <si>
    <t>第六科</t>
  </si>
  <si>
    <t>Bonus Ratio</t>
  </si>
  <si>
    <t>HKUST DONE</t>
  </si>
  <si>
    <t>HKUST Done</t>
  </si>
  <si>
    <t>UST Done</t>
  </si>
  <si>
    <r>
      <t>*每年分數計算方式或有更改，以上一律以</t>
    </r>
    <r>
      <rPr>
        <b/>
        <sz val="10"/>
        <color theme="1"/>
        <rFont val="微軟正黑體"/>
        <family val="2"/>
        <charset val="136"/>
      </rPr>
      <t>2024方式</t>
    </r>
    <r>
      <rPr>
        <sz val="10"/>
        <color theme="1"/>
        <rFont val="微軟正黑體"/>
        <family val="2"/>
        <charset val="136"/>
      </rPr>
      <t>計算，以便估計分數差距。</t>
    </r>
  </si>
  <si>
    <r>
      <t>*理大本年公佈的分數為</t>
    </r>
    <r>
      <rPr>
        <b/>
        <sz val="12"/>
        <rFont val="微軟正黑體"/>
      </rPr>
      <t>已計比重的分數</t>
    </r>
    <r>
      <rPr>
        <sz val="10"/>
        <rFont val="微軟正黑體"/>
      </rPr>
      <t>，只供參考。</t>
    </r>
  </si>
  <si>
    <r>
      <t>*每年分數計算方式或有更改，以上一律以</t>
    </r>
    <r>
      <rPr>
        <b/>
        <sz val="10"/>
        <rFont val="微軟正黑體"/>
      </rPr>
      <t>2024方式</t>
    </r>
    <r>
      <rPr>
        <sz val="10"/>
        <rFont val="微軟正黑體"/>
      </rPr>
      <t>計算，以便估計分數差距。</t>
    </r>
  </si>
  <si>
    <t>x2: 英文 | x1.5: 數學</t>
  </si>
  <si>
    <t>x1.5: 生物、化學、物理、經濟、ICT、M1/M2</t>
  </si>
  <si>
    <t>(最多只有兩科選修科會計算比重)</t>
  </si>
  <si>
    <t>生物、化學、物理、ICT、經濟</t>
  </si>
  <si>
    <t>以下一科選修取得Lv.3︰生物、化學、物理、經濟、ICT</t>
  </si>
  <si>
    <t>以下一科選修取得Lv.3︰生物、化學、物理、組合科學</t>
  </si>
  <si>
    <t>由於本年HKU不再為 組合科學 計算比重，此處的估算分數亦不會為其計算比重。</t>
  </si>
  <si>
    <t>由於本年HKU不再為 組合科學 及 綜合科學 計算比重，此處的估算分數亦不會為其計算比重。</t>
  </si>
  <si>
    <t>x1.2: 生物、化學、物理、M1/2</t>
  </si>
  <si>
    <t>x1.2: 生物、化學、組合科學、物理、M1/2</t>
  </si>
  <si>
    <t>*理科: 生物、化學、物理</t>
  </si>
  <si>
    <t>x1.5: 生物、化學、物理、M1/M2</t>
  </si>
  <si>
    <t>由於本年HKU JS6822 必須包括英文科成績，此處的估算分數亦會包括英文科 (但不會計算比重)。</t>
  </si>
  <si>
    <t>x1.5:數學</t>
  </si>
  <si>
    <t>以下兩科選修取得Lv.3︰生物、化學、物理、M1/2</t>
  </si>
  <si>
    <t>生物、化學、物理、M1/2</t>
  </si>
  <si>
    <t>生物、化學、組合科學、物理、ICT、綜合科學、DAT、科技與生活、M1/2</t>
  </si>
  <si>
    <t>x1.5: 生物、化學、物理、組合科學、綜合科學、ICT、M1/M2、科學與生活、DAT</t>
  </si>
  <si>
    <t>數學 定 M1/2 高啲</t>
  </si>
  <si>
    <t>生物、化學、物理、ICT、經濟、M1/2</t>
  </si>
  <si>
    <t>HKU Done</t>
  </si>
  <si>
    <t>HKU DONE</t>
  </si>
  <si>
    <t>226*</t>
  </si>
  <si>
    <t>327*</t>
  </si>
  <si>
    <t>x1.5: M1/2、ICT</t>
  </si>
  <si>
    <t>x1.5: M1/2、ICT、BAFS、經濟</t>
  </si>
  <si>
    <t>2025年將以新比重收生，此處仍以原本比重作估算，請注意</t>
  </si>
  <si>
    <t>x1.5: 數學、經濟、M1/2</t>
  </si>
  <si>
    <t>x1.5: 數學、M1/2、地理</t>
  </si>
  <si>
    <t>x1.5: 數學、M1/2、ICT</t>
  </si>
  <si>
    <t>x1.25: 生物、BAFS、DAT、經濟、HSMC、科技與生活、旅遊與款待</t>
  </si>
  <si>
    <t>x1.5: M1/2、BAFS</t>
  </si>
  <si>
    <t>LingU Done</t>
  </si>
  <si>
    <r>
      <t>*嶺大公佈的分數為</t>
    </r>
    <r>
      <rPr>
        <b/>
        <sz val="12"/>
        <color theme="1"/>
        <rFont val="微軟正黑體"/>
        <family val="2"/>
        <charset val="136"/>
      </rPr>
      <t xml:space="preserve">已乘比重的分數 </t>
    </r>
    <r>
      <rPr>
        <sz val="10"/>
        <color theme="1"/>
        <rFont val="微軟正黑體"/>
        <family val="2"/>
        <charset val="136"/>
      </rPr>
      <t xml:space="preserve">及 </t>
    </r>
    <r>
      <rPr>
        <sz val="10"/>
        <color theme="1"/>
        <rFont val="微軟正黑體"/>
        <charset val="136"/>
      </rPr>
      <t>未計比重的原始分數</t>
    </r>
    <r>
      <rPr>
        <sz val="10"/>
        <color theme="1"/>
        <rFont val="微軟正黑體"/>
        <family val="2"/>
        <charset val="136"/>
      </rPr>
      <t>，只供參考。</t>
    </r>
  </si>
  <si>
    <t>UGC-funded</t>
  </si>
  <si>
    <t>Bachelor of Arts (Honours) in Creative and Digital Arts and Bachelor of Education (Honours) (Music)</t>
  </si>
  <si>
    <t>Bachelor of Arts (Honours) in Creative and Digital Arts and Bachelor of Education (Honours) (Visual Arts)</t>
  </si>
  <si>
    <t>Bachelor of Arts (Honours) in Digital Chinese Culture and Communication and Bachelor of Education (Honours) (Chinese Language)</t>
  </si>
  <si>
    <t>Bachelor of Arts (Honours) in English Studies and Digital Communication and Bachelor of Education (Honours) (English Language)</t>
  </si>
  <si>
    <t>Bachelor of Arts (Honours) in Heritage Education and Arts Management and Bachelor of Education (Honours) (Chinese History)</t>
  </si>
  <si>
    <t>Bachelor of Social Sciences (Honours) in Psychology and Bachelor of Education (Honours) (Early Childhood Education)</t>
  </si>
  <si>
    <t>Bachelor of Arts (Honours) in Personal Finance and Bachelor of Education (Honours) (Business, Accounting and Financial Studies)</t>
  </si>
  <si>
    <t>Bachelor of Science (Honours) in Artificial Intelligence and Educational Technology and Bachelor of Education (Honours) (Information and Communication Technology and Primary Science)</t>
  </si>
  <si>
    <t>Bachelor of Science (Honours) in Artificial Intelligence and Educational Technology and Bachelor of Education (Honours) (Primary Mathematics)</t>
  </si>
  <si>
    <t>Bachelor of Science (Honours) in Sports Science and Coaching and Bachelor of Education (Honours) (Physical Education)</t>
  </si>
  <si>
    <t>Bachelor of Science (Honours) in Integrated Environmental Management and Bachelor of Education (Honours) (Science)</t>
  </si>
  <si>
    <t>Bachelor of Social Sciences (Honours) in Sociology and Community Studies and Bachelor of Education (Honours) (Geography)</t>
  </si>
  <si>
    <t>Bachelor of Social Sciences (Honours) in Sociology and Community Studies and Bachelor of Education (Honours) (Primary Humanities)</t>
  </si>
  <si>
    <t>Higher Diploma in Early Childhood Education</t>
  </si>
  <si>
    <t>Bachelor of Social Sciences (Honours) in Psychology</t>
  </si>
  <si>
    <t>Bachelor of Arts (Honours) in Special Education</t>
  </si>
  <si>
    <t>Bachelor of Arts (Honours) in Digital Chinese Culture and Communication</t>
  </si>
  <si>
    <t>Bachelor of Arts (Honours) in English Studies and Digital Communication</t>
  </si>
  <si>
    <t>Bachelor of Arts (Honours) in Creative and Digital Arts (Music)</t>
  </si>
  <si>
    <t>Bachelor of Arts (Honours) in Creative and Digital Arts (Visual Arts)</t>
  </si>
  <si>
    <t>Bachelor of Arts (Honours) in Heritage Education and Arts Management</t>
  </si>
  <si>
    <t>Bachelor of Arts (Honours) in Personal Finance</t>
  </si>
  <si>
    <t>Bachelor of Science (Honours) in Integrated Environmental Management</t>
  </si>
  <si>
    <t>Bachelor of Science (Honours) in Artificial Intelligence and Educational Technology</t>
  </si>
  <si>
    <t>Bachelor of Science (Honours) in Sports Science and Coaching</t>
  </si>
  <si>
    <t>Bachelor of Science (Honours) in Speech Pathology and Rehabilitation</t>
  </si>
  <si>
    <t>x1.5: 中文、英文、中國文學、ICT</t>
  </si>
  <si>
    <t>x1.5: 中國歷史、歷史、經濟、地理</t>
  </si>
  <si>
    <t>x1.5: 指定ApL科目</t>
  </si>
  <si>
    <t>x1.5: 中國歷史、歷史</t>
  </si>
  <si>
    <t>x1.5: 化學 | x1.3: 生物 | x1.2 物理</t>
  </si>
  <si>
    <t>x1.1: 數學、M1/2、地理</t>
  </si>
  <si>
    <t>下年度將會為化學Major，故屆時化學科會有比重(x1.5)</t>
  </si>
  <si>
    <t>本年度為 化學 主修</t>
  </si>
  <si>
    <t>x1.5: 中文、中國文學、ICT</t>
  </si>
  <si>
    <t>x1.6: 生物、化學</t>
  </si>
  <si>
    <t>x1.2: 數學、M1/2、地理</t>
  </si>
  <si>
    <t>x1.1: 物理</t>
  </si>
  <si>
    <t>x1.5: 英文、數學、M1/2、DAT、ICT</t>
  </si>
  <si>
    <t>此分數為 上年 JS8825 的 收生分數。另一科 JS8222 分數則為 Median: 22.5, LQ: 22.1。</t>
  </si>
  <si>
    <t>此課程前身原為 JS8222 英國語文教育榮譽學士 — 小學</t>
  </si>
  <si>
    <t>此課程前身原為 JS8105 中國語文教育榮譽學士</t>
  </si>
  <si>
    <t>此課程前身原為 JS8234 小學教育榮譽學士 - 常識</t>
  </si>
  <si>
    <t>此課程前身原為 JS8246 小學教育榮譽學士 - 數學</t>
  </si>
  <si>
    <t>此課程前身原為 JS8325 體育教育榮譽學士</t>
  </si>
  <si>
    <t>此課程前身原為 JS8361 中學教育榮譽學士 - 資訊及通訊科技</t>
  </si>
  <si>
    <t>此課程前身原為 JS8371 企業、會計與財務概論教育榮譽學士</t>
  </si>
  <si>
    <t>此課程前身原為 JS8381 歷史教育榮譽學士</t>
  </si>
  <si>
    <t>此課程前身原為 JS8404 幼兒教育榮譽學士</t>
  </si>
  <si>
    <t>此課程前身原為 JS8428 地理教育榮譽學士</t>
  </si>
  <si>
    <t>此課程前身原為 JS8430 科學教育榮譽學士</t>
  </si>
  <si>
    <t>此課程前身原為 JS8600 語文研究榮譽文學士 (中文主修)</t>
  </si>
  <si>
    <t>此課程前身原為 JS8636 創意藝術與文化榮譽文學士 (音樂)</t>
  </si>
  <si>
    <t>此課程前身原為 JS8648 創意藝術與文化榮譽文學士 (視覺藝術)</t>
  </si>
  <si>
    <t>此課程前身原為 JS8801 創意藝術與文化榮譽文學士及音樂教育榮譽學士 (同期結業雙學位課程)</t>
  </si>
  <si>
    <t>此課程前身原為 JS8813 創意藝術與文化榮譽文學士及視覺藝術教育榮譽學士 (同期結業雙學位課程)</t>
  </si>
  <si>
    <t>x1.5: BAFS、經濟</t>
  </si>
  <si>
    <t>以下一科選修取得Lv.3︰BAFS、經濟</t>
  </si>
  <si>
    <t>經濟、BAFS</t>
  </si>
  <si>
    <t>有冇？</t>
  </si>
  <si>
    <t>DSE視覺藝術考獲 Lv.4或以上者 則可豁免該測試</t>
  </si>
  <si>
    <t>DSE音樂科考獲 Lv.4或以上者 則可豁免該測試</t>
  </si>
  <si>
    <t>此課程不能以其他資歷取代DSE英國語文科要求。</t>
  </si>
  <si>
    <t>以下一科選修取得Lv.2︰生物、化學、物理、ICT</t>
  </si>
  <si>
    <t>ICT、生物、化學、物理</t>
  </si>
  <si>
    <t>以下一科選修取得Lv.2︰生物、化學、物理、ICT、M1/2</t>
  </si>
  <si>
    <t>ICT、生物、化學、物理、M1/2</t>
  </si>
  <si>
    <t>優先考慮 中國文學 考獲 Lv.2 或以上 者</t>
  </si>
  <si>
    <t>優先考慮 修讀DSE 體育科 者</t>
  </si>
  <si>
    <t>以下一科選修取得Lv.4︰生物、化學、物理</t>
  </si>
  <si>
    <t>地理、旅遊與款待</t>
  </si>
  <si>
    <t>以下一科選修取得Lv.3︰地理、旅遊與款待</t>
  </si>
  <si>
    <t>JS8507 (HD)</t>
  </si>
  <si>
    <t>以下一科選修取得Lv.2︰生物、化學、物理、地理</t>
  </si>
  <si>
    <t>生物、化學、物理、地理</t>
  </si>
  <si>
    <t>申請人必須以流利廣東話及英文進行面試</t>
  </si>
  <si>
    <t>EdUHK DONE</t>
  </si>
  <si>
    <t>EdUHK Done</t>
  </si>
  <si>
    <t>應用數據科學（榮譽）理學士</t>
  </si>
  <si>
    <t>運動教練(榮譽)社會科學學士</t>
  </si>
  <si>
    <r>
      <rPr>
        <sz val="10"/>
        <color theme="1"/>
        <rFont val="微軟正黑體"/>
        <family val="2"/>
        <charset val="136"/>
      </rPr>
      <t>*教大公佈的分數為</t>
    </r>
    <r>
      <rPr>
        <b/>
        <sz val="12"/>
        <color theme="1"/>
        <rFont val="微軟正黑體"/>
        <charset val="136"/>
      </rPr>
      <t>已乘比重的分數</t>
    </r>
    <r>
      <rPr>
        <sz val="10"/>
        <color theme="1"/>
        <rFont val="微軟正黑體"/>
        <family val="2"/>
        <charset val="136"/>
      </rPr>
      <t>，只供參考</t>
    </r>
    <r>
      <rPr>
        <b/>
        <sz val="10"/>
        <color theme="1"/>
        <rFont val="微軟正黑體"/>
        <family val="2"/>
        <charset val="136"/>
      </rPr>
      <t>。</t>
    </r>
  </si>
  <si>
    <t>由於嶺大本年直接公佈加權後分數 (即已計算比重)，已往此處一慣直接引用教大數字，不作任何估算。</t>
  </si>
  <si>
    <t>此課程前身原為 JS9223 航空服務管理榮譽工商管理學士，</t>
  </si>
  <si>
    <t>現轉為SSSDP課程（JSSU93 航空服務管理榮譽工商管理學士）</t>
  </si>
  <si>
    <t>醫療影像學（榮譽）理學士</t>
  </si>
  <si>
    <t>聖方濟各大學</t>
  </si>
  <si>
    <t>生物、物理 考獲 Lv.3 或以上者</t>
  </si>
  <si>
    <t>HKMU Done</t>
  </si>
  <si>
    <t>SSSDP Done</t>
  </si>
  <si>
    <t>優先考慮 生物 考獲Lv.2或以上者</t>
  </si>
  <si>
    <t>有冇 生物？</t>
  </si>
  <si>
    <t>Best 5 可包含 M1/2</t>
  </si>
  <si>
    <t>公民科 「達標」 可被計算為一科 Lv.2 科目</t>
  </si>
  <si>
    <t>Best 5 可包含 M1/3</t>
  </si>
  <si>
    <t>優先考慮:  英文 考獲 Lv.4 或以上 者</t>
  </si>
  <si>
    <t>以下一科選修取得Lv.2︰生物、化學、物理</t>
  </si>
  <si>
    <t>生物、化學、物理、組合科學(物理)</t>
  </si>
  <si>
    <t>以下一科選修取得Lv.3︰生物、化學、物理、或 健康護理實務(Distinction (I))</t>
  </si>
  <si>
    <t>有冇 理科？</t>
  </si>
  <si>
    <t>生物、組合科學(生物)</t>
  </si>
  <si>
    <t>優先考慮 物理、生物、組合科學(物理、生物) 考獲Lv.3或以上者</t>
  </si>
  <si>
    <t>有冇ICT M1/2</t>
  </si>
  <si>
    <t>優先考慮:  M1/2 及/或 資訊及通訊科技 考獲Lv.4或以上者</t>
  </si>
  <si>
    <t>請選擇等級</t>
  </si>
  <si>
    <t>請選擇第四選修科</t>
  </si>
  <si>
    <t>5 | C1 | N2 | B++</t>
  </si>
  <si>
    <t>4 | B2 | N3 | B+</t>
  </si>
  <si>
    <t>D</t>
  </si>
  <si>
    <t>6 | C2 | N1 | A,A+,A++</t>
  </si>
  <si>
    <t>C | A2</t>
  </si>
  <si>
    <t>3 | B1 | B</t>
  </si>
  <si>
    <t>韓語</t>
  </si>
  <si>
    <t>CUHK MED</t>
  </si>
  <si>
    <t>https://www.cityu.edu.hk/admo/sites/default/files/2024-10/2025_JUPAS_Admission_Score_Formula_and_Admission_Scores.pdf</t>
  </si>
  <si>
    <r>
      <t xml:space="preserve">*浸大公佈的分數為 </t>
    </r>
    <r>
      <rPr>
        <b/>
        <sz val="12"/>
        <rFont val="微軟正黑體"/>
      </rPr>
      <t>已計比重的平均分數</t>
    </r>
    <r>
      <rPr>
        <sz val="10"/>
        <rFont val="微軟正黑體"/>
      </rPr>
      <t xml:space="preserve"> ，以及</t>
    </r>
    <r>
      <rPr>
        <b/>
        <sz val="12"/>
        <rFont val="微軟正黑體"/>
      </rPr>
      <t>未計比重的原始分數</t>
    </r>
    <r>
      <rPr>
        <sz val="10"/>
        <rFont val="微軟正黑體"/>
      </rPr>
      <t>，以上含比重分數一律以</t>
    </r>
    <r>
      <rPr>
        <b/>
        <sz val="12"/>
        <rFont val="微軟正黑體"/>
      </rPr>
      <t>最大比重</t>
    </r>
    <r>
      <rPr>
        <sz val="10"/>
        <rFont val="微軟正黑體"/>
      </rPr>
      <t>作估算</t>
    </r>
    <r>
      <rPr>
        <b/>
        <sz val="10"/>
        <rFont val="微軟正黑體"/>
      </rPr>
      <t>，</t>
    </r>
    <r>
      <rPr>
        <sz val="10"/>
        <rFont val="微軟正黑體"/>
      </rPr>
      <t>或會</t>
    </r>
    <r>
      <rPr>
        <b/>
        <sz val="12"/>
        <rFont val="微軟正黑體"/>
      </rPr>
      <t>稍高於真實分數</t>
    </r>
    <r>
      <rPr>
        <sz val="10"/>
        <rFont val="微軟正黑體"/>
      </rPr>
      <t>，只供參考。</t>
    </r>
  </si>
  <si>
    <t>*無比重的學科 (如 JS2020, JS2025)，將直接以Best 5計算 。</t>
  </si>
  <si>
    <t>*為了公平比較往年數據，新學年修改了計分方式 或 比重的學科 (如 JS2940) 在此處將繼續以往年方式估算，請注意。</t>
  </si>
  <si>
    <t>https://admission.cuhk.edu.hk/wp-content/uploads/2024/10/Admission-Grades-2024.pdf</t>
  </si>
  <si>
    <t>https://admission.cuhk.edu.hk/wp-content/uploads/2024/10/Useful-Information-for-JUPAS-Applicants-2025.pdf</t>
  </si>
  <si>
    <t>https://admission.cuhk.edu.hk/application/jupas/download-area-for-important-information/</t>
  </si>
  <si>
    <t>https://www.jupas.edu.hk/f/page/3667/af_2024_JUPAS.pdf</t>
  </si>
  <si>
    <t>https://admissions.hku.hk/apply/jupas/score-calculator</t>
  </si>
  <si>
    <t>https://admissions.hku.hk/sites/default/files/2024-10/HKU-JUPAS-Admissions-Information-2025.pdf</t>
  </si>
  <si>
    <t>https://www.ln.edu.hk/admissions/ug/f/page/114/2272/2024_Admissions%20Scores.pdf</t>
  </si>
  <si>
    <t>https://www.ln.edu.hk/admissions/ug/apply-now/jupas-applicants</t>
  </si>
  <si>
    <t>https://www.ln.edu.hk/admissions/ug/page/detail/114#scorecal</t>
  </si>
  <si>
    <t>https://www.eduhk.hk/acadprog/downloads/EdUHK_admission_scores_2024.pdf</t>
  </si>
  <si>
    <t>https://www.jupas.edu.hk/f/page/3669/af_2024_SSSDP.pdf</t>
  </si>
  <si>
    <t>若未能開啟/使用，則可嘗試「網頁版」:</t>
  </si>
  <si>
    <t>https://jupascal.github.io/</t>
  </si>
  <si>
    <t>快速輸入</t>
  </si>
  <si>
    <t>更正 分數計算錯漏</t>
  </si>
  <si>
    <t>更正 首頁「快速輸入」排版設計</t>
  </si>
  <si>
    <t>v1.0.1 UPDATE PATCH:</t>
  </si>
  <si>
    <t>請選擇第一選修科</t>
  </si>
  <si>
    <t>請選擇第二選修科</t>
  </si>
  <si>
    <t>請選擇第三選修科</t>
  </si>
  <si>
    <t>v1.0.2 UPDATE PATCH:</t>
  </si>
  <si>
    <t>更正 HKU JS6901,JS6119 比重計算錯漏</t>
  </si>
  <si>
    <t>第6/7科</t>
  </si>
  <si>
    <t>科大會根據同學的第六科成績獎勵最高5%的額外分數，計算方式如下︰</t>
  </si>
  <si>
    <t>8.5分 -&gt; 5% | 7分 -&gt; 4.12% | 5.5分 -&gt; 3.24% | 4分 -&gt; 2.35% | 3分 -&gt; 1.76%</t>
  </si>
  <si>
    <t>For HKU &amp; HKUST Only</t>
  </si>
  <si>
    <t>第6/7科最佳</t>
  </si>
  <si>
    <t>Bonus 分數</t>
  </si>
  <si>
    <t>計算方式</t>
  </si>
  <si>
    <t>2025 JUPAS 計分器 Ver 1.0.3</t>
  </si>
  <si>
    <t>v1.0.3 Major UPDATE PATCH:</t>
  </si>
  <si>
    <t>更正 UST &amp; HKU 額外分數 計算錯漏</t>
  </si>
  <si>
    <r>
      <rPr>
        <b/>
        <sz val="14"/>
        <color rgb="FF000000"/>
        <rFont val="微軟正黑體"/>
        <charset val="136"/>
      </rPr>
      <t xml:space="preserve">請注意! </t>
    </r>
    <r>
      <rPr>
        <sz val="10"/>
        <color rgb="FF000000"/>
        <rFont val="微軟正黑體"/>
        <family val="2"/>
        <charset val="136"/>
      </rPr>
      <t xml:space="preserve">本年科大的官方計分器 </t>
    </r>
    <r>
      <rPr>
        <b/>
        <sz val="12"/>
        <color rgb="FFFF0000"/>
        <rFont val="微軟正黑體"/>
        <charset val="136"/>
      </rPr>
      <t>錯誤計算</t>
    </r>
    <r>
      <rPr>
        <sz val="10"/>
        <color rgb="FF000000"/>
        <rFont val="微軟正黑體"/>
        <family val="2"/>
        <charset val="136"/>
      </rPr>
      <t>了 最佳第六科的額外分數獎勵，故此其計算分數會與本計分器有所出入，敬請留意。</t>
    </r>
  </si>
  <si>
    <t>*科大自2024/25年起推出「額外分數」，根據同學的第六科成績獎勵最高5%的額外分數，計算方式如下︰</t>
  </si>
  <si>
    <t xml:space="preserve">* 同學可用以下分數自行驗算︰JS5101, 所有科目 Lv.3。Best 5 分數為15，第六科為Lv.3，故額外分數應為 15* 1.0176 = 0.264，但科大官方計分器則計算為 0.75。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</si>
</sst>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0"/>
    <numFmt numFmtId="165" formatCode="\(\+0%\);\(\-0%\);\(0%\)"/>
    <numFmt numFmtId="166" formatCode="0.00_);[Red]\(0.00\)"/>
    <numFmt numFmtId="167" formatCode="0.00_ ;[Red]\-0.00\ "/>
    <numFmt numFmtId="168" formatCode="\+0%;\-0%;0%"/>
    <numFmt numFmtId="169" formatCode="0.###"/>
    <numFmt numFmtId="170" formatCode="\+0.0%;\-0.0%;0.0%"/>
    <numFmt numFmtId="171" formatCode="0.0"/>
  </numFmts>
  <fonts count="171">
    <font>
      <sz val="12"/>
      <color theme="1"/>
      <name val="Calibri"/>
      <family val="2"/>
      <charset val="136"/>
      <scheme val="minor"/>
    </font>
    <font>
      <sz val="12"/>
      <color theme="1"/>
      <name val="Calibri"/>
      <family val="2"/>
      <scheme val="minor"/>
    </font>
    <font>
      <sz val="10"/>
      <color theme="1"/>
      <name val="微軟正黑體"/>
      <family val="2"/>
      <charset val="136"/>
    </font>
    <font>
      <sz val="9"/>
      <name val="Calibri"/>
      <family val="2"/>
      <charset val="136"/>
      <scheme val="minor"/>
    </font>
    <font>
      <sz val="9"/>
      <color theme="1"/>
      <name val="微軟正黑體"/>
      <family val="2"/>
      <charset val="136"/>
    </font>
    <font>
      <sz val="9"/>
      <name val="Calibri"/>
      <family val="3"/>
      <charset val="136"/>
      <scheme val="minor"/>
    </font>
    <font>
      <sz val="12"/>
      <color theme="1"/>
      <name val="微軟正黑體"/>
      <family val="2"/>
      <charset val="136"/>
    </font>
    <font>
      <b/>
      <sz val="12"/>
      <color theme="1"/>
      <name val="微軟正黑體"/>
      <family val="2"/>
      <charset val="136"/>
    </font>
    <font>
      <sz val="9"/>
      <color indexed="81"/>
      <name val="Tahoma"/>
      <family val="2"/>
    </font>
    <font>
      <b/>
      <sz val="9"/>
      <color indexed="81"/>
      <name val="Tahoma"/>
      <family val="2"/>
    </font>
    <font>
      <b/>
      <sz val="9"/>
      <color indexed="81"/>
      <name val="細明體"/>
      <family val="3"/>
      <charset val="136"/>
    </font>
    <font>
      <sz val="12"/>
      <color theme="1"/>
      <name val="Calibri"/>
      <family val="2"/>
      <charset val="136"/>
      <scheme val="minor"/>
    </font>
    <font>
      <b/>
      <sz val="10"/>
      <color theme="1"/>
      <name val="微軟正黑體"/>
      <family val="2"/>
      <charset val="136"/>
    </font>
    <font>
      <sz val="10"/>
      <color theme="2" tint="-0.249977111117893"/>
      <name val="微軟正黑體"/>
      <family val="2"/>
      <charset val="136"/>
    </font>
    <font>
      <sz val="10"/>
      <name val="微軟正黑體"/>
      <family val="2"/>
      <charset val="136"/>
    </font>
    <font>
      <sz val="9"/>
      <color indexed="81"/>
      <name val="細明體"/>
      <family val="3"/>
      <charset val="136"/>
    </font>
    <font>
      <b/>
      <sz val="10"/>
      <color theme="5" tint="-0.499984740745262"/>
      <name val="微軟正黑體"/>
      <family val="2"/>
      <charset val="136"/>
    </font>
    <font>
      <sz val="12"/>
      <color theme="4" tint="-0.249977111117893"/>
      <name val="微軟正黑體"/>
      <family val="2"/>
      <charset val="136"/>
    </font>
    <font>
      <b/>
      <sz val="10"/>
      <color theme="2" tint="-0.249977111117893"/>
      <name val="微軟正黑體"/>
      <family val="2"/>
      <charset val="136"/>
    </font>
    <font>
      <b/>
      <sz val="10"/>
      <color theme="0"/>
      <name val="微軟正黑體"/>
      <family val="2"/>
      <charset val="136"/>
    </font>
    <font>
      <b/>
      <sz val="10"/>
      <name val="微軟正黑體"/>
      <family val="2"/>
      <charset val="136"/>
    </font>
    <font>
      <sz val="10"/>
      <color theme="4" tint="-0.249977111117893"/>
      <name val="微軟正黑體"/>
      <family val="2"/>
      <charset val="136"/>
    </font>
    <font>
      <sz val="10"/>
      <color theme="0"/>
      <name val="微軟正黑體"/>
      <family val="2"/>
      <charset val="136"/>
    </font>
    <font>
      <b/>
      <sz val="12"/>
      <color rgb="FFFF0000"/>
      <name val="微軟正黑體"/>
      <family val="2"/>
      <charset val="136"/>
    </font>
    <font>
      <u/>
      <sz val="12"/>
      <color theme="10"/>
      <name val="Calibri"/>
      <family val="2"/>
      <charset val="136"/>
      <scheme val="minor"/>
    </font>
    <font>
      <b/>
      <sz val="8"/>
      <color theme="1"/>
      <name val="微軟正黑體"/>
      <family val="2"/>
      <charset val="136"/>
    </font>
    <font>
      <b/>
      <sz val="11"/>
      <color theme="1"/>
      <name val="微軟正黑體"/>
      <family val="2"/>
      <charset val="136"/>
    </font>
    <font>
      <b/>
      <sz val="9"/>
      <color theme="1"/>
      <name val="微軟正黑體"/>
      <family val="2"/>
      <charset val="136"/>
    </font>
    <font>
      <u/>
      <sz val="10"/>
      <color theme="10"/>
      <name val="微軟正黑體"/>
      <family val="2"/>
      <charset val="136"/>
    </font>
    <font>
      <b/>
      <sz val="14"/>
      <color rgb="FFFF0000"/>
      <name val="微軟正黑體"/>
      <family val="2"/>
      <charset val="136"/>
    </font>
    <font>
      <b/>
      <sz val="11"/>
      <color rgb="FFFF0000"/>
      <name val="微軟正黑體"/>
      <family val="2"/>
      <charset val="136"/>
    </font>
    <font>
      <b/>
      <i/>
      <sz val="10"/>
      <color theme="1"/>
      <name val="微軟正黑體"/>
      <family val="2"/>
      <charset val="136"/>
    </font>
    <font>
      <sz val="11"/>
      <color rgb="FF9C0006"/>
      <name val="Calibri"/>
      <family val="2"/>
      <scheme val="minor"/>
    </font>
    <font>
      <sz val="10"/>
      <color rgb="FFFF0000"/>
      <name val="微軟正黑體"/>
      <family val="2"/>
      <charset val="136"/>
    </font>
    <font>
      <sz val="12"/>
      <color rgb="FFFF0000"/>
      <name val="微軟正黑體"/>
      <family val="2"/>
      <charset val="136"/>
    </font>
    <font>
      <sz val="10"/>
      <color theme="2" tint="-0.499984740745262"/>
      <name val="微軟正黑體"/>
      <family val="2"/>
      <charset val="136"/>
    </font>
    <font>
      <b/>
      <sz val="12"/>
      <color theme="0"/>
      <name val="微軟正黑體"/>
      <family val="2"/>
      <charset val="136"/>
    </font>
    <font>
      <sz val="12"/>
      <color theme="0"/>
      <name val="微軟正黑體"/>
      <family val="2"/>
      <charset val="136"/>
    </font>
    <font>
      <i/>
      <sz val="10"/>
      <name val="微軟正黑體"/>
      <family val="2"/>
      <charset val="136"/>
    </font>
    <font>
      <i/>
      <sz val="10"/>
      <color theme="1"/>
      <name val="微軟正黑體"/>
      <family val="2"/>
      <charset val="136"/>
    </font>
    <font>
      <sz val="10"/>
      <color theme="1" tint="0.34998626667073579"/>
      <name val="微軟正黑體"/>
      <family val="2"/>
      <charset val="136"/>
    </font>
    <font>
      <sz val="10"/>
      <color theme="1"/>
      <name val="Calibri"/>
      <family val="2"/>
      <charset val="136"/>
      <scheme val="minor"/>
    </font>
    <font>
      <b/>
      <sz val="14"/>
      <color theme="1"/>
      <name val="微軟正黑體"/>
      <family val="2"/>
      <charset val="136"/>
    </font>
    <font>
      <b/>
      <sz val="11"/>
      <color theme="9" tint="-0.499984740745262"/>
      <name val="微軟正黑體"/>
      <family val="2"/>
      <charset val="136"/>
    </font>
    <font>
      <sz val="10"/>
      <color theme="3" tint="0.79998168889431442"/>
      <name val="微軟正黑體"/>
      <family val="2"/>
      <charset val="136"/>
    </font>
    <font>
      <sz val="10"/>
      <color rgb="FF00B0F0"/>
      <name val="微軟正黑體"/>
      <family val="2"/>
      <charset val="136"/>
    </font>
    <font>
      <b/>
      <sz val="10"/>
      <color rgb="FFFF0000"/>
      <name val="微軟正黑體"/>
      <family val="2"/>
      <charset val="136"/>
    </font>
    <font>
      <sz val="8"/>
      <color theme="1"/>
      <name val="微軟正黑體"/>
      <family val="2"/>
      <charset val="136"/>
    </font>
    <font>
      <i/>
      <sz val="10"/>
      <color rgb="FFFF0000"/>
      <name val="微軟正黑體"/>
      <family val="2"/>
      <charset val="136"/>
    </font>
    <font>
      <u/>
      <sz val="10"/>
      <color theme="10"/>
      <name val="Calibri"/>
      <family val="2"/>
      <charset val="136"/>
      <scheme val="minor"/>
    </font>
    <font>
      <sz val="10"/>
      <color rgb="FF0563C1"/>
      <name val="微軟正黑體"/>
      <family val="2"/>
      <charset val="136"/>
    </font>
    <font>
      <sz val="10"/>
      <color rgb="FF000000"/>
      <name val="微軟正黑體"/>
      <family val="2"/>
      <charset val="136"/>
    </font>
    <font>
      <sz val="6"/>
      <color theme="1"/>
      <name val="微軟正黑體"/>
      <family val="2"/>
      <charset val="136"/>
    </font>
    <font>
      <b/>
      <sz val="16"/>
      <color theme="1"/>
      <name val="微軟正黑體"/>
      <family val="2"/>
      <charset val="136"/>
    </font>
    <font>
      <sz val="12"/>
      <name val="微軟正黑體"/>
      <family val="2"/>
      <charset val="136"/>
    </font>
    <font>
      <i/>
      <sz val="8"/>
      <name val="微軟正黑體"/>
      <family val="2"/>
      <charset val="136"/>
    </font>
    <font>
      <b/>
      <sz val="9"/>
      <color rgb="FF000000"/>
      <name val="Tahoma"/>
      <family val="2"/>
    </font>
    <font>
      <b/>
      <i/>
      <sz val="10"/>
      <color rgb="FFFF0000"/>
      <name val="微軟正黑體"/>
      <family val="2"/>
      <charset val="136"/>
    </font>
    <font>
      <b/>
      <sz val="12"/>
      <color theme="1"/>
      <name val="Calibri"/>
      <family val="2"/>
      <scheme val="minor"/>
    </font>
    <font>
      <i/>
      <sz val="10"/>
      <color theme="0" tint="-0.34998626667073579"/>
      <name val="微軟正黑體"/>
      <family val="2"/>
      <charset val="136"/>
    </font>
    <font>
      <b/>
      <i/>
      <sz val="10"/>
      <color theme="0" tint="-0.34998626667073579"/>
      <name val="微軟正黑體"/>
      <family val="2"/>
      <charset val="136"/>
    </font>
    <font>
      <sz val="12"/>
      <name val="Calibri"/>
      <family val="2"/>
      <scheme val="minor"/>
    </font>
    <font>
      <sz val="8"/>
      <name val="Calibri"/>
      <family val="2"/>
      <charset val="136"/>
      <scheme val="minor"/>
    </font>
    <font>
      <b/>
      <sz val="12"/>
      <name val="Calibri"/>
      <family val="2"/>
      <scheme val="minor"/>
    </font>
    <font>
      <sz val="7"/>
      <color theme="1"/>
      <name val="微軟正黑體"/>
      <family val="2"/>
      <charset val="136"/>
    </font>
    <font>
      <sz val="10"/>
      <name val="Microsoft JhengHei UI"/>
      <family val="2"/>
      <charset val="136"/>
    </font>
    <font>
      <sz val="12"/>
      <color rgb="FFD1D5DB"/>
      <name val="Microsoft JhengHei UI"/>
      <family val="2"/>
      <charset val="136"/>
    </font>
    <font>
      <b/>
      <sz val="9"/>
      <color rgb="FF000000"/>
      <name val="細明體"/>
      <family val="3"/>
      <charset val="136"/>
    </font>
    <font>
      <sz val="9"/>
      <color rgb="FF000000"/>
      <name val="Tahoma"/>
      <family val="2"/>
    </font>
    <font>
      <sz val="9"/>
      <color rgb="FF000000"/>
      <name val="細明體"/>
      <family val="3"/>
      <charset val="136"/>
    </font>
    <font>
      <i/>
      <sz val="9"/>
      <color theme="1"/>
      <name val="微軟正黑體"/>
      <family val="2"/>
      <charset val="136"/>
    </font>
    <font>
      <sz val="9"/>
      <name val="微軟正黑體"/>
      <family val="2"/>
      <charset val="136"/>
    </font>
    <font>
      <sz val="10"/>
      <color theme="0" tint="-0.14999847407452621"/>
      <name val="微軟正黑體"/>
      <family val="2"/>
      <charset val="136"/>
    </font>
    <font>
      <b/>
      <sz val="10"/>
      <color theme="9" tint="-0.249977111117893"/>
      <name val="微軟正黑體"/>
      <family val="2"/>
      <charset val="136"/>
    </font>
    <font>
      <b/>
      <sz val="10"/>
      <color rgb="FFC00000"/>
      <name val="微軟正黑體"/>
      <family val="2"/>
      <charset val="136"/>
    </font>
    <font>
      <b/>
      <sz val="10"/>
      <color theme="7" tint="-0.249977111117893"/>
      <name val="微軟正黑體"/>
      <family val="2"/>
      <charset val="136"/>
    </font>
    <font>
      <b/>
      <sz val="10"/>
      <color rgb="FF548235"/>
      <name val="微軟正黑體"/>
      <family val="2"/>
      <charset val="136"/>
    </font>
    <font>
      <b/>
      <sz val="10"/>
      <color rgb="FFBF8F00"/>
      <name val="微軟正黑體"/>
      <family val="2"/>
      <charset val="136"/>
    </font>
    <font>
      <b/>
      <sz val="10"/>
      <color theme="6" tint="0.79998168889431442"/>
      <name val="微軟正黑體"/>
      <family val="2"/>
      <charset val="136"/>
    </font>
    <font>
      <sz val="10"/>
      <color theme="5" tint="0.79998168889431442"/>
      <name val="微軟正黑體"/>
      <family val="2"/>
      <charset val="136"/>
    </font>
    <font>
      <i/>
      <sz val="12"/>
      <color theme="1"/>
      <name val="微軟正黑體"/>
      <family val="2"/>
      <charset val="136"/>
    </font>
    <font>
      <i/>
      <sz val="12"/>
      <color rgb="FF002060"/>
      <name val="微軟正黑體"/>
    </font>
    <font>
      <b/>
      <i/>
      <sz val="9"/>
      <color rgb="FF002060"/>
      <name val="微軟正黑體"/>
    </font>
    <font>
      <i/>
      <sz val="9"/>
      <color rgb="FF002060"/>
      <name val="微軟正黑體"/>
    </font>
    <font>
      <sz val="9"/>
      <color theme="1"/>
      <name val="微軟正黑體"/>
    </font>
    <font>
      <i/>
      <sz val="12"/>
      <color rgb="FF002060"/>
      <name val="微軟正黑體"/>
      <family val="2"/>
      <charset val="136"/>
    </font>
    <font>
      <b/>
      <sz val="20"/>
      <color rgb="FF5D1929"/>
      <name val="微軟正黑體"/>
      <family val="2"/>
      <charset val="136"/>
    </font>
    <font>
      <sz val="9"/>
      <color rgb="FF7D2137"/>
      <name val="微軟正黑體"/>
      <family val="2"/>
      <charset val="136"/>
    </font>
    <font>
      <sz val="10"/>
      <color rgb="FF7D2137"/>
      <name val="微軟正黑體"/>
      <family val="2"/>
      <charset val="136"/>
    </font>
    <font>
      <sz val="12"/>
      <color rgb="FF7D2137"/>
      <name val="微軟正黑體"/>
      <family val="2"/>
      <charset val="136"/>
    </font>
    <font>
      <b/>
      <sz val="10"/>
      <color rgb="FF7D2137"/>
      <name val="微軟正黑體"/>
      <family val="2"/>
      <charset val="136"/>
    </font>
    <font>
      <b/>
      <sz val="10"/>
      <color theme="1"/>
      <name val="微軟正黑體"/>
    </font>
    <font>
      <b/>
      <sz val="10"/>
      <color rgb="FFFF0000"/>
      <name val="微軟正黑體"/>
    </font>
    <font>
      <sz val="10"/>
      <color theme="9" tint="-0.249977111117893"/>
      <name val="微軟正黑體"/>
      <family val="2"/>
      <charset val="136"/>
    </font>
    <font>
      <sz val="10"/>
      <name val="微軟正黑體"/>
    </font>
    <font>
      <sz val="10"/>
      <color theme="1"/>
      <name val="微軟正黑體"/>
    </font>
    <font>
      <sz val="10"/>
      <color theme="9" tint="-0.249977111117893"/>
      <name val="微軟正黑體"/>
    </font>
    <font>
      <i/>
      <sz val="10"/>
      <color theme="1"/>
      <name val="微軟正黑體"/>
    </font>
    <font>
      <b/>
      <sz val="10"/>
      <color theme="2" tint="-0.499984740745262"/>
      <name val="微軟正黑體"/>
    </font>
    <font>
      <b/>
      <sz val="14"/>
      <color rgb="FFFF0000"/>
      <name val="微軟正黑體"/>
    </font>
    <font>
      <sz val="10"/>
      <color rgb="FF0070C0"/>
      <name val="微軟正黑體"/>
    </font>
    <font>
      <sz val="10"/>
      <color theme="4"/>
      <name val="微軟正黑體"/>
    </font>
    <font>
      <sz val="10"/>
      <color rgb="FF00B050"/>
      <name val="微軟正黑體"/>
    </font>
    <font>
      <b/>
      <sz val="10"/>
      <name val="微軟正黑體"/>
    </font>
    <font>
      <sz val="9"/>
      <name val="微軟正黑體"/>
    </font>
    <font>
      <i/>
      <sz val="10"/>
      <name val="微軟正黑體"/>
    </font>
    <font>
      <b/>
      <i/>
      <sz val="10"/>
      <name val="微軟正黑體"/>
    </font>
    <font>
      <b/>
      <sz val="20"/>
      <color rgb="FFFF0000"/>
      <name val="微軟正黑體"/>
      <family val="2"/>
      <charset val="136"/>
    </font>
    <font>
      <sz val="10"/>
      <color rgb="FFFF0000"/>
      <name val="微軟正黑體"/>
    </font>
    <font>
      <b/>
      <sz val="10"/>
      <color theme="9" tint="-0.249977111117893"/>
      <name val="微軟正黑體"/>
    </font>
    <font>
      <b/>
      <i/>
      <sz val="10"/>
      <color theme="1"/>
      <name val="微軟正黑體"/>
    </font>
    <font>
      <b/>
      <i/>
      <sz val="10"/>
      <color theme="8" tint="-0.249977111117893"/>
      <name val="微軟正黑體"/>
    </font>
    <font>
      <sz val="10"/>
      <color theme="8" tint="-0.249977111117893"/>
      <name val="微軟正黑體"/>
    </font>
    <font>
      <i/>
      <sz val="10"/>
      <color theme="8" tint="-0.249977111117893"/>
      <name val="微軟正黑體"/>
    </font>
    <font>
      <b/>
      <sz val="10"/>
      <color theme="8" tint="-0.249977111117893"/>
      <name val="微軟正黑體"/>
    </font>
    <font>
      <sz val="10"/>
      <color theme="9"/>
      <name val="微軟正黑體"/>
      <family val="2"/>
      <charset val="136"/>
    </font>
    <font>
      <sz val="10"/>
      <color theme="8" tint="-0.249977111117893"/>
      <name val="微軟正黑體"/>
      <family val="2"/>
      <charset val="136"/>
    </font>
    <font>
      <i/>
      <sz val="10"/>
      <color theme="8" tint="-0.249977111117893"/>
      <name val="微軟正黑體"/>
      <family val="2"/>
      <charset val="136"/>
    </font>
    <font>
      <b/>
      <sz val="10"/>
      <color theme="8" tint="-0.249977111117893"/>
      <name val="微軟正黑體"/>
      <family val="2"/>
      <charset val="136"/>
    </font>
    <font>
      <b/>
      <i/>
      <sz val="10"/>
      <color theme="8" tint="-0.249977111117893"/>
      <name val="微軟正黑體"/>
      <family val="2"/>
      <charset val="136"/>
    </font>
    <font>
      <sz val="12"/>
      <color theme="1"/>
      <name val="微軟正黑體"/>
    </font>
    <font>
      <b/>
      <sz val="12"/>
      <color theme="1"/>
      <name val="微軟正黑體"/>
    </font>
    <font>
      <sz val="10"/>
      <color theme="0" tint="-0.34998626667073579"/>
      <name val="微軟正黑體"/>
    </font>
    <font>
      <sz val="8"/>
      <name val="微軟正黑體"/>
    </font>
    <font>
      <sz val="10"/>
      <color theme="8" tint="-0.249977111117893"/>
      <name val="Microsoft JhengHei UI"/>
      <family val="2"/>
      <charset val="136"/>
    </font>
    <font>
      <sz val="10"/>
      <color theme="2" tint="-0.249977111117893"/>
      <name val="微軟正黑體"/>
    </font>
    <font>
      <sz val="11"/>
      <color rgb="FF58595B"/>
      <name val="Carlito"/>
    </font>
    <font>
      <sz val="10"/>
      <color rgb="FFEE0000"/>
      <name val="微軟正黑體"/>
    </font>
    <font>
      <b/>
      <sz val="10"/>
      <color rgb="FFEE0000"/>
      <name val="微軟正黑體"/>
    </font>
    <font>
      <b/>
      <sz val="10"/>
      <color rgb="FF00B050"/>
      <name val="微軟正黑體"/>
    </font>
    <font>
      <b/>
      <sz val="10"/>
      <color rgb="FF00B050"/>
      <name val="微軟正黑體"/>
      <charset val="136"/>
    </font>
    <font>
      <sz val="10"/>
      <color rgb="FF00B050"/>
      <name val="微軟正黑體"/>
      <charset val="136"/>
    </font>
    <font>
      <b/>
      <i/>
      <sz val="10"/>
      <color rgb="FF00B050"/>
      <name val="微軟正黑體"/>
    </font>
    <font>
      <sz val="10"/>
      <color theme="7" tint="-0.499984740745262"/>
      <name val="微軟正黑體"/>
    </font>
    <font>
      <i/>
      <sz val="10"/>
      <color rgb="FF00B050"/>
      <name val="微軟正黑體"/>
    </font>
    <font>
      <b/>
      <i/>
      <sz val="10"/>
      <color rgb="FF00B050"/>
      <name val="微軟正黑體"/>
      <charset val="136"/>
    </font>
    <font>
      <sz val="10"/>
      <color rgb="FF00B050"/>
      <name val="微軟正黑體"/>
      <family val="2"/>
      <charset val="136"/>
    </font>
    <font>
      <sz val="10"/>
      <color rgb="FFEE0000"/>
      <name val="微軟正黑體"/>
      <family val="2"/>
      <charset val="136"/>
    </font>
    <font>
      <i/>
      <sz val="10"/>
      <color theme="1"/>
      <name val="微軟正黑體"/>
      <charset val="136"/>
    </font>
    <font>
      <sz val="10"/>
      <color theme="1"/>
      <name val="微軟正黑體"/>
      <charset val="136"/>
    </font>
    <font>
      <b/>
      <i/>
      <sz val="10"/>
      <color theme="1"/>
      <name val="微軟正黑體"/>
      <charset val="136"/>
    </font>
    <font>
      <b/>
      <sz val="10"/>
      <color theme="1"/>
      <name val="微軟正黑體"/>
      <charset val="136"/>
    </font>
    <font>
      <i/>
      <sz val="10"/>
      <name val="微軟正黑體"/>
      <charset val="136"/>
    </font>
    <font>
      <b/>
      <i/>
      <sz val="10"/>
      <name val="微軟正黑體"/>
      <charset val="136"/>
    </font>
    <font>
      <b/>
      <sz val="10"/>
      <color rgb="FFEE0000"/>
      <name val="微軟正黑體"/>
      <family val="2"/>
      <charset val="136"/>
    </font>
    <font>
      <b/>
      <sz val="14"/>
      <color theme="1"/>
      <name val="微軟正黑體"/>
      <charset val="136"/>
    </font>
    <font>
      <b/>
      <sz val="10"/>
      <color theme="8" tint="-0.249977111117893"/>
      <name val="微軟正黑體"/>
      <charset val="136"/>
    </font>
    <font>
      <sz val="9"/>
      <color rgb="FFEE0000"/>
      <name val="微軟正黑體"/>
      <family val="2"/>
      <charset val="136"/>
    </font>
    <font>
      <b/>
      <sz val="10"/>
      <color rgb="FFEE0000"/>
      <name val="Arial"/>
      <family val="2"/>
    </font>
    <font>
      <sz val="12"/>
      <color rgb="FF00B050"/>
      <name val="Calibri"/>
      <family val="2"/>
      <scheme val="minor"/>
    </font>
    <font>
      <b/>
      <sz val="10"/>
      <color rgb="FFEE0000"/>
      <name val="微軟正黑體"/>
      <charset val="136"/>
    </font>
    <font>
      <sz val="10"/>
      <name val="微軟正黑體"/>
      <charset val="136"/>
    </font>
    <font>
      <b/>
      <i/>
      <sz val="10"/>
      <color rgb="FFEE0000"/>
      <name val="微軟正黑體"/>
      <charset val="136"/>
    </font>
    <font>
      <b/>
      <sz val="12"/>
      <name val="微軟正黑體"/>
    </font>
    <font>
      <i/>
      <sz val="10"/>
      <color rgb="FF00B050"/>
      <name val="微軟正黑體"/>
      <charset val="136"/>
    </font>
    <font>
      <b/>
      <i/>
      <sz val="10"/>
      <color rgb="FFFF0000"/>
      <name val="微軟正黑體"/>
      <charset val="136"/>
    </font>
    <font>
      <b/>
      <i/>
      <sz val="10"/>
      <color theme="9" tint="-0.249977111117893"/>
      <name val="微軟正黑體"/>
      <charset val="136"/>
    </font>
    <font>
      <sz val="8"/>
      <color rgb="FF00B050"/>
      <name val="微軟正黑體"/>
    </font>
    <font>
      <sz val="10"/>
      <color rgb="FF00B050"/>
      <name val="Microsoft JhengHei UI"/>
      <family val="2"/>
      <charset val="136"/>
    </font>
    <font>
      <b/>
      <sz val="10"/>
      <color rgb="FF00B050"/>
      <name val="微軟正黑體"/>
      <family val="2"/>
      <charset val="136"/>
    </font>
    <font>
      <b/>
      <i/>
      <sz val="10"/>
      <color rgb="FF00B050"/>
      <name val="微軟正黑體"/>
      <family val="2"/>
      <charset val="136"/>
    </font>
    <font>
      <b/>
      <i/>
      <sz val="10"/>
      <color rgb="FF00B050"/>
      <name val="Microsoft JhengHei UI"/>
      <family val="2"/>
      <charset val="136"/>
    </font>
    <font>
      <u/>
      <sz val="10"/>
      <color rgb="FF00B050"/>
      <name val="微軟正黑體"/>
    </font>
    <font>
      <b/>
      <sz val="12"/>
      <color theme="1"/>
      <name val="微軟正黑體"/>
      <charset val="136"/>
    </font>
    <font>
      <u/>
      <sz val="12"/>
      <name val="Calibri"/>
      <family val="2"/>
      <charset val="136"/>
      <scheme val="minor"/>
    </font>
    <font>
      <u/>
      <sz val="10"/>
      <name val="微軟正黑體"/>
      <family val="2"/>
      <charset val="136"/>
    </font>
    <font>
      <b/>
      <sz val="9"/>
      <color theme="1"/>
      <name val="微軟正黑體"/>
      <charset val="136"/>
    </font>
    <font>
      <sz val="9"/>
      <color theme="1"/>
      <name val="微軟正黑體"/>
      <charset val="136"/>
    </font>
    <font>
      <b/>
      <sz val="14"/>
      <color rgb="FF000000"/>
      <name val="微軟正黑體"/>
      <charset val="136"/>
    </font>
    <font>
      <b/>
      <sz val="12"/>
      <color rgb="FFFF0000"/>
      <name val="微軟正黑體"/>
      <charset val="136"/>
    </font>
    <font>
      <sz val="10"/>
      <color rgb="FF000000"/>
      <name val="微軟正黑體"/>
      <charset val="136"/>
    </font>
  </fonts>
  <fills count="3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7" tint="0.79998168889431442"/>
        <bgColor indexed="64"/>
      </patternFill>
    </fill>
    <fill>
      <patternFill patternType="solid">
        <fgColor rgb="FFFFFFCC"/>
        <bgColor indexed="64"/>
      </patternFill>
    </fill>
    <fill>
      <patternFill patternType="solid">
        <fgColor theme="9" tint="-0.249977111117893"/>
        <bgColor indexed="64"/>
      </patternFill>
    </fill>
    <fill>
      <patternFill patternType="solid">
        <fgColor rgb="FFA04310"/>
        <bgColor indexed="64"/>
      </patternFill>
    </fill>
    <fill>
      <patternFill patternType="solid">
        <fgColor theme="4" tint="0.59999389629810485"/>
        <bgColor indexed="64"/>
      </patternFill>
    </fill>
    <fill>
      <patternFill patternType="solid">
        <fgColor rgb="FF6600CC"/>
        <bgColor indexed="64"/>
      </patternFill>
    </fill>
    <fill>
      <patternFill patternType="solid">
        <fgColor rgb="FFE24100"/>
        <bgColor indexed="64"/>
      </patternFill>
    </fill>
    <fill>
      <patternFill patternType="solid">
        <fgColor theme="9" tint="0.79998168889431442"/>
        <bgColor indexed="64"/>
      </patternFill>
    </fill>
    <fill>
      <patternFill patternType="solid">
        <fgColor rgb="FFCC0066"/>
        <bgColor indexed="64"/>
      </patternFill>
    </fill>
    <fill>
      <patternFill patternType="solid">
        <fgColor rgb="FFCC0000"/>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rgb="FFECE9D8"/>
        <bgColor indexed="64"/>
      </patternFill>
    </fill>
    <fill>
      <patternFill patternType="solid">
        <fgColor theme="8" tint="-0.499984740745262"/>
        <bgColor indexed="64"/>
      </patternFill>
    </fill>
    <fill>
      <patternFill patternType="solid">
        <fgColor theme="7" tint="-0.499984740745262"/>
        <bgColor indexed="64"/>
      </patternFill>
    </fill>
    <fill>
      <patternFill patternType="solid">
        <fgColor theme="5" tint="0.59999389629810485"/>
        <bgColor indexed="64"/>
      </patternFill>
    </fill>
    <fill>
      <patternFill patternType="solid">
        <fgColor rgb="FFFFC7CE"/>
      </patternFill>
    </fill>
    <fill>
      <patternFill patternType="solid">
        <fgColor theme="9" tint="0.59999389629810485"/>
        <bgColor indexed="64"/>
      </patternFill>
    </fill>
    <fill>
      <patternFill patternType="solid">
        <fgColor rgb="FFFFF3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CCCCFF"/>
        <bgColor indexed="64"/>
      </patternFill>
    </fill>
    <fill>
      <patternFill patternType="solid">
        <fgColor theme="2" tint="-9.9978637043366805E-2"/>
        <bgColor indexed="64"/>
      </patternFill>
    </fill>
    <fill>
      <patternFill patternType="solid">
        <fgColor rgb="FFA9D08E"/>
        <bgColor indexed="64"/>
      </patternFill>
    </fill>
    <fill>
      <patternFill patternType="solid">
        <fgColor rgb="FF9933FF"/>
        <bgColor indexed="64"/>
      </patternFill>
    </fill>
    <fill>
      <patternFill patternType="solid">
        <fgColor rgb="FFFFF1D9"/>
        <bgColor indexed="64"/>
      </patternFill>
    </fill>
    <fill>
      <patternFill patternType="solid">
        <fgColor rgb="FFFF0000"/>
        <bgColor indexed="64"/>
      </patternFill>
    </fill>
    <fill>
      <patternFill patternType="solid">
        <fgColor theme="6" tint="0.79998168889431442"/>
        <bgColor indexed="64"/>
      </patternFill>
    </fill>
    <fill>
      <patternFill patternType="solid">
        <fgColor rgb="FFFFFFFF"/>
        <bgColor rgb="FF000000"/>
      </patternFill>
    </fill>
    <fill>
      <patternFill patternType="solid">
        <fgColor theme="6" tint="0.59999389629810485"/>
        <bgColor indexed="64"/>
      </patternFill>
    </fill>
    <fill>
      <patternFill patternType="solid">
        <fgColor rgb="FFFFEFEF"/>
        <bgColor indexed="64"/>
      </patternFill>
    </fill>
    <fill>
      <patternFill patternType="solid">
        <fgColor theme="7" tint="0.39997558519241921"/>
        <bgColor indexed="64"/>
      </patternFill>
    </fill>
    <fill>
      <patternFill patternType="solid">
        <fgColor rgb="FFF3D1D9"/>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style="thin">
        <color theme="9" tint="-0.24994659260841701"/>
      </left>
      <right/>
      <top/>
      <bottom/>
      <diagonal/>
    </border>
    <border>
      <left/>
      <right style="thin">
        <color theme="0" tint="-0.249977111117893"/>
      </right>
      <top/>
      <bottom/>
      <diagonal/>
    </border>
    <border>
      <left/>
      <right/>
      <top/>
      <bottom style="dashed">
        <color rgb="FF833C0C"/>
      </bottom>
      <diagonal/>
    </border>
    <border>
      <left/>
      <right/>
      <top style="dashed">
        <color rgb="FF833C0C"/>
      </top>
      <bottom style="dashed">
        <color rgb="FF833C0C"/>
      </bottom>
      <diagonal/>
    </border>
    <border>
      <left/>
      <right/>
      <top/>
      <bottom style="dashed">
        <color theme="0"/>
      </bottom>
      <diagonal/>
    </border>
    <border>
      <left/>
      <right/>
      <top/>
      <bottom style="thin">
        <color theme="0"/>
      </bottom>
      <diagonal/>
    </border>
    <border>
      <left/>
      <right/>
      <top style="thin">
        <color theme="0"/>
      </top>
      <bottom style="thin">
        <color theme="0"/>
      </bottom>
      <diagonal/>
    </border>
    <border>
      <left/>
      <right/>
      <top style="dashed">
        <color theme="0"/>
      </top>
      <bottom style="dashed">
        <color theme="0"/>
      </bottom>
      <diagonal/>
    </border>
    <border>
      <left/>
      <right/>
      <top/>
      <bottom style="dashed">
        <color theme="0" tint="-4.9989318521683403E-2"/>
      </bottom>
      <diagonal/>
    </border>
    <border>
      <left/>
      <right/>
      <top style="dashed">
        <color theme="0" tint="-4.9989318521683403E-2"/>
      </top>
      <bottom style="dashed">
        <color theme="0" tint="-4.9989318521683403E-2"/>
      </bottom>
      <diagonal/>
    </border>
    <border>
      <left/>
      <right style="thin">
        <color theme="0" tint="-4.9989318521683403E-2"/>
      </right>
      <top/>
      <bottom/>
      <diagonal/>
    </border>
    <border>
      <left style="thin">
        <color theme="0" tint="-4.9989318521683403E-2"/>
      </left>
      <right style="thin">
        <color theme="0" tint="-4.9989318521683403E-2"/>
      </right>
      <top/>
      <bottom/>
      <diagonal/>
    </border>
    <border>
      <left style="thin">
        <color theme="0" tint="-4.9989318521683403E-2"/>
      </left>
      <right/>
      <top/>
      <bottom/>
      <diagonal/>
    </border>
    <border>
      <left/>
      <right/>
      <top/>
      <bottom style="thin">
        <color theme="5" tint="0.79998168889431442"/>
      </bottom>
      <diagonal/>
    </border>
    <border>
      <left/>
      <right/>
      <top/>
      <bottom style="thin">
        <color theme="2" tint="-9.9948118533890809E-2"/>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bottom style="thin">
        <color theme="3" tint="0.79998168889431442"/>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s>
  <cellStyleXfs count="4">
    <xf numFmtId="0" fontId="0" fillId="0" borderId="0">
      <alignment vertical="center"/>
    </xf>
    <xf numFmtId="9" fontId="11" fillId="0" borderId="0" applyFont="0" applyFill="0" applyBorder="0" applyAlignment="0" applyProtection="0">
      <alignment vertical="center"/>
    </xf>
    <xf numFmtId="0" fontId="24" fillId="0" borderId="0" applyNumberFormat="0" applyFill="0" applyBorder="0" applyAlignment="0" applyProtection="0">
      <alignment vertical="center"/>
    </xf>
    <xf numFmtId="0" fontId="32" fillId="20" borderId="0" applyNumberFormat="0" applyBorder="0" applyAlignment="0" applyProtection="0"/>
  </cellStyleXfs>
  <cellXfs count="556">
    <xf numFmtId="0" fontId="0" fillId="0" borderId="0" xfId="0">
      <alignment vertical="center"/>
    </xf>
    <xf numFmtId="0" fontId="4" fillId="0" borderId="0" xfId="0" applyFont="1" applyAlignment="1">
      <alignment horizontal="center"/>
    </xf>
    <xf numFmtId="0" fontId="2" fillId="0" borderId="0" xfId="0" applyFont="1">
      <alignment vertical="center"/>
    </xf>
    <xf numFmtId="0" fontId="12" fillId="3" borderId="0" xfId="0" applyFont="1" applyFill="1">
      <alignment vertical="center"/>
    </xf>
    <xf numFmtId="0" fontId="2" fillId="3" borderId="0" xfId="0" applyFont="1" applyFill="1">
      <alignment vertical="center"/>
    </xf>
    <xf numFmtId="0" fontId="0" fillId="3" borderId="0" xfId="0" applyFill="1">
      <alignment vertical="center"/>
    </xf>
    <xf numFmtId="0" fontId="13" fillId="3" borderId="0" xfId="0" applyFont="1" applyFill="1" applyAlignment="1">
      <alignment horizontal="center" vertical="center"/>
    </xf>
    <xf numFmtId="164" fontId="2" fillId="3" borderId="0" xfId="0" applyNumberFormat="1" applyFont="1" applyFill="1" applyAlignment="1">
      <alignment horizontal="center" vertical="center"/>
    </xf>
    <xf numFmtId="165" fontId="2" fillId="3" borderId="0" xfId="1" applyNumberFormat="1" applyFont="1" applyFill="1" applyAlignment="1">
      <alignment horizontal="center" vertical="center"/>
    </xf>
    <xf numFmtId="0" fontId="14" fillId="3" borderId="0" xfId="0" applyFont="1" applyFill="1">
      <alignment vertical="center"/>
    </xf>
    <xf numFmtId="0" fontId="2" fillId="5" borderId="0" xfId="0" applyFont="1" applyFill="1">
      <alignment vertical="center"/>
    </xf>
    <xf numFmtId="0" fontId="12" fillId="0" borderId="0" xfId="0" applyFont="1">
      <alignment vertical="center"/>
    </xf>
    <xf numFmtId="0" fontId="6" fillId="0" borderId="0" xfId="0" applyFont="1" applyAlignment="1">
      <alignment horizontal="center"/>
    </xf>
    <xf numFmtId="0" fontId="6" fillId="0" borderId="0" xfId="0" applyFont="1">
      <alignment vertical="center"/>
    </xf>
    <xf numFmtId="0" fontId="0" fillId="3" borderId="0" xfId="0" applyFill="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0" fillId="3" borderId="0" xfId="0" applyFill="1" applyAlignment="1">
      <alignment horizontal="right" vertical="center"/>
    </xf>
    <xf numFmtId="0" fontId="0" fillId="3" borderId="0" xfId="0" applyFill="1" applyAlignment="1">
      <alignment horizontal="left" vertical="center"/>
    </xf>
    <xf numFmtId="0" fontId="12" fillId="0" borderId="0" xfId="0" applyFont="1" applyAlignment="1">
      <alignment horizontal="center" vertical="center"/>
    </xf>
    <xf numFmtId="0" fontId="6" fillId="0" borderId="0" xfId="0" applyFont="1" applyAlignment="1">
      <alignment horizontal="center" vertical="center"/>
    </xf>
    <xf numFmtId="0" fontId="2" fillId="0" borderId="0" xfId="0" applyFont="1" applyAlignment="1">
      <alignment horizontal="left" vertical="center"/>
    </xf>
    <xf numFmtId="0" fontId="2" fillId="3" borderId="0" xfId="0" applyFont="1" applyFill="1" applyAlignment="1">
      <alignment horizontal="right" vertical="center"/>
    </xf>
    <xf numFmtId="0" fontId="2" fillId="3" borderId="0" xfId="0" applyFont="1" applyFill="1" applyAlignment="1">
      <alignment horizontal="left" vertical="center"/>
    </xf>
    <xf numFmtId="0" fontId="19" fillId="6" borderId="0" xfId="0" applyFont="1" applyFill="1">
      <alignment vertical="center"/>
    </xf>
    <xf numFmtId="164" fontId="2" fillId="3" borderId="0" xfId="0" applyNumberFormat="1" applyFont="1" applyFill="1" applyAlignment="1">
      <alignment horizontal="right" vertical="center"/>
    </xf>
    <xf numFmtId="165" fontId="2" fillId="3" borderId="0" xfId="1" applyNumberFormat="1" applyFont="1" applyFill="1" applyAlignment="1">
      <alignment horizontal="left" vertical="center"/>
    </xf>
    <xf numFmtId="0" fontId="14" fillId="3" borderId="0" xfId="0" applyFont="1" applyFill="1" applyAlignment="1">
      <alignment horizontal="center" vertical="center"/>
    </xf>
    <xf numFmtId="0" fontId="6" fillId="0" borderId="0" xfId="0" applyFont="1" applyAlignment="1">
      <alignment horizontal="right" vertical="center"/>
    </xf>
    <xf numFmtId="0" fontId="6" fillId="3" borderId="0" xfId="0" applyFont="1" applyFill="1">
      <alignment vertical="center"/>
    </xf>
    <xf numFmtId="0" fontId="19" fillId="7" borderId="0" xfId="0" applyFont="1" applyFill="1">
      <alignment vertical="center"/>
    </xf>
    <xf numFmtId="0" fontId="12" fillId="8" borderId="0" xfId="0" applyFont="1" applyFill="1">
      <alignment vertical="center"/>
    </xf>
    <xf numFmtId="0" fontId="12" fillId="8" borderId="0" xfId="0" applyFont="1" applyFill="1" applyAlignment="1">
      <alignment horizontal="center" vertical="center"/>
    </xf>
    <xf numFmtId="0" fontId="19" fillId="9" borderId="0" xfId="0" applyFont="1" applyFill="1">
      <alignment vertical="center"/>
    </xf>
    <xf numFmtId="0" fontId="6" fillId="3" borderId="0" xfId="0" applyFont="1" applyFill="1" applyAlignment="1">
      <alignment horizontal="center" vertical="center"/>
    </xf>
    <xf numFmtId="0" fontId="19" fillId="10" borderId="0" xfId="0" applyFont="1" applyFill="1">
      <alignment vertical="center"/>
    </xf>
    <xf numFmtId="0" fontId="12" fillId="3" borderId="0" xfId="0" applyFont="1" applyFill="1" applyAlignment="1">
      <alignment horizontal="center" vertical="center"/>
    </xf>
    <xf numFmtId="0" fontId="6" fillId="0" borderId="0" xfId="0" applyFont="1" applyAlignment="1">
      <alignment horizontal="left" vertical="center"/>
    </xf>
    <xf numFmtId="0" fontId="19" fillId="13" borderId="0" xfId="0" applyFont="1" applyFill="1">
      <alignment vertical="center"/>
    </xf>
    <xf numFmtId="0" fontId="19" fillId="13" borderId="0" xfId="0" applyFont="1" applyFill="1" applyAlignment="1">
      <alignment horizontal="center" vertical="center"/>
    </xf>
    <xf numFmtId="0" fontId="22" fillId="13" borderId="0" xfId="0" applyFont="1" applyFill="1">
      <alignment vertical="center"/>
    </xf>
    <xf numFmtId="0" fontId="19" fillId="15" borderId="0" xfId="0" applyFont="1" applyFill="1">
      <alignment vertical="center"/>
    </xf>
    <xf numFmtId="0" fontId="19" fillId="15" borderId="0" xfId="0" applyFont="1" applyFill="1" applyAlignment="1">
      <alignment horizontal="center" vertical="center"/>
    </xf>
    <xf numFmtId="0" fontId="2" fillId="16" borderId="0" xfId="0" applyFont="1" applyFill="1">
      <alignment vertical="center"/>
    </xf>
    <xf numFmtId="0" fontId="20" fillId="3" borderId="0" xfId="0" applyFont="1" applyFill="1" applyAlignment="1">
      <alignment horizontal="center" vertical="center"/>
    </xf>
    <xf numFmtId="166" fontId="16" fillId="3" borderId="0" xfId="0" applyNumberFormat="1" applyFont="1" applyFill="1" applyAlignment="1">
      <alignment horizontal="center" vertical="center"/>
    </xf>
    <xf numFmtId="0" fontId="28" fillId="3" borderId="0" xfId="2" applyFont="1" applyFill="1">
      <alignment vertical="center"/>
    </xf>
    <xf numFmtId="0" fontId="28" fillId="0" borderId="0" xfId="2" applyFont="1">
      <alignment vertical="center"/>
    </xf>
    <xf numFmtId="0" fontId="19" fillId="17" borderId="0" xfId="0" applyFont="1" applyFill="1">
      <alignment vertical="center"/>
    </xf>
    <xf numFmtId="0" fontId="19" fillId="18" borderId="0" xfId="0" applyFont="1" applyFill="1">
      <alignment vertical="center"/>
    </xf>
    <xf numFmtId="0" fontId="19" fillId="18" borderId="0" xfId="0" applyFont="1" applyFill="1" applyAlignment="1">
      <alignment horizontal="center" vertical="center"/>
    </xf>
    <xf numFmtId="0" fontId="33" fillId="0" borderId="0" xfId="0" applyFont="1">
      <alignment vertical="center"/>
    </xf>
    <xf numFmtId="0" fontId="34" fillId="0" borderId="0" xfId="0" applyFont="1">
      <alignment vertical="center"/>
    </xf>
    <xf numFmtId="0" fontId="34" fillId="0" borderId="0" xfId="0" applyFont="1" applyAlignment="1">
      <alignment horizontal="left" vertical="center"/>
    </xf>
    <xf numFmtId="0" fontId="14" fillId="3" borderId="3" xfId="0" applyFont="1" applyFill="1" applyBorder="1">
      <alignment vertical="center"/>
    </xf>
    <xf numFmtId="0" fontId="31" fillId="0" borderId="0" xfId="0" applyFont="1">
      <alignment vertical="center"/>
    </xf>
    <xf numFmtId="165" fontId="2" fillId="0" borderId="0" xfId="1" applyNumberFormat="1" applyFont="1" applyFill="1" applyAlignment="1">
      <alignment horizontal="left" vertical="center"/>
    </xf>
    <xf numFmtId="0" fontId="2" fillId="11" borderId="0" xfId="0" applyFont="1" applyFill="1" applyAlignment="1">
      <alignment horizontal="center" vertical="center"/>
    </xf>
    <xf numFmtId="0" fontId="14" fillId="3" borderId="0" xfId="2" applyFont="1" applyFill="1" applyAlignment="1">
      <alignment horizontal="left" vertical="center"/>
    </xf>
    <xf numFmtId="0" fontId="20" fillId="0" borderId="0" xfId="0" applyFont="1">
      <alignment vertical="center"/>
    </xf>
    <xf numFmtId="0" fontId="2" fillId="3" borderId="11" xfId="0" applyFont="1" applyFill="1" applyBorder="1" applyAlignment="1">
      <alignment horizontal="center" vertical="center"/>
    </xf>
    <xf numFmtId="0" fontId="19" fillId="0" borderId="0" xfId="0" applyFont="1">
      <alignment vertical="center"/>
    </xf>
    <xf numFmtId="0" fontId="19" fillId="7" borderId="0" xfId="0" applyFont="1" applyFill="1" applyAlignment="1">
      <alignment horizontal="center" vertical="center"/>
    </xf>
    <xf numFmtId="0" fontId="35" fillId="3" borderId="0" xfId="0" applyFont="1" applyFill="1" applyAlignment="1">
      <alignment horizontal="center" vertical="center"/>
    </xf>
    <xf numFmtId="0" fontId="2" fillId="22" borderId="0" xfId="0" applyFont="1" applyFill="1" applyAlignment="1">
      <alignment horizontal="center" vertical="center"/>
    </xf>
    <xf numFmtId="0" fontId="2" fillId="23" borderId="0" xfId="0" applyFont="1" applyFill="1" applyAlignment="1">
      <alignment horizontal="center" vertical="center"/>
    </xf>
    <xf numFmtId="0" fontId="2" fillId="24" borderId="0" xfId="0" applyFont="1" applyFill="1" applyAlignment="1">
      <alignment horizontal="center" vertical="center"/>
    </xf>
    <xf numFmtId="0" fontId="36" fillId="7" borderId="0" xfId="0" applyFont="1" applyFill="1">
      <alignment vertical="center"/>
    </xf>
    <xf numFmtId="0" fontId="19" fillId="9" borderId="0" xfId="0" applyFont="1" applyFill="1" applyAlignment="1">
      <alignment horizontal="center" vertical="center"/>
    </xf>
    <xf numFmtId="0" fontId="2" fillId="25" borderId="0" xfId="0" applyFont="1" applyFill="1" applyAlignment="1">
      <alignment horizontal="center" vertical="center"/>
    </xf>
    <xf numFmtId="0" fontId="2" fillId="4" borderId="0" xfId="0" applyFont="1" applyFill="1" applyAlignment="1">
      <alignment horizontal="center" vertical="center"/>
    </xf>
    <xf numFmtId="0" fontId="20" fillId="8" borderId="0" xfId="0" applyFont="1" applyFill="1" applyAlignment="1">
      <alignment horizontal="center" vertical="center"/>
    </xf>
    <xf numFmtId="0" fontId="31" fillId="0" borderId="0" xfId="0" applyFont="1" applyAlignment="1">
      <alignment horizontal="center" vertical="center"/>
    </xf>
    <xf numFmtId="0" fontId="19" fillId="6" borderId="0" xfId="0" applyFont="1" applyFill="1" applyAlignment="1">
      <alignment horizontal="center" vertical="center"/>
    </xf>
    <xf numFmtId="0" fontId="19" fillId="10" borderId="0" xfId="0" applyFont="1" applyFill="1" applyAlignment="1">
      <alignment horizontal="center" vertical="center"/>
    </xf>
    <xf numFmtId="0" fontId="34" fillId="0" borderId="0" xfId="0" applyFont="1" applyAlignment="1">
      <alignment horizontal="center" vertical="center"/>
    </xf>
    <xf numFmtId="0" fontId="19" fillId="17" borderId="0" xfId="0" applyFont="1" applyFill="1" applyAlignment="1">
      <alignment horizontal="center" vertical="center"/>
    </xf>
    <xf numFmtId="0" fontId="2" fillId="26" borderId="0" xfId="0" applyFont="1" applyFill="1" applyAlignment="1">
      <alignment horizontal="center" vertical="center"/>
    </xf>
    <xf numFmtId="0" fontId="22" fillId="13" borderId="0" xfId="0" applyFont="1" applyFill="1" applyAlignment="1">
      <alignment horizontal="center" vertical="center"/>
    </xf>
    <xf numFmtId="0" fontId="2" fillId="21" borderId="0" xfId="0" applyFont="1" applyFill="1" applyAlignment="1">
      <alignment horizontal="center" vertical="center"/>
    </xf>
    <xf numFmtId="0" fontId="7" fillId="3" borderId="0" xfId="0" applyFont="1" applyFill="1" applyAlignment="1">
      <alignment horizontal="center" vertical="center"/>
    </xf>
    <xf numFmtId="0" fontId="6" fillId="3" borderId="0" xfId="0" applyFont="1" applyFill="1" applyAlignment="1">
      <alignment horizontal="right" vertical="center"/>
    </xf>
    <xf numFmtId="0" fontId="6" fillId="3" borderId="0" xfId="0" applyFont="1" applyFill="1" applyAlignment="1">
      <alignment horizontal="left" vertical="center"/>
    </xf>
    <xf numFmtId="0" fontId="12" fillId="3" borderId="0" xfId="0" applyFont="1" applyFill="1" applyAlignment="1">
      <alignment horizontal="left" vertical="center"/>
    </xf>
    <xf numFmtId="0" fontId="14" fillId="3" borderId="3" xfId="0" applyFont="1" applyFill="1" applyBorder="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14" fillId="3" borderId="0" xfId="2" applyFont="1" applyFill="1" applyAlignment="1">
      <alignment horizontal="right" vertical="center"/>
    </xf>
    <xf numFmtId="0" fontId="12" fillId="3" borderId="0" xfId="0" applyFont="1" applyFill="1" applyAlignment="1">
      <alignment horizontal="right" vertical="center"/>
    </xf>
    <xf numFmtId="0" fontId="20" fillId="3" borderId="0" xfId="2" applyFont="1" applyFill="1" applyAlignment="1">
      <alignment horizontal="right" vertical="center"/>
    </xf>
    <xf numFmtId="0" fontId="14" fillId="0" borderId="0" xfId="0" applyFont="1" applyAlignment="1">
      <alignment horizontal="center" vertical="center"/>
    </xf>
    <xf numFmtId="0" fontId="14" fillId="0" borderId="0" xfId="3" applyFont="1" applyFill="1" applyAlignment="1">
      <alignment horizontal="center" vertical="center"/>
    </xf>
    <xf numFmtId="0" fontId="20" fillId="0" borderId="0" xfId="0" applyFont="1" applyAlignment="1">
      <alignment horizontal="center" vertical="center"/>
    </xf>
    <xf numFmtId="0" fontId="14" fillId="0" borderId="0" xfId="0" applyFont="1">
      <alignment vertical="center"/>
    </xf>
    <xf numFmtId="164" fontId="14" fillId="0" borderId="0" xfId="0" applyNumberFormat="1" applyFont="1" applyAlignment="1">
      <alignment horizontal="right" vertical="center"/>
    </xf>
    <xf numFmtId="0" fontId="41" fillId="0" borderId="0" xfId="0" applyFont="1">
      <alignment vertical="center"/>
    </xf>
    <xf numFmtId="0" fontId="2" fillId="27" borderId="0" xfId="0" applyFont="1" applyFill="1" applyAlignment="1">
      <alignment horizontal="center" vertical="center"/>
    </xf>
    <xf numFmtId="0" fontId="12" fillId="27" borderId="0" xfId="0" applyFont="1" applyFill="1" applyAlignment="1">
      <alignment horizontal="left" vertical="center"/>
    </xf>
    <xf numFmtId="0" fontId="2" fillId="2" borderId="0" xfId="0" applyFont="1" applyFill="1" applyAlignment="1">
      <alignment horizontal="left" vertical="center"/>
    </xf>
    <xf numFmtId="0" fontId="12" fillId="27" borderId="0" xfId="0" applyFont="1" applyFill="1" applyAlignment="1">
      <alignment horizontal="center" vertical="center"/>
    </xf>
    <xf numFmtId="0" fontId="2" fillId="2" borderId="0" xfId="0" applyFont="1" applyFill="1" applyAlignment="1">
      <alignment horizontal="center" vertical="center"/>
    </xf>
    <xf numFmtId="0" fontId="2" fillId="14" borderId="0" xfId="0" applyFont="1" applyFill="1" applyAlignment="1">
      <alignment horizontal="left" vertical="center"/>
    </xf>
    <xf numFmtId="0" fontId="2" fillId="14" borderId="0" xfId="0" applyFont="1" applyFill="1" applyAlignment="1">
      <alignment horizontal="center" vertical="center"/>
    </xf>
    <xf numFmtId="0" fontId="19" fillId="28" borderId="0" xfId="0" applyFont="1" applyFill="1" applyAlignment="1">
      <alignment horizontal="center" vertical="center"/>
    </xf>
    <xf numFmtId="0" fontId="19" fillId="28" borderId="0" xfId="0" applyFont="1" applyFill="1" applyAlignment="1">
      <alignment horizontal="left" vertical="center"/>
    </xf>
    <xf numFmtId="0" fontId="19" fillId="6" borderId="0" xfId="0" applyFont="1" applyFill="1" applyAlignment="1">
      <alignment horizontal="left" vertical="center"/>
    </xf>
    <xf numFmtId="0" fontId="42" fillId="3" borderId="0" xfId="0" applyFont="1" applyFill="1">
      <alignment vertical="center"/>
    </xf>
    <xf numFmtId="0" fontId="40" fillId="3" borderId="0" xfId="0" applyFont="1" applyFill="1" applyAlignment="1">
      <alignment horizontal="center" vertical="center"/>
    </xf>
    <xf numFmtId="9" fontId="2" fillId="3" borderId="0" xfId="1" applyFont="1" applyFill="1" applyAlignment="1">
      <alignment horizontal="center" vertical="center"/>
    </xf>
    <xf numFmtId="0" fontId="2" fillId="6" borderId="0" xfId="0" applyFont="1" applyFill="1" applyAlignment="1">
      <alignment horizontal="center" vertical="center"/>
    </xf>
    <xf numFmtId="166" fontId="6" fillId="0" borderId="0" xfId="0" applyNumberFormat="1" applyFont="1" applyAlignment="1">
      <alignment horizontal="right" vertical="center"/>
    </xf>
    <xf numFmtId="0" fontId="6" fillId="29" borderId="0" xfId="0" applyFont="1" applyFill="1">
      <alignment vertical="center"/>
    </xf>
    <xf numFmtId="0" fontId="6" fillId="29" borderId="0" xfId="0" applyFont="1" applyFill="1" applyAlignment="1">
      <alignment horizontal="center" vertical="center"/>
    </xf>
    <xf numFmtId="169" fontId="2" fillId="3" borderId="0" xfId="0" applyNumberFormat="1" applyFont="1" applyFill="1" applyAlignment="1">
      <alignment horizontal="center" vertical="center"/>
    </xf>
    <xf numFmtId="169" fontId="19" fillId="6" borderId="0" xfId="0" applyNumberFormat="1" applyFont="1" applyFill="1" applyAlignment="1">
      <alignment horizontal="center" vertical="center"/>
    </xf>
    <xf numFmtId="0" fontId="2" fillId="14" borderId="0" xfId="0" applyFont="1" applyFill="1">
      <alignment vertical="center"/>
    </xf>
    <xf numFmtId="0" fontId="2" fillId="14" borderId="2" xfId="0" applyFont="1" applyFill="1" applyBorder="1">
      <alignment vertical="center"/>
    </xf>
    <xf numFmtId="0" fontId="2" fillId="0" borderId="2" xfId="0" applyFont="1" applyBorder="1">
      <alignment vertical="center"/>
    </xf>
    <xf numFmtId="0" fontId="12" fillId="19" borderId="2" xfId="0" applyFont="1" applyFill="1" applyBorder="1" applyAlignment="1">
      <alignment horizontal="left" vertical="center"/>
    </xf>
    <xf numFmtId="0" fontId="2" fillId="0" borderId="0" xfId="0" applyFont="1" applyAlignment="1">
      <alignment horizontal="right" vertical="center"/>
    </xf>
    <xf numFmtId="0" fontId="2" fillId="0" borderId="2" xfId="0" applyFont="1" applyBorder="1" applyAlignment="1">
      <alignment horizontal="right" vertical="center"/>
    </xf>
    <xf numFmtId="0" fontId="12" fillId="14" borderId="0" xfId="0" applyFont="1" applyFill="1" applyAlignment="1">
      <alignment horizontal="left" vertical="center"/>
    </xf>
    <xf numFmtId="0" fontId="12" fillId="14" borderId="2" xfId="0" applyFont="1" applyFill="1" applyBorder="1">
      <alignment vertical="center"/>
    </xf>
    <xf numFmtId="0" fontId="12" fillId="14" borderId="0" xfId="0" applyFont="1" applyFill="1">
      <alignment vertical="center"/>
    </xf>
    <xf numFmtId="0" fontId="2" fillId="22" borderId="0" xfId="0" applyFont="1" applyFill="1" applyAlignment="1">
      <alignment horizontal="left" vertical="center"/>
    </xf>
    <xf numFmtId="0" fontId="39" fillId="0" borderId="0" xfId="0" applyFont="1">
      <alignment vertical="center"/>
    </xf>
    <xf numFmtId="0" fontId="2" fillId="14" borderId="2" xfId="0" applyFont="1" applyFill="1" applyBorder="1" applyAlignment="1">
      <alignment horizontal="right" vertical="center"/>
    </xf>
    <xf numFmtId="0" fontId="2" fillId="19" borderId="2" xfId="0" applyFont="1" applyFill="1" applyBorder="1">
      <alignment vertical="center"/>
    </xf>
    <xf numFmtId="0" fontId="12" fillId="19" borderId="2" xfId="0" applyFont="1" applyFill="1" applyBorder="1">
      <alignment vertical="center"/>
    </xf>
    <xf numFmtId="0" fontId="2" fillId="0" borderId="2" xfId="0" applyFont="1" applyBorder="1" applyAlignment="1">
      <alignment horizontal="left" vertical="center"/>
    </xf>
    <xf numFmtId="0" fontId="12" fillId="0" borderId="2" xfId="0" applyFont="1" applyBorder="1">
      <alignment vertical="center"/>
    </xf>
    <xf numFmtId="0" fontId="2" fillId="0" borderId="2" xfId="0" applyFont="1" applyBorder="1" applyAlignment="1">
      <alignment horizontal="center" vertical="center"/>
    </xf>
    <xf numFmtId="0" fontId="12" fillId="0" borderId="2" xfId="0" applyFont="1" applyBorder="1" applyAlignment="1">
      <alignment horizontal="left" vertical="center"/>
    </xf>
    <xf numFmtId="0" fontId="2" fillId="3" borderId="2" xfId="0" applyFont="1" applyFill="1" applyBorder="1" applyAlignment="1">
      <alignment horizontal="center" vertical="center"/>
    </xf>
    <xf numFmtId="0" fontId="2" fillId="0" borderId="2" xfId="0" applyFont="1" applyBorder="1" applyAlignment="1">
      <alignment horizontal="center"/>
    </xf>
    <xf numFmtId="0" fontId="2" fillId="0" borderId="6" xfId="0" applyFont="1" applyBorder="1">
      <alignment vertical="center"/>
    </xf>
    <xf numFmtId="0" fontId="2" fillId="0" borderId="9" xfId="0" applyFont="1" applyBorder="1" applyAlignment="1">
      <alignment horizontal="left" vertical="center"/>
    </xf>
    <xf numFmtId="0" fontId="45" fillId="0" borderId="2" xfId="0" applyFont="1" applyBorder="1">
      <alignment vertical="center"/>
    </xf>
    <xf numFmtId="0" fontId="45" fillId="0" borderId="2" xfId="0" applyFont="1" applyBorder="1" applyAlignment="1">
      <alignment horizontal="center" vertical="center"/>
    </xf>
    <xf numFmtId="0" fontId="14" fillId="0" borderId="2" xfId="0" applyFont="1" applyBorder="1">
      <alignment vertical="center"/>
    </xf>
    <xf numFmtId="0" fontId="39" fillId="0" borderId="2" xfId="0" applyFont="1" applyBorder="1">
      <alignment vertical="center"/>
    </xf>
    <xf numFmtId="0" fontId="46" fillId="0" borderId="2" xfId="0" applyFont="1" applyBorder="1">
      <alignment vertical="center"/>
    </xf>
    <xf numFmtId="0" fontId="33" fillId="0" borderId="2" xfId="0" applyFont="1" applyBorder="1">
      <alignment vertical="center"/>
    </xf>
    <xf numFmtId="0" fontId="33" fillId="0" borderId="2" xfId="0" applyFont="1" applyBorder="1" applyAlignment="1">
      <alignment horizontal="left" vertical="center"/>
    </xf>
    <xf numFmtId="0" fontId="2" fillId="0" borderId="7" xfId="0" applyFont="1" applyBorder="1">
      <alignment vertical="center"/>
    </xf>
    <xf numFmtId="0" fontId="33" fillId="0" borderId="4" xfId="0" applyFont="1" applyBorder="1" applyAlignment="1">
      <alignment horizontal="left" vertical="center"/>
    </xf>
    <xf numFmtId="0" fontId="46" fillId="0" borderId="0" xfId="0" applyFont="1">
      <alignment vertical="center"/>
    </xf>
    <xf numFmtId="0" fontId="33" fillId="0" borderId="6" xfId="0" applyFont="1" applyBorder="1" applyAlignment="1">
      <alignment horizontal="left" vertical="center"/>
    </xf>
    <xf numFmtId="0" fontId="2" fillId="0" borderId="2" xfId="0" applyFont="1" applyBorder="1" applyAlignment="1">
      <alignment horizontal="right"/>
    </xf>
    <xf numFmtId="0" fontId="20" fillId="0" borderId="2" xfId="0" applyFont="1" applyBorder="1">
      <alignment vertical="center"/>
    </xf>
    <xf numFmtId="165" fontId="2" fillId="3" borderId="0" xfId="1" applyNumberFormat="1" applyFont="1" applyFill="1" applyBorder="1" applyAlignment="1">
      <alignment horizontal="left" vertical="center"/>
    </xf>
    <xf numFmtId="0" fontId="6" fillId="0" borderId="12" xfId="0" applyFont="1" applyBorder="1">
      <alignment vertical="center"/>
    </xf>
    <xf numFmtId="0" fontId="6" fillId="0" borderId="13" xfId="0" applyFont="1" applyBorder="1">
      <alignment vertical="center"/>
    </xf>
    <xf numFmtId="0" fontId="2" fillId="0" borderId="9" xfId="0" applyFont="1" applyBorder="1">
      <alignment vertical="center"/>
    </xf>
    <xf numFmtId="0" fontId="33" fillId="0" borderId="6" xfId="0" applyFont="1" applyBorder="1">
      <alignment vertical="center"/>
    </xf>
    <xf numFmtId="0" fontId="49" fillId="0" borderId="0" xfId="2" applyFont="1">
      <alignment vertical="center"/>
    </xf>
    <xf numFmtId="0" fontId="2" fillId="14" borderId="2" xfId="0" applyFont="1" applyFill="1" applyBorder="1" applyAlignment="1">
      <alignment horizontal="left" vertical="center"/>
    </xf>
    <xf numFmtId="0" fontId="12" fillId="0" borderId="0" xfId="0" applyFont="1" applyAlignment="1">
      <alignment horizontal="left" vertical="center"/>
    </xf>
    <xf numFmtId="0" fontId="47" fillId="14" borderId="2" xfId="0" applyFont="1" applyFill="1" applyBorder="1">
      <alignment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166" fontId="6" fillId="0" borderId="0" xfId="0" applyNumberFormat="1" applyFont="1" applyAlignment="1">
      <alignment horizontal="left" vertical="center"/>
    </xf>
    <xf numFmtId="0" fontId="47" fillId="14" borderId="0" xfId="0" applyFont="1" applyFill="1" applyAlignment="1">
      <alignment horizontal="left" vertical="center"/>
    </xf>
    <xf numFmtId="0" fontId="47" fillId="14" borderId="2" xfId="0" applyFont="1" applyFill="1" applyBorder="1" applyAlignment="1">
      <alignment horizontal="right" vertical="center"/>
    </xf>
    <xf numFmtId="0" fontId="50" fillId="3" borderId="0" xfId="0" applyFont="1" applyFill="1">
      <alignment vertical="center"/>
    </xf>
    <xf numFmtId="0" fontId="2" fillId="0" borderId="17" xfId="0" applyFont="1" applyBorder="1" applyAlignment="1">
      <alignment horizontal="center" vertical="center"/>
    </xf>
    <xf numFmtId="164" fontId="2" fillId="3" borderId="14" xfId="0" applyNumberFormat="1" applyFont="1" applyFill="1" applyBorder="1" applyAlignment="1">
      <alignment horizontal="right" vertical="center"/>
    </xf>
    <xf numFmtId="165" fontId="2" fillId="3" borderId="14" xfId="1" applyNumberFormat="1" applyFont="1" applyFill="1" applyBorder="1" applyAlignment="1">
      <alignment horizontal="left" vertical="center"/>
    </xf>
    <xf numFmtId="0" fontId="51" fillId="0" borderId="0" xfId="0" applyFont="1">
      <alignment vertical="center"/>
    </xf>
    <xf numFmtId="0" fontId="50" fillId="0" borderId="0" xfId="0" applyFont="1">
      <alignment vertical="center"/>
    </xf>
    <xf numFmtId="0" fontId="52" fillId="0" borderId="0" xfId="0" applyFont="1">
      <alignment vertical="center"/>
    </xf>
    <xf numFmtId="164" fontId="2" fillId="3" borderId="15" xfId="0" applyNumberFormat="1" applyFont="1" applyFill="1" applyBorder="1" applyAlignment="1">
      <alignment horizontal="right" vertical="center"/>
    </xf>
    <xf numFmtId="165" fontId="2" fillId="3" borderId="15" xfId="1" applyNumberFormat="1" applyFont="1" applyFill="1" applyBorder="1" applyAlignment="1">
      <alignment horizontal="left"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164" fontId="2" fillId="3" borderId="18" xfId="0" applyNumberFormat="1" applyFont="1" applyFill="1" applyBorder="1" applyAlignment="1">
      <alignment horizontal="right" vertical="center"/>
    </xf>
    <xf numFmtId="165" fontId="2" fillId="3" borderId="18" xfId="1" applyNumberFormat="1" applyFont="1" applyFill="1" applyBorder="1" applyAlignment="1">
      <alignment horizontal="left" vertical="center"/>
    </xf>
    <xf numFmtId="0" fontId="19" fillId="12" borderId="0" xfId="0" applyFont="1" applyFill="1" applyAlignment="1">
      <alignment horizontal="center" vertical="center"/>
    </xf>
    <xf numFmtId="0" fontId="19" fillId="12" borderId="0" xfId="0" applyFont="1" applyFill="1">
      <alignment vertical="center"/>
    </xf>
    <xf numFmtId="0" fontId="19" fillId="12" borderId="0" xfId="0" applyFont="1" applyFill="1" applyAlignment="1">
      <alignment horizontal="left" vertical="center"/>
    </xf>
    <xf numFmtId="165" fontId="2" fillId="3" borderId="18" xfId="1" applyNumberFormat="1" applyFont="1" applyFill="1" applyBorder="1" applyAlignment="1" applyProtection="1">
      <alignment horizontal="left" vertical="center"/>
    </xf>
    <xf numFmtId="0" fontId="43" fillId="3" borderId="0" xfId="0" applyFont="1" applyFill="1" applyAlignment="1">
      <alignment horizontal="center" vertical="center"/>
    </xf>
    <xf numFmtId="0" fontId="14" fillId="0" borderId="4" xfId="0" applyFont="1" applyBorder="1">
      <alignment vertical="center"/>
    </xf>
    <xf numFmtId="0" fontId="14" fillId="14" borderId="0" xfId="0" applyFont="1" applyFill="1" applyAlignment="1">
      <alignment horizontal="left" vertical="center"/>
    </xf>
    <xf numFmtId="0" fontId="14" fillId="14" borderId="2" xfId="0" applyFont="1" applyFill="1" applyBorder="1">
      <alignment vertical="center"/>
    </xf>
    <xf numFmtId="0" fontId="14" fillId="14" borderId="0" xfId="0" applyFont="1" applyFill="1">
      <alignment vertical="center"/>
    </xf>
    <xf numFmtId="0" fontId="14" fillId="14" borderId="2" xfId="0" applyFont="1" applyFill="1" applyBorder="1" applyAlignment="1">
      <alignment horizontal="left" vertical="center"/>
    </xf>
    <xf numFmtId="0" fontId="14" fillId="14" borderId="0" xfId="0" applyFont="1" applyFill="1" applyAlignment="1">
      <alignment horizontal="center" vertical="center"/>
    </xf>
    <xf numFmtId="0" fontId="55" fillId="14" borderId="2" xfId="0" applyFont="1" applyFill="1" applyBorder="1">
      <alignment vertical="center"/>
    </xf>
    <xf numFmtId="0" fontId="20" fillId="14" borderId="2" xfId="0" applyFont="1" applyFill="1" applyBorder="1">
      <alignment vertical="center"/>
    </xf>
    <xf numFmtId="15" fontId="2" fillId="0" borderId="0" xfId="0" applyNumberFormat="1" applyFont="1">
      <alignment vertical="center"/>
    </xf>
    <xf numFmtId="0" fontId="57" fillId="0" borderId="0" xfId="0" applyFont="1">
      <alignment vertical="center"/>
    </xf>
    <xf numFmtId="0" fontId="12" fillId="30" borderId="0" xfId="0" applyFont="1" applyFill="1">
      <alignment vertical="center"/>
    </xf>
    <xf numFmtId="0" fontId="59" fillId="0" borderId="0" xfId="0" applyFont="1">
      <alignment vertical="center"/>
    </xf>
    <xf numFmtId="0" fontId="60" fillId="0" borderId="0" xfId="0" applyFont="1">
      <alignment vertical="center"/>
    </xf>
    <xf numFmtId="0" fontId="59" fillId="0" borderId="0" xfId="0" applyFont="1" applyAlignment="1">
      <alignment horizontal="right" vertical="center"/>
    </xf>
    <xf numFmtId="0" fontId="61" fillId="0" borderId="0" xfId="0" applyFont="1">
      <alignment vertical="center"/>
    </xf>
    <xf numFmtId="0" fontId="61" fillId="0" borderId="0" xfId="0" applyFont="1" applyAlignment="1"/>
    <xf numFmtId="0" fontId="1" fillId="0" borderId="0" xfId="0" applyFont="1">
      <alignment vertical="center"/>
    </xf>
    <xf numFmtId="0" fontId="63" fillId="14" borderId="0" xfId="0" applyFont="1" applyFill="1" applyAlignment="1">
      <alignment horizontal="center" vertical="center"/>
    </xf>
    <xf numFmtId="0" fontId="63" fillId="14" borderId="0" xfId="0" applyFont="1" applyFill="1">
      <alignment vertical="center"/>
    </xf>
    <xf numFmtId="0" fontId="46" fillId="30" borderId="0" xfId="0" applyFont="1" applyFill="1">
      <alignment vertical="center"/>
    </xf>
    <xf numFmtId="0" fontId="65" fillId="0" borderId="0" xfId="0" applyFont="1">
      <alignment vertical="center"/>
    </xf>
    <xf numFmtId="0" fontId="66" fillId="0" borderId="0" xfId="0" applyFont="1">
      <alignment vertical="center"/>
    </xf>
    <xf numFmtId="0" fontId="48" fillId="0" borderId="0" xfId="0" applyFont="1">
      <alignment vertical="center"/>
    </xf>
    <xf numFmtId="0" fontId="38" fillId="0" borderId="0" xfId="0" applyFont="1">
      <alignment vertical="center"/>
    </xf>
    <xf numFmtId="0" fontId="7" fillId="31" borderId="0" xfId="0" applyFont="1" applyFill="1" applyAlignment="1">
      <alignment horizontal="left" vertical="center"/>
    </xf>
    <xf numFmtId="0" fontId="6" fillId="31" borderId="0" xfId="0" applyFont="1" applyFill="1" applyAlignment="1">
      <alignment horizontal="left" vertical="center"/>
    </xf>
    <xf numFmtId="168" fontId="6" fillId="31" borderId="0" xfId="0" applyNumberFormat="1" applyFont="1" applyFill="1" applyAlignment="1">
      <alignment horizontal="left" vertical="center"/>
    </xf>
    <xf numFmtId="0" fontId="6" fillId="31" borderId="0" xfId="0" applyFont="1" applyFill="1" applyAlignment="1">
      <alignment horizontal="center" vertical="center"/>
    </xf>
    <xf numFmtId="0" fontId="6" fillId="31" borderId="0" xfId="0" applyFont="1" applyFill="1">
      <alignment vertical="center"/>
    </xf>
    <xf numFmtId="168" fontId="6" fillId="0" borderId="0" xfId="0" applyNumberFormat="1" applyFont="1" applyAlignment="1">
      <alignment horizontal="left" vertical="center"/>
    </xf>
    <xf numFmtId="0" fontId="47" fillId="0" borderId="0" xfId="0" applyFont="1" applyAlignment="1">
      <alignment horizontal="left" vertical="center"/>
    </xf>
    <xf numFmtId="0" fontId="12" fillId="0" borderId="6" xfId="0" applyFont="1" applyBorder="1">
      <alignment vertical="center"/>
    </xf>
    <xf numFmtId="0" fontId="31" fillId="0" borderId="2" xfId="0" applyFont="1" applyBorder="1">
      <alignment vertical="center"/>
    </xf>
    <xf numFmtId="0" fontId="4" fillId="14" borderId="0" xfId="0" applyFont="1" applyFill="1" applyAlignment="1">
      <alignment horizontal="left" vertical="center"/>
    </xf>
    <xf numFmtId="0" fontId="4" fillId="14" borderId="0" xfId="0" applyFont="1" applyFill="1" applyAlignment="1">
      <alignment horizontal="center" vertical="center"/>
    </xf>
    <xf numFmtId="0" fontId="4" fillId="14" borderId="0" xfId="0" applyFont="1" applyFill="1">
      <alignment vertical="center"/>
    </xf>
    <xf numFmtId="0" fontId="27" fillId="14" borderId="2" xfId="0" applyFont="1" applyFill="1" applyBorder="1">
      <alignment vertical="center"/>
    </xf>
    <xf numFmtId="0" fontId="4" fillId="14" borderId="2" xfId="0" applyFont="1" applyFill="1" applyBorder="1">
      <alignment vertical="center"/>
    </xf>
    <xf numFmtId="0" fontId="4" fillId="14" borderId="2" xfId="0" applyFont="1" applyFill="1" applyBorder="1" applyAlignment="1">
      <alignment horizontal="center" vertical="center"/>
    </xf>
    <xf numFmtId="0" fontId="4" fillId="14" borderId="2" xfId="0" applyFont="1" applyFill="1" applyBorder="1" applyAlignment="1">
      <alignment horizontal="right" vertical="center"/>
    </xf>
    <xf numFmtId="0" fontId="4" fillId="0" borderId="2" xfId="0" applyFont="1" applyBorder="1">
      <alignment vertical="center"/>
    </xf>
    <xf numFmtId="0" fontId="70" fillId="14" borderId="2" xfId="0" applyFont="1" applyFill="1" applyBorder="1">
      <alignment vertical="center"/>
    </xf>
    <xf numFmtId="0" fontId="4" fillId="14" borderId="0" xfId="0" applyFont="1" applyFill="1" applyAlignment="1">
      <alignment horizontal="right" vertical="center"/>
    </xf>
    <xf numFmtId="0" fontId="27" fillId="14" borderId="0" xfId="0" applyFont="1" applyFill="1" applyAlignment="1">
      <alignment horizontal="left" vertical="center"/>
    </xf>
    <xf numFmtId="0" fontId="27" fillId="14" borderId="0" xfId="0" applyFont="1" applyFill="1">
      <alignment vertical="center"/>
    </xf>
    <xf numFmtId="0" fontId="47" fillId="14" borderId="0" xfId="0" applyFont="1" applyFill="1">
      <alignment vertical="center"/>
    </xf>
    <xf numFmtId="0" fontId="14" fillId="14" borderId="8" xfId="0" applyFont="1" applyFill="1" applyBorder="1">
      <alignment vertical="center"/>
    </xf>
    <xf numFmtId="0" fontId="14" fillId="14" borderId="5" xfId="0" applyFont="1" applyFill="1" applyBorder="1">
      <alignment vertical="center"/>
    </xf>
    <xf numFmtId="0" fontId="14" fillId="14" borderId="6" xfId="0" applyFont="1" applyFill="1" applyBorder="1">
      <alignment vertical="center"/>
    </xf>
    <xf numFmtId="0" fontId="71" fillId="2" borderId="1" xfId="0" applyFont="1" applyFill="1" applyBorder="1" applyAlignment="1">
      <alignment horizontal="left" vertical="center"/>
    </xf>
    <xf numFmtId="0" fontId="4" fillId="2" borderId="1" xfId="0" applyFont="1" applyFill="1" applyBorder="1" applyAlignment="1">
      <alignment horizontal="left" vertical="center"/>
    </xf>
    <xf numFmtId="0" fontId="20" fillId="0" borderId="4" xfId="0" applyFont="1" applyBorder="1">
      <alignment vertical="center"/>
    </xf>
    <xf numFmtId="0" fontId="14" fillId="0" borderId="4" xfId="0" applyFont="1" applyBorder="1" applyAlignment="1">
      <alignment horizontal="left" vertical="center"/>
    </xf>
    <xf numFmtId="0" fontId="72" fillId="3" borderId="0" xfId="0" applyFont="1" applyFill="1" applyAlignment="1">
      <alignment horizontal="center" vertical="center"/>
    </xf>
    <xf numFmtId="164" fontId="2" fillId="3" borderId="18" xfId="0" applyNumberFormat="1" applyFont="1" applyFill="1" applyBorder="1" applyAlignment="1">
      <alignment horizontal="center" vertical="center"/>
    </xf>
    <xf numFmtId="165" fontId="2" fillId="3" borderId="18" xfId="1" applyNumberFormat="1" applyFont="1" applyFill="1" applyBorder="1" applyAlignment="1" applyProtection="1">
      <alignment horizontal="center" vertical="center"/>
    </xf>
    <xf numFmtId="0" fontId="18" fillId="3" borderId="0" xfId="0" applyFont="1" applyFill="1" applyAlignment="1">
      <alignment horizontal="center" vertical="center"/>
    </xf>
    <xf numFmtId="0" fontId="16" fillId="3" borderId="0" xfId="0" applyFont="1" applyFill="1" applyAlignment="1">
      <alignment horizontal="center" vertical="center"/>
    </xf>
    <xf numFmtId="0" fontId="14" fillId="3" borderId="23" xfId="0" applyFont="1" applyFill="1" applyBorder="1">
      <alignment vertical="center"/>
    </xf>
    <xf numFmtId="0" fontId="2" fillId="3" borderId="24" xfId="0" applyFont="1" applyFill="1" applyBorder="1" applyAlignment="1">
      <alignment horizontal="center" vertical="center"/>
    </xf>
    <xf numFmtId="0" fontId="2" fillId="3" borderId="23" xfId="0" applyFont="1" applyFill="1" applyBorder="1">
      <alignment vertical="center"/>
    </xf>
    <xf numFmtId="0" fontId="24" fillId="0" borderId="0" xfId="2">
      <alignment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4" fillId="3" borderId="0" xfId="2" applyFill="1">
      <alignment vertical="center"/>
    </xf>
    <xf numFmtId="0" fontId="72" fillId="3" borderId="0" xfId="0" applyFont="1" applyFill="1">
      <alignment vertical="center"/>
    </xf>
    <xf numFmtId="0" fontId="2" fillId="3" borderId="27" xfId="0" applyFont="1" applyFill="1" applyBorder="1" applyAlignment="1">
      <alignment horizontal="center" vertical="center"/>
    </xf>
    <xf numFmtId="0" fontId="20" fillId="3" borderId="0" xfId="0" applyFont="1" applyFill="1">
      <alignment vertical="center"/>
    </xf>
    <xf numFmtId="0" fontId="12" fillId="3" borderId="0" xfId="0" applyFont="1" applyFill="1" applyProtection="1">
      <alignment vertical="center"/>
      <protection locked="0"/>
    </xf>
    <xf numFmtId="165" fontId="2" fillId="3" borderId="18" xfId="1" applyNumberFormat="1" applyFont="1" applyFill="1" applyBorder="1" applyAlignment="1">
      <alignment horizontal="center" vertical="center"/>
    </xf>
    <xf numFmtId="0" fontId="24" fillId="3" borderId="0" xfId="2" applyFill="1" applyBorder="1">
      <alignment vertical="center"/>
    </xf>
    <xf numFmtId="0" fontId="51" fillId="32" borderId="0" xfId="0" applyFont="1" applyFill="1" applyAlignment="1">
      <alignment horizontal="left" vertical="center"/>
    </xf>
    <xf numFmtId="0" fontId="78" fillId="3" borderId="0" xfId="0" applyFont="1" applyFill="1">
      <alignment vertical="center"/>
    </xf>
    <xf numFmtId="0" fontId="2" fillId="24" borderId="0" xfId="0" applyFont="1" applyFill="1" applyProtection="1">
      <alignment vertical="center"/>
      <protection hidden="1"/>
    </xf>
    <xf numFmtId="0" fontId="2" fillId="24" borderId="0" xfId="0" applyFont="1" applyFill="1" applyAlignment="1" applyProtection="1">
      <alignment horizontal="center" vertical="center"/>
      <protection hidden="1"/>
    </xf>
    <xf numFmtId="0" fontId="53" fillId="24" borderId="0" xfId="0" applyFont="1" applyFill="1" applyProtection="1">
      <alignment vertical="center"/>
      <protection hidden="1"/>
    </xf>
    <xf numFmtId="0" fontId="12" fillId="24" borderId="0" xfId="0" applyFont="1" applyFill="1" applyProtection="1">
      <alignment vertical="center"/>
      <protection hidden="1"/>
    </xf>
    <xf numFmtId="0" fontId="2" fillId="24" borderId="0" xfId="0" applyFont="1" applyFill="1" applyAlignment="1" applyProtection="1">
      <alignment horizontal="left" vertical="center"/>
      <protection hidden="1"/>
    </xf>
    <xf numFmtId="0" fontId="2" fillId="24" borderId="20" xfId="0" applyFont="1" applyFill="1" applyBorder="1" applyAlignment="1" applyProtection="1">
      <alignment horizontal="center" vertical="center"/>
      <protection hidden="1"/>
    </xf>
    <xf numFmtId="0" fontId="2" fillId="24" borderId="21" xfId="0" applyFont="1" applyFill="1" applyBorder="1" applyAlignment="1" applyProtection="1">
      <alignment horizontal="center" vertical="center"/>
      <protection hidden="1"/>
    </xf>
    <xf numFmtId="0" fontId="2" fillId="24" borderId="22" xfId="0" applyFont="1" applyFill="1" applyBorder="1" applyAlignment="1" applyProtection="1">
      <alignment horizontal="center" vertical="center"/>
      <protection hidden="1"/>
    </xf>
    <xf numFmtId="0" fontId="12" fillId="24" borderId="0" xfId="0" applyFont="1" applyFill="1" applyAlignment="1" applyProtection="1">
      <alignment horizontal="left" vertical="center"/>
      <protection hidden="1"/>
    </xf>
    <xf numFmtId="0" fontId="12" fillId="24" borderId="0" xfId="0" applyFont="1" applyFill="1" applyAlignment="1" applyProtection="1">
      <alignment horizontal="center" vertical="center"/>
      <protection hidden="1"/>
    </xf>
    <xf numFmtId="0" fontId="47" fillId="24" borderId="0" xfId="0" applyFont="1" applyFill="1" applyAlignment="1" applyProtection="1">
      <alignment horizontal="right" vertical="center"/>
      <protection hidden="1"/>
    </xf>
    <xf numFmtId="0" fontId="47" fillId="24" borderId="0" xfId="0" applyFont="1" applyFill="1" applyAlignment="1" applyProtection="1">
      <alignment horizontal="center" vertical="center"/>
      <protection hidden="1"/>
    </xf>
    <xf numFmtId="0" fontId="64" fillId="24" borderId="0" xfId="0" applyFont="1" applyFill="1" applyProtection="1">
      <alignment vertical="center"/>
      <protection hidden="1"/>
    </xf>
    <xf numFmtId="0" fontId="64" fillId="24" borderId="0" xfId="0" applyFont="1" applyFill="1" applyAlignment="1" applyProtection="1">
      <alignment horizontal="center" vertical="center"/>
      <protection hidden="1"/>
    </xf>
    <xf numFmtId="170" fontId="2" fillId="24" borderId="0" xfId="1" applyNumberFormat="1" applyFont="1" applyFill="1" applyAlignment="1" applyProtection="1">
      <alignment horizontal="center" vertical="center"/>
      <protection hidden="1"/>
    </xf>
    <xf numFmtId="0" fontId="44" fillId="24" borderId="0" xfId="0" applyFont="1" applyFill="1" applyAlignment="1" applyProtection="1">
      <alignment horizontal="center" vertical="center"/>
      <protection hidden="1"/>
    </xf>
    <xf numFmtId="0" fontId="2" fillId="0" borderId="0" xfId="0" applyFont="1" applyAlignment="1" applyProtection="1">
      <alignment horizontal="center" vertical="center"/>
      <protection hidden="1"/>
    </xf>
    <xf numFmtId="0" fontId="79" fillId="24" borderId="0" xfId="0" applyFont="1" applyFill="1" applyAlignment="1" applyProtection="1">
      <alignment horizontal="center" vertical="center"/>
      <protection hidden="1"/>
    </xf>
    <xf numFmtId="0" fontId="2" fillId="33" borderId="0" xfId="0" applyFont="1" applyFill="1" applyProtection="1">
      <alignment vertical="center"/>
      <protection hidden="1"/>
    </xf>
    <xf numFmtId="0" fontId="12" fillId="33" borderId="0" xfId="0" applyFont="1" applyFill="1" applyProtection="1">
      <alignment vertical="center"/>
      <protection hidden="1"/>
    </xf>
    <xf numFmtId="0" fontId="12" fillId="33" borderId="0" xfId="0" applyFont="1" applyFill="1" applyAlignment="1" applyProtection="1">
      <alignment horizontal="left" vertical="center"/>
      <protection hidden="1"/>
    </xf>
    <xf numFmtId="0" fontId="2" fillId="33" borderId="0" xfId="0" applyFont="1" applyFill="1" applyAlignment="1" applyProtection="1">
      <alignment horizontal="center" vertical="center"/>
      <protection hidden="1"/>
    </xf>
    <xf numFmtId="0" fontId="47" fillId="33" borderId="0" xfId="0" applyFont="1" applyFill="1" applyAlignment="1" applyProtection="1">
      <alignment horizontal="right" vertical="center"/>
      <protection hidden="1"/>
    </xf>
    <xf numFmtId="0" fontId="47" fillId="33" borderId="0" xfId="0" applyFont="1" applyFill="1" applyAlignment="1" applyProtection="1">
      <alignment horizontal="center" vertical="center"/>
      <protection hidden="1"/>
    </xf>
    <xf numFmtId="0" fontId="39" fillId="24" borderId="28" xfId="0" applyFont="1" applyFill="1" applyBorder="1" applyProtection="1">
      <alignment vertical="center"/>
      <protection locked="0"/>
    </xf>
    <xf numFmtId="0" fontId="80" fillId="24" borderId="0" xfId="0" applyFont="1" applyFill="1" applyProtection="1">
      <alignment vertical="center"/>
      <protection hidden="1"/>
    </xf>
    <xf numFmtId="0" fontId="6" fillId="34" borderId="0" xfId="0" applyFont="1" applyFill="1">
      <alignment vertical="center"/>
    </xf>
    <xf numFmtId="0" fontId="6" fillId="34" borderId="0" xfId="0" applyFont="1" applyFill="1" applyAlignment="1">
      <alignment horizontal="center" vertical="center"/>
    </xf>
    <xf numFmtId="0" fontId="26" fillId="34" borderId="0" xfId="0" applyFont="1" applyFill="1" applyAlignment="1">
      <alignment horizontal="left" vertical="top"/>
    </xf>
    <xf numFmtId="0" fontId="6" fillId="34" borderId="0" xfId="0" applyFont="1" applyFill="1" applyAlignment="1">
      <alignment horizontal="left" vertical="center"/>
    </xf>
    <xf numFmtId="0" fontId="84" fillId="34" borderId="0" xfId="0" applyFont="1" applyFill="1" applyAlignment="1">
      <alignment horizontal="center" vertical="center"/>
    </xf>
    <xf numFmtId="49" fontId="7" fillId="34" borderId="0" xfId="0" applyNumberFormat="1" applyFont="1" applyFill="1" applyAlignment="1">
      <alignment horizontal="right" vertical="center"/>
    </xf>
    <xf numFmtId="0" fontId="7" fillId="34" borderId="0" xfId="0" applyFont="1" applyFill="1">
      <alignment vertical="center"/>
    </xf>
    <xf numFmtId="0" fontId="4" fillId="34" borderId="0" xfId="0" applyFont="1" applyFill="1" applyAlignment="1">
      <alignment horizontal="right" vertical="center"/>
    </xf>
    <xf numFmtId="0" fontId="12" fillId="34" borderId="0" xfId="0" applyFont="1" applyFill="1" applyAlignment="1">
      <alignment horizontal="center" vertical="center"/>
    </xf>
    <xf numFmtId="0" fontId="12" fillId="34" borderId="0" xfId="0" applyFont="1" applyFill="1">
      <alignment vertical="center"/>
    </xf>
    <xf numFmtId="0" fontId="4" fillId="34" borderId="0" xfId="0" applyFont="1" applyFill="1">
      <alignment vertical="center"/>
    </xf>
    <xf numFmtId="0" fontId="40" fillId="34" borderId="0" xfId="0" applyFont="1" applyFill="1" applyAlignment="1">
      <alignment horizontal="center" vertical="center"/>
    </xf>
    <xf numFmtId="0" fontId="25" fillId="34" borderId="0" xfId="0" applyFont="1" applyFill="1">
      <alignment vertical="center"/>
    </xf>
    <xf numFmtId="1" fontId="6" fillId="34" borderId="0" xfId="0" applyNumberFormat="1" applyFont="1" applyFill="1" applyAlignment="1">
      <alignment horizontal="center" vertical="center"/>
    </xf>
    <xf numFmtId="0" fontId="81" fillId="34" borderId="0" xfId="0" applyFont="1" applyFill="1" applyAlignment="1" applyProtection="1">
      <alignment horizontal="center" vertical="top"/>
      <protection locked="0"/>
    </xf>
    <xf numFmtId="0" fontId="37" fillId="34" borderId="0" xfId="0" applyFont="1" applyFill="1">
      <alignment vertical="center"/>
    </xf>
    <xf numFmtId="0" fontId="23" fillId="34" borderId="0" xfId="0" applyFont="1" applyFill="1">
      <alignment vertical="center"/>
    </xf>
    <xf numFmtId="0" fontId="7" fillId="34" borderId="0" xfId="0" applyFont="1" applyFill="1" applyAlignment="1">
      <alignment horizontal="center" vertical="center"/>
    </xf>
    <xf numFmtId="0" fontId="6" fillId="34" borderId="0" xfId="0" applyFont="1" applyFill="1" applyAlignment="1">
      <alignment horizontal="left" vertical="top"/>
    </xf>
    <xf numFmtId="0" fontId="12" fillId="34" borderId="0" xfId="0" applyFont="1" applyFill="1" applyAlignment="1">
      <alignment horizontal="left" vertical="center"/>
    </xf>
    <xf numFmtId="0" fontId="81" fillId="34" borderId="0" xfId="0" applyFont="1" applyFill="1" applyProtection="1">
      <alignment vertical="center"/>
      <protection locked="0"/>
    </xf>
    <xf numFmtId="0" fontId="7" fillId="34" borderId="0" xfId="0" applyFont="1" applyFill="1" applyAlignment="1">
      <alignment horizontal="right" vertical="center"/>
    </xf>
    <xf numFmtId="0" fontId="85" fillId="34" borderId="1" xfId="0" applyFont="1" applyFill="1" applyBorder="1" applyProtection="1">
      <alignment vertical="center"/>
      <protection locked="0"/>
    </xf>
    <xf numFmtId="0" fontId="2" fillId="34" borderId="0" xfId="0" applyFont="1" applyFill="1" applyAlignment="1">
      <alignment horizontal="left" vertical="center"/>
    </xf>
    <xf numFmtId="0" fontId="2" fillId="34" borderId="10" xfId="0" applyFont="1" applyFill="1" applyBorder="1" applyAlignment="1">
      <alignment horizontal="left" vertical="center"/>
    </xf>
    <xf numFmtId="0" fontId="2" fillId="34" borderId="0" xfId="0" applyFont="1" applyFill="1" applyAlignment="1">
      <alignment horizontal="center" vertical="center"/>
    </xf>
    <xf numFmtId="166" fontId="16" fillId="34" borderId="0" xfId="0" applyNumberFormat="1" applyFont="1" applyFill="1" applyAlignment="1">
      <alignment horizontal="center" vertical="center"/>
    </xf>
    <xf numFmtId="166" fontId="2" fillId="34" borderId="0" xfId="0" applyNumberFormat="1" applyFont="1" applyFill="1" applyAlignment="1">
      <alignment horizontal="center" vertical="center"/>
    </xf>
    <xf numFmtId="0" fontId="2" fillId="34" borderId="0" xfId="0" applyFont="1" applyFill="1">
      <alignment vertical="center"/>
    </xf>
    <xf numFmtId="167" fontId="12" fillId="34" borderId="0" xfId="0" applyNumberFormat="1" applyFont="1" applyFill="1" applyAlignment="1">
      <alignment horizontal="center" vertical="center"/>
    </xf>
    <xf numFmtId="0" fontId="81" fillId="34" borderId="0" xfId="0" applyFont="1" applyFill="1" applyAlignment="1" applyProtection="1">
      <alignment horizontal="center" vertical="center"/>
      <protection locked="0"/>
    </xf>
    <xf numFmtId="0" fontId="21" fillId="34" borderId="0" xfId="0" applyFont="1" applyFill="1" applyAlignment="1">
      <alignment horizontal="left" vertical="center"/>
    </xf>
    <xf numFmtId="0" fontId="40" fillId="34" borderId="0" xfId="0" applyFont="1" applyFill="1">
      <alignment vertical="center"/>
    </xf>
    <xf numFmtId="0" fontId="17" fillId="34" borderId="0" xfId="0" applyFont="1" applyFill="1" applyAlignment="1">
      <alignment horizontal="left" vertical="center"/>
    </xf>
    <xf numFmtId="0" fontId="30" fillId="34" borderId="0" xfId="0" applyFont="1" applyFill="1">
      <alignment vertical="center"/>
    </xf>
    <xf numFmtId="0" fontId="23" fillId="34" borderId="0" xfId="0" applyFont="1" applyFill="1" applyAlignment="1">
      <alignment horizontal="left" vertical="center"/>
    </xf>
    <xf numFmtId="0" fontId="6" fillId="34" borderId="0" xfId="0" applyFont="1" applyFill="1" applyAlignment="1">
      <alignment horizontal="center" vertical="top"/>
    </xf>
    <xf numFmtId="0" fontId="35" fillId="34" borderId="0" xfId="0" applyFont="1" applyFill="1">
      <alignment vertical="center"/>
    </xf>
    <xf numFmtId="0" fontId="2" fillId="34" borderId="0" xfId="0" applyFont="1" applyFill="1" applyAlignment="1">
      <alignment vertical="top" wrapText="1"/>
    </xf>
    <xf numFmtId="0" fontId="87" fillId="34" borderId="0" xfId="0" applyFont="1" applyFill="1">
      <alignment vertical="center"/>
    </xf>
    <xf numFmtId="0" fontId="87" fillId="34" borderId="0" xfId="0" applyFont="1" applyFill="1" applyAlignment="1">
      <alignment horizontal="left" vertical="center"/>
    </xf>
    <xf numFmtId="0" fontId="89" fillId="34" borderId="0" xfId="0" applyFont="1" applyFill="1">
      <alignment vertical="center"/>
    </xf>
    <xf numFmtId="166" fontId="90" fillId="34" borderId="0" xfId="0" applyNumberFormat="1" applyFont="1" applyFill="1" applyAlignment="1">
      <alignment horizontal="center" vertical="center"/>
    </xf>
    <xf numFmtId="0" fontId="54" fillId="34" borderId="0" xfId="0" applyFont="1" applyFill="1" applyAlignment="1">
      <alignment horizontal="center" vertical="center"/>
    </xf>
    <xf numFmtId="0" fontId="58" fillId="0" borderId="0" xfId="0" applyFont="1" applyAlignment="1">
      <alignment horizontal="left" vertical="center"/>
    </xf>
    <xf numFmtId="0" fontId="58" fillId="0" borderId="0" xfId="0" applyFont="1">
      <alignment vertical="center"/>
    </xf>
    <xf numFmtId="0" fontId="91" fillId="0" borderId="0" xfId="0" applyFont="1">
      <alignment vertical="center"/>
    </xf>
    <xf numFmtId="0" fontId="92" fillId="0" borderId="0" xfId="0" applyFont="1">
      <alignment vertical="center"/>
    </xf>
    <xf numFmtId="0" fontId="91" fillId="22" borderId="0" xfId="0" applyFont="1" applyFill="1" applyAlignment="1">
      <alignment horizontal="center" vertical="center"/>
    </xf>
    <xf numFmtId="0" fontId="91" fillId="35" borderId="0" xfId="0" applyFont="1" applyFill="1" applyAlignment="1">
      <alignment horizontal="left" vertical="center"/>
    </xf>
    <xf numFmtId="0" fontId="91" fillId="35" borderId="0" xfId="0" applyFont="1" applyFill="1" applyAlignment="1">
      <alignment horizontal="center" vertical="center"/>
    </xf>
    <xf numFmtId="0" fontId="93" fillId="0" borderId="0" xfId="0" applyFont="1">
      <alignment vertical="center"/>
    </xf>
    <xf numFmtId="0" fontId="94" fillId="0" borderId="0" xfId="0" applyFont="1">
      <alignment vertical="center"/>
    </xf>
    <xf numFmtId="0" fontId="95" fillId="0" borderId="0" xfId="0" applyFont="1">
      <alignment vertical="center"/>
    </xf>
    <xf numFmtId="0" fontId="95" fillId="0" borderId="0" xfId="0" applyFont="1" applyAlignment="1">
      <alignment vertical="center" wrapText="1"/>
    </xf>
    <xf numFmtId="0" fontId="96" fillId="0" borderId="0" xfId="0" applyFont="1">
      <alignment vertical="center"/>
    </xf>
    <xf numFmtId="0" fontId="97" fillId="0" borderId="0" xfId="0" applyFont="1" applyAlignment="1">
      <alignment horizontal="center" vertical="center"/>
    </xf>
    <xf numFmtId="0" fontId="98" fillId="34" borderId="0" xfId="0" applyFont="1" applyFill="1">
      <alignment vertical="center"/>
    </xf>
    <xf numFmtId="0" fontId="2" fillId="34" borderId="0" xfId="0" applyFont="1" applyFill="1" applyAlignment="1">
      <alignment horizontal="center" vertical="top" wrapText="1"/>
    </xf>
    <xf numFmtId="0" fontId="28" fillId="34" borderId="0" xfId="2" applyFont="1" applyFill="1" applyBorder="1" applyAlignment="1" applyProtection="1">
      <alignment vertical="center"/>
      <protection locked="0"/>
    </xf>
    <xf numFmtId="0" fontId="100" fillId="0" borderId="0" xfId="0" applyFont="1">
      <alignment vertical="center"/>
    </xf>
    <xf numFmtId="0" fontId="101" fillId="0" borderId="0" xfId="0" applyFont="1">
      <alignment vertical="center"/>
    </xf>
    <xf numFmtId="0" fontId="27" fillId="34" borderId="0" xfId="0" applyFont="1" applyFill="1" applyAlignment="1">
      <alignment horizontal="left" vertical="center"/>
    </xf>
    <xf numFmtId="0" fontId="2" fillId="3" borderId="0" xfId="0" applyFont="1" applyFill="1" applyAlignment="1" applyProtection="1">
      <alignment horizontal="left" vertical="center"/>
      <protection hidden="1"/>
    </xf>
    <xf numFmtId="0" fontId="102" fillId="0" borderId="0" xfId="0" applyFont="1">
      <alignment vertical="center"/>
    </xf>
    <xf numFmtId="0" fontId="103" fillId="0" borderId="0" xfId="0" applyFont="1">
      <alignment vertical="center"/>
    </xf>
    <xf numFmtId="0" fontId="4" fillId="34" borderId="0" xfId="0" applyFont="1" applyFill="1" applyAlignment="1">
      <alignment vertical="top"/>
    </xf>
    <xf numFmtId="0" fontId="104" fillId="34" borderId="0" xfId="0" applyFont="1" applyFill="1" applyAlignment="1">
      <alignment vertical="top" wrapText="1"/>
    </xf>
    <xf numFmtId="0" fontId="105" fillId="0" borderId="0" xfId="0" applyFont="1">
      <alignment vertical="center"/>
    </xf>
    <xf numFmtId="0" fontId="106" fillId="0" borderId="0" xfId="0" applyFont="1">
      <alignment vertical="center"/>
    </xf>
    <xf numFmtId="0" fontId="4" fillId="3" borderId="0" xfId="0" applyFont="1" applyFill="1" applyAlignment="1">
      <alignment horizontal="center" vertical="center"/>
    </xf>
    <xf numFmtId="0" fontId="91" fillId="19" borderId="2" xfId="0" applyFont="1" applyFill="1" applyBorder="1">
      <alignment vertical="center"/>
    </xf>
    <xf numFmtId="0" fontId="103" fillId="0" borderId="0" xfId="0" applyFont="1" applyAlignment="1">
      <alignment horizontal="center" vertical="center"/>
    </xf>
    <xf numFmtId="0" fontId="94" fillId="0" borderId="0" xfId="0" applyFont="1" applyAlignment="1">
      <alignment horizontal="center" vertical="center"/>
    </xf>
    <xf numFmtId="0" fontId="105" fillId="0" borderId="0" xfId="0" applyFont="1" applyAlignment="1">
      <alignment horizontal="center" vertical="center"/>
    </xf>
    <xf numFmtId="0" fontId="106" fillId="0" borderId="0" xfId="0" applyFont="1" applyAlignment="1">
      <alignment horizontal="center" vertical="center"/>
    </xf>
    <xf numFmtId="0" fontId="91" fillId="0" borderId="2" xfId="0" applyFont="1" applyBorder="1">
      <alignment vertical="center"/>
    </xf>
    <xf numFmtId="0" fontId="108" fillId="0" borderId="0" xfId="0" applyFont="1">
      <alignment vertical="center"/>
    </xf>
    <xf numFmtId="0" fontId="109" fillId="0" borderId="0" xfId="0" applyFont="1">
      <alignment vertical="center"/>
    </xf>
    <xf numFmtId="0" fontId="97" fillId="0" borderId="0" xfId="0" applyFont="1">
      <alignment vertical="center"/>
    </xf>
    <xf numFmtId="0" fontId="108" fillId="0" borderId="0" xfId="0" applyFont="1" applyAlignment="1">
      <alignment vertical="center" wrapText="1"/>
    </xf>
    <xf numFmtId="0" fontId="111" fillId="0" borderId="0" xfId="0" applyFont="1">
      <alignment vertical="center"/>
    </xf>
    <xf numFmtId="0" fontId="112" fillId="0" borderId="0" xfId="0" applyFont="1">
      <alignment vertical="center"/>
    </xf>
    <xf numFmtId="0" fontId="113" fillId="0" borderId="0" xfId="0" applyFont="1">
      <alignment vertical="center"/>
    </xf>
    <xf numFmtId="0" fontId="110" fillId="0" borderId="0" xfId="0" applyFont="1" applyAlignment="1">
      <alignment horizontal="center" vertical="center"/>
    </xf>
    <xf numFmtId="0" fontId="91" fillId="0" borderId="7" xfId="0" applyFont="1" applyBorder="1">
      <alignment vertical="center"/>
    </xf>
    <xf numFmtId="0" fontId="114" fillId="0" borderId="0" xfId="0" applyFont="1">
      <alignment vertical="center"/>
    </xf>
    <xf numFmtId="0" fontId="115" fillId="0" borderId="0" xfId="0" applyFont="1">
      <alignment vertical="center"/>
    </xf>
    <xf numFmtId="0" fontId="97" fillId="0" borderId="2" xfId="0" applyFont="1" applyBorder="1">
      <alignment vertical="center"/>
    </xf>
    <xf numFmtId="0" fontId="110" fillId="0" borderId="2" xfId="0" applyFont="1" applyBorder="1">
      <alignment vertical="center"/>
    </xf>
    <xf numFmtId="0" fontId="92" fillId="0" borderId="4" xfId="0" applyFont="1" applyBorder="1">
      <alignment vertical="center"/>
    </xf>
    <xf numFmtId="0" fontId="110" fillId="3" borderId="0" xfId="0" applyFont="1" applyFill="1" applyAlignment="1">
      <alignment horizontal="center" vertical="center"/>
    </xf>
    <xf numFmtId="0" fontId="91" fillId="3" borderId="0" xfId="0" applyFont="1" applyFill="1" applyAlignment="1">
      <alignment horizontal="center" vertical="center"/>
    </xf>
    <xf numFmtId="0" fontId="103" fillId="3" borderId="0" xfId="0" applyFont="1" applyFill="1" applyAlignment="1">
      <alignment horizontal="center" vertical="center"/>
    </xf>
    <xf numFmtId="0" fontId="1" fillId="0" borderId="0" xfId="0" applyFont="1" applyAlignment="1"/>
    <xf numFmtId="0" fontId="1" fillId="0" borderId="0" xfId="0" applyFont="1" applyAlignment="1">
      <alignment horizontal="center" vertical="center"/>
    </xf>
    <xf numFmtId="0" fontId="91" fillId="30" borderId="0" xfId="0" applyFont="1" applyFill="1">
      <alignment vertical="center"/>
    </xf>
    <xf numFmtId="0" fontId="116" fillId="0" borderId="0" xfId="0" applyFont="1">
      <alignment vertical="center"/>
    </xf>
    <xf numFmtId="0" fontId="117" fillId="0" borderId="0" xfId="0" applyFont="1">
      <alignment vertical="center"/>
    </xf>
    <xf numFmtId="0" fontId="118" fillId="0" borderId="0" xfId="0" applyFont="1">
      <alignment vertical="center"/>
    </xf>
    <xf numFmtId="0" fontId="119" fillId="0" borderId="0" xfId="0" applyFont="1">
      <alignment vertical="center"/>
    </xf>
    <xf numFmtId="171" fontId="14" fillId="0" borderId="2" xfId="0" applyNumberFormat="1" applyFont="1" applyBorder="1">
      <alignment vertical="center"/>
    </xf>
    <xf numFmtId="0" fontId="94" fillId="0" borderId="2" xfId="0" applyFont="1" applyBorder="1">
      <alignment vertical="center"/>
    </xf>
    <xf numFmtId="0" fontId="94" fillId="14" borderId="2" xfId="0" applyFont="1" applyFill="1" applyBorder="1">
      <alignment vertical="center"/>
    </xf>
    <xf numFmtId="0" fontId="122" fillId="0" borderId="0" xfId="0" applyFont="1">
      <alignment vertical="center"/>
    </xf>
    <xf numFmtId="0" fontId="112" fillId="0" borderId="0" xfId="0" quotePrefix="1" applyFont="1">
      <alignment vertical="center"/>
    </xf>
    <xf numFmtId="0" fontId="103" fillId="14" borderId="2" xfId="0" applyFont="1" applyFill="1" applyBorder="1">
      <alignment vertical="center"/>
    </xf>
    <xf numFmtId="0" fontId="94" fillId="0" borderId="8" xfId="0" applyFont="1" applyBorder="1">
      <alignment vertical="center"/>
    </xf>
    <xf numFmtId="0" fontId="94" fillId="0" borderId="0" xfId="0" applyFont="1" applyAlignment="1">
      <alignment horizontal="left" vertical="center"/>
    </xf>
    <xf numFmtId="0" fontId="94" fillId="0" borderId="5" xfId="0" applyFont="1" applyBorder="1">
      <alignment vertical="center"/>
    </xf>
    <xf numFmtId="0" fontId="94" fillId="14" borderId="0" xfId="0" applyFont="1" applyFill="1">
      <alignment vertical="center"/>
    </xf>
    <xf numFmtId="0" fontId="94" fillId="14" borderId="0" xfId="0" applyFont="1" applyFill="1" applyAlignment="1">
      <alignment horizontal="left" vertical="center"/>
    </xf>
    <xf numFmtId="0" fontId="94" fillId="14" borderId="0" xfId="0" applyFont="1" applyFill="1" applyAlignment="1">
      <alignment horizontal="center" vertical="center"/>
    </xf>
    <xf numFmtId="0" fontId="123" fillId="14" borderId="0" xfId="0" applyFont="1" applyFill="1" applyAlignment="1">
      <alignment horizontal="left" vertical="center"/>
    </xf>
    <xf numFmtId="0" fontId="94" fillId="14" borderId="2" xfId="0" applyFont="1" applyFill="1" applyBorder="1" applyAlignment="1">
      <alignment horizontal="left" vertical="center"/>
    </xf>
    <xf numFmtId="9" fontId="94" fillId="0" borderId="2" xfId="0" applyNumberFormat="1" applyFont="1" applyBorder="1">
      <alignment vertical="center"/>
    </xf>
    <xf numFmtId="0" fontId="108" fillId="0" borderId="5" xfId="0" applyFont="1" applyBorder="1">
      <alignment vertical="center"/>
    </xf>
    <xf numFmtId="0" fontId="45" fillId="0" borderId="0" xfId="0" applyFont="1" applyAlignment="1">
      <alignment horizontal="center" vertical="center"/>
    </xf>
    <xf numFmtId="0" fontId="33" fillId="0" borderId="0" xfId="0" applyFont="1" applyAlignment="1">
      <alignment horizontal="left" vertical="center"/>
    </xf>
    <xf numFmtId="0" fontId="14" fillId="0" borderId="0" xfId="0" applyFont="1" applyAlignment="1">
      <alignment horizontal="left" vertical="center"/>
    </xf>
    <xf numFmtId="0" fontId="103" fillId="0" borderId="6" xfId="0" applyFont="1" applyBorder="1" applyAlignment="1">
      <alignment horizontal="left" vertical="center"/>
    </xf>
    <xf numFmtId="0" fontId="103" fillId="0" borderId="0" xfId="0" applyFont="1" applyAlignment="1">
      <alignment horizontal="left" vertical="center"/>
    </xf>
    <xf numFmtId="0" fontId="104" fillId="0" borderId="0" xfId="0" applyFont="1" applyAlignment="1">
      <alignment horizontal="left" vertical="center"/>
    </xf>
    <xf numFmtId="0" fontId="92" fillId="0" borderId="2" xfId="0" applyFont="1" applyBorder="1">
      <alignment vertical="center"/>
    </xf>
    <xf numFmtId="0" fontId="124" fillId="0" borderId="0" xfId="0" applyFont="1">
      <alignment vertical="center"/>
    </xf>
    <xf numFmtId="0" fontId="33" fillId="0" borderId="0" xfId="0" applyFont="1" applyAlignment="1">
      <alignment horizontal="center" vertical="center"/>
    </xf>
    <xf numFmtId="0" fontId="91" fillId="0" borderId="0" xfId="0" applyFont="1" applyAlignment="1">
      <alignment horizontal="center" vertical="center"/>
    </xf>
    <xf numFmtId="0" fontId="2" fillId="24" borderId="0" xfId="0" applyFont="1" applyFill="1" applyAlignment="1" applyProtection="1">
      <alignment horizontal="left"/>
      <protection hidden="1"/>
    </xf>
    <xf numFmtId="0" fontId="91" fillId="24" borderId="0" xfId="0" applyFont="1" applyFill="1" applyAlignment="1" applyProtection="1">
      <alignment horizontal="left" vertical="center"/>
      <protection hidden="1"/>
    </xf>
    <xf numFmtId="0" fontId="84" fillId="24" borderId="0" xfId="0" applyFont="1" applyFill="1" applyAlignment="1" applyProtection="1">
      <alignment horizontal="left" vertical="center"/>
      <protection hidden="1"/>
    </xf>
    <xf numFmtId="0" fontId="95" fillId="0" borderId="2" xfId="0" applyFont="1" applyBorder="1">
      <alignment vertical="center"/>
    </xf>
    <xf numFmtId="0" fontId="125" fillId="3" borderId="0" xfId="0" applyFont="1" applyFill="1" applyAlignment="1">
      <alignment horizontal="center" vertical="center"/>
    </xf>
    <xf numFmtId="0" fontId="24" fillId="34" borderId="0" xfId="2" applyFill="1">
      <alignment vertical="center"/>
    </xf>
    <xf numFmtId="0" fontId="82" fillId="3" borderId="1" xfId="0" applyFont="1" applyFill="1" applyBorder="1" applyProtection="1">
      <alignment vertical="center"/>
      <protection locked="0"/>
    </xf>
    <xf numFmtId="0" fontId="83" fillId="3" borderId="1" xfId="0" applyFont="1" applyFill="1" applyBorder="1" applyProtection="1">
      <alignment vertical="center"/>
      <protection locked="0"/>
    </xf>
    <xf numFmtId="0" fontId="84" fillId="34" borderId="0" xfId="0" applyFont="1" applyFill="1">
      <alignment vertical="center"/>
    </xf>
    <xf numFmtId="0" fontId="27" fillId="34" borderId="0" xfId="0" applyFont="1" applyFill="1">
      <alignment vertical="center"/>
    </xf>
    <xf numFmtId="0" fontId="1" fillId="0" borderId="0" xfId="0" applyFont="1" applyAlignment="1">
      <alignment horizontal="left" vertical="center"/>
    </xf>
    <xf numFmtId="0" fontId="0" fillId="0" borderId="0" xfId="0" applyAlignment="1"/>
    <xf numFmtId="0" fontId="126" fillId="0" borderId="0" xfId="0" applyFont="1">
      <alignment vertical="center"/>
    </xf>
    <xf numFmtId="0" fontId="127" fillId="0" borderId="0" xfId="0" applyFont="1">
      <alignment vertical="center"/>
    </xf>
    <xf numFmtId="0" fontId="128" fillId="0" borderId="0" xfId="0" applyFont="1">
      <alignment vertical="center"/>
    </xf>
    <xf numFmtId="0" fontId="129" fillId="0" borderId="0" xfId="0" applyFont="1">
      <alignment vertical="center"/>
    </xf>
    <xf numFmtId="0" fontId="130" fillId="0" borderId="0" xfId="0" applyFont="1">
      <alignment vertical="center"/>
    </xf>
    <xf numFmtId="0" fontId="131" fillId="0" borderId="0" xfId="0" applyFont="1">
      <alignment vertical="center"/>
    </xf>
    <xf numFmtId="0" fontId="132" fillId="0" borderId="0" xfId="0" applyFont="1">
      <alignment vertical="center"/>
    </xf>
    <xf numFmtId="0" fontId="133" fillId="0" borderId="0" xfId="0" applyFont="1">
      <alignment vertical="center"/>
    </xf>
    <xf numFmtId="0" fontId="134" fillId="0" borderId="0" xfId="0" applyFont="1">
      <alignment vertical="center"/>
    </xf>
    <xf numFmtId="17" fontId="102" fillId="0" borderId="0" xfId="0" applyNumberFormat="1" applyFont="1">
      <alignment vertical="center"/>
    </xf>
    <xf numFmtId="0" fontId="135" fillId="0" borderId="0" xfId="0" applyFont="1">
      <alignment vertical="center"/>
    </xf>
    <xf numFmtId="0" fontId="128" fillId="0" borderId="2" xfId="0" applyFont="1" applyBorder="1">
      <alignment vertical="center"/>
    </xf>
    <xf numFmtId="0" fontId="136" fillId="0" borderId="0" xfId="0" applyFont="1" applyAlignment="1">
      <alignment horizontal="center" vertical="center"/>
    </xf>
    <xf numFmtId="0" fontId="136" fillId="0" borderId="0" xfId="0" applyFont="1" applyAlignment="1">
      <alignment horizontal="left" vertical="center"/>
    </xf>
    <xf numFmtId="0" fontId="136" fillId="0" borderId="0" xfId="0" applyFont="1">
      <alignment vertical="center"/>
    </xf>
    <xf numFmtId="0" fontId="4" fillId="34" borderId="0" xfId="0" applyFont="1" applyFill="1" applyAlignment="1">
      <alignment vertical="top" wrapText="1"/>
    </xf>
    <xf numFmtId="0" fontId="137" fillId="0" borderId="2" xfId="0" applyFont="1" applyBorder="1">
      <alignment vertical="center"/>
    </xf>
    <xf numFmtId="0" fontId="140" fillId="0" borderId="2" xfId="0" applyFont="1" applyBorder="1">
      <alignment vertical="center"/>
    </xf>
    <xf numFmtId="0" fontId="141" fillId="0" borderId="2" xfId="0" applyFont="1" applyBorder="1">
      <alignment vertical="center"/>
    </xf>
    <xf numFmtId="0" fontId="137" fillId="3" borderId="0" xfId="0" applyFont="1" applyFill="1">
      <alignment vertical="center"/>
    </xf>
    <xf numFmtId="0" fontId="137" fillId="3" borderId="0" xfId="0" applyFont="1" applyFill="1" applyAlignment="1">
      <alignment horizontal="left" vertical="center"/>
    </xf>
    <xf numFmtId="0" fontId="137" fillId="3" borderId="0" xfId="0" applyFont="1" applyFill="1" applyAlignment="1">
      <alignment horizontal="center" vertical="center"/>
    </xf>
    <xf numFmtId="0" fontId="142" fillId="0" borderId="0" xfId="0" applyFont="1">
      <alignment vertical="center"/>
    </xf>
    <xf numFmtId="0" fontId="143" fillId="0" borderId="0" xfId="0" applyFont="1">
      <alignment vertical="center"/>
    </xf>
    <xf numFmtId="0" fontId="14" fillId="3" borderId="0" xfId="0" applyFont="1" applyFill="1" applyAlignment="1">
      <alignment horizontal="left" vertical="center"/>
    </xf>
    <xf numFmtId="0" fontId="146" fillId="0" borderId="0" xfId="0" applyFont="1">
      <alignment vertical="center"/>
    </xf>
    <xf numFmtId="0" fontId="147" fillId="0" borderId="0" xfId="0" applyFont="1" applyAlignment="1">
      <alignment horizontal="center"/>
    </xf>
    <xf numFmtId="0" fontId="137" fillId="0" borderId="2" xfId="0" applyFont="1" applyBorder="1" applyAlignment="1">
      <alignment horizontal="left" vertical="center"/>
    </xf>
    <xf numFmtId="0" fontId="139" fillId="3" borderId="0" xfId="0" applyFont="1" applyFill="1" applyAlignment="1">
      <alignment horizontal="center" vertical="center"/>
    </xf>
    <xf numFmtId="0" fontId="141" fillId="3" borderId="0" xfId="0" applyFont="1" applyFill="1" applyAlignment="1">
      <alignment horizontal="center" vertical="center"/>
    </xf>
    <xf numFmtId="0" fontId="138" fillId="3" borderId="0" xfId="0" applyFont="1" applyFill="1" applyAlignment="1">
      <alignment horizontal="center" vertical="center"/>
    </xf>
    <xf numFmtId="0" fontId="144" fillId="3" borderId="0" xfId="0" applyFont="1" applyFill="1" applyAlignment="1">
      <alignment horizontal="center" vertical="center"/>
    </xf>
    <xf numFmtId="0" fontId="139" fillId="0" borderId="0" xfId="0" applyFont="1" applyAlignment="1">
      <alignment horizontal="center" vertical="center"/>
    </xf>
    <xf numFmtId="0" fontId="129" fillId="0" borderId="2" xfId="0" applyFont="1" applyBorder="1">
      <alignment vertical="center"/>
    </xf>
    <xf numFmtId="0" fontId="148" fillId="0" borderId="0" xfId="0" applyFont="1">
      <alignment vertical="center"/>
    </xf>
    <xf numFmtId="0" fontId="149" fillId="0" borderId="0" xfId="0" applyFont="1" applyAlignment="1">
      <alignment horizontal="left" vertical="center"/>
    </xf>
    <xf numFmtId="0" fontId="150" fillId="0" borderId="2" xfId="0" applyFont="1" applyBorder="1">
      <alignment vertical="center"/>
    </xf>
    <xf numFmtId="165" fontId="2" fillId="3" borderId="0" xfId="1" applyNumberFormat="1" applyFont="1" applyFill="1" applyBorder="1" applyAlignment="1">
      <alignment horizontal="center" vertical="center"/>
    </xf>
    <xf numFmtId="0" fontId="136" fillId="0" borderId="2" xfId="0" applyFont="1" applyBorder="1">
      <alignment vertical="center"/>
    </xf>
    <xf numFmtId="0" fontId="141" fillId="0" borderId="7" xfId="0" applyFont="1" applyBorder="1" applyAlignment="1">
      <alignment horizontal="left" vertical="center"/>
    </xf>
    <xf numFmtId="0" fontId="150" fillId="0" borderId="0" xfId="0" applyFont="1" applyAlignment="1">
      <alignment horizontal="center" vertical="center"/>
    </xf>
    <xf numFmtId="0" fontId="150" fillId="24" borderId="0" xfId="0" applyFont="1" applyFill="1" applyAlignment="1">
      <alignment horizontal="center" vertical="center"/>
    </xf>
    <xf numFmtId="0" fontId="151" fillId="0" borderId="0" xfId="0" applyFont="1" applyAlignment="1">
      <alignment horizontal="center" vertical="center"/>
    </xf>
    <xf numFmtId="0" fontId="127" fillId="3" borderId="0" xfId="0" applyFont="1" applyFill="1">
      <alignment vertical="center"/>
    </xf>
    <xf numFmtId="0" fontId="128" fillId="3" borderId="0" xfId="0" applyFont="1" applyFill="1" applyAlignment="1">
      <alignment horizontal="center" vertical="center"/>
    </xf>
    <xf numFmtId="0" fontId="127" fillId="3" borderId="0" xfId="0" applyFont="1" applyFill="1" applyAlignment="1">
      <alignment horizontal="center" vertical="center"/>
    </xf>
    <xf numFmtId="0" fontId="140" fillId="0" borderId="0" xfId="0" applyFont="1" applyAlignment="1">
      <alignment horizontal="center" vertical="center"/>
    </xf>
    <xf numFmtId="0" fontId="139" fillId="0" borderId="0" xfId="0" applyFont="1">
      <alignment vertical="center"/>
    </xf>
    <xf numFmtId="0" fontId="141" fillId="0" borderId="0" xfId="0" applyFont="1">
      <alignment vertical="center"/>
    </xf>
    <xf numFmtId="0" fontId="140" fillId="0" borderId="0" xfId="0" applyFont="1">
      <alignment vertical="center"/>
    </xf>
    <xf numFmtId="0" fontId="151" fillId="30" borderId="0" xfId="0" applyFont="1" applyFill="1">
      <alignment vertical="center"/>
    </xf>
    <xf numFmtId="0" fontId="137" fillId="0" borderId="4" xfId="0" applyFont="1" applyBorder="1">
      <alignment vertical="center"/>
    </xf>
    <xf numFmtId="0" fontId="71" fillId="14" borderId="0" xfId="0" applyFont="1" applyFill="1" applyAlignment="1">
      <alignment horizontal="left" vertical="center"/>
    </xf>
    <xf numFmtId="0" fontId="143" fillId="0" borderId="2" xfId="0" applyFont="1" applyBorder="1">
      <alignment vertical="center"/>
    </xf>
    <xf numFmtId="0" fontId="136" fillId="0" borderId="4" xfId="0" applyFont="1" applyBorder="1">
      <alignment vertical="center"/>
    </xf>
    <xf numFmtId="0" fontId="151" fillId="34" borderId="0" xfId="0" applyFont="1" applyFill="1">
      <alignment vertical="center"/>
    </xf>
    <xf numFmtId="0" fontId="14" fillId="14" borderId="2" xfId="0" applyFont="1" applyFill="1" applyBorder="1" applyAlignment="1">
      <alignment horizontal="right" vertical="center"/>
    </xf>
    <xf numFmtId="0" fontId="152" fillId="0" borderId="0" xfId="0" applyFont="1">
      <alignment vertical="center"/>
    </xf>
    <xf numFmtId="0" fontId="102" fillId="0" borderId="0" xfId="0" quotePrefix="1" applyFont="1" applyAlignment="1">
      <alignment vertical="center" wrapText="1"/>
    </xf>
    <xf numFmtId="0" fontId="102" fillId="0" borderId="0" xfId="0" quotePrefix="1" applyFont="1">
      <alignment vertical="center"/>
    </xf>
    <xf numFmtId="0" fontId="94" fillId="3" borderId="0" xfId="0" applyFont="1" applyFill="1">
      <alignment vertical="center"/>
    </xf>
    <xf numFmtId="0" fontId="102" fillId="0" borderId="0" xfId="0" applyFont="1" applyAlignment="1">
      <alignment vertical="center" wrapText="1"/>
    </xf>
    <xf numFmtId="0" fontId="132" fillId="0" borderId="0" xfId="0" applyFont="1" applyAlignment="1">
      <alignment vertical="center" wrapText="1"/>
    </xf>
    <xf numFmtId="0" fontId="154" fillId="0" borderId="0" xfId="0" applyFont="1">
      <alignment vertical="center"/>
    </xf>
    <xf numFmtId="0" fontId="135" fillId="0" borderId="0" xfId="0" applyFont="1" applyAlignment="1">
      <alignment vertical="center" wrapText="1"/>
    </xf>
    <xf numFmtId="0" fontId="155" fillId="0" borderId="0" xfId="0" applyFont="1">
      <alignment vertical="center"/>
    </xf>
    <xf numFmtId="0" fontId="131" fillId="0" borderId="0" xfId="0" applyFont="1" applyAlignment="1">
      <alignment vertical="center" wrapText="1"/>
    </xf>
    <xf numFmtId="0" fontId="156" fillId="0" borderId="0" xfId="0" applyFont="1">
      <alignment vertical="center"/>
    </xf>
    <xf numFmtId="0" fontId="102" fillId="0" borderId="5" xfId="0" applyFont="1" applyBorder="1">
      <alignment vertical="center"/>
    </xf>
    <xf numFmtId="0" fontId="102" fillId="14" borderId="2" xfId="0" applyFont="1" applyFill="1" applyBorder="1">
      <alignment vertical="center"/>
    </xf>
    <xf numFmtId="0" fontId="157" fillId="14" borderId="0" xfId="0" applyFont="1" applyFill="1" applyAlignment="1">
      <alignment horizontal="left" vertical="center"/>
    </xf>
    <xf numFmtId="0" fontId="102" fillId="14" borderId="0" xfId="0" applyFont="1" applyFill="1" applyAlignment="1">
      <alignment horizontal="center" vertical="center"/>
    </xf>
    <xf numFmtId="0" fontId="102" fillId="14" borderId="0" xfId="0" applyFont="1" applyFill="1">
      <alignment vertical="center"/>
    </xf>
    <xf numFmtId="0" fontId="102" fillId="14" borderId="0" xfId="0" applyFont="1" applyFill="1" applyAlignment="1">
      <alignment horizontal="left" vertical="center"/>
    </xf>
    <xf numFmtId="0" fontId="143" fillId="0" borderId="5" xfId="0" applyFont="1" applyBorder="1">
      <alignment vertical="center"/>
    </xf>
    <xf numFmtId="0" fontId="135" fillId="0" borderId="5" xfId="0" applyFont="1" applyBorder="1">
      <alignment vertical="center"/>
    </xf>
    <xf numFmtId="0" fontId="158" fillId="0" borderId="0" xfId="0" applyFont="1">
      <alignment vertical="center"/>
    </xf>
    <xf numFmtId="0" fontId="159" fillId="0" borderId="0" xfId="0" applyFont="1">
      <alignment vertical="center"/>
    </xf>
    <xf numFmtId="0" fontId="160" fillId="0" borderId="0" xfId="0" applyFont="1">
      <alignment vertical="center"/>
    </xf>
    <xf numFmtId="0" fontId="161" fillId="0" borderId="0" xfId="0" applyFont="1">
      <alignment vertical="center"/>
    </xf>
    <xf numFmtId="0" fontId="151" fillId="0" borderId="0" xfId="0" applyFont="1">
      <alignment vertical="center"/>
    </xf>
    <xf numFmtId="0" fontId="162" fillId="0" borderId="0" xfId="2" applyFont="1">
      <alignment vertical="center"/>
    </xf>
    <xf numFmtId="0" fontId="136" fillId="0" borderId="2" xfId="0" applyFont="1" applyBorder="1" applyAlignment="1">
      <alignment horizontal="center" vertical="center"/>
    </xf>
    <xf numFmtId="0" fontId="140" fillId="0" borderId="2" xfId="0" applyFont="1" applyBorder="1" applyAlignment="1">
      <alignment horizontal="left" vertical="center"/>
    </xf>
    <xf numFmtId="0" fontId="136" fillId="0" borderId="2" xfId="0" applyFont="1" applyBorder="1" applyAlignment="1">
      <alignment horizontal="right" vertical="center"/>
    </xf>
    <xf numFmtId="0" fontId="20" fillId="0" borderId="0" xfId="0" applyFont="1" applyAlignment="1">
      <alignment horizontal="left" vertical="center"/>
    </xf>
    <xf numFmtId="0" fontId="0" fillId="36" borderId="0" xfId="0" applyFill="1">
      <alignment vertical="center"/>
    </xf>
    <xf numFmtId="0" fontId="71" fillId="0" borderId="0" xfId="0" applyFont="1" applyAlignment="1">
      <alignment horizontal="left"/>
    </xf>
    <xf numFmtId="0" fontId="164" fillId="3" borderId="0" xfId="2" applyFont="1" applyFill="1" applyAlignment="1" applyProtection="1">
      <alignment horizontal="left" vertical="center"/>
    </xf>
    <xf numFmtId="0" fontId="165" fillId="3" borderId="0" xfId="2" applyFont="1" applyFill="1" applyAlignment="1" applyProtection="1">
      <alignment horizontal="left" vertical="center"/>
    </xf>
    <xf numFmtId="0" fontId="24" fillId="34" borderId="0" xfId="2" applyFill="1" applyAlignment="1">
      <alignment horizontal="left" vertical="center"/>
    </xf>
    <xf numFmtId="0" fontId="12" fillId="34" borderId="0" xfId="0" applyFont="1" applyFill="1" applyProtection="1">
      <alignment vertical="center"/>
      <protection locked="0"/>
    </xf>
    <xf numFmtId="0" fontId="4" fillId="34" borderId="0" xfId="0" applyFont="1" applyFill="1" applyAlignment="1">
      <alignment horizontal="left" vertical="center"/>
    </xf>
    <xf numFmtId="0" fontId="2" fillId="0" borderId="0" xfId="0" applyFont="1" applyProtection="1">
      <alignment vertical="center"/>
      <protection hidden="1"/>
    </xf>
    <xf numFmtId="0" fontId="4" fillId="34" borderId="0" xfId="0" applyFont="1" applyFill="1" applyAlignment="1">
      <alignment horizontal="left" vertical="center"/>
    </xf>
    <xf numFmtId="0" fontId="27" fillId="34" borderId="0" xfId="0" applyFont="1" applyFill="1" applyAlignment="1">
      <alignment horizontal="left" vertical="center"/>
    </xf>
    <xf numFmtId="0" fontId="4" fillId="34" borderId="0" xfId="0" applyFont="1" applyFill="1" applyAlignment="1">
      <alignment horizontal="left" vertical="top" wrapText="1"/>
    </xf>
    <xf numFmtId="0" fontId="84" fillId="34" borderId="0" xfId="0" applyFont="1" applyFill="1">
      <alignment vertical="center"/>
    </xf>
    <xf numFmtId="0" fontId="167" fillId="34" borderId="0" xfId="0" applyFont="1" applyFill="1">
      <alignment vertical="center"/>
    </xf>
    <xf numFmtId="0" fontId="27" fillId="34" borderId="0" xfId="0" applyFont="1" applyFill="1">
      <alignment vertical="center"/>
    </xf>
    <xf numFmtId="0" fontId="166" fillId="34" borderId="0" xfId="0" applyFont="1" applyFill="1" applyAlignment="1">
      <alignment horizontal="left" vertical="center"/>
    </xf>
    <xf numFmtId="0" fontId="86" fillId="34" borderId="0" xfId="0" applyFont="1" applyFill="1" applyAlignment="1">
      <alignment horizontal="left" vertical="center"/>
    </xf>
    <xf numFmtId="0" fontId="107" fillId="34" borderId="0" xfId="0" applyFont="1" applyFill="1" applyAlignment="1">
      <alignment horizontal="left" vertical="center"/>
    </xf>
    <xf numFmtId="0" fontId="26" fillId="34" borderId="0" xfId="0" applyFont="1" applyFill="1" applyAlignment="1">
      <alignment horizontal="left" vertical="top"/>
    </xf>
    <xf numFmtId="0" fontId="4" fillId="34" borderId="0" xfId="0" applyFont="1" applyFill="1" applyAlignment="1">
      <alignment horizontal="right" vertical="center"/>
    </xf>
    <xf numFmtId="0" fontId="4" fillId="34" borderId="29" xfId="0" applyFont="1" applyFill="1" applyBorder="1" applyAlignment="1">
      <alignment horizontal="right" vertical="center"/>
    </xf>
    <xf numFmtId="0" fontId="7" fillId="34" borderId="0" xfId="0" applyFont="1" applyFill="1" applyAlignment="1">
      <alignment horizontal="left" vertical="center"/>
    </xf>
    <xf numFmtId="0" fontId="7" fillId="34" borderId="29" xfId="0" applyFont="1" applyFill="1" applyBorder="1" applyAlignment="1">
      <alignment horizontal="left" vertical="center"/>
    </xf>
    <xf numFmtId="0" fontId="4" fillId="34" borderId="0" xfId="0" applyFont="1" applyFill="1" applyAlignment="1">
      <alignment horizontal="center" vertical="center"/>
    </xf>
    <xf numFmtId="0" fontId="12" fillId="34" borderId="0" xfId="0" applyFont="1" applyFill="1" applyAlignment="1">
      <alignment horizontal="center" vertical="center"/>
    </xf>
    <xf numFmtId="0" fontId="6" fillId="34" borderId="0" xfId="0" applyFont="1" applyFill="1" applyAlignment="1">
      <alignment horizontal="left" vertical="center"/>
    </xf>
    <xf numFmtId="0" fontId="99" fillId="34" borderId="0" xfId="0" applyFont="1" applyFill="1" applyAlignment="1">
      <alignment horizontal="left" vertical="center"/>
    </xf>
    <xf numFmtId="0" fontId="88" fillId="34" borderId="0" xfId="0" applyFont="1" applyFill="1" applyAlignment="1">
      <alignment horizontal="left" vertical="center"/>
    </xf>
    <xf numFmtId="0" fontId="120" fillId="24" borderId="0" xfId="0" applyFont="1" applyFill="1" applyAlignment="1" applyProtection="1">
      <alignment horizontal="center" vertical="center"/>
      <protection hidden="1"/>
    </xf>
    <xf numFmtId="0" fontId="2" fillId="3" borderId="0" xfId="0" applyFont="1" applyFill="1" applyAlignment="1" applyProtection="1">
      <alignment horizontal="left" vertical="center"/>
      <protection hidden="1"/>
    </xf>
    <xf numFmtId="0" fontId="2" fillId="24" borderId="0" xfId="0" applyFont="1" applyFill="1" applyAlignment="1" applyProtection="1">
      <alignment horizontal="left" vertical="center"/>
      <protection hidden="1"/>
    </xf>
    <xf numFmtId="0" fontId="12" fillId="3" borderId="0" xfId="0" applyFont="1" applyFill="1" applyAlignment="1" applyProtection="1">
      <alignment horizontal="center" vertical="center"/>
      <protection locked="0"/>
    </xf>
    <xf numFmtId="0" fontId="12" fillId="3" borderId="0" xfId="0" applyFont="1" applyFill="1" applyAlignment="1">
      <alignment horizontal="center" vertical="center"/>
    </xf>
    <xf numFmtId="0" fontId="19" fillId="12" borderId="0" xfId="0" applyFont="1" applyFill="1" applyAlignment="1" applyProtection="1">
      <alignment horizontal="center" vertical="center"/>
      <protection locked="0"/>
    </xf>
    <xf numFmtId="0" fontId="20" fillId="3" borderId="0" xfId="0" applyFont="1" applyFill="1" applyAlignment="1">
      <alignment horizontal="center" vertical="center" wrapText="1" shrinkToFit="1"/>
    </xf>
    <xf numFmtId="0" fontId="19" fillId="15" borderId="0" xfId="0" applyFont="1" applyFill="1" applyAlignment="1" applyProtection="1">
      <alignment horizontal="center" vertical="center"/>
      <protection locked="0"/>
    </xf>
    <xf numFmtId="0" fontId="20" fillId="3" borderId="0" xfId="0" applyFont="1" applyFill="1" applyAlignment="1">
      <alignment horizontal="center" vertical="center" wrapText="1"/>
    </xf>
    <xf numFmtId="0" fontId="19" fillId="7" borderId="0" xfId="0" applyFont="1" applyFill="1" applyAlignment="1" applyProtection="1">
      <alignment horizontal="center" vertical="center"/>
      <protection locked="0"/>
    </xf>
    <xf numFmtId="0" fontId="12" fillId="3" borderId="0" xfId="0" applyFont="1" applyFill="1" applyAlignment="1">
      <alignment horizontal="center" vertical="center" wrapText="1"/>
    </xf>
    <xf numFmtId="0" fontId="19" fillId="9" borderId="0" xfId="0" applyFont="1" applyFill="1" applyAlignment="1" applyProtection="1">
      <alignment horizontal="center" vertical="center"/>
      <protection locked="0"/>
    </xf>
    <xf numFmtId="0" fontId="12" fillId="8" borderId="0" xfId="0" applyFont="1" applyFill="1" applyAlignment="1" applyProtection="1">
      <alignment horizontal="center" vertical="center"/>
      <protection locked="0"/>
    </xf>
    <xf numFmtId="0" fontId="19" fillId="6" borderId="0" xfId="0" applyFont="1" applyFill="1" applyAlignment="1" applyProtection="1">
      <alignment horizontal="center" vertical="center"/>
      <protection locked="0"/>
    </xf>
    <xf numFmtId="0" fontId="19" fillId="13" borderId="0" xfId="0" applyFont="1" applyFill="1" applyAlignment="1" applyProtection="1">
      <alignment horizontal="center" vertical="center"/>
      <protection locked="0"/>
    </xf>
    <xf numFmtId="0" fontId="19" fillId="10" borderId="0" xfId="0" applyFont="1" applyFill="1" applyAlignment="1">
      <alignment horizontal="center" vertical="center"/>
    </xf>
    <xf numFmtId="0" fontId="19" fillId="17" borderId="0" xfId="0" applyFont="1" applyFill="1" applyAlignment="1" applyProtection="1">
      <alignment horizontal="center" vertical="center"/>
      <protection locked="0"/>
    </xf>
    <xf numFmtId="0" fontId="19" fillId="18" borderId="0" xfId="0" applyFont="1" applyFill="1" applyAlignment="1" applyProtection="1">
      <alignment horizontal="center" vertical="center"/>
      <protection locked="0"/>
    </xf>
    <xf numFmtId="0" fontId="20" fillId="3" borderId="0" xfId="0" applyFont="1" applyFill="1" applyAlignment="1">
      <alignment horizontal="center" vertical="center"/>
    </xf>
    <xf numFmtId="0" fontId="19" fillId="28" borderId="0" xfId="0" applyFont="1" applyFill="1" applyAlignment="1">
      <alignment horizontal="center" vertical="center"/>
    </xf>
    <xf numFmtId="0" fontId="2" fillId="3" borderId="0" xfId="0" applyFont="1" applyFill="1" applyAlignment="1">
      <alignment horizontal="center" vertical="center"/>
    </xf>
    <xf numFmtId="0" fontId="170" fillId="32" borderId="0" xfId="0" applyFont="1" applyFill="1" applyAlignment="1">
      <alignment horizontal="left" vertical="center"/>
    </xf>
  </cellXfs>
  <cellStyles count="4">
    <cellStyle name="Bad" xfId="3" builtinId="27"/>
    <cellStyle name="Hyperlink" xfId="2" builtinId="8"/>
    <cellStyle name="Normal" xfId="0" builtinId="0"/>
    <cellStyle name="Percent" xfId="1" builtinId="5"/>
  </cellStyles>
  <dxfs count="296">
    <dxf>
      <font>
        <b/>
        <i val="0"/>
        <color rgb="FF9C0006"/>
      </font>
    </dxf>
    <dxf>
      <font>
        <b/>
        <i val="0"/>
        <color rgb="FF9C0006"/>
      </font>
    </dxf>
    <dxf>
      <font>
        <b/>
        <i val="0"/>
        <color rgb="FF9C0006"/>
      </font>
    </dxf>
    <dxf>
      <font>
        <b/>
        <i val="0"/>
        <color rgb="FFFF0000"/>
      </font>
    </dxf>
    <dxf>
      <font>
        <b/>
        <i val="0"/>
        <color rgb="FFC00000"/>
      </font>
    </dxf>
    <dxf>
      <fill>
        <patternFill>
          <bgColor rgb="FFDDEBF7"/>
        </patternFill>
      </fill>
    </dxf>
    <dxf>
      <fill>
        <patternFill>
          <bgColor rgb="FFFFFFC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FDD"/>
        </patternFill>
      </fill>
    </dxf>
    <dxf>
      <fill>
        <patternFill>
          <bgColor theme="9" tint="0.79998168889431442"/>
        </patternFill>
      </fill>
    </dxf>
    <dxf>
      <fill>
        <patternFill>
          <bgColor rgb="FFFFCFDD"/>
        </patternFill>
      </fill>
    </dxf>
    <dxf>
      <font>
        <b/>
        <i val="0"/>
        <color rgb="FFFF0000"/>
      </font>
    </dxf>
    <dxf>
      <fill>
        <patternFill>
          <bgColor theme="4" tint="0.79998168889431442"/>
        </patternFill>
      </fill>
    </dxf>
    <dxf>
      <fill>
        <patternFill>
          <bgColor theme="4" tint="0.79998168889431442"/>
        </patternFill>
      </fill>
    </dxf>
    <dxf>
      <fill>
        <patternFill>
          <bgColor rgb="FFFAE1FF"/>
        </patternFill>
      </fill>
    </dxf>
    <dxf>
      <fill>
        <patternFill>
          <bgColor theme="8" tint="0.79998168889431442"/>
        </patternFill>
      </fill>
    </dxf>
    <dxf>
      <fill>
        <patternFill>
          <bgColor theme="4" tint="0.79998168889431442"/>
        </patternFill>
      </fill>
    </dxf>
    <dxf>
      <fill>
        <patternFill>
          <bgColor rgb="FFD7DEFC"/>
        </patternFill>
      </fill>
    </dxf>
    <dxf>
      <fill>
        <patternFill>
          <bgColor rgb="FFFFCFDD"/>
        </patternFill>
      </fill>
    </dxf>
    <dxf>
      <fill>
        <patternFill>
          <bgColor theme="5" tint="0.79998168889431442"/>
        </patternFill>
      </fill>
    </dxf>
    <dxf>
      <fill>
        <patternFill>
          <bgColor theme="0" tint="-0.14996795556505021"/>
        </patternFill>
      </fill>
    </dxf>
    <dxf>
      <fill>
        <patternFill>
          <bgColor rgb="FFFFEBFF"/>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none">
          <bgColor auto="1"/>
        </patternFill>
      </fill>
    </dxf>
    <dxf>
      <font>
        <color rgb="FF9C0006"/>
      </font>
      <fill>
        <patternFill patternType="none">
          <bgColor auto="1"/>
        </patternFill>
      </fill>
    </dxf>
    <dxf>
      <fill>
        <patternFill>
          <bgColor theme="7"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EBFF"/>
        </patternFill>
      </fill>
    </dxf>
    <dxf>
      <fill>
        <patternFill>
          <bgColor rgb="FFDDEBF7"/>
        </patternFill>
      </fill>
    </dxf>
    <dxf>
      <fill>
        <patternFill>
          <bgColor theme="4" tint="0.79998168889431442"/>
        </patternFill>
      </fill>
    </dxf>
    <dxf>
      <fill>
        <patternFill>
          <bgColor theme="7" tint="0.79998168889431442"/>
        </patternFill>
      </fill>
    </dxf>
    <dxf>
      <fill>
        <patternFill>
          <bgColor theme="5" tint="0.79998168889431442"/>
        </patternFill>
      </fill>
    </dxf>
    <dxf>
      <fill>
        <patternFill patternType="solid">
          <fgColor auto="1"/>
          <bgColor rgb="FFECE9D8"/>
        </patternFill>
      </fill>
    </dxf>
    <dxf>
      <fill>
        <patternFill>
          <bgColor rgb="FFFAE1FF"/>
        </patternFill>
      </fill>
    </dxf>
    <dxf>
      <fill>
        <patternFill>
          <bgColor theme="9" tint="0.79998168889431442"/>
        </patternFill>
      </fill>
    </dxf>
    <dxf>
      <fill>
        <patternFill>
          <bgColor rgb="FFFFE5E5"/>
        </patternFill>
      </fill>
    </dxf>
    <dxf>
      <fill>
        <patternFill>
          <bgColor theme="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6D6D"/>
      </font>
      <fill>
        <patternFill>
          <bgColor rgb="FFFF6D6D"/>
        </patternFill>
      </fill>
    </dxf>
    <dxf>
      <font>
        <color rgb="FF86C46A"/>
      </font>
      <fill>
        <patternFill>
          <bgColor rgb="FF86C46A"/>
        </patternFill>
      </fill>
    </dxf>
    <dxf>
      <font>
        <color rgb="FFEED43A"/>
      </font>
      <fill>
        <patternFill>
          <bgColor rgb="FFEED43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theme="1"/>
      </font>
    </dxf>
    <dxf>
      <font>
        <b/>
        <i val="0"/>
        <color theme="1"/>
      </font>
    </dxf>
    <dxf>
      <fill>
        <patternFill>
          <bgColor theme="7" tint="0.79998168889431442"/>
        </patternFill>
      </fill>
    </dxf>
    <dxf>
      <fill>
        <patternFill patternType="solid">
          <fgColor auto="1"/>
          <bgColor rgb="FFECE9D8"/>
        </patternFill>
      </fill>
    </dxf>
    <dxf>
      <fill>
        <patternFill>
          <bgColor theme="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6D6D"/>
      </font>
      <fill>
        <patternFill>
          <bgColor rgb="FFFF6D6D"/>
        </patternFill>
      </fill>
    </dxf>
    <dxf>
      <font>
        <color rgb="FF86C46A"/>
      </font>
      <fill>
        <patternFill>
          <bgColor rgb="FF86C46A"/>
        </patternFill>
      </fill>
    </dxf>
    <dxf>
      <font>
        <color rgb="FFEED43A"/>
      </font>
      <fill>
        <patternFill>
          <bgColor rgb="FFEED43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theme="1"/>
      </font>
    </dxf>
    <dxf>
      <font>
        <b/>
        <i val="0"/>
        <color theme="1"/>
      </font>
    </dxf>
    <dxf>
      <fill>
        <patternFill>
          <bgColor rgb="FFE2EFDA"/>
        </patternFill>
      </fill>
    </dxf>
    <dxf>
      <fill>
        <patternFill>
          <bgColor theme="0"/>
        </patternFill>
      </fill>
    </dxf>
    <dxf>
      <fill>
        <patternFill>
          <bgColor theme="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FF6D6D"/>
      </font>
      <fill>
        <patternFill>
          <bgColor rgb="FFFF6D6D"/>
        </patternFill>
      </fill>
    </dxf>
    <dxf>
      <font>
        <color rgb="FF86C46A"/>
      </font>
      <fill>
        <patternFill>
          <bgColor rgb="FF86C46A"/>
        </patternFill>
      </fill>
    </dxf>
    <dxf>
      <font>
        <color rgb="FFEED43A"/>
      </font>
      <fill>
        <patternFill>
          <bgColor rgb="FFEED43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strike val="0"/>
        <color auto="1"/>
      </font>
      <numFmt numFmtId="0" formatCode="General"/>
    </dxf>
    <dxf>
      <fill>
        <patternFill>
          <bgColor rgb="FFE2EFDA"/>
        </patternFill>
      </fill>
    </dxf>
    <dxf>
      <fill>
        <patternFill patternType="solid">
          <fgColor auto="1"/>
          <bgColor rgb="FFECE9D8"/>
        </patternFill>
      </fill>
    </dxf>
    <dxf>
      <fill>
        <patternFill>
          <bgColor theme="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6D6D"/>
      </font>
      <fill>
        <patternFill>
          <bgColor rgb="FFFF6D6D"/>
        </patternFill>
      </fill>
    </dxf>
    <dxf>
      <font>
        <color rgb="FF86C46A"/>
      </font>
      <fill>
        <patternFill>
          <bgColor rgb="FF86C46A"/>
        </patternFill>
      </fill>
    </dxf>
    <dxf>
      <font>
        <color rgb="FFEED43A"/>
      </font>
      <fill>
        <patternFill>
          <bgColor rgb="FFEED43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theme="1"/>
      </font>
    </dxf>
    <dxf>
      <fill>
        <patternFill>
          <bgColor rgb="FFD9D9D9"/>
        </patternFill>
      </fill>
    </dxf>
    <dxf>
      <font>
        <b/>
        <i val="0"/>
        <color theme="1"/>
      </font>
    </dxf>
    <dxf>
      <fill>
        <patternFill>
          <bgColor theme="0" tint="-0.14996795556505021"/>
        </patternFill>
      </fill>
    </dxf>
    <dxf>
      <fill>
        <patternFill patternType="solid">
          <fgColor auto="1"/>
          <bgColor rgb="FFECE9D8"/>
        </patternFill>
      </fill>
    </dxf>
    <dxf>
      <fill>
        <patternFill>
          <bgColor theme="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FF6D6D"/>
      </font>
      <fill>
        <patternFill>
          <bgColor rgb="FFFF6D6D"/>
        </patternFill>
      </fill>
    </dxf>
    <dxf>
      <font>
        <color rgb="FF86C46A"/>
      </font>
      <fill>
        <patternFill>
          <bgColor rgb="FF86C46A"/>
        </patternFill>
      </fill>
    </dxf>
    <dxf>
      <font>
        <color rgb="FFEED43A"/>
      </font>
      <fill>
        <patternFill>
          <bgColor rgb="FFEED43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theme="1"/>
      </font>
    </dxf>
    <dxf>
      <font>
        <b/>
        <i val="0"/>
        <color theme="1"/>
      </font>
    </dxf>
    <dxf>
      <fill>
        <patternFill>
          <bgColor rgb="FFDDEBF7"/>
        </patternFill>
      </fill>
    </dxf>
    <dxf>
      <font>
        <b/>
        <i val="0"/>
        <strike val="0"/>
        <color auto="1"/>
      </font>
      <numFmt numFmtId="0" formatCode="General"/>
    </dxf>
    <dxf>
      <fill>
        <patternFill>
          <bgColor theme="8" tint="0.79998168889431442"/>
        </patternFill>
      </fill>
    </dxf>
    <dxf>
      <fill>
        <patternFill>
          <bgColor theme="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FF6D6D"/>
      </font>
      <fill>
        <patternFill>
          <bgColor rgb="FFFF6D6D"/>
        </patternFill>
      </fill>
    </dxf>
    <dxf>
      <font>
        <color rgb="FF86C46A"/>
      </font>
      <fill>
        <patternFill>
          <bgColor rgb="FF86C46A"/>
        </patternFill>
      </fill>
    </dxf>
    <dxf>
      <font>
        <color rgb="FFEED43A"/>
      </font>
      <fill>
        <patternFill>
          <bgColor rgb="FFEED43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theme="1"/>
      </font>
    </dxf>
    <dxf>
      <font>
        <b/>
        <i val="0"/>
        <color theme="1"/>
      </font>
    </dxf>
    <dxf>
      <fill>
        <patternFill>
          <bgColor rgb="FFFFFFCC"/>
        </patternFill>
      </fill>
    </dxf>
    <dxf>
      <fill>
        <patternFill>
          <bgColor theme="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FF6D6D"/>
      </font>
      <fill>
        <patternFill>
          <bgColor rgb="FFFF6D6D"/>
        </patternFill>
      </fill>
    </dxf>
    <dxf>
      <font>
        <color rgb="FF86C46A"/>
      </font>
      <fill>
        <patternFill>
          <bgColor rgb="FF86C46A"/>
        </patternFill>
      </fill>
    </dxf>
    <dxf>
      <font>
        <color rgb="FFEED43A"/>
      </font>
      <fill>
        <patternFill>
          <bgColor rgb="FFEED43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theme="1"/>
      </font>
    </dxf>
    <dxf>
      <font>
        <b/>
        <i val="0"/>
        <color theme="1"/>
      </font>
    </dxf>
    <dxf>
      <font>
        <b/>
        <i val="0"/>
        <strike val="0"/>
        <color auto="1"/>
      </font>
      <numFmt numFmtId="0" formatCode="General"/>
    </dxf>
    <dxf>
      <fill>
        <patternFill>
          <bgColor rgb="FFFFFFCC"/>
        </patternFill>
      </fill>
    </dxf>
    <dxf>
      <fill>
        <patternFill>
          <bgColor rgb="FFF7EDED"/>
        </patternFill>
      </fill>
    </dxf>
    <dxf>
      <fill>
        <patternFill>
          <bgColor theme="0"/>
        </patternFill>
      </fill>
    </dxf>
    <dxf>
      <fill>
        <patternFill>
          <bgColor rgb="FFF7EDED"/>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FF6D6D"/>
      </font>
      <fill>
        <patternFill>
          <bgColor rgb="FFFF6D6D"/>
        </patternFill>
      </fill>
    </dxf>
    <dxf>
      <font>
        <color rgb="FF86C46A"/>
      </font>
      <fill>
        <patternFill>
          <bgColor rgb="FF86C46A"/>
        </patternFill>
      </fill>
    </dxf>
    <dxf>
      <font>
        <color rgb="FFEED43A"/>
      </font>
      <fill>
        <patternFill>
          <bgColor rgb="FFEED43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theme="1" tint="4.9989318521683403E-2"/>
      </font>
    </dxf>
    <dxf>
      <font>
        <b/>
        <i val="0"/>
        <color theme="1"/>
      </font>
    </dxf>
    <dxf>
      <font>
        <b/>
        <i val="0"/>
        <color theme="1" tint="4.9989318521683403E-2"/>
      </font>
    </dxf>
    <dxf>
      <fill>
        <patternFill>
          <bgColor rgb="FFF7EDED"/>
        </patternFill>
      </fill>
    </dxf>
    <dxf>
      <fill>
        <patternFill>
          <bgColor theme="0"/>
        </patternFill>
      </fill>
    </dxf>
    <dxf>
      <fill>
        <patternFill>
          <bgColor theme="0"/>
        </patternFill>
      </fill>
    </dxf>
    <dxf>
      <fill>
        <patternFill>
          <bgColor theme="0"/>
        </patternFill>
      </fill>
    </dxf>
    <dxf>
      <fill>
        <patternFill>
          <bgColor theme="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FF6D6D"/>
      </font>
      <fill>
        <patternFill>
          <bgColor rgb="FFFF6D6D"/>
        </patternFill>
      </fill>
    </dxf>
    <dxf>
      <font>
        <color rgb="FF86C46A"/>
      </font>
      <fill>
        <patternFill>
          <bgColor rgb="FF86C46A"/>
        </patternFill>
      </fill>
    </dxf>
    <dxf>
      <font>
        <color rgb="FFEED43A"/>
      </font>
      <fill>
        <patternFill>
          <bgColor rgb="FFEED43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theme="1"/>
      </font>
    </dxf>
    <dxf>
      <font>
        <b/>
        <i val="0"/>
        <color theme="1"/>
      </font>
    </dxf>
    <dxf>
      <font>
        <b/>
        <i val="0"/>
        <color theme="1"/>
      </font>
    </dxf>
    <dxf>
      <fill>
        <patternFill patternType="solid">
          <fgColor auto="1"/>
          <bgColor rgb="FFECE9D8"/>
        </patternFill>
      </fill>
    </dxf>
    <dxf>
      <fill>
        <patternFill>
          <bgColor rgb="FFFFEBFF"/>
        </patternFill>
      </fill>
    </dxf>
    <dxf>
      <fill>
        <patternFill>
          <bgColor theme="0"/>
        </patternFill>
      </fill>
    </dxf>
    <dxf>
      <fill>
        <patternFill>
          <bgColor theme="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FF6D6D"/>
      </font>
      <fill>
        <patternFill>
          <bgColor rgb="FFFF6D6D"/>
        </patternFill>
      </fill>
    </dxf>
    <dxf>
      <font>
        <color rgb="FF86C46A"/>
      </font>
      <fill>
        <patternFill>
          <bgColor rgb="FF86C46A"/>
        </patternFill>
      </fill>
    </dxf>
    <dxf>
      <font>
        <color rgb="FFEED43A"/>
      </font>
      <fill>
        <patternFill>
          <bgColor rgb="FFEED43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theme="1"/>
      </font>
    </dxf>
    <dxf>
      <fill>
        <patternFill>
          <bgColor rgb="FFFFEBFF"/>
        </patternFill>
      </fill>
    </dxf>
    <dxf>
      <font>
        <b/>
        <i val="0"/>
        <color theme="1"/>
      </font>
    </dxf>
    <dxf>
      <fill>
        <patternFill>
          <bgColor rgb="FFFFEBFF"/>
        </patternFill>
      </fill>
    </dxf>
    <dxf>
      <font>
        <b/>
        <i val="0"/>
        <color theme="0"/>
      </font>
      <fill>
        <patternFill>
          <bgColor theme="9" tint="-0.24994659260841701"/>
        </patternFill>
      </fill>
    </dxf>
    <dxf>
      <font>
        <b/>
        <i val="0"/>
        <color theme="0"/>
      </font>
      <fill>
        <patternFill>
          <bgColor rgb="FFE2A714"/>
        </patternFill>
      </fill>
    </dxf>
    <dxf>
      <font>
        <b/>
        <i val="0"/>
        <color theme="0"/>
      </font>
      <fill>
        <patternFill>
          <bgColor rgb="FFC0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tint="0.79998168889431442"/>
      </font>
      <fill>
        <patternFill>
          <bgColor theme="5" tint="0.79998168889431442"/>
        </patternFill>
      </fill>
    </dxf>
    <dxf>
      <font>
        <color theme="5" tint="0.79998168889431442"/>
      </font>
      <fill>
        <patternFill patternType="solid">
          <bgColor theme="5" tint="0.79998168889431442"/>
        </patternFill>
      </fill>
    </dxf>
    <dxf>
      <font>
        <color theme="5" tint="0.79998168889431442"/>
      </font>
      <fill>
        <patternFill patternType="solid">
          <bgColor theme="5" tint="0.79998168889431442"/>
        </patternFill>
      </fill>
    </dxf>
    <dxf>
      <fill>
        <patternFill>
          <bgColor theme="0"/>
        </patternFill>
      </fill>
    </dxf>
    <dxf>
      <fill>
        <patternFill>
          <bgColor theme="6"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theme="0"/>
      </font>
      <fill>
        <patternFill>
          <bgColor rgb="FF548235"/>
        </patternFill>
      </fill>
    </dxf>
    <dxf>
      <font>
        <b/>
        <i val="0"/>
        <color theme="0"/>
      </font>
      <fill>
        <patternFill>
          <bgColor rgb="FFC00000"/>
        </patternFill>
      </fill>
    </dxf>
    <dxf>
      <font>
        <b/>
        <i val="0"/>
        <strike val="0"/>
        <color theme="0"/>
      </font>
      <fill>
        <patternFill>
          <bgColor rgb="FFE2A714"/>
        </patternFill>
      </fill>
    </dxf>
    <dxf>
      <fill>
        <patternFill>
          <bgColor rgb="FFEEE9E6"/>
        </patternFill>
      </fill>
    </dxf>
    <dxf>
      <fill>
        <patternFill>
          <bgColor rgb="FFEEE9E6"/>
        </patternFill>
      </fill>
    </dxf>
    <dxf>
      <font>
        <color rgb="FF006100"/>
      </font>
      <fill>
        <patternFill>
          <bgColor rgb="FF79DD79"/>
        </patternFill>
      </fill>
    </dxf>
    <dxf>
      <font>
        <color rgb="FF9C0006"/>
      </font>
      <fill>
        <patternFill>
          <bgColor rgb="FFFFC7CE"/>
        </patternFill>
      </fill>
    </dxf>
    <dxf>
      <numFmt numFmtId="172" formatCode="0.0%"/>
    </dxf>
    <dxf>
      <fill>
        <patternFill>
          <bgColor rgb="FFF3D7CA"/>
        </patternFill>
      </fill>
    </dxf>
    <dxf>
      <fill>
        <patternFill>
          <bgColor rgb="FFDBD1CB"/>
        </patternFill>
      </fill>
    </dxf>
    <dxf>
      <fill>
        <patternFill>
          <bgColor theme="0"/>
        </patternFill>
      </fill>
    </dxf>
    <dxf>
      <fill>
        <patternFill>
          <bgColor rgb="FFC9C9C9"/>
        </patternFill>
      </fill>
    </dxf>
    <dxf>
      <fill>
        <patternFill>
          <bgColor rgb="FFDBDBDB"/>
        </patternFill>
      </fill>
    </dxf>
    <dxf>
      <font>
        <color rgb="FFFFEFEF"/>
      </font>
      <fill>
        <patternFill>
          <bgColor rgb="FFFFEFEF"/>
        </patternFill>
      </fill>
    </dxf>
    <dxf>
      <font>
        <color rgb="FFECE9E2"/>
      </font>
    </dxf>
    <dxf>
      <font>
        <color rgb="FFDFDACF"/>
      </font>
    </dxf>
    <dxf>
      <font>
        <color rgb="FFECE9E2"/>
      </font>
    </dxf>
    <dxf>
      <font>
        <color rgb="FFDFDACF"/>
      </font>
    </dxf>
    <dxf>
      <font>
        <color rgb="FFECE9E2"/>
      </font>
    </dxf>
    <dxf>
      <font>
        <color rgb="FFECE9E2"/>
      </font>
    </dxf>
    <dxf>
      <font>
        <color rgb="FFDFDACF"/>
      </font>
    </dxf>
    <dxf>
      <font>
        <color rgb="FFECE9E2"/>
      </font>
    </dxf>
    <dxf>
      <font>
        <color rgb="FFDFDACF"/>
      </font>
    </dxf>
    <dxf>
      <font>
        <color rgb="FFECE9E2"/>
      </font>
    </dxf>
    <dxf>
      <font>
        <color rgb="FFDBD1CB"/>
      </font>
    </dxf>
    <dxf>
      <font>
        <color rgb="FFEEE9E6"/>
      </font>
      <fill>
        <patternFill patternType="none">
          <bgColor auto="1"/>
        </patternFill>
      </fill>
    </dxf>
    <dxf>
      <fill>
        <patternFill>
          <bgColor rgb="FFE9ADBB"/>
        </patternFill>
      </fill>
    </dxf>
  </dxfs>
  <tableStyles count="0" defaultTableStyle="TableStyleMedium2" defaultPivotStyle="PivotStyleLight16"/>
  <colors>
    <mruColors>
      <color rgb="FFC9C9C9"/>
      <color rgb="FFDBDBDB"/>
      <color rgb="FFF3D1D9"/>
      <color rgb="FFE08CA0"/>
      <color rgb="FFE6A4B4"/>
      <color rgb="FFA57DFF"/>
      <color rgb="FFA99FDD"/>
      <color rgb="FFCC99FF"/>
      <color rgb="FF013A79"/>
      <color rgb="FF0256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ctrlProps/ctrlProp1.xml><?xml version="1.0" encoding="utf-8"?>
<formControlPr xmlns="http://schemas.microsoft.com/office/spreadsheetml/2009/9/main" objectType="CheckBox" fmlaLink="計分版!K15" lockText="1" noThreeD="1"/>
</file>

<file path=xl/ctrlProps/ctrlProp2.xml><?xml version="1.0" encoding="utf-8"?>
<formControlPr xmlns="http://schemas.microsoft.com/office/spreadsheetml/2009/9/main" objectType="CheckBox" fmlaLink="計分版!L15" lockText="1" noThreeD="1"/>
</file>

<file path=xl/ctrlProps/ctrlProp3.xml><?xml version="1.0" encoding="utf-8"?>
<formControlPr xmlns="http://schemas.microsoft.com/office/spreadsheetml/2009/9/main" objectType="CheckBox" fmlaLink="計分版!M15" lockText="1" noThreeD="1"/>
</file>

<file path=xl/ctrlProps/ctrlProp4.xml><?xml version="1.0" encoding="utf-8"?>
<formControlPr xmlns="http://schemas.microsoft.com/office/spreadsheetml/2009/9/main" objectType="CheckBox" fmlaLink="計分版!N15" lockText="1" noThreeD="1"/>
</file>

<file path=xl/ctrlProps/ctrlProp5.xml><?xml version="1.0" encoding="utf-8"?>
<formControlPr xmlns="http://schemas.microsoft.com/office/spreadsheetml/2009/9/main" objectType="CheckBox" fmlaLink="計分版!O15" lockText="1" noThreeD="1"/>
</file>

<file path=xl/ctrlProps/ctrlProp6.xml><?xml version="1.0" encoding="utf-8"?>
<formControlPr xmlns="http://schemas.microsoft.com/office/spreadsheetml/2009/9/main" objectType="CheckBox" fmlaLink="計分版!P15" lockText="1" noThreeD="1"/>
</file>

<file path=xl/ctrlProps/ctrlProp7.xml><?xml version="1.0" encoding="utf-8"?>
<formControlPr xmlns="http://schemas.microsoft.com/office/spreadsheetml/2009/9/main" objectType="CheckBox" fmlaLink="計分版!Q15" lockText="1" noThreeD="1"/>
</file>

<file path=xl/ctrlProps/ctrlProp8.xml><?xml version="1.0" encoding="utf-8"?>
<formControlPr xmlns="http://schemas.microsoft.com/office/spreadsheetml/2009/9/main" objectType="CheckBox" fmlaLink="計分版!R15" lockText="1" noThreeD="1"/>
</file>

<file path=xl/ctrlProps/ctrlProp9.xml><?xml version="1.0" encoding="utf-8"?>
<formControlPr xmlns="http://schemas.microsoft.com/office/spreadsheetml/2009/9/main" objectType="CheckBox" fmlaLink="計分版!S15" lockText="1" noThreeD="1"/>
</file>

<file path=xl/ctrlProps/ctrlProp10.xml><?xml version="1.0" encoding="utf-8"?>
<formControlPr xmlns="http://schemas.microsoft.com/office/spreadsheetml/2009/9/main" objectType="CheckBox" fmlaLink="計分版!T15" lockText="1" noThreeD="1"/>
</file>

<file path=xl/drawings/_rels/drawing1.xml.rels><?xml version="1.0" encoding="UTF-8" standalone="yes"?>
<Relationships xmlns="http://schemas.openxmlformats.org/package/2006/relationships"><Relationship Id="rId3" Type="http://schemas.openxmlformats.org/officeDocument/2006/relationships/hyperlink" Target="https://docs.google.com/document/d/1zTorzuDBbA-3p2XASByx8YCHBmp531IIfrMGrKpojsM/edit?usp=sharing" TargetMode="External"/><Relationship Id="rId2" Type="http://schemas.openxmlformats.org/officeDocument/2006/relationships/hyperlink" Target="https://drive.google.com/drive/folders/1PmyDrmQ2CumbWrqY7NRqa0Ol-M9VnkFz?usp=sharing" TargetMode="External"/><Relationship Id="rId1" Type="http://schemas.openxmlformats.org/officeDocument/2006/relationships/hyperlink" Target="#&#20027;&#38913;!C8"/></Relationships>
</file>

<file path=xl/drawings/_rels/drawing2.xml.rels><?xml version="1.0" encoding="UTF-8" standalone="yes"?>
<Relationships xmlns="http://schemas.openxmlformats.org/package/2006/relationships"><Relationship Id="rId1" Type="http://schemas.openxmlformats.org/officeDocument/2006/relationships/hyperlink" Target="#'All in One'!B8"/></Relationships>
</file>

<file path=xl/drawings/_rels/drawing3.xml.rels><?xml version="1.0" encoding="UTF-8" standalone="yes"?>
<Relationships xmlns="http://schemas.openxmlformats.org/package/2006/relationships"><Relationship Id="rId1" Type="http://schemas.openxmlformats.org/officeDocument/2006/relationships/hyperlink" Target="#&#20027;&#38913;!F15"/></Relationships>
</file>

<file path=xl/drawings/_rels/drawing4.xml.rels><?xml version="1.0" encoding="UTF-8" standalone="yes"?>
<Relationships xmlns="http://schemas.openxmlformats.org/package/2006/relationships"><Relationship Id="rId2" Type="http://schemas.openxmlformats.org/officeDocument/2006/relationships/hyperlink" Target="#'All in One'!B8"/><Relationship Id="rId1" Type="http://schemas.openxmlformats.org/officeDocument/2006/relationships/hyperlink" Target="#&#20027;&#38913;!F15"/></Relationships>
</file>

<file path=xl/drawings/_rels/drawing5.xml.rels><?xml version="1.0" encoding="UTF-8" standalone="yes"?>
<Relationships xmlns="http://schemas.openxmlformats.org/package/2006/relationships"><Relationship Id="rId2" Type="http://schemas.openxmlformats.org/officeDocument/2006/relationships/hyperlink" Target="#'All in One'!B8"/><Relationship Id="rId1" Type="http://schemas.openxmlformats.org/officeDocument/2006/relationships/hyperlink" Target="#&#20027;&#38913;!F15"/></Relationships>
</file>

<file path=xl/drawings/_rels/drawing6.xml.rels><?xml version="1.0" encoding="UTF-8" standalone="yes"?>
<Relationships xmlns="http://schemas.openxmlformats.org/package/2006/relationships"><Relationship Id="rId2" Type="http://schemas.openxmlformats.org/officeDocument/2006/relationships/hyperlink" Target="#&#20027;&#38913;!F15"/><Relationship Id="rId1" Type="http://schemas.openxmlformats.org/officeDocument/2006/relationships/hyperlink" Target="#'All in One'!B8"/></Relationships>
</file>

<file path=xl/drawings/_rels/drawing7.xml.rels><?xml version="1.0" encoding="UTF-8" standalone="yes"?>
<Relationships xmlns="http://schemas.openxmlformats.org/package/2006/relationships"><Relationship Id="rId2" Type="http://schemas.openxmlformats.org/officeDocument/2006/relationships/hyperlink" Target="#&#20027;&#38913;!F15"/><Relationship Id="rId1" Type="http://schemas.openxmlformats.org/officeDocument/2006/relationships/hyperlink" Target="#'All in One'!B8"/></Relationships>
</file>

<file path=xl/drawings/_rels/drawing8.xml.rels><?xml version="1.0" encoding="UTF-8" standalone="yes"?>
<Relationships xmlns="http://schemas.openxmlformats.org/package/2006/relationships"><Relationship Id="rId2" Type="http://schemas.openxmlformats.org/officeDocument/2006/relationships/hyperlink" Target="#&#20027;&#38913;!F15"/><Relationship Id="rId1" Type="http://schemas.openxmlformats.org/officeDocument/2006/relationships/hyperlink" Target="#'All in One'!B8"/></Relationships>
</file>

<file path=xl/drawings/_rels/drawing9.xml.rels><?xml version="1.0" encoding="UTF-8" standalone="yes"?>
<Relationships xmlns="http://schemas.openxmlformats.org/package/2006/relationships"><Relationship Id="rId2" Type="http://schemas.openxmlformats.org/officeDocument/2006/relationships/hyperlink" Target="#&#20027;&#38913;!F15"/><Relationship Id="rId1" Type="http://schemas.openxmlformats.org/officeDocument/2006/relationships/hyperlink" Target="#'All in One'!B8"/></Relationships>
</file>

<file path=xl/drawings/_rels/drawing10.xml.rels><?xml version="1.0" encoding="UTF-8" standalone="yes"?>
<Relationships xmlns="http://schemas.openxmlformats.org/package/2006/relationships"><Relationship Id="rId2" Type="http://schemas.openxmlformats.org/officeDocument/2006/relationships/hyperlink" Target="#&#20027;&#38913;!F15"/><Relationship Id="rId1" Type="http://schemas.openxmlformats.org/officeDocument/2006/relationships/hyperlink" Target="#'All in One'!B8"/></Relationships>
</file>

<file path=xl/drawings/_rels/drawing11.xml.rels><?xml version="1.0" encoding="UTF-8" standalone="yes"?>
<Relationships xmlns="http://schemas.openxmlformats.org/package/2006/relationships"><Relationship Id="rId2" Type="http://schemas.openxmlformats.org/officeDocument/2006/relationships/hyperlink" Target="#&#20027;&#38913;!F15"/><Relationship Id="rId1" Type="http://schemas.openxmlformats.org/officeDocument/2006/relationships/hyperlink" Target="#'All in One'!B8"/></Relationships>
</file>

<file path=xl/drawings/_rels/drawing12.xml.rels><?xml version="1.0" encoding="UTF-8" standalone="yes"?>
<Relationships xmlns="http://schemas.openxmlformats.org/package/2006/relationships"><Relationship Id="rId2" Type="http://schemas.openxmlformats.org/officeDocument/2006/relationships/hyperlink" Target="#&#20027;&#38913;!F15"/><Relationship Id="rId1" Type="http://schemas.openxmlformats.org/officeDocument/2006/relationships/hyperlink" Target="#'All in One'!B8"/></Relationships>
</file>

<file path=xl/drawings/_rels/drawing13.xml.rels><?xml version="1.0" encoding="UTF-8" standalone="yes"?>
<Relationships xmlns="http://schemas.openxmlformats.org/package/2006/relationships"><Relationship Id="rId2" Type="http://schemas.openxmlformats.org/officeDocument/2006/relationships/hyperlink" Target="#&#20027;&#38913;!F15"/><Relationship Id="rId1" Type="http://schemas.openxmlformats.org/officeDocument/2006/relationships/hyperlink" Target="#'All in One'!B8"/></Relationships>
</file>

<file path=xl/drawings/drawing1.xml><?xml version="1.0" encoding="utf-8"?>
<xdr:wsDr xmlns:xdr="http://schemas.openxmlformats.org/drawingml/2006/spreadsheetDrawing" xmlns:a="http://schemas.openxmlformats.org/drawingml/2006/main">
  <xdr:twoCellAnchor>
    <xdr:from>
      <xdr:col>2</xdr:col>
      <xdr:colOff>280894</xdr:colOff>
      <xdr:row>24</xdr:row>
      <xdr:rowOff>91887</xdr:rowOff>
    </xdr:from>
    <xdr:to>
      <xdr:col>7</xdr:col>
      <xdr:colOff>522941</xdr:colOff>
      <xdr:row>32</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1608951" y="4794516"/>
          <a:ext cx="3562190" cy="1682484"/>
        </a:xfrm>
        <a:prstGeom prst="roundRect">
          <a:avLst/>
        </a:prstGeom>
        <a:solidFill>
          <a:srgbClr val="A57DFF"/>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TW" altLang="en-US" sz="4800" b="1" i="0">
              <a:solidFill>
                <a:schemeClr val="lt1"/>
              </a:solidFill>
              <a:effectLst/>
              <a:latin typeface="微軟正黑體" panose="020B0604030504040204" pitchFamily="34" charset="-120"/>
              <a:ea typeface="微軟正黑體" panose="020B0604030504040204" pitchFamily="34" charset="-120"/>
              <a:cs typeface="+mn-cs"/>
            </a:rPr>
            <a:t>開始使用</a:t>
          </a:r>
          <a:endParaRPr lang="zh-TW" altLang="en-US" sz="4800" b="1">
            <a:latin typeface="微軟正黑體" panose="020B0604030504040204" pitchFamily="34" charset="-120"/>
            <a:ea typeface="微軟正黑體" panose="020B0604030504040204" pitchFamily="34" charset="-120"/>
          </a:endParaRPr>
        </a:p>
      </xdr:txBody>
    </xdr:sp>
    <xdr:clientData/>
  </xdr:twoCellAnchor>
  <xdr:twoCellAnchor>
    <xdr:from>
      <xdr:col>9</xdr:col>
      <xdr:colOff>242794</xdr:colOff>
      <xdr:row>24</xdr:row>
      <xdr:rowOff>109817</xdr:rowOff>
    </xdr:from>
    <xdr:to>
      <xdr:col>14</xdr:col>
      <xdr:colOff>556560</xdr:colOff>
      <xdr:row>32</xdr:row>
      <xdr:rowOff>139700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6219051" y="4812446"/>
          <a:ext cx="3633909" cy="1651854"/>
        </a:xfrm>
        <a:prstGeom prst="roundRect">
          <a:avLst/>
        </a:prstGeom>
        <a:solidFill>
          <a:srgbClr val="A57DFF"/>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TW" altLang="en-US" sz="4800" b="1">
              <a:latin typeface="微軟正黑體" panose="020B0604030504040204" pitchFamily="34" charset="-120"/>
              <a:ea typeface="微軟正黑體" panose="020B0604030504040204" pitchFamily="34" charset="-120"/>
            </a:rPr>
            <a:t>檢查更新</a:t>
          </a:r>
        </a:p>
      </xdr:txBody>
    </xdr:sp>
    <xdr:clientData/>
  </xdr:twoCellAnchor>
  <xdr:twoCellAnchor>
    <xdr:from>
      <xdr:col>3</xdr:col>
      <xdr:colOff>322731</xdr:colOff>
      <xdr:row>0</xdr:row>
      <xdr:rowOff>71716</xdr:rowOff>
    </xdr:from>
    <xdr:to>
      <xdr:col>20</xdr:col>
      <xdr:colOff>358589</xdr:colOff>
      <xdr:row>7</xdr:row>
      <xdr:rowOff>143434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151531" y="71716"/>
          <a:ext cx="10399058" cy="151503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zh-TW" altLang="en-US" sz="6000" b="1">
              <a:latin typeface="微軟正黑體" panose="020B0604030504040204" pitchFamily="34" charset="-120"/>
              <a:ea typeface="微軟正黑體" panose="020B0604030504040204" pitchFamily="34" charset="-120"/>
            </a:rPr>
            <a:t>請下載至電腦後以</a:t>
          </a:r>
          <a:r>
            <a:rPr lang="en-US" altLang="zh-TW" sz="6000" b="1">
              <a:latin typeface="微軟正黑體" panose="020B0604030504040204" pitchFamily="34" charset="-120"/>
              <a:ea typeface="微軟正黑體" panose="020B0604030504040204" pitchFamily="34" charset="-120"/>
            </a:rPr>
            <a:t>Excel</a:t>
          </a:r>
          <a:r>
            <a:rPr lang="zh-TW" altLang="en-US" sz="6000" b="1" baseline="0">
              <a:latin typeface="微軟正黑體" panose="020B0604030504040204" pitchFamily="34" charset="-120"/>
              <a:ea typeface="微軟正黑體" panose="020B0604030504040204" pitchFamily="34" charset="-120"/>
            </a:rPr>
            <a:t>開啟</a:t>
          </a:r>
          <a:endParaRPr lang="zh-TW" altLang="en-US" sz="6000" b="1">
            <a:latin typeface="微軟正黑體" panose="020B0604030504040204" pitchFamily="34" charset="-120"/>
            <a:ea typeface="微軟正黑體" panose="020B0604030504040204" pitchFamily="34" charset="-120"/>
          </a:endParaRPr>
        </a:p>
      </xdr:txBody>
    </xdr:sp>
    <xdr:clientData/>
  </xdr:twoCellAnchor>
  <xdr:twoCellAnchor>
    <xdr:from>
      <xdr:col>3</xdr:col>
      <xdr:colOff>448237</xdr:colOff>
      <xdr:row>6</xdr:row>
      <xdr:rowOff>8964</xdr:rowOff>
    </xdr:from>
    <xdr:to>
      <xdr:col>20</xdr:col>
      <xdr:colOff>304799</xdr:colOff>
      <xdr:row>10</xdr:row>
      <xdr:rowOff>143435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277037" y="1246093"/>
          <a:ext cx="10219762" cy="95922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zh-TW" altLang="en-US" sz="3200" b="1">
              <a:latin typeface="微軟正黑體" panose="020B0604030504040204" pitchFamily="34" charset="-120"/>
              <a:ea typeface="微軟正黑體" panose="020B0604030504040204" pitchFamily="34" charset="-120"/>
            </a:rPr>
            <a:t>手機係會用唔到、</a:t>
          </a:r>
          <a:r>
            <a:rPr lang="en-US" altLang="zh-TW" sz="3200" b="1">
              <a:latin typeface="微軟正黑體" panose="020B0604030504040204" pitchFamily="34" charset="-120"/>
              <a:ea typeface="微軟正黑體" panose="020B0604030504040204" pitchFamily="34" charset="-120"/>
            </a:rPr>
            <a:t>Google</a:t>
          </a:r>
          <a:r>
            <a:rPr lang="en-US" altLang="zh-TW" sz="3200" b="1" baseline="0">
              <a:latin typeface="微軟正黑體" panose="020B0604030504040204" pitchFamily="34" charset="-120"/>
              <a:ea typeface="微軟正黑體" panose="020B0604030504040204" pitchFamily="34" charset="-120"/>
            </a:rPr>
            <a:t> Sheet</a:t>
          </a:r>
          <a:r>
            <a:rPr lang="zh-TW" altLang="en-US" sz="3200" b="1" baseline="0">
              <a:latin typeface="微軟正黑體" panose="020B0604030504040204" pitchFamily="34" charset="-120"/>
              <a:ea typeface="微軟正黑體" panose="020B0604030504040204" pitchFamily="34" charset="-120"/>
            </a:rPr>
            <a:t>係會用唔到</a:t>
          </a:r>
          <a:endParaRPr lang="zh-TW" altLang="en-US" sz="3200" b="1">
            <a:latin typeface="微軟正黑體" panose="020B0604030504040204" pitchFamily="34" charset="-120"/>
            <a:ea typeface="微軟正黑體" panose="020B0604030504040204" pitchFamily="34" charset="-120"/>
          </a:endParaRPr>
        </a:p>
      </xdr:txBody>
    </xdr:sp>
    <xdr:clientData/>
  </xdr:twoCellAnchor>
  <xdr:twoCellAnchor>
    <xdr:from>
      <xdr:col>5</xdr:col>
      <xdr:colOff>198722</xdr:colOff>
      <xdr:row>15</xdr:row>
      <xdr:rowOff>12700</xdr:rowOff>
    </xdr:from>
    <xdr:to>
      <xdr:col>19</xdr:col>
      <xdr:colOff>100107</xdr:colOff>
      <xdr:row>24</xdr:row>
      <xdr:rowOff>177800</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3518865" y="2951843"/>
          <a:ext cx="9197785" cy="192858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endParaRPr lang="en-US" altLang="zh-TW" sz="1600" b="1">
            <a:latin typeface="微軟正黑體" panose="020B0604030504040204" pitchFamily="34" charset="-120"/>
            <a:ea typeface="微軟正黑體" panose="020B0604030504040204" pitchFamily="34" charset="-120"/>
          </a:endParaRPr>
        </a:p>
        <a:p>
          <a:pPr algn="ctr"/>
          <a:r>
            <a:rPr lang="zh-TW" altLang="en-US" sz="1600" b="1">
              <a:latin typeface="微軟正黑體" panose="020B0604030504040204" pitchFamily="34" charset="-120"/>
              <a:ea typeface="微軟正黑體" panose="020B0604030504040204" pitchFamily="34" charset="-120"/>
            </a:rPr>
            <a:t>如有問題請</a:t>
          </a:r>
          <a:r>
            <a:rPr lang="en-US" altLang="zh-TW" sz="1600" b="1">
              <a:latin typeface="微軟正黑體" panose="020B0604030504040204" pitchFamily="34" charset="-120"/>
              <a:ea typeface="微軟正黑體" panose="020B0604030504040204" pitchFamily="34" charset="-120"/>
            </a:rPr>
            <a:t>Inbox</a:t>
          </a:r>
          <a:r>
            <a:rPr lang="en-US" altLang="zh-TW" sz="1600" b="1" baseline="0">
              <a:latin typeface="微軟正黑體" panose="020B0604030504040204" pitchFamily="34" charset="-120"/>
              <a:ea typeface="微軟正黑體" panose="020B0604030504040204" pitchFamily="34" charset="-120"/>
            </a:rPr>
            <a:t> @thejackjai</a:t>
          </a:r>
          <a:r>
            <a:rPr lang="zh-TW" altLang="en-US" sz="1600" b="1" baseline="0">
              <a:latin typeface="微軟正黑體" panose="020B0604030504040204" pitchFamily="34" charset="-120"/>
              <a:ea typeface="微軟正黑體" panose="020B0604030504040204" pitchFamily="34" charset="-120"/>
            </a:rPr>
            <a:t>，或用</a:t>
          </a:r>
          <a:r>
            <a:rPr lang="en-US" altLang="zh-TW" sz="1600" b="1" baseline="0">
              <a:latin typeface="微軟正黑體" panose="020B0604030504040204" pitchFamily="34" charset="-120"/>
              <a:ea typeface="微軟正黑體" panose="020B0604030504040204" pitchFamily="34" charset="-120"/>
            </a:rPr>
            <a:t>Google Drive</a:t>
          </a:r>
          <a:r>
            <a:rPr lang="zh-TW" altLang="en-US" sz="1600" b="1" baseline="0">
              <a:latin typeface="微軟正黑體" panose="020B0604030504040204" pitchFamily="34" charset="-120"/>
              <a:ea typeface="微軟正黑體" panose="020B0604030504040204" pitchFamily="34" charset="-120"/>
            </a:rPr>
            <a:t>中的</a:t>
          </a:r>
          <a:r>
            <a:rPr lang="en-US" altLang="zh-TW" sz="1600" b="1" baseline="0">
              <a:latin typeface="微軟正黑體" panose="020B0604030504040204" pitchFamily="34" charset="-120"/>
              <a:ea typeface="微軟正黑體" panose="020B0604030504040204" pitchFamily="34" charset="-120"/>
            </a:rPr>
            <a:t>Google Form</a:t>
          </a:r>
          <a:r>
            <a:rPr lang="zh-TW" altLang="en-US" sz="1600" b="1" baseline="0">
              <a:latin typeface="微軟正黑體" panose="020B0604030504040204" pitchFamily="34" charset="-120"/>
              <a:ea typeface="微軟正黑體" panose="020B0604030504040204" pitchFamily="34" charset="-120"/>
            </a:rPr>
            <a:t>回報</a:t>
          </a:r>
          <a:endParaRPr lang="en-US" altLang="zh-TW" sz="1600" b="1" baseline="0">
            <a:latin typeface="微軟正黑體" panose="020B0604030504040204" pitchFamily="34" charset="-120"/>
            <a:ea typeface="微軟正黑體" panose="020B0604030504040204" pitchFamily="34" charset="-120"/>
          </a:endParaRPr>
        </a:p>
        <a:p>
          <a:pPr algn="ctr"/>
          <a:r>
            <a:rPr lang="zh-TW" altLang="en-US" sz="1600" b="1" baseline="0">
              <a:latin typeface="微軟正黑體" panose="020B0604030504040204" pitchFamily="34" charset="-120"/>
              <a:ea typeface="微軟正黑體" panose="020B0604030504040204" pitchFamily="34" charset="-120"/>
            </a:rPr>
            <a:t>按下「開始使用」前請先 「檢查更新」 及 細閱 「使用須知」</a:t>
          </a:r>
          <a:endParaRPr lang="zh-TW" altLang="en-US" sz="1600" b="1">
            <a:latin typeface="微軟正黑體" panose="020B0604030504040204" pitchFamily="34" charset="-120"/>
            <a:ea typeface="微軟正黑體" panose="020B0604030504040204" pitchFamily="34" charset="-120"/>
          </a:endParaRPr>
        </a:p>
      </xdr:txBody>
    </xdr:sp>
    <xdr:clientData/>
  </xdr:twoCellAnchor>
  <xdr:twoCellAnchor>
    <xdr:from>
      <xdr:col>16</xdr:col>
      <xdr:colOff>192741</xdr:colOff>
      <xdr:row>24</xdr:row>
      <xdr:rowOff>109817</xdr:rowOff>
    </xdr:from>
    <xdr:to>
      <xdr:col>21</xdr:col>
      <xdr:colOff>570007</xdr:colOff>
      <xdr:row>32</xdr:row>
      <xdr:rowOff>177800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10817198" y="4812446"/>
          <a:ext cx="3697409" cy="1689954"/>
        </a:xfrm>
        <a:prstGeom prst="roundRect">
          <a:avLst/>
        </a:prstGeom>
        <a:solidFill>
          <a:srgbClr val="A57DFF"/>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TW" altLang="en-US" sz="4800" b="1">
              <a:latin typeface="微軟正黑體" panose="020B0604030504040204" pitchFamily="34" charset="-120"/>
              <a:ea typeface="微軟正黑體" panose="020B0604030504040204" pitchFamily="34" charset="-120"/>
            </a:rPr>
            <a:t>使用須知</a:t>
          </a:r>
        </a:p>
      </xdr:txBody>
    </xdr:sp>
    <xdr:clientData/>
  </xdr:twoCellAnchor>
  <xdr:twoCellAnchor>
    <xdr:from>
      <xdr:col>4</xdr:col>
      <xdr:colOff>549945</xdr:colOff>
      <xdr:row>11</xdr:row>
      <xdr:rowOff>13552</xdr:rowOff>
    </xdr:from>
    <xdr:to>
      <xdr:col>19</xdr:col>
      <xdr:colOff>45358</xdr:colOff>
      <xdr:row>15</xdr:row>
      <xdr:rowOff>142048</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3198802" y="2208838"/>
          <a:ext cx="9428627" cy="92678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zh-TW" altLang="en-US" sz="3200" b="1">
              <a:latin typeface="微軟正黑體" panose="020B0604030504040204" pitchFamily="34" charset="-120"/>
              <a:ea typeface="微軟正黑體" panose="020B0604030504040204" pitchFamily="34" charset="-120"/>
            </a:rPr>
            <a:t>另外有「</a:t>
          </a:r>
          <a:r>
            <a:rPr lang="en-US" altLang="zh-TW" sz="3200" b="1" baseline="0">
              <a:latin typeface="微軟正黑體" panose="020B0604030504040204" pitchFamily="34" charset="-120"/>
              <a:ea typeface="微軟正黑體" panose="020B0604030504040204" pitchFamily="34" charset="-120"/>
            </a:rPr>
            <a:t> </a:t>
          </a:r>
          <a:r>
            <a:rPr lang="zh-TW" altLang="en-US" sz="3200" b="1" baseline="0">
              <a:latin typeface="微軟正黑體" panose="020B0604030504040204" pitchFamily="34" charset="-120"/>
              <a:ea typeface="微軟正黑體" panose="020B0604030504040204" pitchFamily="34" charset="-120"/>
            </a:rPr>
            <a:t>網頁版」可以使用</a:t>
          </a:r>
          <a:r>
            <a:rPr lang="en-HK" altLang="zh-TW" sz="3200" b="1" baseline="0">
              <a:latin typeface="微軟正黑體" panose="020B0604030504040204" pitchFamily="34" charset="-120"/>
              <a:ea typeface="微軟正黑體" panose="020B0604030504040204" pitchFamily="34" charset="-120"/>
            </a:rPr>
            <a:t>: </a:t>
          </a:r>
          <a:r>
            <a:rPr lang="en-HK" sz="3200">
              <a:hlinkClick xmlns:r="http://schemas.openxmlformats.org/officeDocument/2006/relationships" r:id=""/>
            </a:rPr>
            <a:t>jupascal.github.io</a:t>
          </a:r>
          <a:endParaRPr lang="zh-TW" altLang="en-US" sz="3200" b="1">
            <a:latin typeface="微軟正黑體" panose="020B0604030504040204" pitchFamily="34" charset="-120"/>
            <a:ea typeface="微軟正黑體" panose="020B0604030504040204" pitchFamily="34" charset="-12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342900</xdr:colOff>
      <xdr:row>4</xdr:row>
      <xdr:rowOff>0</xdr:rowOff>
    </xdr:from>
    <xdr:to>
      <xdr:col>20</xdr:col>
      <xdr:colOff>403860</xdr:colOff>
      <xdr:row>7</xdr:row>
      <xdr:rowOff>119269</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00000000-0008-0000-0100-00000F000000}"/>
            </a:ext>
          </a:extLst>
        </xdr:cNvPr>
        <xdr:cNvSpPr/>
      </xdr:nvSpPr>
      <xdr:spPr>
        <a:xfrm>
          <a:off x="10136257" y="841513"/>
          <a:ext cx="1293412" cy="715617"/>
        </a:xfrm>
        <a:prstGeom prst="roundRect">
          <a:avLst/>
        </a:prstGeom>
        <a:solidFill>
          <a:srgbClr val="D66882"/>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600" b="1" i="0">
              <a:solidFill>
                <a:schemeClr val="lt1"/>
              </a:solidFill>
              <a:effectLst/>
              <a:latin typeface="微軟正黑體" panose="020B0604030504040204" pitchFamily="34" charset="-120"/>
              <a:ea typeface="微軟正黑體" panose="020B0604030504040204" pitchFamily="34" charset="-120"/>
              <a:cs typeface="+mn-cs"/>
            </a:rPr>
            <a:t>All</a:t>
          </a:r>
          <a:r>
            <a:rPr lang="en-US" altLang="zh-HK" sz="1600" b="1" i="0" baseline="0">
              <a:solidFill>
                <a:schemeClr val="lt1"/>
              </a:solidFill>
              <a:effectLst/>
              <a:latin typeface="微軟正黑體" panose="020B0604030504040204" pitchFamily="34" charset="-120"/>
              <a:ea typeface="微軟正黑體" panose="020B0604030504040204" pitchFamily="34" charset="-120"/>
              <a:cs typeface="+mn-cs"/>
            </a:rPr>
            <a:t> in One</a:t>
          </a:r>
          <a:endParaRPr lang="zh-TW" altLang="en-US" sz="1600" b="1">
            <a:latin typeface="微軟正黑體" panose="020B0604030504040204" pitchFamily="34" charset="-120"/>
            <a:ea typeface="微軟正黑體" panose="020B0604030504040204" pitchFamily="34" charset="-120"/>
          </a:endParaRPr>
        </a:p>
      </xdr:txBody>
    </xdr:sp>
    <xdr:clientData/>
  </xdr:twoCellAnchor>
  <xdr:twoCellAnchor editAs="absolute">
    <xdr:from>
      <xdr:col>0</xdr:col>
      <xdr:colOff>266700</xdr:colOff>
      <xdr:row>14</xdr:row>
      <xdr:rowOff>34290</xdr:rowOff>
    </xdr:from>
    <xdr:to>
      <xdr:col>0</xdr:col>
      <xdr:colOff>533400</xdr:colOff>
      <xdr:row>14</xdr:row>
      <xdr:rowOff>186690</xdr:rowOff>
    </xdr:to>
    <xdr:sp macro="" textlink="">
      <xdr:nvSpPr>
        <xdr:cNvPr id="17" name="Arrow: Right 16">
          <a:extLst>
            <a:ext uri="{FF2B5EF4-FFF2-40B4-BE49-F238E27FC236}">
              <a16:creationId xmlns:a16="http://schemas.microsoft.com/office/drawing/2014/main" id="{00000000-0008-0000-0100-000011000000}"/>
            </a:ext>
          </a:extLst>
        </xdr:cNvPr>
        <xdr:cNvSpPr/>
      </xdr:nvSpPr>
      <xdr:spPr>
        <a:xfrm>
          <a:off x="266700" y="2842260"/>
          <a:ext cx="266700" cy="152400"/>
        </a:xfrm>
        <a:prstGeom prst="rightArrow">
          <a:avLst/>
        </a:prstGeom>
        <a:solidFill>
          <a:schemeClr val="accent2"/>
        </a:solidFill>
        <a:ln>
          <a:solidFill>
            <a:srgbClr val="A0431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fPrintsWithSheet="0"/>
  </xdr:twoCellAnchor>
  <xdr:twoCellAnchor editAs="absolute">
    <xdr:from>
      <xdr:col>4</xdr:col>
      <xdr:colOff>34290</xdr:colOff>
      <xdr:row>12</xdr:row>
      <xdr:rowOff>72390</xdr:rowOff>
    </xdr:from>
    <xdr:to>
      <xdr:col>4</xdr:col>
      <xdr:colOff>186690</xdr:colOff>
      <xdr:row>13</xdr:row>
      <xdr:rowOff>148590</xdr:rowOff>
    </xdr:to>
    <xdr:sp macro="" textlink="">
      <xdr:nvSpPr>
        <xdr:cNvPr id="18" name="Arrow: Right 17">
          <a:extLst>
            <a:ext uri="{FF2B5EF4-FFF2-40B4-BE49-F238E27FC236}">
              <a16:creationId xmlns:a16="http://schemas.microsoft.com/office/drawing/2014/main" id="{00000000-0008-0000-0100-000012000000}"/>
            </a:ext>
          </a:extLst>
        </xdr:cNvPr>
        <xdr:cNvSpPr/>
      </xdr:nvSpPr>
      <xdr:spPr>
        <a:xfrm rot="2984391">
          <a:off x="3192780" y="2552700"/>
          <a:ext cx="266700" cy="152400"/>
        </a:xfrm>
        <a:prstGeom prst="rightArrow">
          <a:avLst/>
        </a:prstGeom>
        <a:solidFill>
          <a:schemeClr val="accent2"/>
        </a:solidFill>
        <a:ln>
          <a:solidFill>
            <a:srgbClr val="A0431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fPrintsWithSheet="0"/>
  </xdr:twoCellAnchor>
  <xdr:twoCellAnchor editAs="absolute">
    <xdr:from>
      <xdr:col>4</xdr:col>
      <xdr:colOff>1</xdr:colOff>
      <xdr:row>25</xdr:row>
      <xdr:rowOff>166742</xdr:rowOff>
    </xdr:from>
    <xdr:to>
      <xdr:col>4</xdr:col>
      <xdr:colOff>160021</xdr:colOff>
      <xdr:row>27</xdr:row>
      <xdr:rowOff>56027</xdr:rowOff>
    </xdr:to>
    <xdr:sp macro="" textlink="">
      <xdr:nvSpPr>
        <xdr:cNvPr id="19" name="Arrow: Right 18">
          <a:extLst>
            <a:ext uri="{FF2B5EF4-FFF2-40B4-BE49-F238E27FC236}">
              <a16:creationId xmlns:a16="http://schemas.microsoft.com/office/drawing/2014/main" id="{00000000-0008-0000-0100-000013000000}"/>
            </a:ext>
          </a:extLst>
        </xdr:cNvPr>
        <xdr:cNvSpPr/>
      </xdr:nvSpPr>
      <xdr:spPr>
        <a:xfrm rot="6550547">
          <a:off x="3493771" y="5253988"/>
          <a:ext cx="320040" cy="160020"/>
        </a:xfrm>
        <a:prstGeom prst="rightArrow">
          <a:avLst/>
        </a:prstGeom>
        <a:solidFill>
          <a:schemeClr val="accent2"/>
        </a:solidFill>
        <a:ln>
          <a:solidFill>
            <a:srgbClr val="A0431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fPrintsWithSheet="0"/>
  </xdr:twoCellAnchor>
  <xdr:twoCellAnchor>
    <xdr:from>
      <xdr:col>1</xdr:col>
      <xdr:colOff>1109618</xdr:colOff>
      <xdr:row>7</xdr:row>
      <xdr:rowOff>119878</xdr:rowOff>
    </xdr:from>
    <xdr:to>
      <xdr:col>2</xdr:col>
      <xdr:colOff>108797</xdr:colOff>
      <xdr:row>8</xdr:row>
      <xdr:rowOff>107718</xdr:rowOff>
    </xdr:to>
    <xdr:sp macro="" textlink="">
      <xdr:nvSpPr>
        <xdr:cNvPr id="4" name="Right Arrow 3">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13000000}"/>
            </a:ext>
          </a:extLst>
        </xdr:cNvPr>
        <xdr:cNvSpPr/>
      </xdr:nvSpPr>
      <xdr:spPr>
        <a:xfrm rot="19852867">
          <a:off x="1795418" y="1552438"/>
          <a:ext cx="294579" cy="185960"/>
        </a:xfrm>
        <a:prstGeom prst="rightArrow">
          <a:avLst/>
        </a:prstGeom>
        <a:solidFill>
          <a:schemeClr val="accent2"/>
        </a:solidFill>
        <a:ln>
          <a:solidFill>
            <a:srgbClr val="A0431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zh-TW"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1</xdr:row>
      <xdr:rowOff>15240</xdr:rowOff>
    </xdr:from>
    <xdr:to>
      <xdr:col>0</xdr:col>
      <xdr:colOff>571500</xdr:colOff>
      <xdr:row>1</xdr:row>
      <xdr:rowOff>236220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68580" y="190500"/>
          <a:ext cx="502920" cy="220980"/>
        </a:xfrm>
        <a:prstGeom prst="roundRect">
          <a:avLst/>
        </a:prstGeom>
        <a:solidFill>
          <a:schemeClr val="accent2">
            <a:lumMod val="60000"/>
            <a:lumOff val="40000"/>
          </a:schemeClr>
        </a:solidFill>
        <a:ln>
          <a:solidFill>
            <a:schemeClr val="accent1">
              <a:lumMod val="60000"/>
              <a:lumOff val="4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1" i="0">
              <a:solidFill>
                <a:schemeClr val="tx1"/>
              </a:solidFill>
              <a:effectLst/>
              <a:latin typeface="微軟正黑體" panose="020B0604030504040204" pitchFamily="34" charset="-120"/>
              <a:ea typeface="微軟正黑體" panose="020B0604030504040204" pitchFamily="34" charset="-120"/>
              <a:cs typeface="+mn-cs"/>
            </a:rPr>
            <a:t>←</a:t>
          </a:r>
          <a:r>
            <a:rPr lang="zh-TW" altLang="en-US" sz="1000" b="1">
              <a:solidFill>
                <a:schemeClr val="tx1"/>
              </a:solidFill>
              <a:latin typeface="微軟正黑體" panose="020B0604030504040204" pitchFamily="34" charset="-120"/>
              <a:ea typeface="微軟正黑體" panose="020B0604030504040204" pitchFamily="34" charset="-120"/>
            </a:rPr>
            <a:t>主頁</a:t>
          </a:r>
        </a:p>
      </xdr:txBody>
    </xdr:sp>
    <xdr:clientData/>
  </xdr:twoCellAnchor>
  <xdr:twoCellAnchor editAs="absolute">
    <xdr:from>
      <xdr:col>2</xdr:col>
      <xdr:colOff>271567</xdr:colOff>
      <xdr:row>3</xdr:row>
      <xdr:rowOff>202416</xdr:rowOff>
    </xdr:from>
    <xdr:to>
      <xdr:col>2</xdr:col>
      <xdr:colOff>542672</xdr:colOff>
      <xdr:row>6</xdr:row>
      <xdr:rowOff>1097</xdr:rowOff>
    </xdr:to>
    <xdr:sp macro="" textlink="">
      <xdr:nvSpPr>
        <xdr:cNvPr id="3" name="Arrow: Right 16">
          <a:extLst>
            <a:ext uri="{FF2B5EF4-FFF2-40B4-BE49-F238E27FC236}">
              <a16:creationId xmlns:a16="http://schemas.microsoft.com/office/drawing/2014/main" id="{00000000-0008-0000-0300-000003000000}"/>
            </a:ext>
          </a:extLst>
        </xdr:cNvPr>
        <xdr:cNvSpPr/>
      </xdr:nvSpPr>
      <xdr:spPr>
        <a:xfrm rot="7421520">
          <a:off x="975844" y="1010043"/>
          <a:ext cx="434931" cy="271105"/>
        </a:xfrm>
        <a:prstGeom prst="rightArrow">
          <a:avLst/>
        </a:prstGeom>
        <a:solidFill>
          <a:schemeClr val="accent2"/>
        </a:solidFill>
        <a:ln>
          <a:solidFill>
            <a:srgbClr val="A0431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fPrintsWithSheet="0"/>
  </xdr:twoCellAnchor>
</xdr:wsDr>
</file>

<file path=xl/drawings/drawing4.xml><?xml version="1.0" encoding="utf-8"?>
<xdr:wsDr xmlns:xdr="http://schemas.openxmlformats.org/drawingml/2006/spreadsheetDrawing" xmlns:a="http://schemas.openxmlformats.org/drawingml/2006/main">
  <xdr:twoCellAnchor>
    <xdr:from>
      <xdr:col>0</xdr:col>
      <xdr:colOff>80210</xdr:colOff>
      <xdr:row>0</xdr:row>
      <xdr:rowOff>28106</xdr:rowOff>
    </xdr:from>
    <xdr:to>
      <xdr:col>0</xdr:col>
      <xdr:colOff>575510</xdr:colOff>
      <xdr:row>0</xdr:row>
      <xdr:rowOff>196915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80210" y="28106"/>
          <a:ext cx="495300" cy="168809"/>
        </a:xfrm>
        <a:prstGeom prst="roundRect">
          <a:avLst/>
        </a:prstGeom>
        <a:solidFill>
          <a:srgbClr val="9E004F"/>
        </a:solidFill>
        <a:ln>
          <a:solidFill>
            <a:srgbClr val="920049"/>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0" i="0">
              <a:solidFill>
                <a:schemeClr val="lt1"/>
              </a:solidFill>
              <a:effectLst/>
              <a:latin typeface="微軟正黑體" panose="020B0604030504040204" pitchFamily="34" charset="-120"/>
              <a:ea typeface="微軟正黑體" panose="020B0604030504040204" pitchFamily="34" charset="-120"/>
              <a:cs typeface="+mn-cs"/>
            </a:rPr>
            <a:t>←</a:t>
          </a:r>
          <a:r>
            <a:rPr lang="zh-TW" altLang="en-US" sz="1000">
              <a:latin typeface="微軟正黑體" panose="020B0604030504040204" pitchFamily="34" charset="-120"/>
              <a:ea typeface="微軟正黑體" panose="020B0604030504040204" pitchFamily="34" charset="-120"/>
            </a:rPr>
            <a:t>主頁</a:t>
          </a:r>
        </a:p>
      </xdr:txBody>
    </xdr:sp>
    <xdr:clientData/>
  </xdr:twoCellAnchor>
  <xdr:twoCellAnchor>
    <xdr:from>
      <xdr:col>12</xdr:col>
      <xdr:colOff>281940</xdr:colOff>
      <xdr:row>61</xdr:row>
      <xdr:rowOff>68580</xdr:rowOff>
    </xdr:from>
    <xdr:to>
      <xdr:col>14</xdr:col>
      <xdr:colOff>53340</xdr:colOff>
      <xdr:row>64</xdr:row>
      <xdr:rowOff>121920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400-000003000000}"/>
            </a:ext>
          </a:extLst>
        </xdr:cNvPr>
        <xdr:cNvSpPr/>
      </xdr:nvSpPr>
      <xdr:spPr>
        <a:xfrm>
          <a:off x="9624060" y="14013180"/>
          <a:ext cx="1287780" cy="739140"/>
        </a:xfrm>
        <a:prstGeom prst="roundRect">
          <a:avLst/>
        </a:prstGeom>
        <a:solidFill>
          <a:srgbClr val="CC0066"/>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400" b="1" i="0">
              <a:solidFill>
                <a:schemeClr val="lt1"/>
              </a:solidFill>
              <a:effectLst/>
              <a:latin typeface="微軟正黑體" panose="020B0604030504040204" pitchFamily="34" charset="-120"/>
              <a:ea typeface="微軟正黑體" panose="020B0604030504040204" pitchFamily="34" charset="-120"/>
              <a:cs typeface="+mn-cs"/>
            </a:rPr>
            <a:t>All</a:t>
          </a:r>
          <a:r>
            <a:rPr lang="en-US" altLang="zh-HK" sz="1400" b="1" i="0" baseline="0">
              <a:solidFill>
                <a:schemeClr val="lt1"/>
              </a:solidFill>
              <a:effectLst/>
              <a:latin typeface="微軟正黑體" panose="020B0604030504040204" pitchFamily="34" charset="-120"/>
              <a:ea typeface="微軟正黑體" panose="020B0604030504040204" pitchFamily="34" charset="-120"/>
              <a:cs typeface="+mn-cs"/>
            </a:rPr>
            <a:t> in One</a:t>
          </a:r>
          <a:endParaRPr lang="zh-TW" altLang="en-US" sz="1400" b="1">
            <a:latin typeface="微軟正黑體" panose="020B0604030504040204" pitchFamily="34" charset="-120"/>
            <a:ea typeface="微軟正黑體" panose="020B0604030504040204" pitchFamily="34" charset="-12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34506</xdr:colOff>
      <xdr:row>0</xdr:row>
      <xdr:rowOff>24728</xdr:rowOff>
    </xdr:from>
    <xdr:to>
      <xdr:col>0</xdr:col>
      <xdr:colOff>477329</xdr:colOff>
      <xdr:row>0</xdr:row>
      <xdr:rowOff>193537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34506" y="24728"/>
          <a:ext cx="442823" cy="168809"/>
        </a:xfrm>
        <a:prstGeom prst="roundRect">
          <a:avLst/>
        </a:prstGeom>
        <a:solidFill>
          <a:schemeClr val="accent1">
            <a:lumMod val="50000"/>
          </a:schemeClr>
        </a:solidFill>
        <a:ln>
          <a:solidFill>
            <a:schemeClr val="accent1">
              <a:lumMod val="7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0" i="0">
              <a:solidFill>
                <a:schemeClr val="lt1"/>
              </a:solidFill>
              <a:effectLst/>
              <a:latin typeface="微軟正黑體" panose="020B0604030504040204" pitchFamily="34" charset="-120"/>
              <a:ea typeface="微軟正黑體" panose="020B0604030504040204" pitchFamily="34" charset="-120"/>
              <a:cs typeface="+mn-cs"/>
            </a:rPr>
            <a:t>←</a:t>
          </a:r>
          <a:r>
            <a:rPr lang="zh-TW" altLang="en-US" sz="1000">
              <a:latin typeface="微軟正黑體" panose="020B0604030504040204" pitchFamily="34" charset="-120"/>
              <a:ea typeface="微軟正黑體" panose="020B0604030504040204" pitchFamily="34" charset="-120"/>
            </a:rPr>
            <a:t>主頁</a:t>
          </a:r>
          <a:r>
            <a:rPr lang="en-US" altLang="zh-TW" sz="1000">
              <a:latin typeface="微軟正黑體" panose="020B0604030504040204" pitchFamily="34" charset="-120"/>
              <a:ea typeface="微軟正黑體" panose="020B0604030504040204" pitchFamily="34" charset="-120"/>
            </a:rPr>
            <a:t>xx</a:t>
          </a:r>
          <a:endParaRPr lang="zh-TW" altLang="en-US" sz="1000">
            <a:latin typeface="微軟正黑體" panose="020B0604030504040204" pitchFamily="34" charset="-120"/>
            <a:ea typeface="微軟正黑體" panose="020B0604030504040204" pitchFamily="34" charset="-120"/>
          </a:endParaRPr>
        </a:p>
      </xdr:txBody>
    </xdr:sp>
    <xdr:clientData/>
  </xdr:twoCellAnchor>
  <xdr:twoCellAnchor>
    <xdr:from>
      <xdr:col>13</xdr:col>
      <xdr:colOff>190500</xdr:colOff>
      <xdr:row>23</xdr:row>
      <xdr:rowOff>198120</xdr:rowOff>
    </xdr:from>
    <xdr:to>
      <xdr:col>15</xdr:col>
      <xdr:colOff>106680</xdr:colOff>
      <xdr:row>27</xdr:row>
      <xdr:rowOff>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500-000003000000}"/>
            </a:ext>
          </a:extLst>
        </xdr:cNvPr>
        <xdr:cNvSpPr/>
      </xdr:nvSpPr>
      <xdr:spPr>
        <a:xfrm>
          <a:off x="10027920" y="5455920"/>
          <a:ext cx="1432560" cy="876300"/>
        </a:xfrm>
        <a:prstGeom prst="roundRect">
          <a:avLst/>
        </a:prstGeom>
        <a:solidFill>
          <a:schemeClr val="accent1">
            <a:lumMod val="75000"/>
          </a:schemeClr>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400" b="1" i="0">
              <a:solidFill>
                <a:schemeClr val="lt1"/>
              </a:solidFill>
              <a:effectLst/>
              <a:latin typeface="微軟正黑體" panose="020B0604030504040204" pitchFamily="34" charset="-120"/>
              <a:ea typeface="微軟正黑體" panose="020B0604030504040204" pitchFamily="34" charset="-120"/>
              <a:cs typeface="+mn-cs"/>
            </a:rPr>
            <a:t>All</a:t>
          </a:r>
          <a:r>
            <a:rPr lang="en-US" altLang="zh-HK" sz="1400" b="1" i="0" baseline="0">
              <a:solidFill>
                <a:schemeClr val="lt1"/>
              </a:solidFill>
              <a:effectLst/>
              <a:latin typeface="微軟正黑體" panose="020B0604030504040204" pitchFamily="34" charset="-120"/>
              <a:ea typeface="微軟正黑體" panose="020B0604030504040204" pitchFamily="34" charset="-120"/>
              <a:cs typeface="+mn-cs"/>
            </a:rPr>
            <a:t> in One</a:t>
          </a:r>
          <a:endParaRPr lang="zh-TW" altLang="en-US" sz="1400" b="1">
            <a:latin typeface="微軟正黑體" panose="020B0604030504040204" pitchFamily="34" charset="-120"/>
            <a:ea typeface="微軟正黑體" panose="020B0604030504040204" pitchFamily="34" charset="-12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64547</xdr:colOff>
      <xdr:row>46</xdr:row>
      <xdr:rowOff>216348</xdr:rowOff>
    </xdr:from>
    <xdr:to>
      <xdr:col>16</xdr:col>
      <xdr:colOff>53789</xdr:colOff>
      <xdr:row>51</xdr:row>
      <xdr:rowOff>89647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9011323" y="10938136"/>
          <a:ext cx="1638748" cy="805629"/>
        </a:xfrm>
        <a:prstGeom prst="roundRect">
          <a:avLst/>
        </a:prstGeom>
        <a:solidFill>
          <a:srgbClr val="A04310"/>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400" b="1" i="0">
              <a:solidFill>
                <a:schemeClr val="lt1"/>
              </a:solidFill>
              <a:effectLst/>
              <a:latin typeface="微軟正黑體" panose="020B0604030504040204" pitchFamily="34" charset="-120"/>
              <a:ea typeface="微軟正黑體" panose="020B0604030504040204" pitchFamily="34" charset="-120"/>
              <a:cs typeface="+mn-cs"/>
            </a:rPr>
            <a:t>All</a:t>
          </a:r>
          <a:r>
            <a:rPr lang="en-US" altLang="zh-HK" sz="1400" b="1" i="0" baseline="0">
              <a:solidFill>
                <a:schemeClr val="lt1"/>
              </a:solidFill>
              <a:effectLst/>
              <a:latin typeface="微軟正黑體" panose="020B0604030504040204" pitchFamily="34" charset="-120"/>
              <a:ea typeface="微軟正黑體" panose="020B0604030504040204" pitchFamily="34" charset="-120"/>
              <a:cs typeface="+mn-cs"/>
            </a:rPr>
            <a:t> in One</a:t>
          </a:r>
          <a:endParaRPr lang="zh-TW" altLang="en-US" sz="1400" b="1">
            <a:latin typeface="微軟正黑體" panose="020B0604030504040204" pitchFamily="34" charset="-120"/>
            <a:ea typeface="微軟正黑體" panose="020B0604030504040204" pitchFamily="34" charset="-120"/>
          </a:endParaRPr>
        </a:p>
      </xdr:txBody>
    </xdr:sp>
    <xdr:clientData/>
  </xdr:twoCellAnchor>
  <xdr:twoCellAnchor>
    <xdr:from>
      <xdr:col>0</xdr:col>
      <xdr:colOff>30480</xdr:colOff>
      <xdr:row>0</xdr:row>
      <xdr:rowOff>15240</xdr:rowOff>
    </xdr:from>
    <xdr:to>
      <xdr:col>0</xdr:col>
      <xdr:colOff>525780</xdr:colOff>
      <xdr:row>0</xdr:row>
      <xdr:rowOff>184049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30480" y="15240"/>
          <a:ext cx="495300" cy="168809"/>
        </a:xfrm>
        <a:prstGeom prst="roundRect">
          <a:avLst/>
        </a:prstGeom>
        <a:solidFill>
          <a:srgbClr val="7D2137"/>
        </a:solidFill>
        <a:ln>
          <a:solidFill>
            <a:srgbClr val="7D2137"/>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0" i="0">
              <a:solidFill>
                <a:schemeClr val="lt1"/>
              </a:solidFill>
              <a:effectLst/>
              <a:latin typeface="微軟正黑體" panose="020B0604030504040204" pitchFamily="34" charset="-120"/>
              <a:ea typeface="微軟正黑體" panose="020B0604030504040204" pitchFamily="34" charset="-120"/>
              <a:cs typeface="+mn-cs"/>
            </a:rPr>
            <a:t>←</a:t>
          </a:r>
          <a:r>
            <a:rPr lang="zh-TW" altLang="en-US" sz="1000">
              <a:latin typeface="微軟正黑體" panose="020B0604030504040204" pitchFamily="34" charset="-120"/>
              <a:ea typeface="微軟正黑體" panose="020B0604030504040204" pitchFamily="34" charset="-120"/>
            </a:rPr>
            <a:t>主頁</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236220</xdr:colOff>
      <xdr:row>73</xdr:row>
      <xdr:rowOff>30480</xdr:rowOff>
    </xdr:from>
    <xdr:to>
      <xdr:col>15</xdr:col>
      <xdr:colOff>152400</xdr:colOff>
      <xdr:row>76</xdr:row>
      <xdr:rowOff>220980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a:xfrm>
          <a:off x="9616440" y="16718280"/>
          <a:ext cx="1394460" cy="647700"/>
        </a:xfrm>
        <a:prstGeom prst="roundRect">
          <a:avLst/>
        </a:prstGeom>
        <a:solidFill>
          <a:srgbClr val="6600CC"/>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400" b="1" i="0">
              <a:solidFill>
                <a:schemeClr val="lt1"/>
              </a:solidFill>
              <a:effectLst/>
              <a:latin typeface="微軟正黑體" panose="020B0604030504040204" pitchFamily="34" charset="-120"/>
              <a:ea typeface="微軟正黑體" panose="020B0604030504040204" pitchFamily="34" charset="-120"/>
              <a:cs typeface="+mn-cs"/>
            </a:rPr>
            <a:t>All</a:t>
          </a:r>
          <a:r>
            <a:rPr lang="en-US" altLang="zh-HK" sz="1400" b="1" i="0" baseline="0">
              <a:solidFill>
                <a:schemeClr val="lt1"/>
              </a:solidFill>
              <a:effectLst/>
              <a:latin typeface="微軟正黑體" panose="020B0604030504040204" pitchFamily="34" charset="-120"/>
              <a:ea typeface="微軟正黑體" panose="020B0604030504040204" pitchFamily="34" charset="-120"/>
              <a:cs typeface="+mn-cs"/>
            </a:rPr>
            <a:t> in One</a:t>
          </a:r>
          <a:endParaRPr lang="zh-TW" altLang="en-US" sz="1400" b="1">
            <a:latin typeface="微軟正黑體" panose="020B0604030504040204" pitchFamily="34" charset="-120"/>
            <a:ea typeface="微軟正黑體" panose="020B0604030504040204" pitchFamily="34" charset="-120"/>
          </a:endParaRPr>
        </a:p>
      </xdr:txBody>
    </xdr:sp>
    <xdr:clientData/>
  </xdr:twoCellAnchor>
  <xdr:twoCellAnchor>
    <xdr:from>
      <xdr:col>0</xdr:col>
      <xdr:colOff>30480</xdr:colOff>
      <xdr:row>0</xdr:row>
      <xdr:rowOff>30480</xdr:rowOff>
    </xdr:from>
    <xdr:to>
      <xdr:col>0</xdr:col>
      <xdr:colOff>525780</xdr:colOff>
      <xdr:row>0</xdr:row>
      <xdr:rowOff>199289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700-000003000000}"/>
            </a:ext>
          </a:extLst>
        </xdr:cNvPr>
        <xdr:cNvSpPr/>
      </xdr:nvSpPr>
      <xdr:spPr>
        <a:xfrm>
          <a:off x="30480" y="30480"/>
          <a:ext cx="495300" cy="168809"/>
        </a:xfrm>
        <a:prstGeom prst="roundRect">
          <a:avLst/>
        </a:prstGeom>
        <a:solidFill>
          <a:srgbClr val="000066"/>
        </a:solidFill>
        <a:ln>
          <a:solidFill>
            <a:srgbClr val="000066"/>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0" i="0">
              <a:solidFill>
                <a:schemeClr val="lt1"/>
              </a:solidFill>
              <a:effectLst/>
              <a:latin typeface="微軟正黑體" panose="020B0604030504040204" pitchFamily="34" charset="-120"/>
              <a:ea typeface="微軟正黑體" panose="020B0604030504040204" pitchFamily="34" charset="-120"/>
              <a:cs typeface="+mn-cs"/>
            </a:rPr>
            <a:t>←</a:t>
          </a:r>
          <a:r>
            <a:rPr lang="zh-TW" altLang="en-US" sz="1000">
              <a:latin typeface="微軟正黑體" panose="020B0604030504040204" pitchFamily="34" charset="-120"/>
              <a:ea typeface="微軟正黑體" panose="020B0604030504040204" pitchFamily="34" charset="-120"/>
            </a:rPr>
            <a:t>主頁</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281940</xdr:colOff>
      <xdr:row>35</xdr:row>
      <xdr:rowOff>22860</xdr:rowOff>
    </xdr:from>
    <xdr:to>
      <xdr:col>14</xdr:col>
      <xdr:colOff>30480</xdr:colOff>
      <xdr:row>37</xdr:row>
      <xdr:rowOff>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8892540" y="8252460"/>
          <a:ext cx="1303020" cy="647700"/>
        </a:xfrm>
        <a:prstGeom prst="roundRect">
          <a:avLst/>
        </a:prstGeom>
        <a:solidFill>
          <a:schemeClr val="accent1">
            <a:lumMod val="40000"/>
            <a:lumOff val="60000"/>
          </a:schemeClr>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400" b="1" i="0">
              <a:solidFill>
                <a:schemeClr val="tx1"/>
              </a:solidFill>
              <a:effectLst/>
              <a:latin typeface="微軟正黑體" panose="020B0604030504040204" pitchFamily="34" charset="-120"/>
              <a:ea typeface="微軟正黑體" panose="020B0604030504040204" pitchFamily="34" charset="-120"/>
              <a:cs typeface="+mn-cs"/>
            </a:rPr>
            <a:t>All</a:t>
          </a:r>
          <a:r>
            <a:rPr lang="en-US" altLang="zh-HK" sz="1400" b="1" i="0" baseline="0">
              <a:solidFill>
                <a:schemeClr val="tx1"/>
              </a:solidFill>
              <a:effectLst/>
              <a:latin typeface="微軟正黑體" panose="020B0604030504040204" pitchFamily="34" charset="-120"/>
              <a:ea typeface="微軟正黑體" panose="020B0604030504040204" pitchFamily="34" charset="-120"/>
              <a:cs typeface="+mn-cs"/>
            </a:rPr>
            <a:t> in One</a:t>
          </a:r>
          <a:endParaRPr lang="zh-TW" altLang="en-US" sz="1400" b="1">
            <a:solidFill>
              <a:schemeClr val="tx1"/>
            </a:solidFill>
            <a:latin typeface="微軟正黑體" panose="020B0604030504040204" pitchFamily="34" charset="-120"/>
            <a:ea typeface="微軟正黑體" panose="020B0604030504040204" pitchFamily="34" charset="-120"/>
          </a:endParaRPr>
        </a:p>
      </xdr:txBody>
    </xdr:sp>
    <xdr:clientData/>
  </xdr:twoCellAnchor>
  <xdr:twoCellAnchor>
    <xdr:from>
      <xdr:col>0</xdr:col>
      <xdr:colOff>30480</xdr:colOff>
      <xdr:row>0</xdr:row>
      <xdr:rowOff>30480</xdr:rowOff>
    </xdr:from>
    <xdr:to>
      <xdr:col>0</xdr:col>
      <xdr:colOff>525780</xdr:colOff>
      <xdr:row>0</xdr:row>
      <xdr:rowOff>199289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800-000003000000}"/>
            </a:ext>
          </a:extLst>
        </xdr:cNvPr>
        <xdr:cNvSpPr/>
      </xdr:nvSpPr>
      <xdr:spPr>
        <a:xfrm>
          <a:off x="30480" y="30480"/>
          <a:ext cx="495300" cy="168809"/>
        </a:xfrm>
        <a:prstGeom prst="roundRect">
          <a:avLst/>
        </a:prstGeom>
        <a:solidFill>
          <a:schemeClr val="accent1">
            <a:lumMod val="75000"/>
          </a:schemeClr>
        </a:solidFill>
        <a:ln>
          <a:solidFill>
            <a:schemeClr val="accent1">
              <a:lumMod val="7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0" i="0">
              <a:solidFill>
                <a:schemeClr val="lt1"/>
              </a:solidFill>
              <a:effectLst/>
              <a:latin typeface="微軟正黑體" panose="020B0604030504040204" pitchFamily="34" charset="-120"/>
              <a:ea typeface="微軟正黑體" panose="020B0604030504040204" pitchFamily="34" charset="-120"/>
              <a:cs typeface="+mn-cs"/>
            </a:rPr>
            <a:t>←</a:t>
          </a:r>
          <a:r>
            <a:rPr lang="zh-TW" altLang="en-US" sz="1000">
              <a:latin typeface="微軟正黑體" panose="020B0604030504040204" pitchFamily="34" charset="-120"/>
              <a:ea typeface="微軟正黑體" panose="020B0604030504040204" pitchFamily="34" charset="-120"/>
            </a:rPr>
            <a:t>主頁</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29</xdr:col>
      <xdr:colOff>53340</xdr:colOff>
      <xdr:row>56</xdr:row>
      <xdr:rowOff>167640</xdr:rowOff>
    </xdr:from>
    <xdr:to>
      <xdr:col>31</xdr:col>
      <xdr:colOff>411480</xdr:colOff>
      <xdr:row>61</xdr:row>
      <xdr:rowOff>129540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900-000002000000}"/>
            </a:ext>
          </a:extLst>
        </xdr:cNvPr>
        <xdr:cNvSpPr/>
      </xdr:nvSpPr>
      <xdr:spPr>
        <a:xfrm>
          <a:off x="10363200" y="11369040"/>
          <a:ext cx="1226820" cy="647700"/>
        </a:xfrm>
        <a:prstGeom prst="roundRect">
          <a:avLst/>
        </a:prstGeom>
        <a:solidFill>
          <a:schemeClr val="accent6"/>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400" b="1" i="0">
              <a:solidFill>
                <a:schemeClr val="bg1"/>
              </a:solidFill>
              <a:effectLst/>
              <a:latin typeface="微軟正黑體" panose="020B0604030504040204" pitchFamily="34" charset="-120"/>
              <a:ea typeface="微軟正黑體" panose="020B0604030504040204" pitchFamily="34" charset="-120"/>
              <a:cs typeface="+mn-cs"/>
            </a:rPr>
            <a:t>All</a:t>
          </a:r>
          <a:r>
            <a:rPr lang="en-US" altLang="zh-HK" sz="1400" b="1" i="0" baseline="0">
              <a:solidFill>
                <a:schemeClr val="bg1"/>
              </a:solidFill>
              <a:effectLst/>
              <a:latin typeface="微軟正黑體" panose="020B0604030504040204" pitchFamily="34" charset="-120"/>
              <a:ea typeface="微軟正黑體" panose="020B0604030504040204" pitchFamily="34" charset="-120"/>
              <a:cs typeface="+mn-cs"/>
            </a:rPr>
            <a:t> in One</a:t>
          </a:r>
          <a:endParaRPr lang="zh-TW" altLang="en-US" sz="1400" b="1">
            <a:solidFill>
              <a:schemeClr val="bg1"/>
            </a:solidFill>
            <a:latin typeface="微軟正黑體" panose="020B0604030504040204" pitchFamily="34" charset="-120"/>
            <a:ea typeface="微軟正黑體" panose="020B0604030504040204" pitchFamily="34" charset="-120"/>
          </a:endParaRPr>
        </a:p>
      </xdr:txBody>
    </xdr:sp>
    <xdr:clientData/>
  </xdr:twoCellAnchor>
  <xdr:twoCellAnchor>
    <xdr:from>
      <xdr:col>0</xdr:col>
      <xdr:colOff>0</xdr:colOff>
      <xdr:row>0</xdr:row>
      <xdr:rowOff>22860</xdr:rowOff>
    </xdr:from>
    <xdr:to>
      <xdr:col>0</xdr:col>
      <xdr:colOff>495300</xdr:colOff>
      <xdr:row>0</xdr:row>
      <xdr:rowOff>191669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900-000003000000}"/>
            </a:ext>
          </a:extLst>
        </xdr:cNvPr>
        <xdr:cNvSpPr/>
      </xdr:nvSpPr>
      <xdr:spPr>
        <a:xfrm>
          <a:off x="0" y="22860"/>
          <a:ext cx="495300" cy="168809"/>
        </a:xfrm>
        <a:prstGeom prst="roundRect">
          <a:avLst/>
        </a:prstGeom>
        <a:solidFill>
          <a:schemeClr val="accent6">
            <a:lumMod val="50000"/>
          </a:schemeClr>
        </a:solidFill>
        <a:ln>
          <a:solidFill>
            <a:schemeClr val="accent6">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0" i="0">
              <a:solidFill>
                <a:schemeClr val="lt1"/>
              </a:solidFill>
              <a:effectLst/>
              <a:latin typeface="微軟正黑體" panose="020B0604030504040204" pitchFamily="34" charset="-120"/>
              <a:ea typeface="微軟正黑體" panose="020B0604030504040204" pitchFamily="34" charset="-120"/>
              <a:cs typeface="+mn-cs"/>
            </a:rPr>
            <a:t>←</a:t>
          </a:r>
          <a:r>
            <a:rPr lang="zh-TW" altLang="en-US" sz="1000">
              <a:latin typeface="微軟正黑體" panose="020B0604030504040204" pitchFamily="34" charset="-120"/>
              <a:ea typeface="微軟正黑體" panose="020B0604030504040204" pitchFamily="34" charset="-120"/>
            </a:rPr>
            <a:t>主頁</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274320</xdr:colOff>
      <xdr:row>25</xdr:row>
      <xdr:rowOff>7620</xdr:rowOff>
    </xdr:from>
    <xdr:to>
      <xdr:col>14</xdr:col>
      <xdr:colOff>114300</xdr:colOff>
      <xdr:row>27</xdr:row>
      <xdr:rowOff>205740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a:xfrm>
          <a:off x="8900160" y="5722620"/>
          <a:ext cx="1303020" cy="670560"/>
        </a:xfrm>
        <a:prstGeom prst="roundRect">
          <a:avLst/>
        </a:prstGeom>
        <a:solidFill>
          <a:srgbClr val="C00000"/>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400" b="1" i="0">
              <a:solidFill>
                <a:schemeClr val="bg1"/>
              </a:solidFill>
              <a:effectLst/>
              <a:latin typeface="微軟正黑體" panose="020B0604030504040204" pitchFamily="34" charset="-120"/>
              <a:ea typeface="微軟正黑體" panose="020B0604030504040204" pitchFamily="34" charset="-120"/>
              <a:cs typeface="+mn-cs"/>
            </a:rPr>
            <a:t>All</a:t>
          </a:r>
          <a:r>
            <a:rPr lang="en-US" altLang="zh-HK" sz="1400" b="1" i="0" baseline="0">
              <a:solidFill>
                <a:schemeClr val="bg1"/>
              </a:solidFill>
              <a:effectLst/>
              <a:latin typeface="微軟正黑體" panose="020B0604030504040204" pitchFamily="34" charset="-120"/>
              <a:ea typeface="微軟正黑體" panose="020B0604030504040204" pitchFamily="34" charset="-120"/>
              <a:cs typeface="+mn-cs"/>
            </a:rPr>
            <a:t> in One</a:t>
          </a:r>
          <a:endParaRPr lang="zh-TW" altLang="en-US" sz="1400" b="1">
            <a:solidFill>
              <a:schemeClr val="bg1"/>
            </a:solidFill>
            <a:latin typeface="微軟正黑體" panose="020B0604030504040204" pitchFamily="34" charset="-120"/>
            <a:ea typeface="微軟正黑體" panose="020B0604030504040204" pitchFamily="34" charset="-120"/>
          </a:endParaRPr>
        </a:p>
      </xdr:txBody>
    </xdr:sp>
    <xdr:clientData/>
  </xdr:twoCellAnchor>
  <xdr:twoCellAnchor>
    <xdr:from>
      <xdr:col>0</xdr:col>
      <xdr:colOff>30480</xdr:colOff>
      <xdr:row>0</xdr:row>
      <xdr:rowOff>22860</xdr:rowOff>
    </xdr:from>
    <xdr:to>
      <xdr:col>0</xdr:col>
      <xdr:colOff>525780</xdr:colOff>
      <xdr:row>0</xdr:row>
      <xdr:rowOff>191669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A00-000003000000}"/>
            </a:ext>
          </a:extLst>
        </xdr:cNvPr>
        <xdr:cNvSpPr/>
      </xdr:nvSpPr>
      <xdr:spPr>
        <a:xfrm>
          <a:off x="30480" y="22860"/>
          <a:ext cx="495300" cy="168809"/>
        </a:xfrm>
        <a:prstGeom prst="roundRect">
          <a:avLst/>
        </a:prstGeom>
        <a:solidFill>
          <a:srgbClr val="7D2137"/>
        </a:solidFill>
        <a:ln>
          <a:solidFill>
            <a:srgbClr val="7D2137"/>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0" i="0">
              <a:solidFill>
                <a:schemeClr val="lt1"/>
              </a:solidFill>
              <a:effectLst/>
              <a:latin typeface="微軟正黑體" panose="020B0604030504040204" pitchFamily="34" charset="-120"/>
              <a:ea typeface="微軟正黑體" panose="020B0604030504040204" pitchFamily="34" charset="-120"/>
              <a:cs typeface="+mn-cs"/>
            </a:rPr>
            <a:t>←</a:t>
          </a:r>
          <a:r>
            <a:rPr lang="zh-TW" altLang="en-US" sz="1000">
              <a:latin typeface="微軟正黑體" panose="020B0604030504040204" pitchFamily="34" charset="-120"/>
              <a:ea typeface="微軟正黑體" panose="020B0604030504040204" pitchFamily="34" charset="-120"/>
            </a:rPr>
            <a:t>主頁</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342900</xdr:colOff>
      <xdr:row>28</xdr:row>
      <xdr:rowOff>0</xdr:rowOff>
    </xdr:from>
    <xdr:to>
      <xdr:col>14</xdr:col>
      <xdr:colOff>15240</xdr:colOff>
      <xdr:row>30</xdr:row>
      <xdr:rowOff>182880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8679180" y="6400800"/>
          <a:ext cx="1303020" cy="640080"/>
        </a:xfrm>
        <a:prstGeom prst="roundRect">
          <a:avLst/>
        </a:prstGeom>
        <a:solidFill>
          <a:srgbClr val="FF0000"/>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400" b="1" i="0">
              <a:solidFill>
                <a:schemeClr val="bg1"/>
              </a:solidFill>
              <a:effectLst/>
              <a:latin typeface="微軟正黑體" panose="020B0604030504040204" pitchFamily="34" charset="-120"/>
              <a:ea typeface="微軟正黑體" panose="020B0604030504040204" pitchFamily="34" charset="-120"/>
              <a:cs typeface="+mn-cs"/>
            </a:rPr>
            <a:t>All</a:t>
          </a:r>
          <a:r>
            <a:rPr lang="en-US" altLang="zh-HK" sz="1400" b="1" i="0" baseline="0">
              <a:solidFill>
                <a:schemeClr val="bg1"/>
              </a:solidFill>
              <a:effectLst/>
              <a:latin typeface="微軟正黑體" panose="020B0604030504040204" pitchFamily="34" charset="-120"/>
              <a:ea typeface="微軟正黑體" panose="020B0604030504040204" pitchFamily="34" charset="-120"/>
              <a:cs typeface="+mn-cs"/>
            </a:rPr>
            <a:t> in One</a:t>
          </a:r>
          <a:endParaRPr lang="zh-TW" altLang="en-US" sz="1400" b="1">
            <a:solidFill>
              <a:schemeClr val="bg1"/>
            </a:solidFill>
            <a:latin typeface="微軟正黑體" panose="020B0604030504040204" pitchFamily="34" charset="-120"/>
            <a:ea typeface="微軟正黑體" panose="020B0604030504040204" pitchFamily="34" charset="-120"/>
          </a:endParaRPr>
        </a:p>
      </xdr:txBody>
    </xdr:sp>
    <xdr:clientData/>
  </xdr:twoCellAnchor>
  <xdr:twoCellAnchor>
    <xdr:from>
      <xdr:col>0</xdr:col>
      <xdr:colOff>7620</xdr:colOff>
      <xdr:row>0</xdr:row>
      <xdr:rowOff>22860</xdr:rowOff>
    </xdr:from>
    <xdr:to>
      <xdr:col>0</xdr:col>
      <xdr:colOff>502920</xdr:colOff>
      <xdr:row>0</xdr:row>
      <xdr:rowOff>191669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B00-000003000000}"/>
            </a:ext>
          </a:extLst>
        </xdr:cNvPr>
        <xdr:cNvSpPr/>
      </xdr:nvSpPr>
      <xdr:spPr>
        <a:xfrm>
          <a:off x="7620" y="22860"/>
          <a:ext cx="495300" cy="168809"/>
        </a:xfrm>
        <a:prstGeom prst="roundRect">
          <a:avLst/>
        </a:prstGeom>
        <a:solidFill>
          <a:schemeClr val="accent2">
            <a:lumMod val="50000"/>
          </a:schemeClr>
        </a:solidFill>
        <a:ln>
          <a:solidFill>
            <a:schemeClr val="accent2">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0" i="0">
              <a:solidFill>
                <a:schemeClr val="lt1"/>
              </a:solidFill>
              <a:effectLst/>
              <a:latin typeface="微軟正黑體" panose="020B0604030504040204" pitchFamily="34" charset="-120"/>
              <a:ea typeface="微軟正黑體" panose="020B0604030504040204" pitchFamily="34" charset="-120"/>
              <a:cs typeface="+mn-cs"/>
            </a:rPr>
            <a:t>←</a:t>
          </a:r>
          <a:r>
            <a:rPr lang="zh-TW" altLang="en-US" sz="1000">
              <a:latin typeface="微軟正黑體" panose="020B0604030504040204" pitchFamily="34" charset="-120"/>
              <a:ea typeface="微軟正黑體" panose="020B0604030504040204" pitchFamily="34" charset="-120"/>
            </a:rPr>
            <a:t>主頁</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202155</xdr:colOff>
      <xdr:row>29</xdr:row>
      <xdr:rowOff>34067</xdr:rowOff>
    </xdr:from>
    <xdr:to>
      <xdr:col>13</xdr:col>
      <xdr:colOff>163606</xdr:colOff>
      <xdr:row>31</xdr:row>
      <xdr:rowOff>145229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7965590" y="6793455"/>
          <a:ext cx="1440628" cy="577327"/>
        </a:xfrm>
        <a:prstGeom prst="roundRect">
          <a:avLst/>
        </a:prstGeom>
        <a:solidFill>
          <a:schemeClr val="accent1">
            <a:lumMod val="75000"/>
          </a:schemeClr>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400" b="1" i="0">
              <a:solidFill>
                <a:schemeClr val="lt1"/>
              </a:solidFill>
              <a:effectLst/>
              <a:latin typeface="微軟正黑體" panose="020B0604030504040204" pitchFamily="34" charset="-120"/>
              <a:ea typeface="微軟正黑體" panose="020B0604030504040204" pitchFamily="34" charset="-120"/>
              <a:cs typeface="+mn-cs"/>
            </a:rPr>
            <a:t>All</a:t>
          </a:r>
          <a:r>
            <a:rPr lang="en-US" altLang="zh-HK" sz="1400" b="1" i="0" baseline="0">
              <a:solidFill>
                <a:schemeClr val="lt1"/>
              </a:solidFill>
              <a:effectLst/>
              <a:latin typeface="微軟正黑體" panose="020B0604030504040204" pitchFamily="34" charset="-120"/>
              <a:ea typeface="微軟正黑體" panose="020B0604030504040204" pitchFamily="34" charset="-120"/>
              <a:cs typeface="+mn-cs"/>
            </a:rPr>
            <a:t> in One</a:t>
          </a:r>
          <a:endParaRPr lang="zh-TW" altLang="en-US" sz="1400" b="1">
            <a:latin typeface="微軟正黑體" panose="020B0604030504040204" pitchFamily="34" charset="-120"/>
            <a:ea typeface="微軟正黑體" panose="020B0604030504040204" pitchFamily="34" charset="-120"/>
          </a:endParaRPr>
        </a:p>
      </xdr:txBody>
    </xdr:sp>
    <xdr:clientData/>
  </xdr:twoCellAnchor>
  <xdr:twoCellAnchor>
    <xdr:from>
      <xdr:col>0</xdr:col>
      <xdr:colOff>38100</xdr:colOff>
      <xdr:row>0</xdr:row>
      <xdr:rowOff>30480</xdr:rowOff>
    </xdr:from>
    <xdr:to>
      <xdr:col>0</xdr:col>
      <xdr:colOff>533400</xdr:colOff>
      <xdr:row>0</xdr:row>
      <xdr:rowOff>199289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C00-000003000000}"/>
            </a:ext>
          </a:extLst>
        </xdr:cNvPr>
        <xdr:cNvSpPr/>
      </xdr:nvSpPr>
      <xdr:spPr>
        <a:xfrm>
          <a:off x="38100" y="30480"/>
          <a:ext cx="495300" cy="168809"/>
        </a:xfrm>
        <a:prstGeom prst="roundRect">
          <a:avLst/>
        </a:prstGeom>
        <a:solidFill>
          <a:schemeClr val="accent1">
            <a:lumMod val="60000"/>
            <a:lumOff val="40000"/>
          </a:schemeClr>
        </a:solidFill>
        <a:ln>
          <a:solidFill>
            <a:schemeClr val="accent1">
              <a:lumMod val="60000"/>
              <a:lumOff val="4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0" i="0">
              <a:solidFill>
                <a:schemeClr val="lt1"/>
              </a:solidFill>
              <a:effectLst/>
              <a:latin typeface="微軟正黑體" panose="020B0604030504040204" pitchFamily="34" charset="-120"/>
              <a:ea typeface="微軟正黑體" panose="020B0604030504040204" pitchFamily="34" charset="-120"/>
              <a:cs typeface="+mn-cs"/>
            </a:rPr>
            <a:t>←</a:t>
          </a:r>
          <a:r>
            <a:rPr lang="zh-TW" altLang="en-US" sz="1000">
              <a:latin typeface="微軟正黑體" panose="020B0604030504040204" pitchFamily="34" charset="-120"/>
              <a:ea typeface="微軟正黑體" panose="020B0604030504040204" pitchFamily="34" charset="-120"/>
            </a:rPr>
            <a:t>主頁</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328706</xdr:colOff>
      <xdr:row>57</xdr:row>
      <xdr:rowOff>70373</xdr:rowOff>
    </xdr:from>
    <xdr:to>
      <xdr:col>14</xdr:col>
      <xdr:colOff>95176</xdr:colOff>
      <xdr:row>59</xdr:row>
      <xdr:rowOff>141941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8807824" y="10805608"/>
          <a:ext cx="1223234" cy="534745"/>
        </a:xfrm>
        <a:prstGeom prst="roundRect">
          <a:avLst/>
        </a:prstGeom>
        <a:solidFill>
          <a:schemeClr val="accent4">
            <a:lumMod val="50000"/>
          </a:schemeClr>
        </a:solidFill>
        <a:ln>
          <a:solidFill>
            <a:schemeClr val="accent4">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US" altLang="zh-HK" sz="1400" b="1" i="0">
              <a:solidFill>
                <a:schemeClr val="lt1"/>
              </a:solidFill>
              <a:effectLst/>
              <a:latin typeface="微軟正黑體" panose="020B0604030504040204" pitchFamily="34" charset="-120"/>
              <a:ea typeface="微軟正黑體" panose="020B0604030504040204" pitchFamily="34" charset="-120"/>
              <a:cs typeface="+mn-cs"/>
            </a:rPr>
            <a:t>All</a:t>
          </a:r>
          <a:r>
            <a:rPr lang="en-US" altLang="zh-HK" sz="1400" b="1" i="0" baseline="0">
              <a:solidFill>
                <a:schemeClr val="lt1"/>
              </a:solidFill>
              <a:effectLst/>
              <a:latin typeface="微軟正黑體" panose="020B0604030504040204" pitchFamily="34" charset="-120"/>
              <a:ea typeface="微軟正黑體" panose="020B0604030504040204" pitchFamily="34" charset="-120"/>
              <a:cs typeface="+mn-cs"/>
            </a:rPr>
            <a:t> in One</a:t>
          </a:r>
          <a:endParaRPr lang="zh-TW" altLang="en-US" sz="1400" b="1">
            <a:latin typeface="微軟正黑體" panose="020B0604030504040204" pitchFamily="34" charset="-120"/>
            <a:ea typeface="微軟正黑體" panose="020B0604030504040204" pitchFamily="34" charset="-120"/>
          </a:endParaRPr>
        </a:p>
      </xdr:txBody>
    </xdr:sp>
    <xdr:clientData/>
  </xdr:twoCellAnchor>
  <xdr:twoCellAnchor>
    <xdr:from>
      <xdr:col>0</xdr:col>
      <xdr:colOff>15240</xdr:colOff>
      <xdr:row>0</xdr:row>
      <xdr:rowOff>30480</xdr:rowOff>
    </xdr:from>
    <xdr:to>
      <xdr:col>0</xdr:col>
      <xdr:colOff>510540</xdr:colOff>
      <xdr:row>0</xdr:row>
      <xdr:rowOff>199289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D00-000003000000}"/>
            </a:ext>
          </a:extLst>
        </xdr:cNvPr>
        <xdr:cNvSpPr/>
      </xdr:nvSpPr>
      <xdr:spPr>
        <a:xfrm>
          <a:off x="15240" y="30480"/>
          <a:ext cx="495300" cy="168809"/>
        </a:xfrm>
        <a:prstGeom prst="roundRect">
          <a:avLst/>
        </a:prstGeom>
        <a:solidFill>
          <a:srgbClr val="7D2137"/>
        </a:solidFill>
        <a:ln>
          <a:solidFill>
            <a:srgbClr val="7D2137"/>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zh-HK" altLang="en-US" sz="1000" b="0" i="0">
              <a:solidFill>
                <a:schemeClr val="lt1"/>
              </a:solidFill>
              <a:effectLst/>
              <a:latin typeface="微軟正黑體" panose="020B0604030504040204" pitchFamily="34" charset="-120"/>
              <a:ea typeface="微軟正黑體" panose="020B0604030504040204" pitchFamily="34" charset="-120"/>
              <a:cs typeface="+mn-cs"/>
            </a:rPr>
            <a:t>←</a:t>
          </a:r>
          <a:r>
            <a:rPr lang="zh-TW" altLang="en-US" sz="1000">
              <a:latin typeface="微軟正黑體" panose="020B0604030504040204" pitchFamily="34" charset="-120"/>
              <a:ea typeface="微軟正黑體" panose="020B0604030504040204" pitchFamily="34" charset="-120"/>
            </a:rPr>
            <a:t>主頁</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22860</xdr:colOff>
          <xdr:row>2</xdr:row>
          <xdr:rowOff>137160</xdr:rowOff>
        </xdr:from>
        <xdr:to>
          <xdr:col>4</xdr:col>
          <xdr:colOff>213360</xdr:colOff>
          <xdr:row>4</xdr:row>
          <xdr:rowOff>38100</xdr:rowOff>
        </xdr:to>
        <xdr:sp macro="" textlink="">
          <xdr:nvSpPr>
            <xdr:cNvPr id="108548" name=" 4" hidden="1">
              <a:extLst>
                <a:ext uri="{63B3BB69-23CF-44E3-9099-C40C66FF867C}">
                  <a14:compatExt spid="_x0000_s108548"/>
                </a:ext>
                <a:ext uri="{FF2B5EF4-FFF2-40B4-BE49-F238E27FC236}">
                  <a16:creationId xmlns:a16="http://schemas.microsoft.com/office/drawing/2014/main" id="{00000000-0008-0000-1300-000004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3</xdr:row>
          <xdr:rowOff>137160</xdr:rowOff>
        </xdr:from>
        <xdr:to>
          <xdr:col>4</xdr:col>
          <xdr:colOff>213360</xdr:colOff>
          <xdr:row>5</xdr:row>
          <xdr:rowOff>38100</xdr:rowOff>
        </xdr:to>
        <xdr:sp macro="" textlink="">
          <xdr:nvSpPr>
            <xdr:cNvPr id="108549" name=" 5" hidden="1">
              <a:extLst>
                <a:ext uri="{63B3BB69-23CF-44E3-9099-C40C66FF867C}">
                  <a14:compatExt spid="_x0000_s108549"/>
                </a:ext>
                <a:ext uri="{FF2B5EF4-FFF2-40B4-BE49-F238E27FC236}">
                  <a16:creationId xmlns:a16="http://schemas.microsoft.com/office/drawing/2014/main" id="{00000000-0008-0000-1300-000005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4</xdr:row>
          <xdr:rowOff>137160</xdr:rowOff>
        </xdr:from>
        <xdr:to>
          <xdr:col>4</xdr:col>
          <xdr:colOff>213360</xdr:colOff>
          <xdr:row>6</xdr:row>
          <xdr:rowOff>38100</xdr:rowOff>
        </xdr:to>
        <xdr:sp macro="" textlink="">
          <xdr:nvSpPr>
            <xdr:cNvPr id="108550" name=" 6" hidden="1">
              <a:extLst>
                <a:ext uri="{63B3BB69-23CF-44E3-9099-C40C66FF867C}">
                  <a14:compatExt spid="_x0000_s108550"/>
                </a:ext>
                <a:ext uri="{FF2B5EF4-FFF2-40B4-BE49-F238E27FC236}">
                  <a16:creationId xmlns:a16="http://schemas.microsoft.com/office/drawing/2014/main" id="{00000000-0008-0000-1300-000006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5</xdr:row>
          <xdr:rowOff>114300</xdr:rowOff>
        </xdr:from>
        <xdr:to>
          <xdr:col>4</xdr:col>
          <xdr:colOff>213360</xdr:colOff>
          <xdr:row>7</xdr:row>
          <xdr:rowOff>22860</xdr:rowOff>
        </xdr:to>
        <xdr:sp macro="" textlink="">
          <xdr:nvSpPr>
            <xdr:cNvPr id="108551" name=" 7" hidden="1">
              <a:extLst>
                <a:ext uri="{63B3BB69-23CF-44E3-9099-C40C66FF867C}">
                  <a14:compatExt spid="_x0000_s108551"/>
                </a:ext>
                <a:ext uri="{FF2B5EF4-FFF2-40B4-BE49-F238E27FC236}">
                  <a16:creationId xmlns:a16="http://schemas.microsoft.com/office/drawing/2014/main" id="{00000000-0008-0000-1300-000007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6</xdr:row>
          <xdr:rowOff>114300</xdr:rowOff>
        </xdr:from>
        <xdr:to>
          <xdr:col>4</xdr:col>
          <xdr:colOff>228600</xdr:colOff>
          <xdr:row>8</xdr:row>
          <xdr:rowOff>38100</xdr:rowOff>
        </xdr:to>
        <xdr:sp macro="" textlink="">
          <xdr:nvSpPr>
            <xdr:cNvPr id="108552" name=" 8" hidden="1">
              <a:extLst>
                <a:ext uri="{63B3BB69-23CF-44E3-9099-C40C66FF867C}">
                  <a14:compatExt spid="_x0000_s108552"/>
                </a:ext>
                <a:ext uri="{FF2B5EF4-FFF2-40B4-BE49-F238E27FC236}">
                  <a16:creationId xmlns:a16="http://schemas.microsoft.com/office/drawing/2014/main" id="{00000000-0008-0000-1300-000008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xdr:row>
          <xdr:rowOff>137160</xdr:rowOff>
        </xdr:from>
        <xdr:to>
          <xdr:col>8</xdr:col>
          <xdr:colOff>213360</xdr:colOff>
          <xdr:row>4</xdr:row>
          <xdr:rowOff>38100</xdr:rowOff>
        </xdr:to>
        <xdr:sp macro="" textlink="">
          <xdr:nvSpPr>
            <xdr:cNvPr id="108555" name=" 11" hidden="1">
              <a:extLst>
                <a:ext uri="{63B3BB69-23CF-44E3-9099-C40C66FF867C}">
                  <a14:compatExt spid="_x0000_s108555"/>
                </a:ext>
                <a:ext uri="{FF2B5EF4-FFF2-40B4-BE49-F238E27FC236}">
                  <a16:creationId xmlns:a16="http://schemas.microsoft.com/office/drawing/2014/main" id="{00000000-0008-0000-1300-00000B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3</xdr:row>
          <xdr:rowOff>137160</xdr:rowOff>
        </xdr:from>
        <xdr:to>
          <xdr:col>8</xdr:col>
          <xdr:colOff>213360</xdr:colOff>
          <xdr:row>5</xdr:row>
          <xdr:rowOff>38100</xdr:rowOff>
        </xdr:to>
        <xdr:sp macro="" textlink="">
          <xdr:nvSpPr>
            <xdr:cNvPr id="108556" name=" 12" hidden="1">
              <a:extLst>
                <a:ext uri="{63B3BB69-23CF-44E3-9099-C40C66FF867C}">
                  <a14:compatExt spid="_x0000_s108556"/>
                </a:ext>
                <a:ext uri="{FF2B5EF4-FFF2-40B4-BE49-F238E27FC236}">
                  <a16:creationId xmlns:a16="http://schemas.microsoft.com/office/drawing/2014/main" id="{00000000-0008-0000-1300-00000C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4</xdr:row>
          <xdr:rowOff>114300</xdr:rowOff>
        </xdr:from>
        <xdr:to>
          <xdr:col>8</xdr:col>
          <xdr:colOff>213360</xdr:colOff>
          <xdr:row>6</xdr:row>
          <xdr:rowOff>22860</xdr:rowOff>
        </xdr:to>
        <xdr:sp macro="" textlink="">
          <xdr:nvSpPr>
            <xdr:cNvPr id="108557" name=" 13" hidden="1">
              <a:extLst>
                <a:ext uri="{63B3BB69-23CF-44E3-9099-C40C66FF867C}">
                  <a14:compatExt spid="_x0000_s108557"/>
                </a:ext>
                <a:ext uri="{FF2B5EF4-FFF2-40B4-BE49-F238E27FC236}">
                  <a16:creationId xmlns:a16="http://schemas.microsoft.com/office/drawing/2014/main" id="{00000000-0008-0000-1300-00000D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5</xdr:row>
          <xdr:rowOff>114300</xdr:rowOff>
        </xdr:from>
        <xdr:to>
          <xdr:col>8</xdr:col>
          <xdr:colOff>213360</xdr:colOff>
          <xdr:row>7</xdr:row>
          <xdr:rowOff>38100</xdr:rowOff>
        </xdr:to>
        <xdr:sp macro="" textlink="">
          <xdr:nvSpPr>
            <xdr:cNvPr id="108558" name=" 14" hidden="1">
              <a:extLst>
                <a:ext uri="{63B3BB69-23CF-44E3-9099-C40C66FF867C}">
                  <a14:compatExt spid="_x0000_s108558"/>
                </a:ext>
                <a:ext uri="{FF2B5EF4-FFF2-40B4-BE49-F238E27FC236}">
                  <a16:creationId xmlns:a16="http://schemas.microsoft.com/office/drawing/2014/main" id="{00000000-0008-0000-1300-00000E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6</xdr:row>
          <xdr:rowOff>137160</xdr:rowOff>
        </xdr:from>
        <xdr:to>
          <xdr:col>8</xdr:col>
          <xdr:colOff>213360</xdr:colOff>
          <xdr:row>8</xdr:row>
          <xdr:rowOff>38100</xdr:rowOff>
        </xdr:to>
        <xdr:sp macro="" textlink="">
          <xdr:nvSpPr>
            <xdr:cNvPr id="108559" name=" 15" hidden="1">
              <a:extLst>
                <a:ext uri="{63B3BB69-23CF-44E3-9099-C40C66FF867C}">
                  <a14:compatExt spid="_x0000_s108559"/>
                </a:ext>
                <a:ext uri="{FF2B5EF4-FFF2-40B4-BE49-F238E27FC236}">
                  <a16:creationId xmlns:a16="http://schemas.microsoft.com/office/drawing/2014/main" id="{00000000-0008-0000-1300-00000FA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jupascal.github.io/" TargetMode="External"/><Relationship Id="rId1" Type="http://schemas.openxmlformats.org/officeDocument/2006/relationships/hyperlink" Target="https://drive.google.com/drive/folders/1PmyDrmQ2CumbWrqY7NRqa0Ol-M9VnkFz?usp=drive_link"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admo.cityu.edu.hk/assessment/score_calculation/" TargetMode="External"/><Relationship Id="rId7" Type="http://schemas.openxmlformats.org/officeDocument/2006/relationships/drawing" Target="../drawings/drawing4.xml"/><Relationship Id="rId2" Type="http://schemas.openxmlformats.org/officeDocument/2006/relationships/hyperlink" Target="https://www.admo.cityu.edu.hk/jupas/entreq/bd/" TargetMode="External"/><Relationship Id="rId1" Type="http://schemas.openxmlformats.org/officeDocument/2006/relationships/hyperlink" Target="https://www.cityu.edu.hk/admo/sites/default/files/2024-10/2025_JUPAS_Admission_Score_Formula_and_Admission_Scores.pdf" TargetMode="External"/><Relationship Id="rId6" Type="http://schemas.openxmlformats.org/officeDocument/2006/relationships/printerSettings" Target="../printerSettings/printerSettings4.bin"/><Relationship Id="rId5" Type="http://schemas.openxmlformats.org/officeDocument/2006/relationships/hyperlink" Target="https://www.admo.cityu.edu.hk/interview_arrangements/jupas" TargetMode="External"/><Relationship Id="rId4" Type="http://schemas.openxmlformats.org/officeDocument/2006/relationships/hyperlink" Target="https://www.admo.cityu.edu.hk/jupas/assessment/bd"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admissions.hkbu.edu.hk/en/programmes-offer.html" TargetMode="External"/><Relationship Id="rId1" Type="http://schemas.openxmlformats.org/officeDocument/2006/relationships/hyperlink" Target="https://admissions.hkbu.edu.hk/en/hkdse.html"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polyu.edu.hk/aradm/jupas/admission_figures.pdf" TargetMode="External"/><Relationship Id="rId2" Type="http://schemas.openxmlformats.org/officeDocument/2006/relationships/hyperlink" Target="https://www51.polyu.edu.hk/eprospectus/ug/jupas/programme-requirements" TargetMode="External"/><Relationship Id="rId1" Type="http://schemas.openxmlformats.org/officeDocument/2006/relationships/hyperlink" Target="https://www51.polyu.edu.hk/eprospectus/ug/jupas/admission-selection" TargetMode="External"/><Relationship Id="rId6" Type="http://schemas.openxmlformats.org/officeDocument/2006/relationships/drawing" Target="../drawings/drawing6.xml"/><Relationship Id="rId5" Type="http://schemas.openxmlformats.org/officeDocument/2006/relationships/printerSettings" Target="../printerSettings/printerSettings6.bin"/><Relationship Id="rId4" Type="http://schemas.openxmlformats.org/officeDocument/2006/relationships/hyperlink" Target="https://www51.polyu.edu.hk/eprospectus/ug/jupas/interview-arrangement"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admission.cuhk.edu.hk/application/jupas/download-area-for-important-information/" TargetMode="External"/><Relationship Id="rId7" Type="http://schemas.openxmlformats.org/officeDocument/2006/relationships/comments" Target="../comments3.xml"/><Relationship Id="rId2" Type="http://schemas.openxmlformats.org/officeDocument/2006/relationships/hyperlink" Target="https://admission.cuhk.edu.hk/wp-content/uploads/2024/10/Useful-Information-for-JUPAS-Applicants-2025.pdf" TargetMode="External"/><Relationship Id="rId1" Type="http://schemas.openxmlformats.org/officeDocument/2006/relationships/hyperlink" Target="https://admission.cuhk.edu.hk/wp-content/uploads/2024/10/Admission-Grades-2024.pdf" TargetMode="External"/><Relationship Id="rId6" Type="http://schemas.openxmlformats.org/officeDocument/2006/relationships/vmlDrawing" Target="../drawings/vmlDrawing3.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hyperlink" Target="https://join.hkust.edu.hk/admissions/jupas" TargetMode="External"/><Relationship Id="rId2" Type="http://schemas.openxmlformats.org/officeDocument/2006/relationships/hyperlink" Target="https://www.jupas.edu.hk/f/page/3667/af_2024_JUPAS.pdf" TargetMode="External"/><Relationship Id="rId1" Type="http://schemas.openxmlformats.org/officeDocument/2006/relationships/hyperlink" Target="https://join.hkust.edu.hk/admissions/jupas"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admissions.hku.hk/apply/jupas/score-calculator" TargetMode="External"/><Relationship Id="rId2" Type="http://schemas.openxmlformats.org/officeDocument/2006/relationships/hyperlink" Target="https://admissions.hku.hk/sites/default/files/2024-10/HKU-JUPAS-Admissions-Information-2025.pdf" TargetMode="External"/><Relationship Id="rId1" Type="http://schemas.openxmlformats.org/officeDocument/2006/relationships/hyperlink" Target="https://admissions.hku.hk/apply/jupas" TargetMode="External"/><Relationship Id="rId5" Type="http://schemas.openxmlformats.org/officeDocument/2006/relationships/drawing" Target="../drawings/drawing9.xml"/><Relationship Id="rId4"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ln.edu.hk/admissions/ug/page/detail/114" TargetMode="External"/><Relationship Id="rId2" Type="http://schemas.openxmlformats.org/officeDocument/2006/relationships/hyperlink" Target="https://www.ln.edu.hk/admissions/ug/apply-now/jupas-applicants" TargetMode="External"/><Relationship Id="rId1" Type="http://schemas.openxmlformats.org/officeDocument/2006/relationships/hyperlink" Target="https://www.ln.edu.hk/admissions/ug/f/page/114/2272/2024_Admissions%20Scores.pdf" TargetMode="External"/><Relationship Id="rId5" Type="http://schemas.openxmlformats.org/officeDocument/2006/relationships/drawing" Target="../drawings/drawing10.xml"/><Relationship Id="rId4"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eduhk.hk/acadprog/downloads/EdUHK_admission_scores_2024.pdf" TargetMode="External"/><Relationship Id="rId1" Type="http://schemas.openxmlformats.org/officeDocument/2006/relationships/hyperlink" Target="https://www.apply.eduhk.hk/ug/jupas_scores"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hyperlink" Target="https://www.hkmu.edu.hk/REG/reg_ftae/Admission/Scores_JUPAS.pdf" TargetMode="External"/><Relationship Id="rId1" Type="http://schemas.openxmlformats.org/officeDocument/2006/relationships/hyperlink" Target="https://admissions.hkmu.edu.hk/ug/jupas/"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ef.hksyu.edu/Programmes/BCom-in-FinTech" TargetMode="External"/><Relationship Id="rId3" Type="http://schemas.openxmlformats.org/officeDocument/2006/relationships/hyperlink" Target="https://www.chuhai.edu.hk/" TargetMode="External"/><Relationship Id="rId7" Type="http://schemas.openxmlformats.org/officeDocument/2006/relationships/hyperlink" Target="https://www.uowchk.edu.hk/study-at-uowchk/find-programmes/programmes-by-entry-level/bachelor-degrees/" TargetMode="External"/><Relationship Id="rId12" Type="http://schemas.openxmlformats.org/officeDocument/2006/relationships/drawing" Target="../drawings/drawing13.xml"/><Relationship Id="rId2" Type="http://schemas.openxmlformats.org/officeDocument/2006/relationships/hyperlink" Target="https://www.twc.edu.hk/en/Programme_cat" TargetMode="External"/><Relationship Id="rId1" Type="http://schemas.openxmlformats.org/officeDocument/2006/relationships/hyperlink" Target="https://www.cihe.edu.hk/en/programmes/index.html" TargetMode="External"/><Relationship Id="rId6" Type="http://schemas.openxmlformats.org/officeDocument/2006/relationships/hyperlink" Target="https://www.thei.edu.hk/admissions/local-students-admission-for-year-1-entry/general-entrance-requirement-year-1-entry" TargetMode="External"/><Relationship Id="rId11" Type="http://schemas.openxmlformats.org/officeDocument/2006/relationships/printerSettings" Target="../printerSettings/printerSettings11.bin"/><Relationship Id="rId5" Type="http://schemas.openxmlformats.org/officeDocument/2006/relationships/hyperlink" Target="https://admissions.hkmu.edu.hk/ug/jupas/" TargetMode="External"/><Relationship Id="rId10" Type="http://schemas.openxmlformats.org/officeDocument/2006/relationships/hyperlink" Target="https://www.jupas.edu.hk/f/page/3669/af_2024_SSSDP.pdf" TargetMode="External"/><Relationship Id="rId4" Type="http://schemas.openxmlformats.org/officeDocument/2006/relationships/hyperlink" Target="https://registry.hsu.edu.hk/prospective-students/undergraduate/programmes-offered/" TargetMode="External"/><Relationship Id="rId9" Type="http://schemas.openxmlformats.org/officeDocument/2006/relationships/hyperlink" Target="https://www.jupas.edu.hk/en/programme/sssdp/" TargetMode="External"/></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isd.hkust.edu.hk/academics/bsc-in-integrative-systems-and-design-isd" TargetMode="External"/><Relationship Id="rId1" Type="http://schemas.openxmlformats.org/officeDocument/2006/relationships/hyperlink" Target="http://www.arch.cuhk.edu.hk/programme/bachelor-social-science-architectural-studies/" TargetMode="Externa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drawing" Target="../drawings/drawing14.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hyperlink" Target="https://admissions.hku.hk/apply/jupas" TargetMode="External"/><Relationship Id="rId1" Type="http://schemas.openxmlformats.org/officeDocument/2006/relationships/hyperlink" Target="https://www.cuhk.edu.hk/adm/jupas/arrangement-for-more-than-one-sitting-2024.pdf"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8.vml"/><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DD4B-DFD1-4D3B-B420-63B3A9F78AB4}">
  <sheetPr>
    <tabColor theme="1" tint="0.249977111117893"/>
  </sheetPr>
  <dimension ref="A1:X37"/>
  <sheetViews>
    <sheetView tabSelected="1" zoomScale="70" zoomScaleNormal="70" workbookViewId="0">
      <selection activeCell="S14" sqref="S14"/>
    </sheetView>
  </sheetViews>
  <sheetFormatPr defaultColWidth="0" defaultRowHeight="16.2" customHeight="1" zeroHeight="1"/>
  <cols>
    <col min="1" max="24" width="8.69921875" style="507" customWidth="1"/>
    <col min="25" max="16384" width="8.69921875" style="507" hidden="1"/>
  </cols>
  <sheetData>
    <row r="1" ht="15.6"/>
    <row r="2" ht="15.6"/>
    <row r="3" ht="15.6"/>
    <row r="4" ht="15.6"/>
    <row r="5" ht="15.6"/>
    <row r="6" ht="15.6"/>
    <row r="7" ht="15.6"/>
    <row r="8" ht="15.6"/>
    <row r="9" ht="15.6"/>
    <row r="10" ht="15.6"/>
    <row r="11" ht="15.6"/>
    <row r="12" ht="15.6"/>
    <row r="13" ht="15.6"/>
    <row r="14" ht="15.6"/>
    <row r="15" ht="15.6"/>
    <row r="16" ht="15.6"/>
    <row r="17" ht="15.6"/>
    <row r="18" ht="15.6"/>
    <row r="19" ht="15.6"/>
    <row r="20" ht="15.6"/>
    <row r="21" ht="15.6"/>
    <row r="22" ht="15.6"/>
    <row r="23" ht="15.6"/>
    <row r="24" ht="15.6"/>
    <row r="25" ht="15.6"/>
    <row r="26" ht="15.6"/>
    <row r="27" ht="15.6"/>
    <row r="28" ht="16.2" customHeight="1"/>
    <row r="29" ht="16.2" customHeight="1"/>
    <row r="30" ht="16.2" customHeight="1"/>
    <row r="31" ht="16.2" customHeight="1"/>
    <row r="32" ht="16.2" customHeight="1"/>
    <row r="33" ht="16.2" customHeight="1"/>
    <row r="34" ht="16.2" customHeight="1"/>
    <row r="35" ht="16.2" customHeight="1"/>
    <row r="36" ht="16.2" customHeight="1"/>
    <row r="37" ht="16.2" customHeight="1"/>
  </sheetData>
  <sheetProtection sheet="1" selectLockedCells="1"/>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1">
    <tabColor theme="7" tint="0.59999389629810485"/>
  </sheetPr>
  <dimension ref="A1:W48"/>
  <sheetViews>
    <sheetView zoomScale="85" zoomScaleNormal="85" workbookViewId="0">
      <selection activeCell="C8" sqref="C8"/>
    </sheetView>
  </sheetViews>
  <sheetFormatPr defaultColWidth="0" defaultRowHeight="15.6" zeroHeight="1"/>
  <cols>
    <col min="1" max="1" width="9" style="111" customWidth="1"/>
    <col min="2" max="2" width="17" style="111" customWidth="1"/>
    <col min="3" max="3" width="14.19921875" style="111" customWidth="1"/>
    <col min="4" max="4" width="6.69921875" style="111" customWidth="1"/>
    <col min="5" max="5" width="4.69921875" style="111" customWidth="1"/>
    <col min="6" max="6" width="8.69921875" style="111" customWidth="1"/>
    <col min="7" max="7" width="8.3984375" style="111" customWidth="1"/>
    <col min="8" max="8" width="9.19921875" style="112" customWidth="1"/>
    <col min="9" max="9" width="7.69921875" style="112" customWidth="1"/>
    <col min="10" max="10" width="8.5" style="111" customWidth="1"/>
    <col min="11" max="11" width="8" style="111" customWidth="1"/>
    <col min="12" max="12" width="8.69921875" style="111" customWidth="1"/>
    <col min="13" max="13" width="7.69921875" style="111" customWidth="1"/>
    <col min="14" max="14" width="5.69921875" style="111" customWidth="1"/>
    <col min="15" max="15" width="8.69921875" style="111" customWidth="1"/>
    <col min="16" max="16" width="8.19921875" style="111" customWidth="1"/>
    <col min="17" max="17" width="13.69921875" style="111" customWidth="1"/>
    <col min="18" max="18" width="2.69921875" style="111" customWidth="1"/>
    <col min="19" max="23" width="9" style="111" customWidth="1"/>
    <col min="24" max="16384" width="9" style="111" hidden="1"/>
  </cols>
  <sheetData>
    <row r="1" spans="1:23">
      <c r="A1" s="282"/>
      <c r="B1" s="282"/>
      <c r="C1" s="282"/>
      <c r="D1" s="282"/>
      <c r="E1" s="282"/>
      <c r="F1" s="282"/>
      <c r="G1" s="283"/>
      <c r="H1" s="283"/>
      <c r="I1" s="282"/>
      <c r="J1" s="282"/>
      <c r="K1" s="282"/>
      <c r="L1" s="282"/>
      <c r="M1" s="282"/>
      <c r="N1" s="282"/>
      <c r="O1" s="282"/>
      <c r="P1" s="282"/>
      <c r="Q1" s="282"/>
      <c r="R1" s="282"/>
      <c r="S1" s="282"/>
      <c r="T1" s="282"/>
      <c r="U1" s="282"/>
      <c r="V1" s="282"/>
      <c r="W1" s="282"/>
    </row>
    <row r="2" spans="1:23" ht="19.5" customHeight="1">
      <c r="A2" s="282"/>
      <c r="B2" s="522" t="s">
        <v>3315</v>
      </c>
      <c r="C2" s="522"/>
      <c r="D2" s="522"/>
      <c r="E2" s="522"/>
      <c r="F2" s="522"/>
      <c r="G2" s="283"/>
      <c r="H2" s="523" t="s">
        <v>0</v>
      </c>
      <c r="I2" s="523"/>
      <c r="J2" s="282"/>
      <c r="K2" s="524" t="s">
        <v>1</v>
      </c>
      <c r="L2" s="524"/>
      <c r="M2" s="524"/>
      <c r="N2" s="524"/>
      <c r="O2" s="524"/>
      <c r="P2" s="524"/>
      <c r="Q2" s="524"/>
      <c r="R2" s="524"/>
      <c r="S2" s="524"/>
      <c r="T2" s="282"/>
      <c r="U2" s="282"/>
      <c r="V2" s="282"/>
      <c r="W2" s="282"/>
    </row>
    <row r="3" spans="1:23">
      <c r="A3" s="282"/>
      <c r="B3" s="282"/>
      <c r="C3" s="282"/>
      <c r="D3" s="282"/>
      <c r="E3" s="282"/>
      <c r="F3" s="282"/>
      <c r="G3" s="285"/>
      <c r="H3" s="283"/>
      <c r="I3" s="282"/>
      <c r="J3" s="282"/>
      <c r="K3" s="284" t="s">
        <v>3297</v>
      </c>
      <c r="L3" s="285"/>
      <c r="M3" s="285"/>
      <c r="N3" s="285"/>
      <c r="O3" s="285"/>
      <c r="P3" s="511" t="s">
        <v>3298</v>
      </c>
      <c r="Q3" s="285"/>
      <c r="R3" s="285"/>
      <c r="S3" s="285"/>
      <c r="T3" s="282"/>
      <c r="U3" s="282"/>
      <c r="V3" s="282"/>
      <c r="W3" s="282"/>
    </row>
    <row r="4" spans="1:23">
      <c r="A4" s="282"/>
      <c r="B4" s="282"/>
      <c r="C4" s="282"/>
      <c r="D4" s="282"/>
      <c r="E4" s="282"/>
      <c r="F4" s="282"/>
      <c r="G4" s="283"/>
      <c r="H4" s="283"/>
      <c r="I4" s="286" t="s">
        <v>2</v>
      </c>
      <c r="J4" s="282"/>
      <c r="K4" s="282"/>
      <c r="L4" s="282"/>
      <c r="M4" s="282"/>
      <c r="N4" s="282"/>
      <c r="O4" s="282"/>
      <c r="P4" s="282"/>
      <c r="Q4" s="282"/>
      <c r="R4" s="282"/>
      <c r="S4" s="282"/>
      <c r="T4" s="282"/>
      <c r="U4" s="282"/>
      <c r="V4" s="282"/>
      <c r="W4" s="282"/>
    </row>
    <row r="5" spans="1:23">
      <c r="A5" s="287" t="s">
        <v>3</v>
      </c>
      <c r="B5" s="288" t="s">
        <v>4</v>
      </c>
      <c r="C5" s="289" t="s">
        <v>5</v>
      </c>
      <c r="D5" s="415" t="s">
        <v>2087</v>
      </c>
      <c r="E5" s="287" t="s">
        <v>6</v>
      </c>
      <c r="F5" s="527" t="s">
        <v>7</v>
      </c>
      <c r="G5" s="527"/>
      <c r="H5" s="528"/>
      <c r="I5" s="415" t="s">
        <v>2083</v>
      </c>
      <c r="J5" s="282"/>
      <c r="K5" s="530" t="s">
        <v>3316</v>
      </c>
      <c r="L5" s="530"/>
      <c r="M5" s="530"/>
      <c r="N5" s="282"/>
      <c r="O5" s="291"/>
      <c r="P5" s="291"/>
      <c r="Q5" s="282"/>
      <c r="R5" s="282"/>
      <c r="S5" s="282"/>
      <c r="T5" s="282"/>
      <c r="U5" s="282"/>
      <c r="V5" s="282"/>
      <c r="W5" s="282"/>
    </row>
    <row r="6" spans="1:23">
      <c r="A6" s="282"/>
      <c r="B6" s="321" t="s">
        <v>8</v>
      </c>
      <c r="C6" s="282"/>
      <c r="D6" s="321" t="s">
        <v>9</v>
      </c>
      <c r="E6" s="282"/>
      <c r="F6" s="321"/>
      <c r="G6" s="283"/>
      <c r="H6" s="283"/>
      <c r="I6" s="282"/>
      <c r="J6" s="282"/>
      <c r="K6" s="515" t="s">
        <v>3317</v>
      </c>
      <c r="L6" s="515"/>
      <c r="M6" s="515"/>
      <c r="N6" s="515"/>
      <c r="O6" s="529"/>
      <c r="P6" s="529"/>
      <c r="Q6" s="529"/>
      <c r="R6" s="529"/>
      <c r="S6" s="282"/>
      <c r="T6" s="282"/>
      <c r="U6" s="282"/>
      <c r="V6" s="282"/>
      <c r="W6" s="282"/>
    </row>
    <row r="7" spans="1:23">
      <c r="A7" s="293"/>
      <c r="B7" s="288" t="s">
        <v>10</v>
      </c>
      <c r="C7" s="282"/>
      <c r="D7" s="294" t="s">
        <v>3299</v>
      </c>
      <c r="E7" s="282"/>
      <c r="F7" s="288" t="s">
        <v>2256</v>
      </c>
      <c r="G7" s="295">
        <f>IF(計分版!E14=FALSE,計分版!E3,計分版!E8)</f>
        <v>3E-9</v>
      </c>
      <c r="H7" s="288" t="s">
        <v>2102</v>
      </c>
      <c r="I7" s="295">
        <f>IF(計分版!E14=FALSE,計分版!E5,計分版!E12)</f>
        <v>1.5E-9</v>
      </c>
      <c r="J7" s="282"/>
      <c r="K7" s="515"/>
      <c r="L7" s="515"/>
      <c r="M7" s="515"/>
      <c r="N7" s="515"/>
      <c r="O7" s="529"/>
      <c r="P7" s="529"/>
      <c r="Q7" s="529"/>
      <c r="R7" s="529"/>
      <c r="S7" s="282"/>
      <c r="T7" s="282"/>
      <c r="U7" s="282"/>
      <c r="V7" s="282"/>
      <c r="W7" s="282"/>
    </row>
    <row r="8" spans="1:23">
      <c r="A8" s="282"/>
      <c r="B8" s="282" t="s">
        <v>12</v>
      </c>
      <c r="C8" s="296" t="s">
        <v>3272</v>
      </c>
      <c r="D8" s="512"/>
      <c r="E8" s="282"/>
      <c r="F8" s="288" t="s">
        <v>785</v>
      </c>
      <c r="G8" s="295">
        <f>IF(計分版!E14=FALSE,計分版!E4,計分版!E9)</f>
        <v>3.4999999999999999E-9</v>
      </c>
      <c r="H8" s="288" t="s">
        <v>2103</v>
      </c>
      <c r="I8" s="295">
        <f>IF(計分版!E14=FALSE,計分版!E6,計分版!E13)</f>
        <v>2.2999999999999999E-9</v>
      </c>
      <c r="J8" s="282"/>
      <c r="K8" s="515"/>
      <c r="L8" s="515"/>
      <c r="M8" s="515"/>
      <c r="N8" s="515"/>
      <c r="O8" s="530"/>
      <c r="P8" s="530"/>
      <c r="Q8" s="530"/>
      <c r="R8" s="530"/>
      <c r="S8" s="282"/>
      <c r="T8" s="282"/>
      <c r="U8" s="282"/>
      <c r="V8" s="282"/>
      <c r="W8" s="282"/>
    </row>
    <row r="9" spans="1:23">
      <c r="A9" s="282"/>
      <c r="B9" s="282" t="s">
        <v>14</v>
      </c>
      <c r="C9" s="296" t="s">
        <v>3272</v>
      </c>
      <c r="D9" s="512"/>
      <c r="E9" s="282"/>
      <c r="F9" s="531"/>
      <c r="G9" s="531"/>
      <c r="H9" s="531"/>
      <c r="I9" s="282"/>
      <c r="J9" s="297"/>
      <c r="K9" s="298" t="s">
        <v>15</v>
      </c>
      <c r="L9" s="282"/>
      <c r="M9" s="282"/>
      <c r="N9" s="282"/>
      <c r="O9" s="292"/>
      <c r="P9" s="292"/>
      <c r="Q9" s="282"/>
      <c r="R9" s="282"/>
      <c r="S9" s="282"/>
      <c r="T9" s="299" t="s">
        <v>16</v>
      </c>
      <c r="U9" s="282"/>
      <c r="V9" s="282"/>
      <c r="W9" s="282"/>
    </row>
    <row r="10" spans="1:23">
      <c r="A10" s="282"/>
      <c r="B10" s="282" t="s">
        <v>17</v>
      </c>
      <c r="C10" s="296" t="s">
        <v>3272</v>
      </c>
      <c r="D10" s="512"/>
      <c r="E10" s="282"/>
      <c r="F10" s="282"/>
      <c r="G10" s="283"/>
      <c r="H10" s="283"/>
      <c r="I10" s="282"/>
      <c r="J10" s="282"/>
      <c r="K10" s="282"/>
      <c r="L10" s="282"/>
      <c r="M10" s="282"/>
      <c r="N10" s="282"/>
      <c r="O10" s="292"/>
      <c r="P10" s="292"/>
      <c r="Q10" s="282"/>
      <c r="R10" s="282"/>
      <c r="S10" s="282"/>
      <c r="T10" s="299" t="s">
        <v>18</v>
      </c>
      <c r="U10" s="282"/>
      <c r="V10" s="282"/>
      <c r="W10" s="282"/>
    </row>
    <row r="11" spans="1:23">
      <c r="A11" s="282"/>
      <c r="B11" s="282" t="s">
        <v>2099</v>
      </c>
      <c r="C11" s="296" t="s">
        <v>3272</v>
      </c>
      <c r="D11" s="512"/>
      <c r="E11" s="287" t="s">
        <v>19</v>
      </c>
      <c r="F11" s="527" t="s">
        <v>20</v>
      </c>
      <c r="G11" s="527"/>
      <c r="H11" s="283"/>
      <c r="I11" s="516" t="s">
        <v>2957</v>
      </c>
      <c r="J11" s="516"/>
      <c r="K11" s="516"/>
      <c r="L11" s="516"/>
      <c r="M11" s="516"/>
      <c r="N11" s="282"/>
      <c r="O11" s="282"/>
      <c r="P11" s="282"/>
      <c r="Q11" s="282"/>
      <c r="R11" s="282"/>
      <c r="S11" s="282"/>
      <c r="T11" s="282"/>
      <c r="U11" s="282"/>
      <c r="V11" s="282"/>
      <c r="W11" s="282"/>
    </row>
    <row r="12" spans="1:23">
      <c r="A12" s="282"/>
      <c r="B12" s="282" t="s">
        <v>21</v>
      </c>
      <c r="C12" s="296" t="s">
        <v>3272</v>
      </c>
      <c r="D12" s="512"/>
      <c r="E12" s="282"/>
      <c r="F12" s="533" t="s">
        <v>22</v>
      </c>
      <c r="G12" s="533"/>
      <c r="H12" s="533"/>
      <c r="I12" s="516" t="s">
        <v>23</v>
      </c>
      <c r="J12" s="516"/>
      <c r="K12" s="516"/>
      <c r="L12" s="525" t="s">
        <v>24</v>
      </c>
      <c r="M12" s="526"/>
      <c r="N12" s="415" t="s">
        <v>2083</v>
      </c>
      <c r="O12" s="282"/>
      <c r="P12" s="282"/>
      <c r="Q12" s="282"/>
      <c r="R12" s="282"/>
      <c r="S12" s="282"/>
      <c r="T12" s="282"/>
      <c r="U12" s="282"/>
      <c r="V12" s="282"/>
      <c r="W12" s="282"/>
    </row>
    <row r="13" spans="1:23" ht="14.7" customHeight="1">
      <c r="A13" s="282"/>
      <c r="B13" s="282"/>
      <c r="C13" s="300"/>
      <c r="D13" s="294"/>
      <c r="E13" s="282"/>
      <c r="F13" s="282"/>
      <c r="G13" s="283"/>
      <c r="H13" s="283"/>
      <c r="I13" s="282"/>
      <c r="J13" s="282"/>
      <c r="K13" s="282"/>
      <c r="L13" s="282"/>
      <c r="M13" s="282"/>
      <c r="N13" s="282"/>
      <c r="O13" s="290" t="s">
        <v>2253</v>
      </c>
      <c r="P13" s="290" t="s">
        <v>26</v>
      </c>
      <c r="Q13" s="322" t="s">
        <v>27</v>
      </c>
      <c r="R13" s="322"/>
      <c r="S13" s="282"/>
      <c r="T13" s="282"/>
      <c r="U13" s="282"/>
      <c r="V13" s="282"/>
      <c r="W13" s="282"/>
    </row>
    <row r="14" spans="1:23">
      <c r="A14" s="282"/>
      <c r="B14" s="288" t="s">
        <v>28</v>
      </c>
      <c r="C14" s="300"/>
      <c r="D14" s="294"/>
      <c r="E14" s="282"/>
      <c r="F14" s="282"/>
      <c r="G14" s="301" t="s">
        <v>29</v>
      </c>
      <c r="H14" s="301" t="s">
        <v>30</v>
      </c>
      <c r="I14" s="301" t="s">
        <v>31</v>
      </c>
      <c r="J14" s="290" t="s">
        <v>32</v>
      </c>
      <c r="K14" s="290" t="s">
        <v>33</v>
      </c>
      <c r="L14" s="290" t="s">
        <v>34</v>
      </c>
      <c r="M14" s="291" t="s">
        <v>35</v>
      </c>
      <c r="N14" s="290" t="s">
        <v>36</v>
      </c>
      <c r="O14" s="290" t="s">
        <v>37</v>
      </c>
      <c r="P14" s="290" t="s">
        <v>38</v>
      </c>
      <c r="Q14" s="291" t="s">
        <v>39</v>
      </c>
      <c r="R14" s="291"/>
      <c r="S14" s="282"/>
      <c r="T14" s="282"/>
      <c r="U14" s="282"/>
      <c r="V14" s="282"/>
      <c r="W14" s="282"/>
    </row>
    <row r="15" spans="1:23">
      <c r="A15" s="282"/>
      <c r="B15" s="302" t="s">
        <v>3303</v>
      </c>
      <c r="C15" s="296" t="s">
        <v>3272</v>
      </c>
      <c r="D15" s="512"/>
      <c r="E15" s="303" t="s">
        <v>40</v>
      </c>
      <c r="F15" s="304" t="s">
        <v>41</v>
      </c>
      <c r="G15" s="305" t="str">
        <f>'A123'!B16</f>
        <v>CUHK</v>
      </c>
      <c r="H15" s="305" t="str">
        <f>'A123'!D16</f>
        <v>PSYCHOLOGY</v>
      </c>
      <c r="I15" s="306" t="str">
        <f>'A123'!E16</f>
        <v>Best 5</v>
      </c>
      <c r="J15" s="307">
        <f>'A123'!F16</f>
        <v>33.75</v>
      </c>
      <c r="K15" s="307">
        <f>'A123'!G16</f>
        <v>32.25</v>
      </c>
      <c r="L15" s="307">
        <f>'A123'!H16</f>
        <v>30.75</v>
      </c>
      <c r="M15" s="324">
        <f>'A123'!I16</f>
        <v>3.4999999999999999E-9</v>
      </c>
      <c r="N15" s="307">
        <f>'A123'!J16</f>
        <v>56</v>
      </c>
      <c r="O15" s="307">
        <f>'A123'!K16</f>
        <v>60</v>
      </c>
      <c r="P15" s="309">
        <f>'A123'!L16</f>
        <v>5.7</v>
      </c>
      <c r="Q15" s="325" t="str">
        <f>IF('A123'!M16=0, "否",IF('A123'!M16=2,"或有額外要求",IF('A123'!M16=1,"是","")))</f>
        <v>否</v>
      </c>
      <c r="R15" s="325"/>
      <c r="S15" s="282"/>
      <c r="T15" s="282"/>
      <c r="U15" s="282"/>
      <c r="V15" s="282"/>
      <c r="W15" s="282"/>
    </row>
    <row r="16" spans="1:23">
      <c r="A16" s="283" t="s">
        <v>42</v>
      </c>
      <c r="B16" s="302" t="s">
        <v>3304</v>
      </c>
      <c r="C16" s="296" t="s">
        <v>3272</v>
      </c>
      <c r="D16" s="512"/>
      <c r="E16" s="288"/>
      <c r="F16" s="310"/>
      <c r="G16" s="305" t="str">
        <f>'A123'!C16</f>
        <v>心理學</v>
      </c>
      <c r="H16" s="307"/>
      <c r="I16" s="310"/>
      <c r="J16" s="311">
        <f>IF('A123'!A1=FALSE,'A123'!B5,'A123'!F5)</f>
        <v>-9642857141.8571434</v>
      </c>
      <c r="K16" s="311">
        <f>IF('A123'!A1=FALSE,'A123'!C5,'A123'!G5)</f>
        <v>-9214285713.2857151</v>
      </c>
      <c r="L16" s="311">
        <f>IF('A123'!A1=FALSE,'A123'!D5,'A123'!H5)</f>
        <v>-8785714284.7142868</v>
      </c>
      <c r="M16" s="307"/>
      <c r="N16" s="307"/>
      <c r="O16" s="307"/>
      <c r="P16" s="307"/>
      <c r="Q16" s="282"/>
      <c r="R16" s="282"/>
      <c r="S16" s="282"/>
      <c r="T16" s="282"/>
      <c r="U16" s="282"/>
      <c r="V16" s="282"/>
      <c r="W16" s="282"/>
    </row>
    <row r="17" spans="1:23">
      <c r="A17" s="283" t="s">
        <v>43</v>
      </c>
      <c r="B17" s="302" t="s">
        <v>3305</v>
      </c>
      <c r="C17" s="296" t="s">
        <v>3272</v>
      </c>
      <c r="D17" s="512"/>
      <c r="E17" s="288"/>
      <c r="F17" s="288"/>
      <c r="G17" s="288"/>
      <c r="H17" s="288"/>
      <c r="I17" s="288"/>
      <c r="J17" s="288"/>
      <c r="K17" s="288"/>
      <c r="L17" s="288"/>
      <c r="M17" s="288"/>
      <c r="N17" s="288"/>
      <c r="O17" s="288"/>
      <c r="P17" s="288"/>
      <c r="Q17" s="288"/>
      <c r="R17" s="325"/>
      <c r="S17" s="282"/>
      <c r="T17" s="282"/>
      <c r="U17" s="282"/>
      <c r="V17" s="282"/>
      <c r="W17" s="282"/>
    </row>
    <row r="18" spans="1:23">
      <c r="A18" s="283" t="s">
        <v>46</v>
      </c>
      <c r="B18" s="302" t="s">
        <v>3273</v>
      </c>
      <c r="C18" s="312" t="s">
        <v>3272</v>
      </c>
      <c r="D18" s="512"/>
      <c r="E18" s="303" t="s">
        <v>44</v>
      </c>
      <c r="F18" s="304"/>
      <c r="G18" s="305" t="str">
        <f>'A123'!B17</f>
        <v/>
      </c>
      <c r="H18" s="305" t="str">
        <f>'A123'!D17</f>
        <v/>
      </c>
      <c r="I18" s="306" t="str">
        <f>'A123'!E17</f>
        <v/>
      </c>
      <c r="J18" s="307" t="str">
        <f>'A123'!F17</f>
        <v/>
      </c>
      <c r="K18" s="307" t="str">
        <f>'A123'!G17</f>
        <v/>
      </c>
      <c r="L18" s="307" t="str">
        <f>'A123'!H17</f>
        <v/>
      </c>
      <c r="M18" s="308" t="str">
        <f>'A123'!I17</f>
        <v/>
      </c>
      <c r="N18" s="307" t="str">
        <f>'A123'!J17</f>
        <v/>
      </c>
      <c r="O18" s="307" t="str">
        <f>'A123'!K17</f>
        <v/>
      </c>
      <c r="P18" s="309" t="str">
        <f>'A123'!L17</f>
        <v/>
      </c>
      <c r="Q18" s="325" t="str">
        <f>IF('A123'!M17=0, "否",IF('A123'!M17=2,"或有額外要求",IF('A123'!M17=1,"是","")))</f>
        <v/>
      </c>
      <c r="R18" s="282"/>
      <c r="S18" s="282" t="s">
        <v>45</v>
      </c>
      <c r="T18" s="282"/>
      <c r="U18" s="282"/>
      <c r="V18" s="282"/>
      <c r="W18" s="282"/>
    </row>
    <row r="19" spans="1:23">
      <c r="A19" s="282"/>
      <c r="B19" s="302" t="s">
        <v>3088</v>
      </c>
      <c r="C19" s="312" t="s">
        <v>3272</v>
      </c>
      <c r="D19" s="512"/>
      <c r="E19" s="288"/>
      <c r="F19" s="313"/>
      <c r="G19" s="305" t="str">
        <f>'A123'!C17</f>
        <v/>
      </c>
      <c r="H19" s="307"/>
      <c r="I19" s="310"/>
      <c r="J19" s="311" t="str">
        <f>IF('A123'!A1=FALSE,'A123'!B7,'A123'!F7)</f>
        <v/>
      </c>
      <c r="K19" s="311" t="str">
        <f>IF('A123'!A1=FALSE,'A123'!C7,'A123'!G7)</f>
        <v/>
      </c>
      <c r="L19" s="311" t="str">
        <f>IF('A123'!A1=FALSE,'A123'!D7,'A123'!H7)</f>
        <v/>
      </c>
      <c r="M19" s="307"/>
      <c r="N19" s="307"/>
      <c r="O19" s="307"/>
      <c r="P19" s="307"/>
      <c r="Q19" s="282"/>
      <c r="R19" s="325"/>
      <c r="S19" s="282"/>
      <c r="T19" s="282"/>
      <c r="U19" s="282"/>
      <c r="V19" s="282"/>
      <c r="W19" s="282"/>
    </row>
    <row r="20" spans="1:23">
      <c r="A20" s="314"/>
      <c r="B20" s="282"/>
      <c r="C20" s="282"/>
      <c r="D20" s="300"/>
      <c r="E20" s="288"/>
      <c r="F20" s="288"/>
      <c r="G20" s="288"/>
      <c r="H20" s="288"/>
      <c r="I20" s="288"/>
      <c r="J20" s="288"/>
      <c r="K20" s="288"/>
      <c r="L20" s="288"/>
      <c r="M20" s="288"/>
      <c r="N20" s="288"/>
      <c r="O20" s="288"/>
      <c r="P20" s="288"/>
      <c r="Q20" s="288"/>
      <c r="R20" s="323"/>
      <c r="S20" s="323"/>
      <c r="T20" s="282"/>
      <c r="U20" s="282"/>
      <c r="V20" s="282"/>
      <c r="W20" s="282"/>
    </row>
    <row r="21" spans="1:23">
      <c r="A21" s="282"/>
      <c r="B21" s="282"/>
      <c r="C21" s="282"/>
      <c r="D21" s="282"/>
      <c r="E21" s="303" t="s">
        <v>48</v>
      </c>
      <c r="F21" s="304"/>
      <c r="G21" s="305" t="str">
        <f>'A123'!B18</f>
        <v/>
      </c>
      <c r="H21" s="305" t="str">
        <f>'A123'!D18</f>
        <v/>
      </c>
      <c r="I21" s="306" t="str">
        <f>'A123'!E18</f>
        <v/>
      </c>
      <c r="J21" s="307" t="str">
        <f>'A123'!F18</f>
        <v/>
      </c>
      <c r="K21" s="307" t="str">
        <f>'A123'!G18</f>
        <v/>
      </c>
      <c r="L21" s="307" t="str">
        <f>'A123'!H18</f>
        <v/>
      </c>
      <c r="M21" s="308" t="str">
        <f>'A123'!I18</f>
        <v/>
      </c>
      <c r="N21" s="307" t="str">
        <f>'A123'!J18</f>
        <v/>
      </c>
      <c r="O21" s="307" t="str">
        <f>'A123'!K18</f>
        <v/>
      </c>
      <c r="P21" s="309" t="str">
        <f>'A123'!L18</f>
        <v/>
      </c>
      <c r="Q21" s="325" t="str">
        <f>IF('A123'!M18=0, "否",IF('A123'!M18=2,"或有額外要求",IF('A123'!M18=1,"是","")))</f>
        <v/>
      </c>
      <c r="R21" s="323"/>
      <c r="S21" s="323"/>
      <c r="T21" s="282"/>
      <c r="U21" s="282"/>
      <c r="V21" s="282"/>
      <c r="W21" s="282"/>
    </row>
    <row r="22" spans="1:23" ht="18">
      <c r="A22" s="282"/>
      <c r="B22" s="316" t="s">
        <v>52</v>
      </c>
      <c r="C22" s="282"/>
      <c r="D22" s="282"/>
      <c r="E22" s="282"/>
      <c r="F22" s="313"/>
      <c r="G22" s="305" t="str">
        <f>'A123'!C18</f>
        <v/>
      </c>
      <c r="H22" s="307"/>
      <c r="I22" s="310"/>
      <c r="J22" s="311" t="str">
        <f>IF('A123'!A1=FALSE,'A123'!B9,'A123'!F9)</f>
        <v/>
      </c>
      <c r="K22" s="311" t="str">
        <f>IF('A123'!A1=FALSE,'A123'!C9,'A123'!G9)</f>
        <v/>
      </c>
      <c r="L22" s="311" t="str">
        <f>IF('A123'!A1=FALSE,'A123'!D9,'A123'!H9)</f>
        <v/>
      </c>
      <c r="M22" s="305"/>
      <c r="N22" s="322" t="s">
        <v>49</v>
      </c>
      <c r="O22" s="323"/>
      <c r="P22" s="322" t="s">
        <v>50</v>
      </c>
      <c r="Q22" s="323"/>
      <c r="R22" s="282"/>
      <c r="S22" s="282"/>
      <c r="T22" s="282"/>
      <c r="U22" s="282"/>
      <c r="V22" s="282"/>
      <c r="W22" s="282"/>
    </row>
    <row r="23" spans="1:23">
      <c r="A23" s="282"/>
      <c r="B23" s="414" t="s">
        <v>53</v>
      </c>
      <c r="C23" s="282"/>
      <c r="D23" s="282" t="s">
        <v>64</v>
      </c>
      <c r="E23" s="282"/>
      <c r="F23" s="282"/>
      <c r="G23" s="282"/>
      <c r="H23" s="282"/>
      <c r="I23" s="282"/>
      <c r="J23" s="282"/>
      <c r="K23" s="282"/>
      <c r="L23" s="282"/>
      <c r="M23" s="282"/>
      <c r="N23" s="322" t="s">
        <v>51</v>
      </c>
      <c r="O23" s="323"/>
      <c r="P23" s="323"/>
      <c r="Q23" s="323"/>
      <c r="R23" s="282"/>
      <c r="S23" s="282"/>
      <c r="T23" s="282"/>
      <c r="U23" s="282"/>
      <c r="V23" s="282"/>
      <c r="W23" s="282"/>
    </row>
    <row r="24" spans="1:23">
      <c r="A24" s="282"/>
      <c r="B24" s="476" t="s">
        <v>3091</v>
      </c>
      <c r="C24" s="282"/>
      <c r="D24" s="282"/>
      <c r="E24" s="414"/>
      <c r="F24" s="315"/>
      <c r="G24" s="283"/>
      <c r="H24" s="283"/>
      <c r="I24" s="282"/>
      <c r="J24" s="282"/>
      <c r="K24" s="341"/>
      <c r="L24" s="341"/>
      <c r="M24" s="341"/>
      <c r="N24" s="341"/>
      <c r="O24" s="282"/>
      <c r="P24" s="282"/>
      <c r="Q24" s="282"/>
      <c r="R24" s="282"/>
      <c r="S24" s="282"/>
      <c r="T24" s="282"/>
      <c r="U24" s="282"/>
      <c r="V24" s="282"/>
      <c r="W24" s="282"/>
    </row>
    <row r="25" spans="1:23">
      <c r="A25" s="282"/>
      <c r="B25" s="305" t="s">
        <v>3092</v>
      </c>
      <c r="C25" s="305"/>
      <c r="D25" s="305"/>
      <c r="E25" s="305"/>
      <c r="F25" s="305"/>
      <c r="G25" s="305"/>
      <c r="H25" s="305"/>
      <c r="I25" s="305"/>
      <c r="J25" s="305"/>
      <c r="K25" s="282"/>
      <c r="L25" s="282"/>
      <c r="M25" s="282"/>
      <c r="N25" s="282"/>
      <c r="O25" s="282"/>
      <c r="P25" s="282"/>
      <c r="Q25" s="282"/>
      <c r="R25" s="282"/>
      <c r="S25" s="282"/>
      <c r="T25" s="282"/>
      <c r="U25" s="282"/>
      <c r="V25" s="282"/>
      <c r="W25" s="282"/>
    </row>
    <row r="26" spans="1:23">
      <c r="A26" s="282"/>
      <c r="B26" s="317" t="s">
        <v>54</v>
      </c>
      <c r="C26" s="414" t="s">
        <v>2534</v>
      </c>
      <c r="D26" s="282"/>
      <c r="E26" s="282" t="s">
        <v>64</v>
      </c>
      <c r="F26" s="282"/>
      <c r="G26" s="283"/>
      <c r="H26" s="283"/>
      <c r="I26" s="282"/>
      <c r="J26" s="282"/>
      <c r="K26" s="282"/>
      <c r="L26" s="282"/>
      <c r="M26" s="282"/>
      <c r="N26" s="282"/>
      <c r="O26" s="282"/>
      <c r="P26" s="282"/>
      <c r="Q26" s="282"/>
      <c r="R26" s="282"/>
      <c r="S26" s="282"/>
      <c r="T26" s="282"/>
      <c r="U26" s="282"/>
      <c r="V26" s="282"/>
      <c r="W26" s="282"/>
    </row>
    <row r="27" spans="1:23" ht="18">
      <c r="A27" s="282"/>
      <c r="B27" s="282"/>
      <c r="C27" s="310"/>
      <c r="D27" s="310"/>
      <c r="E27" s="310"/>
      <c r="F27" s="532"/>
      <c r="G27" s="532"/>
      <c r="H27" s="532"/>
      <c r="I27" s="532"/>
      <c r="J27" s="532"/>
      <c r="K27" s="310"/>
      <c r="L27" s="310"/>
      <c r="M27" s="310"/>
      <c r="N27" s="310"/>
      <c r="O27" s="532"/>
      <c r="P27" s="532"/>
      <c r="Q27" s="532"/>
      <c r="R27" s="532"/>
      <c r="S27" s="532"/>
      <c r="T27" s="282"/>
      <c r="U27" s="282"/>
      <c r="V27" s="282"/>
      <c r="W27" s="282"/>
    </row>
    <row r="28" spans="1:23" ht="16.5" customHeight="1">
      <c r="A28" s="287" t="s">
        <v>55</v>
      </c>
      <c r="B28" s="288" t="s">
        <v>56</v>
      </c>
      <c r="C28" s="282"/>
      <c r="D28" s="282"/>
      <c r="E28" s="282"/>
      <c r="F28" s="516" t="s">
        <v>57</v>
      </c>
      <c r="G28" s="516"/>
      <c r="H28" s="516"/>
      <c r="I28" s="516"/>
      <c r="J28" s="518"/>
      <c r="K28" s="518"/>
      <c r="L28" s="518"/>
      <c r="M28" s="518"/>
      <c r="N28" s="282"/>
      <c r="O28" s="516" t="s">
        <v>58</v>
      </c>
      <c r="P28" s="516"/>
      <c r="Q28" s="516"/>
      <c r="R28" s="516"/>
      <c r="S28" s="516"/>
      <c r="T28" s="516"/>
      <c r="U28" s="516"/>
      <c r="V28" s="344"/>
      <c r="W28" s="282"/>
    </row>
    <row r="29" spans="1:23" ht="15.75" customHeight="1">
      <c r="A29" s="282"/>
      <c r="B29" s="314" t="s">
        <v>2252</v>
      </c>
      <c r="C29" s="282"/>
      <c r="D29" s="293" t="s">
        <v>2939</v>
      </c>
      <c r="E29" s="282"/>
      <c r="F29" s="520" t="s">
        <v>3306</v>
      </c>
      <c r="G29" s="520"/>
      <c r="H29" s="520"/>
      <c r="I29" s="520"/>
      <c r="J29" s="520"/>
      <c r="K29" s="520"/>
      <c r="L29" s="520"/>
      <c r="M29" s="520"/>
      <c r="N29" s="282"/>
      <c r="O29" s="348"/>
      <c r="P29" s="348"/>
      <c r="Q29" s="348"/>
      <c r="R29" s="348"/>
      <c r="S29" s="348"/>
      <c r="T29" s="348"/>
      <c r="U29" s="348"/>
      <c r="V29" s="348"/>
      <c r="W29" s="282"/>
    </row>
    <row r="30" spans="1:23" ht="16.5" customHeight="1">
      <c r="A30" s="293"/>
      <c r="B30" s="288" t="s">
        <v>10</v>
      </c>
      <c r="C30" s="282"/>
      <c r="D30" s="293" t="s">
        <v>59</v>
      </c>
      <c r="E30" s="282"/>
      <c r="F30" s="515" t="s">
        <v>3307</v>
      </c>
      <c r="G30" s="515"/>
      <c r="H30" s="515"/>
      <c r="I30" s="515"/>
      <c r="J30" s="518"/>
      <c r="K30" s="518"/>
      <c r="L30" s="518"/>
      <c r="M30" s="518"/>
      <c r="N30" s="282"/>
      <c r="O30" s="517" t="s">
        <v>2278</v>
      </c>
      <c r="P30" s="517"/>
      <c r="Q30" s="517"/>
      <c r="R30" s="517"/>
      <c r="S30" s="517"/>
      <c r="T30" s="517"/>
      <c r="U30" s="517"/>
      <c r="V30" s="517"/>
      <c r="W30" s="282"/>
    </row>
    <row r="31" spans="1:23">
      <c r="A31" s="282"/>
      <c r="B31" s="282" t="s">
        <v>12</v>
      </c>
      <c r="C31" s="318" t="str">
        <f>IF(計分版!$E$15=FALSE,IF(C8="請選擇等級","",C8),計分版!X7)</f>
        <v/>
      </c>
      <c r="D31" s="416" t="s">
        <v>2087</v>
      </c>
      <c r="E31" s="282"/>
      <c r="F31" s="515"/>
      <c r="G31" s="515"/>
      <c r="H31" s="515"/>
      <c r="I31" s="515"/>
      <c r="J31" s="520"/>
      <c r="K31" s="520"/>
      <c r="L31" s="520"/>
      <c r="M31" s="520"/>
      <c r="N31" s="282"/>
      <c r="O31" s="517"/>
      <c r="P31" s="517"/>
      <c r="Q31" s="517"/>
      <c r="R31" s="517"/>
      <c r="S31" s="517"/>
      <c r="T31" s="517"/>
      <c r="U31" s="517"/>
      <c r="V31" s="517"/>
      <c r="W31" s="282"/>
    </row>
    <row r="32" spans="1:23" ht="14.4" customHeight="1">
      <c r="A32" s="282"/>
      <c r="B32" s="282" t="s">
        <v>14</v>
      </c>
      <c r="C32" s="318" t="str">
        <f>IF(計分版!$E$15=FALSE,IF(C9="請選擇等級","",C9),計分版!Y7)</f>
        <v/>
      </c>
      <c r="D32" s="416" t="s">
        <v>2087</v>
      </c>
      <c r="E32" s="282"/>
      <c r="F32" s="521" t="s">
        <v>3302</v>
      </c>
      <c r="G32" s="521"/>
      <c r="H32" s="521"/>
      <c r="I32" s="521"/>
      <c r="J32" s="515"/>
      <c r="K32" s="515"/>
      <c r="L32" s="515"/>
      <c r="M32" s="515"/>
      <c r="N32" s="282"/>
      <c r="O32" s="517"/>
      <c r="P32" s="517"/>
      <c r="Q32" s="517"/>
      <c r="R32" s="517"/>
      <c r="S32" s="517"/>
      <c r="T32" s="517"/>
      <c r="U32" s="517"/>
      <c r="V32" s="517"/>
      <c r="W32" s="282"/>
    </row>
    <row r="33" spans="1:23" ht="15.6" customHeight="1">
      <c r="A33" s="282"/>
      <c r="B33" s="282" t="s">
        <v>17</v>
      </c>
      <c r="C33" s="318" t="str">
        <f>IF(計分版!$E$15=FALSE,IF(C10="請選擇等級","",C10),計分版!Z7)</f>
        <v/>
      </c>
      <c r="D33" s="416" t="s">
        <v>2087</v>
      </c>
      <c r="E33" s="282"/>
      <c r="F33" s="519" t="s">
        <v>3300</v>
      </c>
      <c r="G33" s="519"/>
      <c r="H33" s="519"/>
      <c r="I33" s="519"/>
      <c r="J33" s="518"/>
      <c r="K33" s="518"/>
      <c r="L33" s="518"/>
      <c r="M33" s="518"/>
      <c r="N33" s="282"/>
      <c r="O33" s="517"/>
      <c r="P33" s="517"/>
      <c r="Q33" s="517"/>
      <c r="R33" s="517"/>
      <c r="S33" s="517"/>
      <c r="T33" s="517"/>
      <c r="U33" s="517"/>
      <c r="V33" s="517"/>
      <c r="W33" s="282"/>
    </row>
    <row r="34" spans="1:23" ht="15.75" customHeight="1">
      <c r="A34" s="282"/>
      <c r="B34" s="282" t="s">
        <v>2254</v>
      </c>
      <c r="C34" s="318" t="str">
        <f>IF(計分版!$E$15=FALSE,IF(C11="請選擇等級","",C11),計分版!AA7)</f>
        <v/>
      </c>
      <c r="D34" s="416" t="s">
        <v>2087</v>
      </c>
      <c r="E34" s="282"/>
      <c r="F34" s="515" t="s">
        <v>3301</v>
      </c>
      <c r="G34" s="515"/>
      <c r="H34" s="515"/>
      <c r="I34" s="515"/>
      <c r="J34" s="520"/>
      <c r="K34" s="520"/>
      <c r="L34" s="520"/>
      <c r="M34" s="520"/>
      <c r="N34" s="282"/>
      <c r="O34" s="517"/>
      <c r="P34" s="517"/>
      <c r="Q34" s="517"/>
      <c r="R34" s="517"/>
      <c r="S34" s="517"/>
      <c r="T34" s="517"/>
      <c r="U34" s="517"/>
      <c r="V34" s="517"/>
      <c r="W34" s="282"/>
    </row>
    <row r="35" spans="1:23" ht="15.75" customHeight="1">
      <c r="A35" s="282"/>
      <c r="B35" s="282" t="s">
        <v>21</v>
      </c>
      <c r="C35" s="318" t="str">
        <f>IF(計分版!$E$15=FALSE,IF(C12="請選擇等級","",C12),計分版!AB7)</f>
        <v/>
      </c>
      <c r="D35" s="416" t="s">
        <v>2087</v>
      </c>
      <c r="E35" s="282"/>
      <c r="F35" s="515"/>
      <c r="G35" s="515"/>
      <c r="H35" s="515"/>
      <c r="I35" s="515"/>
      <c r="J35" s="515"/>
      <c r="K35" s="515"/>
      <c r="L35" s="515"/>
      <c r="M35" s="515"/>
      <c r="N35" s="282"/>
      <c r="O35" s="517"/>
      <c r="P35" s="517"/>
      <c r="Q35" s="517"/>
      <c r="R35" s="517"/>
      <c r="S35" s="517"/>
      <c r="T35" s="517"/>
      <c r="U35" s="517"/>
      <c r="V35" s="517"/>
      <c r="W35" s="282"/>
    </row>
    <row r="36" spans="1:23" ht="15" customHeight="1">
      <c r="A36" s="282"/>
      <c r="B36" s="282"/>
      <c r="C36" s="300"/>
      <c r="D36" s="282"/>
      <c r="E36" s="282"/>
      <c r="F36" s="515"/>
      <c r="G36" s="515"/>
      <c r="H36" s="515"/>
      <c r="I36" s="515"/>
      <c r="J36" s="515"/>
      <c r="K36" s="515"/>
      <c r="L36" s="515"/>
      <c r="M36" s="515"/>
      <c r="N36" s="282"/>
      <c r="O36" s="436"/>
      <c r="P36" s="436"/>
      <c r="Q36" s="436"/>
      <c r="R36" s="436"/>
      <c r="S36" s="436"/>
      <c r="T36" s="436"/>
      <c r="U36" s="436"/>
      <c r="V36" s="436"/>
      <c r="W36" s="282"/>
    </row>
    <row r="37" spans="1:23" ht="16.5" customHeight="1">
      <c r="A37" s="282"/>
      <c r="B37" s="288" t="s">
        <v>28</v>
      </c>
      <c r="C37" s="300"/>
      <c r="D37" s="282"/>
      <c r="E37" s="282"/>
      <c r="F37" s="418" t="s">
        <v>60</v>
      </c>
      <c r="G37" s="418"/>
      <c r="H37" s="418"/>
      <c r="I37" s="418"/>
      <c r="J37" s="515"/>
      <c r="K37" s="515"/>
      <c r="L37" s="515"/>
      <c r="M37" s="515"/>
      <c r="N37" s="282"/>
      <c r="O37" s="436"/>
      <c r="P37" s="436"/>
      <c r="Q37" s="436"/>
      <c r="R37" s="436"/>
      <c r="S37" s="436"/>
      <c r="T37" s="436"/>
      <c r="U37" s="436"/>
      <c r="V37" s="436"/>
      <c r="W37" s="282"/>
    </row>
    <row r="38" spans="1:23" ht="15.6" customHeight="1">
      <c r="A38" s="282"/>
      <c r="B38" s="282" t="str">
        <f>IF(B15="請選擇第一選修科","",B15)</f>
        <v/>
      </c>
      <c r="C38" s="318" t="str">
        <f>IF(計分版!$E$15=FALSE,IF(C15="請選擇等級","",C15),計分版!AC7)</f>
        <v/>
      </c>
      <c r="D38" s="416" t="s">
        <v>2087</v>
      </c>
      <c r="E38" s="282"/>
      <c r="F38" s="513" t="s">
        <v>2538</v>
      </c>
      <c r="G38" s="513"/>
      <c r="H38" s="513"/>
      <c r="I38" s="513"/>
      <c r="J38" s="518"/>
      <c r="K38" s="518"/>
      <c r="L38" s="518"/>
      <c r="M38" s="518"/>
      <c r="N38" s="282"/>
      <c r="O38" s="436"/>
      <c r="P38" s="436"/>
      <c r="Q38" s="436"/>
      <c r="R38" s="436"/>
      <c r="S38" s="436"/>
      <c r="T38" s="436"/>
      <c r="U38" s="436"/>
      <c r="V38" s="436"/>
      <c r="W38" s="282"/>
    </row>
    <row r="39" spans="1:23" ht="17.399999999999999" customHeight="1">
      <c r="A39" s="282"/>
      <c r="B39" s="282" t="str">
        <f>IF(B16="請選擇第二選修科","",B16)</f>
        <v/>
      </c>
      <c r="C39" s="318" t="str">
        <f>IF(計分版!$E$15=FALSE,IF(C16="請選擇等級","",C16),計分版!AD7)</f>
        <v/>
      </c>
      <c r="D39" s="416" t="s">
        <v>2087</v>
      </c>
      <c r="E39" s="282"/>
      <c r="F39" s="513" t="s">
        <v>61</v>
      </c>
      <c r="G39" s="513"/>
      <c r="H39" s="513"/>
      <c r="I39" s="513"/>
      <c r="J39" s="518"/>
      <c r="K39" s="518"/>
      <c r="L39" s="518"/>
      <c r="M39" s="518"/>
      <c r="N39" s="282"/>
      <c r="O39" s="436"/>
      <c r="P39" s="436"/>
      <c r="Q39" s="436"/>
      <c r="R39" s="436"/>
      <c r="S39" s="436"/>
      <c r="T39" s="436"/>
      <c r="U39" s="436"/>
      <c r="V39" s="436"/>
      <c r="W39" s="282"/>
    </row>
    <row r="40" spans="1:23">
      <c r="A40" s="282"/>
      <c r="B40" s="282" t="str">
        <f>IF(B17="請選擇第三選修科","",B17)</f>
        <v/>
      </c>
      <c r="C40" s="318" t="str">
        <f>IF(計分版!$E$15=FALSE,IF(C17="請選擇等級","",C17),計分版!AE7)</f>
        <v/>
      </c>
      <c r="D40" s="416" t="s">
        <v>2087</v>
      </c>
      <c r="E40" s="282"/>
      <c r="F40" s="513" t="s">
        <v>62</v>
      </c>
      <c r="G40" s="513"/>
      <c r="H40" s="513"/>
      <c r="I40" s="513"/>
      <c r="J40" s="518"/>
      <c r="K40" s="518"/>
      <c r="L40" s="518"/>
      <c r="M40" s="518"/>
      <c r="N40" s="282"/>
      <c r="O40" s="436"/>
      <c r="P40" s="436"/>
      <c r="Q40" s="436"/>
      <c r="R40" s="436"/>
      <c r="S40" s="436"/>
      <c r="T40" s="436"/>
      <c r="U40" s="436"/>
      <c r="V40" s="436"/>
      <c r="W40" s="282"/>
    </row>
    <row r="41" spans="1:23">
      <c r="A41" s="282"/>
      <c r="B41" s="282" t="str">
        <f>IF(B18="請選擇第四選修科","",B18)</f>
        <v/>
      </c>
      <c r="C41" s="318" t="str">
        <f>IF(計分版!$E$15=FALSE,IF(C18="請選擇等級","",C18),計分版!AF7)</f>
        <v/>
      </c>
      <c r="D41" s="416" t="s">
        <v>2087</v>
      </c>
      <c r="E41" s="282"/>
      <c r="F41" s="417"/>
      <c r="G41" s="417"/>
      <c r="H41" s="417"/>
      <c r="I41" s="417"/>
      <c r="J41" s="518"/>
      <c r="K41" s="518"/>
      <c r="L41" s="518"/>
      <c r="M41" s="518"/>
      <c r="N41" s="282"/>
      <c r="O41" s="436"/>
      <c r="P41" s="436"/>
      <c r="Q41" s="436"/>
      <c r="R41" s="436"/>
      <c r="S41" s="436"/>
      <c r="T41" s="436"/>
      <c r="U41" s="436"/>
      <c r="V41" s="436"/>
      <c r="W41" s="282"/>
    </row>
    <row r="42" spans="1:23" ht="15.75" customHeight="1">
      <c r="A42" s="282"/>
      <c r="B42" s="282" t="str">
        <f>IF(B19="請選擇語言科目","",B19)</f>
        <v/>
      </c>
      <c r="C42" s="318" t="str">
        <f>IF(計分版!$E$15=FALSE,IF(C19="請選擇等級","",C19),計分版!AG7)</f>
        <v/>
      </c>
      <c r="D42" s="416" t="s">
        <v>2087</v>
      </c>
      <c r="E42" s="282"/>
      <c r="F42" s="417"/>
      <c r="G42" s="417"/>
      <c r="H42" s="417"/>
      <c r="I42" s="417"/>
      <c r="J42" s="518"/>
      <c r="K42" s="518"/>
      <c r="L42" s="518"/>
      <c r="M42" s="518"/>
      <c r="N42" s="282"/>
      <c r="O42" s="436"/>
      <c r="P42" s="436"/>
      <c r="Q42" s="436"/>
      <c r="R42" s="436"/>
      <c r="S42" s="436"/>
      <c r="T42" s="436"/>
      <c r="U42" s="436"/>
      <c r="V42" s="436"/>
      <c r="W42" s="282"/>
    </row>
    <row r="43" spans="1:23">
      <c r="A43" s="282"/>
      <c r="B43" s="319" t="s">
        <v>63</v>
      </c>
      <c r="C43" s="282"/>
      <c r="D43" s="282"/>
      <c r="E43" s="282"/>
      <c r="F43" s="349"/>
      <c r="G43" s="349"/>
      <c r="H43" s="349"/>
      <c r="I43" s="349"/>
      <c r="J43" s="349"/>
      <c r="K43" s="349"/>
      <c r="L43" s="349"/>
      <c r="M43" s="349"/>
      <c r="N43" s="282"/>
      <c r="O43" s="436"/>
      <c r="P43" s="436"/>
      <c r="Q43" s="436"/>
      <c r="R43" s="436"/>
      <c r="S43" s="436"/>
      <c r="T43" s="436"/>
      <c r="U43" s="436"/>
      <c r="V43" s="436"/>
      <c r="W43" s="282"/>
    </row>
    <row r="44" spans="1:23">
      <c r="A44" s="282"/>
      <c r="B44" s="319" t="s">
        <v>2257</v>
      </c>
      <c r="C44" s="282"/>
      <c r="D44" s="282"/>
      <c r="E44" s="282"/>
      <c r="F44" s="349"/>
      <c r="G44" s="349"/>
      <c r="H44" s="349"/>
      <c r="I44" s="349"/>
      <c r="J44" s="349"/>
      <c r="K44" s="349"/>
      <c r="L44" s="349"/>
      <c r="M44" s="349"/>
      <c r="N44" s="282"/>
      <c r="O44" s="436"/>
      <c r="P44" s="436"/>
      <c r="Q44" s="436"/>
      <c r="R44" s="436"/>
      <c r="S44" s="436"/>
      <c r="T44" s="436"/>
      <c r="U44" s="436"/>
      <c r="V44" s="436"/>
      <c r="W44" s="282"/>
    </row>
    <row r="45" spans="1:23">
      <c r="A45" s="282"/>
      <c r="B45" s="319" t="s">
        <v>2258</v>
      </c>
      <c r="C45" s="282"/>
      <c r="D45" s="282"/>
      <c r="E45" s="282"/>
      <c r="F45" s="349"/>
      <c r="G45" s="349"/>
      <c r="H45" s="349"/>
      <c r="I45" s="349"/>
      <c r="J45" s="349"/>
      <c r="K45" s="349"/>
      <c r="L45" s="349"/>
      <c r="M45" s="349"/>
      <c r="N45" s="282"/>
      <c r="O45" s="436"/>
      <c r="P45" s="436"/>
      <c r="Q45" s="436"/>
      <c r="R45" s="436"/>
      <c r="S45" s="436"/>
      <c r="T45" s="436"/>
      <c r="U45" s="436"/>
      <c r="V45" s="436"/>
      <c r="W45" s="282"/>
    </row>
    <row r="46" spans="1:23">
      <c r="A46" s="282"/>
      <c r="B46" s="339" t="s">
        <v>2255</v>
      </c>
      <c r="C46" s="282"/>
      <c r="D46" s="282"/>
      <c r="E46" s="282"/>
      <c r="F46" s="349"/>
      <c r="G46" s="349"/>
      <c r="H46" s="349"/>
      <c r="I46" s="349"/>
      <c r="J46" s="349"/>
      <c r="K46" s="349"/>
      <c r="L46" s="349"/>
      <c r="M46" s="349"/>
      <c r="N46" s="282"/>
      <c r="O46" s="436"/>
      <c r="P46" s="436"/>
      <c r="Q46" s="436"/>
      <c r="R46" s="436"/>
      <c r="S46" s="436"/>
      <c r="T46" s="436"/>
      <c r="U46" s="436"/>
      <c r="V46" s="436"/>
      <c r="W46" s="282"/>
    </row>
    <row r="47" spans="1:23">
      <c r="A47" s="282"/>
      <c r="B47" s="282"/>
      <c r="C47" s="282"/>
      <c r="D47" s="282"/>
      <c r="E47" s="282"/>
      <c r="F47" s="349"/>
      <c r="G47" s="349"/>
      <c r="H47" s="349"/>
      <c r="I47" s="349"/>
      <c r="J47" s="349"/>
      <c r="K47" s="349"/>
      <c r="L47" s="349"/>
      <c r="M47" s="349"/>
      <c r="N47" s="282"/>
      <c r="O47" s="436"/>
      <c r="P47" s="436"/>
      <c r="Q47" s="436"/>
      <c r="R47" s="436"/>
      <c r="S47" s="436"/>
      <c r="T47" s="436"/>
      <c r="U47" s="436"/>
      <c r="V47" s="436"/>
      <c r="W47" s="282"/>
    </row>
    <row r="48" spans="1:23">
      <c r="A48" s="282"/>
      <c r="B48" s="282"/>
      <c r="C48" s="282"/>
      <c r="D48" s="282"/>
      <c r="E48" s="282"/>
      <c r="F48" s="282"/>
      <c r="G48" s="282"/>
      <c r="H48" s="282"/>
      <c r="I48" s="282"/>
      <c r="J48" s="282"/>
      <c r="K48" s="282"/>
      <c r="L48" s="282"/>
      <c r="M48" s="282"/>
      <c r="N48" s="282"/>
      <c r="O48" s="320"/>
      <c r="P48" s="320"/>
      <c r="Q48" s="320"/>
      <c r="R48" s="320"/>
      <c r="S48" s="320"/>
      <c r="T48" s="320"/>
      <c r="U48" s="320"/>
      <c r="V48" s="340"/>
      <c r="W48" s="282"/>
    </row>
  </sheetData>
  <sheetProtection sheet="1" selectLockedCells="1"/>
  <dataConsolidate/>
  <mergeCells count="45">
    <mergeCell ref="F27:J27"/>
    <mergeCell ref="J42:M42"/>
    <mergeCell ref="K8:N8"/>
    <mergeCell ref="O27:S27"/>
    <mergeCell ref="F34:I34"/>
    <mergeCell ref="J34:M34"/>
    <mergeCell ref="J35:M35"/>
    <mergeCell ref="J36:M36"/>
    <mergeCell ref="J37:M37"/>
    <mergeCell ref="J38:M38"/>
    <mergeCell ref="J33:M33"/>
    <mergeCell ref="I11:M11"/>
    <mergeCell ref="I12:K12"/>
    <mergeCell ref="F12:H12"/>
    <mergeCell ref="F30:I30"/>
    <mergeCell ref="F31:I31"/>
    <mergeCell ref="J40:M40"/>
    <mergeCell ref="J41:M41"/>
    <mergeCell ref="J30:M30"/>
    <mergeCell ref="B2:F2"/>
    <mergeCell ref="H2:I2"/>
    <mergeCell ref="K2:S2"/>
    <mergeCell ref="L12:M12"/>
    <mergeCell ref="F5:H5"/>
    <mergeCell ref="O6:R6"/>
    <mergeCell ref="O7:R7"/>
    <mergeCell ref="O8:R8"/>
    <mergeCell ref="F9:H9"/>
    <mergeCell ref="K5:M5"/>
    <mergeCell ref="K6:N6"/>
    <mergeCell ref="K7:N7"/>
    <mergeCell ref="F11:G11"/>
    <mergeCell ref="F35:I35"/>
    <mergeCell ref="F36:I36"/>
    <mergeCell ref="O28:U28"/>
    <mergeCell ref="O30:V35"/>
    <mergeCell ref="J39:M39"/>
    <mergeCell ref="F33:I33"/>
    <mergeCell ref="F28:I28"/>
    <mergeCell ref="J28:M28"/>
    <mergeCell ref="F29:I29"/>
    <mergeCell ref="J29:M29"/>
    <mergeCell ref="J32:M32"/>
    <mergeCell ref="J31:M31"/>
    <mergeCell ref="F32:I32"/>
  </mergeCells>
  <phoneticPr fontId="3" type="noConversion"/>
  <conditionalFormatting sqref="B7:D7 B14:D14 B30:C30 B37:C37">
    <cfRule type="expression" dxfId="295" priority="18634" stopIfTrue="1">
      <formula>TRUE</formula>
    </cfRule>
  </conditionalFormatting>
  <conditionalFormatting sqref="C31">
    <cfRule type="expression" dxfId="292" priority="18606">
      <formula>$C$31=0</formula>
    </cfRule>
  </conditionalFormatting>
  <conditionalFormatting sqref="C32">
    <cfRule type="expression" dxfId="291" priority="18600">
      <formula>$C$32=0</formula>
    </cfRule>
  </conditionalFormatting>
  <conditionalFormatting sqref="C33">
    <cfRule type="expression" dxfId="290" priority="18601">
      <formula>$C$33=0</formula>
    </cfRule>
  </conditionalFormatting>
  <conditionalFormatting sqref="C34">
    <cfRule type="expression" dxfId="289" priority="18599">
      <formula>$C$34=0</formula>
    </cfRule>
  </conditionalFormatting>
  <conditionalFormatting sqref="C35">
    <cfRule type="expression" dxfId="288" priority="18602">
      <formula>$C$35=0</formula>
    </cfRule>
  </conditionalFormatting>
  <conditionalFormatting sqref="C38">
    <cfRule type="expression" dxfId="287" priority="18603">
      <formula>$C$38=0</formula>
    </cfRule>
  </conditionalFormatting>
  <conditionalFormatting sqref="C39">
    <cfRule type="expression" dxfId="286" priority="18598">
      <formula>$C$39=0</formula>
    </cfRule>
  </conditionalFormatting>
  <conditionalFormatting sqref="C40">
    <cfRule type="expression" dxfId="285" priority="18604">
      <formula>$C$40=0</formula>
    </cfRule>
  </conditionalFormatting>
  <conditionalFormatting sqref="C41">
    <cfRule type="expression" dxfId="284" priority="18597">
      <formula>$C$41=0</formula>
    </cfRule>
  </conditionalFormatting>
  <conditionalFormatting sqref="C42">
    <cfRule type="expression" dxfId="283" priority="18605">
      <formula>$C$42=0</formula>
    </cfRule>
  </conditionalFormatting>
  <conditionalFormatting sqref="D8 D10 D12 D15 D17 D19">
    <cfRule type="expression" dxfId="281" priority="2">
      <formula>TRUE</formula>
    </cfRule>
  </conditionalFormatting>
  <conditionalFormatting sqref="D9 D11 D16 D18">
    <cfRule type="expression" dxfId="280" priority="18632">
      <formula>TRUE</formula>
    </cfRule>
  </conditionalFormatting>
  <conditionalFormatting sqref="F15 F18 F21">
    <cfRule type="expression" dxfId="279" priority="18626">
      <formula>TRUE</formula>
    </cfRule>
  </conditionalFormatting>
  <conditionalFormatting sqref="F8:I8 B9:C9 B11:C11 B16:C16 B18:C18 B32:C32 B34:C34 B39:C39 B41:C41">
    <cfRule type="expression" dxfId="278" priority="18635">
      <formula>TRUE</formula>
    </cfRule>
  </conditionalFormatting>
  <conditionalFormatting sqref="G15:P15 G18:P18 G21:P21">
    <cfRule type="expression" dxfId="277" priority="37">
      <formula>TRUE</formula>
    </cfRule>
  </conditionalFormatting>
  <conditionalFormatting sqref="J16:L16 J19:L19 J22:L22">
    <cfRule type="containsBlanks" priority="18640" stopIfTrue="1">
      <formula>LEN(TRIM(J16))=0</formula>
    </cfRule>
    <cfRule type="cellIs" dxfId="275" priority="18641" operator="lessThan">
      <formula>0</formula>
    </cfRule>
    <cfRule type="cellIs" dxfId="274" priority="18642" operator="greaterThanOrEqual">
      <formula>0</formula>
    </cfRule>
  </conditionalFormatting>
  <conditionalFormatting sqref="K5:R5 K6:K8 O6:O8 F7:I7 B8:C8 B10:C10 B12:C12 B15:C15 B17:C17 B19:C19 F28:M28 F29:I29 J29:M31 F30:F32 B31:C31 J32 B33:C33 F33:I33 J33:M34 F34:F36 B35:C35 J35:J37 F37:I42 B38:C38 J38:M42 B40:C40 B42:C42">
    <cfRule type="expression" dxfId="273" priority="18629">
      <formula>TRUE</formula>
    </cfRule>
  </conditionalFormatting>
  <conditionalFormatting sqref="O28:V29 O30">
    <cfRule type="expression" dxfId="272" priority="3">
      <formula>TRUE</formula>
    </cfRule>
  </conditionalFormatting>
  <conditionalFormatting sqref="Q15 Q18 Q21">
    <cfRule type="cellIs" dxfId="271" priority="18647" operator="equal">
      <formula>"或有額外要求"</formula>
    </cfRule>
    <cfRule type="cellIs" dxfId="270" priority="18648" operator="equal">
      <formula>"否"</formula>
    </cfRule>
    <cfRule type="cellIs" dxfId="269" priority="18649" operator="equal">
      <formula>"是"</formula>
    </cfRule>
  </conditionalFormatting>
  <dataValidations xWindow="600" yWindow="521" count="8">
    <dataValidation type="list" allowBlank="1" showInputMessage="1" showErrorMessage="1" errorTitle="ERROR" error="請選擇所修讀的選修科目" sqref="B16" xr:uid="{00000000-0002-0000-0300-000000000000}">
      <formula1>第二選修科</formula1>
    </dataValidation>
    <dataValidation type="list" allowBlank="1" showInputMessage="1" showErrorMessage="1" sqref="B18" xr:uid="{00000000-0002-0000-0300-000001000000}">
      <formula1>第四選修科</formula1>
    </dataValidation>
    <dataValidation type="list" allowBlank="1" showInputMessage="1" showErrorMessage="1" sqref="B19" xr:uid="{00000000-0002-0000-0300-000002000000}">
      <formula1>丙類選修科</formula1>
    </dataValidation>
    <dataValidation type="list" allowBlank="1" showInputMessage="1" showErrorMessage="1" sqref="C15:C18 C8:C10 C12" xr:uid="{00000000-0002-0000-0300-000003000000}">
      <formula1>等級</formula1>
    </dataValidation>
    <dataValidation allowBlank="1" showInputMessage="1" showErrorMessage="1" errorTitle="ERROR" error="請選擇所修讀的選修科目" sqref="B38:B42" xr:uid="{00000000-0002-0000-0300-000005000000}"/>
    <dataValidation type="list" allowBlank="1" showInputMessage="1" showErrorMessage="1" sqref="D5 N12 I5 D31:D35 D38:D42" xr:uid="{DE9AC897-D9A5-47D0-93C0-58FFAE34C449}">
      <formula1>是否</formula1>
    </dataValidation>
    <dataValidation type="list" allowBlank="1" showInputMessage="1" showErrorMessage="1" sqref="C11" xr:uid="{4A6D2029-FA5D-41EA-A1F4-0D076F4FD687}">
      <formula1>公社科</formula1>
    </dataValidation>
    <dataValidation type="whole" allowBlank="1" showInputMessage="1" showErrorMessage="1" errorTitle="注意" error="只可填寫 0 (不逹標) 或 1 (達標)" promptTitle="注意" prompt="只可填寫 0 (不逹標) 或 1 (達標)" sqref="D11" xr:uid="{5F493B3C-6DF1-4CB4-9039-4D9D2D1B1494}">
      <formula1>0</formula1>
      <formula2>1</formula2>
    </dataValidation>
  </dataValidations>
  <hyperlinks>
    <hyperlink ref="C26" r:id="rId1" display="https://drive.google.com/drive/folders/1PmyDrmQ2CumbWrqY7NRqa0Ol-M9VnkFz?usp=drive_link" xr:uid="{8AE0E504-B790-4682-8748-E9F4B4DC9F05}"/>
    <hyperlink ref="P3" r:id="rId2" xr:uid="{168DB902-FD4B-4DFC-AD4F-2F0132300429}"/>
  </hyperlinks>
  <pageMargins left="0.7" right="0.7" top="0.75" bottom="0.75" header="0.3" footer="0.3"/>
  <pageSetup paperSize="9" orientation="portrait" horizontalDpi="1200" verticalDpi="1200" r:id="rId3"/>
  <ignoredErrors>
    <ignoredError sqref="E5 A5 E11 A28" numberStoredAsText="1"/>
  </ignoredErrors>
  <drawing r:id="rId4"/>
  <legacyDrawing r:id="rId5"/>
  <extLst>
    <ext xmlns:x14="http://schemas.microsoft.com/office/spreadsheetml/2009/9/main" uri="{78C0D931-6437-407d-A8EE-F0AAD7539E65}">
      <x14:conditionalFormattings>
        <x14:conditionalFormatting xmlns:xm="http://schemas.microsoft.com/office/excel/2006/main">
          <x14:cfRule type="expression" priority="18931" id="{2FE182C6-4275-4538-821D-2D367B293D90}">
            <xm:f>計分版!$E$15=TRUE</xm:f>
            <x14:dxf>
              <font>
                <color rgb="FFEEE9E6"/>
              </font>
              <fill>
                <patternFill patternType="none">
                  <bgColor auto="1"/>
                </patternFill>
              </fill>
            </x14:dxf>
          </x14:cfRule>
          <xm:sqref>C8 C10 C12 C15 C17 C19</xm:sqref>
        </x14:conditionalFormatting>
        <x14:conditionalFormatting xmlns:xm="http://schemas.microsoft.com/office/excel/2006/main">
          <x14:cfRule type="expression" priority="18937" id="{88FDDA21-0782-4A20-9559-C7B15BDF7C53}">
            <xm:f>計分版!$E$15=TRUE</xm:f>
            <x14:dxf>
              <font>
                <color rgb="FFDBD1CB"/>
              </font>
            </x14:dxf>
          </x14:cfRule>
          <xm:sqref>C9 C11 C16 C18</xm:sqref>
        </x14:conditionalFormatting>
        <x14:conditionalFormatting xmlns:xm="http://schemas.microsoft.com/office/excel/2006/main">
          <x14:cfRule type="expression" priority="1" stopIfTrue="1" id="{6CAD0F26-2001-4988-9531-0167F18DAF91}">
            <xm:f>計分版!$E$15=FALSE</xm:f>
            <x14:dxf>
              <font>
                <color rgb="FFFFEFEF"/>
              </font>
              <fill>
                <patternFill>
                  <bgColor rgb="FFFFEFEF"/>
                </patternFill>
              </fill>
            </x14:dxf>
          </x14:cfRule>
          <xm:sqref>D6:D19</xm:sqref>
        </x14:conditionalFormatting>
        <x14:conditionalFormatting xmlns:xm="http://schemas.microsoft.com/office/excel/2006/main">
          <x14:cfRule type="expression" priority="18638" id="{14C6DFB2-997D-4E2B-A554-28B260EC6BE6}">
            <xm:f>'A123'!$A$1=TRUE</xm:f>
            <x14:dxf>
              <numFmt numFmtId="172" formatCode="0.0%"/>
            </x14:dxf>
          </x14:cfRule>
          <xm:sqref>J16:L16 J19:L19 J22:L22</xm:sqref>
        </x14:conditionalFormatting>
      </x14:conditionalFormattings>
    </ext>
    <ext xmlns:x14="http://schemas.microsoft.com/office/spreadsheetml/2009/9/main" uri="{CCE6A557-97BC-4b89-ADB6-D9C93CAAB3DF}">
      <x14:dataValidations xmlns:xm="http://schemas.microsoft.com/office/excel/2006/main" xWindow="600" yWindow="521" count="3">
        <x14:dataValidation type="list" allowBlank="1" showInputMessage="1" showErrorMessage="1" xr:uid="{00000000-0002-0000-0300-000004000000}">
          <x14:formula1>
            <xm:f>選單!$H$2:$H$9</xm:f>
          </x14:formula1>
          <xm:sqref>C19</xm:sqref>
        </x14:dataValidation>
        <x14:dataValidation type="list" allowBlank="1" showInputMessage="1" showErrorMessage="1" errorTitle="ERROR" error="請選擇所修讀的選修科目" xr:uid="{00000000-0002-0000-0300-000006000000}">
          <x14:formula1>
            <xm:f>選單!$E$2:$E$25</xm:f>
          </x14:formula1>
          <xm:sqref>B17</xm:sqref>
        </x14:dataValidation>
        <x14:dataValidation type="list" allowBlank="1" showInputMessage="1" showErrorMessage="1" errorTitle="ERROR" error="請選擇所修讀的選修科目" xr:uid="{00000000-0002-0000-0300-000007000000}">
          <x14:formula1>
            <xm:f>選單!$C$2:$C$25</xm:f>
          </x14:formula1>
          <xm:sqref>B15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2"/>
  <dimension ref="A1:AB763"/>
  <sheetViews>
    <sheetView zoomScale="85" zoomScaleNormal="100" workbookViewId="0">
      <selection activeCell="B18" sqref="B18"/>
    </sheetView>
  </sheetViews>
  <sheetFormatPr defaultColWidth="8.69921875" defaultRowHeight="15.6"/>
  <cols>
    <col min="1" max="1" width="10.5" style="13" customWidth="1"/>
    <col min="2" max="2" width="9.69921875" style="13" customWidth="1"/>
    <col min="3" max="3" width="10.19921875" style="13" customWidth="1"/>
    <col min="4" max="4" width="11.19921875" style="37" customWidth="1"/>
    <col min="5" max="5" width="9.5" style="13" bestFit="1" customWidth="1"/>
    <col min="6" max="6" width="10" style="20" customWidth="1"/>
    <col min="7" max="8" width="10.19921875" style="20" customWidth="1"/>
    <col min="9" max="9" width="11.19921875" style="20" customWidth="1"/>
    <col min="10" max="11" width="8.69921875" style="13" customWidth="1"/>
    <col min="12" max="12" width="12.19921875" style="110" customWidth="1"/>
    <col min="13" max="13" width="8.69921875" style="13" customWidth="1"/>
    <col min="14" max="14" width="7.69921875" style="13" customWidth="1"/>
    <col min="15" max="15" width="7.19921875" style="13" customWidth="1"/>
    <col min="16" max="17" width="8.19921875" style="13" customWidth="1"/>
    <col min="18" max="18" width="10.19921875" style="13" customWidth="1"/>
    <col min="19" max="19" width="10.5" style="13" customWidth="1"/>
    <col min="20" max="20" width="7" style="13" customWidth="1"/>
    <col min="21" max="21" width="8.19921875" style="13" customWidth="1"/>
    <col min="22" max="22" width="7.69921875" style="13" customWidth="1"/>
    <col min="23" max="23" width="6.19921875" style="13" customWidth="1"/>
    <col min="24" max="24" width="9.19921875" style="13" customWidth="1"/>
    <col min="25" max="26" width="8.69921875" style="13" customWidth="1"/>
    <col min="27" max="27" width="9.5" style="13" customWidth="1"/>
    <col min="28" max="28" width="16.69921875" style="13" bestFit="1" customWidth="1"/>
    <col min="29" max="16384" width="8.69921875" style="13"/>
  </cols>
  <sheetData>
    <row r="1" spans="1:17">
      <c r="A1" s="13" t="b">
        <f>IF(主頁!N12="是",TRUE,FALSE)</f>
        <v>1</v>
      </c>
      <c r="B1" s="13" t="s">
        <v>2096</v>
      </c>
      <c r="E1" s="13" t="s">
        <v>2097</v>
      </c>
    </row>
    <row r="2" spans="1:17">
      <c r="A2" s="13" t="b">
        <v>1</v>
      </c>
      <c r="B2" s="13" t="s">
        <v>2095</v>
      </c>
    </row>
    <row r="3" spans="1:17">
      <c r="A3" s="208"/>
      <c r="B3" s="207" t="s">
        <v>2044</v>
      </c>
      <c r="C3" s="208"/>
      <c r="D3" s="208"/>
      <c r="E3" s="208"/>
      <c r="F3" s="207" t="s">
        <v>2045</v>
      </c>
      <c r="G3" s="208"/>
      <c r="H3" s="208"/>
      <c r="I3" s="210"/>
      <c r="Q3" s="37"/>
    </row>
    <row r="4" spans="1:17">
      <c r="A4" s="208"/>
      <c r="B4" s="208" t="s">
        <v>32</v>
      </c>
      <c r="C4" s="208" t="s">
        <v>33</v>
      </c>
      <c r="D4" s="208" t="s">
        <v>34</v>
      </c>
      <c r="E4" s="208"/>
      <c r="F4" s="208" t="s">
        <v>32</v>
      </c>
      <c r="G4" s="208" t="s">
        <v>33</v>
      </c>
      <c r="H4" s="208" t="s">
        <v>34</v>
      </c>
      <c r="I4" s="210"/>
    </row>
    <row r="5" spans="1:17">
      <c r="A5" s="210" t="s">
        <v>40</v>
      </c>
      <c r="B5" s="37">
        <f>IFERROR(主頁!M15-主頁!J15,"")</f>
        <v>-33.749999996500001</v>
      </c>
      <c r="C5" s="37">
        <f>IFERROR(主頁!M15-主頁!K15,"")</f>
        <v>-32.249999996500001</v>
      </c>
      <c r="D5" s="37">
        <f>IFERROR(主頁!M15-主頁!L15,"")</f>
        <v>-30.749999996500001</v>
      </c>
      <c r="E5" s="208"/>
      <c r="F5" s="212">
        <f>IFERROR((主頁!$M$15-主頁!J15)/主頁!M15,"")</f>
        <v>-9642857141.8571434</v>
      </c>
      <c r="G5" s="212">
        <f>IFERROR((主頁!$M$15-主頁!K15)/主頁!$M$15,"")</f>
        <v>-9214285713.2857151</v>
      </c>
      <c r="H5" s="212">
        <f>IFERROR((主頁!$M$15-主頁!L15)/主頁!$M$15,"")</f>
        <v>-8785714284.7142868</v>
      </c>
      <c r="I5" s="210"/>
    </row>
    <row r="6" spans="1:17">
      <c r="A6" s="210"/>
      <c r="B6" s="208"/>
      <c r="C6" s="208"/>
      <c r="D6" s="208"/>
      <c r="E6" s="208"/>
      <c r="F6" s="209"/>
      <c r="G6" s="209"/>
      <c r="H6" s="209"/>
      <c r="I6" s="210"/>
    </row>
    <row r="7" spans="1:17">
      <c r="A7" s="210" t="s">
        <v>44</v>
      </c>
      <c r="B7" s="37" t="str">
        <f>IFERROR(主頁!M18-主頁!J18,"")</f>
        <v/>
      </c>
      <c r="C7" s="37" t="str">
        <f>IFERROR(主頁!M18-主頁!K18,"")</f>
        <v/>
      </c>
      <c r="D7" s="37" t="str">
        <f>IFERROR(主頁!M18-主頁!L18,"")</f>
        <v/>
      </c>
      <c r="E7" s="208"/>
      <c r="F7" s="212" t="str">
        <f>IFERROR((主頁!$M$18-主頁!J18)/主頁!$M$18,"")</f>
        <v/>
      </c>
      <c r="G7" s="212" t="str">
        <f>IFERROR((主頁!$M$18-主頁!K18)/主頁!$M$18,"")</f>
        <v/>
      </c>
      <c r="H7" s="212" t="str">
        <f>IFERROR((主頁!$M$18-主頁!L18)/主頁!$M$18,"")</f>
        <v/>
      </c>
      <c r="I7" s="210"/>
    </row>
    <row r="8" spans="1:17">
      <c r="A8" s="210"/>
      <c r="B8" s="208"/>
      <c r="C8" s="208"/>
      <c r="D8" s="208"/>
      <c r="E8" s="208"/>
      <c r="F8" s="209"/>
      <c r="G8" s="209"/>
      <c r="H8" s="209"/>
      <c r="I8" s="210"/>
    </row>
    <row r="9" spans="1:17">
      <c r="A9" s="210" t="s">
        <v>48</v>
      </c>
      <c r="B9" s="37" t="str">
        <f>IFERROR(主頁!M21-主頁!J21,"")</f>
        <v/>
      </c>
      <c r="C9" s="37" t="str">
        <f>IFERROR(主頁!M21-主頁!K21,"")</f>
        <v/>
      </c>
      <c r="D9" s="37" t="str">
        <f>IFERROR(主頁!M21-主頁!L21,"")</f>
        <v/>
      </c>
      <c r="E9" s="208"/>
      <c r="F9" s="212" t="str">
        <f>IFERROR((主頁!$M$21-主頁!J21)/主頁!$M$21,"")</f>
        <v/>
      </c>
      <c r="G9" s="212" t="str">
        <f>IFERROR((主頁!$M$21-主頁!K21)/主頁!$M$21,"")</f>
        <v/>
      </c>
      <c r="H9" s="212" t="str">
        <f>IFERROR((主頁!$M$21-主頁!L21)/主頁!$M$21,"")</f>
        <v/>
      </c>
      <c r="I9" s="210"/>
    </row>
    <row r="10" spans="1:17">
      <c r="A10" s="211"/>
      <c r="B10" s="211"/>
      <c r="C10" s="211"/>
      <c r="D10" s="208"/>
      <c r="E10" s="211"/>
      <c r="F10" s="210"/>
      <c r="G10" s="210"/>
      <c r="H10" s="210"/>
      <c r="I10" s="210"/>
    </row>
    <row r="15" spans="1:17">
      <c r="A15" s="13" t="s">
        <v>2046</v>
      </c>
      <c r="B15" s="13" t="s">
        <v>68</v>
      </c>
      <c r="C15" s="37" t="s">
        <v>2047</v>
      </c>
      <c r="D15" s="13" t="s">
        <v>2048</v>
      </c>
      <c r="E15" s="13" t="s">
        <v>107</v>
      </c>
      <c r="F15" s="20" t="s">
        <v>103</v>
      </c>
      <c r="G15" s="20" t="s">
        <v>102</v>
      </c>
      <c r="H15" s="20" t="s">
        <v>100</v>
      </c>
      <c r="I15" s="20" t="s">
        <v>35</v>
      </c>
      <c r="J15" s="13" t="s">
        <v>70</v>
      </c>
      <c r="K15" s="13" t="s">
        <v>37</v>
      </c>
      <c r="L15" s="162" t="s">
        <v>2049</v>
      </c>
      <c r="M15" s="13" t="s">
        <v>110</v>
      </c>
    </row>
    <row r="16" spans="1:17">
      <c r="A16" s="13" t="str">
        <f>主頁!F15</f>
        <v>JS4862</v>
      </c>
      <c r="B16" s="13" t="str">
        <f t="shared" ref="B16:M18" si="0">IFERROR(INDEX(B$21:B$502,MATCH($A16,$A$21:$A$502,0)),"")</f>
        <v>CUHK</v>
      </c>
      <c r="C16" s="13" t="str">
        <f t="shared" si="0"/>
        <v>心理學</v>
      </c>
      <c r="D16" s="13" t="str">
        <f t="shared" si="0"/>
        <v>PSYCHOLOGY</v>
      </c>
      <c r="E16" s="13" t="str">
        <f t="shared" si="0"/>
        <v>Best 5</v>
      </c>
      <c r="F16" s="13">
        <f t="shared" si="0"/>
        <v>33.75</v>
      </c>
      <c r="G16" s="13">
        <f t="shared" si="0"/>
        <v>32.25</v>
      </c>
      <c r="H16" s="13">
        <f t="shared" si="0"/>
        <v>30.75</v>
      </c>
      <c r="I16" s="13">
        <f t="shared" si="0"/>
        <v>3.4999999999999999E-9</v>
      </c>
      <c r="J16" s="13">
        <f t="shared" si="0"/>
        <v>56</v>
      </c>
      <c r="K16" s="13">
        <f t="shared" si="0"/>
        <v>60</v>
      </c>
      <c r="L16" s="13">
        <f t="shared" si="0"/>
        <v>5.7</v>
      </c>
      <c r="M16" s="13">
        <f t="shared" si="0"/>
        <v>0</v>
      </c>
      <c r="N16" s="12"/>
    </row>
    <row r="17" spans="1:28">
      <c r="A17" s="13">
        <f>主頁!F18</f>
        <v>0</v>
      </c>
      <c r="B17" s="13" t="str">
        <f t="shared" si="0"/>
        <v/>
      </c>
      <c r="C17" s="13" t="str">
        <f t="shared" si="0"/>
        <v/>
      </c>
      <c r="D17" s="13" t="str">
        <f t="shared" si="0"/>
        <v/>
      </c>
      <c r="E17" s="13" t="str">
        <f t="shared" si="0"/>
        <v/>
      </c>
      <c r="F17" s="13" t="str">
        <f t="shared" si="0"/>
        <v/>
      </c>
      <c r="G17" s="13" t="str">
        <f t="shared" si="0"/>
        <v/>
      </c>
      <c r="H17" s="13" t="str">
        <f t="shared" si="0"/>
        <v/>
      </c>
      <c r="I17" s="13" t="str">
        <f t="shared" si="0"/>
        <v/>
      </c>
      <c r="J17" s="13" t="str">
        <f t="shared" si="0"/>
        <v/>
      </c>
      <c r="K17" s="13" t="str">
        <f t="shared" si="0"/>
        <v/>
      </c>
      <c r="L17" s="13" t="str">
        <f t="shared" si="0"/>
        <v/>
      </c>
      <c r="M17" s="13" t="str">
        <f t="shared" si="0"/>
        <v/>
      </c>
      <c r="N17" s="12"/>
    </row>
    <row r="18" spans="1:28">
      <c r="A18" s="13">
        <f>主頁!F21</f>
        <v>0</v>
      </c>
      <c r="B18" s="13" t="str">
        <f t="shared" si="0"/>
        <v/>
      </c>
      <c r="C18" s="13" t="str">
        <f t="shared" si="0"/>
        <v/>
      </c>
      <c r="D18" s="13" t="str">
        <f t="shared" si="0"/>
        <v/>
      </c>
      <c r="E18" s="13" t="str">
        <f t="shared" si="0"/>
        <v/>
      </c>
      <c r="F18" s="13" t="str">
        <f t="shared" si="0"/>
        <v/>
      </c>
      <c r="G18" s="13" t="str">
        <f t="shared" si="0"/>
        <v/>
      </c>
      <c r="H18" s="13" t="str">
        <f t="shared" si="0"/>
        <v/>
      </c>
      <c r="I18" s="13" t="str">
        <f t="shared" si="0"/>
        <v/>
      </c>
      <c r="J18" s="13" t="str">
        <f t="shared" si="0"/>
        <v/>
      </c>
      <c r="K18" s="13" t="str">
        <f t="shared" si="0"/>
        <v/>
      </c>
      <c r="L18" s="13" t="str">
        <f t="shared" si="0"/>
        <v/>
      </c>
      <c r="M18" s="13" t="str">
        <f t="shared" si="0"/>
        <v/>
      </c>
    </row>
    <row r="20" spans="1:28">
      <c r="B20" s="52"/>
      <c r="C20" s="52"/>
      <c r="D20" s="13"/>
      <c r="E20" s="53"/>
      <c r="F20" s="75" t="s">
        <v>32</v>
      </c>
      <c r="G20" s="75" t="s">
        <v>33</v>
      </c>
      <c r="H20" s="75" t="s">
        <v>34</v>
      </c>
      <c r="I20" s="20" t="s">
        <v>35</v>
      </c>
      <c r="J20" s="13" t="s">
        <v>70</v>
      </c>
      <c r="K20" s="13" t="s">
        <v>37</v>
      </c>
      <c r="L20" s="162" t="s">
        <v>2049</v>
      </c>
      <c r="M20" s="13" t="s">
        <v>110</v>
      </c>
      <c r="AB20" s="13" t="s">
        <v>2050</v>
      </c>
    </row>
    <row r="21" spans="1:28">
      <c r="A21" s="13" t="str">
        <f>'Reference Score Calculation'!B13</f>
        <v>JS1000</v>
      </c>
      <c r="B21" s="13" t="str">
        <f>'Reference Score Calculation'!C13</f>
        <v>CityU</v>
      </c>
      <c r="C21" s="13" t="str">
        <f>'Reference Score Calculation'!E13</f>
        <v>理學士(計算金融及金融科技) (專修：計算金融 / 金融科技)</v>
      </c>
      <c r="D21" s="13" t="str">
        <f>'Reference Score Calculation'!S13</f>
        <v>BScCFFT</v>
      </c>
      <c r="E21" s="13" t="str">
        <f>'Reference Score Calculation'!F13</f>
        <v>3C2X</v>
      </c>
      <c r="F21" s="20" t="str">
        <f>'Reference Score Calculation'!H13</f>
        <v>/</v>
      </c>
      <c r="G21" s="20">
        <f>'Reference Score Calculation'!I13</f>
        <v>24.5</v>
      </c>
      <c r="H21" s="20" t="str">
        <f>'Reference Score Calculation'!J13</f>
        <v>/</v>
      </c>
      <c r="I21" s="20">
        <f>計分版!J36</f>
        <v>2.2999999999999999E-9</v>
      </c>
      <c r="J21" s="13">
        <f>'Reference Score Calculation'!U13</f>
        <v>10</v>
      </c>
      <c r="K21" s="28">
        <f>'Reference Score Calculation'!V13</f>
        <v>2</v>
      </c>
      <c r="L21" s="110">
        <f>'Reference Score Calculation'!Y13</f>
        <v>40.5</v>
      </c>
      <c r="M21" s="13">
        <f>入學要求!Z22</f>
        <v>0</v>
      </c>
      <c r="T21" s="20"/>
      <c r="U21" s="20"/>
    </row>
    <row r="22" spans="1:28">
      <c r="A22" s="13" t="str">
        <f>'Reference Score Calculation'!B14</f>
        <v>JS1001</v>
      </c>
      <c r="B22" s="13" t="str">
        <f>'Reference Score Calculation'!C14</f>
        <v>CityU</v>
      </c>
      <c r="C22" s="13" t="str">
        <f>'Reference Score Calculation'!E14</f>
        <v>工商管理學士(環球商業) (特點: 三次海外交流 / 美國哥倫比亞大學雙聯學士學位 / 海外暑期及遊學課程 / 商業諮詢課程 / 獎學金及資助)</v>
      </c>
      <c r="D22" s="13" t="str">
        <f>'Reference Score Calculation'!S14</f>
        <v>BBAGBU</v>
      </c>
      <c r="E22" s="13" t="str">
        <f>'Reference Score Calculation'!F14</f>
        <v>3C2X</v>
      </c>
      <c r="F22" s="20" t="str">
        <f>'Reference Score Calculation'!H14</f>
        <v>/</v>
      </c>
      <c r="G22" s="20">
        <f>'Reference Score Calculation'!I14</f>
        <v>29</v>
      </c>
      <c r="H22" s="20">
        <f>'Reference Score Calculation'!J14</f>
        <v>25.5</v>
      </c>
      <c r="I22" s="20">
        <f>計分版!J37</f>
        <v>2.2999999999999999E-9</v>
      </c>
      <c r="J22" s="13">
        <f>'Reference Score Calculation'!U14</f>
        <v>15</v>
      </c>
      <c r="K22" s="28">
        <f>'Reference Score Calculation'!V14</f>
        <v>4</v>
      </c>
      <c r="L22" s="110">
        <f>'Reference Score Calculation'!Y14</f>
        <v>100</v>
      </c>
      <c r="M22" s="13">
        <f>入學要求!Z23</f>
        <v>0</v>
      </c>
      <c r="U22" s="20"/>
    </row>
    <row r="23" spans="1:28">
      <c r="A23" s="13" t="str">
        <f>'Reference Score Calculation'!B15</f>
        <v>JS1002</v>
      </c>
      <c r="B23" s="13" t="str">
        <f>'Reference Score Calculation'!C15</f>
        <v>CityU</v>
      </c>
      <c r="C23" s="13" t="str">
        <f>'Reference Score Calculation'!E15</f>
        <v>工商管理學士(會計) (專修: 專業會計 / 環境，社會，治理和科技)</v>
      </c>
      <c r="D23" s="13" t="str">
        <f>'Reference Score Calculation'!S15</f>
        <v>BBAAC</v>
      </c>
      <c r="E23" s="13" t="str">
        <f>'Reference Score Calculation'!F15</f>
        <v>Best 5</v>
      </c>
      <c r="F23" s="20" t="str">
        <f>'Reference Score Calculation'!H15</f>
        <v>/</v>
      </c>
      <c r="G23" s="20">
        <f>'Reference Score Calculation'!I15</f>
        <v>20.5</v>
      </c>
      <c r="H23" s="20">
        <f>'Reference Score Calculation'!J15</f>
        <v>20</v>
      </c>
      <c r="I23" s="20">
        <f>計分版!J38</f>
        <v>3.2999999999999998E-9</v>
      </c>
      <c r="J23" s="13">
        <f>'Reference Score Calculation'!U15</f>
        <v>148</v>
      </c>
      <c r="K23" s="28">
        <f>'Reference Score Calculation'!V15</f>
        <v>131</v>
      </c>
      <c r="L23" s="110">
        <f>'Reference Score Calculation'!Y15</f>
        <v>8.015748031496063</v>
      </c>
      <c r="M23" s="13">
        <f>入學要求!Z24</f>
        <v>0</v>
      </c>
      <c r="T23" s="20"/>
      <c r="U23" s="20"/>
    </row>
    <row r="24" spans="1:28">
      <c r="A24" s="13" t="str">
        <f>'Reference Score Calculation'!B16</f>
        <v>JS1005</v>
      </c>
      <c r="B24" s="13" t="str">
        <f>'Reference Score Calculation'!C16</f>
        <v>CityU</v>
      </c>
      <c r="C24" s="13" t="str">
        <f>'Reference Score Calculation'!E16</f>
        <v>工商管理學士 (管理學 ) (專修 : 人 力資源管理 / 策略及國際管理 )</v>
      </c>
      <c r="D24" s="13" t="str">
        <f>'Reference Score Calculation'!S16</f>
        <v>BBAMGMT</v>
      </c>
      <c r="E24" s="13" t="str">
        <f>'Reference Score Calculation'!F16</f>
        <v>Best 5</v>
      </c>
      <c r="F24" s="20" t="str">
        <f>'Reference Score Calculation'!H16</f>
        <v>/</v>
      </c>
      <c r="G24" s="20">
        <f>'Reference Score Calculation'!I16</f>
        <v>20.5</v>
      </c>
      <c r="H24" s="20">
        <f>'Reference Score Calculation'!J16</f>
        <v>20.5</v>
      </c>
      <c r="I24" s="20">
        <f>計分版!J39</f>
        <v>3.2999999999999998E-9</v>
      </c>
      <c r="J24" s="13">
        <f>'Reference Score Calculation'!U16</f>
        <v>58</v>
      </c>
      <c r="K24" s="28">
        <f>'Reference Score Calculation'!V16</f>
        <v>42</v>
      </c>
      <c r="L24" s="110">
        <f>'Reference Score Calculation'!Y16</f>
        <v>19.216216216216218</v>
      </c>
      <c r="M24" s="13">
        <f>入學要求!Z25</f>
        <v>0</v>
      </c>
      <c r="U24" s="20"/>
    </row>
    <row r="25" spans="1:28">
      <c r="A25" s="13" t="str">
        <f>'Reference Score Calculation'!B17</f>
        <v>JS1007</v>
      </c>
      <c r="B25" s="13" t="str">
        <f>'Reference Score Calculation'!C17</f>
        <v>CityU</v>
      </c>
      <c r="C25" s="13" t="str">
        <f>'Reference Score Calculation'!E17</f>
        <v>工商管理學士(市場營銷) (專修: 環球市場營銷 / 營銷數據分析)</v>
      </c>
      <c r="D25" s="13" t="str">
        <f>'Reference Score Calculation'!S17</f>
        <v>BBAMKT</v>
      </c>
      <c r="E25" s="13" t="str">
        <f>'Reference Score Calculation'!F17</f>
        <v>3C2X</v>
      </c>
      <c r="F25" s="20" t="str">
        <f>'Reference Score Calculation'!H17</f>
        <v>/</v>
      </c>
      <c r="G25" s="20">
        <f>'Reference Score Calculation'!I17</f>
        <v>23.5</v>
      </c>
      <c r="H25" s="20">
        <f>'Reference Score Calculation'!J17</f>
        <v>22</v>
      </c>
      <c r="I25" s="20">
        <f>計分版!J40</f>
        <v>2.4E-9</v>
      </c>
      <c r="J25" s="13">
        <f>'Reference Score Calculation'!U17</f>
        <v>82</v>
      </c>
      <c r="K25" s="28">
        <f>'Reference Score Calculation'!V17</f>
        <v>76</v>
      </c>
      <c r="L25" s="110">
        <f>'Reference Score Calculation'!Y17</f>
        <v>12.972222222222221</v>
      </c>
      <c r="M25" s="13">
        <f>入學要求!Z26</f>
        <v>0</v>
      </c>
      <c r="T25" s="20"/>
      <c r="U25" s="20"/>
    </row>
    <row r="26" spans="1:28">
      <c r="A26" s="13" t="str">
        <f>'Reference Score Calculation'!B18</f>
        <v>JS1012</v>
      </c>
      <c r="B26" s="13" t="str">
        <f>'Reference Score Calculation'!C18</f>
        <v>CityU</v>
      </c>
      <c r="C26" s="13" t="str">
        <f>'Reference Score Calculation'!E18</f>
        <v>經濟及金融 [主修: 工商管理學士(商業經濟) / 工商管理學士(金融)]</v>
      </c>
      <c r="D26" s="13" t="str">
        <f>'Reference Score Calculation'!S18</f>
        <v>EF</v>
      </c>
      <c r="E26" s="13" t="str">
        <f>'Reference Score Calculation'!F18</f>
        <v>Best 5</v>
      </c>
      <c r="F26" s="20" t="str">
        <f>'Reference Score Calculation'!H18</f>
        <v>/</v>
      </c>
      <c r="G26" s="20">
        <f>'Reference Score Calculation'!I18</f>
        <v>21.5</v>
      </c>
      <c r="H26" s="20">
        <f>'Reference Score Calculation'!J18</f>
        <v>21.5</v>
      </c>
      <c r="I26" s="20">
        <f>計分版!J41</f>
        <v>3.2999999999999998E-9</v>
      </c>
      <c r="J26" s="13">
        <f>'Reference Score Calculation'!U18</f>
        <v>29</v>
      </c>
      <c r="K26" s="28">
        <f>'Reference Score Calculation'!V18</f>
        <v>21</v>
      </c>
      <c r="L26" s="110">
        <f>'Reference Score Calculation'!Y18</f>
        <v>11.761904761904763</v>
      </c>
      <c r="M26" s="13">
        <f>入學要求!Z27</f>
        <v>0</v>
      </c>
    </row>
    <row r="27" spans="1:28">
      <c r="A27" s="13" t="str">
        <f>'Reference Score Calculation'!B19</f>
        <v>JS1013</v>
      </c>
      <c r="B27" s="13" t="str">
        <f>'Reference Score Calculation'!C19</f>
        <v>CityU</v>
      </c>
      <c r="C27" s="13" t="str">
        <f>'Reference Score Calculation'!E19</f>
        <v>工商管理學士(商業經濟) (特點: 經濟理論 / 國際經濟 / 經濟與商業預測 / 定量分析)</v>
      </c>
      <c r="D27" s="13" t="str">
        <f>'Reference Score Calculation'!S19</f>
        <v>BBABE</v>
      </c>
      <c r="E27" s="13" t="str">
        <f>'Reference Score Calculation'!F19</f>
        <v>Best 5</v>
      </c>
      <c r="F27" s="20" t="str">
        <f>'Reference Score Calculation'!H19</f>
        <v>/</v>
      </c>
      <c r="G27" s="20">
        <f>'Reference Score Calculation'!I19</f>
        <v>20.5</v>
      </c>
      <c r="H27" s="20">
        <f>'Reference Score Calculation'!J19</f>
        <v>20.5</v>
      </c>
      <c r="I27" s="20">
        <f>計分版!J42</f>
        <v>3.2999999999999998E-9</v>
      </c>
      <c r="J27" s="13">
        <f>'Reference Score Calculation'!U19</f>
        <v>31</v>
      </c>
      <c r="K27" s="28">
        <f>'Reference Score Calculation'!V19</f>
        <v>32</v>
      </c>
      <c r="L27" s="110">
        <f>'Reference Score Calculation'!Y19</f>
        <v>14.875</v>
      </c>
      <c r="M27" s="13">
        <f>入學要求!Z28</f>
        <v>0</v>
      </c>
      <c r="U27" s="20"/>
    </row>
    <row r="28" spans="1:28">
      <c r="A28" s="13" t="str">
        <f>'Reference Score Calculation'!B20</f>
        <v>JS1014</v>
      </c>
      <c r="B28" s="13" t="str">
        <f>'Reference Score Calculation'!C20</f>
        <v>CityU</v>
      </c>
      <c r="C28" s="13" t="str">
        <f>'Reference Score Calculation'!E20</f>
        <v>工商管理學士(金融) (特點: 投資分析 / 金融市場 / 公司金融/ 風險管理 / 交易室工作坊)</v>
      </c>
      <c r="D28" s="13" t="str">
        <f>'Reference Score Calculation'!S20</f>
        <v>BBAFIN</v>
      </c>
      <c r="E28" s="13" t="str">
        <f>'Reference Score Calculation'!F20</f>
        <v>Best 5</v>
      </c>
      <c r="F28" s="20" t="str">
        <f>'Reference Score Calculation'!H20</f>
        <v>/</v>
      </c>
      <c r="G28" s="20">
        <f>'Reference Score Calculation'!I20</f>
        <v>20.5</v>
      </c>
      <c r="H28" s="20">
        <f>'Reference Score Calculation'!J20</f>
        <v>20.5</v>
      </c>
      <c r="I28" s="20">
        <f>計分版!J43</f>
        <v>3.2999999999999998E-9</v>
      </c>
      <c r="J28" s="13">
        <f>'Reference Score Calculation'!U20</f>
        <v>96</v>
      </c>
      <c r="K28" s="28">
        <f>'Reference Score Calculation'!V20</f>
        <v>102</v>
      </c>
      <c r="L28" s="110">
        <f>'Reference Score Calculation'!Y20</f>
        <v>7.4117647058823533</v>
      </c>
      <c r="M28" s="13">
        <f>入學要求!Z29</f>
        <v>0</v>
      </c>
      <c r="U28" s="20"/>
    </row>
    <row r="29" spans="1:28">
      <c r="A29" s="13" t="str">
        <f>'Reference Score Calculation'!B21</f>
        <v>JS1017</v>
      </c>
      <c r="B29" s="13" t="str">
        <f>'Reference Score Calculation'!C21</f>
        <v>CityU</v>
      </c>
      <c r="C29" s="13" t="str">
        <f>'Reference Score Calculation'!E21</f>
        <v>資訊系統學 [主修: 工商管理學士(環球商業系統管理) 、工商管理學士(資訊管理)]</v>
      </c>
      <c r="D29" s="13" t="str">
        <f>'Reference Score Calculation'!S21</f>
        <v>IS</v>
      </c>
      <c r="E29" s="13" t="str">
        <f>'Reference Score Calculation'!F21</f>
        <v>3C2X</v>
      </c>
      <c r="F29" s="20" t="str">
        <f>'Reference Score Calculation'!H21</f>
        <v>/</v>
      </c>
      <c r="G29" s="20">
        <f>'Reference Score Calculation'!I21</f>
        <v>20.5</v>
      </c>
      <c r="H29" s="20">
        <f>'Reference Score Calculation'!J21</f>
        <v>19.5</v>
      </c>
      <c r="I29" s="20">
        <f>計分版!J44</f>
        <v>2.2999999999999999E-9</v>
      </c>
      <c r="J29" s="13">
        <f>'Reference Score Calculation'!U21</f>
        <v>62</v>
      </c>
      <c r="K29" s="28">
        <f>'Reference Score Calculation'!V21</f>
        <v>59</v>
      </c>
      <c r="L29" s="110">
        <f>'Reference Score Calculation'!Y21</f>
        <v>5.9629629629629628</v>
      </c>
      <c r="M29" s="13">
        <f>入學要求!Z30</f>
        <v>0</v>
      </c>
      <c r="U29" s="20"/>
    </row>
    <row r="30" spans="1:28">
      <c r="A30" s="13" t="str">
        <f>'Reference Score Calculation'!B22</f>
        <v>JS1018</v>
      </c>
      <c r="B30" s="13" t="str">
        <f>'Reference Score Calculation'!C22</f>
        <v>CityU</v>
      </c>
      <c r="C30" s="13" t="str">
        <f>'Reference Score Calculation'!E22</f>
        <v>工商管理學士(環球商業系統管理) (特點: 智能科技 / 環球商業 / 海外及内地交流)</v>
      </c>
      <c r="D30" s="13" t="str">
        <f>'Reference Score Calculation'!S22</f>
        <v>BBAGBSM</v>
      </c>
      <c r="E30" s="13" t="str">
        <f>'Reference Score Calculation'!F22</f>
        <v>3C2X</v>
      </c>
      <c r="F30" s="20" t="str">
        <f>'Reference Score Calculation'!H22</f>
        <v>/</v>
      </c>
      <c r="G30" s="20">
        <f>'Reference Score Calculation'!I22</f>
        <v>22</v>
      </c>
      <c r="H30" s="20">
        <f>'Reference Score Calculation'!J22</f>
        <v>22</v>
      </c>
      <c r="I30" s="20">
        <f>計分版!J45</f>
        <v>2.2999999999999999E-9</v>
      </c>
      <c r="J30" s="13">
        <f>'Reference Score Calculation'!U22</f>
        <v>10</v>
      </c>
      <c r="K30" s="28">
        <f>'Reference Score Calculation'!V22</f>
        <v>8</v>
      </c>
      <c r="L30" s="110">
        <f>'Reference Score Calculation'!Y22</f>
        <v>10.5</v>
      </c>
      <c r="M30" s="13">
        <f>入學要求!Z31</f>
        <v>0</v>
      </c>
    </row>
    <row r="31" spans="1:28">
      <c r="A31" s="13" t="str">
        <f>'Reference Score Calculation'!B23</f>
        <v>JS1019</v>
      </c>
      <c r="B31" s="13" t="str">
        <f>'Reference Score Calculation'!C23</f>
        <v>CityU</v>
      </c>
      <c r="C31" s="13" t="str">
        <f>'Reference Score Calculation'!E23</f>
        <v>工商管理學士(資訊管理) (專修: 商務智能 / 信息系統審計 / 互聯網服務及社交網絡 / 數據信息學)</v>
      </c>
      <c r="D31" s="13" t="str">
        <f>'Reference Score Calculation'!S23</f>
        <v>BBAIFMG</v>
      </c>
      <c r="E31" s="13" t="str">
        <f>'Reference Score Calculation'!F23</f>
        <v>3C2X</v>
      </c>
      <c r="F31" s="20" t="str">
        <f>'Reference Score Calculation'!H23</f>
        <v>/</v>
      </c>
      <c r="G31" s="20">
        <f>'Reference Score Calculation'!I23</f>
        <v>20.5</v>
      </c>
      <c r="H31" s="20">
        <f>'Reference Score Calculation'!J23</f>
        <v>19.5</v>
      </c>
      <c r="I31" s="20">
        <f>計分版!J46</f>
        <v>2.2999999999999999E-9</v>
      </c>
      <c r="J31" s="13">
        <f>'Reference Score Calculation'!U23</f>
        <v>10</v>
      </c>
      <c r="K31" s="28">
        <f>'Reference Score Calculation'!V23</f>
        <v>7</v>
      </c>
      <c r="L31" s="110">
        <f>'Reference Score Calculation'!Y23</f>
        <v>22</v>
      </c>
      <c r="M31" s="13">
        <f>入學要求!Z32</f>
        <v>0</v>
      </c>
    </row>
    <row r="32" spans="1:28">
      <c r="A32" s="13" t="str">
        <f>'Reference Score Calculation'!B24</f>
        <v>JS1025</v>
      </c>
      <c r="B32" s="13" t="str">
        <f>'Reference Score Calculation'!C24</f>
        <v>CityU</v>
      </c>
      <c r="C32" s="13" t="str">
        <f>'Reference Score Calculation'!E24</f>
        <v>決策分析及營運學 [主修: 工商管理學士(商業決策分析) / 工商管理學士(環球營運管理)]</v>
      </c>
      <c r="D32" s="13" t="str">
        <f>'Reference Score Calculation'!S24</f>
        <v>DAO</v>
      </c>
      <c r="E32" s="13" t="str">
        <f>'Reference Score Calculation'!F24</f>
        <v>3C2X</v>
      </c>
      <c r="F32" s="20" t="str">
        <f>'Reference Score Calculation'!H24</f>
        <v>/</v>
      </c>
      <c r="G32" s="20">
        <f>'Reference Score Calculation'!I24</f>
        <v>20</v>
      </c>
      <c r="H32" s="20">
        <f>'Reference Score Calculation'!J24</f>
        <v>19.5</v>
      </c>
      <c r="I32" s="20">
        <f>計分版!J47</f>
        <v>2.2999999999999999E-9</v>
      </c>
      <c r="J32" s="13">
        <f>'Reference Score Calculation'!U24</f>
        <v>24</v>
      </c>
      <c r="K32" s="28">
        <f>'Reference Score Calculation'!V24</f>
        <v>24</v>
      </c>
      <c r="L32" s="110">
        <f>'Reference Score Calculation'!Y24</f>
        <v>18.90909090909091</v>
      </c>
      <c r="M32" s="13">
        <f>入學要求!Z33</f>
        <v>0</v>
      </c>
    </row>
    <row r="33" spans="1:13">
      <c r="A33" s="13" t="str">
        <f>'Reference Score Calculation'!B25</f>
        <v>JS1026</v>
      </c>
      <c r="B33" s="13" t="str">
        <f>'Reference Score Calculation'!C25</f>
        <v>CityU</v>
      </c>
      <c r="C33" s="13" t="str">
        <f>'Reference Score Calculation'!E25</f>
        <v>工商管理學士(商業決策分析) (專修: 決策分析學 / 數據信息學)</v>
      </c>
      <c r="D33" s="13" t="str">
        <f>'Reference Score Calculation'!S25</f>
        <v>BBABDAN</v>
      </c>
      <c r="E33" s="13" t="str">
        <f>'Reference Score Calculation'!F25</f>
        <v>3C2X</v>
      </c>
      <c r="F33" s="20" t="str">
        <f>'Reference Score Calculation'!H25</f>
        <v>/</v>
      </c>
      <c r="G33" s="20">
        <f>'Reference Score Calculation'!I25</f>
        <v>19.5</v>
      </c>
      <c r="H33" s="20">
        <f>'Reference Score Calculation'!J25</f>
        <v>19</v>
      </c>
      <c r="I33" s="20">
        <f>計分版!J48</f>
        <v>2.2999999999999999E-9</v>
      </c>
      <c r="J33" s="13">
        <f>'Reference Score Calculation'!U25</f>
        <v>24</v>
      </c>
      <c r="K33" s="28">
        <f>'Reference Score Calculation'!V25</f>
        <v>21</v>
      </c>
      <c r="L33" s="110">
        <f>'Reference Score Calculation'!Y25</f>
        <v>7.7</v>
      </c>
      <c r="M33" s="13">
        <f>入學要求!Z34</f>
        <v>0</v>
      </c>
    </row>
    <row r="34" spans="1:13">
      <c r="A34" s="13" t="str">
        <f>'Reference Score Calculation'!B26</f>
        <v>JS1027</v>
      </c>
      <c r="B34" s="13" t="str">
        <f>'Reference Score Calculation'!C26</f>
        <v>CityU</v>
      </c>
      <c r="C34" s="13" t="str">
        <f>'Reference Score Calculation'!E26</f>
        <v>工商管理學士(環球營運管理) (特點: 供應鏈管理 / 營運效率 / 流程改善 / 營運分析 / 資源規劃)</v>
      </c>
      <c r="D34" s="13" t="str">
        <f>'Reference Score Calculation'!S26</f>
        <v>BBAGOM</v>
      </c>
      <c r="E34" s="13" t="str">
        <f>'Reference Score Calculation'!F26</f>
        <v>3C2X</v>
      </c>
      <c r="F34" s="20" t="str">
        <f>'Reference Score Calculation'!H26</f>
        <v>/</v>
      </c>
      <c r="G34" s="20">
        <f>'Reference Score Calculation'!I26</f>
        <v>19.5</v>
      </c>
      <c r="H34" s="20">
        <f>'Reference Score Calculation'!J26</f>
        <v>19</v>
      </c>
      <c r="I34" s="20">
        <f>計分版!J49</f>
        <v>2.2999999999999999E-9</v>
      </c>
      <c r="J34" s="13">
        <f>'Reference Score Calculation'!U26</f>
        <v>23</v>
      </c>
      <c r="K34" s="28">
        <f>'Reference Score Calculation'!V26</f>
        <v>21</v>
      </c>
      <c r="L34" s="110">
        <f>'Reference Score Calculation'!Y26</f>
        <v>14.3</v>
      </c>
      <c r="M34" s="13">
        <f>入學要求!Z35</f>
        <v>0</v>
      </c>
    </row>
    <row r="35" spans="1:13">
      <c r="A35" s="13" t="str">
        <f>'Reference Score Calculation'!B27</f>
        <v>JS1040</v>
      </c>
      <c r="B35" s="13" t="str">
        <f>'Reference Score Calculation'!C27</f>
        <v>CityU</v>
      </c>
      <c r="C35" s="13" t="str">
        <f>'Reference Score Calculation'!E27</f>
        <v>卓越創藝與科技課程 [選項: 創意媒體(校本課程)、 文學士(創意媒體)、理學士(創意媒體)、文理學士(新媒體)]</v>
      </c>
      <c r="D35" s="13" t="str">
        <f>'Reference Score Calculation'!S27</f>
        <v>CREATE</v>
      </c>
      <c r="E35" s="13" t="str">
        <f>'Reference Score Calculation'!F27</f>
        <v>25年新科目</v>
      </c>
      <c r="F35" s="20" t="str">
        <f>'Reference Score Calculation'!H27</f>
        <v>/</v>
      </c>
      <c r="G35" s="20" t="str">
        <f>'Reference Score Calculation'!I27</f>
        <v>/</v>
      </c>
      <c r="H35" s="20" t="str">
        <f>'Reference Score Calculation'!J27</f>
        <v>/</v>
      </c>
      <c r="I35" s="20">
        <f>計分版!J50</f>
        <v>3.4999999999999999E-9</v>
      </c>
      <c r="J35" s="13">
        <f>'Reference Score Calculation'!U27</f>
        <v>10</v>
      </c>
      <c r="K35" s="28" t="str">
        <f>'Reference Score Calculation'!V27</f>
        <v>/</v>
      </c>
      <c r="L35" s="110" t="str">
        <f>'Reference Score Calculation'!Y27</f>
        <v>新科目</v>
      </c>
      <c r="M35" s="13">
        <f>入學要求!Z36</f>
        <v>0</v>
      </c>
    </row>
    <row r="36" spans="1:13">
      <c r="A36" s="13" t="str">
        <f>'Reference Score Calculation'!B28</f>
        <v>JS1041</v>
      </c>
      <c r="B36" s="13" t="str">
        <f>'Reference Score Calculation'!C28</f>
        <v>CityU</v>
      </c>
      <c r="C36" s="13" t="str">
        <f>'Reference Score Calculation'!E28</f>
        <v>創意媒體 [主修: 文學士(創意媒體) / 理學士(創意媒體) / 文理學士(新媒體)]</v>
      </c>
      <c r="D36" s="13" t="str">
        <f>'Reference Score Calculation'!S28</f>
        <v>SCM</v>
      </c>
      <c r="E36" s="13" t="str">
        <f>'Reference Score Calculation'!F28</f>
        <v>Best 5</v>
      </c>
      <c r="F36" s="20" t="str">
        <f>'Reference Score Calculation'!H28</f>
        <v>/</v>
      </c>
      <c r="G36" s="20">
        <f>'Reference Score Calculation'!I28</f>
        <v>25</v>
      </c>
      <c r="H36" s="20">
        <f>'Reference Score Calculation'!J28</f>
        <v>23.5</v>
      </c>
      <c r="I36" s="20">
        <f>計分版!J51</f>
        <v>3.3999999999999998E-9</v>
      </c>
      <c r="J36" s="13">
        <f>'Reference Score Calculation'!U28</f>
        <v>21</v>
      </c>
      <c r="K36" s="28">
        <f>'Reference Score Calculation'!V28</f>
        <v>24</v>
      </c>
      <c r="L36" s="110">
        <f>'Reference Score Calculation'!Y28</f>
        <v>13.416666666666666</v>
      </c>
      <c r="M36" s="13">
        <f>入學要求!Z37</f>
        <v>0</v>
      </c>
    </row>
    <row r="37" spans="1:13">
      <c r="A37" s="13" t="str">
        <f>'Reference Score Calculation'!B29</f>
        <v>JS1042</v>
      </c>
      <c r="B37" s="13" t="str">
        <f>'Reference Score Calculation'!C29</f>
        <v>CityU</v>
      </c>
      <c r="C37" s="13" t="str">
        <f>'Reference Score Calculation'!E29</f>
        <v>文學士(創意媒體) (特點: 動畫 / 電影及攝影 / 批判理論及實踐 / 遊戲及可玩媒體 / 新媒體藝術 / 聲音藝術)</v>
      </c>
      <c r="D37" s="13" t="str">
        <f>'Reference Score Calculation'!S29</f>
        <v>BACM</v>
      </c>
      <c r="E37" s="13" t="str">
        <f>'Reference Score Calculation'!F29</f>
        <v>Best 5</v>
      </c>
      <c r="F37" s="20" t="str">
        <f>'Reference Score Calculation'!H29</f>
        <v>/</v>
      </c>
      <c r="G37" s="20">
        <f>'Reference Score Calculation'!I29</f>
        <v>27</v>
      </c>
      <c r="H37" s="20">
        <f>'Reference Score Calculation'!J29</f>
        <v>26.5</v>
      </c>
      <c r="I37" s="20">
        <f>計分版!J52</f>
        <v>3.3999999999999998E-9</v>
      </c>
      <c r="J37" s="13">
        <f>'Reference Score Calculation'!U29</f>
        <v>17</v>
      </c>
      <c r="K37" s="28">
        <f>'Reference Score Calculation'!V29</f>
        <v>14</v>
      </c>
      <c r="L37" s="110">
        <f>'Reference Score Calculation'!Y29</f>
        <v>18.071428571428573</v>
      </c>
      <c r="M37" s="13">
        <f>入學要求!Z38</f>
        <v>0</v>
      </c>
    </row>
    <row r="38" spans="1:13">
      <c r="A38" s="13" t="str">
        <f>'Reference Score Calculation'!B30</f>
        <v>JS1043</v>
      </c>
      <c r="B38" s="13" t="str">
        <f>'Reference Score Calculation'!C30</f>
        <v>CityU</v>
      </c>
      <c r="C38" s="13" t="str">
        <f>'Reference Score Calculation'!E30</f>
        <v>理學士(創意媒體) (特點: 結合創意媒體及電腦科學課程 / 動畫 / 遊戲 / 裝置藝術 / 互動媒體)</v>
      </c>
      <c r="D38" s="13" t="str">
        <f>'Reference Score Calculation'!S30</f>
        <v>BScCM</v>
      </c>
      <c r="E38" s="13" t="str">
        <f>'Reference Score Calculation'!F30</f>
        <v>Best 5</v>
      </c>
      <c r="F38" s="20" t="str">
        <f>'Reference Score Calculation'!H30</f>
        <v>/</v>
      </c>
      <c r="G38" s="20">
        <f>'Reference Score Calculation'!I30</f>
        <v>27</v>
      </c>
      <c r="H38" s="20">
        <f>'Reference Score Calculation'!J30</f>
        <v>25.5</v>
      </c>
      <c r="I38" s="20">
        <f>計分版!J53</f>
        <v>3.2500000000000002E-9</v>
      </c>
      <c r="J38" s="13">
        <f>'Reference Score Calculation'!U30</f>
        <v>25</v>
      </c>
      <c r="K38" s="28">
        <f>'Reference Score Calculation'!V30</f>
        <v>25</v>
      </c>
      <c r="L38" s="110">
        <f>'Reference Score Calculation'!Y30</f>
        <v>9.44</v>
      </c>
      <c r="M38" s="13">
        <f>入學要求!Z39</f>
        <v>0</v>
      </c>
    </row>
    <row r="39" spans="1:13">
      <c r="A39" s="13" t="str">
        <f>'Reference Score Calculation'!B31</f>
        <v>JS1044</v>
      </c>
      <c r="B39" s="13" t="str">
        <f>'Reference Score Calculation'!C31</f>
        <v>CityU</v>
      </c>
      <c r="C39" s="13" t="str">
        <f>'Reference Score Calculation'!E31</f>
        <v>文理學士(新媒體) (特點: 媒體藝術 / 機械人學及人工智能 / 藝術及科技 / 物料及數位製造)</v>
      </c>
      <c r="D39" s="13" t="str">
        <f>'Reference Score Calculation'!S31</f>
        <v>BAS</v>
      </c>
      <c r="E39" s="13" t="str">
        <f>'Reference Score Calculation'!F31</f>
        <v>Best 5</v>
      </c>
      <c r="F39" s="20" t="str">
        <f>'Reference Score Calculation'!H31</f>
        <v>/</v>
      </c>
      <c r="G39" s="20">
        <f>'Reference Score Calculation'!I31</f>
        <v>23.5</v>
      </c>
      <c r="H39" s="20">
        <f>'Reference Score Calculation'!J31</f>
        <v>23</v>
      </c>
      <c r="I39" s="20">
        <f>計分版!J54</f>
        <v>3.3999999999999998E-9</v>
      </c>
      <c r="J39" s="13">
        <f>'Reference Score Calculation'!U31</f>
        <v>17</v>
      </c>
      <c r="K39" s="28">
        <f>'Reference Score Calculation'!V31</f>
        <v>18</v>
      </c>
      <c r="L39" s="110">
        <f>'Reference Score Calculation'!Y31</f>
        <v>9.9444444444444446</v>
      </c>
      <c r="M39" s="13">
        <f>入學要求!Z40</f>
        <v>0</v>
      </c>
    </row>
    <row r="40" spans="1:13">
      <c r="A40" s="13" t="str">
        <f>'Reference Score Calculation'!B32</f>
        <v>JS1050</v>
      </c>
      <c r="B40" s="13" t="str">
        <f>'Reference Score Calculation'!C32</f>
        <v>CityU</v>
      </c>
      <c r="C40" s="13" t="str">
        <f>'Reference Score Calculation'!E32</f>
        <v>環球可持續發展科創課程 [主修: 工學士(能源科學及工程學) / 工學士(環境科學及工程學)＋特點：環球視野]</v>
      </c>
      <c r="D40" s="13" t="str">
        <f>'Reference Score Calculation'!S32</f>
        <v>INSPIRE</v>
      </c>
      <c r="E40" s="13" t="str">
        <f>'Reference Score Calculation'!F32</f>
        <v>25年新科目</v>
      </c>
      <c r="F40" s="20" t="str">
        <f>'Reference Score Calculation'!H32</f>
        <v>/</v>
      </c>
      <c r="G40" s="20" t="str">
        <f>'Reference Score Calculation'!I32</f>
        <v>/</v>
      </c>
      <c r="H40" s="20" t="str">
        <f>'Reference Score Calculation'!J32</f>
        <v>/</v>
      </c>
      <c r="I40" s="20">
        <f>計分版!J55</f>
        <v>3.9000000000000002E-9</v>
      </c>
      <c r="J40" s="13">
        <f>'Reference Score Calculation'!U32</f>
        <v>10</v>
      </c>
      <c r="K40" s="28" t="str">
        <f>'Reference Score Calculation'!V32</f>
        <v>/</v>
      </c>
      <c r="L40" s="110" t="str">
        <f>'Reference Score Calculation'!Y32</f>
        <v>新科目</v>
      </c>
      <c r="M40" s="13">
        <f>入學要求!Z41</f>
        <v>0</v>
      </c>
    </row>
    <row r="41" spans="1:13">
      <c r="A41" s="13" t="str">
        <f>'Reference Score Calculation'!B33</f>
        <v>JS1051</v>
      </c>
      <c r="B41" s="13" t="str">
        <f>'Reference Score Calculation'!C33</f>
        <v>CityU</v>
      </c>
      <c r="C41" s="13" t="str">
        <f>'Reference Score Calculation'!E33</f>
        <v>能源及環境學 [主修: 工學士(能源科學及工程學) / 工學士(環境科學及工程學)]</v>
      </c>
      <c r="D41" s="13" t="str">
        <f>'Reference Score Calculation'!S33</f>
        <v>SEE</v>
      </c>
      <c r="E41" s="13" t="str">
        <f>'Reference Score Calculation'!F33</f>
        <v>Best 5</v>
      </c>
      <c r="F41" s="20" t="str">
        <f>'Reference Score Calculation'!H33</f>
        <v>/</v>
      </c>
      <c r="G41" s="20">
        <f>'Reference Score Calculation'!I33</f>
        <v>37.5</v>
      </c>
      <c r="H41" s="20">
        <f>'Reference Score Calculation'!J33</f>
        <v>36.5</v>
      </c>
      <c r="I41" s="20">
        <f>計分版!J56</f>
        <v>3.6E-9</v>
      </c>
      <c r="J41" s="13">
        <f>'Reference Score Calculation'!U33</f>
        <v>32</v>
      </c>
      <c r="K41" s="28">
        <f>'Reference Score Calculation'!V33</f>
        <v>54</v>
      </c>
      <c r="L41" s="110">
        <f>'Reference Score Calculation'!Y33</f>
        <v>9.4878048780487809</v>
      </c>
      <c r="M41" s="13">
        <f>入學要求!Z42</f>
        <v>0</v>
      </c>
    </row>
    <row r="42" spans="1:13">
      <c r="A42" s="13" t="str">
        <f>'Reference Score Calculation'!B34</f>
        <v>JS1052</v>
      </c>
      <c r="B42" s="13" t="str">
        <f>'Reference Score Calculation'!C34</f>
        <v>CityU</v>
      </c>
      <c r="C42" s="13" t="str">
        <f>'Reference Score Calculation'!E34</f>
        <v>工學士(環境科學及工程學)與工商管理學士(金融)[雙學位；特點：環境、社會和管治 / 綠色金融 / 環保技術 / 跨學科教育]</v>
      </c>
      <c r="D42" s="13" t="str">
        <f>'Reference Score Calculation'!S34</f>
        <v>BEngESE&amp;BBAFIN</v>
      </c>
      <c r="E42" s="13" t="str">
        <f>'Reference Score Calculation'!F34</f>
        <v>Best 5</v>
      </c>
      <c r="F42" s="20" t="str">
        <f>'Reference Score Calculation'!H34</f>
        <v>/</v>
      </c>
      <c r="G42" s="20">
        <f>'Reference Score Calculation'!I34</f>
        <v>36</v>
      </c>
      <c r="H42" s="20">
        <f>'Reference Score Calculation'!J34</f>
        <v>35</v>
      </c>
      <c r="I42" s="20">
        <f>計分版!J57</f>
        <v>3.6E-9</v>
      </c>
      <c r="J42" s="13">
        <f>'Reference Score Calculation'!U34</f>
        <v>10</v>
      </c>
      <c r="K42" s="28">
        <f>'Reference Score Calculation'!V34</f>
        <v>11</v>
      </c>
      <c r="L42" s="110">
        <f>'Reference Score Calculation'!Y34</f>
        <v>16.333333333333332</v>
      </c>
      <c r="M42" s="13">
        <f>入學要求!Z43</f>
        <v>0</v>
      </c>
    </row>
    <row r="43" spans="1:13">
      <c r="A43" s="13" t="str">
        <f>'Reference Score Calculation'!B35</f>
        <v>JS1053</v>
      </c>
      <c r="B43" s="13" t="str">
        <f>'Reference Score Calculation'!C35</f>
        <v>CityU</v>
      </c>
      <c r="C43" s="13" t="str">
        <f>'Reference Score Calculation'!E35</f>
        <v>理學士(環境及可持續發展商業) [特點：環境科學 / 商業可持續發展 / 環境、社會和管治]</v>
      </c>
      <c r="D43" s="13" t="str">
        <f>'Reference Score Calculation'!S35</f>
        <v>BScESB</v>
      </c>
      <c r="E43" s="13" t="str">
        <f>'Reference Score Calculation'!F35</f>
        <v>25年新科目</v>
      </c>
      <c r="F43" s="20" t="str">
        <f>'Reference Score Calculation'!H35</f>
        <v>/</v>
      </c>
      <c r="G43" s="20" t="str">
        <f>'Reference Score Calculation'!I35</f>
        <v>/</v>
      </c>
      <c r="H43" s="20" t="str">
        <f>'Reference Score Calculation'!J35</f>
        <v>/</v>
      </c>
      <c r="I43" s="20">
        <f>計分版!J58</f>
        <v>3.9000000000000002E-9</v>
      </c>
      <c r="J43" s="13">
        <f>'Reference Score Calculation'!U35</f>
        <v>10</v>
      </c>
      <c r="K43" s="28" t="str">
        <f>'Reference Score Calculation'!V35</f>
        <v>/</v>
      </c>
      <c r="L43" s="110" t="str">
        <f>'Reference Score Calculation'!Y35</f>
        <v>新科目</v>
      </c>
      <c r="M43" s="13">
        <f>入學要求!Z44</f>
        <v>0</v>
      </c>
    </row>
    <row r="44" spans="1:13">
      <c r="A44" s="13" t="str">
        <f>'Reference Score Calculation'!B36</f>
        <v>JS1061</v>
      </c>
      <c r="B44" s="13" t="str">
        <f>'Reference Score Calculation'!C36</f>
        <v>CityU</v>
      </c>
      <c r="C44" s="13" t="str">
        <f>'Reference Score Calculation'!E36</f>
        <v>法律學學士</v>
      </c>
      <c r="D44" s="13" t="str">
        <f>'Reference Score Calculation'!S36</f>
        <v>LLB</v>
      </c>
      <c r="E44" s="13" t="str">
        <f>'Reference Score Calculation'!F36</f>
        <v>Best 5</v>
      </c>
      <c r="F44" s="20" t="str">
        <f>'Reference Score Calculation'!H36</f>
        <v>/</v>
      </c>
      <c r="G44" s="20">
        <f>'Reference Score Calculation'!I36</f>
        <v>24.5</v>
      </c>
      <c r="H44" s="20">
        <f>'Reference Score Calculation'!J36</f>
        <v>23.5</v>
      </c>
      <c r="I44" s="20">
        <f>計分版!J59</f>
        <v>3.1999999999999997E-9</v>
      </c>
      <c r="J44" s="13">
        <f>'Reference Score Calculation'!U36</f>
        <v>42</v>
      </c>
      <c r="K44" s="28">
        <f>'Reference Score Calculation'!V36</f>
        <v>26</v>
      </c>
      <c r="L44" s="110">
        <f>'Reference Score Calculation'!Y36</f>
        <v>4.9615384615384617</v>
      </c>
      <c r="M44" s="13">
        <f>入學要求!Z45</f>
        <v>0</v>
      </c>
    </row>
    <row r="45" spans="1:13">
      <c r="A45" s="13" t="str">
        <f>'Reference Score Calculation'!B37</f>
        <v>JS1062</v>
      </c>
      <c r="B45" s="13" t="str">
        <f>'Reference Score Calculation'!C37</f>
        <v>CityU</v>
      </c>
      <c r="C45" s="13" t="str">
        <f>'Reference Score Calculation'!E37</f>
        <v>法律學學士與工商管理學士(會計) (雙學位)</v>
      </c>
      <c r="D45" s="13" t="str">
        <f>'Reference Score Calculation'!S37</f>
        <v>LLB&amp;BBAAC</v>
      </c>
      <c r="E45" s="13" t="str">
        <f>'Reference Score Calculation'!F37</f>
        <v>Best 5</v>
      </c>
      <c r="F45" s="20" t="str">
        <f>'Reference Score Calculation'!H37</f>
        <v>/</v>
      </c>
      <c r="G45" s="20">
        <f>'Reference Score Calculation'!I37</f>
        <v>29</v>
      </c>
      <c r="H45" s="20">
        <f>'Reference Score Calculation'!J37</f>
        <v>24.5</v>
      </c>
      <c r="I45" s="20">
        <f>計分版!J60</f>
        <v>3.2999999999999998E-9</v>
      </c>
      <c r="J45" s="13">
        <f>'Reference Score Calculation'!U37</f>
        <v>8</v>
      </c>
      <c r="K45" s="28">
        <f>'Reference Score Calculation'!V37</f>
        <v>5</v>
      </c>
      <c r="L45" s="110">
        <f>'Reference Score Calculation'!Y37</f>
        <v>4.75</v>
      </c>
      <c r="M45" s="13">
        <f>入學要求!Z46</f>
        <v>0</v>
      </c>
    </row>
    <row r="46" spans="1:13">
      <c r="A46" s="13" t="str">
        <f>'Reference Score Calculation'!B38</f>
        <v>JS1070</v>
      </c>
      <c r="B46" s="13" t="str">
        <f>'Reference Score Calculation'!C38</f>
        <v>CityU</v>
      </c>
      <c r="C46" s="13" t="str">
        <f>'Reference Score Calculation'!E38</f>
        <v>數據賦能: 學習･突破･成就課程(特點: 自由選擇學院專業學科 / 一對一專業導師 / 精英學生實習培訓 / 專業導師指導計劃 / 頂尖海外大學交流)</v>
      </c>
      <c r="D46" s="13" t="str">
        <f>'Reference Score Calculation'!S38</f>
        <v>DELTA</v>
      </c>
      <c r="E46" s="13" t="str">
        <f>'Reference Score Calculation'!F38</f>
        <v>25年新科目</v>
      </c>
      <c r="F46" s="20" t="str">
        <f>'Reference Score Calculation'!H38</f>
        <v>/</v>
      </c>
      <c r="G46" s="20" t="str">
        <f>'Reference Score Calculation'!I38</f>
        <v>/</v>
      </c>
      <c r="H46" s="20" t="str">
        <f>'Reference Score Calculation'!J38</f>
        <v>/</v>
      </c>
      <c r="I46" s="20">
        <f>計分版!J61</f>
        <v>2.8000000000000003E-9</v>
      </c>
      <c r="J46" s="13">
        <f>'Reference Score Calculation'!U38</f>
        <v>15</v>
      </c>
      <c r="K46" s="28" t="str">
        <f>'Reference Score Calculation'!V38</f>
        <v>/</v>
      </c>
      <c r="L46" s="110" t="str">
        <f>'Reference Score Calculation'!Y38</f>
        <v>新科目</v>
      </c>
      <c r="M46" s="13">
        <f>入學要求!Z47</f>
        <v>0</v>
      </c>
    </row>
    <row r="47" spans="1:13">
      <c r="A47" s="13" t="str">
        <f>'Reference Score Calculation'!B39</f>
        <v>JS1071</v>
      </c>
      <c r="B47" s="13" t="str">
        <f>'Reference Score Calculation'!C39</f>
        <v>CityU</v>
      </c>
      <c r="C47" s="13" t="str">
        <f>'Reference Score Calculation'!E39</f>
        <v>數據科學 [主修：理學士 (數據科學) / 理學士 (數據與系統工程)]</v>
      </c>
      <c r="D47" s="13" t="str">
        <f>'Reference Score Calculation'!S39</f>
        <v>SDSC</v>
      </c>
      <c r="E47" s="13" t="str">
        <f>'Reference Score Calculation'!F39</f>
        <v>3C2X</v>
      </c>
      <c r="F47" s="20" t="str">
        <f>'Reference Score Calculation'!H39</f>
        <v>/</v>
      </c>
      <c r="G47" s="20">
        <f>'Reference Score Calculation'!I39</f>
        <v>28</v>
      </c>
      <c r="H47" s="20">
        <f>'Reference Score Calculation'!J39</f>
        <v>27</v>
      </c>
      <c r="I47" s="20">
        <f>計分版!J62</f>
        <v>2.8000000000000003E-9</v>
      </c>
      <c r="J47" s="13">
        <f>'Reference Score Calculation'!U39</f>
        <v>20</v>
      </c>
      <c r="K47" s="28">
        <f>'Reference Score Calculation'!V39</f>
        <v>16</v>
      </c>
      <c r="L47" s="110">
        <f>'Reference Score Calculation'!Y39</f>
        <v>14.285714285714286</v>
      </c>
      <c r="M47" s="13">
        <f>入學要求!Z48</f>
        <v>0</v>
      </c>
    </row>
    <row r="48" spans="1:13">
      <c r="A48" s="13" t="str">
        <f>'Reference Score Calculation'!B40</f>
        <v>JS1072</v>
      </c>
      <c r="B48" s="13" t="str">
        <f>'Reference Score Calculation'!C40</f>
        <v>CityU</v>
      </c>
      <c r="C48" s="13" t="str">
        <f>'Reference Score Calculation'!E40</f>
        <v>理學士(數據科學) (特點: 數據科學 / 機器學習 / 數據挖掘 / 大數據分析)</v>
      </c>
      <c r="D48" s="13" t="str">
        <f>'Reference Score Calculation'!S40</f>
        <v>BScDSC</v>
      </c>
      <c r="E48" s="13" t="str">
        <f>'Reference Score Calculation'!F40</f>
        <v>3C2X</v>
      </c>
      <c r="F48" s="20" t="str">
        <f>'Reference Score Calculation'!H40</f>
        <v>/</v>
      </c>
      <c r="G48" s="20">
        <f>'Reference Score Calculation'!I40</f>
        <v>29</v>
      </c>
      <c r="H48" s="20">
        <f>'Reference Score Calculation'!J40</f>
        <v>28</v>
      </c>
      <c r="I48" s="20">
        <f>計分版!J63</f>
        <v>2.8000000000000003E-9</v>
      </c>
      <c r="J48" s="13">
        <f>'Reference Score Calculation'!U40</f>
        <v>27</v>
      </c>
      <c r="K48" s="28">
        <f>'Reference Score Calculation'!V40</f>
        <v>18</v>
      </c>
      <c r="L48" s="110">
        <f>'Reference Score Calculation'!Y40</f>
        <v>11.470588235294118</v>
      </c>
      <c r="M48" s="13">
        <f>入學要求!Z49</f>
        <v>0</v>
      </c>
    </row>
    <row r="49" spans="1:13">
      <c r="A49" s="13" t="str">
        <f>'Reference Score Calculation'!B41</f>
        <v>JS1074</v>
      </c>
      <c r="B49" s="13" t="str">
        <f>'Reference Score Calculation'!C41</f>
        <v>CityU</v>
      </c>
      <c r="C49" s="13" t="str">
        <f>'Reference Score Calculation'!E41</f>
        <v>理學士(數據與系統工程) (特點: 數據科學 / 金融科技 / 工業人工智能 / 智慧城市 / 物聯網)</v>
      </c>
      <c r="D49" s="13" t="str">
        <f>'Reference Score Calculation'!S41</f>
        <v>BScDSE</v>
      </c>
      <c r="E49" s="13" t="str">
        <f>'Reference Score Calculation'!F41</f>
        <v>3C2X</v>
      </c>
      <c r="F49" s="20" t="str">
        <f>'Reference Score Calculation'!H41</f>
        <v>/</v>
      </c>
      <c r="G49" s="20">
        <f>'Reference Score Calculation'!I41</f>
        <v>27</v>
      </c>
      <c r="H49" s="20">
        <f>'Reference Score Calculation'!J41</f>
        <v>27</v>
      </c>
      <c r="I49" s="20">
        <f>計分版!J64</f>
        <v>2.8000000000000003E-9</v>
      </c>
      <c r="J49" s="13">
        <f>'Reference Score Calculation'!U41</f>
        <v>17</v>
      </c>
      <c r="K49" s="28">
        <f>'Reference Score Calculation'!V41</f>
        <v>16</v>
      </c>
      <c r="L49" s="110">
        <f>'Reference Score Calculation'!Y41</f>
        <v>8.3076923076923084</v>
      </c>
      <c r="M49" s="13">
        <f>入學要求!Z50</f>
        <v>0</v>
      </c>
    </row>
    <row r="50" spans="1:13">
      <c r="A50" s="13" t="str">
        <f>'Reference Score Calculation'!B42</f>
        <v>JS1100</v>
      </c>
      <c r="B50" s="13" t="str">
        <f>'Reference Score Calculation'!C42</f>
        <v>CityU</v>
      </c>
      <c r="C50" s="13" t="str">
        <f>'Reference Score Calculation'!E42</f>
        <v>社會科學學士(心理學) (專修: 康健與關懷管理課程)</v>
      </c>
      <c r="D50" s="13" t="str">
        <f>'Reference Score Calculation'!S42</f>
        <v>WE-CARE</v>
      </c>
      <c r="E50" s="13" t="str">
        <f>'Reference Score Calculation'!F42</f>
        <v>25年新科目</v>
      </c>
      <c r="F50" s="20" t="str">
        <f>'Reference Score Calculation'!H42</f>
        <v>/</v>
      </c>
      <c r="G50" s="20" t="str">
        <f>'Reference Score Calculation'!I42</f>
        <v>/</v>
      </c>
      <c r="H50" s="20" t="str">
        <f>'Reference Score Calculation'!J42</f>
        <v>/</v>
      </c>
      <c r="I50" s="20">
        <f>計分版!J65</f>
        <v>3.0000000000000004E-9</v>
      </c>
      <c r="J50" s="13">
        <f>'Reference Score Calculation'!U42</f>
        <v>10</v>
      </c>
      <c r="K50" s="28" t="str">
        <f>'Reference Score Calculation'!V42</f>
        <v>/</v>
      </c>
      <c r="L50" s="110" t="str">
        <f>'Reference Score Calculation'!Y42</f>
        <v>新科目</v>
      </c>
      <c r="M50" s="13">
        <f>入學要求!Z51</f>
        <v>0</v>
      </c>
    </row>
    <row r="51" spans="1:13">
      <c r="A51" s="13" t="str">
        <f>'Reference Score Calculation'!B43</f>
        <v>JS1102</v>
      </c>
      <c r="B51" s="13" t="str">
        <f>'Reference Score Calculation'!C43</f>
        <v>CityU</v>
      </c>
      <c r="C51" s="13" t="str">
        <f>'Reference Score Calculation'!E43</f>
        <v>社會科學學士(國際關係及全球事務) (專修: 亞洲研究 / 國際研究 / 發展研究)</v>
      </c>
      <c r="D51" s="13" t="str">
        <f>'Reference Score Calculation'!S43</f>
        <v>BSocScIRGA</v>
      </c>
      <c r="E51" s="13" t="str">
        <f>'Reference Score Calculation'!F43</f>
        <v>Best 5</v>
      </c>
      <c r="F51" s="20" t="str">
        <f>'Reference Score Calculation'!H43</f>
        <v>/</v>
      </c>
      <c r="G51" s="20">
        <f>'Reference Score Calculation'!I43</f>
        <v>24</v>
      </c>
      <c r="H51" s="20">
        <f>'Reference Score Calculation'!J43</f>
        <v>23.5</v>
      </c>
      <c r="I51" s="20">
        <f>計分版!J66</f>
        <v>3.2999999999999998E-9</v>
      </c>
      <c r="J51" s="13">
        <f>'Reference Score Calculation'!U43</f>
        <v>20</v>
      </c>
      <c r="K51" s="28">
        <f>'Reference Score Calculation'!V43</f>
        <v>17</v>
      </c>
      <c r="L51" s="110">
        <f>'Reference Score Calculation'!Y43</f>
        <v>21.076923076923077</v>
      </c>
      <c r="M51" s="13">
        <f>入學要求!Z52</f>
        <v>0</v>
      </c>
    </row>
    <row r="52" spans="1:13">
      <c r="A52" s="13" t="str">
        <f>'Reference Score Calculation'!B44</f>
        <v>JS1103</v>
      </c>
      <c r="B52" s="13" t="str">
        <f>'Reference Score Calculation'!C44</f>
        <v>CityU</v>
      </c>
      <c r="C52" s="13" t="str">
        <f>'Reference Score Calculation'!E44</f>
        <v>文學士(中文及歷史) (專修: 中文 / 歷史及文化遺產)</v>
      </c>
      <c r="D52" s="13" t="str">
        <f>'Reference Score Calculation'!S44</f>
        <v>BACHIS</v>
      </c>
      <c r="E52" s="13" t="str">
        <f>'Reference Score Calculation'!F44</f>
        <v>3C2X</v>
      </c>
      <c r="F52" s="20" t="str">
        <f>'Reference Score Calculation'!H44</f>
        <v>/</v>
      </c>
      <c r="G52" s="20">
        <f>'Reference Score Calculation'!I44</f>
        <v>34</v>
      </c>
      <c r="H52" s="20">
        <f>'Reference Score Calculation'!J44</f>
        <v>33</v>
      </c>
      <c r="I52" s="20">
        <f>計分版!J67</f>
        <v>2.6000000000000001E-9</v>
      </c>
      <c r="J52" s="13">
        <f>'Reference Score Calculation'!U44</f>
        <v>40</v>
      </c>
      <c r="K52" s="28">
        <f>'Reference Score Calculation'!V44</f>
        <v>37</v>
      </c>
      <c r="L52" s="110">
        <f>'Reference Score Calculation'!Y44</f>
        <v>14.705882352941176</v>
      </c>
      <c r="M52" s="13">
        <f>入學要求!Z53</f>
        <v>0</v>
      </c>
    </row>
    <row r="53" spans="1:13">
      <c r="A53" s="13" t="str">
        <f>'Reference Score Calculation'!B45</f>
        <v>JS1104</v>
      </c>
      <c r="B53" s="13" t="str">
        <f>'Reference Score Calculation'!C45</f>
        <v>CityU</v>
      </c>
      <c r="C53" s="13" t="str">
        <f>'Reference Score Calculation'!E45</f>
        <v>文學士(英語語言) (專修: 英語及專業傳意 / 語言及文學)</v>
      </c>
      <c r="D53" s="13" t="str">
        <f>'Reference Score Calculation'!S45</f>
        <v>BAEN</v>
      </c>
      <c r="E53" s="13" t="str">
        <f>'Reference Score Calculation'!F45</f>
        <v>Best 5</v>
      </c>
      <c r="F53" s="20" t="str">
        <f>'Reference Score Calculation'!H45</f>
        <v>/</v>
      </c>
      <c r="G53" s="20">
        <f>'Reference Score Calculation'!I45</f>
        <v>32.5</v>
      </c>
      <c r="H53" s="20">
        <f>'Reference Score Calculation'!J45</f>
        <v>30.5</v>
      </c>
      <c r="I53" s="20">
        <f>計分版!J68</f>
        <v>3.4999999999999999E-9</v>
      </c>
      <c r="J53" s="13">
        <f>'Reference Score Calculation'!U45</f>
        <v>25</v>
      </c>
      <c r="K53" s="28">
        <f>'Reference Score Calculation'!V45</f>
        <v>28</v>
      </c>
      <c r="L53" s="110">
        <f>'Reference Score Calculation'!Y45</f>
        <v>8.6</v>
      </c>
      <c r="M53" s="13">
        <f>入學要求!Z54</f>
        <v>0</v>
      </c>
    </row>
    <row r="54" spans="1:13">
      <c r="A54" s="13" t="str">
        <f>'Reference Score Calculation'!B46</f>
        <v>JS1106</v>
      </c>
      <c r="B54" s="13" t="str">
        <f>'Reference Score Calculation'!C46</f>
        <v>CityU</v>
      </c>
      <c r="C54" s="13" t="str">
        <f>'Reference Score Calculation'!E46</f>
        <v>媒體與傳播 [主修: 文學士(數碼電視與廣播) / 文學士(媒體與傳播)]</v>
      </c>
      <c r="D54" s="13" t="str">
        <f>'Reference Score Calculation'!S46</f>
        <v>COM</v>
      </c>
      <c r="E54" s="13" t="str">
        <f>'Reference Score Calculation'!F46</f>
        <v>Best 4</v>
      </c>
      <c r="F54" s="20" t="str">
        <f>'Reference Score Calculation'!H46</f>
        <v>/</v>
      </c>
      <c r="G54" s="20">
        <f>'Reference Score Calculation'!I46</f>
        <v>19.5</v>
      </c>
      <c r="H54" s="20">
        <f>'Reference Score Calculation'!J46</f>
        <v>19</v>
      </c>
      <c r="I54" s="20">
        <f>計分版!J69</f>
        <v>2.6499999999999997E-9</v>
      </c>
      <c r="J54" s="13">
        <f>'Reference Score Calculation'!U46</f>
        <v>45</v>
      </c>
      <c r="K54" s="28">
        <f>'Reference Score Calculation'!V46</f>
        <v>43</v>
      </c>
      <c r="L54" s="110">
        <f>'Reference Score Calculation'!Y46</f>
        <v>14.027777777777779</v>
      </c>
      <c r="M54" s="13">
        <f>入學要求!Z55</f>
        <v>0</v>
      </c>
    </row>
    <row r="55" spans="1:13">
      <c r="A55" s="13" t="str">
        <f>'Reference Score Calculation'!B47</f>
        <v>JS1108</v>
      </c>
      <c r="B55" s="13" t="str">
        <f>'Reference Score Calculation'!C47</f>
        <v>CityU</v>
      </c>
      <c r="C55" s="13" t="str">
        <f>'Reference Score Calculation'!E47</f>
        <v>社會科學學士(公共事務與管理) (專修: 公共事務與管冶 / 公共政策與管理)</v>
      </c>
      <c r="D55" s="13" t="str">
        <f>'Reference Score Calculation'!S47</f>
        <v>BSocScPAFM</v>
      </c>
      <c r="E55" s="13" t="str">
        <f>'Reference Score Calculation'!F47</f>
        <v>3C2X</v>
      </c>
      <c r="F55" s="20" t="str">
        <f>'Reference Score Calculation'!H47</f>
        <v>/</v>
      </c>
      <c r="G55" s="20">
        <f>'Reference Score Calculation'!I47</f>
        <v>22</v>
      </c>
      <c r="H55" s="20">
        <f>'Reference Score Calculation'!J47</f>
        <v>21</v>
      </c>
      <c r="I55" s="20">
        <f>計分版!J70</f>
        <v>2.4E-9</v>
      </c>
      <c r="J55" s="13">
        <f>'Reference Score Calculation'!U47</f>
        <v>63</v>
      </c>
      <c r="K55" s="28">
        <f>'Reference Score Calculation'!V47</f>
        <v>59</v>
      </c>
      <c r="L55" s="110">
        <f>'Reference Score Calculation'!Y47</f>
        <v>5.645833333333333</v>
      </c>
      <c r="M55" s="13">
        <f>入學要求!Z56</f>
        <v>0</v>
      </c>
    </row>
    <row r="56" spans="1:13">
      <c r="A56" s="13" t="str">
        <f>'Reference Score Calculation'!B48</f>
        <v>JS1109</v>
      </c>
      <c r="B56" s="13" t="str">
        <f>'Reference Score Calculation'!C48</f>
        <v>CityU</v>
      </c>
      <c r="C56" s="13" t="str">
        <f>'Reference Score Calculation'!E48</f>
        <v>文學士(語言學及語言應用) (特點: 語言學 / 語言應用 / 語言技術)</v>
      </c>
      <c r="D56" s="13" t="str">
        <f>'Reference Score Calculation'!S48</f>
        <v>BALLA</v>
      </c>
      <c r="E56" s="13" t="str">
        <f>'Reference Score Calculation'!F48</f>
        <v>3C2X</v>
      </c>
      <c r="F56" s="20" t="str">
        <f>'Reference Score Calculation'!H48</f>
        <v>/</v>
      </c>
      <c r="G56" s="20">
        <f>'Reference Score Calculation'!I48</f>
        <v>30.5</v>
      </c>
      <c r="H56" s="20">
        <f>'Reference Score Calculation'!J48</f>
        <v>29.5</v>
      </c>
      <c r="I56" s="20">
        <f>計分版!J71</f>
        <v>2.7000000000000002E-9</v>
      </c>
      <c r="J56" s="13">
        <f>'Reference Score Calculation'!U48</f>
        <v>25</v>
      </c>
      <c r="K56" s="28">
        <f>'Reference Score Calculation'!V48</f>
        <v>24</v>
      </c>
      <c r="L56" s="110">
        <f>'Reference Score Calculation'!Y48</f>
        <v>6.5</v>
      </c>
      <c r="M56" s="13">
        <f>入學要求!Z57</f>
        <v>0</v>
      </c>
    </row>
    <row r="57" spans="1:13">
      <c r="A57" s="13" t="str">
        <f>'Reference Score Calculation'!B49</f>
        <v>JS1111</v>
      </c>
      <c r="B57" s="13" t="str">
        <f>'Reference Score Calculation'!C49</f>
        <v>CityU</v>
      </c>
      <c r="C57" s="13" t="str">
        <f>'Reference Score Calculation'!E49</f>
        <v>社會科學學士(犯罪學及社會學)</v>
      </c>
      <c r="D57" s="13" t="str">
        <f>'Reference Score Calculation'!S49</f>
        <v>BSocScCRSO</v>
      </c>
      <c r="E57" s="13" t="str">
        <f>'Reference Score Calculation'!F49</f>
        <v>Best 4</v>
      </c>
      <c r="F57" s="20" t="str">
        <f>'Reference Score Calculation'!H49</f>
        <v>/</v>
      </c>
      <c r="G57" s="20">
        <f>'Reference Score Calculation'!I49</f>
        <v>21.5</v>
      </c>
      <c r="H57" s="20">
        <f>'Reference Score Calculation'!J49</f>
        <v>21.5</v>
      </c>
      <c r="I57" s="20">
        <f>計分版!J72</f>
        <v>2.8000000000000003E-9</v>
      </c>
      <c r="J57" s="13">
        <f>'Reference Score Calculation'!U49</f>
        <v>21</v>
      </c>
      <c r="K57" s="28">
        <f>'Reference Score Calculation'!V49</f>
        <v>23</v>
      </c>
      <c r="L57" s="110">
        <f>'Reference Score Calculation'!Y49</f>
        <v>15.619047619047619</v>
      </c>
      <c r="M57" s="13">
        <f>入學要求!Z58</f>
        <v>0</v>
      </c>
    </row>
    <row r="58" spans="1:13">
      <c r="A58" s="13" t="str">
        <f>'Reference Score Calculation'!B50</f>
        <v>JS1112</v>
      </c>
      <c r="B58" s="13" t="str">
        <f>'Reference Score Calculation'!C50</f>
        <v>CityU</v>
      </c>
      <c r="C58" s="13" t="str">
        <f>'Reference Score Calculation'!E50</f>
        <v>社會科學學士(心理學)</v>
      </c>
      <c r="D58" s="13" t="str">
        <f>'Reference Score Calculation'!S50</f>
        <v>BSocScPSY</v>
      </c>
      <c r="E58" s="13" t="str">
        <f>'Reference Score Calculation'!F50</f>
        <v>Best 4</v>
      </c>
      <c r="F58" s="20" t="str">
        <f>'Reference Score Calculation'!H50</f>
        <v>/</v>
      </c>
      <c r="G58" s="20">
        <f>'Reference Score Calculation'!I50</f>
        <v>23.5</v>
      </c>
      <c r="H58" s="20">
        <f>'Reference Score Calculation'!J50</f>
        <v>23</v>
      </c>
      <c r="I58" s="20">
        <f>計分版!J73</f>
        <v>2.8000000000000003E-9</v>
      </c>
      <c r="J58" s="13">
        <f>'Reference Score Calculation'!U50</f>
        <v>16</v>
      </c>
      <c r="K58" s="28">
        <f>'Reference Score Calculation'!V50</f>
        <v>31</v>
      </c>
      <c r="L58" s="110">
        <f>'Reference Score Calculation'!Y50</f>
        <v>11.814814814814815</v>
      </c>
      <c r="M58" s="13">
        <f>入學要求!Z59</f>
        <v>0</v>
      </c>
    </row>
    <row r="59" spans="1:13">
      <c r="A59" s="13" t="str">
        <f>'Reference Score Calculation'!B51</f>
        <v>JS1113</v>
      </c>
      <c r="B59" s="13" t="str">
        <f>'Reference Score Calculation'!C51</f>
        <v>CityU</v>
      </c>
      <c r="C59" s="13" t="str">
        <f>'Reference Score Calculation'!E51</f>
        <v>社會科學學士(社會工作)</v>
      </c>
      <c r="D59" s="13" t="str">
        <f>'Reference Score Calculation'!S51</f>
        <v>BSocScSW</v>
      </c>
      <c r="E59" s="13" t="str">
        <f>'Reference Score Calculation'!F51</f>
        <v>Best 4</v>
      </c>
      <c r="F59" s="20" t="str">
        <f>'Reference Score Calculation'!H51</f>
        <v>/</v>
      </c>
      <c r="G59" s="20">
        <f>'Reference Score Calculation'!I51</f>
        <v>22.5</v>
      </c>
      <c r="H59" s="20">
        <f>'Reference Score Calculation'!J51</f>
        <v>21.5</v>
      </c>
      <c r="I59" s="20">
        <f>計分版!J74</f>
        <v>2.8000000000000003E-9</v>
      </c>
      <c r="J59" s="13">
        <f>'Reference Score Calculation'!U51</f>
        <v>54</v>
      </c>
      <c r="K59" s="28">
        <f>'Reference Score Calculation'!V51</f>
        <v>24</v>
      </c>
      <c r="L59" s="110">
        <f>'Reference Score Calculation'!Y51</f>
        <v>26.25</v>
      </c>
      <c r="M59" s="13">
        <f>入學要求!Z60</f>
        <v>0</v>
      </c>
    </row>
    <row r="60" spans="1:13">
      <c r="A60" s="13" t="str">
        <f>'Reference Score Calculation'!B52</f>
        <v>JS1123</v>
      </c>
      <c r="B60" s="13" t="str">
        <f>'Reference Score Calculation'!C52</f>
        <v>CityU</v>
      </c>
      <c r="C60" s="13" t="str">
        <f>'Reference Score Calculation'!E52</f>
        <v>社會科學學士(犯罪學)與法律學學士</v>
      </c>
      <c r="D60" s="13" t="str">
        <f>'Reference Score Calculation'!S52</f>
        <v>BSocScCR&amp;LLB</v>
      </c>
      <c r="E60" s="13" t="str">
        <f>'Reference Score Calculation'!F52</f>
        <v>Best 5</v>
      </c>
      <c r="F60" s="20" t="str">
        <f>'Reference Score Calculation'!H52</f>
        <v>/</v>
      </c>
      <c r="G60" s="20">
        <f>'Reference Score Calculation'!I52</f>
        <v>22</v>
      </c>
      <c r="H60" s="20">
        <f>'Reference Score Calculation'!J52</f>
        <v>20.5</v>
      </c>
      <c r="I60" s="20">
        <f>計分版!J75</f>
        <v>3.1999999999999997E-9</v>
      </c>
      <c r="J60" s="13">
        <f>'Reference Score Calculation'!U52</f>
        <v>10</v>
      </c>
      <c r="K60" s="28">
        <f>'Reference Score Calculation'!V52</f>
        <v>11</v>
      </c>
      <c r="L60" s="110">
        <f>'Reference Score Calculation'!Y52</f>
        <v>10.111111111111111</v>
      </c>
      <c r="M60" s="13">
        <f>入學要求!Z61</f>
        <v>0</v>
      </c>
    </row>
    <row r="61" spans="1:13">
      <c r="A61" s="13" t="str">
        <f>'Reference Score Calculation'!B53</f>
        <v>JS1200</v>
      </c>
      <c r="B61" s="13" t="str">
        <f>'Reference Score Calculation'!C53</f>
        <v>CityU</v>
      </c>
      <c r="C61" s="13" t="str">
        <f>'Reference Score Calculation'!E53</f>
        <v>環球精研與科創課程</v>
      </c>
      <c r="D61" s="13" t="str">
        <f>'Reference Score Calculation'!S53</f>
        <v>GREAT</v>
      </c>
      <c r="E61" s="13" t="str">
        <f>'Reference Score Calculation'!F53</f>
        <v>Best 4</v>
      </c>
      <c r="F61" s="20" t="str">
        <f>'Reference Score Calculation'!H53</f>
        <v>/</v>
      </c>
      <c r="G61" s="20">
        <f>'Reference Score Calculation'!I53</f>
        <v>33</v>
      </c>
      <c r="H61" s="20">
        <f>'Reference Score Calculation'!J53</f>
        <v>33</v>
      </c>
      <c r="I61" s="20">
        <f>計分版!J76</f>
        <v>3.7E-9</v>
      </c>
      <c r="J61" s="13">
        <f>'Reference Score Calculation'!U53</f>
        <v>15</v>
      </c>
      <c r="K61" s="28">
        <f>'Reference Score Calculation'!V53</f>
        <v>4</v>
      </c>
      <c r="L61" s="110">
        <f>'Reference Score Calculation'!Y53</f>
        <v>10</v>
      </c>
      <c r="M61" s="13">
        <f>入學要求!Z62</f>
        <v>0</v>
      </c>
    </row>
    <row r="62" spans="1:13">
      <c r="A62" s="13" t="str">
        <f>'Reference Score Calculation'!B54</f>
        <v>JS1201</v>
      </c>
      <c r="B62" s="13" t="str">
        <f>'Reference Score Calculation'!C54</f>
        <v>CityU</v>
      </c>
      <c r="C62" s="13" t="str">
        <f>'Reference Score Calculation'!E54</f>
        <v>建築學及土木工程學系 [選項: 工學士(建築工程)、工學士(土木工程)、理學士(建築學及測量學)]</v>
      </c>
      <c r="D62" s="13" t="str">
        <f>'Reference Score Calculation'!S54</f>
        <v>ACE</v>
      </c>
      <c r="E62" s="13" t="str">
        <f>'Reference Score Calculation'!F54</f>
        <v>Best 5</v>
      </c>
      <c r="F62" s="20" t="str">
        <f>'Reference Score Calculation'!H54</f>
        <v>/</v>
      </c>
      <c r="G62" s="20">
        <f>'Reference Score Calculation'!I54</f>
        <v>42</v>
      </c>
      <c r="H62" s="20">
        <f>'Reference Score Calculation'!J54</f>
        <v>40</v>
      </c>
      <c r="I62" s="20">
        <f>計分版!J77</f>
        <v>4.2000000000000004E-9</v>
      </c>
      <c r="J62" s="13">
        <f>'Reference Score Calculation'!U54</f>
        <v>87</v>
      </c>
      <c r="K62" s="28">
        <f>'Reference Score Calculation'!V54</f>
        <v>98</v>
      </c>
      <c r="L62" s="110">
        <f>'Reference Score Calculation'!Y54</f>
        <v>5.1734693877551017</v>
      </c>
      <c r="M62" s="13">
        <f>入學要求!Z63</f>
        <v>0</v>
      </c>
    </row>
    <row r="63" spans="1:13">
      <c r="A63" s="13" t="str">
        <f>'Reference Score Calculation'!B55</f>
        <v>JS1202</v>
      </c>
      <c r="B63" s="13" t="str">
        <f>'Reference Score Calculation'!C55</f>
        <v>CityU</v>
      </c>
      <c r="C63" s="13" t="str">
        <f>'Reference Score Calculation'!E55</f>
        <v>理學士(化學)</v>
      </c>
      <c r="D63" s="13" t="str">
        <f>'Reference Score Calculation'!S55</f>
        <v>BScCHEM</v>
      </c>
      <c r="E63" s="13" t="str">
        <f>'Reference Score Calculation'!F55</f>
        <v>Best 4</v>
      </c>
      <c r="F63" s="20" t="str">
        <f>'Reference Score Calculation'!H55</f>
        <v>/</v>
      </c>
      <c r="G63" s="20">
        <f>'Reference Score Calculation'!I55</f>
        <v>26</v>
      </c>
      <c r="H63" s="20">
        <f>'Reference Score Calculation'!J55</f>
        <v>25.5</v>
      </c>
      <c r="I63" s="20">
        <f>計分版!J78</f>
        <v>3.0000000000000004E-9</v>
      </c>
      <c r="J63" s="13">
        <f>'Reference Score Calculation'!U55</f>
        <v>44</v>
      </c>
      <c r="K63" s="28">
        <f>'Reference Score Calculation'!V55</f>
        <v>48</v>
      </c>
      <c r="L63" s="110">
        <f>'Reference Score Calculation'!Y55</f>
        <v>7.7249999999999996</v>
      </c>
      <c r="M63" s="13">
        <f>入學要求!Z64</f>
        <v>0</v>
      </c>
    </row>
    <row r="64" spans="1:13">
      <c r="A64" s="13" t="str">
        <f>'Reference Score Calculation'!B56</f>
        <v>JS1204</v>
      </c>
      <c r="B64" s="13" t="str">
        <f>'Reference Score Calculation'!C56</f>
        <v>CityU</v>
      </c>
      <c r="C64" s="13" t="str">
        <f>'Reference Score Calculation'!E56</f>
        <v>理學士(電腦科學)</v>
      </c>
      <c r="D64" s="13" t="str">
        <f>'Reference Score Calculation'!S56</f>
        <v>BScCSC</v>
      </c>
      <c r="E64" s="13" t="str">
        <f>'Reference Score Calculation'!F56</f>
        <v>Best 5</v>
      </c>
      <c r="F64" s="20" t="str">
        <f>'Reference Score Calculation'!H56</f>
        <v>/</v>
      </c>
      <c r="G64" s="20">
        <f>'Reference Score Calculation'!I56</f>
        <v>20.5</v>
      </c>
      <c r="H64" s="20">
        <f>'Reference Score Calculation'!J56</f>
        <v>19.5</v>
      </c>
      <c r="I64" s="20">
        <f>計分版!J79</f>
        <v>3.4999999999999999E-9</v>
      </c>
      <c r="J64" s="13">
        <f>'Reference Score Calculation'!U56</f>
        <v>87</v>
      </c>
      <c r="K64" s="28">
        <f>'Reference Score Calculation'!V56</f>
        <v>85</v>
      </c>
      <c r="L64" s="110">
        <f>'Reference Score Calculation'!Y56</f>
        <v>11.307692307692308</v>
      </c>
      <c r="M64" s="13">
        <f>入學要求!Z65</f>
        <v>0</v>
      </c>
    </row>
    <row r="65" spans="1:13">
      <c r="A65" s="13" t="str">
        <f>'Reference Score Calculation'!B57</f>
        <v>JS1205</v>
      </c>
      <c r="B65" s="13" t="str">
        <f>'Reference Score Calculation'!C57</f>
        <v>CityU</v>
      </c>
      <c r="C65" s="13" t="str">
        <f>'Reference Score Calculation'!E57</f>
        <v>電機工程學系 [選項: 工學士(電子計算機及數據工程學)、工學士(電子及電機工程學)、工學士(資訊工程學)、工學士(微電子工程學)]</v>
      </c>
      <c r="D65" s="13" t="str">
        <f>'Reference Score Calculation'!S57</f>
        <v>EE</v>
      </c>
      <c r="E65" s="13" t="str">
        <f>'Reference Score Calculation'!F57</f>
        <v>Best 5</v>
      </c>
      <c r="F65" s="20" t="str">
        <f>'Reference Score Calculation'!H57</f>
        <v>/</v>
      </c>
      <c r="G65" s="20">
        <f>'Reference Score Calculation'!I57</f>
        <v>34.5</v>
      </c>
      <c r="H65" s="20">
        <f>'Reference Score Calculation'!J57</f>
        <v>34</v>
      </c>
      <c r="I65" s="20">
        <f>計分版!J80</f>
        <v>3.7E-9</v>
      </c>
      <c r="J65" s="13">
        <f>'Reference Score Calculation'!U57</f>
        <v>163</v>
      </c>
      <c r="K65" s="28">
        <f>'Reference Score Calculation'!V57</f>
        <v>126</v>
      </c>
      <c r="L65" s="110">
        <f>'Reference Score Calculation'!Y57</f>
        <v>7.7543859649122808</v>
      </c>
      <c r="M65" s="13">
        <f>入學要求!Z66</f>
        <v>0</v>
      </c>
    </row>
    <row r="66" spans="1:13">
      <c r="A66" s="13" t="str">
        <f>'Reference Score Calculation'!B58</f>
        <v>JS1206</v>
      </c>
      <c r="B66" s="13" t="str">
        <f>'Reference Score Calculation'!C58</f>
        <v>CityU</v>
      </c>
      <c r="C66" s="13" t="str">
        <f>'Reference Score Calculation'!E58</f>
        <v>理學士(計算數學)</v>
      </c>
      <c r="D66" s="13" t="str">
        <f>'Reference Score Calculation'!S58</f>
        <v>BScCM</v>
      </c>
      <c r="E66" s="13" t="str">
        <f>'Reference Score Calculation'!F58</f>
        <v>Best 4</v>
      </c>
      <c r="F66" s="20" t="str">
        <f>'Reference Score Calculation'!H58</f>
        <v>/</v>
      </c>
      <c r="G66" s="20">
        <f>'Reference Score Calculation'!I58</f>
        <v>34</v>
      </c>
      <c r="H66" s="20">
        <f>'Reference Score Calculation'!J58</f>
        <v>32.5</v>
      </c>
      <c r="I66" s="20">
        <f>計分版!J81</f>
        <v>3.4500000000000003E-9</v>
      </c>
      <c r="J66" s="13">
        <f>'Reference Score Calculation'!U58</f>
        <v>36</v>
      </c>
      <c r="K66" s="28">
        <f>'Reference Score Calculation'!V58</f>
        <v>27</v>
      </c>
      <c r="L66" s="110">
        <f>'Reference Score Calculation'!Y58</f>
        <v>17.761904761904763</v>
      </c>
      <c r="M66" s="13">
        <f>入學要求!Z67</f>
        <v>0</v>
      </c>
    </row>
    <row r="67" spans="1:13">
      <c r="A67" s="13" t="str">
        <f>'Reference Score Calculation'!B59</f>
        <v>JS1207</v>
      </c>
      <c r="B67" s="13" t="str">
        <f>'Reference Score Calculation'!C59</f>
        <v>CityU</v>
      </c>
      <c r="C67" s="13" t="str">
        <f>'Reference Score Calculation'!E59</f>
        <v>機械工程學系 [選項: 工學士(航空航天工程)、工學士(機械工程)、工學士(核子及風險工程)]</v>
      </c>
      <c r="D67" s="13" t="str">
        <f>'Reference Score Calculation'!S59</f>
        <v>MNE</v>
      </c>
      <c r="E67" s="13" t="str">
        <f>'Reference Score Calculation'!F59</f>
        <v>Best 5</v>
      </c>
      <c r="F67" s="20" t="str">
        <f>'Reference Score Calculation'!H59</f>
        <v>/</v>
      </c>
      <c r="G67" s="20">
        <f>'Reference Score Calculation'!I59</f>
        <v>31</v>
      </c>
      <c r="H67" s="20">
        <f>'Reference Score Calculation'!J59</f>
        <v>30.5</v>
      </c>
      <c r="I67" s="20">
        <f>計分版!J82</f>
        <v>3.7500000000000005E-9</v>
      </c>
      <c r="J67" s="13">
        <f>'Reference Score Calculation'!U59</f>
        <v>87</v>
      </c>
      <c r="K67" s="28">
        <f>'Reference Score Calculation'!V59</f>
        <v>109</v>
      </c>
      <c r="L67" s="110">
        <f>'Reference Score Calculation'!Y59</f>
        <v>8.3647058823529417</v>
      </c>
      <c r="M67" s="13">
        <f>入學要求!Z68</f>
        <v>0</v>
      </c>
    </row>
    <row r="68" spans="1:13">
      <c r="A68" s="13" t="str">
        <f>'Reference Score Calculation'!B60</f>
        <v>JS1208</v>
      </c>
      <c r="B68" s="13" t="str">
        <f>'Reference Score Calculation'!C60</f>
        <v>CityU</v>
      </c>
      <c r="C68" s="13" t="str">
        <f>'Reference Score Calculation'!E60</f>
        <v>理學士(物理學)</v>
      </c>
      <c r="D68" s="13" t="str">
        <f>'Reference Score Calculation'!S60</f>
        <v>BScPHY</v>
      </c>
      <c r="E68" s="13" t="str">
        <f>'Reference Score Calculation'!F60</f>
        <v>Best 4</v>
      </c>
      <c r="F68" s="20" t="str">
        <f>'Reference Score Calculation'!H60</f>
        <v>/</v>
      </c>
      <c r="G68" s="20">
        <f>'Reference Score Calculation'!I60</f>
        <v>25.5</v>
      </c>
      <c r="H68" s="20">
        <f>'Reference Score Calculation'!J60</f>
        <v>25</v>
      </c>
      <c r="I68" s="20">
        <f>計分版!J83</f>
        <v>2.8250000000000005E-9</v>
      </c>
      <c r="J68" s="13">
        <f>'Reference Score Calculation'!U60</f>
        <v>20</v>
      </c>
      <c r="K68" s="28">
        <f>'Reference Score Calculation'!V60</f>
        <v>19</v>
      </c>
      <c r="L68" s="110">
        <f>'Reference Score Calculation'!Y60</f>
        <v>16.46153846153846</v>
      </c>
      <c r="M68" s="13">
        <f>入學要求!Z69</f>
        <v>0</v>
      </c>
    </row>
    <row r="69" spans="1:13">
      <c r="A69" s="13" t="str">
        <f>'Reference Score Calculation'!B61</f>
        <v>JS1210</v>
      </c>
      <c r="B69" s="13" t="str">
        <f>'Reference Score Calculation'!C61</f>
        <v>CityU</v>
      </c>
      <c r="C69" s="13" t="str">
        <f>'Reference Score Calculation'!E61</f>
        <v>工學士(材料科學及工程)</v>
      </c>
      <c r="D69" s="13" t="str">
        <f>'Reference Score Calculation'!S61</f>
        <v>BEngMASE</v>
      </c>
      <c r="E69" s="13" t="str">
        <f>'Reference Score Calculation'!F61</f>
        <v>Best 5</v>
      </c>
      <c r="F69" s="20" t="str">
        <f>'Reference Score Calculation'!H61</f>
        <v>/</v>
      </c>
      <c r="G69" s="20">
        <f>'Reference Score Calculation'!I61</f>
        <v>29.5</v>
      </c>
      <c r="H69" s="20">
        <f>'Reference Score Calculation'!J61</f>
        <v>29</v>
      </c>
      <c r="I69" s="20">
        <f>計分版!J84</f>
        <v>3.7500000000000005E-9</v>
      </c>
      <c r="J69" s="13">
        <f>'Reference Score Calculation'!U61</f>
        <v>24</v>
      </c>
      <c r="K69" s="28">
        <f>'Reference Score Calculation'!V61</f>
        <v>31</v>
      </c>
      <c r="L69" s="110">
        <f>'Reference Score Calculation'!Y61</f>
        <v>10.588235294117647</v>
      </c>
      <c r="M69" s="13">
        <f>入學要求!Z70</f>
        <v>0</v>
      </c>
    </row>
    <row r="70" spans="1:13">
      <c r="A70" s="13" t="str">
        <f>'Reference Score Calculation'!B62</f>
        <v>JS1211</v>
      </c>
      <c r="B70" s="13" t="str">
        <f>'Reference Score Calculation'!C62</f>
        <v>CityU</v>
      </c>
      <c r="C70" s="13" t="str">
        <f>'Reference Score Calculation'!E62</f>
        <v>工學士(生物醫學工程)</v>
      </c>
      <c r="D70" s="13" t="str">
        <f>'Reference Score Calculation'!S62</f>
        <v>BEngBME</v>
      </c>
      <c r="E70" s="13" t="str">
        <f>'Reference Score Calculation'!F62</f>
        <v>Best 5</v>
      </c>
      <c r="F70" s="20" t="str">
        <f>'Reference Score Calculation'!H62</f>
        <v>/</v>
      </c>
      <c r="G70" s="20">
        <f>'Reference Score Calculation'!I62</f>
        <v>36</v>
      </c>
      <c r="H70" s="20">
        <f>'Reference Score Calculation'!J62</f>
        <v>35</v>
      </c>
      <c r="I70" s="20">
        <f>計分版!J85</f>
        <v>4.0000000000000002E-9</v>
      </c>
      <c r="J70" s="13">
        <f>'Reference Score Calculation'!U62</f>
        <v>44</v>
      </c>
      <c r="K70" s="28">
        <f>'Reference Score Calculation'!V62</f>
        <v>57</v>
      </c>
      <c r="L70" s="110">
        <f>'Reference Score Calculation'!Y62</f>
        <v>7.1063829787234045</v>
      </c>
      <c r="M70" s="13">
        <f>入學要求!Z71</f>
        <v>0</v>
      </c>
    </row>
    <row r="71" spans="1:13">
      <c r="A71" s="13" t="str">
        <f>'Reference Score Calculation'!B63</f>
        <v>JS1216</v>
      </c>
      <c r="B71" s="13" t="str">
        <f>'Reference Score Calculation'!C63</f>
        <v>CityU</v>
      </c>
      <c r="C71" s="13" t="str">
        <f>'Reference Score Calculation'!E63</f>
        <v>工學士(智能製造工程學)</v>
      </c>
      <c r="D71" s="13" t="str">
        <f>'Reference Score Calculation'!S63</f>
        <v>ITME</v>
      </c>
      <c r="E71" s="13" t="str">
        <f>'Reference Score Calculation'!F63</f>
        <v>Best 5</v>
      </c>
      <c r="F71" s="20" t="str">
        <f>'Reference Score Calculation'!H63</f>
        <v>/</v>
      </c>
      <c r="G71" s="20">
        <f>'Reference Score Calculation'!I63</f>
        <v>35</v>
      </c>
      <c r="H71" s="20">
        <f>'Reference Score Calculation'!J63</f>
        <v>33.5</v>
      </c>
      <c r="I71" s="20">
        <f>計分版!J86</f>
        <v>3.7E-9</v>
      </c>
      <c r="J71" s="13">
        <f>'Reference Score Calculation'!U63</f>
        <v>24</v>
      </c>
      <c r="K71" s="28">
        <f>'Reference Score Calculation'!V63</f>
        <v>21</v>
      </c>
      <c r="L71" s="110">
        <f>'Reference Score Calculation'!Y63</f>
        <v>9.15</v>
      </c>
      <c r="M71" s="13">
        <f>入學要求!Z72</f>
        <v>0</v>
      </c>
    </row>
    <row r="72" spans="1:13">
      <c r="A72" s="13" t="str">
        <f>'Reference Score Calculation'!B64</f>
        <v>JS1217</v>
      </c>
      <c r="B72" s="13" t="str">
        <f>'Reference Score Calculation'!C64</f>
        <v>CityU</v>
      </c>
      <c r="C72" s="13" t="str">
        <f>'Reference Score Calculation'!E64</f>
        <v>工學院(選項: 工學院任何一個主修及工程創業副修)</v>
      </c>
      <c r="D72" s="13" t="str">
        <f>'Reference Score Calculation'!S64</f>
        <v>CENG</v>
      </c>
      <c r="E72" s="13" t="str">
        <f>'Reference Score Calculation'!F64</f>
        <v>Best 5</v>
      </c>
      <c r="F72" s="20" t="str">
        <f>'Reference Score Calculation'!H64</f>
        <v>/</v>
      </c>
      <c r="G72" s="20">
        <f>'Reference Score Calculation'!I64</f>
        <v>36</v>
      </c>
      <c r="H72" s="20">
        <f>'Reference Score Calculation'!J64</f>
        <v>36</v>
      </c>
      <c r="I72" s="20">
        <f>計分版!J87</f>
        <v>3.8000000000000001E-9</v>
      </c>
      <c r="J72" s="13">
        <f>'Reference Score Calculation'!U64</f>
        <v>15</v>
      </c>
      <c r="K72" s="28">
        <f>'Reference Score Calculation'!V64</f>
        <v>12</v>
      </c>
      <c r="L72" s="110">
        <f>'Reference Score Calculation'!Y64</f>
        <v>3.8333333333333335</v>
      </c>
      <c r="M72" s="13">
        <f>入學要求!Z73</f>
        <v>0</v>
      </c>
    </row>
    <row r="73" spans="1:13">
      <c r="A73" s="13" t="str">
        <f>'Reference Score Calculation'!B65</f>
        <v>JS1218</v>
      </c>
      <c r="B73" s="13" t="str">
        <f>'Reference Score Calculation'!C65</f>
        <v>CityU</v>
      </c>
      <c r="C73" s="13" t="str">
        <f>'Reference Score Calculation'!E65</f>
        <v>理學士 (網絡安全) (特點: 系統安全 / 軟件安全 / 密碼學 / 隱私增強技術 / 網絡風險管理)</v>
      </c>
      <c r="D73" s="13" t="str">
        <f>'Reference Score Calculation'!S65</f>
        <v>BScCBS</v>
      </c>
      <c r="E73" s="13" t="str">
        <f>'Reference Score Calculation'!F65</f>
        <v>25年新科目</v>
      </c>
      <c r="F73" s="20" t="str">
        <f>'Reference Score Calculation'!H65</f>
        <v>/</v>
      </c>
      <c r="G73" s="20" t="str">
        <f>'Reference Score Calculation'!I65</f>
        <v>/</v>
      </c>
      <c r="H73" s="20" t="str">
        <f>'Reference Score Calculation'!J65</f>
        <v>/</v>
      </c>
      <c r="I73" s="20">
        <f>計分版!J88</f>
        <v>3.4999999999999999E-9</v>
      </c>
      <c r="J73" s="13">
        <f>'Reference Score Calculation'!U65</f>
        <v>28</v>
      </c>
      <c r="K73" s="28" t="str">
        <f>'Reference Score Calculation'!V65</f>
        <v>/</v>
      </c>
      <c r="L73" s="110" t="str">
        <f>'Reference Score Calculation'!Y65</f>
        <v>新科目</v>
      </c>
      <c r="M73" s="13">
        <f>入學要求!Z74</f>
        <v>0</v>
      </c>
    </row>
    <row r="74" spans="1:13">
      <c r="A74" s="13" t="str">
        <f>'Reference Score Calculation'!B66</f>
        <v>JS1219</v>
      </c>
      <c r="B74" s="13" t="str">
        <f>'Reference Score Calculation'!C66</f>
        <v>CityU</v>
      </c>
      <c r="C74" s="13" t="str">
        <f>'Reference Score Calculation'!E66</f>
        <v>工學士(創新與企業工程學) (特點: 工程學 / 科技 / 創新 / 企業 / 創業)</v>
      </c>
      <c r="D74" s="13" t="str">
        <f>'Reference Score Calculation'!S66</f>
        <v>BEngIEEG</v>
      </c>
      <c r="E74" s="13" t="str">
        <f>'Reference Score Calculation'!F66</f>
        <v>25年新科目</v>
      </c>
      <c r="F74" s="20" t="str">
        <f>'Reference Score Calculation'!H66</f>
        <v>/</v>
      </c>
      <c r="G74" s="20" t="str">
        <f>'Reference Score Calculation'!I66</f>
        <v>/</v>
      </c>
      <c r="H74" s="20" t="str">
        <f>'Reference Score Calculation'!J66</f>
        <v>/</v>
      </c>
      <c r="I74" s="20">
        <f>計分版!J89</f>
        <v>3.3999999999999998E-9</v>
      </c>
      <c r="J74" s="13">
        <f>'Reference Score Calculation'!U66</f>
        <v>16</v>
      </c>
      <c r="K74" s="28" t="str">
        <f>'Reference Score Calculation'!V66</f>
        <v>/</v>
      </c>
      <c r="L74" s="110" t="str">
        <f>'Reference Score Calculation'!Y66</f>
        <v>新科目</v>
      </c>
      <c r="M74" s="13">
        <f>入學要求!Z75</f>
        <v>0</v>
      </c>
    </row>
    <row r="75" spans="1:13">
      <c r="A75" s="13" t="str">
        <f>'Reference Score Calculation'!B67</f>
        <v>JS1221</v>
      </c>
      <c r="B75" s="13" t="str">
        <f>'Reference Score Calculation'!C67</f>
        <v>CityU</v>
      </c>
      <c r="C75" s="13" t="str">
        <f>'Reference Score Calculation'!E67</f>
        <v>理學士(電腦科學)與理學士(計算金融及金融科技)</v>
      </c>
      <c r="D75" s="13" t="str">
        <f>'Reference Score Calculation'!S67</f>
        <v>BScCS&amp;BScCFFT</v>
      </c>
      <c r="E75" s="13" t="str">
        <f>'Reference Score Calculation'!F67</f>
        <v>Best 5</v>
      </c>
      <c r="F75" s="20" t="str">
        <f>'Reference Score Calculation'!H67</f>
        <v>/</v>
      </c>
      <c r="G75" s="20">
        <f>'Reference Score Calculation'!I67</f>
        <v>21</v>
      </c>
      <c r="H75" s="20">
        <f>'Reference Score Calculation'!J67</f>
        <v>20</v>
      </c>
      <c r="I75" s="20">
        <f>計分版!J90</f>
        <v>3.4999999999999999E-9</v>
      </c>
      <c r="J75" s="13">
        <f>'Reference Score Calculation'!U67</f>
        <v>10</v>
      </c>
      <c r="K75" s="28">
        <f>'Reference Score Calculation'!V67</f>
        <v>11</v>
      </c>
      <c r="L75" s="110">
        <f>'Reference Score Calculation'!Y67</f>
        <v>8.9090909090909083</v>
      </c>
      <c r="M75" s="13">
        <f>入學要求!Z76</f>
        <v>0</v>
      </c>
    </row>
    <row r="76" spans="1:13">
      <c r="A76" s="13" t="str">
        <f>'Reference Score Calculation'!B68</f>
        <v>JS1801</v>
      </c>
      <c r="B76" s="13" t="str">
        <f>'Reference Score Calculation'!C68</f>
        <v>CityU</v>
      </c>
      <c r="C76" s="13" t="str">
        <f>'Reference Score Calculation'!E68</f>
        <v>獸醫學學士</v>
      </c>
      <c r="D76" s="13" t="str">
        <f>'Reference Score Calculation'!S68</f>
        <v>BVM</v>
      </c>
      <c r="E76" s="13" t="str">
        <f>'Reference Score Calculation'!F68</f>
        <v>Best 5</v>
      </c>
      <c r="F76" s="20" t="str">
        <f>'Reference Score Calculation'!H68</f>
        <v>/</v>
      </c>
      <c r="G76" s="20">
        <f>'Reference Score Calculation'!I68</f>
        <v>33.5</v>
      </c>
      <c r="H76" s="20">
        <f>'Reference Score Calculation'!J68</f>
        <v>32</v>
      </c>
      <c r="I76" s="20">
        <f>計分版!J91</f>
        <v>2.9000000000000003E-9</v>
      </c>
      <c r="J76" s="13">
        <f>'Reference Score Calculation'!U68</f>
        <v>30</v>
      </c>
      <c r="K76" s="28">
        <f>'Reference Score Calculation'!V68</f>
        <v>21</v>
      </c>
      <c r="L76" s="110">
        <f>'Reference Score Calculation'!Y68</f>
        <v>8.2380952380952372</v>
      </c>
      <c r="M76" s="13">
        <f>入學要求!Z77</f>
        <v>0</v>
      </c>
    </row>
    <row r="77" spans="1:13">
      <c r="A77" s="13" t="str">
        <f>'Reference Score Calculation'!B69</f>
        <v>JS1805</v>
      </c>
      <c r="B77" s="13" t="str">
        <f>'Reference Score Calculation'!C69</f>
        <v>CityU</v>
      </c>
      <c r="C77" s="13" t="str">
        <f>'Reference Score Calculation'!E69</f>
        <v>生物醫學系 [選項: 理學士(生物科學)、理學士(生物醫學)]</v>
      </c>
      <c r="D77" s="13" t="str">
        <f>'Reference Score Calculation'!S69</f>
        <v>BMS</v>
      </c>
      <c r="E77" s="13" t="str">
        <f>'Reference Score Calculation'!F69</f>
        <v>3C2X</v>
      </c>
      <c r="F77" s="20" t="str">
        <f>'Reference Score Calculation'!H69</f>
        <v>/</v>
      </c>
      <c r="G77" s="20">
        <f>'Reference Score Calculation'!I69</f>
        <v>35.5</v>
      </c>
      <c r="H77" s="20">
        <f>'Reference Score Calculation'!J69</f>
        <v>34</v>
      </c>
      <c r="I77" s="20">
        <f>計分版!J92</f>
        <v>2.6499999999999997E-9</v>
      </c>
      <c r="J77" s="13">
        <f>'Reference Score Calculation'!U69</f>
        <v>20</v>
      </c>
      <c r="K77" s="28">
        <f>'Reference Score Calculation'!V69</f>
        <v>23</v>
      </c>
      <c r="L77" s="110">
        <f>'Reference Score Calculation'!Y69</f>
        <v>6.5263157894736841</v>
      </c>
      <c r="M77" s="13">
        <f>入學要求!Z78</f>
        <v>0</v>
      </c>
    </row>
    <row r="78" spans="1:13">
      <c r="A78" s="13" t="str">
        <f>'Reference Score Calculation'!B70</f>
        <v>JS1806</v>
      </c>
      <c r="B78" s="13" t="str">
        <f>'Reference Score Calculation'!C70</f>
        <v>CityU</v>
      </c>
      <c r="C78" s="13" t="str">
        <f>'Reference Score Calculation'!E70</f>
        <v>理學士(生物科學)</v>
      </c>
      <c r="D78" s="13" t="str">
        <f>'Reference Score Calculation'!S70</f>
        <v>BScBISI</v>
      </c>
      <c r="E78" s="13" t="str">
        <f>'Reference Score Calculation'!F70</f>
        <v>3C2X</v>
      </c>
      <c r="F78" s="20" t="str">
        <f>'Reference Score Calculation'!H70</f>
        <v>/</v>
      </c>
      <c r="G78" s="20">
        <f>'Reference Score Calculation'!I70</f>
        <v>33.5</v>
      </c>
      <c r="H78" s="20">
        <f>'Reference Score Calculation'!J70</f>
        <v>33</v>
      </c>
      <c r="I78" s="20">
        <f>計分版!J93</f>
        <v>2.6499999999999997E-9</v>
      </c>
      <c r="J78" s="13">
        <f>'Reference Score Calculation'!U70</f>
        <v>30</v>
      </c>
      <c r="K78" s="28">
        <f>'Reference Score Calculation'!V70</f>
        <v>29</v>
      </c>
      <c r="L78" s="110">
        <f>'Reference Score Calculation'!Y70</f>
        <v>8.4166666666666661</v>
      </c>
      <c r="M78" s="13">
        <f>入學要求!Z79</f>
        <v>0</v>
      </c>
    </row>
    <row r="79" spans="1:13">
      <c r="A79" s="13" t="str">
        <f>'Reference Score Calculation'!B71</f>
        <v>JS1807</v>
      </c>
      <c r="B79" s="13" t="str">
        <f>'Reference Score Calculation'!C71</f>
        <v>CityU</v>
      </c>
      <c r="C79" s="13" t="str">
        <f>'Reference Score Calculation'!E71</f>
        <v>理學士(生物醫學)</v>
      </c>
      <c r="D79" s="13" t="str">
        <f>'Reference Score Calculation'!S71</f>
        <v>BScBMS</v>
      </c>
      <c r="E79" s="13" t="str">
        <f>'Reference Score Calculation'!F71</f>
        <v>3C2X</v>
      </c>
      <c r="F79" s="20" t="str">
        <f>'Reference Score Calculation'!H71</f>
        <v>/</v>
      </c>
      <c r="G79" s="20">
        <f>'Reference Score Calculation'!I71</f>
        <v>42</v>
      </c>
      <c r="H79" s="20">
        <f>'Reference Score Calculation'!J71</f>
        <v>40</v>
      </c>
      <c r="I79" s="20">
        <f>計分版!J94</f>
        <v>2.6499999999999997E-9</v>
      </c>
      <c r="J79" s="13">
        <f>'Reference Score Calculation'!U71</f>
        <v>30</v>
      </c>
      <c r="K79" s="28">
        <f>'Reference Score Calculation'!V71</f>
        <v>29</v>
      </c>
      <c r="L79" s="110">
        <f>'Reference Score Calculation'!Y71</f>
        <v>5</v>
      </c>
      <c r="M79" s="13">
        <f>入學要求!Z80</f>
        <v>0</v>
      </c>
    </row>
    <row r="80" spans="1:13">
      <c r="D80" s="13"/>
      <c r="K80" s="28"/>
    </row>
    <row r="81" spans="1:13">
      <c r="D81" s="13"/>
      <c r="K81" s="28"/>
    </row>
    <row r="82" spans="1:13">
      <c r="A82" s="13" t="str">
        <f>'Reference Score Calculation'!B74</f>
        <v>JS2020</v>
      </c>
      <c r="B82" s="13" t="str">
        <f>'Reference Score Calculation'!C74</f>
        <v>HKBU</v>
      </c>
      <c r="C82" s="13" t="str">
        <f>'Reference Score Calculation'!E74</f>
        <v>文學士(榮譽) (中國語言文學 / 創意及專業寫作 / 英國語言文學 / 人文學 / 翻譯學)</v>
      </c>
      <c r="D82" s="13" t="str">
        <f>'Reference Score Calculation'!S74</f>
        <v>BA</v>
      </c>
      <c r="E82" s="13" t="str">
        <f>'Reference Score Calculation'!F74</f>
        <v>Best 5</v>
      </c>
      <c r="F82" s="20" t="str">
        <f>'Reference Score Calculation'!H74</f>
        <v>/</v>
      </c>
      <c r="G82" s="20">
        <f>'Reference Score Calculation'!I74</f>
        <v>21.000000000200004</v>
      </c>
      <c r="H82" s="20">
        <f>'Reference Score Calculation'!J74</f>
        <v>20.000000000250001</v>
      </c>
      <c r="I82" s="20">
        <f>計分版!J97</f>
        <v>3.4999999999999999E-9</v>
      </c>
      <c r="J82" s="13">
        <f>'Reference Score Calculation'!U74</f>
        <v>87</v>
      </c>
      <c r="K82" s="28">
        <f>'Reference Score Calculation'!V74</f>
        <v>106</v>
      </c>
      <c r="L82" s="110">
        <f>'Reference Score Calculation'!Y74</f>
        <v>5.5196078431372548</v>
      </c>
      <c r="M82" s="13">
        <f>入學要求!Z83</f>
        <v>0</v>
      </c>
    </row>
    <row r="83" spans="1:13">
      <c r="A83" s="13" t="str">
        <f>'Reference Score Calculation'!B75</f>
        <v>JS2025</v>
      </c>
      <c r="B83" s="13" t="str">
        <f>'Reference Score Calculation'!C75</f>
        <v>HKBU</v>
      </c>
      <c r="C83" s="13" t="str">
        <f>'Reference Score Calculation'!E75</f>
        <v>宗教、哲學及倫理文學士(榮譽)</v>
      </c>
      <c r="D83" s="13" t="str">
        <f>'Reference Score Calculation'!S75</f>
        <v>BA(RPE)</v>
      </c>
      <c r="E83" s="13" t="str">
        <f>'Reference Score Calculation'!F75</f>
        <v>Best 5</v>
      </c>
      <c r="F83" s="20" t="str">
        <f>'Reference Score Calculation'!H75</f>
        <v>/</v>
      </c>
      <c r="G83" s="20">
        <f>'Reference Score Calculation'!I75</f>
        <v>20.000000000250001</v>
      </c>
      <c r="H83" s="20">
        <f>'Reference Score Calculation'!J75</f>
        <v>19.000000000250001</v>
      </c>
      <c r="I83" s="20">
        <f>計分版!J98</f>
        <v>3.4999999999999999E-9</v>
      </c>
      <c r="J83" s="13">
        <f>'Reference Score Calculation'!U75</f>
        <v>11</v>
      </c>
      <c r="K83" s="28">
        <f>'Reference Score Calculation'!V75</f>
        <v>17</v>
      </c>
      <c r="L83" s="110">
        <f>'Reference Score Calculation'!Y75</f>
        <v>17.444444444444443</v>
      </c>
      <c r="M83" s="13">
        <f>入學要求!Z84</f>
        <v>0</v>
      </c>
    </row>
    <row r="84" spans="1:13">
      <c r="A84" s="13" t="str">
        <f>'Reference Score Calculation'!B76</f>
        <v>JS2060</v>
      </c>
      <c r="B84" s="13" t="str">
        <f>'Reference Score Calculation'!C76</f>
        <v>HKBU</v>
      </c>
      <c r="C84" s="13" t="str">
        <f>'Reference Score Calculation'!E76</f>
        <v>文學士(榮譽) / 音樂學士(榮譽) (音樂 / 創意產業)</v>
      </c>
      <c r="D84" s="13" t="str">
        <f>'Reference Score Calculation'!S76</f>
        <v>BA/BMUS(MUSIC/CI)</v>
      </c>
      <c r="E84" s="13" t="str">
        <f>'Reference Score Calculation'!F76</f>
        <v>Best 5</v>
      </c>
      <c r="F84" s="20" t="str">
        <f>'Reference Score Calculation'!H76</f>
        <v>/</v>
      </c>
      <c r="G84" s="20">
        <f>'Reference Score Calculation'!I76</f>
        <v>19.000000000250001</v>
      </c>
      <c r="H84" s="20">
        <f>'Reference Score Calculation'!J76</f>
        <v>19.000000000200004</v>
      </c>
      <c r="I84" s="20">
        <f>計分版!J99</f>
        <v>3.4999999999999999E-9</v>
      </c>
      <c r="J84" s="13">
        <f>'Reference Score Calculation'!U76</f>
        <v>38</v>
      </c>
      <c r="K84" s="28">
        <f>'Reference Score Calculation'!V76</f>
        <v>28</v>
      </c>
      <c r="L84" s="110">
        <f>'Reference Score Calculation'!Y76</f>
        <v>8.9642857142857135</v>
      </c>
      <c r="M84" s="13">
        <f>入學要求!Z85</f>
        <v>0</v>
      </c>
    </row>
    <row r="85" spans="1:13">
      <c r="A85" s="13" t="str">
        <f>'Reference Score Calculation'!B77</f>
        <v>JS2110</v>
      </c>
      <c r="B85" s="13" t="str">
        <f>'Reference Score Calculation'!C77</f>
        <v>HKBU</v>
      </c>
      <c r="C85" s="13" t="str">
        <f>'Reference Score Calculation'!E77</f>
        <v>工商管理學士(榮譽) - 會計學專修</v>
      </c>
      <c r="D85" s="13" t="str">
        <f>'Reference Score Calculation'!S77</f>
        <v>BBA(ACCT)</v>
      </c>
      <c r="E85" s="13" t="str">
        <f>'Reference Score Calculation'!F77</f>
        <v>Best 5</v>
      </c>
      <c r="F85" s="20" t="str">
        <f>'Reference Score Calculation'!H77</f>
        <v>/</v>
      </c>
      <c r="G85" s="20">
        <f>'Reference Score Calculation'!I77</f>
        <v>21.000000000210001</v>
      </c>
      <c r="H85" s="20">
        <f>'Reference Score Calculation'!J77</f>
        <v>20.500000000239996</v>
      </c>
      <c r="I85" s="20">
        <f>計分版!J100</f>
        <v>3.4999999999999999E-9</v>
      </c>
      <c r="J85" s="13">
        <f>'Reference Score Calculation'!U77</f>
        <v>49</v>
      </c>
      <c r="K85" s="28">
        <f>'Reference Score Calculation'!V77</f>
        <v>46</v>
      </c>
      <c r="L85" s="110">
        <f>'Reference Score Calculation'!Y77</f>
        <v>12.824999999999999</v>
      </c>
      <c r="M85" s="13">
        <f>入學要求!Z86</f>
        <v>0</v>
      </c>
    </row>
    <row r="86" spans="1:13">
      <c r="A86" s="13" t="str">
        <f>'Reference Score Calculation'!B78</f>
        <v>JS2120</v>
      </c>
      <c r="B86" s="13" t="str">
        <f>'Reference Score Calculation'!C78</f>
        <v>HKBU</v>
      </c>
      <c r="C86" s="13" t="str">
        <f>'Reference Score Calculation'!E78</f>
        <v>工商管理學士(榮譽)</v>
      </c>
      <c r="D86" s="13" t="str">
        <f>'Reference Score Calculation'!S78</f>
        <v>BBA</v>
      </c>
      <c r="E86" s="13" t="str">
        <f>'Reference Score Calculation'!F78</f>
        <v>Best 5</v>
      </c>
      <c r="F86" s="20" t="str">
        <f>'Reference Score Calculation'!H78</f>
        <v>/</v>
      </c>
      <c r="G86" s="20">
        <f>'Reference Score Calculation'!I78</f>
        <v>21.000000000210001</v>
      </c>
      <c r="H86" s="20">
        <f>'Reference Score Calculation'!J78</f>
        <v>21.000000000210001</v>
      </c>
      <c r="I86" s="20">
        <f>計分版!J101</f>
        <v>3.4999999999999999E-9</v>
      </c>
      <c r="J86" s="13">
        <f>'Reference Score Calculation'!U78</f>
        <v>185</v>
      </c>
      <c r="K86" s="28">
        <f>'Reference Score Calculation'!V78</f>
        <v>157</v>
      </c>
      <c r="L86" s="110">
        <f>'Reference Score Calculation'!Y78</f>
        <v>12.25</v>
      </c>
      <c r="M86" s="13">
        <f>入學要求!Z87</f>
        <v>0</v>
      </c>
    </row>
    <row r="87" spans="1:13">
      <c r="A87" s="13" t="str">
        <f>'Reference Score Calculation'!B79</f>
        <v>JS2310</v>
      </c>
      <c r="B87" s="13" t="str">
        <f>'Reference Score Calculation'!C79</f>
        <v>HKBU</v>
      </c>
      <c r="C87" s="13" t="str">
        <f>'Reference Score Calculation'!E79</f>
        <v>傳理學學士(榮譽) (新聞與數碼媒體 / 公關及廣告)</v>
      </c>
      <c r="D87" s="13" t="str">
        <f>'Reference Score Calculation'!S79</f>
        <v>BCOMM</v>
      </c>
      <c r="E87" s="13" t="str">
        <f>'Reference Score Calculation'!F79</f>
        <v>Best 5</v>
      </c>
      <c r="F87" s="20" t="str">
        <f>'Reference Score Calculation'!H79</f>
        <v>/</v>
      </c>
      <c r="G87" s="20">
        <f>'Reference Score Calculation'!I79</f>
        <v>22.750000000215003</v>
      </c>
      <c r="H87" s="20">
        <f>'Reference Score Calculation'!J79</f>
        <v>22.000000000255003</v>
      </c>
      <c r="I87" s="20">
        <f>計分版!J102</f>
        <v>3.4999999999999999E-9</v>
      </c>
      <c r="J87" s="13">
        <f>'Reference Score Calculation'!U79</f>
        <v>70</v>
      </c>
      <c r="K87" s="28">
        <f>'Reference Score Calculation'!V79</f>
        <v>74</v>
      </c>
      <c r="L87" s="110">
        <f>'Reference Score Calculation'!Y79</f>
        <v>8.4393939393939394</v>
      </c>
      <c r="M87" s="13">
        <f>入學要求!Z88</f>
        <v>0</v>
      </c>
    </row>
    <row r="88" spans="1:13">
      <c r="A88" s="13" t="str">
        <f>'Reference Score Calculation'!B80</f>
        <v>JS2330</v>
      </c>
      <c r="B88" s="13" t="str">
        <f>'Reference Score Calculation'!C80</f>
        <v>HKBU</v>
      </c>
      <c r="C88" s="13" t="str">
        <f>'Reference Score Calculation'!E80</f>
        <v>電影電視文學士(榮譽)</v>
      </c>
      <c r="D88" s="13" t="str">
        <f>'Reference Score Calculation'!S80</f>
        <v>BCOMM(FTV)</v>
      </c>
      <c r="E88" s="13" t="str">
        <f>'Reference Score Calculation'!F80</f>
        <v>Best 5</v>
      </c>
      <c r="F88" s="20" t="str">
        <f>'Reference Score Calculation'!H80</f>
        <v>/</v>
      </c>
      <c r="G88" s="20">
        <f>'Reference Score Calculation'!I80</f>
        <v>23.500000000215003</v>
      </c>
      <c r="H88" s="20">
        <f>'Reference Score Calculation'!J80</f>
        <v>23.000000000215003</v>
      </c>
      <c r="I88" s="20">
        <f>計分版!J103</f>
        <v>3.4999999999999999E-9</v>
      </c>
      <c r="J88" s="13">
        <f>'Reference Score Calculation'!U80</f>
        <v>18</v>
      </c>
      <c r="K88" s="28">
        <f>'Reference Score Calculation'!V80</f>
        <v>17</v>
      </c>
      <c r="L88" s="110">
        <f>'Reference Score Calculation'!Y80</f>
        <v>22.764705882352942</v>
      </c>
      <c r="M88" s="13">
        <f>入學要求!Z89</f>
        <v>0</v>
      </c>
    </row>
    <row r="89" spans="1:13">
      <c r="A89" s="13" t="str">
        <f>'Reference Score Calculation'!B81</f>
        <v>JS2340</v>
      </c>
      <c r="B89" s="13" t="str">
        <f>'Reference Score Calculation'!C81</f>
        <v>HKBU</v>
      </c>
      <c r="C89" s="13" t="str">
        <f>'Reference Score Calculation'!E81</f>
        <v>環球螢幕演技藝術學士(榮譽)</v>
      </c>
      <c r="D89" s="13" t="str">
        <f>'Reference Score Calculation'!S81</f>
        <v>BFA(AGS)</v>
      </c>
      <c r="E89" s="13" t="str">
        <f>'Reference Score Calculation'!F81</f>
        <v>Best 5</v>
      </c>
      <c r="F89" s="20" t="str">
        <f>'Reference Score Calculation'!H81</f>
        <v>/</v>
      </c>
      <c r="G89" s="20">
        <f>'Reference Score Calculation'!I81</f>
        <v>17.000000000250001</v>
      </c>
      <c r="H89" s="20">
        <f>'Reference Score Calculation'!J81</f>
        <v>17.000000000200004</v>
      </c>
      <c r="I89" s="20">
        <f>計分版!J104</f>
        <v>3.4999999999999999E-9</v>
      </c>
      <c r="J89" s="13">
        <f>'Reference Score Calculation'!U81</f>
        <v>8</v>
      </c>
      <c r="K89" s="28">
        <f>'Reference Score Calculation'!V81</f>
        <v>8</v>
      </c>
      <c r="L89" s="110">
        <f>'Reference Score Calculation'!Y81</f>
        <v>22</v>
      </c>
      <c r="M89" s="13">
        <f>入學要求!Z90</f>
        <v>0</v>
      </c>
    </row>
    <row r="90" spans="1:13">
      <c r="A90" s="13" t="str">
        <f>'Reference Score Calculation'!B82</f>
        <v>JS2370</v>
      </c>
      <c r="B90" s="13" t="str">
        <f>'Reference Score Calculation'!C82</f>
        <v>HKBU</v>
      </c>
      <c r="C90" s="13" t="str">
        <f>'Reference Score Calculation'!E82</f>
        <v>傳理學學士(榮譽) - 遊戲設計與動畫主修</v>
      </c>
      <c r="D90" s="13" t="str">
        <f>'Reference Score Calculation'!S82</f>
        <v>BCOMM(GDA)</v>
      </c>
      <c r="E90" s="13" t="str">
        <f>'Reference Score Calculation'!F82</f>
        <v>Best 5</v>
      </c>
      <c r="F90" s="20" t="str">
        <f>'Reference Score Calculation'!H82</f>
        <v>/</v>
      </c>
      <c r="G90" s="20">
        <f>'Reference Score Calculation'!I82</f>
        <v>22.400000000271998</v>
      </c>
      <c r="H90" s="20">
        <f>'Reference Score Calculation'!J82</f>
        <v>20.750000000271999</v>
      </c>
      <c r="I90" s="20">
        <f>計分版!J105</f>
        <v>3.4999999999999999E-9</v>
      </c>
      <c r="J90" s="13">
        <f>'Reference Score Calculation'!U82</f>
        <v>20</v>
      </c>
      <c r="K90" s="28">
        <f>'Reference Score Calculation'!V82</f>
        <v>16</v>
      </c>
      <c r="L90" s="110">
        <f>'Reference Score Calculation'!Y82</f>
        <v>34.375</v>
      </c>
      <c r="M90" s="13">
        <f>入學要求!Z91</f>
        <v>0</v>
      </c>
    </row>
    <row r="91" spans="1:13">
      <c r="A91" s="13" t="str">
        <f>'Reference Score Calculation'!B83</f>
        <v>JS2410</v>
      </c>
      <c r="B91" s="13" t="str">
        <f>'Reference Score Calculation'!C83</f>
        <v>HKBU</v>
      </c>
      <c r="C91" s="13" t="str">
        <f>'Reference Score Calculation'!E83</f>
        <v>中醫學學士及生物醫學理學士(榮譽)</v>
      </c>
      <c r="D91" s="13" t="str">
        <f>'Reference Score Calculation'!S83</f>
        <v>BCM&amp;BSc(BIOMED)</v>
      </c>
      <c r="E91" s="13" t="str">
        <f>'Reference Score Calculation'!F83</f>
        <v>Best 5</v>
      </c>
      <c r="F91" s="20" t="str">
        <f>'Reference Score Calculation'!H83</f>
        <v>/</v>
      </c>
      <c r="G91" s="20">
        <f>'Reference Score Calculation'!I83</f>
        <v>31.500000000317502</v>
      </c>
      <c r="H91" s="20">
        <f>'Reference Score Calculation'!J83</f>
        <v>31.000000000317502</v>
      </c>
      <c r="I91" s="20">
        <f>計分版!J106</f>
        <v>3.4999999999999999E-9</v>
      </c>
      <c r="J91" s="13">
        <f>'Reference Score Calculation'!U83</f>
        <v>37</v>
      </c>
      <c r="K91" s="28">
        <f>'Reference Score Calculation'!V83</f>
        <v>46</v>
      </c>
      <c r="L91" s="110">
        <f>'Reference Score Calculation'!Y83</f>
        <v>7.5869565217391308</v>
      </c>
      <c r="M91" s="13">
        <f>入學要求!Z92</f>
        <v>0</v>
      </c>
    </row>
    <row r="92" spans="1:13">
      <c r="A92" s="13" t="str">
        <f>'Reference Score Calculation'!B84</f>
        <v>JS2420</v>
      </c>
      <c r="B92" s="13" t="str">
        <f>'Reference Score Calculation'!C84</f>
        <v>HKBU</v>
      </c>
      <c r="C92" s="13" t="str">
        <f>'Reference Score Calculation'!E84</f>
        <v>中藥學學士(榮譽)</v>
      </c>
      <c r="D92" s="13" t="str">
        <f>'Reference Score Calculation'!S84</f>
        <v>BPharm</v>
      </c>
      <c r="E92" s="13" t="str">
        <f>'Reference Score Calculation'!F84</f>
        <v>Best 5</v>
      </c>
      <c r="F92" s="20" t="str">
        <f>'Reference Score Calculation'!H84</f>
        <v>/</v>
      </c>
      <c r="G92" s="20">
        <f>'Reference Score Calculation'!I84</f>
        <v>24.500000000295</v>
      </c>
      <c r="H92" s="20">
        <f>'Reference Score Calculation'!J84</f>
        <v>23.5000000002475</v>
      </c>
      <c r="I92" s="20">
        <f>計分版!J107</f>
        <v>3.4999999999999999E-9</v>
      </c>
      <c r="J92" s="13">
        <f>'Reference Score Calculation'!U84</f>
        <v>23</v>
      </c>
      <c r="K92" s="28">
        <f>'Reference Score Calculation'!V84</f>
        <v>29</v>
      </c>
      <c r="L92" s="110">
        <f>'Reference Score Calculation'!Y84</f>
        <v>11.689655172413794</v>
      </c>
      <c r="M92" s="13">
        <f>入學要求!Z93</f>
        <v>0</v>
      </c>
    </row>
    <row r="93" spans="1:13">
      <c r="A93" s="13" t="str">
        <f>'Reference Score Calculation'!B85</f>
        <v>JS2510</v>
      </c>
      <c r="B93" s="13" t="str">
        <f>'Reference Score Calculation'!C85</f>
        <v>HKBU</v>
      </c>
      <c r="C93" s="13" t="str">
        <f>'Reference Score Calculation'!E85</f>
        <v>理學士(榮譽)</v>
      </c>
      <c r="D93" s="13" t="str">
        <f>'Reference Score Calculation'!S85</f>
        <v>BSc</v>
      </c>
      <c r="E93" s="13" t="str">
        <f>'Reference Score Calculation'!F85</f>
        <v>Best 5</v>
      </c>
      <c r="F93" s="20" t="str">
        <f>'Reference Score Calculation'!H85</f>
        <v>/</v>
      </c>
      <c r="G93" s="20">
        <f>'Reference Score Calculation'!I85</f>
        <v>19.000000000200004</v>
      </c>
      <c r="H93" s="20">
        <f>'Reference Score Calculation'!J85</f>
        <v>18.00000000028</v>
      </c>
      <c r="I93" s="20">
        <f>計分版!J108</f>
        <v>3.4999999999999999E-9</v>
      </c>
      <c r="J93" s="13">
        <f>'Reference Score Calculation'!U85</f>
        <v>197</v>
      </c>
      <c r="K93" s="28">
        <f>'Reference Score Calculation'!V85</f>
        <v>198</v>
      </c>
      <c r="L93" s="110">
        <f>'Reference Score Calculation'!Y85</f>
        <v>10.710743801652892</v>
      </c>
      <c r="M93" s="13">
        <f>入學要求!Z94</f>
        <v>0</v>
      </c>
    </row>
    <row r="94" spans="1:13">
      <c r="A94" s="13" t="str">
        <f>'Reference Score Calculation'!B86</f>
        <v>JS2610</v>
      </c>
      <c r="B94" s="13" t="str">
        <f>'Reference Score Calculation'!C86</f>
        <v>HKBU</v>
      </c>
      <c r="C94" s="13" t="str">
        <f>'Reference Score Calculation'!E86</f>
        <v>文學士(榮譽) / 社會科學學士(榮譽) (歐洲研究 [法文/德文] / 地理 / 全球及中國研究 / 政治及國際關係學 / 歷史 / 社會學)</v>
      </c>
      <c r="D94" s="13" t="str">
        <f>'Reference Score Calculation'!S86</f>
        <v>BA/BSocSc</v>
      </c>
      <c r="E94" s="13" t="str">
        <f>'Reference Score Calculation'!F86</f>
        <v>Best 5</v>
      </c>
      <c r="F94" s="20" t="str">
        <f>'Reference Score Calculation'!H86</f>
        <v>/</v>
      </c>
      <c r="G94" s="20">
        <f>'Reference Score Calculation'!I86</f>
        <v>24.000000000219998</v>
      </c>
      <c r="H94" s="20">
        <f>'Reference Score Calculation'!J86</f>
        <v>23.000000000219998</v>
      </c>
      <c r="I94" s="20">
        <f>計分版!J109</f>
        <v>3.4999999999999999E-9</v>
      </c>
      <c r="J94" s="13">
        <f>'Reference Score Calculation'!U86</f>
        <v>122</v>
      </c>
      <c r="K94" s="28">
        <f>'Reference Score Calculation'!V86</f>
        <v>155</v>
      </c>
      <c r="L94" s="110">
        <f>'Reference Score Calculation'!Y86</f>
        <v>6.8082191780821919</v>
      </c>
      <c r="M94" s="13">
        <f>入學要求!Z95</f>
        <v>0</v>
      </c>
    </row>
    <row r="95" spans="1:13">
      <c r="A95" s="13" t="str">
        <f>'Reference Score Calculation'!B87</f>
        <v>JS2620</v>
      </c>
      <c r="B95" s="13" t="str">
        <f>'Reference Score Calculation'!C87</f>
        <v>HKBU</v>
      </c>
      <c r="C95" s="13" t="str">
        <f>'Reference Score Calculation'!E87</f>
        <v>體育及康樂管理文學士(榮譽)</v>
      </c>
      <c r="D95" s="13" t="str">
        <f>'Reference Score Calculation'!S87</f>
        <v>BA(PERM)</v>
      </c>
      <c r="E95" s="13" t="str">
        <f>'Reference Score Calculation'!F87</f>
        <v>Best 5</v>
      </c>
      <c r="F95" s="20" t="str">
        <f>'Reference Score Calculation'!H87</f>
        <v>/</v>
      </c>
      <c r="G95" s="20">
        <f>'Reference Score Calculation'!I87</f>
        <v>21.000000000200004</v>
      </c>
      <c r="H95" s="20">
        <f>'Reference Score Calculation'!J87</f>
        <v>20.000000000200004</v>
      </c>
      <c r="I95" s="20">
        <f>計分版!J110</f>
        <v>3.4999999999999999E-9</v>
      </c>
      <c r="J95" s="13">
        <f>'Reference Score Calculation'!U87</f>
        <v>35</v>
      </c>
      <c r="K95" s="28">
        <f>'Reference Score Calculation'!V87</f>
        <v>17</v>
      </c>
      <c r="L95" s="110">
        <f>'Reference Score Calculation'!Y87</f>
        <v>44.466666666666669</v>
      </c>
      <c r="M95" s="13">
        <f>入學要求!Z96</f>
        <v>0</v>
      </c>
    </row>
    <row r="96" spans="1:13">
      <c r="A96" s="13" t="str">
        <f>'Reference Score Calculation'!B88</f>
        <v>JS2660</v>
      </c>
      <c r="B96" s="13" t="str">
        <f>'Reference Score Calculation'!C88</f>
        <v>HKBU</v>
      </c>
      <c r="C96" s="13" t="str">
        <f>'Reference Score Calculation'!E88</f>
        <v>社會工作學士(榮譽)</v>
      </c>
      <c r="D96" s="13" t="str">
        <f>'Reference Score Calculation'!S88</f>
        <v>BSW</v>
      </c>
      <c r="E96" s="13" t="str">
        <f>'Reference Score Calculation'!F88</f>
        <v>Best 5</v>
      </c>
      <c r="F96" s="20" t="str">
        <f>'Reference Score Calculation'!H88</f>
        <v>/</v>
      </c>
      <c r="G96" s="20">
        <f>'Reference Score Calculation'!I88</f>
        <v>25.400000000226001</v>
      </c>
      <c r="H96" s="20">
        <f>'Reference Score Calculation'!J88</f>
        <v>25.000000000219998</v>
      </c>
      <c r="I96" s="20">
        <f>計分版!J111</f>
        <v>3.4999999999999999E-9</v>
      </c>
      <c r="J96" s="13">
        <f>'Reference Score Calculation'!U88</f>
        <v>30</v>
      </c>
      <c r="K96" s="28">
        <f>'Reference Score Calculation'!V88</f>
        <v>29</v>
      </c>
      <c r="L96" s="110">
        <f>'Reference Score Calculation'!Y88</f>
        <v>26.310344827586206</v>
      </c>
      <c r="M96" s="13">
        <f>入學要求!Z97</f>
        <v>0</v>
      </c>
    </row>
    <row r="97" spans="1:13">
      <c r="A97" s="13" t="str">
        <f>'Reference Score Calculation'!B89</f>
        <v>JS2810</v>
      </c>
      <c r="B97" s="13" t="str">
        <f>'Reference Score Calculation'!C89</f>
        <v>HKBU</v>
      </c>
      <c r="C97" s="13" t="str">
        <f>'Reference Score Calculation'!E89</f>
        <v>視覺藝術文學士(榮譽)</v>
      </c>
      <c r="D97" s="13" t="str">
        <f>'Reference Score Calculation'!S89</f>
        <v>BA(VA)</v>
      </c>
      <c r="E97" s="13" t="str">
        <f>'Reference Score Calculation'!F89</f>
        <v>Best 5</v>
      </c>
      <c r="F97" s="20" t="str">
        <f>'Reference Score Calculation'!H89</f>
        <v>/</v>
      </c>
      <c r="G97" s="20">
        <f>'Reference Score Calculation'!I89</f>
        <v>21.000000000200004</v>
      </c>
      <c r="H97" s="20">
        <f>'Reference Score Calculation'!J89</f>
        <v>18.000000000200004</v>
      </c>
      <c r="I97" s="20">
        <f>計分版!J112</f>
        <v>3.4999999999999999E-9</v>
      </c>
      <c r="J97" s="13">
        <f>'Reference Score Calculation'!U89</f>
        <v>35</v>
      </c>
      <c r="K97" s="28">
        <f>'Reference Score Calculation'!V89</f>
        <v>37</v>
      </c>
      <c r="L97" s="110">
        <f>'Reference Score Calculation'!Y89</f>
        <v>16.351351351351351</v>
      </c>
      <c r="M97" s="13">
        <f>入學要求!Z98</f>
        <v>0</v>
      </c>
    </row>
    <row r="98" spans="1:13">
      <c r="A98" s="13" t="str">
        <f>'Reference Score Calculation'!B90</f>
        <v>JS2910</v>
      </c>
      <c r="B98" s="13" t="str">
        <f>'Reference Score Calculation'!C90</f>
        <v>HKBU</v>
      </c>
      <c r="C98" s="13" t="str">
        <f>'Reference Score Calculation'!E90</f>
        <v>商業計算及數據分析理學士(榮譽)</v>
      </c>
      <c r="D98" s="13" t="str">
        <f>'Reference Score Calculation'!S90</f>
        <v>BSc(BCDA)</v>
      </c>
      <c r="E98" s="13" t="str">
        <f>'Reference Score Calculation'!F90</f>
        <v>Best 5</v>
      </c>
      <c r="F98" s="20" t="str">
        <f>'Reference Score Calculation'!H90</f>
        <v>/</v>
      </c>
      <c r="G98" s="20">
        <f>'Reference Score Calculation'!I90</f>
        <v>19.000000000250001</v>
      </c>
      <c r="H98" s="20">
        <f>'Reference Score Calculation'!J90</f>
        <v>19.000000000200004</v>
      </c>
      <c r="I98" s="20">
        <f>計分版!J113</f>
        <v>3.4999999999999999E-9</v>
      </c>
      <c r="J98" s="13">
        <f>'Reference Score Calculation'!U90</f>
        <v>15</v>
      </c>
      <c r="K98" s="28">
        <f>'Reference Score Calculation'!V90</f>
        <v>15</v>
      </c>
      <c r="L98" s="110">
        <f>'Reference Score Calculation'!Y90</f>
        <v>48.333333333333336</v>
      </c>
      <c r="M98" s="13">
        <f>入學要求!Z99</f>
        <v>0</v>
      </c>
    </row>
    <row r="99" spans="1:13">
      <c r="A99" s="13" t="str">
        <f>'Reference Score Calculation'!B91</f>
        <v>JS2920</v>
      </c>
      <c r="B99" s="13" t="str">
        <f>'Reference Score Calculation'!C91</f>
        <v>HKBU</v>
      </c>
      <c r="C99" s="13" t="str">
        <f>'Reference Score Calculation'!E91</f>
        <v>藝術及科技文理學士(榮譽)</v>
      </c>
      <c r="D99" s="13" t="str">
        <f>'Reference Score Calculation'!S91</f>
        <v>BASc(ARTT)</v>
      </c>
      <c r="E99" s="13" t="str">
        <f>'Reference Score Calculation'!F91</f>
        <v>Best 5</v>
      </c>
      <c r="F99" s="20" t="str">
        <f>'Reference Score Calculation'!H91</f>
        <v>/</v>
      </c>
      <c r="G99" s="20">
        <f>'Reference Score Calculation'!I91</f>
        <v>19.800000000205998</v>
      </c>
      <c r="H99" s="20">
        <f>'Reference Score Calculation'!J91</f>
        <v>19.800000000236</v>
      </c>
      <c r="I99" s="20">
        <f>計分版!J114</f>
        <v>3.4999999999999999E-9</v>
      </c>
      <c r="J99" s="13">
        <f>'Reference Score Calculation'!U91</f>
        <v>40</v>
      </c>
      <c r="K99" s="28">
        <f>'Reference Score Calculation'!V91</f>
        <v>35</v>
      </c>
      <c r="L99" s="110">
        <f>'Reference Score Calculation'!Y91</f>
        <v>9.0571428571428569</v>
      </c>
      <c r="M99" s="13">
        <f>入學要求!Z100</f>
        <v>0</v>
      </c>
    </row>
    <row r="100" spans="1:13">
      <c r="A100" s="13" t="str">
        <f>'Reference Score Calculation'!B92</f>
        <v>JS2930</v>
      </c>
      <c r="B100" s="13" t="str">
        <f>'Reference Score Calculation'!C92</f>
        <v>HKBU</v>
      </c>
      <c r="C100" s="13" t="str">
        <f>'Reference Score Calculation'!E92</f>
        <v>工商管理文學士(榮譽)(全球娛樂)</v>
      </c>
      <c r="D100" s="13" t="str">
        <f>'Reference Score Calculation'!S92</f>
        <v>BA(BUSADMIN-GE)</v>
      </c>
      <c r="E100" s="13" t="str">
        <f>'Reference Score Calculation'!F92</f>
        <v>Best 5</v>
      </c>
      <c r="F100" s="20" t="str">
        <f>'Reference Score Calculation'!H92</f>
        <v>/</v>
      </c>
      <c r="G100" s="20">
        <f>'Reference Score Calculation'!I92</f>
        <v>19.000000000200004</v>
      </c>
      <c r="H100" s="20">
        <f>'Reference Score Calculation'!J92</f>
        <v>18.00000000024</v>
      </c>
      <c r="I100" s="20">
        <f>計分版!J115</f>
        <v>3.4999999999999999E-9</v>
      </c>
      <c r="J100" s="13">
        <f>'Reference Score Calculation'!U92</f>
        <v>25</v>
      </c>
      <c r="K100" s="28">
        <f>'Reference Score Calculation'!V92</f>
        <v>12</v>
      </c>
      <c r="L100" s="110">
        <f>'Reference Score Calculation'!Y92</f>
        <v>27.583333333333332</v>
      </c>
      <c r="M100" s="13">
        <f>入學要求!Z101</f>
        <v>0</v>
      </c>
    </row>
    <row r="101" spans="1:13">
      <c r="A101" s="13" t="str">
        <f>'Reference Score Calculation'!B93</f>
        <v>JS2940</v>
      </c>
      <c r="B101" s="13" t="str">
        <f>'Reference Score Calculation'!C93</f>
        <v>HKBU</v>
      </c>
      <c r="C101" s="13" t="str">
        <f>'Reference Score Calculation'!E93</f>
        <v>創新醫療及社會健康社會科學學士(榮譽) / 理學士(榮譽)</v>
      </c>
      <c r="D101" s="13" t="str">
        <f>'Reference Score Calculation'!S93</f>
        <v>BSocSc/BSc(HSWB)</v>
      </c>
      <c r="E101" s="13" t="str">
        <f>'Reference Score Calculation'!F93</f>
        <v>Best 5</v>
      </c>
      <c r="F101" s="20" t="str">
        <f>'Reference Score Calculation'!H93</f>
        <v>/</v>
      </c>
      <c r="G101" s="20">
        <f>'Reference Score Calculation'!I93</f>
        <v>19.000000000200004</v>
      </c>
      <c r="H101" s="20">
        <f>'Reference Score Calculation'!J93</f>
        <v>19.000000000200004</v>
      </c>
      <c r="I101" s="20">
        <f>計分版!J116</f>
        <v>3.4999999999999999E-9</v>
      </c>
      <c r="J101" s="13">
        <f>'Reference Score Calculation'!U93</f>
        <v>35</v>
      </c>
      <c r="K101" s="28">
        <f>'Reference Score Calculation'!V93</f>
        <v>42</v>
      </c>
      <c r="L101" s="110">
        <f>'Reference Score Calculation'!Y93</f>
        <v>11.066666666666666</v>
      </c>
      <c r="M101" s="13">
        <f>入學要求!Z102</f>
        <v>0</v>
      </c>
    </row>
    <row r="102" spans="1:13">
      <c r="A102" s="13" t="str">
        <f>'Reference Score Calculation'!B94</f>
        <v>JS2950</v>
      </c>
      <c r="B102" s="13" t="str">
        <f>'Reference Score Calculation'!C94</f>
        <v>HKBU</v>
      </c>
      <c r="C102" s="13" t="str">
        <f>'Reference Score Calculation'!E94</f>
        <v>文理及科技學士(榮譽)自訂主修</v>
      </c>
      <c r="D102" s="13" t="str">
        <f>'Reference Score Calculation'!S94</f>
        <v>BAScT</v>
      </c>
      <c r="E102" s="13" t="str">
        <f>'Reference Score Calculation'!F94</f>
        <v>Best 5</v>
      </c>
      <c r="F102" s="20" t="str">
        <f>'Reference Score Calculation'!H94</f>
        <v>/</v>
      </c>
      <c r="G102" s="20">
        <f>'Reference Score Calculation'!I94</f>
        <v>19.000000000200004</v>
      </c>
      <c r="H102" s="20">
        <f>'Reference Score Calculation'!J94</f>
        <v>18.000000000250001</v>
      </c>
      <c r="I102" s="20">
        <f>計分版!J117</f>
        <v>3.4999999999999999E-9</v>
      </c>
      <c r="J102" s="13">
        <f>'Reference Score Calculation'!U94</f>
        <v>15</v>
      </c>
      <c r="K102" s="28">
        <f>'Reference Score Calculation'!V94</f>
        <v>15</v>
      </c>
      <c r="L102" s="110">
        <f>'Reference Score Calculation'!Y94</f>
        <v>5.3636363636363633</v>
      </c>
      <c r="M102" s="13">
        <f>入學要求!Z103</f>
        <v>0</v>
      </c>
    </row>
    <row r="103" spans="1:13">
      <c r="A103" s="13" t="str">
        <f>'Reference Score Calculation'!B95</f>
        <v>JS2960</v>
      </c>
      <c r="B103" s="13" t="str">
        <f>'Reference Score Calculation'!C95</f>
        <v>HKBU</v>
      </c>
      <c r="C103" s="13" t="str">
        <f>'Reference Score Calculation'!E95</f>
        <v>數位未來與人文學科文理學士(榮譽)</v>
      </c>
      <c r="D103" s="13" t="str">
        <f>'Reference Score Calculation'!S95</f>
        <v>BASc(DIFH)</v>
      </c>
      <c r="E103" s="13" t="str">
        <f>'Reference Score Calculation'!F95</f>
        <v>25年新科目</v>
      </c>
      <c r="F103" s="20" t="str">
        <f>'Reference Score Calculation'!H95</f>
        <v>/</v>
      </c>
      <c r="G103" s="20" t="str">
        <f>'Reference Score Calculation'!I95</f>
        <v>/</v>
      </c>
      <c r="H103" s="20" t="str">
        <f>'Reference Score Calculation'!J95</f>
        <v>/</v>
      </c>
      <c r="I103" s="20">
        <f>計分版!J118</f>
        <v>3.4999999999999999E-9</v>
      </c>
      <c r="J103" s="13">
        <f>'Reference Score Calculation'!U95</f>
        <v>40</v>
      </c>
      <c r="K103" s="28" t="str">
        <f>'Reference Score Calculation'!V95</f>
        <v>/</v>
      </c>
      <c r="L103" s="110" t="str">
        <f>'Reference Score Calculation'!Y95</f>
        <v>新科目</v>
      </c>
      <c r="M103" s="13">
        <f>入學要求!Z104</f>
        <v>0</v>
      </c>
    </row>
    <row r="104" spans="1:13">
      <c r="D104" s="13"/>
      <c r="K104" s="28"/>
    </row>
    <row r="105" spans="1:13">
      <c r="D105" s="13"/>
      <c r="K105" s="28"/>
    </row>
    <row r="106" spans="1:13">
      <c r="A106" s="13" t="str">
        <f>'Reference Score Calculation'!B98</f>
        <v>JS3000</v>
      </c>
      <c r="B106" s="13" t="str">
        <f>'Reference Score Calculation'!C98</f>
        <v>PolyU</v>
      </c>
      <c r="C106" s="13" t="str">
        <f>'Reference Score Calculation'!E98</f>
        <v>跨學科組合學士課程</v>
      </c>
      <c r="D106" s="13" t="str">
        <f>'Reference Score Calculation'!S98</f>
        <v>INTERDISCIP STUDIES</v>
      </c>
      <c r="E106" s="13" t="str">
        <f>'Reference Score Calculation'!F98</f>
        <v>25年新科目</v>
      </c>
      <c r="F106" s="20" t="str">
        <f>'Reference Score Calculation'!H98</f>
        <v>/</v>
      </c>
      <c r="G106" s="20" t="str">
        <f>'Reference Score Calculation'!I98</f>
        <v>/</v>
      </c>
      <c r="H106" s="20" t="str">
        <f>'Reference Score Calculation'!J98</f>
        <v>/</v>
      </c>
      <c r="I106" s="20">
        <f>計分版!J121</f>
        <v>7.6999999999999995E-9</v>
      </c>
      <c r="J106" s="13">
        <f>'Reference Score Calculation'!U98</f>
        <v>30</v>
      </c>
      <c r="K106" s="28" t="str">
        <f>'Reference Score Calculation'!V98</f>
        <v>/</v>
      </c>
      <c r="L106" s="110" t="str">
        <f>'Reference Score Calculation'!Y98</f>
        <v>新科目</v>
      </c>
      <c r="M106" s="13">
        <f>入學要求!Z107</f>
        <v>0</v>
      </c>
    </row>
    <row r="107" spans="1:13">
      <c r="A107" s="13" t="str">
        <f>'Reference Score Calculation'!B99</f>
        <v>JS3003</v>
      </c>
      <c r="B107" s="13" t="str">
        <f>'Reference Score Calculation'!C99</f>
        <v>PolyU</v>
      </c>
      <c r="C107" s="13" t="str">
        <f>'Reference Score Calculation'!E99</f>
        <v>工商管理組合學士課程</v>
      </c>
      <c r="D107" s="13" t="str">
        <f>'Reference Score Calculation'!S99</f>
        <v>BUSINESS ADMIN</v>
      </c>
      <c r="E107" s="13" t="str">
        <f>'Reference Score Calculation'!F99</f>
        <v>25年新科目</v>
      </c>
      <c r="F107" s="20" t="str">
        <f>'Reference Score Calculation'!H99</f>
        <v>/</v>
      </c>
      <c r="G107" s="20" t="str">
        <f>'Reference Score Calculation'!I99</f>
        <v>/</v>
      </c>
      <c r="H107" s="20" t="str">
        <f>'Reference Score Calculation'!J99</f>
        <v>/</v>
      </c>
      <c r="I107" s="20">
        <f>計分版!J122</f>
        <v>9.1999999999999997E-9</v>
      </c>
      <c r="J107" s="13">
        <f>'Reference Score Calculation'!U99</f>
        <v>19</v>
      </c>
      <c r="K107" s="28" t="str">
        <f>'Reference Score Calculation'!V99</f>
        <v>/</v>
      </c>
      <c r="L107" s="110" t="str">
        <f>'Reference Score Calculation'!Y99</f>
        <v>新科目</v>
      </c>
      <c r="M107" s="13">
        <f>入學要求!Z108</f>
        <v>0</v>
      </c>
    </row>
    <row r="108" spans="1:13">
      <c r="A108" s="13" t="str">
        <f>'Reference Score Calculation'!B100</f>
        <v>JS3004</v>
      </c>
      <c r="B108" s="13" t="str">
        <f>'Reference Score Calculation'!C100</f>
        <v>PolyU</v>
      </c>
      <c r="C108" s="13" t="str">
        <f>'Reference Score Calculation'!E100</f>
        <v>建設及環境組合學士課程</v>
      </c>
      <c r="D108" s="13" t="str">
        <f>'Reference Score Calculation'!S100</f>
        <v>CONSTRUCT &amp; ENVIR</v>
      </c>
      <c r="E108" s="13" t="str">
        <f>'Reference Score Calculation'!F100</f>
        <v>25年新科目</v>
      </c>
      <c r="F108" s="20" t="str">
        <f>'Reference Score Calculation'!H100</f>
        <v>/</v>
      </c>
      <c r="G108" s="20" t="str">
        <f>'Reference Score Calculation'!I100</f>
        <v>/</v>
      </c>
      <c r="H108" s="20" t="str">
        <f>'Reference Score Calculation'!J100</f>
        <v>/</v>
      </c>
      <c r="I108" s="20">
        <f>計分版!J123</f>
        <v>1.07E-8</v>
      </c>
      <c r="J108" s="13">
        <f>'Reference Score Calculation'!U100</f>
        <v>33</v>
      </c>
      <c r="K108" s="28" t="str">
        <f>'Reference Score Calculation'!V100</f>
        <v>/</v>
      </c>
      <c r="L108" s="110" t="str">
        <f>'Reference Score Calculation'!Y100</f>
        <v>新科目</v>
      </c>
      <c r="M108" s="13">
        <f>入學要求!Z109</f>
        <v>0</v>
      </c>
    </row>
    <row r="109" spans="1:13">
      <c r="A109" s="13" t="str">
        <f>'Reference Score Calculation'!B101</f>
        <v>JS3005</v>
      </c>
      <c r="B109" s="13" t="str">
        <f>'Reference Score Calculation'!C101</f>
        <v>PolyU</v>
      </c>
      <c r="C109" s="13" t="str">
        <f>'Reference Score Calculation'!E101</f>
        <v>工程學科組合學士課程</v>
      </c>
      <c r="D109" s="13" t="str">
        <f>'Reference Score Calculation'!S101</f>
        <v>ENGINEERING</v>
      </c>
      <c r="E109" s="13" t="str">
        <f>'Reference Score Calculation'!F101</f>
        <v>25年新科目</v>
      </c>
      <c r="F109" s="20" t="str">
        <f>'Reference Score Calculation'!H101</f>
        <v>/</v>
      </c>
      <c r="G109" s="20" t="str">
        <f>'Reference Score Calculation'!I101</f>
        <v>/</v>
      </c>
      <c r="H109" s="20" t="str">
        <f>'Reference Score Calculation'!J101</f>
        <v>/</v>
      </c>
      <c r="I109" s="20">
        <f>計分版!J124</f>
        <v>1.07E-8</v>
      </c>
      <c r="J109" s="13">
        <f>'Reference Score Calculation'!U101</f>
        <v>35</v>
      </c>
      <c r="K109" s="28" t="str">
        <f>'Reference Score Calculation'!V101</f>
        <v>/</v>
      </c>
      <c r="L109" s="110" t="str">
        <f>'Reference Score Calculation'!Y101</f>
        <v>新科目</v>
      </c>
      <c r="M109" s="13">
        <f>入學要求!Z110</f>
        <v>0</v>
      </c>
    </row>
    <row r="110" spans="1:13">
      <c r="A110" s="13" t="str">
        <f>'Reference Score Calculation'!B102</f>
        <v>JS3006</v>
      </c>
      <c r="B110" s="13" t="str">
        <f>'Reference Score Calculation'!C102</f>
        <v>PolyU</v>
      </c>
      <c r="C110" s="13" t="str">
        <f>'Reference Score Calculation'!E102</f>
        <v>計算機及數學科學組合學士課程</v>
      </c>
      <c r="D110" s="13" t="str">
        <f>'Reference Score Calculation'!S102</f>
        <v>COMP &amp; MATH SCI</v>
      </c>
      <c r="E110" s="13" t="str">
        <f>'Reference Score Calculation'!F102</f>
        <v>25年新科目</v>
      </c>
      <c r="F110" s="20" t="str">
        <f>'Reference Score Calculation'!H102</f>
        <v>/</v>
      </c>
      <c r="G110" s="20" t="str">
        <f>'Reference Score Calculation'!I102</f>
        <v>/</v>
      </c>
      <c r="H110" s="20" t="str">
        <f>'Reference Score Calculation'!J102</f>
        <v>/</v>
      </c>
      <c r="I110" s="20">
        <f>計分版!J125</f>
        <v>1.07E-8</v>
      </c>
      <c r="J110" s="13">
        <f>'Reference Score Calculation'!U102</f>
        <v>14</v>
      </c>
      <c r="K110" s="28" t="str">
        <f>'Reference Score Calculation'!V102</f>
        <v>/</v>
      </c>
      <c r="L110" s="110" t="str">
        <f>'Reference Score Calculation'!Y102</f>
        <v>新科目</v>
      </c>
      <c r="M110" s="13">
        <f>入學要求!Z111</f>
        <v>0</v>
      </c>
    </row>
    <row r="111" spans="1:13">
      <c r="A111" s="13" t="str">
        <f>'Reference Score Calculation'!B103</f>
        <v>JS3007</v>
      </c>
      <c r="B111" s="13" t="str">
        <f>'Reference Score Calculation'!C103</f>
        <v>PolyU</v>
      </c>
      <c r="C111" s="13" t="str">
        <f>'Reference Score Calculation'!E103</f>
        <v>人文學科組合學士課程</v>
      </c>
      <c r="D111" s="13" t="str">
        <f>'Reference Score Calculation'!S103</f>
        <v>HUMANITIES</v>
      </c>
      <c r="E111" s="13" t="str">
        <f>'Reference Score Calculation'!F103</f>
        <v>25年新科目</v>
      </c>
      <c r="F111" s="20" t="str">
        <f>'Reference Score Calculation'!H103</f>
        <v>/</v>
      </c>
      <c r="G111" s="20" t="str">
        <f>'Reference Score Calculation'!I103</f>
        <v>/</v>
      </c>
      <c r="H111" s="20" t="str">
        <f>'Reference Score Calculation'!J103</f>
        <v>/</v>
      </c>
      <c r="I111" s="20">
        <f>計分版!J126</f>
        <v>8.6000000000000009E-9</v>
      </c>
      <c r="J111" s="13">
        <f>'Reference Score Calculation'!U103</f>
        <v>13</v>
      </c>
      <c r="K111" s="28" t="str">
        <f>'Reference Score Calculation'!V103</f>
        <v>/</v>
      </c>
      <c r="L111" s="110" t="str">
        <f>'Reference Score Calculation'!Y103</f>
        <v>新科目</v>
      </c>
      <c r="M111" s="13">
        <f>入學要求!Z112</f>
        <v>0</v>
      </c>
    </row>
    <row r="112" spans="1:13">
      <c r="A112" s="13" t="str">
        <f>'Reference Score Calculation'!B104</f>
        <v>JS3008</v>
      </c>
      <c r="B112" s="13" t="str">
        <f>'Reference Score Calculation'!C104</f>
        <v>PolyU</v>
      </c>
      <c r="C112" s="13" t="str">
        <f>'Reference Score Calculation'!E104</f>
        <v>理學組合學士課程</v>
      </c>
      <c r="D112" s="13" t="str">
        <f>'Reference Score Calculation'!S104</f>
        <v>SCIENCE</v>
      </c>
      <c r="E112" s="13" t="str">
        <f>'Reference Score Calculation'!F104</f>
        <v>25年新科目</v>
      </c>
      <c r="F112" s="20" t="str">
        <f>'Reference Score Calculation'!H104</f>
        <v>/</v>
      </c>
      <c r="G112" s="20" t="str">
        <f>'Reference Score Calculation'!I104</f>
        <v>/</v>
      </c>
      <c r="H112" s="20" t="str">
        <f>'Reference Score Calculation'!J104</f>
        <v>/</v>
      </c>
      <c r="I112" s="20">
        <f>計分版!J127</f>
        <v>1.07E-8</v>
      </c>
      <c r="J112" s="13">
        <f>'Reference Score Calculation'!U104</f>
        <v>15</v>
      </c>
      <c r="K112" s="28" t="str">
        <f>'Reference Score Calculation'!V104</f>
        <v>/</v>
      </c>
      <c r="L112" s="110" t="str">
        <f>'Reference Score Calculation'!Y104</f>
        <v>新科目</v>
      </c>
      <c r="M112" s="13">
        <f>入學要求!Z113</f>
        <v>0</v>
      </c>
    </row>
    <row r="113" spans="1:25">
      <c r="A113" s="13" t="str">
        <f>'Reference Score Calculation'!B105</f>
        <v>JS3011</v>
      </c>
      <c r="B113" s="13" t="str">
        <f>'Reference Score Calculation'!C105</f>
        <v>PolyU</v>
      </c>
      <c r="C113" s="13" t="str">
        <f>'Reference Score Calculation'!E105</f>
        <v>生物科技及化學科技(榮譽)理學士組合課程</v>
      </c>
      <c r="D113" s="13" t="str">
        <f>'Reference Score Calculation'!S105</f>
        <v>BIOTECH &amp; CHEM TECH</v>
      </c>
      <c r="E113" s="13" t="str">
        <f>'Reference Score Calculation'!F105</f>
        <v>Best 5</v>
      </c>
      <c r="F113" s="20" t="str">
        <f>'Reference Score Calculation'!H105</f>
        <v>/</v>
      </c>
      <c r="G113" s="20">
        <f>'Reference Score Calculation'!I105</f>
        <v>196</v>
      </c>
      <c r="H113" s="20">
        <f>'Reference Score Calculation'!J105</f>
        <v>190</v>
      </c>
      <c r="I113" s="20">
        <f>計分版!J128</f>
        <v>9.1999999999999997E-9</v>
      </c>
      <c r="J113" s="13">
        <f>'Reference Score Calculation'!U105</f>
        <v>55</v>
      </c>
      <c r="K113" s="28">
        <f>'Reference Score Calculation'!V105</f>
        <v>53</v>
      </c>
      <c r="L113" s="110">
        <f>'Reference Score Calculation'!Y105</f>
        <v>5.8604651162790695</v>
      </c>
      <c r="M113" s="13">
        <f>入學要求!Z114</f>
        <v>0</v>
      </c>
      <c r="Y113" s="12"/>
    </row>
    <row r="114" spans="1:25">
      <c r="A114" s="13" t="str">
        <f>'Reference Score Calculation'!B106</f>
        <v>JS3030</v>
      </c>
      <c r="B114" s="13" t="str">
        <f>'Reference Score Calculation'!C106</f>
        <v>PolyU</v>
      </c>
      <c r="C114" s="13" t="str">
        <f>'Reference Score Calculation'!E106</f>
        <v>物理學(榮譽)理學士副主修人工智能及數據分析 / 創新及創業</v>
      </c>
      <c r="D114" s="13" t="str">
        <f>'Reference Score Calculation'!S106</f>
        <v>PHYSICS</v>
      </c>
      <c r="E114" s="13" t="str">
        <f>'Reference Score Calculation'!F106</f>
        <v>Best 5</v>
      </c>
      <c r="F114" s="20" t="str">
        <f>'Reference Score Calculation'!H106</f>
        <v>/</v>
      </c>
      <c r="G114" s="20">
        <f>'Reference Score Calculation'!I106</f>
        <v>208</v>
      </c>
      <c r="H114" s="20">
        <f>'Reference Score Calculation'!J106</f>
        <v>190</v>
      </c>
      <c r="I114" s="20">
        <f>計分版!J129</f>
        <v>1.07E-8</v>
      </c>
      <c r="J114" s="13">
        <f>'Reference Score Calculation'!U106</f>
        <v>23</v>
      </c>
      <c r="K114" s="28">
        <f>'Reference Score Calculation'!V106</f>
        <v>22</v>
      </c>
      <c r="L114" s="110">
        <f>'Reference Score Calculation'!Y106</f>
        <v>10.470588235294118</v>
      </c>
      <c r="M114" s="13">
        <f>入學要求!Z115</f>
        <v>0</v>
      </c>
      <c r="Y114" s="12"/>
    </row>
    <row r="115" spans="1:25">
      <c r="A115" s="13" t="str">
        <f>'Reference Score Calculation'!B107</f>
        <v>JS3050</v>
      </c>
      <c r="B115" s="13" t="str">
        <f>'Reference Score Calculation'!C107</f>
        <v>PolyU</v>
      </c>
      <c r="C115" s="13" t="str">
        <f>'Reference Score Calculation'!E107</f>
        <v>時裝(榮譽)文學士組合課程 (時裝設計 / 針織時裝設計 / 內衣及運動服裝 / 時裝商務 / 時裝創新及科技)</v>
      </c>
      <c r="D115" s="13" t="str">
        <f>'Reference Score Calculation'!S107</f>
        <v>FASHION</v>
      </c>
      <c r="E115" s="13" t="str">
        <f>'Reference Score Calculation'!F107</f>
        <v>Best 5</v>
      </c>
      <c r="F115" s="20" t="str">
        <f>'Reference Score Calculation'!H107</f>
        <v>/</v>
      </c>
      <c r="G115" s="20">
        <f>'Reference Score Calculation'!I107</f>
        <v>160.5</v>
      </c>
      <c r="H115" s="20">
        <f>'Reference Score Calculation'!J107</f>
        <v>146</v>
      </c>
      <c r="I115" s="20">
        <f>計分版!J130</f>
        <v>7.6999999999999995E-9</v>
      </c>
      <c r="J115" s="13">
        <f>'Reference Score Calculation'!U107</f>
        <v>101</v>
      </c>
      <c r="K115" s="28">
        <f>'Reference Score Calculation'!V107</f>
        <v>82</v>
      </c>
      <c r="L115" s="110">
        <f>'Reference Score Calculation'!Y107</f>
        <v>10.870129870129871</v>
      </c>
      <c r="M115" s="13">
        <f>入學要求!Z116</f>
        <v>0</v>
      </c>
      <c r="Y115" s="12"/>
    </row>
    <row r="116" spans="1:25">
      <c r="A116" s="13" t="str">
        <f>'Reference Score Calculation'!B108</f>
        <v>JS3060</v>
      </c>
      <c r="B116" s="13" t="str">
        <f>'Reference Score Calculation'!C108</f>
        <v>PolyU</v>
      </c>
      <c r="C116" s="13" t="str">
        <f>'Reference Score Calculation'!E108</f>
        <v>會計及金融(榮譽)工商管理學士組合課程 (會計學 / 會計及金融 / 數碼金融及投資學)</v>
      </c>
      <c r="D116" s="13" t="str">
        <f>'Reference Score Calculation'!S108</f>
        <v>ACCT &amp; FINANCE</v>
      </c>
      <c r="E116" s="13" t="str">
        <f>'Reference Score Calculation'!F108</f>
        <v>Best 5</v>
      </c>
      <c r="F116" s="20" t="str">
        <f>'Reference Score Calculation'!H108</f>
        <v>/</v>
      </c>
      <c r="G116" s="20">
        <f>'Reference Score Calculation'!I108</f>
        <v>178</v>
      </c>
      <c r="H116" s="20">
        <f>'Reference Score Calculation'!J108</f>
        <v>172</v>
      </c>
      <c r="I116" s="20">
        <f>計分版!J131</f>
        <v>9.1999999999999997E-9</v>
      </c>
      <c r="J116" s="13">
        <f>'Reference Score Calculation'!U108</f>
        <v>78</v>
      </c>
      <c r="K116" s="28">
        <f>'Reference Score Calculation'!V108</f>
        <v>108</v>
      </c>
      <c r="L116" s="110">
        <f>'Reference Score Calculation'!Y108</f>
        <v>6.262626262626263</v>
      </c>
      <c r="M116" s="13">
        <f>入學要求!Z117</f>
        <v>0</v>
      </c>
      <c r="Y116" s="12"/>
    </row>
    <row r="117" spans="1:25">
      <c r="A117" s="13" t="str">
        <f>'Reference Score Calculation'!B109</f>
        <v>JS3070</v>
      </c>
      <c r="B117" s="13" t="str">
        <f>'Reference Score Calculation'!C109</f>
        <v>PolyU</v>
      </c>
      <c r="C117" s="13" t="str">
        <f>'Reference Score Calculation'!E109</f>
        <v>環球商業及物流、航空、航運及供應鏈管理(榮譽)工商管理學士組合課程</v>
      </c>
      <c r="D117" s="13" t="str">
        <f>'Reference Score Calculation'!S109</f>
        <v>GBL,AVIAT,MARI &amp; SC MGT</v>
      </c>
      <c r="E117" s="13" t="str">
        <f>'Reference Score Calculation'!F109</f>
        <v>Best 5</v>
      </c>
      <c r="F117" s="20" t="str">
        <f>'Reference Score Calculation'!H109</f>
        <v>/</v>
      </c>
      <c r="G117" s="20">
        <f>'Reference Score Calculation'!I109</f>
        <v>168</v>
      </c>
      <c r="H117" s="20">
        <f>'Reference Score Calculation'!J109</f>
        <v>164.5</v>
      </c>
      <c r="I117" s="20">
        <f>計分版!J132</f>
        <v>9.1999999999999997E-9</v>
      </c>
      <c r="J117" s="13">
        <f>'Reference Score Calculation'!U109</f>
        <v>43</v>
      </c>
      <c r="K117" s="28">
        <f>'Reference Score Calculation'!V109</f>
        <v>46</v>
      </c>
      <c r="L117" s="110">
        <f>'Reference Score Calculation'!Y109</f>
        <v>12.261904761904763</v>
      </c>
      <c r="M117" s="13">
        <f>入學要求!Z118</f>
        <v>0</v>
      </c>
      <c r="Y117" s="12"/>
    </row>
    <row r="118" spans="1:25">
      <c r="A118" s="13" t="str">
        <f>'Reference Score Calculation'!B110</f>
        <v>JS3080</v>
      </c>
      <c r="B118" s="13" t="str">
        <f>'Reference Score Calculation'!C110</f>
        <v>PolyU</v>
      </c>
      <c r="C118" s="13" t="str">
        <f>'Reference Score Calculation'!E110</f>
        <v>管理及市場學(榮譽)工商管理學士組合課程 (管理學 / 市場學)</v>
      </c>
      <c r="D118" s="13" t="str">
        <f>'Reference Score Calculation'!S110</f>
        <v>MGT &amp; MARKETING</v>
      </c>
      <c r="E118" s="13" t="str">
        <f>'Reference Score Calculation'!F110</f>
        <v>Best 5</v>
      </c>
      <c r="F118" s="20" t="str">
        <f>'Reference Score Calculation'!H110</f>
        <v>/</v>
      </c>
      <c r="G118" s="20">
        <f>'Reference Score Calculation'!I110</f>
        <v>174.5</v>
      </c>
      <c r="H118" s="20">
        <f>'Reference Score Calculation'!J110</f>
        <v>169</v>
      </c>
      <c r="I118" s="20">
        <f>計分版!J133</f>
        <v>9.1999999999999997E-9</v>
      </c>
      <c r="J118" s="13">
        <f>'Reference Score Calculation'!U110</f>
        <v>48</v>
      </c>
      <c r="K118" s="28">
        <f>'Reference Score Calculation'!V110</f>
        <v>65</v>
      </c>
      <c r="L118" s="110">
        <f>'Reference Score Calculation'!Y110</f>
        <v>11.254237288135593</v>
      </c>
      <c r="M118" s="13">
        <f>入學要求!Z119</f>
        <v>0</v>
      </c>
      <c r="Y118" s="12"/>
    </row>
    <row r="119" spans="1:25">
      <c r="A119" s="13" t="str">
        <f>'Reference Score Calculation'!B111</f>
        <v>JS3130</v>
      </c>
      <c r="B119" s="13" t="str">
        <f>'Reference Score Calculation'!C111</f>
        <v>PolyU</v>
      </c>
      <c r="C119" s="13" t="str">
        <f>'Reference Score Calculation'!E111</f>
        <v>空間數據科學及智慧城市(榮譽)理學士組合課程 (土地測量及地理資訊學 / 城市信息學及智慧城市)</v>
      </c>
      <c r="D119" s="13" t="str">
        <f>'Reference Score Calculation'!S111</f>
        <v>SPAT DATA &amp; SMART CITIES</v>
      </c>
      <c r="E119" s="13" t="str">
        <f>'Reference Score Calculation'!F111</f>
        <v>Best 5</v>
      </c>
      <c r="F119" s="20" t="str">
        <f>'Reference Score Calculation'!H111</f>
        <v>/</v>
      </c>
      <c r="G119" s="20">
        <f>'Reference Score Calculation'!I111</f>
        <v>199.5</v>
      </c>
      <c r="H119" s="20">
        <f>'Reference Score Calculation'!J111</f>
        <v>191</v>
      </c>
      <c r="I119" s="20">
        <f>計分版!J134</f>
        <v>1.07E-8</v>
      </c>
      <c r="J119" s="13">
        <f>'Reference Score Calculation'!U111</f>
        <v>35</v>
      </c>
      <c r="K119" s="28">
        <f>'Reference Score Calculation'!V111</f>
        <v>26</v>
      </c>
      <c r="L119" s="110">
        <f>'Reference Score Calculation'!Y111</f>
        <v>6.6538461538461542</v>
      </c>
      <c r="M119" s="13">
        <f>入學要求!Z120</f>
        <v>0</v>
      </c>
    </row>
    <row r="120" spans="1:25">
      <c r="A120" s="13" t="str">
        <f>'Reference Score Calculation'!B112</f>
        <v>JS3140</v>
      </c>
      <c r="B120" s="13" t="str">
        <f>'Reference Score Calculation'!C112</f>
        <v>PolyU</v>
      </c>
      <c r="C120" s="13" t="str">
        <f>'Reference Score Calculation'!E112</f>
        <v>航空工程學(榮譽)工學士組合課程 (航空工程學 / 民航工程學)</v>
      </c>
      <c r="D120" s="13" t="str">
        <f>'Reference Score Calculation'!S112</f>
        <v>AVIATION ENGG</v>
      </c>
      <c r="E120" s="13" t="str">
        <f>'Reference Score Calculation'!F112</f>
        <v>Best 5</v>
      </c>
      <c r="F120" s="20" t="str">
        <f>'Reference Score Calculation'!H112</f>
        <v>/</v>
      </c>
      <c r="G120" s="20">
        <f>'Reference Score Calculation'!I112</f>
        <v>195</v>
      </c>
      <c r="H120" s="20">
        <f>'Reference Score Calculation'!J112</f>
        <v>184</v>
      </c>
      <c r="I120" s="20">
        <f>計分版!J135</f>
        <v>1.07E-8</v>
      </c>
      <c r="J120" s="13">
        <f>'Reference Score Calculation'!U112</f>
        <v>49</v>
      </c>
      <c r="K120" s="28">
        <f>'Reference Score Calculation'!V112</f>
        <v>48</v>
      </c>
      <c r="L120" s="110">
        <f>'Reference Score Calculation'!Y112</f>
        <v>10.923076923076923</v>
      </c>
      <c r="M120" s="13">
        <f>入學要求!Z121</f>
        <v>0</v>
      </c>
    </row>
    <row r="121" spans="1:25">
      <c r="A121" s="13" t="str">
        <f>'Reference Score Calculation'!B113</f>
        <v>JS3150</v>
      </c>
      <c r="B121" s="13" t="str">
        <f>'Reference Score Calculation'!C113</f>
        <v>PolyU</v>
      </c>
      <c r="C121" s="13" t="str">
        <f>'Reference Score Calculation'!E113</f>
        <v>生物醫學工程(榮譽)理學士組合課程</v>
      </c>
      <c r="D121" s="13" t="str">
        <f>'Reference Score Calculation'!S113</f>
        <v>BIOMEDICAL ENGG</v>
      </c>
      <c r="E121" s="13" t="str">
        <f>'Reference Score Calculation'!F113</f>
        <v>Best 5</v>
      </c>
      <c r="F121" s="20" t="str">
        <f>'Reference Score Calculation'!H113</f>
        <v>/</v>
      </c>
      <c r="G121" s="20">
        <f>'Reference Score Calculation'!I113</f>
        <v>208</v>
      </c>
      <c r="H121" s="20">
        <f>'Reference Score Calculation'!J113</f>
        <v>178</v>
      </c>
      <c r="I121" s="20">
        <f>計分版!J136</f>
        <v>1.0100000000000001E-8</v>
      </c>
      <c r="J121" s="13">
        <f>'Reference Score Calculation'!U113</f>
        <v>22</v>
      </c>
      <c r="K121" s="28">
        <f>'Reference Score Calculation'!V113</f>
        <v>42</v>
      </c>
      <c r="L121" s="110">
        <f>'Reference Score Calculation'!Y113</f>
        <v>3.8571428571428572</v>
      </c>
      <c r="M121" s="13">
        <f>入學要求!Z122</f>
        <v>0</v>
      </c>
    </row>
    <row r="122" spans="1:25">
      <c r="A122" s="13" t="str">
        <f>'Reference Score Calculation'!B114</f>
        <v>JS3170</v>
      </c>
      <c r="B122" s="13" t="str">
        <f>'Reference Score Calculation'!C114</f>
        <v>PolyU</v>
      </c>
      <c r="C122" s="13" t="str">
        <f>'Reference Score Calculation'!E114</f>
        <v>電機工程學(榮譽)工學士組合課程 (電機工程學 / 運輸系統工程學)</v>
      </c>
      <c r="D122" s="13" t="str">
        <f>'Reference Score Calculation'!S114</f>
        <v>ELECTRICAL ENGG</v>
      </c>
      <c r="E122" s="13" t="str">
        <f>'Reference Score Calculation'!F114</f>
        <v>Best 5</v>
      </c>
      <c r="F122" s="20" t="str">
        <f>'Reference Score Calculation'!H114</f>
        <v>/</v>
      </c>
      <c r="G122" s="20">
        <f>'Reference Score Calculation'!I114</f>
        <v>195</v>
      </c>
      <c r="H122" s="20">
        <f>'Reference Score Calculation'!J114</f>
        <v>191</v>
      </c>
      <c r="I122" s="20">
        <f>計分版!J137</f>
        <v>1.07E-8</v>
      </c>
      <c r="J122" s="13">
        <f>'Reference Score Calculation'!U114</f>
        <v>49</v>
      </c>
      <c r="K122" s="28">
        <f>'Reference Score Calculation'!V114</f>
        <v>52</v>
      </c>
      <c r="L122" s="110">
        <f>'Reference Score Calculation'!Y114</f>
        <v>10.291666666666666</v>
      </c>
      <c r="M122" s="13">
        <f>入學要求!Z123</f>
        <v>0</v>
      </c>
    </row>
    <row r="123" spans="1:25">
      <c r="A123" s="13" t="str">
        <f>'Reference Score Calculation'!B115</f>
        <v>JS3180</v>
      </c>
      <c r="B123" s="13" t="str">
        <f>'Reference Score Calculation'!C115</f>
        <v>PolyU</v>
      </c>
      <c r="C123" s="13" t="str">
        <f>'Reference Score Calculation'!E115</f>
        <v>資訊及人工智能工程學(榮譽)工學士/理學士組合課程 (物聯網 / 人工智能 / 資訊安全)</v>
      </c>
      <c r="D123" s="13" t="str">
        <f>'Reference Score Calculation'!S115</f>
        <v>INFO &amp; AI ENGG</v>
      </c>
      <c r="E123" s="13" t="str">
        <f>'Reference Score Calculation'!F115</f>
        <v>Best 5</v>
      </c>
      <c r="F123" s="20" t="str">
        <f>'Reference Score Calculation'!H115</f>
        <v>/</v>
      </c>
      <c r="G123" s="20">
        <f>'Reference Score Calculation'!I115</f>
        <v>201</v>
      </c>
      <c r="H123" s="20">
        <f>'Reference Score Calculation'!J115</f>
        <v>195</v>
      </c>
      <c r="I123" s="20">
        <f>計分版!J138</f>
        <v>1.07E-8</v>
      </c>
      <c r="J123" s="13">
        <f>'Reference Score Calculation'!U115</f>
        <v>56</v>
      </c>
      <c r="K123" s="28">
        <f>'Reference Score Calculation'!V115</f>
        <v>50</v>
      </c>
      <c r="L123" s="110">
        <f>'Reference Score Calculation'!Y115</f>
        <v>14.476190476190476</v>
      </c>
      <c r="M123" s="13">
        <f>入學要求!Z124</f>
        <v>0</v>
      </c>
    </row>
    <row r="124" spans="1:25">
      <c r="A124" s="13" t="str">
        <f>'Reference Score Calculation'!B116</f>
        <v>JS3211</v>
      </c>
      <c r="B124" s="13" t="str">
        <f>'Reference Score Calculation'!C116</f>
        <v>PolyU</v>
      </c>
      <c r="C124" s="13" t="str">
        <f>'Reference Score Calculation'!E116</f>
        <v>建築科學及工程學(榮譽)工學士</v>
      </c>
      <c r="D124" s="13" t="str">
        <f>'Reference Score Calculation'!S116</f>
        <v>BLDG SCI &amp; ENGG</v>
      </c>
      <c r="E124" s="13" t="str">
        <f>'Reference Score Calculation'!F116</f>
        <v>Best 5</v>
      </c>
      <c r="F124" s="20" t="str">
        <f>'Reference Score Calculation'!H116</f>
        <v>/</v>
      </c>
      <c r="G124" s="20">
        <f>'Reference Score Calculation'!I116</f>
        <v>176.5</v>
      </c>
      <c r="H124" s="20">
        <f>'Reference Score Calculation'!J116</f>
        <v>175</v>
      </c>
      <c r="I124" s="20">
        <f>計分版!J139</f>
        <v>9.1999999999999997E-9</v>
      </c>
      <c r="J124" s="13">
        <f>'Reference Score Calculation'!U116</f>
        <v>38</v>
      </c>
      <c r="K124" s="28" t="str">
        <f>'Reference Score Calculation'!V116</f>
        <v>/</v>
      </c>
      <c r="L124" s="110" t="str">
        <f>'Reference Score Calculation'!Y116</f>
        <v>新科目</v>
      </c>
      <c r="M124" s="13">
        <f>入學要求!Z125</f>
        <v>0</v>
      </c>
    </row>
    <row r="125" spans="1:25">
      <c r="A125" s="13" t="str">
        <f>'Reference Score Calculation'!B117</f>
        <v>JS3214</v>
      </c>
      <c r="B125" s="13" t="str">
        <f>'Reference Score Calculation'!C117</f>
        <v>PolyU</v>
      </c>
      <c r="C125" s="13" t="str">
        <f>'Reference Score Calculation'!E117</f>
        <v>建築學(榮譽)理學士</v>
      </c>
      <c r="D125" s="13" t="str">
        <f>'Reference Score Calculation'!S117</f>
        <v>ARCHIT STUDIES</v>
      </c>
      <c r="E125" s="13" t="str">
        <f>'Reference Score Calculation'!F117</f>
        <v>25年新科目</v>
      </c>
      <c r="F125" s="20" t="str">
        <f>'Reference Score Calculation'!H117</f>
        <v>/</v>
      </c>
      <c r="G125" s="20" t="str">
        <f>'Reference Score Calculation'!I117</f>
        <v>/</v>
      </c>
      <c r="H125" s="20" t="str">
        <f>'Reference Score Calculation'!J117</f>
        <v>/</v>
      </c>
      <c r="I125" s="20">
        <f>計分版!J140</f>
        <v>8.2999999999999999E-9</v>
      </c>
      <c r="J125" s="13">
        <f>'Reference Score Calculation'!U117</f>
        <v>27</v>
      </c>
      <c r="K125" s="28" t="str">
        <f>'Reference Score Calculation'!V117</f>
        <v>/</v>
      </c>
      <c r="L125" s="110" t="str">
        <f>'Reference Score Calculation'!Y117</f>
        <v>新科目</v>
      </c>
      <c r="M125" s="13">
        <f>入學要求!Z126</f>
        <v>0</v>
      </c>
    </row>
    <row r="126" spans="1:25">
      <c r="A126" s="13" t="str">
        <f>'Reference Score Calculation'!B118</f>
        <v>JS3220</v>
      </c>
      <c r="B126" s="13" t="str">
        <f>'Reference Score Calculation'!C118</f>
        <v>PolyU</v>
      </c>
      <c r="C126" s="13" t="str">
        <f>'Reference Score Calculation'!E118</f>
        <v>應用數學及金融分析(榮譽)理學士組合課程 (應用數學 / 投資科學及金融分析 / 量化金融及金融科技)</v>
      </c>
      <c r="D126" s="13" t="str">
        <f>'Reference Score Calculation'!S118</f>
        <v>APP MATHS &amp; FIN ANA</v>
      </c>
      <c r="E126" s="13" t="str">
        <f>'Reference Score Calculation'!F118</f>
        <v>Best 5</v>
      </c>
      <c r="F126" s="20" t="str">
        <f>'Reference Score Calculation'!H118</f>
        <v>/</v>
      </c>
      <c r="G126" s="20">
        <f>'Reference Score Calculation'!I118</f>
        <v>179</v>
      </c>
      <c r="H126" s="20">
        <f>'Reference Score Calculation'!J118</f>
        <v>172.5</v>
      </c>
      <c r="I126" s="20">
        <f>計分版!J141</f>
        <v>9.1999999999999997E-9</v>
      </c>
      <c r="J126" s="13">
        <f>'Reference Score Calculation'!U118</f>
        <v>19</v>
      </c>
      <c r="K126" s="28" t="str">
        <f>'Reference Score Calculation'!V118</f>
        <v>/</v>
      </c>
      <c r="L126" s="110" t="str">
        <f>'Reference Score Calculation'!Y118</f>
        <v>新科目</v>
      </c>
      <c r="M126" s="13">
        <f>入學要求!Z127</f>
        <v>0</v>
      </c>
    </row>
    <row r="127" spans="1:25">
      <c r="A127" s="13" t="str">
        <f>'Reference Score Calculation'!B119</f>
        <v>JS3223</v>
      </c>
      <c r="B127" s="13" t="str">
        <f>'Reference Score Calculation'!C119</f>
        <v>PolyU</v>
      </c>
      <c r="C127" s="13" t="str">
        <f>'Reference Score Calculation'!E119</f>
        <v>數據科學及人工智能(榮譽)理學士組合課程 (數據科學及分析 / 金融科技及人工智能)</v>
      </c>
      <c r="D127" s="13" t="str">
        <f>'Reference Score Calculation'!S119</f>
        <v>DATA SCI &amp; AI</v>
      </c>
      <c r="E127" s="13" t="str">
        <f>'Reference Score Calculation'!F119</f>
        <v>Best 5</v>
      </c>
      <c r="F127" s="20" t="str">
        <f>'Reference Score Calculation'!H119</f>
        <v>/</v>
      </c>
      <c r="G127" s="20">
        <f>'Reference Score Calculation'!I119</f>
        <v>179</v>
      </c>
      <c r="H127" s="20">
        <f>'Reference Score Calculation'!J119</f>
        <v>172.5</v>
      </c>
      <c r="I127" s="20">
        <f>計分版!J142</f>
        <v>9.1999999999999997E-9</v>
      </c>
      <c r="J127" s="13">
        <f>'Reference Score Calculation'!U119</f>
        <v>32</v>
      </c>
      <c r="K127" s="28" t="str">
        <f>'Reference Score Calculation'!V119</f>
        <v>/</v>
      </c>
      <c r="L127" s="110" t="str">
        <f>'Reference Score Calculation'!Y119</f>
        <v>新科目</v>
      </c>
      <c r="M127" s="13">
        <f>入學要求!Z128</f>
        <v>0</v>
      </c>
    </row>
    <row r="128" spans="1:25">
      <c r="A128" s="13" t="str">
        <f>'Reference Score Calculation'!B120</f>
        <v>JS3236</v>
      </c>
      <c r="B128" s="13" t="str">
        <f>'Reference Score Calculation'!C120</f>
        <v>PolyU</v>
      </c>
      <c r="C128" s="13" t="str">
        <f>'Reference Score Calculation'!E120</f>
        <v>產品創新及智能製造(榮譽)工學士組合課程 (產品創新兼市場學 / 智能製造)</v>
      </c>
      <c r="D128" s="13" t="str">
        <f>'Reference Score Calculation'!S120</f>
        <v>PROD INNO &amp; SMART MFG</v>
      </c>
      <c r="E128" s="13" t="str">
        <f>'Reference Score Calculation'!F120</f>
        <v>Best 5</v>
      </c>
      <c r="F128" s="20" t="str">
        <f>'Reference Score Calculation'!H120</f>
        <v>/</v>
      </c>
      <c r="G128" s="20">
        <f>'Reference Score Calculation'!I120</f>
        <v>148</v>
      </c>
      <c r="H128" s="20">
        <f>'Reference Score Calculation'!J120</f>
        <v>143.5</v>
      </c>
      <c r="I128" s="20">
        <f>計分版!J143</f>
        <v>8.2000000000000006E-9</v>
      </c>
      <c r="J128" s="13">
        <f>'Reference Score Calculation'!U120</f>
        <v>46</v>
      </c>
      <c r="K128" s="28" t="str">
        <f>'Reference Score Calculation'!V120</f>
        <v>/</v>
      </c>
      <c r="L128" s="110" t="str">
        <f>'Reference Score Calculation'!Y120</f>
        <v>新科目</v>
      </c>
      <c r="M128" s="13">
        <f>入學要求!Z129</f>
        <v>0</v>
      </c>
    </row>
    <row r="129" spans="1:13">
      <c r="A129" s="13" t="str">
        <f>'Reference Score Calculation'!B121</f>
        <v>JS3237</v>
      </c>
      <c r="B129" s="13" t="str">
        <f>'Reference Score Calculation'!C121</f>
        <v>PolyU</v>
      </c>
      <c r="C129" s="13" t="str">
        <f>'Reference Score Calculation'!E121</f>
        <v>智能供應鏈及工程管理(榮譽)理學士組合課程 (智能供應鏈 / 工程管理兼數據分析)</v>
      </c>
      <c r="D129" s="13" t="str">
        <f>'Reference Score Calculation'!S121</f>
        <v>INTELLI S C &amp; ENGG MGT</v>
      </c>
      <c r="E129" s="13" t="str">
        <f>'Reference Score Calculation'!F121</f>
        <v>Best 5</v>
      </c>
      <c r="F129" s="20" t="str">
        <f>'Reference Score Calculation'!H121</f>
        <v>/</v>
      </c>
      <c r="G129" s="20">
        <f>'Reference Score Calculation'!I121</f>
        <v>146</v>
      </c>
      <c r="H129" s="20">
        <f>'Reference Score Calculation'!J121</f>
        <v>143</v>
      </c>
      <c r="I129" s="20">
        <f>計分版!J144</f>
        <v>8.2000000000000006E-9</v>
      </c>
      <c r="J129" s="13">
        <f>'Reference Score Calculation'!U121</f>
        <v>43</v>
      </c>
      <c r="K129" s="28" t="str">
        <f>'Reference Score Calculation'!V121</f>
        <v>/</v>
      </c>
      <c r="L129" s="110" t="str">
        <f>'Reference Score Calculation'!Y121</f>
        <v>新科目</v>
      </c>
      <c r="M129" s="13">
        <f>入學要求!Z130</f>
        <v>0</v>
      </c>
    </row>
    <row r="130" spans="1:13">
      <c r="A130" s="13" t="str">
        <f>'Reference Score Calculation'!B122</f>
        <v>JS3240</v>
      </c>
      <c r="B130" s="13" t="str">
        <f>'Reference Score Calculation'!C122</f>
        <v>PolyU</v>
      </c>
      <c r="C130" s="13" t="str">
        <f>'Reference Score Calculation'!E122</f>
        <v>英文及應用語言學(榮譽)文學士</v>
      </c>
      <c r="D130" s="13" t="str">
        <f>'Reference Score Calculation'!S122</f>
        <v>ENGL &amp; APP LINGUISTICS</v>
      </c>
      <c r="E130" s="13" t="str">
        <f>'Reference Score Calculation'!F122</f>
        <v>中英Best3</v>
      </c>
      <c r="F130" s="20" t="str">
        <f>'Reference Score Calculation'!H122</f>
        <v>/</v>
      </c>
      <c r="G130" s="20">
        <f>'Reference Score Calculation'!I122</f>
        <v>169.5</v>
      </c>
      <c r="H130" s="20">
        <f>'Reference Score Calculation'!J122</f>
        <v>163</v>
      </c>
      <c r="I130" s="20">
        <f>計分版!J145</f>
        <v>7.6000000000000002E-9</v>
      </c>
      <c r="J130" s="13">
        <f>'Reference Score Calculation'!U122</f>
        <v>32</v>
      </c>
      <c r="K130" s="28">
        <f>'Reference Score Calculation'!V122</f>
        <v>28</v>
      </c>
      <c r="L130" s="110">
        <f>'Reference Score Calculation'!Y122</f>
        <v>5.1739130434782608</v>
      </c>
      <c r="M130" s="13">
        <f>入學要求!Z131</f>
        <v>0</v>
      </c>
    </row>
    <row r="131" spans="1:13">
      <c r="A131" s="13" t="str">
        <f>'Reference Score Calculation'!B123</f>
        <v>JS3241</v>
      </c>
      <c r="B131" s="13" t="str">
        <f>'Reference Score Calculation'!C123</f>
        <v>PolyU</v>
      </c>
      <c r="C131" s="13" t="str">
        <f>'Reference Score Calculation'!E123</f>
        <v>翻譯學、語言科學與語言數據分析(榮譽)文學士/理學士組合課程 (語言學及翻譯學 / 語言科學與語言數據分析)</v>
      </c>
      <c r="D131" s="13" t="str">
        <f>'Reference Score Calculation'!S123</f>
        <v>TRANSLAT, LANG SCI &amp; ANA</v>
      </c>
      <c r="E131" s="13" t="str">
        <f>'Reference Score Calculation'!F123</f>
        <v>Best 5</v>
      </c>
      <c r="F131" s="20" t="str">
        <f>'Reference Score Calculation'!H123</f>
        <v>/</v>
      </c>
      <c r="G131" s="20">
        <f>'Reference Score Calculation'!I123</f>
        <v>242</v>
      </c>
      <c r="H131" s="20">
        <f>'Reference Score Calculation'!J123</f>
        <v>231.5</v>
      </c>
      <c r="I131" s="20">
        <f>計分版!J146</f>
        <v>9.5000000000000007E-9</v>
      </c>
      <c r="J131" s="13">
        <f>'Reference Score Calculation'!U123</f>
        <v>15</v>
      </c>
      <c r="K131" s="28" t="str">
        <f>'Reference Score Calculation'!V123</f>
        <v>/</v>
      </c>
      <c r="L131" s="110" t="str">
        <f>'Reference Score Calculation'!Y123</f>
        <v>新科目</v>
      </c>
      <c r="M131" s="13">
        <f>入學要求!Z132</f>
        <v>0</v>
      </c>
    </row>
    <row r="132" spans="1:13">
      <c r="A132" s="13" t="str">
        <f>'Reference Score Calculation'!B124</f>
        <v>JS3242</v>
      </c>
      <c r="B132" s="13" t="str">
        <f>'Reference Score Calculation'!C124</f>
        <v>PolyU</v>
      </c>
      <c r="C132" s="13" t="str">
        <f>'Reference Score Calculation'!E124</f>
        <v>言語治療(榮譽)理學士</v>
      </c>
      <c r="D132" s="13" t="str">
        <f>'Reference Score Calculation'!S124</f>
        <v>SPEECH THERAPY</v>
      </c>
      <c r="E132" s="13" t="str">
        <f>'Reference Score Calculation'!F124</f>
        <v>Best 5</v>
      </c>
      <c r="F132" s="20" t="str">
        <f>'Reference Score Calculation'!H124</f>
        <v>/</v>
      </c>
      <c r="G132" s="20">
        <f>'Reference Score Calculation'!I124</f>
        <v>242</v>
      </c>
      <c r="H132" s="20">
        <f>'Reference Score Calculation'!J124</f>
        <v>231.5</v>
      </c>
      <c r="I132" s="20">
        <f>計分版!J147</f>
        <v>9.5000000000000007E-9</v>
      </c>
      <c r="J132" s="13">
        <f>'Reference Score Calculation'!U124</f>
        <v>30</v>
      </c>
      <c r="K132" s="28" t="str">
        <f>'Reference Score Calculation'!V124</f>
        <v>/</v>
      </c>
      <c r="L132" s="110" t="str">
        <f>'Reference Score Calculation'!Y124</f>
        <v>新科目</v>
      </c>
      <c r="M132" s="13">
        <f>入學要求!Z133</f>
        <v>0</v>
      </c>
    </row>
    <row r="133" spans="1:13">
      <c r="A133" s="13" t="str">
        <f>'Reference Score Calculation'!B125</f>
        <v>JS3250</v>
      </c>
      <c r="B133" s="13" t="str">
        <f>'Reference Score Calculation'!C125</f>
        <v>PolyU</v>
      </c>
      <c r="C133" s="13" t="str">
        <f>'Reference Score Calculation'!E125</f>
        <v>應用社會科學(榮譽)文學士組合課程 (社會工作 / 社會政策及社會創業)</v>
      </c>
      <c r="D133" s="13" t="str">
        <f>'Reference Score Calculation'!S125</f>
        <v>APPLIED SOC SCI</v>
      </c>
      <c r="E133" s="13" t="str">
        <f>'Reference Score Calculation'!F125</f>
        <v>Best 5</v>
      </c>
      <c r="F133" s="20" t="str">
        <f>'Reference Score Calculation'!H125</f>
        <v>/</v>
      </c>
      <c r="G133" s="20">
        <f>'Reference Score Calculation'!I125</f>
        <v>164.5</v>
      </c>
      <c r="H133" s="20">
        <f>'Reference Score Calculation'!J125</f>
        <v>161</v>
      </c>
      <c r="I133" s="20">
        <f>計分版!J148</f>
        <v>7.6999999999999995E-9</v>
      </c>
      <c r="J133" s="13">
        <f>'Reference Score Calculation'!U125</f>
        <v>64</v>
      </c>
      <c r="K133" s="28">
        <f>'Reference Score Calculation'!V125</f>
        <v>38</v>
      </c>
      <c r="L133" s="110">
        <f>'Reference Score Calculation'!Y125</f>
        <v>10.526315789473685</v>
      </c>
      <c r="M133" s="13">
        <f>入學要求!Z134</f>
        <v>0</v>
      </c>
    </row>
    <row r="134" spans="1:13">
      <c r="A134" s="13" t="str">
        <f>'Reference Score Calculation'!B126</f>
        <v>JS3255</v>
      </c>
      <c r="B134" s="13" t="str">
        <f>'Reference Score Calculation'!C126</f>
        <v>PolyU</v>
      </c>
      <c r="C134" s="13" t="str">
        <f>'Reference Score Calculation'!E126</f>
        <v>食品科學及營養學(榮譽)理學士組合課程 (食品科技與食物安全 / 人類營養學及健康)</v>
      </c>
      <c r="D134" s="13" t="str">
        <f>'Reference Score Calculation'!S126</f>
        <v>FOOD SCI &amp; NUTRITION</v>
      </c>
      <c r="E134" s="13" t="str">
        <f>'Reference Score Calculation'!F126</f>
        <v>Best 5</v>
      </c>
      <c r="F134" s="20" t="str">
        <f>'Reference Score Calculation'!H126</f>
        <v>/</v>
      </c>
      <c r="G134" s="20">
        <f>'Reference Score Calculation'!I126</f>
        <v>187.5</v>
      </c>
      <c r="H134" s="20">
        <f>'Reference Score Calculation'!J126</f>
        <v>178.5</v>
      </c>
      <c r="I134" s="20">
        <f>計分版!J149</f>
        <v>9.1999999999999997E-9</v>
      </c>
      <c r="J134" s="13">
        <f>'Reference Score Calculation'!U126</f>
        <v>59</v>
      </c>
      <c r="K134" s="28" t="str">
        <f>'Reference Score Calculation'!V126</f>
        <v>/</v>
      </c>
      <c r="L134" s="110" t="str">
        <f>'Reference Score Calculation'!Y126</f>
        <v>新科目</v>
      </c>
      <c r="M134" s="13">
        <f>入學要求!Z135</f>
        <v>0</v>
      </c>
    </row>
    <row r="135" spans="1:13">
      <c r="A135" s="13" t="str">
        <f>'Reference Score Calculation'!B127</f>
        <v>JS3290</v>
      </c>
      <c r="B135" s="13" t="str">
        <f>'Reference Score Calculation'!C127</f>
        <v>PolyU</v>
      </c>
      <c r="C135" s="13" t="str">
        <f>'Reference Score Calculation'!E127</f>
        <v>眼科視光學(榮譽)理學士</v>
      </c>
      <c r="D135" s="13" t="str">
        <f>'Reference Score Calculation'!S127</f>
        <v>OPTOMETRY</v>
      </c>
      <c r="E135" s="13" t="str">
        <f>'Reference Score Calculation'!F127</f>
        <v>Best 5</v>
      </c>
      <c r="F135" s="20" t="str">
        <f>'Reference Score Calculation'!H127</f>
        <v>/</v>
      </c>
      <c r="G135" s="20">
        <f>'Reference Score Calculation'!I127</f>
        <v>275</v>
      </c>
      <c r="H135" s="20">
        <f>'Reference Score Calculation'!J127</f>
        <v>275</v>
      </c>
      <c r="I135" s="20">
        <f>計分版!J150</f>
        <v>1.07E-8</v>
      </c>
      <c r="J135" s="13">
        <f>'Reference Score Calculation'!U127</f>
        <v>60</v>
      </c>
      <c r="K135" s="28">
        <f>'Reference Score Calculation'!V127</f>
        <v>55</v>
      </c>
      <c r="L135" s="110">
        <f>'Reference Score Calculation'!Y127</f>
        <v>3.7547169811320753</v>
      </c>
      <c r="M135" s="13">
        <f>入學要求!Z136</f>
        <v>0</v>
      </c>
    </row>
    <row r="136" spans="1:13">
      <c r="A136" s="13" t="str">
        <f>'Reference Score Calculation'!B128</f>
        <v>JS3310</v>
      </c>
      <c r="B136" s="13" t="str">
        <f>'Reference Score Calculation'!C128</f>
        <v>PolyU</v>
      </c>
      <c r="C136" s="13" t="str">
        <f>'Reference Score Calculation'!E128</f>
        <v>酒店及旅遊管理(榮譽)理學士組合課程 (酒店管理 / 智慧旅遊及酒店產業 / 會展及體驗管理)</v>
      </c>
      <c r="D136" s="13" t="str">
        <f>'Reference Score Calculation'!S128</f>
        <v>HOTEL &amp; TOURISM MGT</v>
      </c>
      <c r="E136" s="13" t="str">
        <f>'Reference Score Calculation'!F128</f>
        <v>Best 5</v>
      </c>
      <c r="F136" s="20" t="str">
        <f>'Reference Score Calculation'!H128</f>
        <v>/</v>
      </c>
      <c r="G136" s="20">
        <f>'Reference Score Calculation'!I128</f>
        <v>156</v>
      </c>
      <c r="H136" s="20">
        <f>'Reference Score Calculation'!J128</f>
        <v>155.5</v>
      </c>
      <c r="I136" s="20">
        <f>計分版!J151</f>
        <v>8.2999999999999999E-9</v>
      </c>
      <c r="J136" s="13">
        <f>'Reference Score Calculation'!U128</f>
        <v>74</v>
      </c>
      <c r="K136" s="28">
        <f>'Reference Score Calculation'!V128</f>
        <v>75</v>
      </c>
      <c r="L136" s="110">
        <f>'Reference Score Calculation'!Y128</f>
        <v>14.48</v>
      </c>
      <c r="M136" s="13">
        <f>入學要求!Z137</f>
        <v>0</v>
      </c>
    </row>
    <row r="137" spans="1:13">
      <c r="A137" s="13" t="str">
        <f>'Reference Score Calculation'!B129</f>
        <v>JS3320</v>
      </c>
      <c r="B137" s="13" t="str">
        <f>'Reference Score Calculation'!C129</f>
        <v>PolyU</v>
      </c>
      <c r="C137" s="13" t="str">
        <f>'Reference Score Calculation'!E129</f>
        <v>中國歷史及文化(榮譽)文學士</v>
      </c>
      <c r="D137" s="13" t="str">
        <f>'Reference Score Calculation'!S129</f>
        <v>CHI HISTORY &amp; CULTURE</v>
      </c>
      <c r="E137" s="13" t="str">
        <f>'Reference Score Calculation'!F129</f>
        <v>中英Best3</v>
      </c>
      <c r="F137" s="20" t="str">
        <f>'Reference Score Calculation'!H129</f>
        <v>/</v>
      </c>
      <c r="G137" s="20">
        <f>'Reference Score Calculation'!I129</f>
        <v>193</v>
      </c>
      <c r="H137" s="20">
        <f>'Reference Score Calculation'!J129</f>
        <v>186</v>
      </c>
      <c r="I137" s="20">
        <f>計分版!J152</f>
        <v>7.6000000000000002E-9</v>
      </c>
      <c r="J137" s="13">
        <f>'Reference Score Calculation'!U129</f>
        <v>16</v>
      </c>
      <c r="K137" s="28">
        <f>'Reference Score Calculation'!V129</f>
        <v>23</v>
      </c>
      <c r="L137" s="110">
        <f>'Reference Score Calculation'!Y129</f>
        <v>14.736842105263158</v>
      </c>
      <c r="M137" s="13">
        <f>入學要求!Z138</f>
        <v>0</v>
      </c>
    </row>
    <row r="138" spans="1:13">
      <c r="A138" s="13" t="str">
        <f>'Reference Score Calculation'!B130</f>
        <v>JS3337</v>
      </c>
      <c r="B138" s="13" t="str">
        <f>'Reference Score Calculation'!C130</f>
        <v>PolyU</v>
      </c>
      <c r="C138" s="13" t="str">
        <f>'Reference Score Calculation'!E130</f>
        <v>精神健康護理學(榮譽)理學士</v>
      </c>
      <c r="D138" s="13" t="str">
        <f>'Reference Score Calculation'!S130</f>
        <v>MENTAL HEALTH NURSING</v>
      </c>
      <c r="E138" s="13" t="str">
        <f>'Reference Score Calculation'!F130</f>
        <v>Best 5</v>
      </c>
      <c r="F138" s="20" t="str">
        <f>'Reference Score Calculation'!H130</f>
        <v>/</v>
      </c>
      <c r="G138" s="20">
        <f>'Reference Score Calculation'!I130</f>
        <v>203.5</v>
      </c>
      <c r="H138" s="20">
        <f>'Reference Score Calculation'!J130</f>
        <v>203</v>
      </c>
      <c r="I138" s="20">
        <f>計分版!J153</f>
        <v>9.5000000000000007E-9</v>
      </c>
      <c r="J138" s="13">
        <f>'Reference Score Calculation'!U130</f>
        <v>70</v>
      </c>
      <c r="K138" s="28">
        <f>'Reference Score Calculation'!V130</f>
        <v>58</v>
      </c>
      <c r="L138" s="110">
        <f>'Reference Score Calculation'!Y130</f>
        <v>8.3103448275862064</v>
      </c>
      <c r="M138" s="13">
        <f>入學要求!Z139</f>
        <v>0</v>
      </c>
    </row>
    <row r="139" spans="1:13">
      <c r="A139" s="13" t="str">
        <f>'Reference Score Calculation'!B131</f>
        <v>JS3375</v>
      </c>
      <c r="B139" s="13" t="str">
        <f>'Reference Score Calculation'!C131</f>
        <v>PolyU</v>
      </c>
      <c r="C139" s="13" t="str">
        <f>'Reference Score Calculation'!E131</f>
        <v>環境工程及可持續發展學(榮譽)工學士</v>
      </c>
      <c r="D139" s="13" t="str">
        <f>'Reference Score Calculation'!S131</f>
        <v>ENVIR ENGG &amp; SUS DEVELOP</v>
      </c>
      <c r="E139" s="13" t="str">
        <f>'Reference Score Calculation'!F131</f>
        <v>Best 5</v>
      </c>
      <c r="F139" s="20" t="str">
        <f>'Reference Score Calculation'!H131</f>
        <v>/</v>
      </c>
      <c r="G139" s="20">
        <f>'Reference Score Calculation'!I131</f>
        <v>220</v>
      </c>
      <c r="H139" s="20">
        <f>'Reference Score Calculation'!J131</f>
        <v>215</v>
      </c>
      <c r="I139" s="20">
        <f>計分版!J154</f>
        <v>1.1000000000000001E-8</v>
      </c>
      <c r="J139" s="13">
        <f>'Reference Score Calculation'!U131</f>
        <v>20</v>
      </c>
      <c r="K139" s="28" t="str">
        <f>'Reference Score Calculation'!V131</f>
        <v>/</v>
      </c>
      <c r="L139" s="110" t="str">
        <f>'Reference Score Calculation'!Y131</f>
        <v>新科目</v>
      </c>
      <c r="M139" s="13">
        <f>入學要求!Z140</f>
        <v>0</v>
      </c>
    </row>
    <row r="140" spans="1:13">
      <c r="A140" s="13" t="str">
        <f>'Reference Score Calculation'!B132</f>
        <v>JS3478</v>
      </c>
      <c r="B140" s="13" t="str">
        <f>'Reference Score Calculation'!C132</f>
        <v>PolyU</v>
      </c>
      <c r="C140" s="13" t="str">
        <f>'Reference Score Calculation'!E132</f>
        <v>醫療化驗科學(榮譽)理學士</v>
      </c>
      <c r="D140" s="13" t="str">
        <f>'Reference Score Calculation'!S132</f>
        <v>MED LAB SCI</v>
      </c>
      <c r="E140" s="13" t="str">
        <f>'Reference Score Calculation'!F132</f>
        <v>Best 5</v>
      </c>
      <c r="F140" s="20" t="str">
        <f>'Reference Score Calculation'!H132</f>
        <v>/</v>
      </c>
      <c r="G140" s="20">
        <f>'Reference Score Calculation'!I132</f>
        <v>299</v>
      </c>
      <c r="H140" s="20">
        <f>'Reference Score Calculation'!J132</f>
        <v>290</v>
      </c>
      <c r="I140" s="20">
        <f>計分版!J155</f>
        <v>1.1000000000000001E-8</v>
      </c>
      <c r="J140" s="13">
        <f>'Reference Score Calculation'!U132</f>
        <v>60</v>
      </c>
      <c r="K140" s="28">
        <f>'Reference Score Calculation'!V132</f>
        <v>56</v>
      </c>
      <c r="L140" s="110">
        <f>'Reference Score Calculation'!Y132</f>
        <v>5.7962962962962967</v>
      </c>
      <c r="M140" s="13">
        <f>入學要求!Z141</f>
        <v>0</v>
      </c>
    </row>
    <row r="141" spans="1:13">
      <c r="A141" s="13" t="str">
        <f>'Reference Score Calculation'!B133</f>
        <v>JS3569</v>
      </c>
      <c r="B141" s="13" t="str">
        <f>'Reference Score Calculation'!C133</f>
        <v>PolyU</v>
      </c>
      <c r="C141" s="13" t="str">
        <f>'Reference Score Calculation'!E133</f>
        <v>設計學(榮譽)文學士組合課程 (廣告設計/環境設計/信息設計/交互設計/室内設計/媒體設計/產品設計/服務創新設計/社會創新設計)</v>
      </c>
      <c r="D141" s="13" t="str">
        <f>'Reference Score Calculation'!S133</f>
        <v>DESIGN</v>
      </c>
      <c r="E141" s="13" t="str">
        <f>'Reference Score Calculation'!F133</f>
        <v>Best 5</v>
      </c>
      <c r="F141" s="20" t="str">
        <f>'Reference Score Calculation'!H133</f>
        <v>/</v>
      </c>
      <c r="G141" s="20">
        <f>'Reference Score Calculation'!I133</f>
        <v>176</v>
      </c>
      <c r="H141" s="20">
        <f>'Reference Score Calculation'!J133</f>
        <v>202.5</v>
      </c>
      <c r="I141" s="20">
        <f>計分版!J156</f>
        <v>8.5E-9</v>
      </c>
      <c r="J141" s="13">
        <f>'Reference Score Calculation'!U133</f>
        <v>83</v>
      </c>
      <c r="K141" s="28">
        <f>'Reference Score Calculation'!V133</f>
        <v>80</v>
      </c>
      <c r="L141" s="110">
        <f>'Reference Score Calculation'!Y133</f>
        <v>10.275</v>
      </c>
      <c r="M141" s="13">
        <f>入學要求!Z142</f>
        <v>0</v>
      </c>
    </row>
    <row r="142" spans="1:13">
      <c r="A142" s="13" t="str">
        <f>'Reference Score Calculation'!B134</f>
        <v>JS3612</v>
      </c>
      <c r="B142" s="13" t="str">
        <f>'Reference Score Calculation'!C134</f>
        <v>PolyU</v>
      </c>
      <c r="C142" s="13" t="str">
        <f>'Reference Score Calculation'!E134</f>
        <v>放射學(榮譽)理學士</v>
      </c>
      <c r="D142" s="13" t="str">
        <f>'Reference Score Calculation'!S134</f>
        <v>RADIOGRAPHY</v>
      </c>
      <c r="E142" s="13" t="str">
        <f>'Reference Score Calculation'!F134</f>
        <v>Best 5</v>
      </c>
      <c r="F142" s="20" t="str">
        <f>'Reference Score Calculation'!H134</f>
        <v>/</v>
      </c>
      <c r="G142" s="20">
        <f>'Reference Score Calculation'!I134</f>
        <v>320</v>
      </c>
      <c r="H142" s="20">
        <f>'Reference Score Calculation'!J134</f>
        <v>318.5</v>
      </c>
      <c r="I142" s="20">
        <f>計分版!J157</f>
        <v>9.5000000000000007E-9</v>
      </c>
      <c r="J142" s="13">
        <f>'Reference Score Calculation'!U134</f>
        <v>115</v>
      </c>
      <c r="K142" s="28">
        <f>'Reference Score Calculation'!V134</f>
        <v>108</v>
      </c>
      <c r="L142" s="110">
        <f>'Reference Score Calculation'!Y134</f>
        <v>4.1028037383177569</v>
      </c>
      <c r="M142" s="13">
        <f>入學要求!Z143</f>
        <v>0</v>
      </c>
    </row>
    <row r="143" spans="1:13">
      <c r="A143" s="13" t="str">
        <f>'Reference Score Calculation'!B135</f>
        <v>JS3624</v>
      </c>
      <c r="B143" s="13" t="str">
        <f>'Reference Score Calculation'!C135</f>
        <v>PolyU</v>
      </c>
      <c r="C143" s="13" t="str">
        <f>'Reference Score Calculation'!E135</f>
        <v>職業治療學(榮譽)理學士</v>
      </c>
      <c r="D143" s="13" t="str">
        <f>'Reference Score Calculation'!S135</f>
        <v>OCCUPATIONAL THERAPY</v>
      </c>
      <c r="E143" s="13" t="str">
        <f>'Reference Score Calculation'!F135</f>
        <v>Best 5</v>
      </c>
      <c r="F143" s="20" t="str">
        <f>'Reference Score Calculation'!H135</f>
        <v>/</v>
      </c>
      <c r="G143" s="20">
        <f>'Reference Score Calculation'!I135</f>
        <v>293</v>
      </c>
      <c r="H143" s="20">
        <f>'Reference Score Calculation'!J135</f>
        <v>273.5</v>
      </c>
      <c r="I143" s="20">
        <f>計分版!J158</f>
        <v>8.6000000000000009E-9</v>
      </c>
      <c r="J143" s="13">
        <f>'Reference Score Calculation'!U135</f>
        <v>100</v>
      </c>
      <c r="K143" s="28">
        <f>'Reference Score Calculation'!V135</f>
        <v>78</v>
      </c>
      <c r="L143" s="110">
        <f>'Reference Score Calculation'!Y135</f>
        <v>4.3974358974358978</v>
      </c>
      <c r="M143" s="13">
        <f>入學要求!Z144</f>
        <v>0</v>
      </c>
    </row>
    <row r="144" spans="1:13">
      <c r="A144" s="13" t="str">
        <f>'Reference Score Calculation'!B136</f>
        <v>JS3636</v>
      </c>
      <c r="B144" s="13" t="str">
        <f>'Reference Score Calculation'!C136</f>
        <v>PolyU</v>
      </c>
      <c r="C144" s="13" t="str">
        <f>'Reference Score Calculation'!E136</f>
        <v>物理治療學(榮譽)理學士</v>
      </c>
      <c r="D144" s="13" t="str">
        <f>'Reference Score Calculation'!S136</f>
        <v>PHYSIOTHERAPY</v>
      </c>
      <c r="E144" s="13" t="str">
        <f>'Reference Score Calculation'!F136</f>
        <v>Best 5</v>
      </c>
      <c r="F144" s="20" t="str">
        <f>'Reference Score Calculation'!H136</f>
        <v>/</v>
      </c>
      <c r="G144" s="20">
        <f>'Reference Score Calculation'!I136</f>
        <v>293</v>
      </c>
      <c r="H144" s="20">
        <f>'Reference Score Calculation'!J136</f>
        <v>284</v>
      </c>
      <c r="I144" s="20">
        <f>計分版!J159</f>
        <v>7.6000000000000002E-9</v>
      </c>
      <c r="J144" s="13">
        <f>'Reference Score Calculation'!U136</f>
        <v>150</v>
      </c>
      <c r="K144" s="28">
        <f>'Reference Score Calculation'!V136</f>
        <v>128</v>
      </c>
      <c r="L144" s="110">
        <f>'Reference Score Calculation'!Y136</f>
        <v>3.2983870967741935</v>
      </c>
      <c r="M144" s="13">
        <f>入學要求!Z145</f>
        <v>0</v>
      </c>
    </row>
    <row r="145" spans="1:13">
      <c r="A145" s="13" t="str">
        <f>'Reference Score Calculation'!B137</f>
        <v>JS3648</v>
      </c>
      <c r="B145" s="13" t="str">
        <f>'Reference Score Calculation'!C137</f>
        <v>PolyU</v>
      </c>
      <c r="C145" s="13" t="str">
        <f>'Reference Score Calculation'!E137</f>
        <v>護理學(榮譽)理學士</v>
      </c>
      <c r="D145" s="13" t="str">
        <f>'Reference Score Calculation'!S137</f>
        <v>NURSING</v>
      </c>
      <c r="E145" s="13" t="str">
        <f>'Reference Score Calculation'!F137</f>
        <v>Best 5</v>
      </c>
      <c r="F145" s="20" t="str">
        <f>'Reference Score Calculation'!H137</f>
        <v>/</v>
      </c>
      <c r="G145" s="20">
        <f>'Reference Score Calculation'!I137</f>
        <v>213.5</v>
      </c>
      <c r="H145" s="20">
        <f>'Reference Score Calculation'!J137</f>
        <v>208</v>
      </c>
      <c r="I145" s="20">
        <f>計分版!J160</f>
        <v>9.5000000000000007E-9</v>
      </c>
      <c r="J145" s="13">
        <f>'Reference Score Calculation'!U137</f>
        <v>193</v>
      </c>
      <c r="K145" s="28">
        <f>'Reference Score Calculation'!V137</f>
        <v>176</v>
      </c>
      <c r="L145" s="110">
        <f>'Reference Score Calculation'!Y137</f>
        <v>5.8888888888888893</v>
      </c>
      <c r="M145" s="13">
        <f>入學要求!Z146</f>
        <v>0</v>
      </c>
    </row>
    <row r="146" spans="1:13">
      <c r="A146" s="13" t="str">
        <f>'Reference Score Calculation'!B138</f>
        <v>JS3739</v>
      </c>
      <c r="B146" s="13" t="str">
        <f>'Reference Score Calculation'!C138</f>
        <v>PolyU</v>
      </c>
      <c r="C146" s="13" t="str">
        <f>'Reference Score Calculation'!E138</f>
        <v>土木工程學(榮譽)工學士</v>
      </c>
      <c r="D146" s="13" t="str">
        <f>'Reference Score Calculation'!S138</f>
        <v>CIVIL ENGG</v>
      </c>
      <c r="E146" s="13" t="str">
        <f>'Reference Score Calculation'!F138</f>
        <v>Best 5</v>
      </c>
      <c r="F146" s="20" t="str">
        <f>'Reference Score Calculation'!H138</f>
        <v>/</v>
      </c>
      <c r="G146" s="20">
        <f>'Reference Score Calculation'!I138</f>
        <v>220</v>
      </c>
      <c r="H146" s="20">
        <f>'Reference Score Calculation'!J138</f>
        <v>215</v>
      </c>
      <c r="I146" s="20">
        <f>計分版!J161</f>
        <v>1.1000000000000001E-8</v>
      </c>
      <c r="J146" s="13">
        <f>'Reference Score Calculation'!U138</f>
        <v>87</v>
      </c>
      <c r="K146" s="28" t="str">
        <f>'Reference Score Calculation'!V138</f>
        <v>/</v>
      </c>
      <c r="L146" s="110" t="str">
        <f>'Reference Score Calculation'!Y138</f>
        <v>新科目</v>
      </c>
      <c r="M146" s="13">
        <f>入學要求!Z147</f>
        <v>0</v>
      </c>
    </row>
    <row r="147" spans="1:13">
      <c r="A147" s="13" t="str">
        <f>'Reference Score Calculation'!B139</f>
        <v>JS3741</v>
      </c>
      <c r="B147" s="13" t="str">
        <f>'Reference Score Calculation'!C139</f>
        <v>PolyU</v>
      </c>
      <c r="C147" s="13" t="str">
        <f>'Reference Score Calculation'!E139</f>
        <v>機械工程學(榮譽)工學士組合課程 (智能機械人工程學 / 機械工程學)</v>
      </c>
      <c r="D147" s="13" t="str">
        <f>'Reference Score Calculation'!S139</f>
        <v>MECHANICAL ENGG</v>
      </c>
      <c r="E147" s="13" t="str">
        <f>'Reference Score Calculation'!F139</f>
        <v>Best 5</v>
      </c>
      <c r="F147" s="20" t="str">
        <f>'Reference Score Calculation'!H139</f>
        <v>/</v>
      </c>
      <c r="G147" s="20">
        <f>'Reference Score Calculation'!I139</f>
        <v>191</v>
      </c>
      <c r="H147" s="20">
        <f>'Reference Score Calculation'!J139</f>
        <v>186</v>
      </c>
      <c r="I147" s="20">
        <f>計分版!J162</f>
        <v>1.07E-8</v>
      </c>
      <c r="J147" s="13">
        <f>'Reference Score Calculation'!U139</f>
        <v>51</v>
      </c>
      <c r="K147" s="28">
        <f>'Reference Score Calculation'!V139</f>
        <v>41</v>
      </c>
      <c r="L147" s="110">
        <f>'Reference Score Calculation'!Y139</f>
        <v>10.735294117647058</v>
      </c>
      <c r="M147" s="13">
        <f>入學要求!Z148</f>
        <v>0</v>
      </c>
    </row>
    <row r="148" spans="1:13">
      <c r="A148" s="13" t="str">
        <f>'Reference Score Calculation'!B140</f>
        <v>JS3789</v>
      </c>
      <c r="B148" s="13" t="str">
        <f>'Reference Score Calculation'!C140</f>
        <v>PolyU</v>
      </c>
      <c r="C148" s="13" t="str">
        <f>'Reference Score Calculation'!E140</f>
        <v>地產及建設測量學(榮譽)理學士</v>
      </c>
      <c r="D148" s="13" t="str">
        <f>'Reference Score Calculation'!S140</f>
        <v>SURVEYING</v>
      </c>
      <c r="E148" s="13" t="str">
        <f>'Reference Score Calculation'!F140</f>
        <v>Best 5</v>
      </c>
      <c r="F148" s="20" t="str">
        <f>'Reference Score Calculation'!H140</f>
        <v>/</v>
      </c>
      <c r="G148" s="20">
        <f>'Reference Score Calculation'!I140</f>
        <v>163</v>
      </c>
      <c r="H148" s="20">
        <f>'Reference Score Calculation'!J140</f>
        <v>152.5</v>
      </c>
      <c r="I148" s="20">
        <f>計分版!J163</f>
        <v>8.2999999999999999E-9</v>
      </c>
      <c r="J148" s="13">
        <f>'Reference Score Calculation'!U140</f>
        <v>65</v>
      </c>
      <c r="K148" s="28" t="str">
        <f>'Reference Score Calculation'!V140</f>
        <v>/</v>
      </c>
      <c r="L148" s="110" t="str">
        <f>'Reference Score Calculation'!Y140</f>
        <v>新科目</v>
      </c>
      <c r="M148" s="13">
        <f>入學要求!Z149</f>
        <v>0</v>
      </c>
    </row>
    <row r="149" spans="1:13">
      <c r="A149" s="13" t="str">
        <f>'Reference Score Calculation'!B141</f>
        <v>JS3791</v>
      </c>
      <c r="B149" s="13" t="str">
        <f>'Reference Score Calculation'!C141</f>
        <v>PolyU</v>
      </c>
      <c r="C149" s="13" t="str">
        <f>'Reference Score Calculation'!E141</f>
        <v>建築工程及管理學(榮譽)理學士</v>
      </c>
      <c r="D149" s="13" t="str">
        <f>'Reference Score Calculation'!S141</f>
        <v>BLDG ENGG &amp; MGT</v>
      </c>
      <c r="E149" s="13" t="str">
        <f>'Reference Score Calculation'!F141</f>
        <v>Best 5</v>
      </c>
      <c r="F149" s="20" t="str">
        <f>'Reference Score Calculation'!H141</f>
        <v>/</v>
      </c>
      <c r="G149" s="20">
        <f>'Reference Score Calculation'!I141</f>
        <v>163</v>
      </c>
      <c r="H149" s="20">
        <f>'Reference Score Calculation'!J141</f>
        <v>152.5</v>
      </c>
      <c r="I149" s="20">
        <f>計分版!J164</f>
        <v>8.2999999999999999E-9</v>
      </c>
      <c r="J149" s="13">
        <f>'Reference Score Calculation'!U141</f>
        <v>22</v>
      </c>
      <c r="K149" s="28" t="str">
        <f>'Reference Score Calculation'!V141</f>
        <v>/</v>
      </c>
      <c r="L149" s="110" t="str">
        <f>'Reference Score Calculation'!Y141</f>
        <v>新科目</v>
      </c>
      <c r="M149" s="13">
        <f>入學要求!Z150</f>
        <v>0</v>
      </c>
    </row>
    <row r="150" spans="1:13">
      <c r="A150" s="13" t="str">
        <f>'Reference Score Calculation'!B142</f>
        <v>JS3868</v>
      </c>
      <c r="B150" s="13" t="str">
        <f>'Reference Score Calculation'!C142</f>
        <v>PolyU</v>
      </c>
      <c r="C150" s="13" t="str">
        <f>'Reference Score Calculation'!E142</f>
        <v>電子計算及人工智能(榮譽)理學士組合課程 (計算機科學 / 企業信息管理)</v>
      </c>
      <c r="D150" s="13" t="str">
        <f>'Reference Score Calculation'!S142</f>
        <v>COMPUTING &amp; AI</v>
      </c>
      <c r="E150" s="13" t="str">
        <f>'Reference Score Calculation'!F142</f>
        <v>Best 5</v>
      </c>
      <c r="F150" s="20" t="str">
        <f>'Reference Score Calculation'!H142</f>
        <v>/</v>
      </c>
      <c r="G150" s="20">
        <f>'Reference Score Calculation'!I142</f>
        <v>193</v>
      </c>
      <c r="H150" s="20">
        <f>'Reference Score Calculation'!J142</f>
        <v>191</v>
      </c>
      <c r="I150" s="20">
        <f>計分版!J165</f>
        <v>1.07E-8</v>
      </c>
      <c r="J150" s="13">
        <f>'Reference Score Calculation'!U142</f>
        <v>74</v>
      </c>
      <c r="K150" s="28">
        <f>'Reference Score Calculation'!V142</f>
        <v>90</v>
      </c>
      <c r="L150" s="110">
        <f>'Reference Score Calculation'!Y142</f>
        <v>7.8375000000000004</v>
      </c>
      <c r="M150" s="13">
        <f>入學要求!Z151</f>
        <v>0</v>
      </c>
    </row>
    <row r="151" spans="1:13">
      <c r="D151" s="13"/>
      <c r="K151" s="28"/>
    </row>
    <row r="152" spans="1:13">
      <c r="D152" s="13"/>
      <c r="K152" s="28"/>
    </row>
    <row r="153" spans="1:13">
      <c r="A153" s="13" t="str">
        <f>'Reference Score Calculation'!B145</f>
        <v>JS4006</v>
      </c>
      <c r="B153" s="13" t="str">
        <f>'Reference Score Calculation'!C145</f>
        <v>CUHK</v>
      </c>
      <c r="C153" s="13" t="str">
        <f>'Reference Score Calculation'!E145</f>
        <v>人類學</v>
      </c>
      <c r="D153" s="13" t="str">
        <f>'Reference Score Calculation'!S145</f>
        <v>ANTHROPOLOGY</v>
      </c>
      <c r="E153" s="13" t="str">
        <f>'Reference Score Calculation'!F145</f>
        <v>Best 5</v>
      </c>
      <c r="F153" s="20">
        <f>'Reference Score Calculation'!H145</f>
        <v>24.5</v>
      </c>
      <c r="G153" s="20">
        <f>'Reference Score Calculation'!I145</f>
        <v>23</v>
      </c>
      <c r="H153" s="20">
        <f>'Reference Score Calculation'!J145</f>
        <v>23</v>
      </c>
      <c r="I153" s="20">
        <f>計分版!J168</f>
        <v>3.4999999999999999E-9</v>
      </c>
      <c r="J153" s="13">
        <f>'Reference Score Calculation'!U145</f>
        <v>18</v>
      </c>
      <c r="K153" s="28">
        <f>'Reference Score Calculation'!V145</f>
        <v>22</v>
      </c>
      <c r="L153" s="110">
        <f>'Reference Score Calculation'!Y145</f>
        <v>5.9090909090909092</v>
      </c>
      <c r="M153" s="13">
        <f>入學要求!Z154</f>
        <v>0</v>
      </c>
    </row>
    <row r="154" spans="1:13">
      <c r="A154" s="13" t="str">
        <f>'Reference Score Calculation'!B146</f>
        <v>JS4018</v>
      </c>
      <c r="B154" s="13" t="str">
        <f>'Reference Score Calculation'!C146</f>
        <v>CUHK</v>
      </c>
      <c r="C154" s="13" t="str">
        <f>'Reference Score Calculation'!E146</f>
        <v>中國語言及文學</v>
      </c>
      <c r="D154" s="13" t="str">
        <f>'Reference Score Calculation'!S146</f>
        <v>CHI LANG &amp; LIT</v>
      </c>
      <c r="E154" s="13" t="str">
        <f>'Reference Score Calculation'!F146</f>
        <v>Best 5</v>
      </c>
      <c r="F154" s="20">
        <f>'Reference Score Calculation'!H146</f>
        <v>30.7</v>
      </c>
      <c r="G154" s="20">
        <f>'Reference Score Calculation'!I146</f>
        <v>29.2</v>
      </c>
      <c r="H154" s="20">
        <f>'Reference Score Calculation'!J146</f>
        <v>28.2</v>
      </c>
      <c r="I154" s="20">
        <f>計分版!J169</f>
        <v>3.4999999999999999E-9</v>
      </c>
      <c r="J154" s="13">
        <f>'Reference Score Calculation'!U146</f>
        <v>79</v>
      </c>
      <c r="K154" s="28">
        <f>'Reference Score Calculation'!V146</f>
        <v>80</v>
      </c>
      <c r="L154" s="110">
        <f>'Reference Score Calculation'!Y146</f>
        <v>4.4124999999999996</v>
      </c>
      <c r="M154" s="13">
        <f>入學要求!Z155</f>
        <v>0</v>
      </c>
    </row>
    <row r="155" spans="1:13">
      <c r="A155" s="13" t="str">
        <f>'Reference Score Calculation'!B147</f>
        <v>JS4032</v>
      </c>
      <c r="B155" s="13" t="str">
        <f>'Reference Score Calculation'!C147</f>
        <v>CUHK</v>
      </c>
      <c r="C155" s="13" t="str">
        <f>'Reference Score Calculation'!E147</f>
        <v>英文</v>
      </c>
      <c r="D155" s="13" t="str">
        <f>'Reference Score Calculation'!S147</f>
        <v>ENGLISH</v>
      </c>
      <c r="E155" s="13" t="str">
        <f>'Reference Score Calculation'!F147</f>
        <v>Best 5</v>
      </c>
      <c r="F155" s="20">
        <f>'Reference Score Calculation'!H147</f>
        <v>28</v>
      </c>
      <c r="G155" s="20">
        <f>'Reference Score Calculation'!I147</f>
        <v>27</v>
      </c>
      <c r="H155" s="20">
        <f>'Reference Score Calculation'!J147</f>
        <v>26</v>
      </c>
      <c r="I155" s="20">
        <f>計分版!J170</f>
        <v>3.4999999999999999E-9</v>
      </c>
      <c r="J155" s="13">
        <f>'Reference Score Calculation'!U147</f>
        <v>55</v>
      </c>
      <c r="K155" s="28">
        <f>'Reference Score Calculation'!V147</f>
        <v>49</v>
      </c>
      <c r="L155" s="110">
        <f>'Reference Score Calculation'!Y147</f>
        <v>5.2653061224489797</v>
      </c>
      <c r="M155" s="13">
        <f>入學要求!Z156</f>
        <v>0</v>
      </c>
    </row>
    <row r="156" spans="1:13">
      <c r="A156" s="13" t="str">
        <f>'Reference Score Calculation'!B148</f>
        <v>JS4044</v>
      </c>
      <c r="B156" s="13" t="str">
        <f>'Reference Score Calculation'!C148</f>
        <v>CUHK</v>
      </c>
      <c r="C156" s="13" t="str">
        <f>'Reference Score Calculation'!E148</f>
        <v>藝術</v>
      </c>
      <c r="D156" s="13" t="str">
        <f>'Reference Score Calculation'!S148</f>
        <v>FINE ARTS</v>
      </c>
      <c r="E156" s="13" t="str">
        <f>'Reference Score Calculation'!F148</f>
        <v>Best 5</v>
      </c>
      <c r="F156" s="20">
        <f>'Reference Score Calculation'!H148</f>
        <v>26.5</v>
      </c>
      <c r="G156" s="20">
        <f>'Reference Score Calculation'!I148</f>
        <v>25</v>
      </c>
      <c r="H156" s="20">
        <f>'Reference Score Calculation'!J148</f>
        <v>24</v>
      </c>
      <c r="I156" s="20">
        <f>計分版!J171</f>
        <v>3.4999999999999999E-9</v>
      </c>
      <c r="J156" s="13">
        <f>'Reference Score Calculation'!U148</f>
        <v>19</v>
      </c>
      <c r="K156" s="28">
        <f>'Reference Score Calculation'!V148</f>
        <v>19</v>
      </c>
      <c r="L156" s="110">
        <f>'Reference Score Calculation'!Y148</f>
        <v>15.473684210526315</v>
      </c>
      <c r="M156" s="13">
        <f>入學要求!Z157</f>
        <v>0</v>
      </c>
    </row>
    <row r="157" spans="1:13">
      <c r="A157" s="13" t="str">
        <f>'Reference Score Calculation'!B149</f>
        <v>JS4056</v>
      </c>
      <c r="B157" s="13" t="str">
        <f>'Reference Score Calculation'!C149</f>
        <v>CUHK</v>
      </c>
      <c r="C157" s="13" t="str">
        <f>'Reference Score Calculation'!E149</f>
        <v>歷史</v>
      </c>
      <c r="D157" s="13" t="str">
        <f>'Reference Score Calculation'!S149</f>
        <v>HISTORY</v>
      </c>
      <c r="E157" s="13" t="str">
        <f>'Reference Score Calculation'!F149</f>
        <v>Best 5</v>
      </c>
      <c r="F157" s="20">
        <f>'Reference Score Calculation'!H149</f>
        <v>29</v>
      </c>
      <c r="G157" s="20">
        <f>'Reference Score Calculation'!I149</f>
        <v>26</v>
      </c>
      <c r="H157" s="20">
        <f>'Reference Score Calculation'!J149</f>
        <v>25</v>
      </c>
      <c r="I157" s="20">
        <f>計分版!J172</f>
        <v>3.4999999999999999E-9</v>
      </c>
      <c r="J157" s="13">
        <f>'Reference Score Calculation'!U149</f>
        <v>48</v>
      </c>
      <c r="K157" s="28">
        <f>'Reference Score Calculation'!V149</f>
        <v>46</v>
      </c>
      <c r="L157" s="110">
        <f>'Reference Score Calculation'!Y149</f>
        <v>7.0217391304347823</v>
      </c>
      <c r="M157" s="13">
        <f>入學要求!Z158</f>
        <v>0</v>
      </c>
    </row>
    <row r="158" spans="1:13">
      <c r="A158" s="13" t="str">
        <f>'Reference Score Calculation'!B150</f>
        <v>JS4068</v>
      </c>
      <c r="B158" s="13" t="str">
        <f>'Reference Score Calculation'!C150</f>
        <v>CUHK</v>
      </c>
      <c r="C158" s="13" t="str">
        <f>'Reference Score Calculation'!E150</f>
        <v>日本研究</v>
      </c>
      <c r="D158" s="13" t="str">
        <f>'Reference Score Calculation'!S150</f>
        <v>JAPANESE STUDIES</v>
      </c>
      <c r="E158" s="13" t="str">
        <f>'Reference Score Calculation'!F150</f>
        <v>Best 5</v>
      </c>
      <c r="F158" s="20">
        <f>'Reference Score Calculation'!H150</f>
        <v>27.5</v>
      </c>
      <c r="G158" s="20">
        <f>'Reference Score Calculation'!I150</f>
        <v>25</v>
      </c>
      <c r="H158" s="20">
        <f>'Reference Score Calculation'!J150</f>
        <v>23</v>
      </c>
      <c r="I158" s="20">
        <f>計分版!J173</f>
        <v>3.4999999999999999E-9</v>
      </c>
      <c r="J158" s="13">
        <f>'Reference Score Calculation'!U150</f>
        <v>22</v>
      </c>
      <c r="K158" s="28">
        <f>'Reference Score Calculation'!V150</f>
        <v>22</v>
      </c>
      <c r="L158" s="110">
        <f>'Reference Score Calculation'!Y150</f>
        <v>15.045454545454545</v>
      </c>
      <c r="M158" s="13">
        <f>入學要求!Z159</f>
        <v>0</v>
      </c>
    </row>
    <row r="159" spans="1:13">
      <c r="A159" s="13" t="str">
        <f>'Reference Score Calculation'!B151</f>
        <v>JS4070</v>
      </c>
      <c r="B159" s="13" t="str">
        <f>'Reference Score Calculation'!C151</f>
        <v>CUHK</v>
      </c>
      <c r="C159" s="13" t="str">
        <f>'Reference Score Calculation'!E151</f>
        <v>語言學</v>
      </c>
      <c r="D159" s="13" t="str">
        <f>'Reference Score Calculation'!S151</f>
        <v>LINGUISTICS</v>
      </c>
      <c r="E159" s="13" t="str">
        <f>'Reference Score Calculation'!F151</f>
        <v>Best 5</v>
      </c>
      <c r="F159" s="20">
        <f>'Reference Score Calculation'!H151</f>
        <v>24.5</v>
      </c>
      <c r="G159" s="20">
        <f>'Reference Score Calculation'!I151</f>
        <v>23.5</v>
      </c>
      <c r="H159" s="20">
        <f>'Reference Score Calculation'!J151</f>
        <v>23</v>
      </c>
      <c r="I159" s="20">
        <f>計分版!J174</f>
        <v>3.4999999999999999E-9</v>
      </c>
      <c r="J159" s="13">
        <f>'Reference Score Calculation'!U151</f>
        <v>22</v>
      </c>
      <c r="K159" s="28">
        <f>'Reference Score Calculation'!V151</f>
        <v>23</v>
      </c>
      <c r="L159" s="110">
        <f>'Reference Score Calculation'!Y151</f>
        <v>6.8</v>
      </c>
      <c r="M159" s="13">
        <f>入學要求!Z160</f>
        <v>0</v>
      </c>
    </row>
    <row r="160" spans="1:13">
      <c r="A160" s="13" t="str">
        <f>'Reference Score Calculation'!B152</f>
        <v>JS4082</v>
      </c>
      <c r="B160" s="13" t="str">
        <f>'Reference Score Calculation'!C152</f>
        <v>CUHK</v>
      </c>
      <c r="C160" s="13" t="str">
        <f>'Reference Score Calculation'!E152</f>
        <v>音樂</v>
      </c>
      <c r="D160" s="13" t="str">
        <f>'Reference Score Calculation'!S152</f>
        <v>MUSIC</v>
      </c>
      <c r="E160" s="13" t="str">
        <f>'Reference Score Calculation'!F152</f>
        <v>Best 5</v>
      </c>
      <c r="F160" s="20">
        <f>'Reference Score Calculation'!H152</f>
        <v>24.5</v>
      </c>
      <c r="G160" s="20">
        <f>'Reference Score Calculation'!I152</f>
        <v>21.5</v>
      </c>
      <c r="H160" s="20">
        <f>'Reference Score Calculation'!J152</f>
        <v>20.5</v>
      </c>
      <c r="I160" s="20">
        <f>計分版!J175</f>
        <v>3.4999999999999999E-9</v>
      </c>
      <c r="J160" s="13">
        <f>'Reference Score Calculation'!U152</f>
        <v>27</v>
      </c>
      <c r="K160" s="28">
        <f>'Reference Score Calculation'!V152</f>
        <v>26</v>
      </c>
      <c r="L160" s="110">
        <f>'Reference Score Calculation'!Y152</f>
        <v>6.8076923076923075</v>
      </c>
      <c r="M160" s="13">
        <f>入學要求!Z161</f>
        <v>0</v>
      </c>
    </row>
    <row r="161" spans="1:18">
      <c r="A161" s="13" t="str">
        <f>'Reference Score Calculation'!B153</f>
        <v>JS4094</v>
      </c>
      <c r="B161" s="13" t="str">
        <f>'Reference Score Calculation'!C153</f>
        <v>CUHK</v>
      </c>
      <c r="C161" s="13" t="str">
        <f>'Reference Score Calculation'!E153</f>
        <v>哲學</v>
      </c>
      <c r="D161" s="13" t="str">
        <f>'Reference Score Calculation'!S153</f>
        <v>PHILOSOPHY</v>
      </c>
      <c r="E161" s="13" t="str">
        <f>'Reference Score Calculation'!F153</f>
        <v>Best 5</v>
      </c>
      <c r="F161" s="20">
        <f>'Reference Score Calculation'!H153</f>
        <v>26</v>
      </c>
      <c r="G161" s="20">
        <f>'Reference Score Calculation'!I153</f>
        <v>23.5</v>
      </c>
      <c r="H161" s="20">
        <f>'Reference Score Calculation'!J153</f>
        <v>22</v>
      </c>
      <c r="I161" s="20">
        <f>計分版!J176</f>
        <v>2.7000000000000002E-9</v>
      </c>
      <c r="J161" s="13">
        <f>'Reference Score Calculation'!U153</f>
        <v>19</v>
      </c>
      <c r="K161" s="28">
        <f>'Reference Score Calculation'!V153</f>
        <v>21</v>
      </c>
      <c r="L161" s="110">
        <f>'Reference Score Calculation'!Y153</f>
        <v>8.6190476190476186</v>
      </c>
      <c r="M161" s="13">
        <f>入學要求!Z162</f>
        <v>0</v>
      </c>
    </row>
    <row r="162" spans="1:18">
      <c r="A162" s="13" t="str">
        <f>'Reference Score Calculation'!B154</f>
        <v>JS4100</v>
      </c>
      <c r="B162" s="13" t="str">
        <f>'Reference Score Calculation'!C154</f>
        <v>CUHK</v>
      </c>
      <c r="C162" s="13" t="str">
        <f>'Reference Score Calculation'!E154</f>
        <v>公共人文學</v>
      </c>
      <c r="D162" s="13" t="str">
        <f>'Reference Score Calculation'!S154</f>
        <v>PUBLIC HUMANITIES</v>
      </c>
      <c r="E162" s="13" t="str">
        <f>'Reference Score Calculation'!F154</f>
        <v>Best 5</v>
      </c>
      <c r="F162" s="20">
        <f>'Reference Score Calculation'!H154</f>
        <v>24</v>
      </c>
      <c r="G162" s="20">
        <f>'Reference Score Calculation'!I154</f>
        <v>23.5</v>
      </c>
      <c r="H162" s="20">
        <f>'Reference Score Calculation'!J154</f>
        <v>22</v>
      </c>
      <c r="I162" s="20">
        <f>計分版!J177</f>
        <v>3.4999999999999999E-9</v>
      </c>
      <c r="J162" s="13">
        <f>'Reference Score Calculation'!U154</f>
        <v>37</v>
      </c>
      <c r="K162" s="28" t="str">
        <f>'Reference Score Calculation'!V154</f>
        <v>/</v>
      </c>
      <c r="L162" s="110" t="str">
        <f>'Reference Score Calculation'!Y154</f>
        <v>新科目</v>
      </c>
      <c r="M162" s="13">
        <f>入學要求!Z163</f>
        <v>0</v>
      </c>
    </row>
    <row r="163" spans="1:18">
      <c r="A163" s="13" t="str">
        <f>'Reference Score Calculation'!B155</f>
        <v>JS4109</v>
      </c>
      <c r="B163" s="13" t="str">
        <f>'Reference Score Calculation'!C155</f>
        <v>CUHK</v>
      </c>
      <c r="C163" s="13" t="str">
        <f>'Reference Score Calculation'!E155</f>
        <v>宗教研究</v>
      </c>
      <c r="D163" s="13" t="str">
        <f>'Reference Score Calculation'!S155</f>
        <v>RELIGION</v>
      </c>
      <c r="E163" s="13" t="str">
        <f>'Reference Score Calculation'!F155</f>
        <v>Best 5</v>
      </c>
      <c r="F163" s="20">
        <f>'Reference Score Calculation'!H155</f>
        <v>21.5</v>
      </c>
      <c r="G163" s="20">
        <f>'Reference Score Calculation'!I155</f>
        <v>21</v>
      </c>
      <c r="H163" s="20">
        <f>'Reference Score Calculation'!J155</f>
        <v>20.5</v>
      </c>
      <c r="I163" s="20">
        <f>計分版!J178</f>
        <v>3.4999999999999999E-9</v>
      </c>
      <c r="J163" s="13" t="str">
        <f>'Reference Score Calculation'!U155</f>
        <v>18*</v>
      </c>
      <c r="K163" s="28">
        <f>'Reference Score Calculation'!V155</f>
        <v>16</v>
      </c>
      <c r="L163" s="110">
        <f>'Reference Score Calculation'!Y155</f>
        <v>10</v>
      </c>
      <c r="M163" s="13">
        <f>入學要求!Z164</f>
        <v>0</v>
      </c>
    </row>
    <row r="164" spans="1:18">
      <c r="A164" s="13" t="str">
        <f>'Reference Score Calculation'!B156</f>
        <v>JS4111</v>
      </c>
      <c r="B164" s="13" t="str">
        <f>'Reference Score Calculation'!C156</f>
        <v>CUHK</v>
      </c>
      <c r="C164" s="13" t="str">
        <f>'Reference Score Calculation'!E156</f>
        <v>神學</v>
      </c>
      <c r="D164" s="13" t="str">
        <f>'Reference Score Calculation'!S156</f>
        <v>THEOLOGY</v>
      </c>
      <c r="E164" s="13" t="str">
        <f>'Reference Score Calculation'!F156</f>
        <v>Best 5</v>
      </c>
      <c r="F164" s="20" t="str">
        <f>'Reference Score Calculation'!H156</f>
        <v>/</v>
      </c>
      <c r="G164" s="20" t="str">
        <f>'Reference Score Calculation'!I156</f>
        <v>/</v>
      </c>
      <c r="H164" s="20" t="str">
        <f>'Reference Score Calculation'!J156</f>
        <v>/</v>
      </c>
      <c r="I164" s="20" t="str">
        <f>計分版!J179</f>
        <v>/</v>
      </c>
      <c r="J164" s="13" t="str">
        <f>'Reference Score Calculation'!U156</f>
        <v>18*</v>
      </c>
      <c r="K164" s="28">
        <f>'Reference Score Calculation'!V156</f>
        <v>0</v>
      </c>
      <c r="L164" s="110" t="str">
        <f>'Reference Score Calculation'!Y156</f>
        <v>無收生</v>
      </c>
      <c r="M164" s="13">
        <f>入學要求!Z165</f>
        <v>0</v>
      </c>
    </row>
    <row r="165" spans="1:18">
      <c r="A165" s="13" t="str">
        <f>'Reference Score Calculation'!B157</f>
        <v>JS4123</v>
      </c>
      <c r="B165" s="13" t="str">
        <f>'Reference Score Calculation'!C157</f>
        <v>CUHK</v>
      </c>
      <c r="C165" s="13" t="str">
        <f>'Reference Score Calculation'!E157</f>
        <v>翻譯</v>
      </c>
      <c r="D165" s="13" t="str">
        <f>'Reference Score Calculation'!S157</f>
        <v>TRANSLATION</v>
      </c>
      <c r="E165" s="13" t="str">
        <f>'Reference Score Calculation'!F157</f>
        <v>Best 5</v>
      </c>
      <c r="F165" s="20">
        <f>'Reference Score Calculation'!H157</f>
        <v>24.5</v>
      </c>
      <c r="G165" s="20">
        <f>'Reference Score Calculation'!I157</f>
        <v>23</v>
      </c>
      <c r="H165" s="20">
        <f>'Reference Score Calculation'!J157</f>
        <v>23</v>
      </c>
      <c r="I165" s="20">
        <f>計分版!J180</f>
        <v>3.4999999999999999E-9</v>
      </c>
      <c r="J165" s="13">
        <f>'Reference Score Calculation'!U157</f>
        <v>32</v>
      </c>
      <c r="K165" s="28">
        <f>'Reference Score Calculation'!V157</f>
        <v>30</v>
      </c>
      <c r="L165" s="110">
        <f>'Reference Score Calculation'!Y157</f>
        <v>7.3793103448275863</v>
      </c>
      <c r="M165" s="13">
        <f>入學要求!Z166</f>
        <v>0</v>
      </c>
      <c r="R165" s="28"/>
    </row>
    <row r="166" spans="1:18">
      <c r="A166" s="13" t="str">
        <f>'Reference Score Calculation'!B158</f>
        <v>JS4136</v>
      </c>
      <c r="B166" s="13" t="str">
        <f>'Reference Score Calculation'!C158</f>
        <v>CUHK</v>
      </c>
      <c r="C166" s="13" t="str">
        <f>'Reference Score Calculation'!E158</f>
        <v>中國研究</v>
      </c>
      <c r="D166" s="13" t="str">
        <f>'Reference Score Calculation'!S158</f>
        <v>CHINESE STUDIES</v>
      </c>
      <c r="E166" s="13" t="str">
        <f>'Reference Score Calculation'!F158</f>
        <v>Best 5</v>
      </c>
      <c r="F166" s="20">
        <f>'Reference Score Calculation'!H158</f>
        <v>24.5</v>
      </c>
      <c r="G166" s="20">
        <f>'Reference Score Calculation'!I158</f>
        <v>24</v>
      </c>
      <c r="H166" s="20">
        <f>'Reference Score Calculation'!J158</f>
        <v>23.375</v>
      </c>
      <c r="I166" s="20">
        <f>計分版!J181</f>
        <v>3.4999999999999999E-9</v>
      </c>
      <c r="J166" s="13">
        <f>'Reference Score Calculation'!U158</f>
        <v>10</v>
      </c>
      <c r="K166" s="28">
        <f>'Reference Score Calculation'!V158</f>
        <v>10</v>
      </c>
      <c r="L166" s="110">
        <f>'Reference Score Calculation'!Y158</f>
        <v>22.1</v>
      </c>
      <c r="M166" s="13">
        <f>入學要求!Z167</f>
        <v>0</v>
      </c>
      <c r="R166" s="28"/>
    </row>
    <row r="167" spans="1:18">
      <c r="A167" s="13" t="str">
        <f>'Reference Score Calculation'!B159</f>
        <v>JS4202</v>
      </c>
      <c r="B167" s="13" t="str">
        <f>'Reference Score Calculation'!C159</f>
        <v>CUHK</v>
      </c>
      <c r="C167" s="13" t="str">
        <f>'Reference Score Calculation'!E159</f>
        <v>工商管理學士綜合課程</v>
      </c>
      <c r="D167" s="13" t="str">
        <f>'Reference Score Calculation'!S159</f>
        <v>INTEGRATED BBA</v>
      </c>
      <c r="E167" s="13" t="str">
        <f>'Reference Score Calculation'!F159</f>
        <v>Best 5</v>
      </c>
      <c r="F167" s="20">
        <f>'Reference Score Calculation'!H159</f>
        <v>26.5</v>
      </c>
      <c r="G167" s="20">
        <f>'Reference Score Calculation'!I159</f>
        <v>26</v>
      </c>
      <c r="H167" s="20">
        <f>'Reference Score Calculation'!J159</f>
        <v>24.5</v>
      </c>
      <c r="I167" s="20">
        <f>計分版!J182</f>
        <v>3.4999999999999999E-9</v>
      </c>
      <c r="J167" s="13">
        <f>'Reference Score Calculation'!U159</f>
        <v>222</v>
      </c>
      <c r="K167" s="28">
        <f>'Reference Score Calculation'!V159</f>
        <v>202</v>
      </c>
      <c r="L167" s="110">
        <f>'Reference Score Calculation'!Y159</f>
        <v>5.0990099009900991</v>
      </c>
      <c r="M167" s="13">
        <f>入學要求!Z168</f>
        <v>0</v>
      </c>
      <c r="R167" s="28"/>
    </row>
    <row r="168" spans="1:18">
      <c r="A168" s="13" t="str">
        <f>'Reference Score Calculation'!B160</f>
        <v>JS4214</v>
      </c>
      <c r="B168" s="13" t="str">
        <f>'Reference Score Calculation'!C160</f>
        <v>CUHK</v>
      </c>
      <c r="C168" s="13" t="str">
        <f>'Reference Score Calculation'!E160</f>
        <v>環球商業學</v>
      </c>
      <c r="D168" s="13" t="str">
        <f>'Reference Score Calculation'!S160</f>
        <v>GBS</v>
      </c>
      <c r="E168" s="13" t="str">
        <f>'Reference Score Calculation'!F160</f>
        <v>Best 5</v>
      </c>
      <c r="F168" s="20">
        <f>'Reference Score Calculation'!H160</f>
        <v>39.5</v>
      </c>
      <c r="G168" s="20">
        <f>'Reference Score Calculation'!I160</f>
        <v>35</v>
      </c>
      <c r="H168" s="20">
        <f>'Reference Score Calculation'!J160</f>
        <v>35</v>
      </c>
      <c r="I168" s="20">
        <f>計分版!J183</f>
        <v>3.4999999999999999E-9</v>
      </c>
      <c r="J168" s="13">
        <f>'Reference Score Calculation'!U160</f>
        <v>15</v>
      </c>
      <c r="K168" s="28">
        <f>'Reference Score Calculation'!V160</f>
        <v>15</v>
      </c>
      <c r="L168" s="110">
        <f>'Reference Score Calculation'!Y160</f>
        <v>3.6666666666666665</v>
      </c>
      <c r="M168" s="13">
        <f>入學要求!Z169</f>
        <v>0</v>
      </c>
    </row>
    <row r="169" spans="1:18">
      <c r="A169" s="13" t="str">
        <f>'Reference Score Calculation'!B161</f>
        <v>JS4226</v>
      </c>
      <c r="B169" s="13" t="str">
        <f>'Reference Score Calculation'!C161</f>
        <v>CUHK</v>
      </c>
      <c r="C169" s="13" t="str">
        <f>'Reference Score Calculation'!E161</f>
        <v>酒店旅遊及房地產</v>
      </c>
      <c r="D169" s="13" t="str">
        <f>'Reference Score Calculation'!S161</f>
        <v>HOSP &amp; REAL EST</v>
      </c>
      <c r="E169" s="13" t="str">
        <f>'Reference Score Calculation'!F161</f>
        <v>Best 5</v>
      </c>
      <c r="F169" s="20">
        <f>'Reference Score Calculation'!H161</f>
        <v>23.5</v>
      </c>
      <c r="G169" s="20">
        <f>'Reference Score Calculation'!I161</f>
        <v>23</v>
      </c>
      <c r="H169" s="20">
        <f>'Reference Score Calculation'!J161</f>
        <v>22.5</v>
      </c>
      <c r="I169" s="20">
        <f>計分版!J184</f>
        <v>3.4999999999999999E-9</v>
      </c>
      <c r="J169" s="13">
        <f>'Reference Score Calculation'!U161</f>
        <v>60</v>
      </c>
      <c r="K169" s="28">
        <f>'Reference Score Calculation'!V161</f>
        <v>50</v>
      </c>
      <c r="L169" s="110">
        <f>'Reference Score Calculation'!Y161</f>
        <v>9.4</v>
      </c>
      <c r="M169" s="13">
        <f>入學要求!Z170</f>
        <v>0</v>
      </c>
    </row>
    <row r="170" spans="1:18">
      <c r="A170" s="13" t="str">
        <f>'Reference Score Calculation'!B162</f>
        <v>JS4238</v>
      </c>
      <c r="B170" s="13" t="str">
        <f>'Reference Score Calculation'!C162</f>
        <v>CUHK</v>
      </c>
      <c r="C170" s="13" t="str">
        <f>'Reference Score Calculation'!E162</f>
        <v>保險、金融與精算學</v>
      </c>
      <c r="D170" s="13" t="str">
        <f>'Reference Score Calculation'!S162</f>
        <v>IFAA</v>
      </c>
      <c r="E170" s="13" t="str">
        <f>'Reference Score Calculation'!F162</f>
        <v>Best 5</v>
      </c>
      <c r="F170" s="20">
        <f>'Reference Score Calculation'!H162</f>
        <v>32.5</v>
      </c>
      <c r="G170" s="20">
        <f>'Reference Score Calculation'!I162</f>
        <v>32</v>
      </c>
      <c r="H170" s="20">
        <f>'Reference Score Calculation'!J162</f>
        <v>30.5</v>
      </c>
      <c r="I170" s="20">
        <f>計分版!J185</f>
        <v>3.1000000000000005E-9</v>
      </c>
      <c r="J170" s="13">
        <f>'Reference Score Calculation'!U162</f>
        <v>45</v>
      </c>
      <c r="K170" s="28">
        <f>'Reference Score Calculation'!V162</f>
        <v>46</v>
      </c>
      <c r="L170" s="110">
        <f>'Reference Score Calculation'!Y162</f>
        <v>3.652173913043478</v>
      </c>
      <c r="M170" s="13">
        <f>入學要求!Z171</f>
        <v>0</v>
      </c>
    </row>
    <row r="171" spans="1:18">
      <c r="A171" s="13" t="str">
        <f>'Reference Score Calculation'!B163</f>
        <v>JS4240</v>
      </c>
      <c r="B171" s="13" t="str">
        <f>'Reference Score Calculation'!C163</f>
        <v>CUHK</v>
      </c>
      <c r="C171" s="13" t="str">
        <f>'Reference Score Calculation'!E163</f>
        <v>專業會計學</v>
      </c>
      <c r="D171" s="13" t="str">
        <f>'Reference Score Calculation'!S163</f>
        <v>PROF ACCOUNTANCY</v>
      </c>
      <c r="E171" s="13" t="str">
        <f>'Reference Score Calculation'!F163</f>
        <v>Best 5</v>
      </c>
      <c r="F171" s="20">
        <f>'Reference Score Calculation'!H163</f>
        <v>26.5</v>
      </c>
      <c r="G171" s="20">
        <f>'Reference Score Calculation'!I163</f>
        <v>26</v>
      </c>
      <c r="H171" s="20">
        <f>'Reference Score Calculation'!J163</f>
        <v>24.5</v>
      </c>
      <c r="I171" s="20">
        <f>計分版!J186</f>
        <v>3.4999999999999999E-9</v>
      </c>
      <c r="J171" s="13">
        <f>'Reference Score Calculation'!U163</f>
        <v>126</v>
      </c>
      <c r="K171" s="28">
        <f>'Reference Score Calculation'!V163</f>
        <v>110</v>
      </c>
      <c r="L171" s="110">
        <f>'Reference Score Calculation'!Y163</f>
        <v>3.7727272727272729</v>
      </c>
      <c r="M171" s="13">
        <f>入學要求!Z172</f>
        <v>0</v>
      </c>
    </row>
    <row r="172" spans="1:18">
      <c r="A172" s="13" t="str">
        <f>'Reference Score Calculation'!B164</f>
        <v>JS4252</v>
      </c>
      <c r="B172" s="13" t="str">
        <f>'Reference Score Calculation'!C164</f>
        <v>CUHK</v>
      </c>
      <c r="C172" s="13" t="str">
        <f>'Reference Score Calculation'!E164</f>
        <v>計量金融學</v>
      </c>
      <c r="D172" s="13" t="str">
        <f>'Reference Score Calculation'!S164</f>
        <v>QFIN</v>
      </c>
      <c r="E172" s="13" t="str">
        <f>'Reference Score Calculation'!F164</f>
        <v>Best 5</v>
      </c>
      <c r="F172" s="20">
        <f>'Reference Score Calculation'!H164</f>
        <v>52.5</v>
      </c>
      <c r="G172" s="20">
        <f>'Reference Score Calculation'!I164</f>
        <v>51.75</v>
      </c>
      <c r="H172" s="20">
        <f>'Reference Score Calculation'!J164</f>
        <v>51</v>
      </c>
      <c r="I172" s="20">
        <f>計分版!J187</f>
        <v>3.1500000000000001E-9</v>
      </c>
      <c r="J172" s="13">
        <f>'Reference Score Calculation'!U164</f>
        <v>37</v>
      </c>
      <c r="K172" s="28">
        <f>'Reference Score Calculation'!V164</f>
        <v>33</v>
      </c>
      <c r="L172" s="110">
        <f>'Reference Score Calculation'!Y164</f>
        <v>4.4242424242424239</v>
      </c>
      <c r="M172" s="13">
        <f>入學要求!Z173</f>
        <v>0</v>
      </c>
      <c r="R172" s="28"/>
    </row>
    <row r="173" spans="1:18">
      <c r="A173" s="13" t="str">
        <f>'Reference Score Calculation'!B165</f>
        <v>JS4254</v>
      </c>
      <c r="B173" s="13" t="str">
        <f>'Reference Score Calculation'!C165</f>
        <v>CUHK</v>
      </c>
      <c r="C173" s="13" t="str">
        <f>'Reference Score Calculation'!E165</f>
        <v>環球經濟與金融跨學科主修課程</v>
      </c>
      <c r="D173" s="13" t="str">
        <f>'Reference Score Calculation'!S165</f>
        <v>GLEF</v>
      </c>
      <c r="E173" s="13" t="str">
        <f>'Reference Score Calculation'!F165</f>
        <v>Best 5</v>
      </c>
      <c r="F173" s="20">
        <f>'Reference Score Calculation'!H165</f>
        <v>33.5</v>
      </c>
      <c r="G173" s="20">
        <f>'Reference Score Calculation'!I165</f>
        <v>33.5</v>
      </c>
      <c r="H173" s="20">
        <f>'Reference Score Calculation'!J165</f>
        <v>32</v>
      </c>
      <c r="I173" s="20">
        <f>計分版!J188</f>
        <v>3.1999999999999997E-9</v>
      </c>
      <c r="J173" s="13">
        <f>'Reference Score Calculation'!U165</f>
        <v>24</v>
      </c>
      <c r="K173" s="28">
        <f>'Reference Score Calculation'!V165</f>
        <v>14</v>
      </c>
      <c r="L173" s="110">
        <f>'Reference Score Calculation'!Y165</f>
        <v>3.7857142857142856</v>
      </c>
      <c r="M173" s="13">
        <f>入學要求!Z174</f>
        <v>0</v>
      </c>
    </row>
    <row r="174" spans="1:18">
      <c r="A174" s="13" t="str">
        <f>'Reference Score Calculation'!B166</f>
        <v>JS4264</v>
      </c>
      <c r="B174" s="13" t="str">
        <f>'Reference Score Calculation'!C166</f>
        <v>CUHK</v>
      </c>
      <c r="C174" s="13" t="str">
        <f>'Reference Score Calculation'!E166</f>
        <v>工商管理學士（工商管理學士綜合課程）及法律博士雙學位課程</v>
      </c>
      <c r="D174" s="13" t="str">
        <f>'Reference Score Calculation'!S166</f>
        <v>BBA-JD</v>
      </c>
      <c r="E174" s="13" t="str">
        <f>'Reference Score Calculation'!F166</f>
        <v>3C2X</v>
      </c>
      <c r="F174" s="20">
        <f>'Reference Score Calculation'!H166</f>
        <v>40.25</v>
      </c>
      <c r="G174" s="20">
        <f>'Reference Score Calculation'!I166</f>
        <v>39.5</v>
      </c>
      <c r="H174" s="20">
        <f>'Reference Score Calculation'!J166</f>
        <v>38</v>
      </c>
      <c r="I174" s="20">
        <f>計分版!J189</f>
        <v>2.5499999999999997E-9</v>
      </c>
      <c r="J174" s="13">
        <f>'Reference Score Calculation'!U166</f>
        <v>25</v>
      </c>
      <c r="K174" s="28">
        <f>'Reference Score Calculation'!V166</f>
        <v>22</v>
      </c>
      <c r="L174" s="110">
        <f>'Reference Score Calculation'!Y166</f>
        <v>2.9090909090909092</v>
      </c>
      <c r="M174" s="13">
        <f>入學要求!Z175</f>
        <v>0</v>
      </c>
    </row>
    <row r="175" spans="1:18">
      <c r="A175" s="13" t="str">
        <f>'Reference Score Calculation'!B167</f>
        <v>JS4276</v>
      </c>
      <c r="B175" s="13" t="str">
        <f>'Reference Score Calculation'!C167</f>
        <v>CUHK</v>
      </c>
      <c r="C175" s="13" t="str">
        <f>'Reference Score Calculation'!E167</f>
        <v>計量金融學及風險管理科學</v>
      </c>
      <c r="D175" s="13" t="str">
        <f>'Reference Score Calculation'!S167</f>
        <v>QFRM</v>
      </c>
      <c r="E175" s="13" t="str">
        <f>'Reference Score Calculation'!F167</f>
        <v>Best 5</v>
      </c>
      <c r="F175" s="20">
        <f>'Reference Score Calculation'!H167</f>
        <v>59.25</v>
      </c>
      <c r="G175" s="20">
        <f>'Reference Score Calculation'!I167</f>
        <v>56.25</v>
      </c>
      <c r="H175" s="20">
        <f>'Reference Score Calculation'!J167</f>
        <v>55.5</v>
      </c>
      <c r="I175" s="20">
        <f>計分版!J190</f>
        <v>3.1500000000000001E-9</v>
      </c>
      <c r="J175" s="13">
        <f>'Reference Score Calculation'!U167</f>
        <v>20</v>
      </c>
      <c r="K175" s="28">
        <f>'Reference Score Calculation'!V167</f>
        <v>15</v>
      </c>
      <c r="L175" s="110">
        <f>'Reference Score Calculation'!Y167</f>
        <v>3.0666666666666669</v>
      </c>
      <c r="M175" s="13">
        <f>入學要求!Z176</f>
        <v>0</v>
      </c>
    </row>
    <row r="176" spans="1:18">
      <c r="A176" s="13" t="str">
        <f>'Reference Score Calculation'!B168</f>
        <v>JS4320</v>
      </c>
      <c r="B176" s="13" t="str">
        <f>'Reference Score Calculation'!C168</f>
        <v>CUHK</v>
      </c>
      <c r="C176" s="13" t="str">
        <f>'Reference Score Calculation'!E168</f>
        <v>人體運動科學與健康研究</v>
      </c>
      <c r="D176" s="13" t="str">
        <f>'Reference Score Calculation'!S168</f>
        <v>HUM MOV SCI &amp; HEALTH STU</v>
      </c>
      <c r="E176" s="13" t="str">
        <f>'Reference Score Calculation'!F168</f>
        <v>25年新科目</v>
      </c>
      <c r="F176" s="20" t="str">
        <f>'Reference Score Calculation'!H168</f>
        <v>/</v>
      </c>
      <c r="G176" s="20" t="str">
        <f>'Reference Score Calculation'!I168</f>
        <v>/</v>
      </c>
      <c r="H176" s="20" t="str">
        <f>'Reference Score Calculation'!J168</f>
        <v>/</v>
      </c>
      <c r="I176" s="20" t="str">
        <f>計分版!J191</f>
        <v>/</v>
      </c>
      <c r="J176" s="13">
        <f>'Reference Score Calculation'!U168</f>
        <v>20</v>
      </c>
      <c r="K176" s="28" t="str">
        <f>'Reference Score Calculation'!V168</f>
        <v>/</v>
      </c>
      <c r="L176" s="110" t="str">
        <f>'Reference Score Calculation'!Y168</f>
        <v>新科目</v>
      </c>
      <c r="M176" s="13">
        <f>入學要求!Z177</f>
        <v>0</v>
      </c>
    </row>
    <row r="177" spans="1:18">
      <c r="A177" s="13" t="str">
        <f>'Reference Score Calculation'!B169</f>
        <v>JS4329</v>
      </c>
      <c r="B177" s="13" t="str">
        <f>'Reference Score Calculation'!C169</f>
        <v>CUHK</v>
      </c>
      <c r="C177" s="13" t="str">
        <f>'Reference Score Calculation'!E169</f>
        <v>健康與體育運動科學</v>
      </c>
      <c r="D177" s="13" t="str">
        <f>'Reference Score Calculation'!S169</f>
        <v>PHY ED, EX SCI &amp; HEALTH</v>
      </c>
      <c r="E177" s="13" t="str">
        <f>'Reference Score Calculation'!F169</f>
        <v>Best 5</v>
      </c>
      <c r="F177" s="20">
        <f>'Reference Score Calculation'!H169</f>
        <v>30.5</v>
      </c>
      <c r="G177" s="20">
        <f>'Reference Score Calculation'!I169</f>
        <v>29</v>
      </c>
      <c r="H177" s="20">
        <f>'Reference Score Calculation'!J169</f>
        <v>27.5</v>
      </c>
      <c r="I177" s="20">
        <f>計分版!J192</f>
        <v>3.4999999999999999E-9</v>
      </c>
      <c r="J177" s="13">
        <f>'Reference Score Calculation'!U169</f>
        <v>17</v>
      </c>
      <c r="K177" s="28">
        <f>'Reference Score Calculation'!V169</f>
        <v>24</v>
      </c>
      <c r="L177" s="110">
        <f>'Reference Score Calculation'!Y169</f>
        <v>18.625</v>
      </c>
      <c r="M177" s="13">
        <f>入學要求!Z178</f>
        <v>0</v>
      </c>
    </row>
    <row r="178" spans="1:18">
      <c r="A178" s="13" t="str">
        <f>'Reference Score Calculation'!B170</f>
        <v>JS4331</v>
      </c>
      <c r="B178" s="13" t="str">
        <f>'Reference Score Calculation'!C170</f>
        <v>CUHK</v>
      </c>
      <c r="C178" s="13" t="str">
        <f>'Reference Score Calculation'!E170</f>
        <v>文學士 (中國語文研究) 及教育學士 (中國語文教育)</v>
      </c>
      <c r="D178" s="13" t="str">
        <f>'Reference Score Calculation'!S170</f>
        <v>BA (CHI) BEd (CHI EDU)</v>
      </c>
      <c r="E178" s="13" t="str">
        <f>'Reference Score Calculation'!F170</f>
        <v>Best 5</v>
      </c>
      <c r="F178" s="20">
        <f>'Reference Score Calculation'!H170</f>
        <v>42</v>
      </c>
      <c r="G178" s="20">
        <f>'Reference Score Calculation'!I170</f>
        <v>40.5</v>
      </c>
      <c r="H178" s="20">
        <f>'Reference Score Calculation'!J170</f>
        <v>40.5</v>
      </c>
      <c r="I178" s="20">
        <f>計分版!J193</f>
        <v>3.1999999999999997E-9</v>
      </c>
      <c r="J178" s="13">
        <f>'Reference Score Calculation'!U170</f>
        <v>12</v>
      </c>
      <c r="K178" s="28">
        <f>'Reference Score Calculation'!V170</f>
        <v>14</v>
      </c>
      <c r="L178" s="110">
        <f>'Reference Score Calculation'!Y170</f>
        <v>6.7857142857142856</v>
      </c>
      <c r="M178" s="13">
        <f>入學要求!Z179</f>
        <v>0</v>
      </c>
      <c r="R178" s="28"/>
    </row>
    <row r="179" spans="1:18">
      <c r="A179" s="13" t="str">
        <f>'Reference Score Calculation'!B171</f>
        <v>JS4343</v>
      </c>
      <c r="B179" s="13" t="str">
        <f>'Reference Score Calculation'!C171</f>
        <v>CUHK</v>
      </c>
      <c r="C179" s="13" t="str">
        <f>'Reference Score Calculation'!E171</f>
        <v>文學士(英國語文研究)及教育學士(英國語文教育)</v>
      </c>
      <c r="D179" s="13" t="str">
        <f>'Reference Score Calculation'!S171</f>
        <v>BA (ENG) BEd (ENG EDU)</v>
      </c>
      <c r="E179" s="13" t="str">
        <f>'Reference Score Calculation'!F171</f>
        <v>Best 5</v>
      </c>
      <c r="F179" s="20">
        <f>'Reference Score Calculation'!H171</f>
        <v>37.5</v>
      </c>
      <c r="G179" s="20">
        <f>'Reference Score Calculation'!I171</f>
        <v>34.5</v>
      </c>
      <c r="H179" s="20">
        <f>'Reference Score Calculation'!J171</f>
        <v>33</v>
      </c>
      <c r="I179" s="20">
        <f>計分版!J194</f>
        <v>3.3999999999999998E-9</v>
      </c>
      <c r="J179" s="13">
        <f>'Reference Score Calculation'!U171</f>
        <v>12</v>
      </c>
      <c r="K179" s="28">
        <f>'Reference Score Calculation'!V171</f>
        <v>14</v>
      </c>
      <c r="L179" s="110">
        <f>'Reference Score Calculation'!Y171</f>
        <v>4.2857142857142856</v>
      </c>
      <c r="M179" s="13">
        <f>入學要求!Z180</f>
        <v>0</v>
      </c>
    </row>
    <row r="180" spans="1:18">
      <c r="A180" s="13" t="str">
        <f>'Reference Score Calculation'!B172</f>
        <v>JS4361</v>
      </c>
      <c r="B180" s="13" t="str">
        <f>'Reference Score Calculation'!C172</f>
        <v>CUHK</v>
      </c>
      <c r="C180" s="13" t="str">
        <f>'Reference Score Calculation'!E172</f>
        <v>教育學士(數學及數學教育)</v>
      </c>
      <c r="D180" s="13" t="str">
        <f>'Reference Score Calculation'!S172</f>
        <v>MATHS EDUCATION</v>
      </c>
      <c r="E180" s="13" t="str">
        <f>'Reference Score Calculation'!F172</f>
        <v>Best 5</v>
      </c>
      <c r="F180" s="20">
        <f>'Reference Score Calculation'!H172</f>
        <v>53</v>
      </c>
      <c r="G180" s="20">
        <f>'Reference Score Calculation'!I172</f>
        <v>50.75</v>
      </c>
      <c r="H180" s="20">
        <f>'Reference Score Calculation'!J172</f>
        <v>50.75</v>
      </c>
      <c r="I180" s="20">
        <f>計分版!J195</f>
        <v>4.0000000000000002E-9</v>
      </c>
      <c r="J180" s="13">
        <f>'Reference Score Calculation'!U172</f>
        <v>12</v>
      </c>
      <c r="K180" s="28">
        <f>'Reference Score Calculation'!V172</f>
        <v>15</v>
      </c>
      <c r="L180" s="110">
        <f>'Reference Score Calculation'!Y172</f>
        <v>6.9333333333333336</v>
      </c>
      <c r="M180" s="13">
        <f>入學要求!Z181</f>
        <v>0</v>
      </c>
    </row>
    <row r="181" spans="1:18">
      <c r="A181" s="13" t="str">
        <f>'Reference Score Calculation'!B173</f>
        <v>JS4372</v>
      </c>
      <c r="B181" s="13" t="str">
        <f>'Reference Score Calculation'!C173</f>
        <v>CUHK</v>
      </c>
      <c r="C181" s="13" t="str">
        <f>'Reference Score Calculation'!E173</f>
        <v>教育學士(幼兒教育)</v>
      </c>
      <c r="D181" s="13" t="str">
        <f>'Reference Score Calculation'!S173</f>
        <v>BEd (ECE)</v>
      </c>
      <c r="E181" s="13" t="str">
        <f>'Reference Score Calculation'!F173</f>
        <v>Best 5</v>
      </c>
      <c r="F181" s="20">
        <f>'Reference Score Calculation'!H173</f>
        <v>24.5</v>
      </c>
      <c r="G181" s="20">
        <f>'Reference Score Calculation'!I173</f>
        <v>23</v>
      </c>
      <c r="H181" s="20">
        <f>'Reference Score Calculation'!J173</f>
        <v>21.5</v>
      </c>
      <c r="I181" s="20">
        <f>計分版!J196</f>
        <v>3.4999999999999999E-9</v>
      </c>
      <c r="J181" s="13">
        <f>'Reference Score Calculation'!U173</f>
        <v>21</v>
      </c>
      <c r="K181" s="28">
        <f>'Reference Score Calculation'!V173</f>
        <v>21</v>
      </c>
      <c r="L181" s="110">
        <f>'Reference Score Calculation'!Y173</f>
        <v>20.857142857142858</v>
      </c>
      <c r="M181" s="13">
        <f>入學要求!Z182</f>
        <v>0</v>
      </c>
    </row>
    <row r="182" spans="1:18">
      <c r="A182" s="13" t="str">
        <f>'Reference Score Calculation'!B174</f>
        <v>JS4386</v>
      </c>
      <c r="B182" s="13" t="str">
        <f>'Reference Score Calculation'!C174</f>
        <v>CUHK</v>
      </c>
      <c r="C182" s="13" t="str">
        <f>'Reference Score Calculation'!E174</f>
        <v>理學士（學習設計與科技）</v>
      </c>
      <c r="D182" s="13" t="str">
        <f>'Reference Score Calculation'!S174</f>
        <v>LEARNING DESIGN AND TECH</v>
      </c>
      <c r="E182" s="13" t="str">
        <f>'Reference Score Calculation'!F174</f>
        <v>Best 5</v>
      </c>
      <c r="F182" s="20">
        <f>'Reference Score Calculation'!H174</f>
        <v>34.75</v>
      </c>
      <c r="G182" s="20">
        <f>'Reference Score Calculation'!I174</f>
        <v>29.5</v>
      </c>
      <c r="H182" s="20">
        <f>'Reference Score Calculation'!J174</f>
        <v>27.5</v>
      </c>
      <c r="I182" s="20">
        <f>計分版!J197</f>
        <v>3.7500000000000005E-9</v>
      </c>
      <c r="J182" s="13">
        <f>'Reference Score Calculation'!U174</f>
        <v>20</v>
      </c>
      <c r="K182" s="28">
        <f>'Reference Score Calculation'!V174</f>
        <v>14</v>
      </c>
      <c r="L182" s="110">
        <f>'Reference Score Calculation'!Y174</f>
        <v>7.8</v>
      </c>
      <c r="M182" s="13">
        <f>入學要求!Z183</f>
        <v>0</v>
      </c>
    </row>
    <row r="183" spans="1:18">
      <c r="A183" s="13" t="str">
        <f>'Reference Score Calculation'!B175</f>
        <v>JS4408</v>
      </c>
      <c r="B183" s="13" t="str">
        <f>'Reference Score Calculation'!C175</f>
        <v>CUHK</v>
      </c>
      <c r="C183" s="13" t="str">
        <f>'Reference Score Calculation'!E175</f>
        <v>機械與自動化工程學</v>
      </c>
      <c r="D183" s="13" t="str">
        <f>'Reference Score Calculation'!S175</f>
        <v>MAEG</v>
      </c>
      <c r="E183" s="13" t="str">
        <f>'Reference Score Calculation'!F175</f>
        <v>Best 5</v>
      </c>
      <c r="F183" s="20">
        <f>'Reference Score Calculation'!H175</f>
        <v>30.125</v>
      </c>
      <c r="G183" s="20">
        <f>'Reference Score Calculation'!I175</f>
        <v>29.125</v>
      </c>
      <c r="H183" s="20">
        <f>'Reference Score Calculation'!J175</f>
        <v>27.25</v>
      </c>
      <c r="I183" s="20">
        <f>計分版!J198</f>
        <v>3.7500000000000005E-9</v>
      </c>
      <c r="J183" s="13">
        <f>'Reference Score Calculation'!U175</f>
        <v>53</v>
      </c>
      <c r="K183" s="28">
        <f>'Reference Score Calculation'!V175</f>
        <v>53</v>
      </c>
      <c r="L183" s="110">
        <f>'Reference Score Calculation'!Y175</f>
        <v>6.7358490566037732</v>
      </c>
      <c r="M183" s="13">
        <f>入學要求!Z184</f>
        <v>0</v>
      </c>
    </row>
    <row r="184" spans="1:18">
      <c r="A184" s="13" t="str">
        <f>'Reference Score Calculation'!B176</f>
        <v>JS4412</v>
      </c>
      <c r="B184" s="13" t="str">
        <f>'Reference Score Calculation'!C176</f>
        <v>CUHK</v>
      </c>
      <c r="C184" s="13" t="str">
        <f>'Reference Score Calculation'!E176</f>
        <v>計算機科學與工程</v>
      </c>
      <c r="D184" s="13" t="str">
        <f>'Reference Score Calculation'!S176</f>
        <v>COMPUTER SCI &amp; ENG</v>
      </c>
      <c r="E184" s="13" t="str">
        <f>'Reference Score Calculation'!F176</f>
        <v>Best 5</v>
      </c>
      <c r="F184" s="20">
        <f>'Reference Score Calculation'!H176</f>
        <v>44.875</v>
      </c>
      <c r="G184" s="20">
        <f>'Reference Score Calculation'!I176</f>
        <v>42.25</v>
      </c>
      <c r="H184" s="20">
        <f>'Reference Score Calculation'!J176</f>
        <v>40.25</v>
      </c>
      <c r="I184" s="20">
        <f>計分版!J199</f>
        <v>3.875E-9</v>
      </c>
      <c r="J184" s="13">
        <f>'Reference Score Calculation'!U176</f>
        <v>107</v>
      </c>
      <c r="K184" s="28">
        <f>'Reference Score Calculation'!V176</f>
        <v>116</v>
      </c>
      <c r="L184" s="110">
        <f>'Reference Score Calculation'!Y176</f>
        <v>3.7327586206896552</v>
      </c>
      <c r="M184" s="13">
        <f>入學要求!Z185</f>
        <v>0</v>
      </c>
    </row>
    <row r="185" spans="1:18">
      <c r="A185" s="13" t="str">
        <f>'Reference Score Calculation'!B177</f>
        <v>JS4416</v>
      </c>
      <c r="B185" s="13" t="str">
        <f>'Reference Score Calculation'!C177</f>
        <v>CUHK</v>
      </c>
      <c r="C185" s="13" t="str">
        <f>'Reference Score Calculation'!E177</f>
        <v>計算數據科學</v>
      </c>
      <c r="D185" s="13" t="str">
        <f>'Reference Score Calculation'!S177</f>
        <v>CDAS</v>
      </c>
      <c r="E185" s="13" t="str">
        <f>'Reference Score Calculation'!F177</f>
        <v>Best 5</v>
      </c>
      <c r="F185" s="20">
        <f>'Reference Score Calculation'!H177</f>
        <v>54.25</v>
      </c>
      <c r="G185" s="20">
        <f>'Reference Score Calculation'!I177</f>
        <v>52.25</v>
      </c>
      <c r="H185" s="20">
        <f>'Reference Score Calculation'!J177</f>
        <v>52</v>
      </c>
      <c r="I185" s="20">
        <f>計分版!J200</f>
        <v>3.3999999999999998E-9</v>
      </c>
      <c r="J185" s="13">
        <f>'Reference Score Calculation'!U177</f>
        <v>20</v>
      </c>
      <c r="K185" s="28">
        <f>'Reference Score Calculation'!V177</f>
        <v>12</v>
      </c>
      <c r="L185" s="110">
        <f>'Reference Score Calculation'!Y177</f>
        <v>3.8333333333333335</v>
      </c>
      <c r="M185" s="13">
        <f>入學要求!Z186</f>
        <v>0</v>
      </c>
    </row>
    <row r="186" spans="1:18">
      <c r="A186" s="13" t="str">
        <f>'Reference Score Calculation'!B178</f>
        <v>JS4428</v>
      </c>
      <c r="B186" s="13" t="str">
        <f>'Reference Score Calculation'!C178</f>
        <v>CUHK</v>
      </c>
      <c r="C186" s="13" t="str">
        <f>'Reference Score Calculation'!E178</f>
        <v>金融科技學</v>
      </c>
      <c r="D186" s="13" t="str">
        <f>'Reference Score Calculation'!S178</f>
        <v>BENG FINTECH</v>
      </c>
      <c r="E186" s="13" t="str">
        <f>'Reference Score Calculation'!F178</f>
        <v>Best 5</v>
      </c>
      <c r="F186" s="20">
        <f>'Reference Score Calculation'!H178</f>
        <v>46.625</v>
      </c>
      <c r="G186" s="20">
        <f>'Reference Score Calculation'!I178</f>
        <v>45.625</v>
      </c>
      <c r="H186" s="20">
        <f>'Reference Score Calculation'!J178</f>
        <v>44.5</v>
      </c>
      <c r="I186" s="20">
        <f>計分版!J201</f>
        <v>3.875E-9</v>
      </c>
      <c r="J186" s="13">
        <f>'Reference Score Calculation'!U178</f>
        <v>35</v>
      </c>
      <c r="K186" s="28">
        <f>'Reference Score Calculation'!V178</f>
        <v>35</v>
      </c>
      <c r="L186" s="110">
        <f>'Reference Score Calculation'!Y178</f>
        <v>3.3714285714285714</v>
      </c>
      <c r="M186" s="13">
        <f>入學要求!Z187</f>
        <v>0</v>
      </c>
    </row>
    <row r="187" spans="1:18">
      <c r="A187" s="13" t="str">
        <f>'Reference Score Calculation'!B179</f>
        <v>JS4434</v>
      </c>
      <c r="B187" s="13" t="str">
        <f>'Reference Score Calculation'!C179</f>
        <v>CUHK</v>
      </c>
      <c r="C187" s="13" t="str">
        <f>'Reference Score Calculation'!E179</f>
        <v>電子工程學</v>
      </c>
      <c r="D187" s="13" t="str">
        <f>'Reference Score Calculation'!S179</f>
        <v>ELEG</v>
      </c>
      <c r="E187" s="13" t="str">
        <f>'Reference Score Calculation'!F179</f>
        <v>Best 5</v>
      </c>
      <c r="F187" s="20">
        <f>'Reference Score Calculation'!H179</f>
        <v>30.5</v>
      </c>
      <c r="G187" s="20">
        <f>'Reference Score Calculation'!I179</f>
        <v>28.25</v>
      </c>
      <c r="H187" s="20">
        <f>'Reference Score Calculation'!J179</f>
        <v>27.5</v>
      </c>
      <c r="I187" s="20">
        <f>計分版!J202</f>
        <v>3.7500000000000005E-9</v>
      </c>
      <c r="J187" s="13">
        <f>'Reference Score Calculation'!U179</f>
        <v>53</v>
      </c>
      <c r="K187" s="28">
        <f>'Reference Score Calculation'!V179</f>
        <v>39</v>
      </c>
      <c r="L187" s="110">
        <f>'Reference Score Calculation'!Y179</f>
        <v>6.3076923076923075</v>
      </c>
      <c r="M187" s="13">
        <f>入學要求!Z188</f>
        <v>0</v>
      </c>
    </row>
    <row r="188" spans="1:18">
      <c r="A188" s="13" t="str">
        <f>'Reference Score Calculation'!B180</f>
        <v>JS4446</v>
      </c>
      <c r="B188" s="13" t="str">
        <f>'Reference Score Calculation'!C180</f>
        <v>CUHK</v>
      </c>
      <c r="C188" s="13" t="str">
        <f>'Reference Score Calculation'!E180</f>
        <v>信息工程學</v>
      </c>
      <c r="D188" s="13" t="str">
        <f>'Reference Score Calculation'!S180</f>
        <v>IERGN</v>
      </c>
      <c r="E188" s="13" t="str">
        <f>'Reference Score Calculation'!F180</f>
        <v>Best 5</v>
      </c>
      <c r="F188" s="20">
        <f>'Reference Score Calculation'!H180</f>
        <v>38.875</v>
      </c>
      <c r="G188" s="20">
        <f>'Reference Score Calculation'!I180</f>
        <v>36.5</v>
      </c>
      <c r="H188" s="20">
        <f>'Reference Score Calculation'!J180</f>
        <v>34.5</v>
      </c>
      <c r="I188" s="20">
        <f>計分版!J203</f>
        <v>3.2750000000000004E-9</v>
      </c>
      <c r="J188" s="13">
        <f>'Reference Score Calculation'!U180</f>
        <v>75</v>
      </c>
      <c r="K188" s="28">
        <f>'Reference Score Calculation'!V180</f>
        <v>67</v>
      </c>
      <c r="L188" s="110">
        <f>'Reference Score Calculation'!Y180</f>
        <v>3.2238805970149254</v>
      </c>
      <c r="M188" s="13">
        <f>入學要求!Z189</f>
        <v>0</v>
      </c>
    </row>
    <row r="189" spans="1:18">
      <c r="A189" s="13" t="str">
        <f>'Reference Score Calculation'!B181</f>
        <v>JS4458</v>
      </c>
      <c r="B189" s="13" t="str">
        <f>'Reference Score Calculation'!C181</f>
        <v>CUHK</v>
      </c>
      <c r="C189" s="13" t="str">
        <f>'Reference Score Calculation'!E181</f>
        <v>系統工程與工程管理</v>
      </c>
      <c r="D189" s="13" t="str">
        <f>'Reference Score Calculation'!S181</f>
        <v>SEEM</v>
      </c>
      <c r="E189" s="13" t="str">
        <f>'Reference Score Calculation'!F181</f>
        <v>Best 5</v>
      </c>
      <c r="F189" s="20">
        <f>'Reference Score Calculation'!H181</f>
        <v>31.75</v>
      </c>
      <c r="G189" s="20">
        <f>'Reference Score Calculation'!I181</f>
        <v>30.25</v>
      </c>
      <c r="H189" s="20">
        <f>'Reference Score Calculation'!J181</f>
        <v>29.5</v>
      </c>
      <c r="I189" s="20">
        <f>計分版!J204</f>
        <v>3.7500000000000005E-9</v>
      </c>
      <c r="J189" s="13">
        <f>'Reference Score Calculation'!U181</f>
        <v>53</v>
      </c>
      <c r="K189" s="28">
        <f>'Reference Score Calculation'!V181</f>
        <v>54</v>
      </c>
      <c r="L189" s="110">
        <f>'Reference Score Calculation'!Y181</f>
        <v>5.7407407407407405</v>
      </c>
      <c r="M189" s="13">
        <f>入學要求!Z190</f>
        <v>0</v>
      </c>
    </row>
    <row r="190" spans="1:18">
      <c r="A190" s="13" t="str">
        <f>'Reference Score Calculation'!B182</f>
        <v>JS4460</v>
      </c>
      <c r="B190" s="13" t="str">
        <f>'Reference Score Calculation'!C182</f>
        <v>CUHK</v>
      </c>
      <c r="C190" s="13" t="str">
        <f>'Reference Score Calculation'!E182</f>
        <v>生物醫學工程學</v>
      </c>
      <c r="D190" s="13" t="str">
        <f>'Reference Score Calculation'!S182</f>
        <v>BMEG</v>
      </c>
      <c r="E190" s="13" t="str">
        <f>'Reference Score Calculation'!F182</f>
        <v>Best 5</v>
      </c>
      <c r="F190" s="20">
        <f>'Reference Score Calculation'!H182</f>
        <v>43.5</v>
      </c>
      <c r="G190" s="20">
        <f>'Reference Score Calculation'!I182</f>
        <v>41.25</v>
      </c>
      <c r="H190" s="20">
        <f>'Reference Score Calculation'!J182</f>
        <v>39</v>
      </c>
      <c r="I190" s="20">
        <f>計分版!J205</f>
        <v>3.7500000000000005E-9</v>
      </c>
      <c r="J190" s="13">
        <f>'Reference Score Calculation'!U182</f>
        <v>44</v>
      </c>
      <c r="K190" s="28">
        <f>'Reference Score Calculation'!V182</f>
        <v>26</v>
      </c>
      <c r="L190" s="110">
        <f>'Reference Score Calculation'!Y182</f>
        <v>4.884615384615385</v>
      </c>
      <c r="M190" s="13">
        <f>入學要求!Z191</f>
        <v>0</v>
      </c>
    </row>
    <row r="191" spans="1:18">
      <c r="A191" s="13" t="str">
        <f>'Reference Score Calculation'!B183</f>
        <v>JS4462</v>
      </c>
      <c r="B191" s="13" t="str">
        <f>'Reference Score Calculation'!C183</f>
        <v>CUHK</v>
      </c>
      <c r="C191" s="13" t="str">
        <f>'Reference Score Calculation'!E183</f>
        <v>能源與環境工程學</v>
      </c>
      <c r="D191" s="13" t="str">
        <f>'Reference Score Calculation'!S183</f>
        <v>EEEN</v>
      </c>
      <c r="E191" s="13" t="str">
        <f>'Reference Score Calculation'!F183</f>
        <v>Best 5</v>
      </c>
      <c r="F191" s="20">
        <f>'Reference Score Calculation'!H183</f>
        <v>29.5</v>
      </c>
      <c r="G191" s="20">
        <f>'Reference Score Calculation'!I183</f>
        <v>28.75</v>
      </c>
      <c r="H191" s="20">
        <f>'Reference Score Calculation'!J183</f>
        <v>28</v>
      </c>
      <c r="I191" s="20">
        <f>計分版!J206</f>
        <v>3.7500000000000005E-9</v>
      </c>
      <c r="J191" s="13">
        <f>'Reference Score Calculation'!U183</f>
        <v>28</v>
      </c>
      <c r="K191" s="28">
        <f>'Reference Score Calculation'!V183</f>
        <v>29</v>
      </c>
      <c r="L191" s="110">
        <f>'Reference Score Calculation'!Y183</f>
        <v>6.3793103448275863</v>
      </c>
      <c r="M191" s="13">
        <f>入學要求!Z192</f>
        <v>0</v>
      </c>
    </row>
    <row r="192" spans="1:18">
      <c r="A192" s="13" t="str">
        <f>'Reference Score Calculation'!B184</f>
        <v>JS4468</v>
      </c>
      <c r="B192" s="13" t="str">
        <f>'Reference Score Calculation'!C184</f>
        <v>CUHK</v>
      </c>
      <c r="C192" s="13" t="str">
        <f>'Reference Score Calculation'!E184</f>
        <v>人工智能：系統與科技</v>
      </c>
      <c r="D192" s="13" t="str">
        <f>'Reference Score Calculation'!S184</f>
        <v>AIST</v>
      </c>
      <c r="E192" s="13" t="str">
        <f>'Reference Score Calculation'!F184</f>
        <v>Best 5</v>
      </c>
      <c r="F192" s="20">
        <f>'Reference Score Calculation'!H184</f>
        <v>57.25</v>
      </c>
      <c r="G192" s="20">
        <f>'Reference Score Calculation'!I184</f>
        <v>53.5</v>
      </c>
      <c r="H192" s="20">
        <f>'Reference Score Calculation'!J184</f>
        <v>51.125</v>
      </c>
      <c r="I192" s="20">
        <f>計分版!J207</f>
        <v>3.875E-9</v>
      </c>
      <c r="J192" s="13">
        <f>'Reference Score Calculation'!U184</f>
        <v>30</v>
      </c>
      <c r="K192" s="28">
        <f>'Reference Score Calculation'!V184</f>
        <v>29</v>
      </c>
      <c r="L192" s="110">
        <f>'Reference Score Calculation'!Y184</f>
        <v>3.7241379310344827</v>
      </c>
      <c r="M192" s="13">
        <f>入學要求!Z193</f>
        <v>0</v>
      </c>
    </row>
    <row r="193" spans="1:13">
      <c r="A193" s="13" t="str">
        <f>'Reference Score Calculation'!B185</f>
        <v>JS4470</v>
      </c>
      <c r="B193" s="13" t="str">
        <f>'Reference Score Calculation'!C185</f>
        <v>CUHK</v>
      </c>
      <c r="C193" s="13" t="str">
        <f>'Reference Score Calculation'!E185</f>
        <v>材料科學與工程學</v>
      </c>
      <c r="D193" s="13" t="str">
        <f>'Reference Score Calculation'!S185</f>
        <v>MATERIALS SCI &amp; ENG</v>
      </c>
      <c r="E193" s="13" t="str">
        <f>'Reference Score Calculation'!F185</f>
        <v>25年新科目</v>
      </c>
      <c r="F193" s="20" t="str">
        <f>'Reference Score Calculation'!H185</f>
        <v>/</v>
      </c>
      <c r="G193" s="20" t="str">
        <f>'Reference Score Calculation'!I185</f>
        <v>/</v>
      </c>
      <c r="H193" s="20" t="str">
        <f>'Reference Score Calculation'!J185</f>
        <v>/</v>
      </c>
      <c r="I193" s="20" t="str">
        <f>計分版!J208</f>
        <v>/</v>
      </c>
      <c r="J193" s="13">
        <f>'Reference Score Calculation'!U185</f>
        <v>20</v>
      </c>
      <c r="K193" s="28" t="str">
        <f>'Reference Score Calculation'!V185</f>
        <v>/</v>
      </c>
      <c r="L193" s="110" t="str">
        <f>'Reference Score Calculation'!Y185</f>
        <v>新科目</v>
      </c>
      <c r="M193" s="13">
        <f>入學要求!Z194</f>
        <v>0</v>
      </c>
    </row>
    <row r="194" spans="1:13">
      <c r="A194" s="13" t="str">
        <f>'Reference Score Calculation'!B186</f>
        <v>JS4501</v>
      </c>
      <c r="B194" s="13" t="str">
        <f>'Reference Score Calculation'!C186</f>
        <v>CUHK</v>
      </c>
      <c r="C194" s="13" t="str">
        <f>'Reference Score Calculation'!E186</f>
        <v>內外全科醫學士課程</v>
      </c>
      <c r="D194" s="13" t="str">
        <f>'Reference Score Calculation'!S186</f>
        <v>MBChB</v>
      </c>
      <c r="E194" s="13" t="str">
        <f>'Reference Score Calculation'!F186</f>
        <v>3C3X</v>
      </c>
      <c r="F194" s="20">
        <f>'Reference Score Calculation'!H186</f>
        <v>38</v>
      </c>
      <c r="G194" s="20">
        <f>'Reference Score Calculation'!I186</f>
        <v>37</v>
      </c>
      <c r="H194" s="20">
        <f>'Reference Score Calculation'!J186</f>
        <v>36</v>
      </c>
      <c r="I194" s="20">
        <f>計分版!J209</f>
        <v>3.1000000000000005E-9</v>
      </c>
      <c r="J194" s="13">
        <f>'Reference Score Calculation'!U186</f>
        <v>295</v>
      </c>
      <c r="K194" s="28">
        <f>'Reference Score Calculation'!V186</f>
        <v>170</v>
      </c>
      <c r="L194" s="110">
        <f>'Reference Score Calculation'!Y186</f>
        <v>3.1</v>
      </c>
      <c r="M194" s="13">
        <f>入學要求!Z195</f>
        <v>0</v>
      </c>
    </row>
    <row r="195" spans="1:13">
      <c r="A195" s="13" t="str">
        <f>'Reference Score Calculation'!B187</f>
        <v>JS4502</v>
      </c>
      <c r="B195" s="13" t="str">
        <f>'Reference Score Calculation'!C187</f>
        <v>CUHK</v>
      </c>
      <c r="C195" s="13" t="str">
        <f>'Reference Score Calculation'!E187</f>
        <v>內外全科醫學士課程環球醫學領袖培訓專修組別</v>
      </c>
      <c r="D195" s="13" t="str">
        <f>'Reference Score Calculation'!S187</f>
        <v>MBChB-GPS</v>
      </c>
      <c r="E195" s="13" t="str">
        <f>'Reference Score Calculation'!F187</f>
        <v>3C3X</v>
      </c>
      <c r="F195" s="20">
        <f>'Reference Score Calculation'!H187</f>
        <v>41.5</v>
      </c>
      <c r="G195" s="20">
        <f>'Reference Score Calculation'!I187</f>
        <v>40.5</v>
      </c>
      <c r="H195" s="20">
        <f>'Reference Score Calculation'!J187</f>
        <v>40</v>
      </c>
      <c r="I195" s="20">
        <f>計分版!J210</f>
        <v>3.1000000000000005E-9</v>
      </c>
      <c r="J195" s="13">
        <f>'Reference Score Calculation'!U187</f>
        <v>30</v>
      </c>
      <c r="K195" s="28">
        <f>'Reference Score Calculation'!V187</f>
        <v>32</v>
      </c>
      <c r="L195" s="110">
        <f>'Reference Score Calculation'!Y187</f>
        <v>2.5625</v>
      </c>
      <c r="M195" s="13">
        <f>入學要求!Z196</f>
        <v>0</v>
      </c>
    </row>
    <row r="196" spans="1:13">
      <c r="A196" s="13" t="str">
        <f>'Reference Score Calculation'!B188</f>
        <v>JS4513</v>
      </c>
      <c r="B196" s="13" t="str">
        <f>'Reference Score Calculation'!C188</f>
        <v>CUHK</v>
      </c>
      <c r="C196" s="13" t="str">
        <f>'Reference Score Calculation'!E188</f>
        <v>護理學</v>
      </c>
      <c r="D196" s="13" t="str">
        <f>'Reference Score Calculation'!S188</f>
        <v>NURSING</v>
      </c>
      <c r="E196" s="13" t="str">
        <f>'Reference Score Calculation'!F188</f>
        <v>Best 5</v>
      </c>
      <c r="F196" s="20">
        <f>'Reference Score Calculation'!H188</f>
        <v>30.1</v>
      </c>
      <c r="G196" s="20">
        <f>'Reference Score Calculation'!I188</f>
        <v>28.6</v>
      </c>
      <c r="H196" s="20">
        <f>'Reference Score Calculation'!J188</f>
        <v>27.1</v>
      </c>
      <c r="I196" s="20">
        <f>計分版!J211</f>
        <v>3.6200000000000003E-9</v>
      </c>
      <c r="J196" s="13">
        <f>'Reference Score Calculation'!U188</f>
        <v>217</v>
      </c>
      <c r="K196" s="28">
        <f>'Reference Score Calculation'!V188</f>
        <v>212</v>
      </c>
      <c r="L196" s="110">
        <f>'Reference Score Calculation'!Y188</f>
        <v>3.2735849056603774</v>
      </c>
      <c r="M196" s="13">
        <f>入學要求!Z197</f>
        <v>0</v>
      </c>
    </row>
    <row r="197" spans="1:13">
      <c r="A197" s="13" t="str">
        <f>'Reference Score Calculation'!B189</f>
        <v>JS4525</v>
      </c>
      <c r="B197" s="13" t="str">
        <f>'Reference Score Calculation'!C189</f>
        <v>CUHK</v>
      </c>
      <c r="C197" s="13" t="str">
        <f>'Reference Score Calculation'!E189</f>
        <v>藥劑學</v>
      </c>
      <c r="D197" s="13" t="str">
        <f>'Reference Score Calculation'!S189</f>
        <v>PHARMACY</v>
      </c>
      <c r="E197" s="13" t="str">
        <f>'Reference Score Calculation'!F189</f>
        <v>Best 5</v>
      </c>
      <c r="F197" s="20">
        <f>'Reference Score Calculation'!H189</f>
        <v>32</v>
      </c>
      <c r="G197" s="20">
        <f>'Reference Score Calculation'!I189</f>
        <v>30.5</v>
      </c>
      <c r="H197" s="20">
        <f>'Reference Score Calculation'!J189</f>
        <v>30.5</v>
      </c>
      <c r="I197" s="20">
        <f>計分版!J212</f>
        <v>3.4999999999999999E-9</v>
      </c>
      <c r="J197" s="13">
        <f>'Reference Score Calculation'!U189</f>
        <v>59</v>
      </c>
      <c r="K197" s="28">
        <f>'Reference Score Calculation'!V189</f>
        <v>59</v>
      </c>
      <c r="L197" s="110">
        <f>'Reference Score Calculation'!Y189</f>
        <v>5.8135593220338979</v>
      </c>
      <c r="M197" s="13">
        <f>入學要求!Z198</f>
        <v>0</v>
      </c>
    </row>
    <row r="198" spans="1:13">
      <c r="A198" s="13" t="str">
        <f>'Reference Score Calculation'!B190</f>
        <v>JS4537</v>
      </c>
      <c r="B198" s="13" t="str">
        <f>'Reference Score Calculation'!C190</f>
        <v>CUHK</v>
      </c>
      <c r="C198" s="13" t="str">
        <f>'Reference Score Calculation'!E190</f>
        <v>公共衞生</v>
      </c>
      <c r="D198" s="13" t="str">
        <f>'Reference Score Calculation'!S190</f>
        <v>PUBLIC HEALTH</v>
      </c>
      <c r="E198" s="13" t="str">
        <f>'Reference Score Calculation'!F190</f>
        <v>Best 5</v>
      </c>
      <c r="F198" s="20">
        <f>'Reference Score Calculation'!H190</f>
        <v>26</v>
      </c>
      <c r="G198" s="20">
        <f>'Reference Score Calculation'!I190</f>
        <v>24</v>
      </c>
      <c r="H198" s="20">
        <f>'Reference Score Calculation'!J190</f>
        <v>23</v>
      </c>
      <c r="I198" s="20">
        <f>計分版!J213</f>
        <v>3.4999999999999999E-9</v>
      </c>
      <c r="J198" s="13">
        <f>'Reference Score Calculation'!U190</f>
        <v>31</v>
      </c>
      <c r="K198" s="28">
        <f>'Reference Score Calculation'!V190</f>
        <v>15</v>
      </c>
      <c r="L198" s="110">
        <f>'Reference Score Calculation'!Y190</f>
        <v>6.2666666666666666</v>
      </c>
      <c r="M198" s="13">
        <f>入學要求!Z199</f>
        <v>0</v>
      </c>
    </row>
    <row r="199" spans="1:13">
      <c r="A199" s="13" t="str">
        <f>'Reference Score Calculation'!B191</f>
        <v>JS4542</v>
      </c>
      <c r="B199" s="13" t="str">
        <f>'Reference Score Calculation'!C191</f>
        <v>CUHK</v>
      </c>
      <c r="C199" s="13" t="str">
        <f>'Reference Score Calculation'!E191</f>
        <v>中醫學</v>
      </c>
      <c r="D199" s="13" t="str">
        <f>'Reference Score Calculation'!S191</f>
        <v>CHIN MEDICINE</v>
      </c>
      <c r="E199" s="13" t="str">
        <f>'Reference Score Calculation'!F191</f>
        <v>Best 5</v>
      </c>
      <c r="F199" s="20">
        <f>'Reference Score Calculation'!H191</f>
        <v>32</v>
      </c>
      <c r="G199" s="20">
        <f>'Reference Score Calculation'!I191</f>
        <v>29</v>
      </c>
      <c r="H199" s="20">
        <f>'Reference Score Calculation'!J191</f>
        <v>29</v>
      </c>
      <c r="I199" s="20">
        <f>計分版!J214</f>
        <v>3.4999999999999999E-9</v>
      </c>
      <c r="J199" s="13">
        <f>'Reference Score Calculation'!U191</f>
        <v>20</v>
      </c>
      <c r="K199" s="28">
        <f>'Reference Score Calculation'!V191</f>
        <v>25</v>
      </c>
      <c r="L199" s="110">
        <f>'Reference Score Calculation'!Y191</f>
        <v>8.08</v>
      </c>
      <c r="M199" s="13">
        <f>入學要求!Z200</f>
        <v>0</v>
      </c>
    </row>
    <row r="200" spans="1:13">
      <c r="A200" s="13" t="str">
        <f>'Reference Score Calculation'!B192</f>
        <v>JS4550</v>
      </c>
      <c r="B200" s="13" t="str">
        <f>'Reference Score Calculation'!C192</f>
        <v>CUHK</v>
      </c>
      <c r="C200" s="13" t="str">
        <f>'Reference Score Calculation'!E192</f>
        <v>生物醫學</v>
      </c>
      <c r="D200" s="13" t="str">
        <f>'Reference Score Calculation'!S192</f>
        <v>BIOMEDICAL SCIENCES</v>
      </c>
      <c r="E200" s="13" t="str">
        <f>'Reference Score Calculation'!F192</f>
        <v>3C2X</v>
      </c>
      <c r="F200" s="20">
        <f>'Reference Score Calculation'!H192</f>
        <v>39.75</v>
      </c>
      <c r="G200" s="20">
        <f>'Reference Score Calculation'!I192</f>
        <v>38</v>
      </c>
      <c r="H200" s="20">
        <f>'Reference Score Calculation'!J192</f>
        <v>38</v>
      </c>
      <c r="I200" s="20">
        <f>計分版!J215</f>
        <v>2.1999999999999998E-9</v>
      </c>
      <c r="J200" s="13">
        <f>'Reference Score Calculation'!U192</f>
        <v>19</v>
      </c>
      <c r="K200" s="28">
        <f>'Reference Score Calculation'!V192</f>
        <v>17</v>
      </c>
      <c r="L200" s="110">
        <f>'Reference Score Calculation'!Y192</f>
        <v>9.7058823529411757</v>
      </c>
      <c r="M200" s="13">
        <f>入學要求!Z201</f>
        <v>0</v>
      </c>
    </row>
    <row r="201" spans="1:13">
      <c r="A201" s="13" t="str">
        <f>'Reference Score Calculation'!B193</f>
        <v>JS4601</v>
      </c>
      <c r="B201" s="13" t="str">
        <f>'Reference Score Calculation'!C193</f>
        <v>CUHK</v>
      </c>
      <c r="C201" s="13" t="str">
        <f>'Reference Score Calculation'!E193</f>
        <v>理學</v>
      </c>
      <c r="D201" s="13" t="str">
        <f>'Reference Score Calculation'!S193</f>
        <v>SCIENCE</v>
      </c>
      <c r="E201" s="13" t="str">
        <f>'Reference Score Calculation'!F193</f>
        <v>Best 5</v>
      </c>
      <c r="F201" s="20">
        <f>'Reference Score Calculation'!H193</f>
        <v>38.25</v>
      </c>
      <c r="G201" s="20">
        <f>'Reference Score Calculation'!I193</f>
        <v>35.5</v>
      </c>
      <c r="H201" s="20">
        <f>'Reference Score Calculation'!J193</f>
        <v>34.25</v>
      </c>
      <c r="I201" s="20">
        <f>計分版!J216</f>
        <v>3.3999999999999998E-9</v>
      </c>
      <c r="J201" s="13">
        <f>'Reference Score Calculation'!U193</f>
        <v>352</v>
      </c>
      <c r="K201" s="28">
        <f>'Reference Score Calculation'!V193</f>
        <v>361</v>
      </c>
      <c r="L201" s="110">
        <f>'Reference Score Calculation'!Y193</f>
        <v>3.9556786703601108</v>
      </c>
      <c r="M201" s="13">
        <f>入學要求!Z202</f>
        <v>0</v>
      </c>
    </row>
    <row r="202" spans="1:13">
      <c r="A202" s="13" t="str">
        <f>'Reference Score Calculation'!B194</f>
        <v>JS4648</v>
      </c>
      <c r="B202" s="13" t="str">
        <f>'Reference Score Calculation'!C194</f>
        <v>CUHK</v>
      </c>
      <c r="C202" s="13" t="str">
        <f>'Reference Score Calculation'!E194</f>
        <v>地球與環境科學</v>
      </c>
      <c r="D202" s="13" t="str">
        <f>'Reference Score Calculation'!S194</f>
        <v>EESC</v>
      </c>
      <c r="E202" s="13" t="str">
        <f>'Reference Score Calculation'!F194</f>
        <v>Best 5</v>
      </c>
      <c r="F202" s="20">
        <f>'Reference Score Calculation'!H194</f>
        <v>51.5</v>
      </c>
      <c r="G202" s="20">
        <f>'Reference Score Calculation'!I194</f>
        <v>45.25</v>
      </c>
      <c r="H202" s="20">
        <f>'Reference Score Calculation'!J194</f>
        <v>43.25</v>
      </c>
      <c r="I202" s="20">
        <f>計分版!J217</f>
        <v>3.3999999999999998E-9</v>
      </c>
      <c r="J202" s="13">
        <f>'Reference Score Calculation'!U194</f>
        <v>35</v>
      </c>
      <c r="K202" s="28">
        <f>'Reference Score Calculation'!V194</f>
        <v>35</v>
      </c>
      <c r="L202" s="110">
        <f>'Reference Score Calculation'!Y194</f>
        <v>4.8</v>
      </c>
      <c r="M202" s="13">
        <f>入學要求!Z203</f>
        <v>0</v>
      </c>
    </row>
    <row r="203" spans="1:13">
      <c r="A203" s="13" t="str">
        <f>'Reference Score Calculation'!B195</f>
        <v>JS4682</v>
      </c>
      <c r="B203" s="13" t="str">
        <f>'Reference Score Calculation'!C195</f>
        <v>CUHK</v>
      </c>
      <c r="C203" s="13" t="str">
        <f>'Reference Score Calculation'!E195</f>
        <v>數學精研</v>
      </c>
      <c r="D203" s="13" t="str">
        <f>'Reference Score Calculation'!S195</f>
        <v>ENRICHMENT MATHEMATICS</v>
      </c>
      <c r="E203" s="13" t="str">
        <f>'Reference Score Calculation'!F195</f>
        <v>Best 5</v>
      </c>
      <c r="F203" s="20">
        <f>'Reference Score Calculation'!H195</f>
        <v>57.75</v>
      </c>
      <c r="G203" s="20">
        <f>'Reference Score Calculation'!I195</f>
        <v>52.5</v>
      </c>
      <c r="H203" s="20">
        <f>'Reference Score Calculation'!J195</f>
        <v>49.5</v>
      </c>
      <c r="I203" s="20">
        <f>計分版!J218</f>
        <v>4.7500000000000003E-9</v>
      </c>
      <c r="J203" s="13">
        <f>'Reference Score Calculation'!U195</f>
        <v>35</v>
      </c>
      <c r="K203" s="28">
        <f>'Reference Score Calculation'!V195</f>
        <v>38</v>
      </c>
      <c r="L203" s="110">
        <f>'Reference Score Calculation'!Y195</f>
        <v>3.7894736842105261</v>
      </c>
      <c r="M203" s="13">
        <f>入學要求!Z204</f>
        <v>0</v>
      </c>
    </row>
    <row r="204" spans="1:13">
      <c r="A204" s="13" t="str">
        <f>'Reference Score Calculation'!B196</f>
        <v>JS4690</v>
      </c>
      <c r="B204" s="13" t="str">
        <f>'Reference Score Calculation'!C196</f>
        <v>CUHK</v>
      </c>
      <c r="C204" s="13" t="str">
        <f>'Reference Score Calculation'!E196</f>
        <v>理論物理精研</v>
      </c>
      <c r="D204" s="13" t="str">
        <f>'Reference Score Calculation'!S196</f>
        <v>THEORETICAL PHYSICS</v>
      </c>
      <c r="E204" s="13" t="str">
        <f>'Reference Score Calculation'!F196</f>
        <v>Best 5</v>
      </c>
      <c r="F204" s="20">
        <f>'Reference Score Calculation'!H196</f>
        <v>51.25</v>
      </c>
      <c r="G204" s="20">
        <f>'Reference Score Calculation'!I196</f>
        <v>47.5</v>
      </c>
      <c r="H204" s="20">
        <f>'Reference Score Calculation'!J196</f>
        <v>45.25</v>
      </c>
      <c r="I204" s="20">
        <f>計分版!J219</f>
        <v>3.7500000000000005E-9</v>
      </c>
      <c r="J204" s="13">
        <f>'Reference Score Calculation'!U196</f>
        <v>20</v>
      </c>
      <c r="K204" s="28">
        <f>'Reference Score Calculation'!V196</f>
        <v>19</v>
      </c>
      <c r="L204" s="110">
        <f>'Reference Score Calculation'!Y196</f>
        <v>4</v>
      </c>
      <c r="M204" s="13">
        <f>入學要求!Z205</f>
        <v>0</v>
      </c>
    </row>
    <row r="205" spans="1:13">
      <c r="A205" s="13" t="str">
        <f>'Reference Score Calculation'!B197</f>
        <v>JS4719</v>
      </c>
      <c r="B205" s="13" t="str">
        <f>'Reference Score Calculation'!C197</f>
        <v>CUHK</v>
      </c>
      <c r="C205" s="13" t="str">
        <f>'Reference Score Calculation'!E197</f>
        <v>風險管理科學</v>
      </c>
      <c r="D205" s="13" t="str">
        <f>'Reference Score Calculation'!S197</f>
        <v>RISK MGT SCI</v>
      </c>
      <c r="E205" s="13" t="str">
        <f>'Reference Score Calculation'!F197</f>
        <v>Best 5</v>
      </c>
      <c r="F205" s="20">
        <f>'Reference Score Calculation'!H197</f>
        <v>44.5</v>
      </c>
      <c r="G205" s="20">
        <f>'Reference Score Calculation'!I197</f>
        <v>43</v>
      </c>
      <c r="H205" s="20">
        <f>'Reference Score Calculation'!J197</f>
        <v>41.5</v>
      </c>
      <c r="I205" s="20">
        <f>計分版!J220</f>
        <v>3.3999999999999998E-9</v>
      </c>
      <c r="J205" s="13">
        <f>'Reference Score Calculation'!U197</f>
        <v>25</v>
      </c>
      <c r="K205" s="28">
        <f>'Reference Score Calculation'!V197</f>
        <v>30</v>
      </c>
      <c r="L205" s="110">
        <f>'Reference Score Calculation'!Y197</f>
        <v>4.166666666666667</v>
      </c>
      <c r="M205" s="13">
        <f>入學要求!Z206</f>
        <v>0</v>
      </c>
    </row>
    <row r="206" spans="1:13">
      <c r="A206" s="13" t="str">
        <f>'Reference Score Calculation'!B198</f>
        <v>JS4725</v>
      </c>
      <c r="B206" s="13" t="str">
        <f>'Reference Score Calculation'!C198</f>
        <v>CUHK</v>
      </c>
      <c r="C206" s="13" t="str">
        <f>'Reference Score Calculation'!E198</f>
        <v>生物科技、創業與醫療管理</v>
      </c>
      <c r="D206" s="13" t="str">
        <f>'Reference Score Calculation'!S198</f>
        <v>BEHM</v>
      </c>
      <c r="E206" s="13" t="str">
        <f>'Reference Score Calculation'!F198</f>
        <v>Best 5</v>
      </c>
      <c r="F206" s="20">
        <f>'Reference Score Calculation'!H198</f>
        <v>30.5</v>
      </c>
      <c r="G206" s="20">
        <f>'Reference Score Calculation'!I198</f>
        <v>29</v>
      </c>
      <c r="H206" s="20">
        <f>'Reference Score Calculation'!J198</f>
        <v>27.5</v>
      </c>
      <c r="I206" s="20">
        <f>計分版!J221</f>
        <v>3.4999999999999999E-9</v>
      </c>
      <c r="J206" s="13">
        <f>'Reference Score Calculation'!U198</f>
        <v>15</v>
      </c>
      <c r="K206" s="28">
        <f>'Reference Score Calculation'!V198</f>
        <v>14</v>
      </c>
      <c r="L206" s="110">
        <f>'Reference Score Calculation'!Y198</f>
        <v>3.6428571428571428</v>
      </c>
      <c r="M206" s="13">
        <f>入學要求!Z207</f>
        <v>0</v>
      </c>
    </row>
    <row r="207" spans="1:13">
      <c r="A207" s="13" t="str">
        <f>'Reference Score Calculation'!B199</f>
        <v>JS4733</v>
      </c>
      <c r="B207" s="13" t="str">
        <f>'Reference Score Calculation'!C199</f>
        <v>CUHK</v>
      </c>
      <c r="C207" s="13" t="str">
        <f>'Reference Score Calculation'!E199</f>
        <v>數學與信息工程學</v>
      </c>
      <c r="D207" s="13" t="str">
        <f>'Reference Score Calculation'!S199</f>
        <v>MIEGN</v>
      </c>
      <c r="E207" s="13" t="str">
        <f>'Reference Score Calculation'!F199</f>
        <v>Best 5</v>
      </c>
      <c r="F207" s="20">
        <f>'Reference Score Calculation'!H199</f>
        <v>55</v>
      </c>
      <c r="G207" s="20">
        <f>'Reference Score Calculation'!I199</f>
        <v>50.5</v>
      </c>
      <c r="H207" s="20">
        <f>'Reference Score Calculation'!J199</f>
        <v>47.5</v>
      </c>
      <c r="I207" s="20">
        <f>計分版!J222</f>
        <v>3.3999999999999998E-9</v>
      </c>
      <c r="J207" s="13">
        <f>'Reference Score Calculation'!U199</f>
        <v>13</v>
      </c>
      <c r="K207" s="28">
        <f>'Reference Score Calculation'!V199</f>
        <v>7</v>
      </c>
      <c r="L207" s="110">
        <f>'Reference Score Calculation'!Y199</f>
        <v>4.8571428571428568</v>
      </c>
      <c r="M207" s="13">
        <f>入學要求!Z208</f>
        <v>0</v>
      </c>
    </row>
    <row r="208" spans="1:13">
      <c r="A208" s="13" t="str">
        <f>'Reference Score Calculation'!B200</f>
        <v>JS4750</v>
      </c>
      <c r="B208" s="13" t="str">
        <f>'Reference Score Calculation'!C200</f>
        <v>CUHK</v>
      </c>
      <c r="C208" s="13" t="str">
        <f>'Reference Score Calculation'!E200</f>
        <v>航天科學與地球信息學及Ｘ雙主修課程</v>
      </c>
      <c r="D208" s="13" t="str">
        <f>'Reference Score Calculation'!S200</f>
        <v>ASEIDM</v>
      </c>
      <c r="E208" s="13" t="str">
        <f>'Reference Score Calculation'!F200</f>
        <v>Best 5</v>
      </c>
      <c r="F208" s="20">
        <f>'Reference Score Calculation'!H200</f>
        <v>46.5</v>
      </c>
      <c r="G208" s="20">
        <f>'Reference Score Calculation'!I200</f>
        <v>38.75</v>
      </c>
      <c r="H208" s="20">
        <f>'Reference Score Calculation'!J200</f>
        <v>36.5</v>
      </c>
      <c r="I208" s="20">
        <f>計分版!J223</f>
        <v>4.0000000000000002E-9</v>
      </c>
      <c r="J208" s="13">
        <f>'Reference Score Calculation'!U200</f>
        <v>20</v>
      </c>
      <c r="K208" s="28">
        <f>'Reference Score Calculation'!V200</f>
        <v>16</v>
      </c>
      <c r="L208" s="110">
        <f>'Reference Score Calculation'!Y200</f>
        <v>4.2666666666666666</v>
      </c>
      <c r="M208" s="13">
        <f>入學要求!Z209</f>
        <v>0</v>
      </c>
    </row>
    <row r="209" spans="1:13">
      <c r="A209" s="13" t="str">
        <f>'Reference Score Calculation'!B201</f>
        <v>JS4760</v>
      </c>
      <c r="B209" s="13" t="str">
        <f>'Reference Score Calculation'!C201</f>
        <v>CUHK</v>
      </c>
      <c r="C209" s="13" t="str">
        <f>'Reference Score Calculation'!E201</f>
        <v>跨學科數據分析及Ｘ雙主修課程</v>
      </c>
      <c r="D209" s="13" t="str">
        <f>'Reference Score Calculation'!S201</f>
        <v>IDADM</v>
      </c>
      <c r="E209" s="13" t="str">
        <f>'Reference Score Calculation'!F201</f>
        <v>Best 5</v>
      </c>
      <c r="F209" s="20">
        <f>'Reference Score Calculation'!H201</f>
        <v>36.5</v>
      </c>
      <c r="G209" s="20">
        <f>'Reference Score Calculation'!I201</f>
        <v>34</v>
      </c>
      <c r="H209" s="20">
        <f>'Reference Score Calculation'!J201</f>
        <v>32.75</v>
      </c>
      <c r="I209" s="20">
        <f>計分版!J224</f>
        <v>3.7500000000000005E-9</v>
      </c>
      <c r="J209" s="13">
        <f>'Reference Score Calculation'!U201</f>
        <v>20</v>
      </c>
      <c r="K209" s="28">
        <f>'Reference Score Calculation'!V201</f>
        <v>22</v>
      </c>
      <c r="L209" s="110">
        <f>'Reference Score Calculation'!Y201</f>
        <v>3.9545454545454546</v>
      </c>
      <c r="M209" s="13">
        <f>入學要求!Z210</f>
        <v>0</v>
      </c>
    </row>
    <row r="210" spans="1:13">
      <c r="A210" s="13" t="str">
        <f>'Reference Score Calculation'!B202</f>
        <v>JS4801</v>
      </c>
      <c r="B210" s="13" t="str">
        <f>'Reference Score Calculation'!C202</f>
        <v>CUHK</v>
      </c>
      <c r="C210" s="13" t="str">
        <f>'Reference Score Calculation'!E202</f>
        <v>社會科學</v>
      </c>
      <c r="D210" s="13" t="str">
        <f>'Reference Score Calculation'!S202</f>
        <v>SOCIAL SCIENCE</v>
      </c>
      <c r="E210" s="13" t="str">
        <f>'Reference Score Calculation'!F202</f>
        <v>Best 5</v>
      </c>
      <c r="F210" s="20">
        <f>'Reference Score Calculation'!H202</f>
        <v>28.7</v>
      </c>
      <c r="G210" s="20">
        <f>'Reference Score Calculation'!I202</f>
        <v>27.65</v>
      </c>
      <c r="H210" s="20">
        <f>'Reference Score Calculation'!J202</f>
        <v>26.6</v>
      </c>
      <c r="I210" s="20">
        <f>計分版!J225</f>
        <v>3.4999999999999999E-9</v>
      </c>
      <c r="J210" s="13">
        <f>'Reference Score Calculation'!U202</f>
        <v>63</v>
      </c>
      <c r="K210" s="28">
        <f>'Reference Score Calculation'!V202</f>
        <v>25</v>
      </c>
      <c r="L210" s="110">
        <f>'Reference Score Calculation'!Y202</f>
        <v>25.68</v>
      </c>
      <c r="M210" s="13">
        <f>入學要求!Z211</f>
        <v>0</v>
      </c>
    </row>
    <row r="211" spans="1:13">
      <c r="A211" s="13" t="str">
        <f>'Reference Score Calculation'!B203</f>
        <v>JS4812</v>
      </c>
      <c r="B211" s="13" t="str">
        <f>'Reference Score Calculation'!C203</f>
        <v>CUHK</v>
      </c>
      <c r="C211" s="13" t="str">
        <f>'Reference Score Calculation'!E203</f>
        <v>建築學</v>
      </c>
      <c r="D211" s="13" t="str">
        <f>'Reference Score Calculation'!S203</f>
        <v>ARCHITECTURE</v>
      </c>
      <c r="E211" s="13" t="str">
        <f>'Reference Score Calculation'!F203</f>
        <v>Best 5</v>
      </c>
      <c r="F211" s="20">
        <f>'Reference Score Calculation'!H203</f>
        <v>31</v>
      </c>
      <c r="G211" s="20">
        <f>'Reference Score Calculation'!I203</f>
        <v>28</v>
      </c>
      <c r="H211" s="20">
        <f>'Reference Score Calculation'!J203</f>
        <v>27.25</v>
      </c>
      <c r="I211" s="20">
        <f>計分版!J226</f>
        <v>3.4999999999999999E-9</v>
      </c>
      <c r="J211" s="13">
        <f>'Reference Score Calculation'!U203</f>
        <v>31</v>
      </c>
      <c r="K211" s="28">
        <f>'Reference Score Calculation'!V203</f>
        <v>30</v>
      </c>
      <c r="L211" s="110">
        <f>'Reference Score Calculation'!Y203</f>
        <v>4.666666666666667</v>
      </c>
      <c r="M211" s="13">
        <f>入學要求!Z212</f>
        <v>0</v>
      </c>
    </row>
    <row r="212" spans="1:13">
      <c r="A212" s="13" t="str">
        <f>'Reference Score Calculation'!B204</f>
        <v>JS4824</v>
      </c>
      <c r="B212" s="13" t="str">
        <f>'Reference Score Calculation'!C204</f>
        <v>CUHK</v>
      </c>
      <c r="C212" s="13" t="str">
        <f>'Reference Score Calculation'!E204</f>
        <v>經濟學</v>
      </c>
      <c r="D212" s="13" t="str">
        <f>'Reference Score Calculation'!S204</f>
        <v>ECONOMICS</v>
      </c>
      <c r="E212" s="13" t="str">
        <f>'Reference Score Calculation'!F204</f>
        <v>Best 5</v>
      </c>
      <c r="F212" s="20">
        <f>'Reference Score Calculation'!H204</f>
        <v>32.25</v>
      </c>
      <c r="G212" s="20">
        <f>'Reference Score Calculation'!I204</f>
        <v>30</v>
      </c>
      <c r="H212" s="20">
        <f>'Reference Score Calculation'!J204</f>
        <v>29</v>
      </c>
      <c r="I212" s="20">
        <f>計分版!J227</f>
        <v>3.7500000000000005E-9</v>
      </c>
      <c r="J212" s="13">
        <f>'Reference Score Calculation'!U204</f>
        <v>65</v>
      </c>
      <c r="K212" s="28">
        <f>'Reference Score Calculation'!V204</f>
        <v>55</v>
      </c>
      <c r="L212" s="110">
        <f>'Reference Score Calculation'!Y204</f>
        <v>6.0727272727272723</v>
      </c>
      <c r="M212" s="13">
        <f>入學要求!Z213</f>
        <v>0</v>
      </c>
    </row>
    <row r="213" spans="1:13">
      <c r="A213" s="13" t="str">
        <f>'Reference Score Calculation'!B205</f>
        <v>JS4836</v>
      </c>
      <c r="B213" s="13" t="str">
        <f>'Reference Score Calculation'!C205</f>
        <v>CUHK</v>
      </c>
      <c r="C213" s="13" t="str">
        <f>'Reference Score Calculation'!E205</f>
        <v>地理與資源管理學</v>
      </c>
      <c r="D213" s="13" t="str">
        <f>'Reference Score Calculation'!S205</f>
        <v>GEO &amp; RES MGT</v>
      </c>
      <c r="E213" s="13" t="str">
        <f>'Reference Score Calculation'!F205</f>
        <v>Best 5</v>
      </c>
      <c r="F213" s="20">
        <f>'Reference Score Calculation'!H205</f>
        <v>32.25</v>
      </c>
      <c r="G213" s="20">
        <f>'Reference Score Calculation'!I205</f>
        <v>30.75</v>
      </c>
      <c r="H213" s="20">
        <f>'Reference Score Calculation'!J205</f>
        <v>30</v>
      </c>
      <c r="I213" s="20">
        <f>計分版!J228</f>
        <v>3.4999999999999999E-9</v>
      </c>
      <c r="J213" s="13">
        <f>'Reference Score Calculation'!U205</f>
        <v>39</v>
      </c>
      <c r="K213" s="28">
        <f>'Reference Score Calculation'!V205</f>
        <v>44</v>
      </c>
      <c r="L213" s="110">
        <f>'Reference Score Calculation'!Y205</f>
        <v>6.9318181818181817</v>
      </c>
      <c r="M213" s="13">
        <f>入學要求!Z214</f>
        <v>0</v>
      </c>
    </row>
    <row r="214" spans="1:13">
      <c r="A214" s="13" t="str">
        <f>'Reference Score Calculation'!B206</f>
        <v>JS4838</v>
      </c>
      <c r="B214" s="13" t="str">
        <f>'Reference Score Calculation'!C206</f>
        <v>CUHK</v>
      </c>
      <c r="C214" s="13" t="str">
        <f>'Reference Score Calculation'!E206</f>
        <v>城市研究</v>
      </c>
      <c r="D214" s="13" t="str">
        <f>'Reference Score Calculation'!S206</f>
        <v>URBAN STUDIES</v>
      </c>
      <c r="E214" s="13" t="str">
        <f>'Reference Score Calculation'!F206</f>
        <v>Best 5</v>
      </c>
      <c r="F214" s="20">
        <f>'Reference Score Calculation'!H206</f>
        <v>26</v>
      </c>
      <c r="G214" s="20">
        <f>'Reference Score Calculation'!I206</f>
        <v>24.5</v>
      </c>
      <c r="H214" s="20">
        <f>'Reference Score Calculation'!J206</f>
        <v>24</v>
      </c>
      <c r="I214" s="20">
        <f>計分版!J229</f>
        <v>3.4999999999999999E-9</v>
      </c>
      <c r="J214" s="13">
        <f>'Reference Score Calculation'!U206</f>
        <v>19</v>
      </c>
      <c r="K214" s="28">
        <f>'Reference Score Calculation'!V206</f>
        <v>23</v>
      </c>
      <c r="L214" s="110">
        <f>'Reference Score Calculation'!Y206</f>
        <v>8</v>
      </c>
      <c r="M214" s="13">
        <f>入學要求!Z215</f>
        <v>0</v>
      </c>
    </row>
    <row r="215" spans="1:13">
      <c r="A215" s="13" t="str">
        <f>'Reference Score Calculation'!B207</f>
        <v>JS4848</v>
      </c>
      <c r="B215" s="13" t="str">
        <f>'Reference Score Calculation'!C207</f>
        <v>CUHK</v>
      </c>
      <c r="C215" s="13" t="str">
        <f>'Reference Score Calculation'!E207</f>
        <v>政治與行政學</v>
      </c>
      <c r="D215" s="13" t="str">
        <f>'Reference Score Calculation'!S207</f>
        <v>GOV'T &amp; PUBLIC ADMIN</v>
      </c>
      <c r="E215" s="13" t="str">
        <f>'Reference Score Calculation'!F207</f>
        <v>Best 5</v>
      </c>
      <c r="F215" s="20">
        <f>'Reference Score Calculation'!H207</f>
        <v>27.125</v>
      </c>
      <c r="G215" s="20">
        <f>'Reference Score Calculation'!I207</f>
        <v>26.375</v>
      </c>
      <c r="H215" s="20">
        <f>'Reference Score Calculation'!J207</f>
        <v>25.5</v>
      </c>
      <c r="I215" s="20">
        <f>計分版!J230</f>
        <v>3.4999999999999999E-9</v>
      </c>
      <c r="J215" s="13">
        <f>'Reference Score Calculation'!U207</f>
        <v>37</v>
      </c>
      <c r="K215" s="28">
        <f>'Reference Score Calculation'!V207</f>
        <v>39</v>
      </c>
      <c r="L215" s="110">
        <f>'Reference Score Calculation'!Y207</f>
        <v>7.2820512820512819</v>
      </c>
      <c r="M215" s="13">
        <f>入學要求!Z216</f>
        <v>0</v>
      </c>
    </row>
    <row r="216" spans="1:13">
      <c r="A216" s="13" t="str">
        <f>'Reference Score Calculation'!B208</f>
        <v>JS4850</v>
      </c>
      <c r="B216" s="13" t="str">
        <f>'Reference Score Calculation'!C208</f>
        <v>CUHK</v>
      </c>
      <c r="C216" s="13" t="str">
        <f>'Reference Score Calculation'!E208</f>
        <v>新聞與傳播學</v>
      </c>
      <c r="D216" s="13" t="str">
        <f>'Reference Score Calculation'!S208</f>
        <v>JOURNALISM &amp; COMMUN</v>
      </c>
      <c r="E216" s="13" t="str">
        <f>'Reference Score Calculation'!F208</f>
        <v>Best 5</v>
      </c>
      <c r="F216" s="20">
        <f>'Reference Score Calculation'!H208</f>
        <v>31.85</v>
      </c>
      <c r="G216" s="20">
        <f>'Reference Score Calculation'!I208</f>
        <v>29.75</v>
      </c>
      <c r="H216" s="20">
        <f>'Reference Score Calculation'!J208</f>
        <v>28.45</v>
      </c>
      <c r="I216" s="20">
        <f>計分版!J231</f>
        <v>3.4999999999999999E-9</v>
      </c>
      <c r="J216" s="13">
        <f>'Reference Score Calculation'!U208</f>
        <v>43</v>
      </c>
      <c r="K216" s="28">
        <f>'Reference Score Calculation'!V208</f>
        <v>43</v>
      </c>
      <c r="L216" s="110">
        <f>'Reference Score Calculation'!Y208</f>
        <v>3.4883720930232558</v>
      </c>
      <c r="M216" s="13">
        <f>入學要求!Z217</f>
        <v>0</v>
      </c>
    </row>
    <row r="217" spans="1:13">
      <c r="A217" s="13" t="str">
        <f>'Reference Score Calculation'!B209</f>
        <v>JS4858</v>
      </c>
      <c r="B217" s="13" t="str">
        <f>'Reference Score Calculation'!C209</f>
        <v>CUHK</v>
      </c>
      <c r="C217" s="13" t="str">
        <f>'Reference Score Calculation'!E209</f>
        <v>全球傳播</v>
      </c>
      <c r="D217" s="13" t="str">
        <f>'Reference Score Calculation'!S209</f>
        <v>GLOBAL COMM</v>
      </c>
      <c r="E217" s="13" t="str">
        <f>'Reference Score Calculation'!F209</f>
        <v>Best 5</v>
      </c>
      <c r="F217" s="20" t="str">
        <f>'Reference Score Calculation'!H209</f>
        <v>/</v>
      </c>
      <c r="G217" s="20" t="str">
        <f>'Reference Score Calculation'!I209</f>
        <v>/</v>
      </c>
      <c r="H217" s="20" t="str">
        <f>'Reference Score Calculation'!J209</f>
        <v>/</v>
      </c>
      <c r="I217" s="20" t="str">
        <f>計分版!J232</f>
        <v>/</v>
      </c>
      <c r="J217" s="13">
        <f>'Reference Score Calculation'!U209</f>
        <v>9</v>
      </c>
      <c r="K217" s="28">
        <f>'Reference Score Calculation'!V209</f>
        <v>4</v>
      </c>
      <c r="L217" s="110">
        <f>'Reference Score Calculation'!Y209</f>
        <v>5.75</v>
      </c>
      <c r="M217" s="13">
        <f>入學要求!Z218</f>
        <v>0</v>
      </c>
    </row>
    <row r="218" spans="1:13">
      <c r="A218" s="13" t="str">
        <f>'Reference Score Calculation'!B210</f>
        <v>JS4862</v>
      </c>
      <c r="B218" s="13" t="str">
        <f>'Reference Score Calculation'!C210</f>
        <v>CUHK</v>
      </c>
      <c r="C218" s="13" t="str">
        <f>'Reference Score Calculation'!E210</f>
        <v>心理學</v>
      </c>
      <c r="D218" s="13" t="str">
        <f>'Reference Score Calculation'!S210</f>
        <v>PSYCHOLOGY</v>
      </c>
      <c r="E218" s="13" t="str">
        <f>'Reference Score Calculation'!F210</f>
        <v>Best 5</v>
      </c>
      <c r="F218" s="20">
        <f>'Reference Score Calculation'!H210</f>
        <v>33.75</v>
      </c>
      <c r="G218" s="20">
        <f>'Reference Score Calculation'!I210</f>
        <v>32.25</v>
      </c>
      <c r="H218" s="20">
        <f>'Reference Score Calculation'!J210</f>
        <v>30.75</v>
      </c>
      <c r="I218" s="20">
        <f>計分版!J233</f>
        <v>3.4999999999999999E-9</v>
      </c>
      <c r="J218" s="13">
        <f>'Reference Score Calculation'!U210</f>
        <v>56</v>
      </c>
      <c r="K218" s="28">
        <f>'Reference Score Calculation'!V210</f>
        <v>60</v>
      </c>
      <c r="L218" s="110">
        <f>'Reference Score Calculation'!Y210</f>
        <v>5.7</v>
      </c>
      <c r="M218" s="13">
        <f>入學要求!Z219</f>
        <v>0</v>
      </c>
    </row>
    <row r="219" spans="1:13">
      <c r="A219" s="13" t="str">
        <f>'Reference Score Calculation'!B211</f>
        <v>JS4874</v>
      </c>
      <c r="B219" s="13" t="str">
        <f>'Reference Score Calculation'!C211</f>
        <v>CUHK</v>
      </c>
      <c r="C219" s="13" t="str">
        <f>'Reference Score Calculation'!E211</f>
        <v>社會工作</v>
      </c>
      <c r="D219" s="13" t="str">
        <f>'Reference Score Calculation'!S211</f>
        <v>SOCIAL WORK</v>
      </c>
      <c r="E219" s="13" t="str">
        <f>'Reference Score Calculation'!F211</f>
        <v>Best 5</v>
      </c>
      <c r="F219" s="20">
        <f>'Reference Score Calculation'!H211</f>
        <v>29</v>
      </c>
      <c r="G219" s="20">
        <f>'Reference Score Calculation'!I211</f>
        <v>27.5</v>
      </c>
      <c r="H219" s="20">
        <f>'Reference Score Calculation'!J211</f>
        <v>26</v>
      </c>
      <c r="I219" s="20">
        <f>計分版!J234</f>
        <v>3.4999999999999999E-9</v>
      </c>
      <c r="J219" s="13">
        <f>'Reference Score Calculation'!U211</f>
        <v>45</v>
      </c>
      <c r="K219" s="28">
        <f>'Reference Score Calculation'!V211</f>
        <v>37</v>
      </c>
      <c r="L219" s="110">
        <f>'Reference Score Calculation'!Y211</f>
        <v>8.7297297297297298</v>
      </c>
      <c r="M219" s="13">
        <f>入學要求!Z220</f>
        <v>0</v>
      </c>
    </row>
    <row r="220" spans="1:13">
      <c r="A220" s="13" t="str">
        <f>'Reference Score Calculation'!B212</f>
        <v>JS4886</v>
      </c>
      <c r="B220" s="13" t="str">
        <f>'Reference Score Calculation'!C212</f>
        <v>CUHK</v>
      </c>
      <c r="C220" s="13" t="str">
        <f>'Reference Score Calculation'!E212</f>
        <v>社會學</v>
      </c>
      <c r="D220" s="13" t="str">
        <f>'Reference Score Calculation'!S212</f>
        <v>SOCIOLOGY</v>
      </c>
      <c r="E220" s="13" t="str">
        <f>'Reference Score Calculation'!F212</f>
        <v>Best 5</v>
      </c>
      <c r="F220" s="20">
        <f>'Reference Score Calculation'!H212</f>
        <v>26.5</v>
      </c>
      <c r="G220" s="20">
        <f>'Reference Score Calculation'!I212</f>
        <v>25.5</v>
      </c>
      <c r="H220" s="20">
        <f>'Reference Score Calculation'!J212</f>
        <v>25</v>
      </c>
      <c r="I220" s="20">
        <f>計分版!J235</f>
        <v>3.4999999999999999E-9</v>
      </c>
      <c r="J220" s="13">
        <f>'Reference Score Calculation'!U212</f>
        <v>38</v>
      </c>
      <c r="K220" s="28">
        <f>'Reference Score Calculation'!V212</f>
        <v>38</v>
      </c>
      <c r="L220" s="110">
        <f>'Reference Score Calculation'!Y212</f>
        <v>6.3783783783783781</v>
      </c>
      <c r="M220" s="13">
        <f>入學要求!Z221</f>
        <v>0</v>
      </c>
    </row>
    <row r="221" spans="1:13">
      <c r="A221" s="13" t="str">
        <f>'Reference Score Calculation'!B213</f>
        <v>JS4892</v>
      </c>
      <c r="B221" s="13" t="str">
        <f>'Reference Score Calculation'!C213</f>
        <v>CUHK</v>
      </c>
      <c r="C221" s="13" t="str">
        <f>'Reference Score Calculation'!E213</f>
        <v>全球研究</v>
      </c>
      <c r="D221" s="13" t="str">
        <f>'Reference Score Calculation'!S213</f>
        <v>GLOBAL STUDIES</v>
      </c>
      <c r="E221" s="13" t="str">
        <f>'Reference Score Calculation'!F213</f>
        <v>Best 5</v>
      </c>
      <c r="F221" s="20">
        <f>'Reference Score Calculation'!H213</f>
        <v>30.25</v>
      </c>
      <c r="G221" s="20">
        <f>'Reference Score Calculation'!I213</f>
        <v>25.5</v>
      </c>
      <c r="H221" s="20">
        <f>'Reference Score Calculation'!J213</f>
        <v>24.25</v>
      </c>
      <c r="I221" s="20">
        <f>計分版!J236</f>
        <v>3.4999999999999999E-9</v>
      </c>
      <c r="J221" s="13">
        <f>'Reference Score Calculation'!U213</f>
        <v>19</v>
      </c>
      <c r="K221" s="28">
        <f>'Reference Score Calculation'!V213</f>
        <v>20</v>
      </c>
      <c r="L221" s="110">
        <f>'Reference Score Calculation'!Y213</f>
        <v>3.1</v>
      </c>
      <c r="M221" s="13">
        <f>入學要求!Z222</f>
        <v>0</v>
      </c>
    </row>
    <row r="222" spans="1:13">
      <c r="A222" s="13" t="str">
        <f>'Reference Score Calculation'!B214</f>
        <v>JS4893</v>
      </c>
      <c r="B222" s="13" t="str">
        <f>'Reference Score Calculation'!C214</f>
        <v>CUHK</v>
      </c>
      <c r="C222" s="13" t="str">
        <f>'Reference Score Calculation'!E214</f>
        <v>數據科學與政策研究</v>
      </c>
      <c r="D222" s="13" t="str">
        <f>'Reference Score Calculation'!S214</f>
        <v>DSPS</v>
      </c>
      <c r="E222" s="13" t="str">
        <f>'Reference Score Calculation'!F214</f>
        <v>Best 5</v>
      </c>
      <c r="F222" s="20">
        <f>'Reference Score Calculation'!H214</f>
        <v>23</v>
      </c>
      <c r="G222" s="20">
        <f>'Reference Score Calculation'!I214</f>
        <v>23</v>
      </c>
      <c r="H222" s="20">
        <f>'Reference Score Calculation'!J214</f>
        <v>23</v>
      </c>
      <c r="I222" s="20">
        <f>計分版!J237</f>
        <v>3.4999999999999999E-9</v>
      </c>
      <c r="J222" s="13">
        <f>'Reference Score Calculation'!U214</f>
        <v>19</v>
      </c>
      <c r="K222" s="28">
        <f>'Reference Score Calculation'!V214</f>
        <v>19</v>
      </c>
      <c r="L222" s="110">
        <f>'Reference Score Calculation'!Y214</f>
        <v>4.7894736842105265</v>
      </c>
      <c r="M222" s="13">
        <f>入學要求!Z223</f>
        <v>0</v>
      </c>
    </row>
    <row r="223" spans="1:13">
      <c r="A223" s="13" t="str">
        <f>'Reference Score Calculation'!B215</f>
        <v>JS4903</v>
      </c>
      <c r="B223" s="13" t="str">
        <f>'Reference Score Calculation'!C215</f>
        <v>CUHK</v>
      </c>
      <c r="C223" s="13" t="str">
        <f>'Reference Score Calculation'!E215</f>
        <v>法學士</v>
      </c>
      <c r="D223" s="13" t="str">
        <f>'Reference Score Calculation'!S215</f>
        <v>LLB</v>
      </c>
      <c r="E223" s="13" t="str">
        <f>'Reference Score Calculation'!F215</f>
        <v>3C2X</v>
      </c>
      <c r="F223" s="20">
        <f>'Reference Score Calculation'!H215</f>
        <v>34.5</v>
      </c>
      <c r="G223" s="20">
        <f>'Reference Score Calculation'!I215</f>
        <v>33</v>
      </c>
      <c r="H223" s="20">
        <f>'Reference Score Calculation'!J215</f>
        <v>33</v>
      </c>
      <c r="I223" s="20">
        <f>計分版!J238</f>
        <v>3.4999999999999999E-9</v>
      </c>
      <c r="J223" s="13">
        <f>'Reference Score Calculation'!U215</f>
        <v>73</v>
      </c>
      <c r="K223" s="28">
        <f>'Reference Score Calculation'!V215</f>
        <v>40</v>
      </c>
      <c r="L223" s="110">
        <f>'Reference Score Calculation'!Y215</f>
        <v>5.8250000000000002</v>
      </c>
      <c r="M223" s="13">
        <f>入學要求!Z224</f>
        <v>0</v>
      </c>
    </row>
    <row r="224" spans="1:13">
      <c r="D224" s="13"/>
      <c r="K224" s="28"/>
    </row>
    <row r="225" spans="1:13">
      <c r="D225" s="13"/>
      <c r="K225" s="28"/>
    </row>
    <row r="226" spans="1:13">
      <c r="A226" s="13" t="str">
        <f>'Reference Score Calculation'!B218</f>
        <v>JS5101</v>
      </c>
      <c r="B226" s="13" t="str">
        <f>'Reference Score Calculation'!C218</f>
        <v>HKUST</v>
      </c>
      <c r="C226" s="13" t="str">
        <f>'Reference Score Calculation'!E218</f>
        <v>國際科研</v>
      </c>
      <c r="D226" s="13" t="str">
        <f>'Reference Score Calculation'!S218</f>
        <v>IRE</v>
      </c>
      <c r="E226" s="13" t="str">
        <f>'Reference Score Calculation'!F218</f>
        <v>英數Best3</v>
      </c>
      <c r="F226" s="20" t="str">
        <f>'Reference Score Calculation'!H218</f>
        <v>/</v>
      </c>
      <c r="G226" s="20">
        <f>'Reference Score Calculation'!I218</f>
        <v>36.75</v>
      </c>
      <c r="H226" s="20">
        <f>'Reference Score Calculation'!J218</f>
        <v>34.5</v>
      </c>
      <c r="I226" s="20">
        <f>計分版!J241</f>
        <v>2.5000000000000001E-9</v>
      </c>
      <c r="J226" s="13">
        <f>'Reference Score Calculation'!U218</f>
        <v>20</v>
      </c>
      <c r="K226" s="28">
        <f>'Reference Score Calculation'!V218</f>
        <v>21</v>
      </c>
      <c r="L226" s="110">
        <f>'Reference Score Calculation'!Y218</f>
        <v>3.2857142857142856</v>
      </c>
      <c r="M226" s="13">
        <f>入學要求!Z227</f>
        <v>0</v>
      </c>
    </row>
    <row r="227" spans="1:13">
      <c r="A227" s="13" t="str">
        <f>'Reference Score Calculation'!B219</f>
        <v>JS5102</v>
      </c>
      <c r="B227" s="13" t="str">
        <f>'Reference Score Calculation'!C219</f>
        <v>HKUST</v>
      </c>
      <c r="C227" s="13" t="str">
        <f>'Reference Score Calculation'!E219</f>
        <v>理學Ａ組</v>
      </c>
      <c r="D227" s="13" t="str">
        <f>'Reference Score Calculation'!S219</f>
        <v>SSCI-A</v>
      </c>
      <c r="E227" s="13" t="str">
        <f>'Reference Score Calculation'!F219</f>
        <v>英數Best3</v>
      </c>
      <c r="F227" s="20" t="str">
        <f>'Reference Score Calculation'!H219</f>
        <v>/</v>
      </c>
      <c r="G227" s="20">
        <f>'Reference Score Calculation'!I219</f>
        <v>31.13</v>
      </c>
      <c r="H227" s="20">
        <f>'Reference Score Calculation'!J219</f>
        <v>29.66</v>
      </c>
      <c r="I227" s="20">
        <f>計分版!J242</f>
        <v>3.2999999999999998E-9</v>
      </c>
      <c r="J227" s="13" t="str">
        <f>'Reference Score Calculation'!U219</f>
        <v>408*</v>
      </c>
      <c r="K227" s="28">
        <f>'Reference Score Calculation'!V219</f>
        <v>188</v>
      </c>
      <c r="L227" s="110">
        <f>'Reference Score Calculation'!Y219</f>
        <v>5.1215469613259668</v>
      </c>
      <c r="M227" s="13">
        <f>入學要求!Z228</f>
        <v>0</v>
      </c>
    </row>
    <row r="228" spans="1:13">
      <c r="A228" s="13" t="str">
        <f>'Reference Score Calculation'!B220</f>
        <v>JS5103</v>
      </c>
      <c r="B228" s="13" t="str">
        <f>'Reference Score Calculation'!C220</f>
        <v>HKUST</v>
      </c>
      <c r="C228" s="13" t="str">
        <f>'Reference Score Calculation'!E220</f>
        <v>理學Ｂ組</v>
      </c>
      <c r="D228" s="13" t="str">
        <f>'Reference Score Calculation'!S220</f>
        <v>SSCI-B</v>
      </c>
      <c r="E228" s="13" t="str">
        <f>'Reference Score Calculation'!F220</f>
        <v>英數Best3</v>
      </c>
      <c r="F228" s="20" t="str">
        <f>'Reference Score Calculation'!H220</f>
        <v>/</v>
      </c>
      <c r="G228" s="20">
        <f>'Reference Score Calculation'!I220</f>
        <v>32</v>
      </c>
      <c r="H228" s="20">
        <f>'Reference Score Calculation'!J220</f>
        <v>30.44</v>
      </c>
      <c r="I228" s="20">
        <f>計分版!J243</f>
        <v>3.05E-9</v>
      </c>
      <c r="J228" s="13" t="str">
        <f>'Reference Score Calculation'!U220</f>
        <v>408*</v>
      </c>
      <c r="K228" s="28">
        <f>'Reference Score Calculation'!V220</f>
        <v>203</v>
      </c>
      <c r="L228" s="110">
        <f>'Reference Score Calculation'!Y220</f>
        <v>5.4766839378238341</v>
      </c>
      <c r="M228" s="13">
        <f>入學要求!Z229</f>
        <v>0</v>
      </c>
    </row>
    <row r="229" spans="1:13">
      <c r="A229" s="13" t="str">
        <f>'Reference Score Calculation'!B221</f>
        <v>JS5118</v>
      </c>
      <c r="B229" s="13" t="str">
        <f>'Reference Score Calculation'!C221</f>
        <v>HKUST</v>
      </c>
      <c r="C229" s="13" t="str">
        <f>'Reference Score Calculation'!E221</f>
        <v>理學士（生物醫學及健康科學）</v>
      </c>
      <c r="D229" s="13" t="str">
        <f>'Reference Score Calculation'!S221</f>
        <v>BMH</v>
      </c>
      <c r="E229" s="13" t="str">
        <f>'Reference Score Calculation'!F221</f>
        <v>25年新科目</v>
      </c>
      <c r="F229" s="20">
        <f>'Reference Score Calculation'!H221</f>
        <v>0</v>
      </c>
      <c r="G229" s="20" t="str">
        <f>'Reference Score Calculation'!I221</f>
        <v>/</v>
      </c>
      <c r="H229" s="20" t="str">
        <f>'Reference Score Calculation'!J221</f>
        <v>/</v>
      </c>
      <c r="I229" s="20">
        <f>計分版!J244</f>
        <v>3.05E-9</v>
      </c>
      <c r="J229" s="13">
        <f>'Reference Score Calculation'!U221</f>
        <v>25</v>
      </c>
      <c r="K229" s="28" t="str">
        <f>'Reference Score Calculation'!V221</f>
        <v>/</v>
      </c>
      <c r="L229" s="110" t="str">
        <f>'Reference Score Calculation'!Y221</f>
        <v>新科目</v>
      </c>
      <c r="M229" s="13">
        <f>入學要求!Z230</f>
        <v>0</v>
      </c>
    </row>
    <row r="230" spans="1:13">
      <c r="A230" s="13" t="str">
        <f>'Reference Score Calculation'!B222</f>
        <v>JS5181</v>
      </c>
      <c r="B230" s="13" t="str">
        <f>'Reference Score Calculation'!C222</f>
        <v>HKUST</v>
      </c>
      <c r="C230" s="13" t="str">
        <f>'Reference Score Calculation'!E222</f>
        <v>理學Ａ組– 延伸主修人工智能</v>
      </c>
      <c r="D230" s="13" t="str">
        <f>'Reference Score Calculation'!S222</f>
        <v>SSCI-A (AI)</v>
      </c>
      <c r="E230" s="13" t="str">
        <f>'Reference Score Calculation'!F222</f>
        <v>英數Best3</v>
      </c>
      <c r="F230" s="20" t="str">
        <f>'Reference Score Calculation'!H222</f>
        <v>/</v>
      </c>
      <c r="G230" s="20">
        <f>'Reference Score Calculation'!I222</f>
        <v>37.380000000000003</v>
      </c>
      <c r="H230" s="20">
        <f>'Reference Score Calculation'!J222</f>
        <v>34</v>
      </c>
      <c r="I230" s="20">
        <f>計分版!J245</f>
        <v>3.2999999999999998E-9</v>
      </c>
      <c r="J230" s="13">
        <f>'Reference Score Calculation'!U222</f>
        <v>40</v>
      </c>
      <c r="K230" s="28">
        <f>'Reference Score Calculation'!V222</f>
        <v>36</v>
      </c>
      <c r="L230" s="110">
        <f>'Reference Score Calculation'!Y222</f>
        <v>4.0277777777777777</v>
      </c>
      <c r="M230" s="13">
        <f>入學要求!Z231</f>
        <v>0</v>
      </c>
    </row>
    <row r="231" spans="1:13">
      <c r="A231" s="13" t="str">
        <f>'Reference Score Calculation'!B223</f>
        <v>JS5212</v>
      </c>
      <c r="B231" s="13" t="str">
        <f>'Reference Score Calculation'!C223</f>
        <v>HKUST</v>
      </c>
      <c r="C231" s="13" t="str">
        <f>'Reference Score Calculation'!E223</f>
        <v>工學士（計算機工程學）</v>
      </c>
      <c r="D231" s="13" t="str">
        <f>'Reference Score Calculation'!S223</f>
        <v>CPEG</v>
      </c>
      <c r="E231" s="13" t="str">
        <f>'Reference Score Calculation'!F223</f>
        <v>英數Best3</v>
      </c>
      <c r="F231" s="20" t="str">
        <f>'Reference Score Calculation'!H223</f>
        <v>/</v>
      </c>
      <c r="G231" s="20">
        <f>'Reference Score Calculation'!I223</f>
        <v>48.45</v>
      </c>
      <c r="H231" s="20">
        <f>'Reference Score Calculation'!J223</f>
        <v>45.7</v>
      </c>
      <c r="I231" s="20">
        <f>計分版!J246</f>
        <v>3.2999999999999998E-9</v>
      </c>
      <c r="J231" s="13">
        <f>'Reference Score Calculation'!U223</f>
        <v>93</v>
      </c>
      <c r="K231" s="28" t="str">
        <f>'Reference Score Calculation'!V223</f>
        <v>/</v>
      </c>
      <c r="L231" s="110" t="str">
        <f>'Reference Score Calculation'!Y223</f>
        <v>新科目</v>
      </c>
      <c r="M231" s="13">
        <f>入學要求!Z232</f>
        <v>0</v>
      </c>
    </row>
    <row r="232" spans="1:13">
      <c r="A232" s="13" t="str">
        <f>'Reference Score Calculation'!B224</f>
        <v>JS5220</v>
      </c>
      <c r="B232" s="13" t="str">
        <f>'Reference Score Calculation'!C224</f>
        <v>HKUST</v>
      </c>
      <c r="C232" s="13" t="str">
        <f>'Reference Score Calculation'!E224</f>
        <v>化學及生物工程學系</v>
      </c>
      <c r="D232" s="13" t="str">
        <f>'Reference Score Calculation'!S224</f>
        <v>CBE</v>
      </c>
      <c r="E232" s="13" t="str">
        <f>'Reference Score Calculation'!F224</f>
        <v>英數Best3</v>
      </c>
      <c r="F232" s="20" t="str">
        <f>'Reference Score Calculation'!H224</f>
        <v>/</v>
      </c>
      <c r="G232" s="20">
        <f>'Reference Score Calculation'!I224</f>
        <v>39.78</v>
      </c>
      <c r="H232" s="20">
        <f>'Reference Score Calculation'!J224</f>
        <v>38.21</v>
      </c>
      <c r="I232" s="20">
        <f>計分版!J247</f>
        <v>3.2999999999999998E-9</v>
      </c>
      <c r="J232" s="13">
        <f>'Reference Score Calculation'!U224</f>
        <v>47</v>
      </c>
      <c r="K232" s="28" t="str">
        <f>'Reference Score Calculation'!V224</f>
        <v>/</v>
      </c>
      <c r="L232" s="110" t="str">
        <f>'Reference Score Calculation'!Y224</f>
        <v>新科目</v>
      </c>
      <c r="M232" s="13">
        <f>入學要求!Z233</f>
        <v>0</v>
      </c>
    </row>
    <row r="233" spans="1:13">
      <c r="A233" s="13" t="str">
        <f>'Reference Score Calculation'!B225</f>
        <v>JS5230</v>
      </c>
      <c r="B233" s="13" t="str">
        <f>'Reference Score Calculation'!C225</f>
        <v>HKUST</v>
      </c>
      <c r="C233" s="13" t="str">
        <f>'Reference Score Calculation'!E225</f>
        <v>土木及環境工程學系</v>
      </c>
      <c r="D233" s="13" t="str">
        <f>'Reference Score Calculation'!S225</f>
        <v>CIVL</v>
      </c>
      <c r="E233" s="13" t="str">
        <f>'Reference Score Calculation'!F225</f>
        <v>英數Best3</v>
      </c>
      <c r="F233" s="20" t="str">
        <f>'Reference Score Calculation'!H225</f>
        <v>/</v>
      </c>
      <c r="G233" s="20">
        <f>'Reference Score Calculation'!I225</f>
        <v>39.78</v>
      </c>
      <c r="H233" s="20">
        <f>'Reference Score Calculation'!J225</f>
        <v>38.21</v>
      </c>
      <c r="I233" s="20">
        <f>計分版!J248</f>
        <v>3.2999999999999998E-9</v>
      </c>
      <c r="J233" s="13">
        <f>'Reference Score Calculation'!U225</f>
        <v>121</v>
      </c>
      <c r="K233" s="28" t="str">
        <f>'Reference Score Calculation'!V225</f>
        <v>/</v>
      </c>
      <c r="L233" s="110" t="str">
        <f>'Reference Score Calculation'!Y225</f>
        <v>新科目</v>
      </c>
      <c r="M233" s="13">
        <f>入學要求!Z234</f>
        <v>0</v>
      </c>
    </row>
    <row r="234" spans="1:13">
      <c r="A234" s="13" t="str">
        <f>'Reference Score Calculation'!B226</f>
        <v>JS5240</v>
      </c>
      <c r="B234" s="13" t="str">
        <f>'Reference Score Calculation'!C226</f>
        <v>HKUST</v>
      </c>
      <c r="C234" s="13" t="str">
        <f>'Reference Score Calculation'!E226</f>
        <v>計算機科學及工程學系</v>
      </c>
      <c r="D234" s="13" t="str">
        <f>'Reference Score Calculation'!S226</f>
        <v>CSE</v>
      </c>
      <c r="E234" s="13" t="str">
        <f>'Reference Score Calculation'!F226</f>
        <v>英數Best3</v>
      </c>
      <c r="F234" s="20" t="str">
        <f>'Reference Score Calculation'!H226</f>
        <v>/</v>
      </c>
      <c r="G234" s="20">
        <f>'Reference Score Calculation'!I226</f>
        <v>48.45</v>
      </c>
      <c r="H234" s="20">
        <f>'Reference Score Calculation'!J226</f>
        <v>45.7</v>
      </c>
      <c r="I234" s="20">
        <f>計分版!J249</f>
        <v>3.2999999999999998E-9</v>
      </c>
      <c r="J234" s="13">
        <f>'Reference Score Calculation'!U226</f>
        <v>119</v>
      </c>
      <c r="K234" s="28" t="str">
        <f>'Reference Score Calculation'!V226</f>
        <v>/</v>
      </c>
      <c r="L234" s="110" t="str">
        <f>'Reference Score Calculation'!Y226</f>
        <v>新科目</v>
      </c>
      <c r="M234" s="13">
        <f>入學要求!Z235</f>
        <v>0</v>
      </c>
    </row>
    <row r="235" spans="1:13">
      <c r="A235" s="13" t="str">
        <f>'Reference Score Calculation'!B227</f>
        <v>JS5250</v>
      </c>
      <c r="B235" s="13" t="str">
        <f>'Reference Score Calculation'!C227</f>
        <v>HKUST</v>
      </c>
      <c r="C235" s="13" t="str">
        <f>'Reference Score Calculation'!E227</f>
        <v>電子及計算機工程學系</v>
      </c>
      <c r="D235" s="13" t="str">
        <f>'Reference Score Calculation'!S227</f>
        <v>ECE</v>
      </c>
      <c r="E235" s="13" t="str">
        <f>'Reference Score Calculation'!F227</f>
        <v>英數Best3</v>
      </c>
      <c r="F235" s="20" t="str">
        <f>'Reference Score Calculation'!H227</f>
        <v>/</v>
      </c>
      <c r="G235" s="20">
        <f>'Reference Score Calculation'!I227</f>
        <v>39.78</v>
      </c>
      <c r="H235" s="20">
        <f>'Reference Score Calculation'!J227</f>
        <v>38.21</v>
      </c>
      <c r="I235" s="20">
        <f>計分版!J250</f>
        <v>3.2999999999999998E-9</v>
      </c>
      <c r="J235" s="13">
        <f>'Reference Score Calculation'!U227</f>
        <v>72</v>
      </c>
      <c r="K235" s="28" t="str">
        <f>'Reference Score Calculation'!V227</f>
        <v>/</v>
      </c>
      <c r="L235" s="110" t="str">
        <f>'Reference Score Calculation'!Y227</f>
        <v>新科目</v>
      </c>
      <c r="M235" s="13">
        <f>入學要求!Z236</f>
        <v>0</v>
      </c>
    </row>
    <row r="236" spans="1:13">
      <c r="A236" s="13" t="str">
        <f>'Reference Score Calculation'!B228</f>
        <v>JS5260</v>
      </c>
      <c r="B236" s="13" t="str">
        <f>'Reference Score Calculation'!C228</f>
        <v>HKUST</v>
      </c>
      <c r="C236" s="13" t="str">
        <f>'Reference Score Calculation'!E228</f>
        <v>工業工程及決策分析學系</v>
      </c>
      <c r="D236" s="13" t="str">
        <f>'Reference Score Calculation'!S228</f>
        <v>IEDA</v>
      </c>
      <c r="E236" s="13" t="str">
        <f>'Reference Score Calculation'!F228</f>
        <v>英數Best3</v>
      </c>
      <c r="F236" s="20" t="str">
        <f>'Reference Score Calculation'!H228</f>
        <v>/</v>
      </c>
      <c r="G236" s="20">
        <f>'Reference Score Calculation'!I228</f>
        <v>39.78</v>
      </c>
      <c r="H236" s="20">
        <f>'Reference Score Calculation'!J228</f>
        <v>38.21</v>
      </c>
      <c r="I236" s="20">
        <f>計分版!J251</f>
        <v>3.2999999999999998E-9</v>
      </c>
      <c r="J236" s="13">
        <f>'Reference Score Calculation'!U228</f>
        <v>37</v>
      </c>
      <c r="K236" s="28" t="str">
        <f>'Reference Score Calculation'!V228</f>
        <v>/</v>
      </c>
      <c r="L236" s="110" t="str">
        <f>'Reference Score Calculation'!Y228</f>
        <v>新科目</v>
      </c>
      <c r="M236" s="13">
        <f>入學要求!Z237</f>
        <v>0</v>
      </c>
    </row>
    <row r="237" spans="1:13">
      <c r="A237" s="13" t="str">
        <f>'Reference Score Calculation'!B229</f>
        <v>JS5270</v>
      </c>
      <c r="B237" s="13" t="str">
        <f>'Reference Score Calculation'!C229</f>
        <v>HKUST</v>
      </c>
      <c r="C237" s="13" t="str">
        <f>'Reference Score Calculation'!E229</f>
        <v>機械及航空航天工程學系</v>
      </c>
      <c r="D237" s="13" t="str">
        <f>'Reference Score Calculation'!S229</f>
        <v>MAE</v>
      </c>
      <c r="E237" s="13" t="str">
        <f>'Reference Score Calculation'!F229</f>
        <v>英數Best3</v>
      </c>
      <c r="F237" s="20" t="str">
        <f>'Reference Score Calculation'!H229</f>
        <v>/</v>
      </c>
      <c r="G237" s="20">
        <f>'Reference Score Calculation'!I229</f>
        <v>39.78</v>
      </c>
      <c r="H237" s="20">
        <f>'Reference Score Calculation'!J229</f>
        <v>38.21</v>
      </c>
      <c r="I237" s="20">
        <f>計分版!J252</f>
        <v>3.2999999999999998E-9</v>
      </c>
      <c r="J237" s="13">
        <f>'Reference Score Calculation'!U229</f>
        <v>79</v>
      </c>
      <c r="K237" s="28" t="str">
        <f>'Reference Score Calculation'!V229</f>
        <v>/</v>
      </c>
      <c r="L237" s="110" t="str">
        <f>'Reference Score Calculation'!Y229</f>
        <v>新科目</v>
      </c>
      <c r="M237" s="13">
        <f>入學要求!Z238</f>
        <v>0</v>
      </c>
    </row>
    <row r="238" spans="1:13">
      <c r="A238" s="13" t="str">
        <f>'Reference Score Calculation'!B230</f>
        <v>JS5282</v>
      </c>
      <c r="B238" s="13" t="str">
        <f>'Reference Score Calculation'!C230</f>
        <v>HKUST</v>
      </c>
      <c r="C238" s="13" t="str">
        <f>'Reference Score Calculation'!E230</f>
        <v>工程學– 延伸主修人工智能</v>
      </c>
      <c r="D238" s="13" t="str">
        <f>'Reference Score Calculation'!S230</f>
        <v>ENGG+AI</v>
      </c>
      <c r="E238" s="13" t="str">
        <f>'Reference Score Calculation'!F230</f>
        <v>英數Best3</v>
      </c>
      <c r="F238" s="20" t="str">
        <f>'Reference Score Calculation'!H230</f>
        <v>/</v>
      </c>
      <c r="G238" s="20">
        <f>'Reference Score Calculation'!I230</f>
        <v>48.45</v>
      </c>
      <c r="H238" s="20">
        <f>'Reference Score Calculation'!J230</f>
        <v>45.7</v>
      </c>
      <c r="I238" s="20">
        <f>計分版!J253</f>
        <v>3.2999999999999998E-9</v>
      </c>
      <c r="J238" s="13">
        <f>'Reference Score Calculation'!U230</f>
        <v>116</v>
      </c>
      <c r="K238" s="28">
        <f>'Reference Score Calculation'!V230</f>
        <v>161</v>
      </c>
      <c r="L238" s="110">
        <f>'Reference Score Calculation'!Y230</f>
        <v>3.3037974683544302</v>
      </c>
      <c r="M238" s="13">
        <f>入學要求!Z239</f>
        <v>0</v>
      </c>
    </row>
    <row r="239" spans="1:13">
      <c r="A239" s="13" t="str">
        <f>'Reference Score Calculation'!B231</f>
        <v>JS5300</v>
      </c>
      <c r="B239" s="13" t="str">
        <f>'Reference Score Calculation'!C231</f>
        <v>HKUST</v>
      </c>
      <c r="C239" s="13" t="str">
        <f>'Reference Score Calculation'!E231</f>
        <v>工商管理</v>
      </c>
      <c r="D239" s="13" t="str">
        <f>'Reference Score Calculation'!S231</f>
        <v>B&amp;M</v>
      </c>
      <c r="E239" s="13" t="str">
        <f>'Reference Score Calculation'!F231</f>
        <v>英數Best3</v>
      </c>
      <c r="F239" s="20" t="str">
        <f>'Reference Score Calculation'!H231</f>
        <v>/</v>
      </c>
      <c r="G239" s="20">
        <f>'Reference Score Calculation'!I231</f>
        <v>32.5</v>
      </c>
      <c r="H239" s="20">
        <f>'Reference Score Calculation'!J231</f>
        <v>32.049999999999997</v>
      </c>
      <c r="I239" s="20">
        <f>計分版!J254</f>
        <v>3.3999999999999998E-9</v>
      </c>
      <c r="J239" s="13">
        <f>'Reference Score Calculation'!U231</f>
        <v>350</v>
      </c>
      <c r="K239" s="28">
        <f>'Reference Score Calculation'!V231</f>
        <v>235</v>
      </c>
      <c r="L239" s="110">
        <f>'Reference Score Calculation'!Y231</f>
        <v>4.4042553191489358</v>
      </c>
      <c r="M239" s="13">
        <f>入學要求!Z240</f>
        <v>0</v>
      </c>
    </row>
    <row r="240" spans="1:13">
      <c r="A240" s="13" t="str">
        <f>'Reference Score Calculation'!B232</f>
        <v>JS5311</v>
      </c>
      <c r="B240" s="13" t="str">
        <f>'Reference Score Calculation'!C232</f>
        <v>HKUST</v>
      </c>
      <c r="C240" s="13" t="str">
        <f>'Reference Score Calculation'!E232</f>
        <v>工商管理學士（經濟學）</v>
      </c>
      <c r="D240" s="13" t="str">
        <f>'Reference Score Calculation'!S232</f>
        <v>ECON</v>
      </c>
      <c r="E240" s="13" t="str">
        <f>'Reference Score Calculation'!F232</f>
        <v>英數Best3</v>
      </c>
      <c r="F240" s="20" t="str">
        <f>'Reference Score Calculation'!H232</f>
        <v>/</v>
      </c>
      <c r="G240" s="20">
        <f>'Reference Score Calculation'!I232</f>
        <v>35.049999999999997</v>
      </c>
      <c r="H240" s="20">
        <f>'Reference Score Calculation'!J232</f>
        <v>34.14</v>
      </c>
      <c r="I240" s="20">
        <f>計分版!J255</f>
        <v>3.3999999999999998E-9</v>
      </c>
      <c r="J240" s="13" t="str">
        <f>'Reference Score Calculation'!U232</f>
        <v>125*</v>
      </c>
      <c r="K240" s="28">
        <f>'Reference Score Calculation'!V232</f>
        <v>30</v>
      </c>
      <c r="L240" s="110">
        <f>'Reference Score Calculation'!Y232</f>
        <v>3.6</v>
      </c>
      <c r="M240" s="13">
        <f>入學要求!Z241</f>
        <v>0</v>
      </c>
    </row>
    <row r="241" spans="1:19">
      <c r="A241" s="13" t="str">
        <f>'Reference Score Calculation'!B233</f>
        <v>JS5312</v>
      </c>
      <c r="B241" s="13" t="str">
        <f>'Reference Score Calculation'!C233</f>
        <v>HKUST</v>
      </c>
      <c r="C241" s="13" t="str">
        <f>'Reference Score Calculation'!E233</f>
        <v>工商管理學士（金融學）</v>
      </c>
      <c r="D241" s="13" t="str">
        <f>'Reference Score Calculation'!S233</f>
        <v>FINA</v>
      </c>
      <c r="E241" s="13" t="str">
        <f>'Reference Score Calculation'!F233</f>
        <v>英數Best3</v>
      </c>
      <c r="F241" s="20" t="str">
        <f>'Reference Score Calculation'!H233</f>
        <v>/</v>
      </c>
      <c r="G241" s="20">
        <f>'Reference Score Calculation'!I233</f>
        <v>43.5</v>
      </c>
      <c r="H241" s="20">
        <f>'Reference Score Calculation'!J233</f>
        <v>42.75</v>
      </c>
      <c r="I241" s="20">
        <f>計分版!J256</f>
        <v>3.3999999999999998E-9</v>
      </c>
      <c r="J241" s="13">
        <f>'Reference Score Calculation'!U233</f>
        <v>45</v>
      </c>
      <c r="K241" s="28">
        <f>'Reference Score Calculation'!V233</f>
        <v>45</v>
      </c>
      <c r="L241" s="110">
        <f>'Reference Score Calculation'!Y233</f>
        <v>3.1333333333333333</v>
      </c>
      <c r="M241" s="13">
        <f>入學要求!Z242</f>
        <v>0</v>
      </c>
    </row>
    <row r="242" spans="1:19">
      <c r="A242" s="13" t="str">
        <f>'Reference Score Calculation'!B234</f>
        <v>JS5313</v>
      </c>
      <c r="B242" s="13" t="str">
        <f>'Reference Score Calculation'!C234</f>
        <v>HKUST</v>
      </c>
      <c r="C242" s="13" t="str">
        <f>'Reference Score Calculation'!E234</f>
        <v>工商管理學士（環球商業管理）</v>
      </c>
      <c r="D242" s="13" t="str">
        <f>'Reference Score Calculation'!S234</f>
        <v>GBUS</v>
      </c>
      <c r="E242" s="13" t="str">
        <f>'Reference Score Calculation'!F234</f>
        <v>英數Best3</v>
      </c>
      <c r="F242" s="20" t="str">
        <f>'Reference Score Calculation'!H234</f>
        <v>/</v>
      </c>
      <c r="G242" s="20">
        <f>'Reference Score Calculation'!I234</f>
        <v>53.44</v>
      </c>
      <c r="H242" s="20">
        <f>'Reference Score Calculation'!J234</f>
        <v>50.06</v>
      </c>
      <c r="I242" s="20">
        <f>計分版!J257</f>
        <v>3.3999999999999998E-9</v>
      </c>
      <c r="J242" s="13">
        <f>'Reference Score Calculation'!U234</f>
        <v>30</v>
      </c>
      <c r="K242" s="28">
        <f>'Reference Score Calculation'!V234</f>
        <v>18</v>
      </c>
      <c r="L242" s="110">
        <f>'Reference Score Calculation'!Y234</f>
        <v>3.5555555555555554</v>
      </c>
      <c r="M242" s="13">
        <f>入學要求!Z243</f>
        <v>0</v>
      </c>
    </row>
    <row r="243" spans="1:19">
      <c r="A243" s="13" t="str">
        <f>'Reference Score Calculation'!B235</f>
        <v>JS5314</v>
      </c>
      <c r="B243" s="13" t="str">
        <f>'Reference Score Calculation'!C235</f>
        <v>HKUST</v>
      </c>
      <c r="C243" s="13" t="str">
        <f>'Reference Score Calculation'!E235</f>
        <v>工商管理學士（資訊系統學）</v>
      </c>
      <c r="D243" s="13" t="str">
        <f>'Reference Score Calculation'!S235</f>
        <v>IS</v>
      </c>
      <c r="E243" s="13" t="str">
        <f>'Reference Score Calculation'!F235</f>
        <v>英數Best3</v>
      </c>
      <c r="F243" s="20" t="str">
        <f>'Reference Score Calculation'!H235</f>
        <v>/</v>
      </c>
      <c r="G243" s="20">
        <f>'Reference Score Calculation'!I235</f>
        <v>35.4</v>
      </c>
      <c r="H243" s="20">
        <f>'Reference Score Calculation'!J235</f>
        <v>34</v>
      </c>
      <c r="I243" s="20">
        <f>計分版!J258</f>
        <v>3.3999999999999998E-9</v>
      </c>
      <c r="J243" s="13" t="str">
        <f>'Reference Score Calculation'!U235</f>
        <v>125*</v>
      </c>
      <c r="K243" s="28">
        <f>'Reference Score Calculation'!V235</f>
        <v>30</v>
      </c>
      <c r="L243" s="110">
        <f>'Reference Score Calculation'!Y235</f>
        <v>3.0666666666666669</v>
      </c>
      <c r="M243" s="13">
        <f>入學要求!Z244</f>
        <v>0</v>
      </c>
    </row>
    <row r="244" spans="1:19">
      <c r="A244" s="13" t="str">
        <f>'Reference Score Calculation'!B236</f>
        <v>JS5315</v>
      </c>
      <c r="B244" s="13" t="str">
        <f>'Reference Score Calculation'!C236</f>
        <v>HKUST</v>
      </c>
      <c r="C244" s="13" t="str">
        <f>'Reference Score Calculation'!E236</f>
        <v>工商管理學士（管理學）</v>
      </c>
      <c r="D244" s="13" t="str">
        <f>'Reference Score Calculation'!S236</f>
        <v>MGMT</v>
      </c>
      <c r="E244" s="13" t="str">
        <f>'Reference Score Calculation'!F236</f>
        <v>英數Best3</v>
      </c>
      <c r="F244" s="20" t="str">
        <f>'Reference Score Calculation'!H236</f>
        <v>/</v>
      </c>
      <c r="G244" s="20">
        <f>'Reference Score Calculation'!I236</f>
        <v>33.549999999999997</v>
      </c>
      <c r="H244" s="20">
        <f>'Reference Score Calculation'!J236</f>
        <v>32.04</v>
      </c>
      <c r="I244" s="20">
        <f>計分版!J259</f>
        <v>3.3999999999999998E-9</v>
      </c>
      <c r="J244" s="13" t="str">
        <f>'Reference Score Calculation'!U236</f>
        <v>125*</v>
      </c>
      <c r="K244" s="28">
        <f>'Reference Score Calculation'!V236</f>
        <v>24</v>
      </c>
      <c r="L244" s="110">
        <f>'Reference Score Calculation'!Y236</f>
        <v>2.7916666666666665</v>
      </c>
      <c r="M244" s="13">
        <f>入學要求!Z245</f>
        <v>0</v>
      </c>
    </row>
    <row r="245" spans="1:19">
      <c r="A245" s="13" t="str">
        <f>'Reference Score Calculation'!B237</f>
        <v>JS5316</v>
      </c>
      <c r="B245" s="13" t="str">
        <f>'Reference Score Calculation'!C237</f>
        <v>HKUST</v>
      </c>
      <c r="C245" s="13" t="str">
        <f>'Reference Score Calculation'!E237</f>
        <v>工商管理學士（市場學）</v>
      </c>
      <c r="D245" s="13" t="str">
        <f>'Reference Score Calculation'!S237</f>
        <v>MARK</v>
      </c>
      <c r="E245" s="13" t="str">
        <f>'Reference Score Calculation'!F237</f>
        <v>英數Best3</v>
      </c>
      <c r="F245" s="20" t="str">
        <f>'Reference Score Calculation'!H237</f>
        <v>/</v>
      </c>
      <c r="G245" s="20">
        <f>'Reference Score Calculation'!I237</f>
        <v>32.5</v>
      </c>
      <c r="H245" s="20">
        <f>'Reference Score Calculation'!J237</f>
        <v>32.049999999999997</v>
      </c>
      <c r="I245" s="20">
        <f>計分版!J260</f>
        <v>3.3999999999999998E-9</v>
      </c>
      <c r="J245" s="13" t="str">
        <f>'Reference Score Calculation'!U237</f>
        <v>125*</v>
      </c>
      <c r="K245" s="28">
        <f>'Reference Score Calculation'!V237</f>
        <v>17</v>
      </c>
      <c r="L245" s="110">
        <f>'Reference Score Calculation'!Y237</f>
        <v>4.2941176470588234</v>
      </c>
      <c r="M245" s="13">
        <f>入學要求!Z246</f>
        <v>0</v>
      </c>
      <c r="S245" s="12"/>
    </row>
    <row r="246" spans="1:19">
      <c r="A246" s="13" t="str">
        <f>'Reference Score Calculation'!B238</f>
        <v>JS5317</v>
      </c>
      <c r="B246" s="13" t="str">
        <f>'Reference Score Calculation'!C238</f>
        <v>HKUST</v>
      </c>
      <c r="C246" s="13" t="str">
        <f>'Reference Score Calculation'!E238</f>
        <v>工商管理學士（營運管理學）</v>
      </c>
      <c r="D246" s="13" t="str">
        <f>'Reference Score Calculation'!S238</f>
        <v>OM</v>
      </c>
      <c r="E246" s="13" t="str">
        <f>'Reference Score Calculation'!F238</f>
        <v>英數Best3</v>
      </c>
      <c r="F246" s="20" t="str">
        <f>'Reference Score Calculation'!H238</f>
        <v>/</v>
      </c>
      <c r="G246" s="20">
        <f>'Reference Score Calculation'!I238</f>
        <v>32.479999999999997</v>
      </c>
      <c r="H246" s="20">
        <f>'Reference Score Calculation'!J238</f>
        <v>31.3</v>
      </c>
      <c r="I246" s="20">
        <f>計分版!J261</f>
        <v>3.3999999999999998E-9</v>
      </c>
      <c r="J246" s="13" t="str">
        <f>'Reference Score Calculation'!U238</f>
        <v>125*</v>
      </c>
      <c r="K246" s="28">
        <f>'Reference Score Calculation'!V238</f>
        <v>10</v>
      </c>
      <c r="L246" s="110">
        <f>'Reference Score Calculation'!Y238</f>
        <v>2.8</v>
      </c>
      <c r="M246" s="13">
        <f>入學要求!Z247</f>
        <v>0</v>
      </c>
      <c r="S246" s="12"/>
    </row>
    <row r="247" spans="1:19">
      <c r="A247" s="13" t="str">
        <f>'Reference Score Calculation'!B239</f>
        <v>JS5318</v>
      </c>
      <c r="B247" s="13" t="str">
        <f>'Reference Score Calculation'!C239</f>
        <v>HKUST</v>
      </c>
      <c r="C247" s="13" t="str">
        <f>'Reference Score Calculation'!E239</f>
        <v>工商管理學士（專業會計學）</v>
      </c>
      <c r="D247" s="13" t="str">
        <f>'Reference Score Calculation'!S239</f>
        <v>ACCT</v>
      </c>
      <c r="E247" s="13" t="str">
        <f>'Reference Score Calculation'!F239</f>
        <v>英數Best3</v>
      </c>
      <c r="F247" s="20" t="str">
        <f>'Reference Score Calculation'!H239</f>
        <v>/</v>
      </c>
      <c r="G247" s="20">
        <f>'Reference Score Calculation'!I239</f>
        <v>32.4</v>
      </c>
      <c r="H247" s="20">
        <f>'Reference Score Calculation'!J239</f>
        <v>31.93</v>
      </c>
      <c r="I247" s="20">
        <f>計分版!J262</f>
        <v>3.3999999999999998E-9</v>
      </c>
      <c r="J247" s="13">
        <f>'Reference Score Calculation'!U239</f>
        <v>60</v>
      </c>
      <c r="K247" s="28">
        <f>'Reference Score Calculation'!V239</f>
        <v>56</v>
      </c>
      <c r="L247" s="110">
        <f>'Reference Score Calculation'!Y239</f>
        <v>3.0892857142857144</v>
      </c>
      <c r="M247" s="13">
        <f>入學要求!Z248</f>
        <v>0</v>
      </c>
      <c r="S247" s="12"/>
    </row>
    <row r="248" spans="1:19">
      <c r="A248" s="13" t="str">
        <f>'Reference Score Calculation'!B240</f>
        <v>JS5331</v>
      </c>
      <c r="B248" s="13" t="str">
        <f>'Reference Score Calculation'!C240</f>
        <v>HKUST</v>
      </c>
      <c r="C248" s="13" t="str">
        <f>'Reference Score Calculation'!E240</f>
        <v>理學士（經濟及金融學）</v>
      </c>
      <c r="D248" s="13" t="str">
        <f>'Reference Score Calculation'!S240</f>
        <v>ECOF</v>
      </c>
      <c r="E248" s="13" t="str">
        <f>'Reference Score Calculation'!F240</f>
        <v>英數Best3</v>
      </c>
      <c r="F248" s="20" t="str">
        <f>'Reference Score Calculation'!H240</f>
        <v>/</v>
      </c>
      <c r="G248" s="20">
        <f>'Reference Score Calculation'!I240</f>
        <v>50.06</v>
      </c>
      <c r="H248" s="20">
        <f>'Reference Score Calculation'!J240</f>
        <v>48.56</v>
      </c>
      <c r="I248" s="20">
        <f>計分版!J263</f>
        <v>3.3999999999999998E-9</v>
      </c>
      <c r="J248" s="13">
        <f>'Reference Score Calculation'!U240</f>
        <v>30</v>
      </c>
      <c r="K248" s="28">
        <f>'Reference Score Calculation'!V240</f>
        <v>33</v>
      </c>
      <c r="L248" s="110">
        <f>'Reference Score Calculation'!Y240</f>
        <v>3.1818181818181817</v>
      </c>
      <c r="M248" s="13">
        <f>入學要求!Z249</f>
        <v>0</v>
      </c>
    </row>
    <row r="249" spans="1:19">
      <c r="A249" s="13" t="str">
        <f>'Reference Score Calculation'!B241</f>
        <v>JS5332</v>
      </c>
      <c r="B249" s="13" t="str">
        <f>'Reference Score Calculation'!C241</f>
        <v>HKUST</v>
      </c>
      <c r="C249" s="13" t="str">
        <f>'Reference Score Calculation'!E241</f>
        <v>理學士（量化金融學）</v>
      </c>
      <c r="D249" s="13" t="str">
        <f>'Reference Score Calculation'!S241</f>
        <v>QFIN</v>
      </c>
      <c r="E249" s="13" t="str">
        <f>'Reference Score Calculation'!F241</f>
        <v>英數Best3</v>
      </c>
      <c r="F249" s="20" t="str">
        <f>'Reference Score Calculation'!H241</f>
        <v>/</v>
      </c>
      <c r="G249" s="20">
        <f>'Reference Score Calculation'!I241</f>
        <v>60.94</v>
      </c>
      <c r="H249" s="20">
        <f>'Reference Score Calculation'!J241</f>
        <v>59.11</v>
      </c>
      <c r="I249" s="20">
        <f>計分版!J264</f>
        <v>3.3999999999999998E-9</v>
      </c>
      <c r="J249" s="13">
        <f>'Reference Score Calculation'!U241</f>
        <v>20</v>
      </c>
      <c r="K249" s="28">
        <f>'Reference Score Calculation'!V241</f>
        <v>18</v>
      </c>
      <c r="L249" s="110">
        <f>'Reference Score Calculation'!Y241</f>
        <v>3.6111111111111112</v>
      </c>
      <c r="M249" s="13">
        <f>入學要求!Z250</f>
        <v>0</v>
      </c>
    </row>
    <row r="250" spans="1:19">
      <c r="A250" s="13" t="str">
        <f>'Reference Score Calculation'!B242</f>
        <v>JS5411</v>
      </c>
      <c r="B250" s="13" t="str">
        <f>'Reference Score Calculation'!C242</f>
        <v>HKUST</v>
      </c>
      <c r="C250" s="13" t="str">
        <f>'Reference Score Calculation'!E242</f>
        <v>理學士（環球中國研究）</v>
      </c>
      <c r="D250" s="13" t="str">
        <f>'Reference Score Calculation'!S242</f>
        <v>GCS</v>
      </c>
      <c r="E250" s="13" t="str">
        <f>'Reference Score Calculation'!F242</f>
        <v>中英Best3</v>
      </c>
      <c r="F250" s="20" t="str">
        <f>'Reference Score Calculation'!H242</f>
        <v>/</v>
      </c>
      <c r="G250" s="20">
        <f>'Reference Score Calculation'!I242</f>
        <v>28</v>
      </c>
      <c r="H250" s="20">
        <f>'Reference Score Calculation'!J242</f>
        <v>27.5</v>
      </c>
      <c r="I250" s="20">
        <f>計分版!J265</f>
        <v>2.9499999999999999E-9</v>
      </c>
      <c r="J250" s="13">
        <f>'Reference Score Calculation'!U242</f>
        <v>50</v>
      </c>
      <c r="K250" s="28">
        <f>'Reference Score Calculation'!V242</f>
        <v>53</v>
      </c>
      <c r="L250" s="110">
        <f>'Reference Score Calculation'!Y242</f>
        <v>4.7450980392156863</v>
      </c>
      <c r="M250" s="13">
        <f>入學要求!Z251</f>
        <v>0</v>
      </c>
    </row>
    <row r="251" spans="1:19">
      <c r="A251" s="13" t="str">
        <f>'Reference Score Calculation'!B243</f>
        <v>JS5412</v>
      </c>
      <c r="B251" s="13" t="str">
        <f>'Reference Score Calculation'!C243</f>
        <v>HKUST</v>
      </c>
      <c r="C251" s="13" t="str">
        <f>'Reference Score Calculation'!E243</f>
        <v>理學士（定量社會數據分析）</v>
      </c>
      <c r="D251" s="13" t="str">
        <f>'Reference Score Calculation'!S243</f>
        <v>QSA</v>
      </c>
      <c r="E251" s="13" t="str">
        <f>'Reference Score Calculation'!F243</f>
        <v>英數Best3</v>
      </c>
      <c r="F251" s="20" t="str">
        <f>'Reference Score Calculation'!H243</f>
        <v>/</v>
      </c>
      <c r="G251" s="20">
        <f>'Reference Score Calculation'!I243</f>
        <v>30.88</v>
      </c>
      <c r="H251" s="20">
        <f>'Reference Score Calculation'!J243</f>
        <v>30</v>
      </c>
      <c r="I251" s="20">
        <f>計分版!J266</f>
        <v>3.4500000000000003E-9</v>
      </c>
      <c r="J251" s="13">
        <f>'Reference Score Calculation'!U243</f>
        <v>26</v>
      </c>
      <c r="K251" s="28">
        <f>'Reference Score Calculation'!V243</f>
        <v>28</v>
      </c>
      <c r="L251" s="110">
        <f>'Reference Score Calculation'!Y243</f>
        <v>2.8518518518518516</v>
      </c>
      <c r="M251" s="13">
        <f>入學要求!Z252</f>
        <v>0</v>
      </c>
    </row>
    <row r="252" spans="1:19">
      <c r="A252" s="13" t="str">
        <f>'Reference Score Calculation'!B244</f>
        <v>JS5711</v>
      </c>
      <c r="B252" s="13" t="str">
        <f>'Reference Score Calculation'!C244</f>
        <v>HKUST</v>
      </c>
      <c r="C252" s="13" t="str">
        <f>'Reference Score Calculation'!E244</f>
        <v>理學士（綜合系統與設計）</v>
      </c>
      <c r="D252" s="13" t="str">
        <f>'Reference Score Calculation'!S244</f>
        <v>ISDN</v>
      </c>
      <c r="E252" s="13" t="str">
        <f>'Reference Score Calculation'!F244</f>
        <v>英數Best3</v>
      </c>
      <c r="F252" s="20" t="str">
        <f>'Reference Score Calculation'!H244</f>
        <v>/</v>
      </c>
      <c r="G252" s="20">
        <f>'Reference Score Calculation'!I244</f>
        <v>39.28</v>
      </c>
      <c r="H252" s="20">
        <f>'Reference Score Calculation'!J244</f>
        <v>33.24</v>
      </c>
      <c r="I252" s="20">
        <f>計分版!J267</f>
        <v>3.2999999999999998E-9</v>
      </c>
      <c r="J252" s="13">
        <f>'Reference Score Calculation'!U244</f>
        <v>20</v>
      </c>
      <c r="K252" s="28">
        <f>'Reference Score Calculation'!V244</f>
        <v>7</v>
      </c>
      <c r="L252" s="110">
        <f>'Reference Score Calculation'!Y244</f>
        <v>3.5714285714285716</v>
      </c>
      <c r="M252" s="13">
        <f>入學要求!Z253</f>
        <v>0</v>
      </c>
    </row>
    <row r="253" spans="1:19">
      <c r="A253" s="13" t="str">
        <f>'Reference Score Calculation'!B245</f>
        <v>JS5811</v>
      </c>
      <c r="B253" s="13" t="str">
        <f>'Reference Score Calculation'!C245</f>
        <v>HKUST</v>
      </c>
      <c r="C253" s="13" t="str">
        <f>'Reference Score Calculation'!E245</f>
        <v>理學士（生物科技及商學）</v>
      </c>
      <c r="D253" s="13" t="str">
        <f>'Reference Score Calculation'!S245</f>
        <v>BIBU</v>
      </c>
      <c r="E253" s="13" t="str">
        <f>'Reference Score Calculation'!F245</f>
        <v>英數Best3</v>
      </c>
      <c r="F253" s="20" t="str">
        <f>'Reference Score Calculation'!H245</f>
        <v>/</v>
      </c>
      <c r="G253" s="20">
        <f>'Reference Score Calculation'!I245</f>
        <v>39.75</v>
      </c>
      <c r="H253" s="20">
        <f>'Reference Score Calculation'!J245</f>
        <v>38.909999999999997</v>
      </c>
      <c r="I253" s="20">
        <f>計分版!J268</f>
        <v>3.2999999999999998E-9</v>
      </c>
      <c r="J253" s="13">
        <f>'Reference Score Calculation'!U245</f>
        <v>25</v>
      </c>
      <c r="K253" s="28">
        <f>'Reference Score Calculation'!V245</f>
        <v>24</v>
      </c>
      <c r="L253" s="110">
        <f>'Reference Score Calculation'!Y245</f>
        <v>2.7083333333333335</v>
      </c>
      <c r="M253" s="13">
        <f>入學要求!Z254</f>
        <v>0</v>
      </c>
    </row>
    <row r="254" spans="1:19">
      <c r="A254" s="13" t="str">
        <f>'Reference Score Calculation'!B246</f>
        <v>JS5812</v>
      </c>
      <c r="B254" s="13" t="str">
        <f>'Reference Score Calculation'!C246</f>
        <v>HKUST</v>
      </c>
      <c r="C254" s="13" t="str">
        <f>'Reference Score Calculation'!E246</f>
        <v>理學士（環境管理及科技）</v>
      </c>
      <c r="D254" s="13" t="str">
        <f>'Reference Score Calculation'!S246</f>
        <v>EVMT</v>
      </c>
      <c r="E254" s="13" t="str">
        <f>'Reference Score Calculation'!F246</f>
        <v>英數Best3</v>
      </c>
      <c r="F254" s="20" t="str">
        <f>'Reference Score Calculation'!H246</f>
        <v>/</v>
      </c>
      <c r="G254" s="20">
        <f>'Reference Score Calculation'!I246</f>
        <v>31.4</v>
      </c>
      <c r="H254" s="20">
        <f>'Reference Score Calculation'!J246</f>
        <v>30.55</v>
      </c>
      <c r="I254" s="20">
        <f>計分版!J269</f>
        <v>3.3999999999999998E-9</v>
      </c>
      <c r="J254" s="13">
        <f>'Reference Score Calculation'!U246</f>
        <v>21</v>
      </c>
      <c r="K254" s="28">
        <f>'Reference Score Calculation'!V246</f>
        <v>23</v>
      </c>
      <c r="L254" s="110">
        <f>'Reference Score Calculation'!Y246</f>
        <v>6.4782608695652177</v>
      </c>
      <c r="M254" s="13">
        <f>入學要求!Z255</f>
        <v>0</v>
      </c>
    </row>
    <row r="255" spans="1:19">
      <c r="A255" s="13" t="str">
        <f>'Reference Score Calculation'!B247</f>
        <v>JS5813</v>
      </c>
      <c r="B255" s="13" t="str">
        <f>'Reference Score Calculation'!C247</f>
        <v>HKUST</v>
      </c>
      <c r="C255" s="13" t="str">
        <f>'Reference Score Calculation'!E247</f>
        <v>理學士（數學與經濟學）</v>
      </c>
      <c r="D255" s="13" t="str">
        <f>'Reference Score Calculation'!S247</f>
        <v>MAEC</v>
      </c>
      <c r="E255" s="13" t="str">
        <f>'Reference Score Calculation'!F247</f>
        <v>英數Best3</v>
      </c>
      <c r="F255" s="20" t="str">
        <f>'Reference Score Calculation'!H247</f>
        <v>/</v>
      </c>
      <c r="G255" s="20">
        <f>'Reference Score Calculation'!I247</f>
        <v>42.6</v>
      </c>
      <c r="H255" s="20">
        <f>'Reference Score Calculation'!J247</f>
        <v>39.200000000000003</v>
      </c>
      <c r="I255" s="20">
        <f>計分版!J270</f>
        <v>3.7E-9</v>
      </c>
      <c r="J255" s="13">
        <f>'Reference Score Calculation'!U247</f>
        <v>15</v>
      </c>
      <c r="K255" s="28">
        <f>'Reference Score Calculation'!V247</f>
        <v>14</v>
      </c>
      <c r="L255" s="110">
        <f>'Reference Score Calculation'!Y247</f>
        <v>3.5</v>
      </c>
      <c r="M255" s="13">
        <f>入學要求!Z256</f>
        <v>0</v>
      </c>
    </row>
    <row r="256" spans="1:19">
      <c r="A256" s="13" t="str">
        <f>'Reference Score Calculation'!B248</f>
        <v>JS5814</v>
      </c>
      <c r="B256" s="13" t="str">
        <f>'Reference Score Calculation'!C248</f>
        <v>HKUST</v>
      </c>
      <c r="C256" s="13" t="str">
        <f>'Reference Score Calculation'!E248</f>
        <v>理學士（風險管理及商業智能學）</v>
      </c>
      <c r="D256" s="13" t="str">
        <f>'Reference Score Calculation'!S248</f>
        <v>RMBI</v>
      </c>
      <c r="E256" s="13" t="str">
        <f>'Reference Score Calculation'!F248</f>
        <v>英數Best3</v>
      </c>
      <c r="F256" s="20" t="str">
        <f>'Reference Score Calculation'!H248</f>
        <v>/</v>
      </c>
      <c r="G256" s="20">
        <f>'Reference Score Calculation'!I248</f>
        <v>45</v>
      </c>
      <c r="H256" s="20">
        <f>'Reference Score Calculation'!J248</f>
        <v>42.88</v>
      </c>
      <c r="I256" s="20">
        <f>計分版!J271</f>
        <v>3.4500000000000003E-9</v>
      </c>
      <c r="J256" s="13">
        <f>'Reference Score Calculation'!U248</f>
        <v>22</v>
      </c>
      <c r="K256" s="28">
        <f>'Reference Score Calculation'!V248</f>
        <v>23</v>
      </c>
      <c r="L256" s="110">
        <f>'Reference Score Calculation'!Y248</f>
        <v>2.9565217391304346</v>
      </c>
      <c r="M256" s="13">
        <f>入學要求!Z257</f>
        <v>0</v>
      </c>
    </row>
    <row r="257" spans="1:13">
      <c r="A257" s="13" t="str">
        <f>'Reference Score Calculation'!B249</f>
        <v>JS5822</v>
      </c>
      <c r="B257" s="13" t="str">
        <f>'Reference Score Calculation'!C249</f>
        <v>HKUST</v>
      </c>
      <c r="C257" s="13" t="str">
        <f>'Reference Score Calculation'!E249</f>
        <v>理學士（可持續發展及綠色金融）</v>
      </c>
      <c r="D257" s="13" t="str">
        <f>'Reference Score Calculation'!S249</f>
        <v>SGFN</v>
      </c>
      <c r="E257" s="13" t="str">
        <f>'Reference Score Calculation'!F249</f>
        <v>英數Best3</v>
      </c>
      <c r="F257" s="20" t="str">
        <f>'Reference Score Calculation'!H249</f>
        <v>/</v>
      </c>
      <c r="G257" s="20">
        <f>'Reference Score Calculation'!I249</f>
        <v>38.630000000000003</v>
      </c>
      <c r="H257" s="20">
        <f>'Reference Score Calculation'!J249</f>
        <v>37.130000000000003</v>
      </c>
      <c r="I257" s="20">
        <f>計分版!J272</f>
        <v>3.3999999999999998E-9</v>
      </c>
      <c r="J257" s="13">
        <f>'Reference Score Calculation'!U249</f>
        <v>18</v>
      </c>
      <c r="K257" s="28">
        <f>'Reference Score Calculation'!V249</f>
        <v>17</v>
      </c>
      <c r="L257" s="110">
        <f>'Reference Score Calculation'!Y249</f>
        <v>1.8235294117647058</v>
      </c>
      <c r="M257" s="13">
        <f>入學要求!Z258</f>
        <v>0</v>
      </c>
    </row>
    <row r="258" spans="1:13">
      <c r="A258" s="13" t="str">
        <f>'Reference Score Calculation'!B250</f>
        <v>JS5901</v>
      </c>
      <c r="B258" s="13" t="str">
        <f>'Reference Score Calculation'!C250</f>
        <v>HKUST</v>
      </c>
      <c r="C258" s="13" t="str">
        <f>'Reference Score Calculation'!E250</f>
        <v>科技及管理學雙學位課程</v>
      </c>
      <c r="D258" s="13" t="str">
        <f>'Reference Score Calculation'!S250</f>
        <v>T&amp;M-DDP</v>
      </c>
      <c r="E258" s="13" t="str">
        <f>'Reference Score Calculation'!F250</f>
        <v>英數Best3</v>
      </c>
      <c r="F258" s="20" t="str">
        <f>'Reference Score Calculation'!H250</f>
        <v>/</v>
      </c>
      <c r="G258" s="20">
        <f>'Reference Score Calculation'!I250</f>
        <v>61.66</v>
      </c>
      <c r="H258" s="20">
        <f>'Reference Score Calculation'!J250</f>
        <v>58.55</v>
      </c>
      <c r="I258" s="20">
        <f>計分版!J273</f>
        <v>3.2999999999999998E-9</v>
      </c>
      <c r="J258" s="13">
        <f>'Reference Score Calculation'!U250</f>
        <v>22</v>
      </c>
      <c r="K258" s="28">
        <f>'Reference Score Calculation'!V250</f>
        <v>20</v>
      </c>
      <c r="L258" s="110">
        <f>'Reference Score Calculation'!Y250</f>
        <v>2.5499999999999998</v>
      </c>
      <c r="M258" s="13">
        <f>入學要求!Z259</f>
        <v>0</v>
      </c>
    </row>
    <row r="259" spans="1:13">
      <c r="D259" s="13"/>
      <c r="K259" s="28"/>
    </row>
    <row r="260" spans="1:13">
      <c r="D260" s="13"/>
      <c r="K260" s="28"/>
    </row>
    <row r="261" spans="1:13">
      <c r="A261" s="13" t="str">
        <f>'Reference Score Calculation'!B253</f>
        <v>JS6004</v>
      </c>
      <c r="B261" s="13" t="str">
        <f>'Reference Score Calculation'!C253</f>
        <v>HKU</v>
      </c>
      <c r="C261" s="13" t="str">
        <f>'Reference Score Calculation'!E253</f>
        <v>建築學文學士</v>
      </c>
      <c r="D261" s="13" t="str">
        <f>'Reference Score Calculation'!S253</f>
        <v>BA(AS)</v>
      </c>
      <c r="E261" s="13" t="str">
        <f>'Reference Score Calculation'!F253</f>
        <v>Best 5</v>
      </c>
      <c r="F261" s="20">
        <f>'Reference Score Calculation'!H253</f>
        <v>31</v>
      </c>
      <c r="G261" s="20">
        <f>'Reference Score Calculation'!I253</f>
        <v>29</v>
      </c>
      <c r="H261" s="20">
        <f>'Reference Score Calculation'!J253</f>
        <v>28</v>
      </c>
      <c r="I261" s="20">
        <f>計分版!J276</f>
        <v>3.4999999999999999E-9</v>
      </c>
      <c r="J261" s="13">
        <f>'Reference Score Calculation'!U253</f>
        <v>56</v>
      </c>
      <c r="K261" s="28">
        <f>'Reference Score Calculation'!V253</f>
        <v>37</v>
      </c>
      <c r="L261" s="110">
        <f>'Reference Score Calculation'!Y253</f>
        <v>2.7567567567567566</v>
      </c>
      <c r="M261" s="13">
        <f>入學要求!Z262</f>
        <v>0</v>
      </c>
    </row>
    <row r="262" spans="1:13">
      <c r="A262" s="13" t="str">
        <f>'Reference Score Calculation'!B254</f>
        <v>JS6016</v>
      </c>
      <c r="B262" s="13" t="str">
        <f>'Reference Score Calculation'!C254</f>
        <v>HKU</v>
      </c>
      <c r="C262" s="13" t="str">
        <f>'Reference Score Calculation'!E254</f>
        <v>理學士(測量學)</v>
      </c>
      <c r="D262" s="13" t="str">
        <f>'Reference Score Calculation'!S254</f>
        <v>BSc(Surv)</v>
      </c>
      <c r="E262" s="13" t="str">
        <f>'Reference Score Calculation'!F254</f>
        <v>Best 5</v>
      </c>
      <c r="F262" s="20">
        <f>'Reference Score Calculation'!H254</f>
        <v>31</v>
      </c>
      <c r="G262" s="20">
        <f>'Reference Score Calculation'!I254</f>
        <v>29</v>
      </c>
      <c r="H262" s="20">
        <f>'Reference Score Calculation'!J254</f>
        <v>29</v>
      </c>
      <c r="I262" s="20">
        <f>計分版!J277</f>
        <v>3.4999999999999999E-9</v>
      </c>
      <c r="J262" s="13">
        <f>'Reference Score Calculation'!U254</f>
        <v>42</v>
      </c>
      <c r="K262" s="28">
        <f>'Reference Score Calculation'!V254</f>
        <v>61</v>
      </c>
      <c r="L262" s="110">
        <f>'Reference Score Calculation'!Y254</f>
        <v>2.918032786885246</v>
      </c>
      <c r="M262" s="13">
        <f>入學要求!Z263</f>
        <v>0</v>
      </c>
    </row>
    <row r="263" spans="1:13">
      <c r="A263" s="13" t="str">
        <f>'Reference Score Calculation'!B255</f>
        <v>JS6028</v>
      </c>
      <c r="B263" s="13" t="str">
        <f>'Reference Score Calculation'!C255</f>
        <v>HKU</v>
      </c>
      <c r="C263" s="13" t="str">
        <f>'Reference Score Calculation'!E255</f>
        <v>園境學文學士</v>
      </c>
      <c r="D263" s="13" t="str">
        <f>'Reference Score Calculation'!S255</f>
        <v>BA(LS)</v>
      </c>
      <c r="E263" s="13" t="str">
        <f>'Reference Score Calculation'!F255</f>
        <v>Best 5</v>
      </c>
      <c r="F263" s="20">
        <f>'Reference Score Calculation'!H255</f>
        <v>33</v>
      </c>
      <c r="G263" s="20">
        <f>'Reference Score Calculation'!I255</f>
        <v>32</v>
      </c>
      <c r="H263" s="20">
        <f>'Reference Score Calculation'!J255</f>
        <v>30</v>
      </c>
      <c r="I263" s="20">
        <f>計分版!J278</f>
        <v>3.4999999999999999E-9</v>
      </c>
      <c r="J263" s="13">
        <f>'Reference Score Calculation'!U255</f>
        <v>12</v>
      </c>
      <c r="K263" s="28">
        <f>'Reference Score Calculation'!V255</f>
        <v>7</v>
      </c>
      <c r="L263" s="110">
        <f>'Reference Score Calculation'!Y255</f>
        <v>5.4285714285714288</v>
      </c>
      <c r="M263" s="13">
        <f>入學要求!Z264</f>
        <v>0</v>
      </c>
    </row>
    <row r="264" spans="1:13">
      <c r="A264" s="13" t="str">
        <f>'Reference Score Calculation'!B256</f>
        <v>JS6042</v>
      </c>
      <c r="B264" s="13" t="str">
        <f>'Reference Score Calculation'!C256</f>
        <v>HKU</v>
      </c>
      <c r="C264" s="13" t="str">
        <f>'Reference Score Calculation'!E256</f>
        <v>文學士(城市研究)</v>
      </c>
      <c r="D264" s="13" t="str">
        <f>'Reference Score Calculation'!S256</f>
        <v>BA(US)</v>
      </c>
      <c r="E264" s="13" t="str">
        <f>'Reference Score Calculation'!F256</f>
        <v>Best 5</v>
      </c>
      <c r="F264" s="20">
        <f>'Reference Score Calculation'!H256</f>
        <v>31</v>
      </c>
      <c r="G264" s="20">
        <f>'Reference Score Calculation'!I256</f>
        <v>28</v>
      </c>
      <c r="H264" s="20">
        <f>'Reference Score Calculation'!J256</f>
        <v>26</v>
      </c>
      <c r="I264" s="20">
        <f>計分版!J279</f>
        <v>3.4999999999999999E-9</v>
      </c>
      <c r="J264" s="13">
        <f>'Reference Score Calculation'!U256</f>
        <v>17</v>
      </c>
      <c r="K264" s="28">
        <f>'Reference Score Calculation'!V256</f>
        <v>21</v>
      </c>
      <c r="L264" s="110">
        <f>'Reference Score Calculation'!Y256</f>
        <v>4.7619047619047619</v>
      </c>
      <c r="M264" s="13">
        <f>入學要求!Z265</f>
        <v>0</v>
      </c>
    </row>
    <row r="265" spans="1:13">
      <c r="A265" s="13" t="str">
        <f>'Reference Score Calculation'!B257</f>
        <v>JS6054</v>
      </c>
      <c r="B265" s="13" t="str">
        <f>'Reference Score Calculation'!C257</f>
        <v>HKU</v>
      </c>
      <c r="C265" s="13" t="str">
        <f>'Reference Score Calculation'!E257</f>
        <v>文學士</v>
      </c>
      <c r="D265" s="13" t="str">
        <f>'Reference Score Calculation'!S257</f>
        <v>BA</v>
      </c>
      <c r="E265" s="13" t="str">
        <f>'Reference Score Calculation'!F257</f>
        <v>Best 5</v>
      </c>
      <c r="F265" s="20">
        <f>'Reference Score Calculation'!H257</f>
        <v>33</v>
      </c>
      <c r="G265" s="20">
        <f>'Reference Score Calculation'!I257</f>
        <v>31</v>
      </c>
      <c r="H265" s="20">
        <f>'Reference Score Calculation'!J257</f>
        <v>29</v>
      </c>
      <c r="I265" s="20">
        <f>計分版!J280</f>
        <v>3.2999999999999998E-9</v>
      </c>
      <c r="J265" s="13">
        <f>'Reference Score Calculation'!U257</f>
        <v>217</v>
      </c>
      <c r="K265" s="28">
        <f>'Reference Score Calculation'!V257</f>
        <v>176</v>
      </c>
      <c r="L265" s="110">
        <f>'Reference Score Calculation'!Y257</f>
        <v>5.0227272727272725</v>
      </c>
      <c r="M265" s="13">
        <f>入學要求!Z266</f>
        <v>0</v>
      </c>
    </row>
    <row r="266" spans="1:13">
      <c r="A266" s="13" t="str">
        <f>'Reference Score Calculation'!B258</f>
        <v>JS6274</v>
      </c>
      <c r="B266" s="13" t="str">
        <f>'Reference Score Calculation'!C258</f>
        <v>HKU</v>
      </c>
      <c r="C266" s="13" t="str">
        <f>'Reference Score Calculation'!E258</f>
        <v>文學士（全球創意產業）</v>
      </c>
      <c r="D266" s="13" t="str">
        <f>'Reference Score Calculation'!S258</f>
        <v>BA(GCIN)</v>
      </c>
      <c r="E266" s="13" t="str">
        <f>'Reference Score Calculation'!F258</f>
        <v>25年新科目</v>
      </c>
      <c r="F266" s="20" t="str">
        <f>'Reference Score Calculation'!H258</f>
        <v>/</v>
      </c>
      <c r="G266" s="20" t="str">
        <f>'Reference Score Calculation'!I258</f>
        <v>/</v>
      </c>
      <c r="H266" s="20" t="str">
        <f>'Reference Score Calculation'!J258</f>
        <v>/</v>
      </c>
      <c r="I266" s="20">
        <f>計分版!J281</f>
        <v>3.4999999999999999E-9</v>
      </c>
      <c r="J266" s="13">
        <f>'Reference Score Calculation'!U258</f>
        <v>20</v>
      </c>
      <c r="K266" s="28" t="str">
        <f>'Reference Score Calculation'!V258</f>
        <v>/</v>
      </c>
      <c r="L266" s="110" t="str">
        <f>'Reference Score Calculation'!Y258</f>
        <v>新科目</v>
      </c>
      <c r="M266" s="13">
        <f>入學要求!Z267</f>
        <v>0</v>
      </c>
    </row>
    <row r="267" spans="1:13">
      <c r="A267" s="13" t="str">
        <f>'Reference Score Calculation'!B259</f>
        <v>JS6286</v>
      </c>
      <c r="B267" s="13" t="str">
        <f>'Reference Score Calculation'!C259</f>
        <v>HKU</v>
      </c>
      <c r="C267" s="13" t="str">
        <f>'Reference Score Calculation'!E259</f>
        <v>文學士(人文及數碼科技)</v>
      </c>
      <c r="D267" s="13" t="str">
        <f>'Reference Score Calculation'!S259</f>
        <v>BA(HDT)</v>
      </c>
      <c r="E267" s="13" t="str">
        <f>'Reference Score Calculation'!F259</f>
        <v>Best 5</v>
      </c>
      <c r="F267" s="20">
        <f>'Reference Score Calculation'!H259</f>
        <v>34</v>
      </c>
      <c r="G267" s="20">
        <f>'Reference Score Calculation'!I259</f>
        <v>32</v>
      </c>
      <c r="H267" s="20">
        <f>'Reference Score Calculation'!J259</f>
        <v>30</v>
      </c>
      <c r="I267" s="20">
        <f>計分版!J282</f>
        <v>3.2999999999999998E-9</v>
      </c>
      <c r="J267" s="13">
        <f>'Reference Score Calculation'!U259</f>
        <v>30</v>
      </c>
      <c r="K267" s="28">
        <f>'Reference Score Calculation'!V259</f>
        <v>15</v>
      </c>
      <c r="L267" s="110">
        <f>'Reference Score Calculation'!Y259</f>
        <v>3.0666666666666669</v>
      </c>
      <c r="M267" s="13">
        <f>入學要求!Z268</f>
        <v>0</v>
      </c>
    </row>
    <row r="268" spans="1:13">
      <c r="A268" s="13" t="str">
        <f>'Reference Score Calculation'!B260</f>
        <v>JS6298</v>
      </c>
      <c r="B268" s="13" t="str">
        <f>'Reference Score Calculation'!C260</f>
        <v>HKU</v>
      </c>
      <c r="C268" s="13" t="str">
        <f>'Reference Score Calculation'!E260</f>
        <v>文學士及工學學士(人工智能及數據科學)</v>
      </c>
      <c r="D268" s="13" t="str">
        <f>'Reference Score Calculation'!S260</f>
        <v>BA&amp;BEng(AI&amp;DataSc)</v>
      </c>
      <c r="E268" s="13" t="str">
        <f>'Reference Score Calculation'!F260</f>
        <v>25年新科目</v>
      </c>
      <c r="F268" s="20" t="str">
        <f>'Reference Score Calculation'!H260</f>
        <v>/</v>
      </c>
      <c r="G268" s="20" t="str">
        <f>'Reference Score Calculation'!I260</f>
        <v>/</v>
      </c>
      <c r="H268" s="20" t="str">
        <f>'Reference Score Calculation'!J260</f>
        <v>/</v>
      </c>
      <c r="I268" s="20">
        <f>計分版!J283</f>
        <v>4.0499999999999999E-9</v>
      </c>
      <c r="J268" s="13">
        <f>'Reference Score Calculation'!U260</f>
        <v>20</v>
      </c>
      <c r="K268" s="28" t="str">
        <f>'Reference Score Calculation'!V260</f>
        <v>/</v>
      </c>
      <c r="L268" s="110" t="str">
        <f>'Reference Score Calculation'!Y260</f>
        <v>新科目</v>
      </c>
      <c r="M268" s="13">
        <f>入學要求!Z269</f>
        <v>0</v>
      </c>
    </row>
    <row r="269" spans="1:13">
      <c r="A269" s="13" t="str">
        <f>'Reference Score Calculation'!B261</f>
        <v>JS6755</v>
      </c>
      <c r="B269" s="13" t="str">
        <f>'Reference Score Calculation'!C261</f>
        <v>HKU</v>
      </c>
      <c r="C269" s="13" t="str">
        <f>'Reference Score Calculation'!E261</f>
        <v>工商管理學學士</v>
      </c>
      <c r="D269" s="13" t="str">
        <f>'Reference Score Calculation'!S261</f>
        <v>BBA</v>
      </c>
      <c r="E269" s="13" t="str">
        <f>'Reference Score Calculation'!F261</f>
        <v>Best 5</v>
      </c>
      <c r="F269" s="20">
        <f>'Reference Score Calculation'!H261</f>
        <v>34</v>
      </c>
      <c r="G269" s="20">
        <f>'Reference Score Calculation'!I261</f>
        <v>33</v>
      </c>
      <c r="H269" s="20">
        <f>'Reference Score Calculation'!J261</f>
        <v>32</v>
      </c>
      <c r="I269" s="20">
        <f>計分版!J284</f>
        <v>3.2700000000000001E-9</v>
      </c>
      <c r="J269" s="13" t="str">
        <f>'Reference Score Calculation'!U261</f>
        <v>226*</v>
      </c>
      <c r="K269" s="28">
        <f>'Reference Score Calculation'!V261</f>
        <v>53</v>
      </c>
      <c r="L269" s="110">
        <f>'Reference Score Calculation'!Y261</f>
        <v>8.9056603773584904</v>
      </c>
      <c r="M269" s="13">
        <f>入學要求!Z270</f>
        <v>0</v>
      </c>
    </row>
    <row r="270" spans="1:13">
      <c r="A270" s="13" t="str">
        <f>'Reference Score Calculation'!B262</f>
        <v>JS6767</v>
      </c>
      <c r="B270" s="13" t="str">
        <f>'Reference Score Calculation'!C262</f>
        <v>HKU</v>
      </c>
      <c r="C270" s="13" t="str">
        <f>'Reference Score Calculation'!E262</f>
        <v>經濟學學士 / 經濟金融學學士</v>
      </c>
      <c r="D270" s="13" t="str">
        <f>'Reference Score Calculation'!S262</f>
        <v>BEcon/BEcon&amp;Fin</v>
      </c>
      <c r="E270" s="13" t="str">
        <f>'Reference Score Calculation'!F262</f>
        <v>Best 5</v>
      </c>
      <c r="F270" s="20">
        <f>'Reference Score Calculation'!H262</f>
        <v>38</v>
      </c>
      <c r="G270" s="20">
        <f>'Reference Score Calculation'!I262</f>
        <v>36</v>
      </c>
      <c r="H270" s="20">
        <f>'Reference Score Calculation'!J262</f>
        <v>35</v>
      </c>
      <c r="I270" s="20">
        <f>計分版!J285</f>
        <v>3.2700000000000001E-9</v>
      </c>
      <c r="J270" s="13" t="str">
        <f>'Reference Score Calculation'!U262</f>
        <v>226*</v>
      </c>
      <c r="K270" s="28">
        <f>'Reference Score Calculation'!V262</f>
        <v>56</v>
      </c>
      <c r="L270" s="110">
        <f>'Reference Score Calculation'!Y262</f>
        <v>5.0357142857142856</v>
      </c>
      <c r="M270" s="13">
        <f>入學要求!Z271</f>
        <v>0</v>
      </c>
    </row>
    <row r="271" spans="1:13">
      <c r="A271" s="13" t="str">
        <f>'Reference Score Calculation'!B263</f>
        <v>JS6781</v>
      </c>
      <c r="B271" s="13" t="str">
        <f>'Reference Score Calculation'!C263</f>
        <v>HKU</v>
      </c>
      <c r="C271" s="13" t="str">
        <f>'Reference Score Calculation'!E263</f>
        <v>工商管理學學士(會計及財務) / 工商管理學學士(會計數據分析)</v>
      </c>
      <c r="D271" s="13" t="str">
        <f>'Reference Score Calculation'!S263</f>
        <v>BBA(Acc&amp;Fin)/BBA(ADA)</v>
      </c>
      <c r="E271" s="13" t="str">
        <f>'Reference Score Calculation'!F263</f>
        <v>Best 5</v>
      </c>
      <c r="F271" s="20">
        <f>'Reference Score Calculation'!H263</f>
        <v>35</v>
      </c>
      <c r="G271" s="20">
        <f>'Reference Score Calculation'!I263</f>
        <v>34</v>
      </c>
      <c r="H271" s="20">
        <f>'Reference Score Calculation'!J263</f>
        <v>33</v>
      </c>
      <c r="I271" s="20">
        <f>計分版!J286</f>
        <v>3.2700000000000001E-9</v>
      </c>
      <c r="J271" s="13" t="str">
        <f>'Reference Score Calculation'!U263</f>
        <v>226*</v>
      </c>
      <c r="K271" s="28">
        <f>'Reference Score Calculation'!V263</f>
        <v>83</v>
      </c>
      <c r="L271" s="110">
        <f>'Reference Score Calculation'!Y263</f>
        <v>3.0963855421686746</v>
      </c>
      <c r="M271" s="13">
        <f>入學要求!Z272</f>
        <v>0</v>
      </c>
    </row>
    <row r="272" spans="1:13">
      <c r="A272" s="13" t="str">
        <f>'Reference Score Calculation'!B264</f>
        <v>JS6860</v>
      </c>
      <c r="B272" s="13" t="str">
        <f>'Reference Score Calculation'!C264</f>
        <v>HKU</v>
      </c>
      <c r="C272" s="13" t="str">
        <f>'Reference Score Calculation'!E264</f>
        <v>金融學學士(資產管理及私人銀行)</v>
      </c>
      <c r="D272" s="13" t="str">
        <f>'Reference Score Calculation'!S264</f>
        <v>BFin(AMPB)</v>
      </c>
      <c r="E272" s="13" t="str">
        <f>'Reference Score Calculation'!F264</f>
        <v>Best 6</v>
      </c>
      <c r="F272" s="20">
        <f>'Reference Score Calculation'!H264</f>
        <v>48</v>
      </c>
      <c r="G272" s="20">
        <f>'Reference Score Calculation'!I264</f>
        <v>47</v>
      </c>
      <c r="H272" s="20">
        <f>'Reference Score Calculation'!J264</f>
        <v>47</v>
      </c>
      <c r="I272" s="20">
        <f>計分版!J287</f>
        <v>3.8500000000000006E-9</v>
      </c>
      <c r="J272" s="13">
        <f>'Reference Score Calculation'!U264</f>
        <v>30</v>
      </c>
      <c r="K272" s="28">
        <f>'Reference Score Calculation'!V264</f>
        <v>17</v>
      </c>
      <c r="L272" s="110">
        <f>'Reference Score Calculation'!Y264</f>
        <v>6.117647058823529</v>
      </c>
      <c r="M272" s="13">
        <f>入學要求!Z273</f>
        <v>0</v>
      </c>
    </row>
    <row r="273" spans="1:13">
      <c r="A273" s="13" t="str">
        <f>'Reference Score Calculation'!B265</f>
        <v>JS6793</v>
      </c>
      <c r="B273" s="13" t="str">
        <f>'Reference Score Calculation'!C265</f>
        <v>HKU</v>
      </c>
      <c r="C273" s="13" t="str">
        <f>'Reference Score Calculation'!E265</f>
        <v>工商管理學學士(商業分析)</v>
      </c>
      <c r="D273" s="13" t="str">
        <f>'Reference Score Calculation'!S265</f>
        <v>BBA(BA)</v>
      </c>
      <c r="E273" s="13" t="str">
        <f>'Reference Score Calculation'!F265</f>
        <v>Best 5</v>
      </c>
      <c r="F273" s="20">
        <f>'Reference Score Calculation'!H265</f>
        <v>34</v>
      </c>
      <c r="G273" s="20">
        <f>'Reference Score Calculation'!I265</f>
        <v>32</v>
      </c>
      <c r="H273" s="20">
        <f>'Reference Score Calculation'!J265</f>
        <v>31</v>
      </c>
      <c r="I273" s="20">
        <f>計分版!J288</f>
        <v>3.2700000000000001E-9</v>
      </c>
      <c r="J273" s="13">
        <f>'Reference Score Calculation'!U265</f>
        <v>15</v>
      </c>
      <c r="K273" s="28">
        <f>'Reference Score Calculation'!V265</f>
        <v>23</v>
      </c>
      <c r="L273" s="110">
        <f>'Reference Score Calculation'!Y265</f>
        <v>3.5217391304347827</v>
      </c>
      <c r="M273" s="13">
        <f>入學要求!Z274</f>
        <v>0</v>
      </c>
    </row>
    <row r="274" spans="1:13">
      <c r="A274" s="13" t="str">
        <f>'Reference Score Calculation'!B266</f>
        <v>JS6808</v>
      </c>
      <c r="B274" s="13" t="str">
        <f>'Reference Score Calculation'!C266</f>
        <v>HKU</v>
      </c>
      <c r="C274" s="13" t="str">
        <f>'Reference Score Calculation'!E266</f>
        <v>工商管理學學士(法學)及法學士</v>
      </c>
      <c r="D274" s="13" t="str">
        <f>'Reference Score Calculation'!S266</f>
        <v>BBA(Law)&amp;LLB</v>
      </c>
      <c r="E274" s="13" t="str">
        <f>'Reference Score Calculation'!F266</f>
        <v>Best 6</v>
      </c>
      <c r="F274" s="20">
        <f>'Reference Score Calculation'!H266</f>
        <v>48</v>
      </c>
      <c r="G274" s="20">
        <f>'Reference Score Calculation'!I266</f>
        <v>46</v>
      </c>
      <c r="H274" s="20">
        <f>'Reference Score Calculation'!J266</f>
        <v>45</v>
      </c>
      <c r="I274" s="20">
        <f>計分版!J289</f>
        <v>3.8500000000000006E-9</v>
      </c>
      <c r="J274" s="13">
        <f>'Reference Score Calculation'!U266</f>
        <v>80</v>
      </c>
      <c r="K274" s="28">
        <f>'Reference Score Calculation'!V266</f>
        <v>40</v>
      </c>
      <c r="L274" s="110">
        <f>'Reference Score Calculation'!Y266</f>
        <v>2.5</v>
      </c>
      <c r="M274" s="13">
        <f>入學要求!Z275</f>
        <v>0</v>
      </c>
    </row>
    <row r="275" spans="1:13">
      <c r="A275" s="13" t="str">
        <f>'Reference Score Calculation'!B267</f>
        <v>JS6846</v>
      </c>
      <c r="B275" s="13" t="str">
        <f>'Reference Score Calculation'!C267</f>
        <v>HKU</v>
      </c>
      <c r="C275" s="13" t="str">
        <f>'Reference Score Calculation'!E267</f>
        <v>理學士(營銷分析及科技)</v>
      </c>
      <c r="D275" s="13" t="str">
        <f>'Reference Score Calculation'!S267</f>
        <v>BSc(MAT)</v>
      </c>
      <c r="E275" s="13" t="str">
        <f>'Reference Score Calculation'!F267</f>
        <v>Best 5</v>
      </c>
      <c r="F275" s="20">
        <f>'Reference Score Calculation'!H267</f>
        <v>33</v>
      </c>
      <c r="G275" s="20">
        <f>'Reference Score Calculation'!I267</f>
        <v>32</v>
      </c>
      <c r="H275" s="20">
        <f>'Reference Score Calculation'!J267</f>
        <v>31</v>
      </c>
      <c r="I275" s="20">
        <f>計分版!J290</f>
        <v>3.2700000000000001E-9</v>
      </c>
      <c r="J275" s="13">
        <f>'Reference Score Calculation'!U267</f>
        <v>25</v>
      </c>
      <c r="K275" s="28">
        <f>'Reference Score Calculation'!V267</f>
        <v>21</v>
      </c>
      <c r="L275" s="110">
        <f>'Reference Score Calculation'!Y267</f>
        <v>4.1428571428571432</v>
      </c>
      <c r="M275" s="13">
        <f>入學要求!Z276</f>
        <v>0</v>
      </c>
    </row>
    <row r="276" spans="1:13">
      <c r="A276" s="13" t="str">
        <f>'Reference Score Calculation'!B268</f>
        <v>JS6884</v>
      </c>
      <c r="B276" s="13" t="str">
        <f>'Reference Score Calculation'!C268</f>
        <v>HKU</v>
      </c>
      <c r="C276" s="13" t="str">
        <f>'Reference Score Calculation'!E268</f>
        <v>理學士(計量金融)</v>
      </c>
      <c r="D276" s="13" t="str">
        <f>'Reference Score Calculation'!S268</f>
        <v>BSc(QFin)</v>
      </c>
      <c r="E276" s="13" t="str">
        <f>'Reference Score Calculation'!F268</f>
        <v>Best 6</v>
      </c>
      <c r="F276" s="20">
        <f>'Reference Score Calculation'!H268</f>
        <v>51</v>
      </c>
      <c r="G276" s="20">
        <f>'Reference Score Calculation'!I268</f>
        <v>49</v>
      </c>
      <c r="H276" s="20">
        <f>'Reference Score Calculation'!J268</f>
        <v>48</v>
      </c>
      <c r="I276" s="20">
        <f>計分版!J291</f>
        <v>3.8200000000000005E-9</v>
      </c>
      <c r="J276" s="13">
        <f>'Reference Score Calculation'!U268</f>
        <v>25</v>
      </c>
      <c r="K276" s="28">
        <f>'Reference Score Calculation'!V268</f>
        <v>24</v>
      </c>
      <c r="L276" s="110">
        <f>'Reference Score Calculation'!Y268</f>
        <v>5.125</v>
      </c>
      <c r="M276" s="13">
        <f>入學要求!Z277</f>
        <v>0</v>
      </c>
    </row>
    <row r="277" spans="1:13">
      <c r="A277" s="13" t="str">
        <f>'Reference Score Calculation'!B269</f>
        <v>JS6896</v>
      </c>
      <c r="B277" s="13" t="str">
        <f>'Reference Score Calculation'!C269</f>
        <v>HKU</v>
      </c>
      <c r="C277" s="13" t="str">
        <f>'Reference Score Calculation'!E269</f>
        <v>工商管理學學士(國際商業及環球管理)</v>
      </c>
      <c r="D277" s="13" t="str">
        <f>'Reference Score Calculation'!S269</f>
        <v>BBA(IBGM)</v>
      </c>
      <c r="E277" s="13" t="str">
        <f>'Reference Score Calculation'!F269</f>
        <v>Best 6</v>
      </c>
      <c r="F277" s="20">
        <f>'Reference Score Calculation'!H269</f>
        <v>52</v>
      </c>
      <c r="G277" s="20">
        <f>'Reference Score Calculation'!I269</f>
        <v>51</v>
      </c>
      <c r="H277" s="20">
        <f>'Reference Score Calculation'!J269</f>
        <v>49</v>
      </c>
      <c r="I277" s="20">
        <f>計分版!J292</f>
        <v>3.8500000000000006E-9</v>
      </c>
      <c r="J277" s="13">
        <f>'Reference Score Calculation'!U269</f>
        <v>25</v>
      </c>
      <c r="K277" s="28">
        <f>'Reference Score Calculation'!V269</f>
        <v>18</v>
      </c>
      <c r="L277" s="110">
        <f>'Reference Score Calculation'!Y269</f>
        <v>2.8888888888888888</v>
      </c>
      <c r="M277" s="13">
        <f>入學要求!Z278</f>
        <v>0</v>
      </c>
    </row>
    <row r="278" spans="1:13">
      <c r="A278" s="13" t="str">
        <f>'Reference Score Calculation'!B270</f>
        <v>JS6107</v>
      </c>
      <c r="B278" s="13" t="str">
        <f>'Reference Score Calculation'!C270</f>
        <v>HKU</v>
      </c>
      <c r="C278" s="13" t="str">
        <f>'Reference Score Calculation'!E270</f>
        <v>牙醫學士</v>
      </c>
      <c r="D278" s="13" t="str">
        <f>'Reference Score Calculation'!S270</f>
        <v>BDS</v>
      </c>
      <c r="E278" s="13" t="str">
        <f>'Reference Score Calculation'!F270</f>
        <v>Best 6</v>
      </c>
      <c r="F278" s="20">
        <f>'Reference Score Calculation'!H270</f>
        <v>49</v>
      </c>
      <c r="G278" s="20">
        <f>'Reference Score Calculation'!I270</f>
        <v>46</v>
      </c>
      <c r="H278" s="20">
        <f>'Reference Score Calculation'!J270</f>
        <v>45</v>
      </c>
      <c r="I278" s="20">
        <f>計分版!J293</f>
        <v>3.9799999999999999E-9</v>
      </c>
      <c r="J278" s="13">
        <f>'Reference Score Calculation'!U270</f>
        <v>90</v>
      </c>
      <c r="K278" s="28">
        <f>'Reference Score Calculation'!V270</f>
        <v>55</v>
      </c>
      <c r="L278" s="110">
        <f>'Reference Score Calculation'!Y270</f>
        <v>3.6909090909090909</v>
      </c>
      <c r="M278" s="13">
        <f>入學要求!Z279</f>
        <v>0</v>
      </c>
    </row>
    <row r="279" spans="1:13">
      <c r="A279" s="13" t="str">
        <f>'Reference Score Calculation'!B271</f>
        <v>JS6066</v>
      </c>
      <c r="B279" s="13" t="str">
        <f>'Reference Score Calculation'!C271</f>
        <v>HKU</v>
      </c>
      <c r="C279" s="13" t="str">
        <f>'Reference Score Calculation'!E271</f>
        <v>文學士及教育學士(語文教育) - 英文教育</v>
      </c>
      <c r="D279" s="13" t="str">
        <f>'Reference Score Calculation'!S271</f>
        <v>BA&amp;BEd(LangEd)-Eng</v>
      </c>
      <c r="E279" s="13" t="str">
        <f>'Reference Score Calculation'!F271</f>
        <v>Best 5</v>
      </c>
      <c r="F279" s="20">
        <f>'Reference Score Calculation'!H271</f>
        <v>39</v>
      </c>
      <c r="G279" s="20">
        <f>'Reference Score Calculation'!I271</f>
        <v>36</v>
      </c>
      <c r="H279" s="20">
        <f>'Reference Score Calculation'!J271</f>
        <v>32</v>
      </c>
      <c r="I279" s="20">
        <f>計分版!J294</f>
        <v>3.2999999999999998E-9</v>
      </c>
      <c r="J279" s="13">
        <f>'Reference Score Calculation'!U271</f>
        <v>17</v>
      </c>
      <c r="K279" s="28">
        <f>'Reference Score Calculation'!V271</f>
        <v>17</v>
      </c>
      <c r="L279" s="110">
        <f>'Reference Score Calculation'!Y271</f>
        <v>8.117647058823529</v>
      </c>
      <c r="M279" s="13">
        <f>入學要求!Z280</f>
        <v>0</v>
      </c>
    </row>
    <row r="280" spans="1:13">
      <c r="A280" s="13" t="str">
        <f>'Reference Score Calculation'!B272</f>
        <v>JS6080</v>
      </c>
      <c r="B280" s="13" t="str">
        <f>'Reference Score Calculation'!C272</f>
        <v>HKU</v>
      </c>
      <c r="C280" s="13" t="str">
        <f>'Reference Score Calculation'!E272</f>
        <v>文學士及教育學士(語文教育) - 中文教育</v>
      </c>
      <c r="D280" s="13" t="str">
        <f>'Reference Score Calculation'!S272</f>
        <v>BA&amp;BEd(LangEd)-Chin</v>
      </c>
      <c r="E280" s="13" t="str">
        <f>'Reference Score Calculation'!F272</f>
        <v>Best 5</v>
      </c>
      <c r="F280" s="20">
        <f>'Reference Score Calculation'!H272</f>
        <v>36</v>
      </c>
      <c r="G280" s="20">
        <f>'Reference Score Calculation'!I272</f>
        <v>35</v>
      </c>
      <c r="H280" s="20">
        <f>'Reference Score Calculation'!J272</f>
        <v>34</v>
      </c>
      <c r="I280" s="20">
        <f>計分版!J295</f>
        <v>3.1500000000000001E-9</v>
      </c>
      <c r="J280" s="13">
        <f>'Reference Score Calculation'!U272</f>
        <v>17</v>
      </c>
      <c r="K280" s="28">
        <f>'Reference Score Calculation'!V272</f>
        <v>17</v>
      </c>
      <c r="L280" s="110">
        <f>'Reference Score Calculation'!Y272</f>
        <v>6</v>
      </c>
      <c r="M280" s="13">
        <f>入學要求!Z281</f>
        <v>0</v>
      </c>
    </row>
    <row r="281" spans="1:13">
      <c r="A281" s="13" t="str">
        <f>'Reference Score Calculation'!B273</f>
        <v>JS6092</v>
      </c>
      <c r="B281" s="13" t="str">
        <f>'Reference Score Calculation'!C273</f>
        <v>HKU</v>
      </c>
      <c r="C281" s="13" t="str">
        <f>'Reference Score Calculation'!E273</f>
        <v>教育學士(幼兒教育及特殊教育)</v>
      </c>
      <c r="D281" s="13" t="str">
        <f>'Reference Score Calculation'!S273</f>
        <v>BEd(ECE&amp;SE)</v>
      </c>
      <c r="E281" s="13" t="str">
        <f>'Reference Score Calculation'!F273</f>
        <v>Best 5</v>
      </c>
      <c r="F281" s="20">
        <f>'Reference Score Calculation'!H273</f>
        <v>28</v>
      </c>
      <c r="G281" s="20">
        <f>'Reference Score Calculation'!I273</f>
        <v>27</v>
      </c>
      <c r="H281" s="20">
        <f>'Reference Score Calculation'!J273</f>
        <v>26</v>
      </c>
      <c r="I281" s="20">
        <f>計分版!J296</f>
        <v>3.2999999999999998E-9</v>
      </c>
      <c r="J281" s="13">
        <f>'Reference Score Calculation'!U273</f>
        <v>16</v>
      </c>
      <c r="K281" s="28">
        <f>'Reference Score Calculation'!V273</f>
        <v>13</v>
      </c>
      <c r="L281" s="110">
        <f>'Reference Score Calculation'!Y273</f>
        <v>13.692307692307692</v>
      </c>
      <c r="M281" s="13">
        <f>入學要求!Z282</f>
        <v>0</v>
      </c>
    </row>
    <row r="282" spans="1:13">
      <c r="A282" s="13" t="str">
        <f>'Reference Score Calculation'!B274</f>
        <v>JS6119</v>
      </c>
      <c r="B282" s="13" t="str">
        <f>'Reference Score Calculation'!C274</f>
        <v>HKU</v>
      </c>
      <c r="C282" s="13" t="str">
        <f>'Reference Score Calculation'!E274</f>
        <v>教育學士及理學士</v>
      </c>
      <c r="D282" s="13" t="str">
        <f>'Reference Score Calculation'!S274</f>
        <v>BEd&amp;BSc</v>
      </c>
      <c r="E282" s="13" t="str">
        <f>'Reference Score Calculation'!F274</f>
        <v>Best 5</v>
      </c>
      <c r="F282" s="20">
        <f>'Reference Score Calculation'!H274</f>
        <v>44</v>
      </c>
      <c r="G282" s="20">
        <f>'Reference Score Calculation'!I274</f>
        <v>42</v>
      </c>
      <c r="H282" s="20">
        <f>'Reference Score Calculation'!J274</f>
        <v>40</v>
      </c>
      <c r="I282" s="20">
        <f>計分版!J297</f>
        <v>2.9499999999999999E-9</v>
      </c>
      <c r="J282" s="13">
        <f>'Reference Score Calculation'!U274</f>
        <v>16</v>
      </c>
      <c r="K282" s="28">
        <f>'Reference Score Calculation'!V274</f>
        <v>13</v>
      </c>
      <c r="L282" s="110">
        <f>'Reference Score Calculation'!Y274</f>
        <v>11</v>
      </c>
      <c r="M282" s="13">
        <f>入學要求!Z283</f>
        <v>0</v>
      </c>
    </row>
    <row r="283" spans="1:13">
      <c r="A283" s="13" t="str">
        <f>'Reference Score Calculation'!B275</f>
        <v>JS6157</v>
      </c>
      <c r="B283" s="13" t="str">
        <f>'Reference Score Calculation'!C275</f>
        <v>HKU</v>
      </c>
      <c r="C283" s="13" t="str">
        <f>'Reference Score Calculation'!E275</f>
        <v>理學士(言語及語言病理學)</v>
      </c>
      <c r="D283" s="13" t="str">
        <f>'Reference Score Calculation'!S275</f>
        <v>BSc(SLP)</v>
      </c>
      <c r="E283" s="13" t="str">
        <f>'Reference Score Calculation'!F275</f>
        <v>Best 5</v>
      </c>
      <c r="F283" s="20">
        <f>'Reference Score Calculation'!H275</f>
        <v>34</v>
      </c>
      <c r="G283" s="20">
        <f>'Reference Score Calculation'!I275</f>
        <v>32</v>
      </c>
      <c r="H283" s="20">
        <f>'Reference Score Calculation'!J275</f>
        <v>32</v>
      </c>
      <c r="I283" s="20">
        <f>計分版!J298</f>
        <v>3.4999999999999999E-9</v>
      </c>
      <c r="J283" s="13">
        <f>'Reference Score Calculation'!U275</f>
        <v>48</v>
      </c>
      <c r="K283" s="28">
        <f>'Reference Score Calculation'!V275</f>
        <v>49</v>
      </c>
      <c r="L283" s="110">
        <f>'Reference Score Calculation'!Y275</f>
        <v>4.5510204081632653</v>
      </c>
      <c r="M283" s="13">
        <f>入學要求!Z284</f>
        <v>0</v>
      </c>
    </row>
    <row r="284" spans="1:13">
      <c r="A284" s="13" t="str">
        <f>'Reference Score Calculation'!B276</f>
        <v>JS6303</v>
      </c>
      <c r="B284" s="13" t="str">
        <f>'Reference Score Calculation'!C276</f>
        <v>HKU</v>
      </c>
      <c r="C284" s="13" t="str">
        <f>'Reference Score Calculation'!E276</f>
        <v>工學學士精英課程</v>
      </c>
      <c r="D284" s="13" t="str">
        <f>'Reference Score Calculation'!S276</f>
        <v>BEng(Elite)</v>
      </c>
      <c r="E284" s="13" t="str">
        <f>'Reference Score Calculation'!F276</f>
        <v>25年新科目</v>
      </c>
      <c r="F284" s="20" t="str">
        <f>'Reference Score Calculation'!H276</f>
        <v>/</v>
      </c>
      <c r="G284" s="20" t="str">
        <f>'Reference Score Calculation'!I276</f>
        <v>/</v>
      </c>
      <c r="H284" s="20" t="str">
        <f>'Reference Score Calculation'!J276</f>
        <v>/</v>
      </c>
      <c r="I284" s="20">
        <f>計分版!J299</f>
        <v>2.9000000000000003E-9</v>
      </c>
      <c r="J284" s="13" t="str">
        <f>'Reference Score Calculation'!U276</f>
        <v>327*</v>
      </c>
      <c r="K284" s="28" t="str">
        <f>'Reference Score Calculation'!V276</f>
        <v>/</v>
      </c>
      <c r="L284" s="110" t="str">
        <f>'Reference Score Calculation'!Y276</f>
        <v>新科目</v>
      </c>
      <c r="M284" s="13">
        <f>入學要求!Z285</f>
        <v>0</v>
      </c>
    </row>
    <row r="285" spans="1:13">
      <c r="A285" s="13" t="str">
        <f>'Reference Score Calculation'!B277</f>
        <v>JS6315</v>
      </c>
      <c r="B285" s="13" t="str">
        <f>'Reference Score Calculation'!C277</f>
        <v>HKU</v>
      </c>
      <c r="C285" s="13" t="str">
        <f>'Reference Score Calculation'!E277</f>
        <v>工學學士(數據與系統工程)</v>
      </c>
      <c r="D285" s="13" t="str">
        <f>'Reference Score Calculation'!S277</f>
        <v>BEng(DASE)</v>
      </c>
      <c r="E285" s="13" t="str">
        <f>'Reference Score Calculation'!F277</f>
        <v>25年新科目</v>
      </c>
      <c r="F285" s="20" t="str">
        <f>'Reference Score Calculation'!H277</f>
        <v>/</v>
      </c>
      <c r="G285" s="20" t="str">
        <f>'Reference Score Calculation'!I277</f>
        <v>/</v>
      </c>
      <c r="H285" s="20" t="str">
        <f>'Reference Score Calculation'!J277</f>
        <v>/</v>
      </c>
      <c r="I285" s="20">
        <f>計分版!J300</f>
        <v>2.9000000000000003E-9</v>
      </c>
      <c r="J285" s="13" t="str">
        <f>'Reference Score Calculation'!U277</f>
        <v>327*</v>
      </c>
      <c r="K285" s="28" t="str">
        <f>'Reference Score Calculation'!V277</f>
        <v>/</v>
      </c>
      <c r="L285" s="110" t="str">
        <f>'Reference Score Calculation'!Y277</f>
        <v>新科目</v>
      </c>
      <c r="M285" s="13">
        <f>入學要求!Z286</f>
        <v>0</v>
      </c>
    </row>
    <row r="286" spans="1:13">
      <c r="A286" s="13" t="str">
        <f>'Reference Score Calculation'!B278</f>
        <v>JS6339</v>
      </c>
      <c r="B286" s="13" t="str">
        <f>'Reference Score Calculation'!C278</f>
        <v>HKU</v>
      </c>
      <c r="C286" s="13" t="str">
        <f>'Reference Score Calculation'!E278</f>
        <v>工學學士(機械工程)</v>
      </c>
      <c r="D286" s="13" t="str">
        <f>'Reference Score Calculation'!S278</f>
        <v>BEng(ME)</v>
      </c>
      <c r="E286" s="13" t="str">
        <f>'Reference Score Calculation'!F278</f>
        <v>25年新科目</v>
      </c>
      <c r="F286" s="20" t="str">
        <f>'Reference Score Calculation'!H278</f>
        <v>/</v>
      </c>
      <c r="G286" s="20" t="str">
        <f>'Reference Score Calculation'!I278</f>
        <v>/</v>
      </c>
      <c r="H286" s="20" t="str">
        <f>'Reference Score Calculation'!J278</f>
        <v>/</v>
      </c>
      <c r="I286" s="20">
        <f>計分版!J301</f>
        <v>2.9000000000000003E-9</v>
      </c>
      <c r="J286" s="13" t="str">
        <f>'Reference Score Calculation'!U278</f>
        <v>327*</v>
      </c>
      <c r="K286" s="28" t="str">
        <f>'Reference Score Calculation'!V278</f>
        <v>/</v>
      </c>
      <c r="L286" s="110" t="str">
        <f>'Reference Score Calculation'!Y278</f>
        <v>新科目</v>
      </c>
      <c r="M286" s="13">
        <f>入學要求!Z287</f>
        <v>0</v>
      </c>
    </row>
    <row r="287" spans="1:13">
      <c r="A287" s="13" t="str">
        <f>'Reference Score Calculation'!B279</f>
        <v>JS6353</v>
      </c>
      <c r="B287" s="13" t="str">
        <f>'Reference Score Calculation'!C279</f>
        <v>HKU</v>
      </c>
      <c r="C287" s="13" t="str">
        <f>'Reference Score Calculation'!E279</f>
        <v>工學學士(土木工程)</v>
      </c>
      <c r="D287" s="13" t="str">
        <f>'Reference Score Calculation'!S279</f>
        <v>BEng(CivE)</v>
      </c>
      <c r="E287" s="13" t="str">
        <f>'Reference Score Calculation'!F279</f>
        <v>25年新科目</v>
      </c>
      <c r="F287" s="20" t="str">
        <f>'Reference Score Calculation'!H279</f>
        <v>/</v>
      </c>
      <c r="G287" s="20" t="str">
        <f>'Reference Score Calculation'!I279</f>
        <v>/</v>
      </c>
      <c r="H287" s="20" t="str">
        <f>'Reference Score Calculation'!J279</f>
        <v>/</v>
      </c>
      <c r="I287" s="20">
        <f>計分版!J302</f>
        <v>2.9000000000000003E-9</v>
      </c>
      <c r="J287" s="13" t="str">
        <f>'Reference Score Calculation'!U279</f>
        <v>327*</v>
      </c>
      <c r="K287" s="28" t="str">
        <f>'Reference Score Calculation'!V279</f>
        <v>/</v>
      </c>
      <c r="L287" s="110" t="str">
        <f>'Reference Score Calculation'!Y279</f>
        <v>新科目</v>
      </c>
      <c r="M287" s="13">
        <f>入學要求!Z288</f>
        <v>0</v>
      </c>
    </row>
    <row r="288" spans="1:13">
      <c r="A288" s="13" t="str">
        <f>'Reference Score Calculation'!B280</f>
        <v>JS6377</v>
      </c>
      <c r="B288" s="13" t="str">
        <f>'Reference Score Calculation'!C280</f>
        <v>HKU</v>
      </c>
      <c r="C288" s="13" t="str">
        <f>'Reference Score Calculation'!E280</f>
        <v>工學學士與人工智能理學碩士聯合課程</v>
      </c>
      <c r="D288" s="13" t="str">
        <f>'Reference Score Calculation'!S280</f>
        <v>BEng X + MScEng AIE</v>
      </c>
      <c r="E288" s="13" t="str">
        <f>'Reference Score Calculation'!F280</f>
        <v>25年新科目</v>
      </c>
      <c r="F288" s="20" t="str">
        <f>'Reference Score Calculation'!H280</f>
        <v>/</v>
      </c>
      <c r="G288" s="20" t="str">
        <f>'Reference Score Calculation'!I280</f>
        <v>/</v>
      </c>
      <c r="H288" s="20" t="str">
        <f>'Reference Score Calculation'!J280</f>
        <v>/</v>
      </c>
      <c r="I288" s="20">
        <f>計分版!J303</f>
        <v>2.9000000000000003E-9</v>
      </c>
      <c r="J288" s="13" t="str">
        <f>'Reference Score Calculation'!U280</f>
        <v>327*</v>
      </c>
      <c r="K288" s="28" t="str">
        <f>'Reference Score Calculation'!V280</f>
        <v>/</v>
      </c>
      <c r="L288" s="110" t="str">
        <f>'Reference Score Calculation'!Y280</f>
        <v>新科目</v>
      </c>
      <c r="M288" s="13">
        <f>入學要求!Z289</f>
        <v>0</v>
      </c>
    </row>
    <row r="289" spans="1:13">
      <c r="A289" s="13" t="str">
        <f>'Reference Score Calculation'!B281</f>
        <v>JS6925</v>
      </c>
      <c r="B289" s="13" t="str">
        <f>'Reference Score Calculation'!C281</f>
        <v>HKU</v>
      </c>
      <c r="C289" s="13" t="str">
        <f>'Reference Score Calculation'!E281</f>
        <v>工學學士(生物醫學工程)</v>
      </c>
      <c r="D289" s="13" t="str">
        <f>'Reference Score Calculation'!S281</f>
        <v>BEng(BME)</v>
      </c>
      <c r="E289" s="13" t="str">
        <f>'Reference Score Calculation'!F281</f>
        <v>Best 5</v>
      </c>
      <c r="F289" s="20">
        <f>'Reference Score Calculation'!H281</f>
        <v>32</v>
      </c>
      <c r="G289" s="20">
        <f>'Reference Score Calculation'!I281</f>
        <v>29</v>
      </c>
      <c r="H289" s="20">
        <f>'Reference Score Calculation'!J281</f>
        <v>28</v>
      </c>
      <c r="I289" s="20">
        <f>計分版!J304</f>
        <v>2.9000000000000003E-9</v>
      </c>
      <c r="J289" s="13">
        <f>'Reference Score Calculation'!U281</f>
        <v>75</v>
      </c>
      <c r="K289" s="28">
        <f>'Reference Score Calculation'!V281</f>
        <v>24</v>
      </c>
      <c r="L289" s="110">
        <f>'Reference Score Calculation'!Y281</f>
        <v>4.958333333333333</v>
      </c>
      <c r="M289" s="13">
        <f>入學要求!Z290</f>
        <v>0</v>
      </c>
    </row>
    <row r="290" spans="1:13">
      <c r="A290" s="13" t="str">
        <f>'Reference Score Calculation'!B282</f>
        <v>JS6937</v>
      </c>
      <c r="B290" s="13" t="str">
        <f>'Reference Score Calculation'!C282</f>
        <v>HKU</v>
      </c>
      <c r="C290" s="13" t="str">
        <f>'Reference Score Calculation'!E282</f>
        <v>環球工程與商業課程</v>
      </c>
      <c r="D290" s="13" t="str">
        <f>'Reference Score Calculation'!S282</f>
        <v>GEBP</v>
      </c>
      <c r="E290" s="13" t="str">
        <f>'Reference Score Calculation'!F282</f>
        <v>Best 5</v>
      </c>
      <c r="F290" s="20">
        <f>'Reference Score Calculation'!H282</f>
        <v>34</v>
      </c>
      <c r="G290" s="20">
        <f>'Reference Score Calculation'!I282</f>
        <v>32</v>
      </c>
      <c r="H290" s="20">
        <f>'Reference Score Calculation'!J282</f>
        <v>31</v>
      </c>
      <c r="I290" s="20">
        <f>計分版!J305</f>
        <v>2.9000000000000003E-9</v>
      </c>
      <c r="J290" s="13" t="str">
        <f>'Reference Score Calculation'!U282</f>
        <v>327*</v>
      </c>
      <c r="K290" s="28">
        <f>'Reference Score Calculation'!V282</f>
        <v>26</v>
      </c>
      <c r="L290" s="110">
        <f>'Reference Score Calculation'!Y282</f>
        <v>3.6923076923076925</v>
      </c>
      <c r="M290" s="13">
        <f>入學要求!Z291</f>
        <v>0</v>
      </c>
    </row>
    <row r="291" spans="1:13">
      <c r="A291" s="13" t="str">
        <f>'Reference Score Calculation'!B283</f>
        <v>JS6987</v>
      </c>
      <c r="B291" s="13" t="str">
        <f>'Reference Score Calculation'!C283</f>
        <v>HKU</v>
      </c>
      <c r="C291" s="13" t="str">
        <f>'Reference Score Calculation'!E283</f>
        <v>工學學士(計算機工程/電機工程/電子工程)</v>
      </c>
      <c r="D291" s="13" t="str">
        <f>'Reference Score Calculation'!S283</f>
        <v>BEng(CE/EE/ElecE)</v>
      </c>
      <c r="E291" s="13" t="str">
        <f>'Reference Score Calculation'!F283</f>
        <v>25年新科目</v>
      </c>
      <c r="F291" s="20" t="str">
        <f>'Reference Score Calculation'!H283</f>
        <v>/</v>
      </c>
      <c r="G291" s="20" t="str">
        <f>'Reference Score Calculation'!I283</f>
        <v>/</v>
      </c>
      <c r="H291" s="20" t="str">
        <f>'Reference Score Calculation'!J283</f>
        <v>/</v>
      </c>
      <c r="I291" s="20">
        <f>計分版!J306</f>
        <v>2.9000000000000003E-9</v>
      </c>
      <c r="J291" s="13" t="str">
        <f>'Reference Score Calculation'!U283</f>
        <v>327*</v>
      </c>
      <c r="K291" s="28" t="str">
        <f>'Reference Score Calculation'!V283</f>
        <v>/</v>
      </c>
      <c r="L291" s="110" t="str">
        <f>'Reference Score Calculation'!Y283</f>
        <v>新科目</v>
      </c>
      <c r="M291" s="13">
        <f>入學要求!Z292</f>
        <v>0</v>
      </c>
    </row>
    <row r="292" spans="1:13">
      <c r="A292" s="13" t="str">
        <f>'Reference Score Calculation'!B284</f>
        <v>JS6078</v>
      </c>
      <c r="B292" s="13" t="str">
        <f>'Reference Score Calculation'!C284</f>
        <v>HKU</v>
      </c>
      <c r="C292" s="13" t="str">
        <f>'Reference Score Calculation'!E284</f>
        <v>文學士及法學士</v>
      </c>
      <c r="D292" s="13" t="str">
        <f>'Reference Score Calculation'!S284</f>
        <v>BA&amp;LLB</v>
      </c>
      <c r="E292" s="13" t="str">
        <f>'Reference Score Calculation'!F284</f>
        <v>Best 6</v>
      </c>
      <c r="F292" s="20">
        <f>'Reference Score Calculation'!H284</f>
        <v>41</v>
      </c>
      <c r="G292" s="20">
        <f>'Reference Score Calculation'!I284</f>
        <v>38</v>
      </c>
      <c r="H292" s="20">
        <f>'Reference Score Calculation'!J284</f>
        <v>38</v>
      </c>
      <c r="I292" s="20">
        <f>計分版!J307</f>
        <v>3.7E-9</v>
      </c>
      <c r="J292" s="13">
        <f>'Reference Score Calculation'!U284</f>
        <v>20</v>
      </c>
      <c r="K292" s="28">
        <f>'Reference Score Calculation'!V284</f>
        <v>21</v>
      </c>
      <c r="L292" s="110">
        <f>'Reference Score Calculation'!Y284</f>
        <v>2</v>
      </c>
      <c r="M292" s="13">
        <f>入學要求!Z293</f>
        <v>0</v>
      </c>
    </row>
    <row r="293" spans="1:13">
      <c r="A293" s="13" t="str">
        <f>'Reference Score Calculation'!B285</f>
        <v>JS6406</v>
      </c>
      <c r="B293" s="13" t="str">
        <f>'Reference Score Calculation'!C285</f>
        <v>HKU</v>
      </c>
      <c r="C293" s="13" t="str">
        <f>'Reference Score Calculation'!E285</f>
        <v>法學士</v>
      </c>
      <c r="D293" s="13" t="str">
        <f>'Reference Score Calculation'!S285</f>
        <v>LLB</v>
      </c>
      <c r="E293" s="13" t="str">
        <f>'Reference Score Calculation'!F285</f>
        <v>Best 6</v>
      </c>
      <c r="F293" s="20">
        <f>'Reference Score Calculation'!H285</f>
        <v>36</v>
      </c>
      <c r="G293" s="20">
        <f>'Reference Score Calculation'!I285</f>
        <v>35</v>
      </c>
      <c r="H293" s="20">
        <f>'Reference Score Calculation'!J285</f>
        <v>33</v>
      </c>
      <c r="I293" s="20">
        <f>計分版!J308</f>
        <v>3.7E-9</v>
      </c>
      <c r="J293" s="13">
        <f>'Reference Score Calculation'!U285</f>
        <v>92</v>
      </c>
      <c r="K293" s="28">
        <f>'Reference Score Calculation'!V285</f>
        <v>62</v>
      </c>
      <c r="L293" s="110">
        <f>'Reference Score Calculation'!Y285</f>
        <v>3.8852459016393444</v>
      </c>
      <c r="M293" s="13">
        <f>入學要求!Z294</f>
        <v>0</v>
      </c>
    </row>
    <row r="294" spans="1:13">
      <c r="A294" s="13" t="str">
        <f>'Reference Score Calculation'!B286</f>
        <v>JS6418</v>
      </c>
      <c r="B294" s="13" t="str">
        <f>'Reference Score Calculation'!C286</f>
        <v>HKU</v>
      </c>
      <c r="C294" s="13" t="str">
        <f>'Reference Score Calculation'!E286</f>
        <v>護理學學士菁英領袖培育專修組別</v>
      </c>
      <c r="D294" s="13" t="str">
        <f>'Reference Score Calculation'!S286</f>
        <v>BNurs-ALT</v>
      </c>
      <c r="E294" s="13" t="str">
        <f>'Reference Score Calculation'!F286</f>
        <v>Best 5</v>
      </c>
      <c r="F294" s="20">
        <f>'Reference Score Calculation'!H286</f>
        <v>36</v>
      </c>
      <c r="G294" s="20">
        <f>'Reference Score Calculation'!I286</f>
        <v>35</v>
      </c>
      <c r="H294" s="20">
        <f>'Reference Score Calculation'!J286</f>
        <v>34</v>
      </c>
      <c r="I294" s="20">
        <f>計分版!J309</f>
        <v>3.65E-9</v>
      </c>
      <c r="J294" s="13" t="str">
        <f>'Reference Score Calculation'!U286</f>
        <v>210*</v>
      </c>
      <c r="K294" s="28">
        <f>'Reference Score Calculation'!V286</f>
        <v>4</v>
      </c>
      <c r="L294" s="110">
        <f>'Reference Score Calculation'!Y286</f>
        <v>15.75</v>
      </c>
      <c r="M294" s="13">
        <f>入學要求!Z295</f>
        <v>0</v>
      </c>
    </row>
    <row r="295" spans="1:13">
      <c r="A295" s="13" t="str">
        <f>'Reference Score Calculation'!B287</f>
        <v>JS6456</v>
      </c>
      <c r="B295" s="13" t="str">
        <f>'Reference Score Calculation'!C287</f>
        <v>HKU</v>
      </c>
      <c r="C295" s="13" t="str">
        <f>'Reference Score Calculation'!E287</f>
        <v>內外全科醫學士</v>
      </c>
      <c r="D295" s="13" t="str">
        <f>'Reference Score Calculation'!S287</f>
        <v>MBBS</v>
      </c>
      <c r="E295" s="13" t="str">
        <f>'Reference Score Calculation'!F287</f>
        <v>Best 6</v>
      </c>
      <c r="F295" s="20">
        <f>'Reference Score Calculation'!H287</f>
        <v>45</v>
      </c>
      <c r="G295" s="20">
        <f>'Reference Score Calculation'!I287</f>
        <v>44</v>
      </c>
      <c r="H295" s="20">
        <f>'Reference Score Calculation'!J287</f>
        <v>42</v>
      </c>
      <c r="I295" s="20">
        <f>計分版!J310</f>
        <v>3.8000000000000001E-9</v>
      </c>
      <c r="J295" s="13">
        <f>'Reference Score Calculation'!U287</f>
        <v>300</v>
      </c>
      <c r="K295" s="28">
        <f>'Reference Score Calculation'!V287</f>
        <v>155</v>
      </c>
      <c r="L295" s="110">
        <f>'Reference Score Calculation'!Y287</f>
        <v>3.1096774193548389</v>
      </c>
      <c r="M295" s="13">
        <f>入學要求!Z296</f>
        <v>0</v>
      </c>
    </row>
    <row r="296" spans="1:13">
      <c r="A296" s="13" t="str">
        <f>'Reference Score Calculation'!B288</f>
        <v>JS6468</v>
      </c>
      <c r="B296" s="13" t="str">
        <f>'Reference Score Calculation'!C288</f>
        <v>HKU</v>
      </c>
      <c r="C296" s="13" t="str">
        <f>'Reference Score Calculation'!E288</f>
        <v>護理學學士</v>
      </c>
      <c r="D296" s="13" t="str">
        <f>'Reference Score Calculation'!S288</f>
        <v>BNurs</v>
      </c>
      <c r="E296" s="13" t="str">
        <f>'Reference Score Calculation'!F288</f>
        <v>Best 5</v>
      </c>
      <c r="F296" s="20">
        <f>'Reference Score Calculation'!H288</f>
        <v>27</v>
      </c>
      <c r="G296" s="20">
        <f>'Reference Score Calculation'!I288</f>
        <v>26</v>
      </c>
      <c r="H296" s="20">
        <f>'Reference Score Calculation'!J288</f>
        <v>25</v>
      </c>
      <c r="I296" s="20">
        <f>計分版!J311</f>
        <v>3.65E-9</v>
      </c>
      <c r="J296" s="13" t="str">
        <f>'Reference Score Calculation'!U288</f>
        <v>210*</v>
      </c>
      <c r="K296" s="28">
        <f>'Reference Score Calculation'!V288</f>
        <v>189</v>
      </c>
      <c r="L296" s="110">
        <f>'Reference Score Calculation'!Y288</f>
        <v>4.0687830687830688</v>
      </c>
      <c r="M296" s="13">
        <f>入學要求!Z297</f>
        <v>0</v>
      </c>
    </row>
    <row r="297" spans="1:13">
      <c r="A297" s="13" t="str">
        <f>'Reference Score Calculation'!B289</f>
        <v>JS6482</v>
      </c>
      <c r="B297" s="13" t="str">
        <f>'Reference Score Calculation'!C289</f>
        <v>HKU</v>
      </c>
      <c r="C297" s="13" t="str">
        <f>'Reference Score Calculation'!E289</f>
        <v>中醫全科學士</v>
      </c>
      <c r="D297" s="13" t="str">
        <f>'Reference Score Calculation'!S289</f>
        <v>BChinMed</v>
      </c>
      <c r="E297" s="13" t="str">
        <f>'Reference Score Calculation'!F289</f>
        <v>Best 5</v>
      </c>
      <c r="F297" s="20">
        <f>'Reference Score Calculation'!H289</f>
        <v>33</v>
      </c>
      <c r="G297" s="20">
        <f>'Reference Score Calculation'!I289</f>
        <v>32</v>
      </c>
      <c r="H297" s="20">
        <f>'Reference Score Calculation'!J289</f>
        <v>31</v>
      </c>
      <c r="I297" s="20">
        <f>計分版!J312</f>
        <v>3.65E-9</v>
      </c>
      <c r="J297" s="13">
        <f>'Reference Score Calculation'!U289</f>
        <v>25</v>
      </c>
      <c r="K297" s="28">
        <f>'Reference Score Calculation'!V289</f>
        <v>22</v>
      </c>
      <c r="L297" s="110">
        <f>'Reference Score Calculation'!Y289</f>
        <v>7.5454545454545459</v>
      </c>
      <c r="M297" s="13">
        <f>入學要求!Z298</f>
        <v>0</v>
      </c>
    </row>
    <row r="298" spans="1:13">
      <c r="A298" s="13" t="str">
        <f>'Reference Score Calculation'!B290</f>
        <v>JS6494</v>
      </c>
      <c r="B298" s="13" t="str">
        <f>'Reference Score Calculation'!C290</f>
        <v>HKU</v>
      </c>
      <c r="C298" s="13" t="str">
        <f>'Reference Score Calculation'!E290</f>
        <v>藥劑學學士</v>
      </c>
      <c r="D298" s="13" t="str">
        <f>'Reference Score Calculation'!S290</f>
        <v>BPharm</v>
      </c>
      <c r="E298" s="13" t="str">
        <f>'Reference Score Calculation'!F290</f>
        <v>Best 6</v>
      </c>
      <c r="F298" s="20">
        <f>'Reference Score Calculation'!H290</f>
        <v>39</v>
      </c>
      <c r="G298" s="20">
        <f>'Reference Score Calculation'!I290</f>
        <v>39</v>
      </c>
      <c r="H298" s="20">
        <f>'Reference Score Calculation'!J290</f>
        <v>37</v>
      </c>
      <c r="I298" s="20">
        <f>計分版!J313</f>
        <v>3.8000000000000001E-9</v>
      </c>
      <c r="J298" s="13">
        <f>'Reference Score Calculation'!U290</f>
        <v>35</v>
      </c>
      <c r="K298" s="28">
        <f>'Reference Score Calculation'!V290</f>
        <v>30</v>
      </c>
      <c r="L298" s="110">
        <f>'Reference Score Calculation'!Y290</f>
        <v>4.0333333333333332</v>
      </c>
      <c r="M298" s="13">
        <f>入學要求!Z299</f>
        <v>0</v>
      </c>
    </row>
    <row r="299" spans="1:13">
      <c r="A299" s="13" t="str">
        <f>'Reference Score Calculation'!B291</f>
        <v>JS6949</v>
      </c>
      <c r="B299" s="13" t="str">
        <f>'Reference Score Calculation'!C291</f>
        <v>HKU</v>
      </c>
      <c r="C299" s="13" t="str">
        <f>'Reference Score Calculation'!E291</f>
        <v>生物醫學學士</v>
      </c>
      <c r="D299" s="13" t="str">
        <f>'Reference Score Calculation'!S291</f>
        <v>BBiomedSc</v>
      </c>
      <c r="E299" s="13" t="str">
        <f>'Reference Score Calculation'!F291</f>
        <v>Best 6</v>
      </c>
      <c r="F299" s="20">
        <f>'Reference Score Calculation'!H291</f>
        <v>41</v>
      </c>
      <c r="G299" s="20">
        <f>'Reference Score Calculation'!I291</f>
        <v>39</v>
      </c>
      <c r="H299" s="20">
        <f>'Reference Score Calculation'!J291</f>
        <v>39</v>
      </c>
      <c r="I299" s="20">
        <f>計分版!J314</f>
        <v>3.8000000000000001E-9</v>
      </c>
      <c r="J299" s="13">
        <f>'Reference Score Calculation'!U291</f>
        <v>53</v>
      </c>
      <c r="K299" s="28">
        <f>'Reference Score Calculation'!V291</f>
        <v>30</v>
      </c>
      <c r="L299" s="110">
        <f>'Reference Score Calculation'!Y291</f>
        <v>4.0666666666666664</v>
      </c>
      <c r="M299" s="13">
        <f>入學要求!Z300</f>
        <v>0</v>
      </c>
    </row>
    <row r="300" spans="1:13">
      <c r="A300" s="13" t="str">
        <f>'Reference Score Calculation'!B292</f>
        <v>JS6688</v>
      </c>
      <c r="B300" s="13" t="str">
        <f>'Reference Score Calculation'!C292</f>
        <v>HKU</v>
      </c>
      <c r="C300" s="13" t="str">
        <f>'Reference Score Calculation'!E292</f>
        <v>科研專才啟導課程(雙學位課程)</v>
      </c>
      <c r="D300" s="13" t="str">
        <f>'Reference Score Calculation'!S292</f>
        <v>SMC</v>
      </c>
      <c r="E300" s="13" t="str">
        <f>'Reference Score Calculation'!F292</f>
        <v>Best 5</v>
      </c>
      <c r="F300" s="20">
        <f>'Reference Score Calculation'!H292</f>
        <v>38</v>
      </c>
      <c r="G300" s="20">
        <f>'Reference Score Calculation'!I292</f>
        <v>35</v>
      </c>
      <c r="H300" s="20">
        <f>'Reference Score Calculation'!J292</f>
        <v>33</v>
      </c>
      <c r="I300" s="20">
        <f>計分版!J315</f>
        <v>2.7499999999999998E-9</v>
      </c>
      <c r="J300" s="13">
        <f>'Reference Score Calculation'!U292</f>
        <v>26</v>
      </c>
      <c r="K300" s="28">
        <f>'Reference Score Calculation'!V292</f>
        <v>25</v>
      </c>
      <c r="L300" s="110">
        <f>'Reference Score Calculation'!Y292</f>
        <v>4.2</v>
      </c>
      <c r="M300" s="13">
        <f>入學要求!Z301</f>
        <v>0</v>
      </c>
    </row>
    <row r="301" spans="1:13">
      <c r="A301" s="13" t="str">
        <f>'Reference Score Calculation'!B293</f>
        <v>JS6729</v>
      </c>
      <c r="B301" s="13" t="str">
        <f>'Reference Score Calculation'!C293</f>
        <v>HKU</v>
      </c>
      <c r="C301" s="13" t="str">
        <f>'Reference Score Calculation'!E293</f>
        <v>理學士(精算學)</v>
      </c>
      <c r="D301" s="13" t="str">
        <f>'Reference Score Calculation'!S293</f>
        <v>BSc(ActuarSc)</v>
      </c>
      <c r="E301" s="13" t="str">
        <f>'Reference Score Calculation'!F293</f>
        <v>Best 5</v>
      </c>
      <c r="F301" s="20">
        <f>'Reference Score Calculation'!H293</f>
        <v>34</v>
      </c>
      <c r="G301" s="20">
        <f>'Reference Score Calculation'!I293</f>
        <v>33</v>
      </c>
      <c r="H301" s="20">
        <f>'Reference Score Calculation'!J293</f>
        <v>31</v>
      </c>
      <c r="I301" s="20">
        <f>計分版!J316</f>
        <v>2.9000000000000003E-9</v>
      </c>
      <c r="J301" s="13">
        <f>'Reference Score Calculation'!U293</f>
        <v>50</v>
      </c>
      <c r="K301" s="28">
        <f>'Reference Score Calculation'!V293</f>
        <v>54</v>
      </c>
      <c r="L301" s="110">
        <f>'Reference Score Calculation'!Y293</f>
        <v>4.4259259259259256</v>
      </c>
      <c r="M301" s="13">
        <f>入學要求!Z302</f>
        <v>0</v>
      </c>
    </row>
    <row r="302" spans="1:13">
      <c r="A302" s="13" t="str">
        <f>'Reference Score Calculation'!B294</f>
        <v>JS6858</v>
      </c>
      <c r="B302" s="13" t="str">
        <f>'Reference Score Calculation'!C294</f>
        <v>HKU</v>
      </c>
      <c r="C302" s="13" t="str">
        <f>'Reference Score Calculation'!E294</f>
        <v>理學士及法學士(雙學位課程)</v>
      </c>
      <c r="D302" s="13" t="str">
        <f>'Reference Score Calculation'!S294</f>
        <v>BSc&amp;LLB</v>
      </c>
      <c r="E302" s="13" t="str">
        <f>'Reference Score Calculation'!F294</f>
        <v>Best 6</v>
      </c>
      <c r="F302" s="20">
        <f>'Reference Score Calculation'!H294</f>
        <v>57</v>
      </c>
      <c r="G302" s="20">
        <f>'Reference Score Calculation'!I294</f>
        <v>54</v>
      </c>
      <c r="H302" s="20">
        <f>'Reference Score Calculation'!J294</f>
        <v>53</v>
      </c>
      <c r="I302" s="20">
        <f>計分版!J317</f>
        <v>5.0000000000000001E-9</v>
      </c>
      <c r="J302" s="13">
        <f>'Reference Score Calculation'!U294</f>
        <v>20</v>
      </c>
      <c r="K302" s="28">
        <f>'Reference Score Calculation'!V294</f>
        <v>24</v>
      </c>
      <c r="L302" s="110">
        <f>'Reference Score Calculation'!Y294</f>
        <v>2.125</v>
      </c>
      <c r="M302" s="13">
        <f>入學要求!Z303</f>
        <v>0</v>
      </c>
    </row>
    <row r="303" spans="1:13">
      <c r="A303" s="13" t="str">
        <f>'Reference Score Calculation'!B295</f>
        <v>JS6901</v>
      </c>
      <c r="B303" s="13" t="str">
        <f>'Reference Score Calculation'!C295</f>
        <v>HKU</v>
      </c>
      <c r="C303" s="13" t="str">
        <f>'Reference Score Calculation'!E295</f>
        <v>理學士</v>
      </c>
      <c r="D303" s="13" t="str">
        <f>'Reference Score Calculation'!S295</f>
        <v>BSc</v>
      </c>
      <c r="E303" s="13" t="str">
        <f>'Reference Score Calculation'!F295</f>
        <v>Best 5</v>
      </c>
      <c r="F303" s="20">
        <f>'Reference Score Calculation'!H295</f>
        <v>37</v>
      </c>
      <c r="G303" s="20">
        <f>'Reference Score Calculation'!I295</f>
        <v>34</v>
      </c>
      <c r="H303" s="20">
        <f>'Reference Score Calculation'!J295</f>
        <v>33</v>
      </c>
      <c r="I303" s="20">
        <f>計分版!J318</f>
        <v>2.9499999999999999E-9</v>
      </c>
      <c r="J303" s="13">
        <f>'Reference Score Calculation'!U295</f>
        <v>253</v>
      </c>
      <c r="K303" s="28">
        <f>'Reference Score Calculation'!V295</f>
        <v>211</v>
      </c>
      <c r="L303" s="110">
        <f>'Reference Score Calculation'!Y295</f>
        <v>6.9810426540284363</v>
      </c>
      <c r="M303" s="13">
        <f>入學要求!Z304</f>
        <v>0</v>
      </c>
    </row>
    <row r="304" spans="1:13">
      <c r="A304" s="13" t="str">
        <f>'Reference Score Calculation'!B296</f>
        <v>JS6705</v>
      </c>
      <c r="B304" s="13" t="str">
        <f>'Reference Score Calculation'!C296</f>
        <v>HKU</v>
      </c>
      <c r="C304" s="13" t="str">
        <f>'Reference Score Calculation'!E296</f>
        <v>心理學學士</v>
      </c>
      <c r="D304" s="13" t="str">
        <f>'Reference Score Calculation'!S296</f>
        <v>BPsych</v>
      </c>
      <c r="E304" s="13" t="str">
        <f>'Reference Score Calculation'!F296</f>
        <v>Best 5</v>
      </c>
      <c r="F304" s="20">
        <f>'Reference Score Calculation'!H296</f>
        <v>32</v>
      </c>
      <c r="G304" s="20">
        <f>'Reference Score Calculation'!I296</f>
        <v>29</v>
      </c>
      <c r="H304" s="20">
        <f>'Reference Score Calculation'!J296</f>
        <v>28</v>
      </c>
      <c r="I304" s="20">
        <f>計分版!J319</f>
        <v>3.4999999999999999E-9</v>
      </c>
      <c r="J304" s="13">
        <f>'Reference Score Calculation'!U296</f>
        <v>74</v>
      </c>
      <c r="K304" s="28">
        <f>'Reference Score Calculation'!V296</f>
        <v>35</v>
      </c>
      <c r="L304" s="110">
        <f>'Reference Score Calculation'!Y296</f>
        <v>7.2647058823529411</v>
      </c>
      <c r="M304" s="13">
        <f>入學要求!Z305</f>
        <v>0</v>
      </c>
    </row>
    <row r="305" spans="1:13">
      <c r="A305" s="13" t="str">
        <f>'Reference Score Calculation'!B297</f>
        <v>JS6717</v>
      </c>
      <c r="B305" s="13" t="str">
        <f>'Reference Score Calculation'!C297</f>
        <v>HKU</v>
      </c>
      <c r="C305" s="13" t="str">
        <f>'Reference Score Calculation'!E297</f>
        <v>社會科學學士</v>
      </c>
      <c r="D305" s="13" t="str">
        <f>'Reference Score Calculation'!S297</f>
        <v>BSocSc</v>
      </c>
      <c r="E305" s="13" t="str">
        <f>'Reference Score Calculation'!F297</f>
        <v>Best 5</v>
      </c>
      <c r="F305" s="20">
        <f>'Reference Score Calculation'!H297</f>
        <v>27</v>
      </c>
      <c r="G305" s="20">
        <f>'Reference Score Calculation'!I297</f>
        <v>26</v>
      </c>
      <c r="H305" s="20">
        <f>'Reference Score Calculation'!J297</f>
        <v>25</v>
      </c>
      <c r="I305" s="20">
        <f>計分版!J320</f>
        <v>3.4999999999999999E-9</v>
      </c>
      <c r="J305" s="13">
        <f>'Reference Score Calculation'!U297</f>
        <v>72</v>
      </c>
      <c r="K305" s="28">
        <f>'Reference Score Calculation'!V297</f>
        <v>81</v>
      </c>
      <c r="L305" s="110">
        <f>'Reference Score Calculation'!Y297</f>
        <v>4.4320987654320989</v>
      </c>
      <c r="M305" s="13">
        <f>入學要求!Z306</f>
        <v>0</v>
      </c>
    </row>
    <row r="306" spans="1:13">
      <c r="A306" s="13" t="str">
        <f>'Reference Score Calculation'!B298</f>
        <v>JS6731</v>
      </c>
      <c r="B306" s="13" t="str">
        <f>'Reference Score Calculation'!C298</f>
        <v>HKU</v>
      </c>
      <c r="C306" s="13" t="str">
        <f>'Reference Score Calculation'!E298</f>
        <v>社會工作學學士</v>
      </c>
      <c r="D306" s="13" t="str">
        <f>'Reference Score Calculation'!S298</f>
        <v>BSW</v>
      </c>
      <c r="E306" s="13" t="str">
        <f>'Reference Score Calculation'!F298</f>
        <v>Best 5</v>
      </c>
      <c r="F306" s="20">
        <f>'Reference Score Calculation'!H298</f>
        <v>29</v>
      </c>
      <c r="G306" s="20">
        <f>'Reference Score Calculation'!I298</f>
        <v>27</v>
      </c>
      <c r="H306" s="20">
        <f>'Reference Score Calculation'!J298</f>
        <v>26</v>
      </c>
      <c r="I306" s="20">
        <f>計分版!J321</f>
        <v>3.4999999999999999E-9</v>
      </c>
      <c r="J306" s="13">
        <f>'Reference Score Calculation'!U298</f>
        <v>35</v>
      </c>
      <c r="K306" s="28">
        <f>'Reference Score Calculation'!V298</f>
        <v>23</v>
      </c>
      <c r="L306" s="110">
        <f>'Reference Score Calculation'!Y298</f>
        <v>8.7826086956521738</v>
      </c>
      <c r="M306" s="13">
        <f>入學要求!Z307</f>
        <v>0</v>
      </c>
    </row>
    <row r="307" spans="1:13">
      <c r="A307" s="13" t="str">
        <f>'Reference Score Calculation'!B299</f>
        <v>JS6810</v>
      </c>
      <c r="B307" s="13" t="str">
        <f>'Reference Score Calculation'!C299</f>
        <v>HKU</v>
      </c>
      <c r="C307" s="13" t="str">
        <f>'Reference Score Calculation'!E299</f>
        <v>社會科學學士(政治學與法學)及法學士(雙學位課程)</v>
      </c>
      <c r="D307" s="13" t="str">
        <f>'Reference Score Calculation'!S299</f>
        <v>BSocSc(Govt&amp;Laws)&amp;LLB</v>
      </c>
      <c r="E307" s="13" t="str">
        <f>'Reference Score Calculation'!F299</f>
        <v>Best 6</v>
      </c>
      <c r="F307" s="20">
        <f>'Reference Score Calculation'!H299</f>
        <v>39</v>
      </c>
      <c r="G307" s="20">
        <f>'Reference Score Calculation'!I299</f>
        <v>38</v>
      </c>
      <c r="H307" s="20">
        <f>'Reference Score Calculation'!J299</f>
        <v>36</v>
      </c>
      <c r="I307" s="20">
        <f>計分版!J322</f>
        <v>3.8000000000000001E-9</v>
      </c>
      <c r="J307" s="13">
        <f>'Reference Score Calculation'!U299</f>
        <v>40</v>
      </c>
      <c r="K307" s="28">
        <f>'Reference Score Calculation'!V299</f>
        <v>35</v>
      </c>
      <c r="L307" s="110">
        <f>'Reference Score Calculation'!Y299</f>
        <v>1.8285714285714285</v>
      </c>
      <c r="M307" s="13">
        <f>入學要求!Z308</f>
        <v>0</v>
      </c>
    </row>
    <row r="308" spans="1:13">
      <c r="A308" s="13" t="str">
        <f>'Reference Score Calculation'!B300</f>
        <v>JS6822</v>
      </c>
      <c r="B308" s="13" t="str">
        <f>'Reference Score Calculation'!C300</f>
        <v>HKU</v>
      </c>
      <c r="C308" s="13" t="str">
        <f>'Reference Score Calculation'!E300</f>
        <v>新聞學學士</v>
      </c>
      <c r="D308" s="13" t="str">
        <f>'Reference Score Calculation'!S300</f>
        <v>BJ</v>
      </c>
      <c r="E308" s="13" t="str">
        <f>'Reference Score Calculation'!F300</f>
        <v>Best 5</v>
      </c>
      <c r="F308" s="20">
        <f>'Reference Score Calculation'!H300</f>
        <v>29</v>
      </c>
      <c r="G308" s="20">
        <f>'Reference Score Calculation'!I300</f>
        <v>26</v>
      </c>
      <c r="H308" s="20">
        <f>'Reference Score Calculation'!J300</f>
        <v>26</v>
      </c>
      <c r="I308" s="20">
        <f>計分版!J323</f>
        <v>3.4999999999999999E-9</v>
      </c>
      <c r="J308" s="13">
        <f>'Reference Score Calculation'!U300</f>
        <v>19</v>
      </c>
      <c r="K308" s="28">
        <f>'Reference Score Calculation'!V300</f>
        <v>10</v>
      </c>
      <c r="L308" s="110">
        <f>'Reference Score Calculation'!Y300</f>
        <v>9.9</v>
      </c>
      <c r="M308" s="13">
        <f>入學要求!Z309</f>
        <v>0</v>
      </c>
    </row>
    <row r="309" spans="1:13">
      <c r="A309" s="13" t="str">
        <f>'Reference Score Calculation'!B301</f>
        <v>JS6779</v>
      </c>
      <c r="B309" s="13" t="str">
        <f>'Reference Score Calculation'!C301</f>
        <v>HKU</v>
      </c>
      <c r="C309" s="13" t="str">
        <f>'Reference Score Calculation'!E301</f>
        <v>統計決策科學</v>
      </c>
      <c r="D309" s="13" t="str">
        <f>'Reference Score Calculation'!S301</f>
        <v>SDS</v>
      </c>
      <c r="E309" s="13" t="str">
        <f>'Reference Score Calculation'!F301</f>
        <v>25年新科目</v>
      </c>
      <c r="F309" s="20" t="str">
        <f>'Reference Score Calculation'!H301</f>
        <v>/</v>
      </c>
      <c r="G309" s="20" t="str">
        <f>'Reference Score Calculation'!I301</f>
        <v>/</v>
      </c>
      <c r="H309" s="20" t="str">
        <f>'Reference Score Calculation'!J301</f>
        <v>/</v>
      </c>
      <c r="I309" s="20">
        <f>計分版!J324</f>
        <v>3.4500000000000003E-9</v>
      </c>
      <c r="J309" s="13">
        <f>'Reference Score Calculation'!U301</f>
        <v>30</v>
      </c>
      <c r="K309" s="28" t="str">
        <f>'Reference Score Calculation'!V301</f>
        <v>/</v>
      </c>
      <c r="L309" s="110" t="str">
        <f>'Reference Score Calculation'!Y301</f>
        <v>新科目</v>
      </c>
      <c r="M309" s="13">
        <f>入學要求!Z310</f>
        <v>0</v>
      </c>
    </row>
    <row r="310" spans="1:13">
      <c r="A310" s="13" t="str">
        <f>'Reference Score Calculation'!B302</f>
        <v>JS6999</v>
      </c>
      <c r="B310" s="13" t="str">
        <f>'Reference Score Calculation'!C302</f>
        <v>HKU</v>
      </c>
      <c r="C310" s="13" t="str">
        <f>'Reference Score Calculation'!E302</f>
        <v>計算與數據科學</v>
      </c>
      <c r="D310" s="13" t="str">
        <f>'Reference Score Calculation'!S302</f>
        <v>CDS</v>
      </c>
      <c r="E310" s="13" t="str">
        <f>'Reference Score Calculation'!F302</f>
        <v>25年新科目</v>
      </c>
      <c r="F310" s="20" t="str">
        <f>'Reference Score Calculation'!H302</f>
        <v>/</v>
      </c>
      <c r="G310" s="20" t="str">
        <f>'Reference Score Calculation'!I302</f>
        <v>/</v>
      </c>
      <c r="H310" s="20" t="str">
        <f>'Reference Score Calculation'!J302</f>
        <v>/</v>
      </c>
      <c r="I310" s="20">
        <f>計分版!J325</f>
        <v>3.2500000000000002E-9</v>
      </c>
      <c r="J310" s="13">
        <f>'Reference Score Calculation'!U302</f>
        <v>91</v>
      </c>
      <c r="K310" s="28" t="str">
        <f>'Reference Score Calculation'!V302</f>
        <v>/</v>
      </c>
      <c r="L310" s="110" t="str">
        <f>'Reference Score Calculation'!Y302</f>
        <v>新科目</v>
      </c>
      <c r="M310" s="13">
        <f>入學要求!Z311</f>
        <v>0</v>
      </c>
    </row>
    <row r="311" spans="1:13">
      <c r="A311" s="13" t="str">
        <f>'Reference Score Calculation'!B303</f>
        <v>JS6224</v>
      </c>
      <c r="B311" s="13" t="str">
        <f>'Reference Score Calculation'!C303</f>
        <v>HKU</v>
      </c>
      <c r="C311" s="13" t="str">
        <f>'Reference Score Calculation'!E303</f>
        <v>文理學士(應用人工智能)</v>
      </c>
      <c r="D311" s="13" t="str">
        <f>'Reference Score Calculation'!S303</f>
        <v>BASc(AppliedAI)</v>
      </c>
      <c r="E311" s="13" t="str">
        <f>'Reference Score Calculation'!F303</f>
        <v>Best 5</v>
      </c>
      <c r="F311" s="20">
        <f>'Reference Score Calculation'!H303</f>
        <v>57</v>
      </c>
      <c r="G311" s="20">
        <f>'Reference Score Calculation'!I303</f>
        <v>55</v>
      </c>
      <c r="H311" s="20">
        <f>'Reference Score Calculation'!J303</f>
        <v>52</v>
      </c>
      <c r="I311" s="20">
        <f>計分版!J326</f>
        <v>3.7E-9</v>
      </c>
      <c r="J311" s="13">
        <f>'Reference Score Calculation'!U303</f>
        <v>37</v>
      </c>
      <c r="K311" s="28">
        <f>'Reference Score Calculation'!V303</f>
        <v>30</v>
      </c>
      <c r="L311" s="110">
        <f>'Reference Score Calculation'!Y303</f>
        <v>3.0666666666666669</v>
      </c>
      <c r="M311" s="13">
        <f>入學要求!Z312</f>
        <v>0</v>
      </c>
    </row>
    <row r="312" spans="1:13">
      <c r="A312" s="13" t="str">
        <f>'Reference Score Calculation'!B304</f>
        <v>JS6236</v>
      </c>
      <c r="B312" s="13" t="str">
        <f>'Reference Score Calculation'!C304</f>
        <v>HKU</v>
      </c>
      <c r="C312" s="13" t="str">
        <f>'Reference Score Calculation'!E304</f>
        <v>文理學士(設計＋)</v>
      </c>
      <c r="D312" s="13" t="str">
        <f>'Reference Score Calculation'!S304</f>
        <v>BASc(Design+)</v>
      </c>
      <c r="E312" s="13" t="str">
        <f>'Reference Score Calculation'!F304</f>
        <v>Best 5</v>
      </c>
      <c r="F312" s="20" t="str">
        <f>'Reference Score Calculation'!H304</f>
        <v>/</v>
      </c>
      <c r="G312" s="20" t="str">
        <f>'Reference Score Calculation'!I304</f>
        <v>/</v>
      </c>
      <c r="H312" s="20" t="str">
        <f>'Reference Score Calculation'!J304</f>
        <v>/</v>
      </c>
      <c r="I312" s="20">
        <f>計分版!J327</f>
        <v>3.4999999999999999E-9</v>
      </c>
      <c r="J312" s="13">
        <f>'Reference Score Calculation'!U304</f>
        <v>20</v>
      </c>
      <c r="K312" s="28">
        <f>'Reference Score Calculation'!V304</f>
        <v>1</v>
      </c>
      <c r="L312" s="110">
        <f>'Reference Score Calculation'!Y304</f>
        <v>35</v>
      </c>
      <c r="M312" s="13">
        <f>入學要求!Z313</f>
        <v>0</v>
      </c>
    </row>
    <row r="313" spans="1:13">
      <c r="A313" s="13" t="str">
        <f>'Reference Score Calculation'!B305</f>
        <v>JS6248</v>
      </c>
      <c r="B313" s="13" t="str">
        <f>'Reference Score Calculation'!C305</f>
        <v>HKU</v>
      </c>
      <c r="C313" s="13" t="str">
        <f>'Reference Score Calculation'!E305</f>
        <v>文理學士(金融科技)</v>
      </c>
      <c r="D313" s="13" t="str">
        <f>'Reference Score Calculation'!S305</f>
        <v>BASc(FinTech)</v>
      </c>
      <c r="E313" s="13" t="str">
        <f>'Reference Score Calculation'!F305</f>
        <v>Best 5</v>
      </c>
      <c r="F313" s="20">
        <f>'Reference Score Calculation'!H305</f>
        <v>32</v>
      </c>
      <c r="G313" s="20">
        <f>'Reference Score Calculation'!I305</f>
        <v>31</v>
      </c>
      <c r="H313" s="20">
        <f>'Reference Score Calculation'!J305</f>
        <v>29</v>
      </c>
      <c r="I313" s="20">
        <f>計分版!J328</f>
        <v>2.9000000000000003E-9</v>
      </c>
      <c r="J313" s="13">
        <f>'Reference Score Calculation'!U305</f>
        <v>24</v>
      </c>
      <c r="K313" s="28">
        <f>'Reference Score Calculation'!V305</f>
        <v>26</v>
      </c>
      <c r="L313" s="110">
        <f>'Reference Score Calculation'!Y305</f>
        <v>3.2692307692307692</v>
      </c>
      <c r="M313" s="13">
        <f>入學要求!Z314</f>
        <v>0</v>
      </c>
    </row>
    <row r="314" spans="1:13">
      <c r="A314" s="13" t="str">
        <f>'Reference Score Calculation'!B306</f>
        <v>JS6250</v>
      </c>
      <c r="B314" s="13" t="str">
        <f>'Reference Score Calculation'!C306</f>
        <v>HKU</v>
      </c>
      <c r="C314" s="13" t="str">
        <f>'Reference Score Calculation'!E306</f>
        <v>文理學士(環球衞生及發展)</v>
      </c>
      <c r="D314" s="13" t="str">
        <f>'Reference Score Calculation'!S306</f>
        <v>BASc(GHD)</v>
      </c>
      <c r="E314" s="13" t="str">
        <f>'Reference Score Calculation'!F306</f>
        <v>Best 5</v>
      </c>
      <c r="F314" s="20">
        <f>'Reference Score Calculation'!H306</f>
        <v>34</v>
      </c>
      <c r="G314" s="20">
        <f>'Reference Score Calculation'!I306</f>
        <v>28</v>
      </c>
      <c r="H314" s="20">
        <f>'Reference Score Calculation'!J306</f>
        <v>26</v>
      </c>
      <c r="I314" s="20">
        <f>計分版!J329</f>
        <v>3.4999999999999999E-9</v>
      </c>
      <c r="J314" s="13">
        <f>'Reference Score Calculation'!U306</f>
        <v>18</v>
      </c>
      <c r="K314" s="28">
        <f>'Reference Score Calculation'!V306</f>
        <v>9</v>
      </c>
      <c r="L314" s="110">
        <f>'Reference Score Calculation'!Y306</f>
        <v>2.6666666666666665</v>
      </c>
      <c r="M314" s="13">
        <f>入學要求!Z315</f>
        <v>0</v>
      </c>
    </row>
    <row r="315" spans="1:13">
      <c r="A315" s="13" t="str">
        <f>'Reference Score Calculation'!B307</f>
        <v>JS6602</v>
      </c>
      <c r="B315" s="13" t="str">
        <f>'Reference Score Calculation'!C307</f>
        <v>HKU</v>
      </c>
      <c r="C315" s="13" t="str">
        <f>'Reference Score Calculation'!E307</f>
        <v>理學士(創新與科技)</v>
      </c>
      <c r="D315" s="13" t="str">
        <f>'Reference Score Calculation'!S307</f>
        <v>BSc(I&amp;T)</v>
      </c>
      <c r="E315" s="13" t="str">
        <f>'Reference Score Calculation'!F307</f>
        <v>25年新科目</v>
      </c>
      <c r="F315" s="20" t="str">
        <f>'Reference Score Calculation'!H307</f>
        <v>/</v>
      </c>
      <c r="G315" s="20" t="str">
        <f>'Reference Score Calculation'!I307</f>
        <v>/</v>
      </c>
      <c r="H315" s="20" t="str">
        <f>'Reference Score Calculation'!J307</f>
        <v>/</v>
      </c>
      <c r="I315" s="20">
        <f>計分版!J330</f>
        <v>5.6000000000000005E-9</v>
      </c>
      <c r="J315" s="13">
        <f>'Reference Score Calculation'!U307</f>
        <v>25</v>
      </c>
      <c r="K315" s="28" t="str">
        <f>'Reference Score Calculation'!V307</f>
        <v>/</v>
      </c>
      <c r="L315" s="110" t="str">
        <f>'Reference Score Calculation'!Y307</f>
        <v>新科目</v>
      </c>
      <c r="M315" s="13">
        <f>入學要求!Z316</f>
        <v>0</v>
      </c>
    </row>
    <row r="316" spans="1:13">
      <c r="D316" s="13"/>
      <c r="K316" s="28"/>
    </row>
    <row r="317" spans="1:13">
      <c r="D317" s="13"/>
      <c r="K317" s="28"/>
    </row>
    <row r="318" spans="1:13">
      <c r="A318" s="13" t="str">
        <f>'Reference Score Calculation'!B310</f>
        <v>JS7101</v>
      </c>
      <c r="B318" s="13" t="str">
        <f>'Reference Score Calculation'!C310</f>
        <v>LingU</v>
      </c>
      <c r="C318" s="13" t="str">
        <f>'Reference Score Calculation'!E310</f>
        <v>中文(榮譽)文學士</v>
      </c>
      <c r="D318" s="13" t="str">
        <f>'Reference Score Calculation'!S310</f>
        <v>BA (Hons) Chinese</v>
      </c>
      <c r="E318" s="13" t="str">
        <f>'Reference Score Calculation'!F310</f>
        <v>Best 5</v>
      </c>
      <c r="F318" s="20" t="str">
        <f>'Reference Score Calculation'!H310</f>
        <v>/</v>
      </c>
      <c r="G318" s="20">
        <f>'Reference Score Calculation'!I310</f>
        <v>25</v>
      </c>
      <c r="H318" s="20">
        <f>'Reference Score Calculation'!J310</f>
        <v>24.5</v>
      </c>
      <c r="I318" s="20">
        <f>計分版!J333</f>
        <v>3.4999999999999999E-9</v>
      </c>
      <c r="J318" s="13">
        <f>'Reference Score Calculation'!U310</f>
        <v>39</v>
      </c>
      <c r="K318" s="28">
        <f>'Reference Score Calculation'!V310</f>
        <v>45</v>
      </c>
      <c r="L318" s="110">
        <f>'Reference Score Calculation'!Y310</f>
        <v>12.047619047619047</v>
      </c>
      <c r="M318" s="13">
        <f>入學要求!Z319</f>
        <v>0</v>
      </c>
    </row>
    <row r="319" spans="1:13">
      <c r="A319" s="13" t="str">
        <f>'Reference Score Calculation'!B311</f>
        <v>JS7123</v>
      </c>
      <c r="B319" s="13" t="str">
        <f>'Reference Score Calculation'!C311</f>
        <v>LingU</v>
      </c>
      <c r="C319" s="13" t="str">
        <f>'Reference Score Calculation'!E311</f>
        <v>環球可持續發展(榮譽)博雅學士</v>
      </c>
      <c r="D319" s="13" t="str">
        <f>'Reference Score Calculation'!S311</f>
        <v>BLA (Hons) GDS</v>
      </c>
      <c r="E319" s="13" t="str">
        <f>'Reference Score Calculation'!F311</f>
        <v>Best 5</v>
      </c>
      <c r="F319" s="20" t="str">
        <f>'Reference Score Calculation'!H311</f>
        <v>/</v>
      </c>
      <c r="G319" s="20">
        <f>'Reference Score Calculation'!I311</f>
        <v>25</v>
      </c>
      <c r="H319" s="20">
        <f>'Reference Score Calculation'!J311</f>
        <v>23.75</v>
      </c>
      <c r="I319" s="20">
        <f>計分版!J334</f>
        <v>3.4999999999999999E-9</v>
      </c>
      <c r="J319" s="13">
        <f>'Reference Score Calculation'!U311</f>
        <v>20</v>
      </c>
      <c r="K319" s="28">
        <f>'Reference Score Calculation'!V311</f>
        <v>15</v>
      </c>
      <c r="L319" s="110">
        <f>'Reference Score Calculation'!Y311</f>
        <v>20.866666666666667</v>
      </c>
      <c r="M319" s="13">
        <f>入學要求!Z320</f>
        <v>0</v>
      </c>
    </row>
    <row r="320" spans="1:13">
      <c r="A320" s="13" t="str">
        <f>'Reference Score Calculation'!B312</f>
        <v>JS7133</v>
      </c>
      <c r="B320" s="13" t="str">
        <f>'Reference Score Calculation'!C312</f>
        <v>LingU</v>
      </c>
      <c r="C320" s="13" t="str">
        <f>'Reference Score Calculation'!E312</f>
        <v>動畫及數碼藝術(榮譽)文學士</v>
      </c>
      <c r="D320" s="13" t="str">
        <f>'Reference Score Calculation'!S312</f>
        <v>BA (Hons) ADA</v>
      </c>
      <c r="E320" s="13" t="str">
        <f>'Reference Score Calculation'!F312</f>
        <v>Best 5</v>
      </c>
      <c r="F320" s="20" t="str">
        <f>'Reference Score Calculation'!H312</f>
        <v>/</v>
      </c>
      <c r="G320" s="20">
        <f>'Reference Score Calculation'!I312</f>
        <v>23</v>
      </c>
      <c r="H320" s="20">
        <f>'Reference Score Calculation'!J312</f>
        <v>22.5</v>
      </c>
      <c r="I320" s="20">
        <f>計分版!J335</f>
        <v>3.4999999999999999E-9</v>
      </c>
      <c r="J320" s="13">
        <f>'Reference Score Calculation'!U312</f>
        <v>20</v>
      </c>
      <c r="K320" s="28">
        <f>'Reference Score Calculation'!V312</f>
        <v>10</v>
      </c>
      <c r="L320" s="110">
        <f>'Reference Score Calculation'!Y312</f>
        <v>44.1</v>
      </c>
      <c r="M320" s="13">
        <f>入學要求!Z321</f>
        <v>0</v>
      </c>
    </row>
    <row r="321" spans="1:13">
      <c r="A321" s="13" t="str">
        <f>'Reference Score Calculation'!B313</f>
        <v>JS7204</v>
      </c>
      <c r="B321" s="13" t="str">
        <f>'Reference Score Calculation'!C313</f>
        <v>LingU</v>
      </c>
      <c r="C321" s="13" t="str">
        <f>'Reference Score Calculation'!E313</f>
        <v>翻譯(榮譽)文學士</v>
      </c>
      <c r="D321" s="13" t="str">
        <f>'Reference Score Calculation'!S313</f>
        <v>BA (Hons) Translation</v>
      </c>
      <c r="E321" s="13" t="str">
        <f>'Reference Score Calculation'!F313</f>
        <v>Best 5</v>
      </c>
      <c r="F321" s="20" t="str">
        <f>'Reference Score Calculation'!H313</f>
        <v>/</v>
      </c>
      <c r="G321" s="20">
        <f>'Reference Score Calculation'!I313</f>
        <v>24.5</v>
      </c>
      <c r="H321" s="20">
        <f>'Reference Score Calculation'!J313</f>
        <v>24</v>
      </c>
      <c r="I321" s="20">
        <f>計分版!J336</f>
        <v>3.4999999999999999E-9</v>
      </c>
      <c r="J321" s="13">
        <f>'Reference Score Calculation'!U313</f>
        <v>34</v>
      </c>
      <c r="K321" s="28">
        <f>'Reference Score Calculation'!V313</f>
        <v>44</v>
      </c>
      <c r="L321" s="110">
        <f>'Reference Score Calculation'!Y313</f>
        <v>8.7777777777777786</v>
      </c>
      <c r="M321" s="13">
        <f>入學要求!Z322</f>
        <v>0</v>
      </c>
    </row>
    <row r="322" spans="1:13">
      <c r="A322" s="13" t="str">
        <f>'Reference Score Calculation'!B314</f>
        <v>JS7211</v>
      </c>
      <c r="B322" s="13" t="str">
        <f>'Reference Score Calculation'!C314</f>
        <v>LingU</v>
      </c>
      <c r="C322" s="13" t="str">
        <f>'Reference Score Calculation'!E314</f>
        <v>工商管理(榮譽)學士 – 會計與企業管治</v>
      </c>
      <c r="D322" s="13" t="str">
        <f>'Reference Score Calculation'!S314</f>
        <v>BBA (Hons) ACG</v>
      </c>
      <c r="E322" s="13" t="str">
        <f>'Reference Score Calculation'!F314</f>
        <v>25年新科目</v>
      </c>
      <c r="F322" s="20" t="str">
        <f>'Reference Score Calculation'!H314</f>
        <v>/</v>
      </c>
      <c r="G322" s="20">
        <f>'Reference Score Calculation'!I314</f>
        <v>23.5</v>
      </c>
      <c r="H322" s="20">
        <f>'Reference Score Calculation'!J314</f>
        <v>23</v>
      </c>
      <c r="I322" s="20">
        <f>計分版!J337</f>
        <v>3.1500000000000001E-9</v>
      </c>
      <c r="J322" s="13">
        <f>'Reference Score Calculation'!U314</f>
        <v>42</v>
      </c>
      <c r="K322" s="28" t="str">
        <f>'Reference Score Calculation'!V314</f>
        <v>/</v>
      </c>
      <c r="L322" s="110" t="str">
        <f>'Reference Score Calculation'!Y314</f>
        <v>新科目</v>
      </c>
      <c r="M322" s="13">
        <f>入學要求!Z323</f>
        <v>0</v>
      </c>
    </row>
    <row r="323" spans="1:13">
      <c r="A323" s="13" t="str">
        <f>'Reference Score Calculation'!B315</f>
        <v>JS7212</v>
      </c>
      <c r="B323" s="13" t="str">
        <f>'Reference Score Calculation'!C315</f>
        <v>LingU</v>
      </c>
      <c r="C323" s="13" t="str">
        <f>'Reference Score Calculation'!E315</f>
        <v>工商管理(榮譽)學士 – 商業分析與創新</v>
      </c>
      <c r="D323" s="13" t="str">
        <f>'Reference Score Calculation'!S315</f>
        <v>BBA (Hons) BAI</v>
      </c>
      <c r="E323" s="13" t="str">
        <f>'Reference Score Calculation'!F315</f>
        <v>25年新科目</v>
      </c>
      <c r="F323" s="20" t="str">
        <f>'Reference Score Calculation'!H315</f>
        <v>/</v>
      </c>
      <c r="G323" s="20">
        <f>'Reference Score Calculation'!I315</f>
        <v>23.5</v>
      </c>
      <c r="H323" s="20">
        <f>'Reference Score Calculation'!J315</f>
        <v>23</v>
      </c>
      <c r="I323" s="20">
        <f>計分版!J338</f>
        <v>3.1500000000000001E-9</v>
      </c>
      <c r="J323" s="13">
        <f>'Reference Score Calculation'!U315</f>
        <v>7</v>
      </c>
      <c r="K323" s="28" t="str">
        <f>'Reference Score Calculation'!V315</f>
        <v>/</v>
      </c>
      <c r="L323" s="110" t="str">
        <f>'Reference Score Calculation'!Y315</f>
        <v>新科目</v>
      </c>
      <c r="M323" s="13">
        <f>入學要求!Z324</f>
        <v>0</v>
      </c>
    </row>
    <row r="324" spans="1:13">
      <c r="A324" s="13" t="str">
        <f>'Reference Score Calculation'!B316</f>
        <v>JS7213</v>
      </c>
      <c r="B324" s="13" t="str">
        <f>'Reference Score Calculation'!C316</f>
        <v>LingU</v>
      </c>
      <c r="C324" s="13" t="str">
        <f>'Reference Score Calculation'!E316</f>
        <v>工商管理(榮譽)學士 – 金融</v>
      </c>
      <c r="D324" s="13" t="str">
        <f>'Reference Score Calculation'!S316</f>
        <v>BBA (Hons) FIN</v>
      </c>
      <c r="E324" s="13" t="str">
        <f>'Reference Score Calculation'!F316</f>
        <v>25年新科目</v>
      </c>
      <c r="F324" s="20" t="str">
        <f>'Reference Score Calculation'!H316</f>
        <v>/</v>
      </c>
      <c r="G324" s="20">
        <f>'Reference Score Calculation'!I316</f>
        <v>23.5</v>
      </c>
      <c r="H324" s="20">
        <f>'Reference Score Calculation'!J316</f>
        <v>23</v>
      </c>
      <c r="I324" s="20">
        <f>計分版!J339</f>
        <v>3.1500000000000001E-9</v>
      </c>
      <c r="J324" s="13">
        <f>'Reference Score Calculation'!U316</f>
        <v>25</v>
      </c>
      <c r="K324" s="28" t="str">
        <f>'Reference Score Calculation'!V316</f>
        <v>/</v>
      </c>
      <c r="L324" s="110" t="str">
        <f>'Reference Score Calculation'!Y316</f>
        <v>新科目</v>
      </c>
      <c r="M324" s="13">
        <f>入學要求!Z325</f>
        <v>0</v>
      </c>
    </row>
    <row r="325" spans="1:13">
      <c r="A325" s="13" t="str">
        <f>'Reference Score Calculation'!B317</f>
        <v>JS7214</v>
      </c>
      <c r="B325" s="13" t="str">
        <f>'Reference Score Calculation'!C317</f>
        <v>LingU</v>
      </c>
      <c r="C325" s="13" t="str">
        <f>'Reference Score Calculation'!E317</f>
        <v>工商管理(榮譽)學士 – 人力資源管理與分析</v>
      </c>
      <c r="D325" s="13" t="str">
        <f>'Reference Score Calculation'!S317</f>
        <v>BBA (Hons) HRMA</v>
      </c>
      <c r="E325" s="13" t="str">
        <f>'Reference Score Calculation'!F317</f>
        <v>25年新科目</v>
      </c>
      <c r="F325" s="20" t="str">
        <f>'Reference Score Calculation'!H317</f>
        <v>/</v>
      </c>
      <c r="G325" s="20">
        <f>'Reference Score Calculation'!I317</f>
        <v>23.5</v>
      </c>
      <c r="H325" s="20">
        <f>'Reference Score Calculation'!J317</f>
        <v>23</v>
      </c>
      <c r="I325" s="20">
        <f>計分版!J340</f>
        <v>3.1500000000000001E-9</v>
      </c>
      <c r="J325" s="13">
        <f>'Reference Score Calculation'!U317</f>
        <v>17</v>
      </c>
      <c r="K325" s="28" t="str">
        <f>'Reference Score Calculation'!V317</f>
        <v>/</v>
      </c>
      <c r="L325" s="110" t="str">
        <f>'Reference Score Calculation'!Y317</f>
        <v>新科目</v>
      </c>
      <c r="M325" s="13">
        <f>入學要求!Z326</f>
        <v>0</v>
      </c>
    </row>
    <row r="326" spans="1:13">
      <c r="A326" s="13" t="str">
        <f>'Reference Score Calculation'!B318</f>
        <v>JS7215</v>
      </c>
      <c r="B326" s="13" t="str">
        <f>'Reference Score Calculation'!C318</f>
        <v>LingU</v>
      </c>
      <c r="C326" s="13" t="str">
        <f>'Reference Score Calculation'!E318</f>
        <v>工商管理(榮譽)學士 – 市場學與社交媒體</v>
      </c>
      <c r="D326" s="13" t="str">
        <f>'Reference Score Calculation'!S318</f>
        <v>BBA (Hons) MSM</v>
      </c>
      <c r="E326" s="13" t="str">
        <f>'Reference Score Calculation'!F318</f>
        <v>25年新科目</v>
      </c>
      <c r="F326" s="20" t="str">
        <f>'Reference Score Calculation'!H318</f>
        <v>/</v>
      </c>
      <c r="G326" s="20">
        <f>'Reference Score Calculation'!I318</f>
        <v>23.5</v>
      </c>
      <c r="H326" s="20">
        <f>'Reference Score Calculation'!J318</f>
        <v>23</v>
      </c>
      <c r="I326" s="20">
        <f>計分版!J341</f>
        <v>3.1500000000000001E-9</v>
      </c>
      <c r="J326" s="13">
        <f>'Reference Score Calculation'!U318</f>
        <v>36</v>
      </c>
      <c r="K326" s="28" t="str">
        <f>'Reference Score Calculation'!V318</f>
        <v>/</v>
      </c>
      <c r="L326" s="110" t="str">
        <f>'Reference Score Calculation'!Y318</f>
        <v>新科目</v>
      </c>
      <c r="M326" s="13">
        <f>入學要求!Z327</f>
        <v>0</v>
      </c>
    </row>
    <row r="327" spans="1:13">
      <c r="A327" s="13" t="str">
        <f>'Reference Score Calculation'!B319</f>
        <v>JS7216</v>
      </c>
      <c r="B327" s="13" t="str">
        <f>'Reference Score Calculation'!C319</f>
        <v>LingU</v>
      </c>
      <c r="C327" s="13" t="str">
        <f>'Reference Score Calculation'!E319</f>
        <v>工商管理(榮譽)學士 - 風險及保險管理</v>
      </c>
      <c r="D327" s="13" t="str">
        <f>'Reference Score Calculation'!S319</f>
        <v>BBA (Hons) in RIM</v>
      </c>
      <c r="E327" s="13" t="str">
        <f>'Reference Score Calculation'!F319</f>
        <v>Best 5</v>
      </c>
      <c r="F327" s="20" t="str">
        <f>'Reference Score Calculation'!H319</f>
        <v>/</v>
      </c>
      <c r="G327" s="20">
        <f>'Reference Score Calculation'!I319</f>
        <v>23.5</v>
      </c>
      <c r="H327" s="20">
        <f>'Reference Score Calculation'!J319</f>
        <v>23</v>
      </c>
      <c r="I327" s="20">
        <f>計分版!J342</f>
        <v>3.4999999999999999E-9</v>
      </c>
      <c r="J327" s="13">
        <f>'Reference Score Calculation'!U319</f>
        <v>30</v>
      </c>
      <c r="K327" s="28">
        <f>'Reference Score Calculation'!V319</f>
        <v>37</v>
      </c>
      <c r="L327" s="110">
        <f>'Reference Score Calculation'!Y319</f>
        <v>22.90909090909091</v>
      </c>
      <c r="M327" s="13">
        <f>入學要求!Z328</f>
        <v>0</v>
      </c>
    </row>
    <row r="328" spans="1:13">
      <c r="A328" s="13" t="str">
        <f>'Reference Score Calculation'!B320</f>
        <v>JS7225</v>
      </c>
      <c r="B328" s="13" t="str">
        <f>'Reference Score Calculation'!C320</f>
        <v>LingU</v>
      </c>
      <c r="C328" s="13" t="str">
        <f>'Reference Score Calculation'!E320</f>
        <v>數據科學(榮譽)理學士</v>
      </c>
      <c r="D328" s="13" t="str">
        <f>'Reference Score Calculation'!S320</f>
        <v>BSc (Hons) Data Science</v>
      </c>
      <c r="E328" s="13" t="str">
        <f>'Reference Score Calculation'!F320</f>
        <v>Best 5</v>
      </c>
      <c r="F328" s="20" t="str">
        <f>'Reference Score Calculation'!H320</f>
        <v>/</v>
      </c>
      <c r="G328" s="20">
        <f>'Reference Score Calculation'!I320</f>
        <v>29.75</v>
      </c>
      <c r="H328" s="20">
        <f>'Reference Score Calculation'!J320</f>
        <v>28.88</v>
      </c>
      <c r="I328" s="20">
        <f>計分版!J343</f>
        <v>3.3999999999999998E-9</v>
      </c>
      <c r="J328" s="13">
        <f>'Reference Score Calculation'!U320</f>
        <v>25</v>
      </c>
      <c r="K328" s="28">
        <f>'Reference Score Calculation'!V320</f>
        <v>40</v>
      </c>
      <c r="L328" s="110">
        <f>'Reference Score Calculation'!Y320</f>
        <v>13.764705882352942</v>
      </c>
      <c r="M328" s="13">
        <f>入學要求!Z329</f>
        <v>0</v>
      </c>
    </row>
    <row r="329" spans="1:13">
      <c r="A329" s="13" t="str">
        <f>'Reference Score Calculation'!B321</f>
        <v>JS7301</v>
      </c>
      <c r="B329" s="13" t="str">
        <f>'Reference Score Calculation'!C321</f>
        <v>LingU</v>
      </c>
      <c r="C329" s="13" t="str">
        <f>'Reference Score Calculation'!E321</f>
        <v>社會科學(榮譽)學士 - 經濟學</v>
      </c>
      <c r="D329" s="13" t="str">
        <f>'Reference Score Calculation'!S321</f>
        <v>BSocSc (Hons) Economics</v>
      </c>
      <c r="E329" s="13" t="str">
        <f>'Reference Score Calculation'!F321</f>
        <v>Best 5</v>
      </c>
      <c r="F329" s="20" t="str">
        <f>'Reference Score Calculation'!H321</f>
        <v>/</v>
      </c>
      <c r="G329" s="20">
        <f>'Reference Score Calculation'!I321</f>
        <v>26</v>
      </c>
      <c r="H329" s="20">
        <f>'Reference Score Calculation'!J321</f>
        <v>25</v>
      </c>
      <c r="I329" s="20">
        <f>計分版!J344</f>
        <v>3.4999999999999999E-9</v>
      </c>
      <c r="J329" s="13">
        <f>'Reference Score Calculation'!U321</f>
        <v>14</v>
      </c>
      <c r="K329" s="28">
        <f>'Reference Score Calculation'!V321</f>
        <v>15</v>
      </c>
      <c r="L329" s="110">
        <f>'Reference Score Calculation'!Y321</f>
        <v>13</v>
      </c>
      <c r="M329" s="13">
        <f>入學要求!Z330</f>
        <v>0</v>
      </c>
    </row>
    <row r="330" spans="1:13">
      <c r="A330" s="13" t="str">
        <f>'Reference Score Calculation'!B322</f>
        <v>JS7302</v>
      </c>
      <c r="B330" s="13" t="str">
        <f>'Reference Score Calculation'!C322</f>
        <v>LingU</v>
      </c>
      <c r="C330" s="13" t="str">
        <f>'Reference Score Calculation'!E322</f>
        <v>社會科學(榮譽)學士 - 政府與國際事務學</v>
      </c>
      <c r="D330" s="13" t="str">
        <f>'Reference Score Calculation'!S322</f>
        <v>BSocSc (Hons) Gov't &amp; IA</v>
      </c>
      <c r="E330" s="13" t="str">
        <f>'Reference Score Calculation'!F322</f>
        <v>Best 5</v>
      </c>
      <c r="F330" s="20" t="str">
        <f>'Reference Score Calculation'!H322</f>
        <v>/</v>
      </c>
      <c r="G330" s="20">
        <f>'Reference Score Calculation'!I322</f>
        <v>25</v>
      </c>
      <c r="H330" s="20">
        <f>'Reference Score Calculation'!J322</f>
        <v>23.5</v>
      </c>
      <c r="I330" s="20">
        <f>計分版!J345</f>
        <v>3.7500000000000005E-9</v>
      </c>
      <c r="J330" s="13">
        <f>'Reference Score Calculation'!U322</f>
        <v>14</v>
      </c>
      <c r="K330" s="28">
        <f>'Reference Score Calculation'!V322</f>
        <v>25</v>
      </c>
      <c r="L330" s="110">
        <f>'Reference Score Calculation'!Y322</f>
        <v>17.75</v>
      </c>
      <c r="M330" s="13">
        <f>入學要求!Z331</f>
        <v>0</v>
      </c>
    </row>
    <row r="331" spans="1:13">
      <c r="A331" s="13" t="str">
        <f>'Reference Score Calculation'!B323</f>
        <v>JS7303</v>
      </c>
      <c r="B331" s="13" t="str">
        <f>'Reference Score Calculation'!C323</f>
        <v>LingU</v>
      </c>
      <c r="C331" s="13" t="str">
        <f>'Reference Score Calculation'!E323</f>
        <v>社會科學(榮譽)學士 - 心理學</v>
      </c>
      <c r="D331" s="13" t="str">
        <f>'Reference Score Calculation'!S323</f>
        <v>BSocSc (Hons) Psychology</v>
      </c>
      <c r="E331" s="13" t="str">
        <f>'Reference Score Calculation'!F323</f>
        <v>Best 5</v>
      </c>
      <c r="F331" s="20" t="str">
        <f>'Reference Score Calculation'!H323</f>
        <v>/</v>
      </c>
      <c r="G331" s="20">
        <f>'Reference Score Calculation'!I323</f>
        <v>24</v>
      </c>
      <c r="H331" s="20">
        <f>'Reference Score Calculation'!J323</f>
        <v>23.25</v>
      </c>
      <c r="I331" s="20">
        <f>計分版!J346</f>
        <v>3.4999999999999999E-9</v>
      </c>
      <c r="J331" s="13">
        <f>'Reference Score Calculation'!U323</f>
        <v>20</v>
      </c>
      <c r="K331" s="28">
        <f>'Reference Score Calculation'!V323</f>
        <v>31</v>
      </c>
      <c r="L331" s="110">
        <f>'Reference Score Calculation'!Y323</f>
        <v>14.347826086956522</v>
      </c>
      <c r="M331" s="13">
        <f>入學要求!Z332</f>
        <v>0</v>
      </c>
    </row>
    <row r="332" spans="1:13">
      <c r="A332" s="13" t="str">
        <f>'Reference Score Calculation'!B324</f>
        <v>JS7304</v>
      </c>
      <c r="B332" s="13" t="str">
        <f>'Reference Score Calculation'!C324</f>
        <v>LingU</v>
      </c>
      <c r="C332" s="13" t="str">
        <f>'Reference Score Calculation'!E324</f>
        <v>社會科學(榮譽)學士 - 社會學</v>
      </c>
      <c r="D332" s="13" t="str">
        <f>'Reference Score Calculation'!S324</f>
        <v>BSocSc (Hons) Sociology</v>
      </c>
      <c r="E332" s="13" t="str">
        <f>'Reference Score Calculation'!F324</f>
        <v>Best 5</v>
      </c>
      <c r="F332" s="20" t="str">
        <f>'Reference Score Calculation'!H324</f>
        <v>/</v>
      </c>
      <c r="G332" s="20">
        <f>'Reference Score Calculation'!I324</f>
        <v>23.5</v>
      </c>
      <c r="H332" s="20">
        <f>'Reference Score Calculation'!J324</f>
        <v>23</v>
      </c>
      <c r="I332" s="20">
        <f>計分版!J347</f>
        <v>3.4999999999999999E-9</v>
      </c>
      <c r="J332" s="13">
        <f>'Reference Score Calculation'!U324</f>
        <v>18</v>
      </c>
      <c r="K332" s="28">
        <f>'Reference Score Calculation'!V324</f>
        <v>21</v>
      </c>
      <c r="L332" s="110">
        <f>'Reference Score Calculation'!Y324</f>
        <v>15.411764705882353</v>
      </c>
      <c r="M332" s="13">
        <f>入學要求!Z333</f>
        <v>0</v>
      </c>
    </row>
    <row r="333" spans="1:13">
      <c r="A333" s="13" t="str">
        <f>'Reference Score Calculation'!B325</f>
        <v>JS7305</v>
      </c>
      <c r="B333" s="13" t="str">
        <f>'Reference Score Calculation'!C325</f>
        <v>LingU</v>
      </c>
      <c r="C333" s="13" t="str">
        <f>'Reference Score Calculation'!E325</f>
        <v>社會科學(榮譽)學士 - 健康及社會服務管理</v>
      </c>
      <c r="D333" s="13" t="str">
        <f>'Reference Score Calculation'!S325</f>
        <v>BSocSc (Hons) HSSM</v>
      </c>
      <c r="E333" s="13" t="str">
        <f>'Reference Score Calculation'!F325</f>
        <v>Best 5</v>
      </c>
      <c r="F333" s="20" t="str">
        <f>'Reference Score Calculation'!H325</f>
        <v>/</v>
      </c>
      <c r="G333" s="20">
        <f>'Reference Score Calculation'!I325</f>
        <v>19.75</v>
      </c>
      <c r="H333" s="20">
        <f>'Reference Score Calculation'!J325</f>
        <v>19.5</v>
      </c>
      <c r="I333" s="20">
        <f>計分版!J348</f>
        <v>3.4999999999999999E-9</v>
      </c>
      <c r="J333" s="13">
        <f>'Reference Score Calculation'!U325</f>
        <v>8</v>
      </c>
      <c r="K333" s="28">
        <f>'Reference Score Calculation'!V325</f>
        <v>16</v>
      </c>
      <c r="L333" s="110">
        <f>'Reference Score Calculation'!Y325</f>
        <v>23.875</v>
      </c>
      <c r="M333" s="13">
        <f>入學要求!Z334</f>
        <v>0</v>
      </c>
    </row>
    <row r="334" spans="1:13">
      <c r="A334" s="13" t="str">
        <f>'Reference Score Calculation'!B326</f>
        <v>JS7306</v>
      </c>
      <c r="B334" s="13" t="str">
        <f>'Reference Score Calculation'!C326</f>
        <v>LingU</v>
      </c>
      <c r="C334" s="13" t="str">
        <f>'Reference Score Calculation'!E326</f>
        <v>社會科學(榮譽)學士 - 社會與公共政策研究</v>
      </c>
      <c r="D334" s="13" t="str">
        <f>'Reference Score Calculation'!S326</f>
        <v>BSocSc (Hons) SPPS</v>
      </c>
      <c r="E334" s="13" t="str">
        <f>'Reference Score Calculation'!F326</f>
        <v>Best 5</v>
      </c>
      <c r="F334" s="20" t="str">
        <f>'Reference Score Calculation'!H326</f>
        <v>/</v>
      </c>
      <c r="G334" s="20">
        <f>'Reference Score Calculation'!I326</f>
        <v>23</v>
      </c>
      <c r="H334" s="20">
        <f>'Reference Score Calculation'!J326</f>
        <v>22.5</v>
      </c>
      <c r="I334" s="20">
        <f>計分版!J349</f>
        <v>3.7500000000000005E-9</v>
      </c>
      <c r="J334" s="13">
        <f>'Reference Score Calculation'!U326</f>
        <v>16</v>
      </c>
      <c r="K334" s="28">
        <f>'Reference Score Calculation'!V326</f>
        <v>22</v>
      </c>
      <c r="L334" s="110">
        <f>'Reference Score Calculation'!Y326</f>
        <v>17.875</v>
      </c>
      <c r="M334" s="13">
        <f>入學要求!Z335</f>
        <v>0</v>
      </c>
    </row>
    <row r="335" spans="1:13">
      <c r="A335" s="13" t="str">
        <f>'Reference Score Calculation'!B327</f>
        <v>JS7307</v>
      </c>
      <c r="B335" s="13" t="str">
        <f>'Reference Score Calculation'!C327</f>
        <v>LingU</v>
      </c>
      <c r="C335" s="13" t="str">
        <f>'Reference Score Calculation'!E327</f>
        <v>社會科學(榮譽)學士 - 社會數據科學</v>
      </c>
      <c r="D335" s="13" t="str">
        <f>'Reference Score Calculation'!S327</f>
        <v>BSocSc (Hons) SocDS</v>
      </c>
      <c r="E335" s="13" t="str">
        <f>'Reference Score Calculation'!F327</f>
        <v>25年新科目</v>
      </c>
      <c r="F335" s="20" t="str">
        <f>'Reference Score Calculation'!H327</f>
        <v>/</v>
      </c>
      <c r="G335" s="20" t="str">
        <f>'Reference Score Calculation'!I327</f>
        <v>/</v>
      </c>
      <c r="H335" s="20" t="str">
        <f>'Reference Score Calculation'!J327</f>
        <v>/</v>
      </c>
      <c r="I335" s="20">
        <f>計分版!J350</f>
        <v>3.7500000000000005E-9</v>
      </c>
      <c r="J335" s="13">
        <f>'Reference Score Calculation'!U327</f>
        <v>10</v>
      </c>
      <c r="K335" s="28" t="str">
        <f>'Reference Score Calculation'!V327</f>
        <v>/</v>
      </c>
      <c r="L335" s="110" t="str">
        <f>'Reference Score Calculation'!Y327</f>
        <v>新科目</v>
      </c>
      <c r="M335" s="13">
        <f>入學要求!Z336</f>
        <v>0</v>
      </c>
    </row>
    <row r="336" spans="1:13">
      <c r="A336" s="13" t="str">
        <f>'Reference Score Calculation'!B328</f>
        <v>JS7503</v>
      </c>
      <c r="B336" s="13" t="str">
        <f>'Reference Score Calculation'!C328</f>
        <v>LingU</v>
      </c>
      <c r="C336" s="13" t="str">
        <f>'Reference Score Calculation'!E328</f>
        <v>英語語言文學課程(榮譽)文學士</v>
      </c>
      <c r="D336" s="13" t="str">
        <f>'Reference Score Calculation'!S328</f>
        <v>BA (Hons) Eng Studies</v>
      </c>
      <c r="E336" s="13" t="str">
        <f>'Reference Score Calculation'!F328</f>
        <v>Best 5</v>
      </c>
      <c r="F336" s="20" t="str">
        <f>'Reference Score Calculation'!H328</f>
        <v>/</v>
      </c>
      <c r="G336" s="20">
        <f>'Reference Score Calculation'!I328</f>
        <v>27</v>
      </c>
      <c r="H336" s="20">
        <f>'Reference Score Calculation'!J328</f>
        <v>26</v>
      </c>
      <c r="I336" s="20">
        <f>計分版!J351</f>
        <v>3.0000000000000004E-9</v>
      </c>
      <c r="J336" s="13">
        <f>'Reference Score Calculation'!U328</f>
        <v>20</v>
      </c>
      <c r="K336" s="28">
        <f>'Reference Score Calculation'!V328</f>
        <v>18</v>
      </c>
      <c r="L336" s="110">
        <f>'Reference Score Calculation'!Y328</f>
        <v>9</v>
      </c>
      <c r="M336" s="13">
        <f>入學要求!Z337</f>
        <v>0</v>
      </c>
    </row>
    <row r="337" spans="1:13">
      <c r="A337" s="13" t="str">
        <f>'Reference Score Calculation'!B329</f>
        <v>JS7606</v>
      </c>
      <c r="B337" s="13" t="str">
        <f>'Reference Score Calculation'!C329</f>
        <v>LingU</v>
      </c>
      <c r="C337" s="13" t="str">
        <f>'Reference Score Calculation'!E329</f>
        <v>文化研究(榮譽)文學士</v>
      </c>
      <c r="D337" s="13" t="str">
        <f>'Reference Score Calculation'!S329</f>
        <v>BA (Hons) Cultural Stud</v>
      </c>
      <c r="E337" s="13" t="str">
        <f>'Reference Score Calculation'!F329</f>
        <v>Best 5</v>
      </c>
      <c r="F337" s="20" t="str">
        <f>'Reference Score Calculation'!H329</f>
        <v>/</v>
      </c>
      <c r="G337" s="20">
        <f>'Reference Score Calculation'!I329</f>
        <v>24</v>
      </c>
      <c r="H337" s="20">
        <f>'Reference Score Calculation'!J329</f>
        <v>24</v>
      </c>
      <c r="I337" s="20">
        <f>計分版!J352</f>
        <v>3.4999999999999999E-9</v>
      </c>
      <c r="J337" s="13">
        <f>'Reference Score Calculation'!U329</f>
        <v>28</v>
      </c>
      <c r="K337" s="28">
        <f>'Reference Score Calculation'!V329</f>
        <v>33</v>
      </c>
      <c r="L337" s="110">
        <f>'Reference Score Calculation'!Y329</f>
        <v>13.708333333333334</v>
      </c>
      <c r="M337" s="13">
        <f>入學要求!Z338</f>
        <v>0</v>
      </c>
    </row>
    <row r="338" spans="1:13">
      <c r="A338" s="13" t="str">
        <f>'Reference Score Calculation'!B330</f>
        <v>JS7709</v>
      </c>
      <c r="B338" s="13" t="str">
        <f>'Reference Score Calculation'!C330</f>
        <v>LingU</v>
      </c>
      <c r="C338" s="13" t="str">
        <f>'Reference Score Calculation'!E330</f>
        <v>歷史(榮譽)文學士</v>
      </c>
      <c r="D338" s="13" t="str">
        <f>'Reference Score Calculation'!S330</f>
        <v>BA (Hons) History</v>
      </c>
      <c r="E338" s="13" t="str">
        <f>'Reference Score Calculation'!F330</f>
        <v>Best 5</v>
      </c>
      <c r="F338" s="20" t="str">
        <f>'Reference Score Calculation'!H330</f>
        <v>/</v>
      </c>
      <c r="G338" s="20">
        <f>'Reference Score Calculation'!I330</f>
        <v>25.6</v>
      </c>
      <c r="H338" s="20">
        <f>'Reference Score Calculation'!J330</f>
        <v>25.3</v>
      </c>
      <c r="I338" s="20">
        <f>計分版!J353</f>
        <v>3.4999999999999999E-9</v>
      </c>
      <c r="J338" s="13">
        <f>'Reference Score Calculation'!U330</f>
        <v>29</v>
      </c>
      <c r="K338" s="28">
        <f>'Reference Score Calculation'!V330</f>
        <v>41</v>
      </c>
      <c r="L338" s="110">
        <f>'Reference Score Calculation'!Y330</f>
        <v>18.777777777777779</v>
      </c>
      <c r="M338" s="13">
        <f>入學要求!Z339</f>
        <v>0</v>
      </c>
    </row>
    <row r="339" spans="1:13">
      <c r="A339" s="13" t="str">
        <f>'Reference Score Calculation'!B331</f>
        <v>JS7802</v>
      </c>
      <c r="B339" s="13" t="str">
        <f>'Reference Score Calculation'!C331</f>
        <v>LingU</v>
      </c>
      <c r="C339" s="13" t="str">
        <f>'Reference Score Calculation'!E331</f>
        <v>哲學(榮譽)文學士</v>
      </c>
      <c r="D339" s="13" t="str">
        <f>'Reference Score Calculation'!S331</f>
        <v>BA (Hons) Philosophy</v>
      </c>
      <c r="E339" s="13" t="str">
        <f>'Reference Score Calculation'!F331</f>
        <v>Best 5</v>
      </c>
      <c r="F339" s="20" t="str">
        <f>'Reference Score Calculation'!H331</f>
        <v>/</v>
      </c>
      <c r="G339" s="20">
        <f>'Reference Score Calculation'!I331</f>
        <v>25</v>
      </c>
      <c r="H339" s="20">
        <f>'Reference Score Calculation'!J331</f>
        <v>24.5</v>
      </c>
      <c r="I339" s="20">
        <f>計分版!J354</f>
        <v>3.4999999999999999E-9</v>
      </c>
      <c r="J339" s="13">
        <f>'Reference Score Calculation'!U331</f>
        <v>25</v>
      </c>
      <c r="K339" s="28">
        <f>'Reference Score Calculation'!V331</f>
        <v>27</v>
      </c>
      <c r="L339" s="110">
        <f>'Reference Score Calculation'!Y331</f>
        <v>11.588235294117647</v>
      </c>
      <c r="M339" s="13">
        <f>入學要求!Z340</f>
        <v>0</v>
      </c>
    </row>
    <row r="340" spans="1:13">
      <c r="A340" s="13" t="str">
        <f>'Reference Score Calculation'!B332</f>
        <v>JS7905</v>
      </c>
      <c r="B340" s="13" t="str">
        <f>'Reference Score Calculation'!C332</f>
        <v>LingU</v>
      </c>
      <c r="C340" s="13" t="str">
        <f>'Reference Score Calculation'!E332</f>
        <v>電影與視覺藝術(榮譽)文學士</v>
      </c>
      <c r="D340" s="13" t="str">
        <f>'Reference Score Calculation'!S332</f>
        <v>BA (Hons) FVA</v>
      </c>
      <c r="E340" s="13" t="str">
        <f>'Reference Score Calculation'!F332</f>
        <v>Best 5</v>
      </c>
      <c r="F340" s="20" t="str">
        <f>'Reference Score Calculation'!H332</f>
        <v>/</v>
      </c>
      <c r="G340" s="20">
        <f>'Reference Score Calculation'!I332</f>
        <v>27</v>
      </c>
      <c r="H340" s="20">
        <f>'Reference Score Calculation'!J332</f>
        <v>26</v>
      </c>
      <c r="I340" s="20">
        <f>計分版!J355</f>
        <v>3.4999999999999999E-9</v>
      </c>
      <c r="J340" s="13">
        <f>'Reference Score Calculation'!U332</f>
        <v>20</v>
      </c>
      <c r="K340" s="28">
        <f>'Reference Score Calculation'!V332</f>
        <v>20</v>
      </c>
      <c r="L340" s="110">
        <f>'Reference Score Calculation'!Y332</f>
        <v>22.5625</v>
      </c>
      <c r="M340" s="13">
        <f>入學要求!Z341</f>
        <v>0</v>
      </c>
    </row>
    <row r="341" spans="1:13">
      <c r="D341" s="13"/>
      <c r="K341" s="28"/>
    </row>
    <row r="342" spans="1:13">
      <c r="D342" s="13"/>
      <c r="K342" s="28"/>
    </row>
    <row r="343" spans="1:13">
      <c r="A343" s="13" t="str">
        <f>'Reference Score Calculation'!B335</f>
        <v>JS8003</v>
      </c>
      <c r="B343" s="13" t="str">
        <f>'Reference Score Calculation'!C335</f>
        <v>EdUHK</v>
      </c>
      <c r="C343" s="13" t="str">
        <f>'Reference Score Calculation'!E335</f>
        <v>數碼中國文化與傳意榮譽文學士及中文教育榮譽學士</v>
      </c>
      <c r="D343" s="13" t="str">
        <f>'Reference Score Calculation'!S335</f>
        <v>BA(DCCC)&amp;BEd(CL)</v>
      </c>
      <c r="E343" s="13" t="str">
        <f>'Reference Score Calculation'!F335</f>
        <v>Best 5</v>
      </c>
      <c r="F343" s="20" t="str">
        <f>'Reference Score Calculation'!H335</f>
        <v>/</v>
      </c>
      <c r="G343" s="20">
        <f>'Reference Score Calculation'!I335</f>
        <v>26</v>
      </c>
      <c r="H343" s="20">
        <f>'Reference Score Calculation'!J335</f>
        <v>25</v>
      </c>
      <c r="I343" s="20">
        <f>計分版!J358</f>
        <v>3.4999999999999999E-9</v>
      </c>
      <c r="J343" s="13">
        <f>'Reference Score Calculation'!U335</f>
        <v>64</v>
      </c>
      <c r="K343" s="28" t="str">
        <f>'Reference Score Calculation'!V335</f>
        <v>/</v>
      </c>
      <c r="L343" s="110" t="str">
        <f>'Reference Score Calculation'!Y335</f>
        <v>新科目</v>
      </c>
      <c r="M343" s="13">
        <f>入學要求!Z344</f>
        <v>0</v>
      </c>
    </row>
    <row r="344" spans="1:13">
      <c r="A344" s="13" t="str">
        <f>'Reference Score Calculation'!B336</f>
        <v>JS8004</v>
      </c>
      <c r="B344" s="13" t="str">
        <f>'Reference Score Calculation'!C336</f>
        <v>EdUHK</v>
      </c>
      <c r="C344" s="13" t="str">
        <f>'Reference Score Calculation'!E336</f>
        <v>英語研究及數碼傳訊榮譽文學士及英文教育榮譽學士</v>
      </c>
      <c r="D344" s="13" t="str">
        <f>'Reference Score Calculation'!S336</f>
        <v>BA(ESDC)&amp;BEd(EL)</v>
      </c>
      <c r="E344" s="13" t="str">
        <f>'Reference Score Calculation'!F336</f>
        <v>Best 5</v>
      </c>
      <c r="F344" s="20" t="str">
        <f>'Reference Score Calculation'!H336</f>
        <v>/</v>
      </c>
      <c r="G344" s="20">
        <f>'Reference Score Calculation'!I336</f>
        <v>23.3</v>
      </c>
      <c r="H344" s="20">
        <f>'Reference Score Calculation'!J336</f>
        <v>22.4</v>
      </c>
      <c r="I344" s="20">
        <f>計分版!J359</f>
        <v>3.4999999999999999E-9</v>
      </c>
      <c r="J344" s="13">
        <f>'Reference Score Calculation'!U336</f>
        <v>33</v>
      </c>
      <c r="K344" s="28" t="str">
        <f>'Reference Score Calculation'!V336</f>
        <v>/</v>
      </c>
      <c r="L344" s="110" t="str">
        <f>'Reference Score Calculation'!Y336</f>
        <v>新科目</v>
      </c>
      <c r="M344" s="13">
        <f>入學要求!Z345</f>
        <v>0</v>
      </c>
    </row>
    <row r="345" spans="1:13">
      <c r="A345" s="13" t="str">
        <f>'Reference Score Calculation'!B337</f>
        <v>JS8013</v>
      </c>
      <c r="B345" s="13" t="str">
        <f>'Reference Score Calculation'!C337</f>
        <v>EdUHK</v>
      </c>
      <c r="C345" s="13" t="str">
        <f>'Reference Score Calculation'!E337</f>
        <v>社會學與社區研究榮譽社會科學學士及小學人文科教育榮譽學士</v>
      </c>
      <c r="D345" s="13" t="str">
        <f>'Reference Score Calculation'!S337</f>
        <v>BSocSc(SCS)&amp;BEd(PHM)</v>
      </c>
      <c r="E345" s="13" t="str">
        <f>'Reference Score Calculation'!F337</f>
        <v>Best 5</v>
      </c>
      <c r="F345" s="20" t="str">
        <f>'Reference Score Calculation'!H337</f>
        <v>/</v>
      </c>
      <c r="G345" s="20">
        <f>'Reference Score Calculation'!I337</f>
        <v>20</v>
      </c>
      <c r="H345" s="20">
        <f>'Reference Score Calculation'!J337</f>
        <v>19</v>
      </c>
      <c r="I345" s="20">
        <f>計分版!J360</f>
        <v>3.4999999999999999E-9</v>
      </c>
      <c r="J345" s="13">
        <f>'Reference Score Calculation'!U337</f>
        <v>20</v>
      </c>
      <c r="K345" s="28" t="str">
        <f>'Reference Score Calculation'!V337</f>
        <v>/</v>
      </c>
      <c r="L345" s="110" t="str">
        <f>'Reference Score Calculation'!Y337</f>
        <v>新科目</v>
      </c>
      <c r="M345" s="13">
        <f>入學要求!Z346</f>
        <v>0</v>
      </c>
    </row>
    <row r="346" spans="1:13">
      <c r="A346" s="13" t="str">
        <f>'Reference Score Calculation'!B338</f>
        <v>JS8009</v>
      </c>
      <c r="B346" s="13" t="str">
        <f>'Reference Score Calculation'!C338</f>
        <v>EdUHK</v>
      </c>
      <c r="C346" s="13" t="str">
        <f>'Reference Score Calculation'!E338</f>
        <v>人工智能與教育科技榮譽理學士及小學數學教育榮譽學士</v>
      </c>
      <c r="D346" s="13" t="str">
        <f>'Reference Score Calculation'!S338</f>
        <v>BSc(AIET)&amp;BEd(PM)</v>
      </c>
      <c r="E346" s="13" t="str">
        <f>'Reference Score Calculation'!F338</f>
        <v>Best 5</v>
      </c>
      <c r="F346" s="20" t="str">
        <f>'Reference Score Calculation'!H338</f>
        <v>/</v>
      </c>
      <c r="G346" s="20">
        <f>'Reference Score Calculation'!I338</f>
        <v>26.5</v>
      </c>
      <c r="H346" s="20">
        <f>'Reference Score Calculation'!J338</f>
        <v>25</v>
      </c>
      <c r="I346" s="20">
        <f>計分版!J361</f>
        <v>3.7500000000000005E-9</v>
      </c>
      <c r="J346" s="13">
        <f>'Reference Score Calculation'!U338</f>
        <v>44</v>
      </c>
      <c r="K346" s="28" t="str">
        <f>'Reference Score Calculation'!V338</f>
        <v>/</v>
      </c>
      <c r="L346" s="110" t="str">
        <f>'Reference Score Calculation'!Y338</f>
        <v>新科目</v>
      </c>
      <c r="M346" s="13">
        <f>入學要求!Z347</f>
        <v>0</v>
      </c>
    </row>
    <row r="347" spans="1:13">
      <c r="A347" s="13" t="str">
        <f>'Reference Score Calculation'!B339</f>
        <v>JS8010</v>
      </c>
      <c r="B347" s="13" t="str">
        <f>'Reference Score Calculation'!C339</f>
        <v>EdUHK</v>
      </c>
      <c r="C347" s="13" t="str">
        <f>'Reference Score Calculation'!E339</f>
        <v>運動科學及教練榮譽理學士及體育教育榮譽學士</v>
      </c>
      <c r="D347" s="13" t="str">
        <f>'Reference Score Calculation'!S339</f>
        <v>BSc(SPSC)&amp;BEd(PE)</v>
      </c>
      <c r="E347" s="13" t="str">
        <f>'Reference Score Calculation'!F339</f>
        <v>Best 5</v>
      </c>
      <c r="F347" s="20" t="str">
        <f>'Reference Score Calculation'!H339</f>
        <v>/</v>
      </c>
      <c r="G347" s="20">
        <f>'Reference Score Calculation'!I339</f>
        <v>22</v>
      </c>
      <c r="H347" s="20">
        <f>'Reference Score Calculation'!J339</f>
        <v>21</v>
      </c>
      <c r="I347" s="20">
        <f>計分版!J362</f>
        <v>3.4999999999999999E-9</v>
      </c>
      <c r="J347" s="13">
        <f>'Reference Score Calculation'!U339</f>
        <v>25</v>
      </c>
      <c r="K347" s="28" t="str">
        <f>'Reference Score Calculation'!V339</f>
        <v>/</v>
      </c>
      <c r="L347" s="110" t="str">
        <f>'Reference Score Calculation'!Y339</f>
        <v>新科目</v>
      </c>
      <c r="M347" s="13">
        <f>入學要求!Z348</f>
        <v>0</v>
      </c>
    </row>
    <row r="348" spans="1:13">
      <c r="A348" s="13" t="str">
        <f>'Reference Score Calculation'!B340</f>
        <v>JS8008</v>
      </c>
      <c r="B348" s="13" t="str">
        <f>'Reference Score Calculation'!C340</f>
        <v>EdUHK</v>
      </c>
      <c r="C348" s="13" t="str">
        <f>'Reference Score Calculation'!E340</f>
        <v>人工智能與教育科技榮譽理學士及資訊及通訊科技及小學科學教育榮譽學士</v>
      </c>
      <c r="D348" s="13" t="str">
        <f>'Reference Score Calculation'!S340</f>
        <v>BSc(AIET)&amp;BEd(ICT&amp;PSci)</v>
      </c>
      <c r="E348" s="13" t="str">
        <f>'Reference Score Calculation'!F340</f>
        <v>Best 5</v>
      </c>
      <c r="F348" s="20" t="str">
        <f>'Reference Score Calculation'!H340</f>
        <v>/</v>
      </c>
      <c r="G348" s="20">
        <f>'Reference Score Calculation'!I340</f>
        <v>23.8</v>
      </c>
      <c r="H348" s="20">
        <f>'Reference Score Calculation'!J340</f>
        <v>23</v>
      </c>
      <c r="I348" s="20">
        <f>計分版!J363</f>
        <v>3.7500000000000005E-9</v>
      </c>
      <c r="J348" s="13">
        <f>'Reference Score Calculation'!U340</f>
        <v>13</v>
      </c>
      <c r="K348" s="28" t="str">
        <f>'Reference Score Calculation'!V340</f>
        <v>/</v>
      </c>
      <c r="L348" s="110" t="str">
        <f>'Reference Score Calculation'!Y340</f>
        <v>新科目</v>
      </c>
      <c r="M348" s="13">
        <f>入學要求!Z349</f>
        <v>0</v>
      </c>
    </row>
    <row r="349" spans="1:13">
      <c r="A349" s="13" t="str">
        <f>'Reference Score Calculation'!B341</f>
        <v>JS8007</v>
      </c>
      <c r="B349" s="13" t="str">
        <f>'Reference Score Calculation'!C341</f>
        <v>EdUHK</v>
      </c>
      <c r="C349" s="13" t="str">
        <f>'Reference Score Calculation'!E341</f>
        <v>個人理財榮譽文學士及企業、會計與財務概論教育榮譽學士</v>
      </c>
      <c r="D349" s="13" t="str">
        <f>'Reference Score Calculation'!S341</f>
        <v>BA(PF)&amp;BEd(BAFS)</v>
      </c>
      <c r="E349" s="13" t="str">
        <f>'Reference Score Calculation'!F341</f>
        <v>Best 5</v>
      </c>
      <c r="F349" s="20" t="str">
        <f>'Reference Score Calculation'!H341</f>
        <v>/</v>
      </c>
      <c r="G349" s="20">
        <f>'Reference Score Calculation'!I341</f>
        <v>22.3</v>
      </c>
      <c r="H349" s="20">
        <f>'Reference Score Calculation'!J341</f>
        <v>21.8</v>
      </c>
      <c r="I349" s="20">
        <f>計分版!J364</f>
        <v>3.4999999999999999E-9</v>
      </c>
      <c r="J349" s="13">
        <f>'Reference Score Calculation'!U341</f>
        <v>12</v>
      </c>
      <c r="K349" s="28" t="str">
        <f>'Reference Score Calculation'!V341</f>
        <v>/</v>
      </c>
      <c r="L349" s="110" t="str">
        <f>'Reference Score Calculation'!Y341</f>
        <v>新科目</v>
      </c>
      <c r="M349" s="13">
        <f>入學要求!Z350</f>
        <v>0</v>
      </c>
    </row>
    <row r="350" spans="1:13">
      <c r="A350" s="13" t="str">
        <f>'Reference Score Calculation'!B342</f>
        <v>JS8005</v>
      </c>
      <c r="B350" s="13" t="str">
        <f>'Reference Score Calculation'!C342</f>
        <v>EdUHK</v>
      </c>
      <c r="C350" s="13" t="str">
        <f>'Reference Score Calculation'!E342</f>
        <v>文化傳承教育與藝術管理榮譽文學士及中國歷史教育榮譽學士</v>
      </c>
      <c r="D350" s="13" t="str">
        <f>'Reference Score Calculation'!S342</f>
        <v>BA(HE&amp;AM)&amp;BEd(CHI HIST)</v>
      </c>
      <c r="E350" s="13" t="str">
        <f>'Reference Score Calculation'!F342</f>
        <v>Best 5</v>
      </c>
      <c r="F350" s="20" t="str">
        <f>'Reference Score Calculation'!H342</f>
        <v>/</v>
      </c>
      <c r="G350" s="20">
        <f>'Reference Score Calculation'!I342</f>
        <v>23</v>
      </c>
      <c r="H350" s="20">
        <f>'Reference Score Calculation'!J342</f>
        <v>21</v>
      </c>
      <c r="I350" s="20">
        <f>計分版!J365</f>
        <v>3.4999999999999999E-9</v>
      </c>
      <c r="J350" s="13">
        <f>'Reference Score Calculation'!U342</f>
        <v>12</v>
      </c>
      <c r="K350" s="28" t="str">
        <f>'Reference Score Calculation'!V342</f>
        <v>/</v>
      </c>
      <c r="L350" s="110" t="str">
        <f>'Reference Score Calculation'!Y342</f>
        <v>新科目</v>
      </c>
      <c r="M350" s="13">
        <f>入學要求!Z351</f>
        <v>0</v>
      </c>
    </row>
    <row r="351" spans="1:13">
      <c r="A351" s="13" t="str">
        <f>'Reference Score Calculation'!B343</f>
        <v>JS8006</v>
      </c>
      <c r="B351" s="13" t="str">
        <f>'Reference Score Calculation'!C343</f>
        <v>EdUHK</v>
      </c>
      <c r="C351" s="13" t="str">
        <f>'Reference Score Calculation'!E343</f>
        <v>心理學榮譽社會科學學士及幼兒教育榮譽學士</v>
      </c>
      <c r="D351" s="13" t="str">
        <f>'Reference Score Calculation'!S343</f>
        <v>BSocSc(Psy)&amp;BEd(ECE)</v>
      </c>
      <c r="E351" s="13" t="str">
        <f>'Reference Score Calculation'!F343</f>
        <v>Best 5</v>
      </c>
      <c r="F351" s="20" t="str">
        <f>'Reference Score Calculation'!H343</f>
        <v>/</v>
      </c>
      <c r="G351" s="20">
        <f>'Reference Score Calculation'!I343</f>
        <v>22.5</v>
      </c>
      <c r="H351" s="20">
        <f>'Reference Score Calculation'!J343</f>
        <v>22</v>
      </c>
      <c r="I351" s="20">
        <f>計分版!J366</f>
        <v>3.4999999999999999E-9</v>
      </c>
      <c r="J351" s="13">
        <f>'Reference Score Calculation'!U343</f>
        <v>45</v>
      </c>
      <c r="K351" s="28" t="str">
        <f>'Reference Score Calculation'!V343</f>
        <v>/</v>
      </c>
      <c r="L351" s="110" t="str">
        <f>'Reference Score Calculation'!Y343</f>
        <v>新科目</v>
      </c>
      <c r="M351" s="13">
        <f>入學要求!Z352</f>
        <v>0</v>
      </c>
    </row>
    <row r="352" spans="1:13">
      <c r="A352" s="13" t="str">
        <f>'Reference Score Calculation'!B344</f>
        <v>JS8012</v>
      </c>
      <c r="B352" s="13" t="str">
        <f>'Reference Score Calculation'!C344</f>
        <v>EdUHK</v>
      </c>
      <c r="C352" s="13" t="str">
        <f>'Reference Score Calculation'!E344</f>
        <v>社會學與社區研究榮譽社會科學學士及地理教育榮譽學士</v>
      </c>
      <c r="D352" s="13" t="str">
        <f>'Reference Score Calculation'!S344</f>
        <v>BSocSc(SCS)&amp;BEd(GEOG)</v>
      </c>
      <c r="E352" s="13" t="str">
        <f>'Reference Score Calculation'!F344</f>
        <v>Best 5</v>
      </c>
      <c r="F352" s="20" t="str">
        <f>'Reference Score Calculation'!H344</f>
        <v>/</v>
      </c>
      <c r="G352" s="20">
        <f>'Reference Score Calculation'!I344</f>
        <v>24</v>
      </c>
      <c r="H352" s="20">
        <f>'Reference Score Calculation'!J344</f>
        <v>23.6</v>
      </c>
      <c r="I352" s="20">
        <f>計分版!J367</f>
        <v>3.4999999999999999E-9</v>
      </c>
      <c r="J352" s="13">
        <f>'Reference Score Calculation'!U344</f>
        <v>12</v>
      </c>
      <c r="K352" s="28" t="str">
        <f>'Reference Score Calculation'!V344</f>
        <v>/</v>
      </c>
      <c r="L352" s="110" t="str">
        <f>'Reference Score Calculation'!Y344</f>
        <v>新科目</v>
      </c>
      <c r="M352" s="13">
        <f>入學要求!Z353</f>
        <v>0</v>
      </c>
    </row>
    <row r="353" spans="1:13">
      <c r="A353" s="13" t="str">
        <f>'Reference Score Calculation'!B345</f>
        <v>JS8011</v>
      </c>
      <c r="B353" s="13" t="str">
        <f>'Reference Score Calculation'!C345</f>
        <v>EdUHK</v>
      </c>
      <c r="C353" s="13" t="str">
        <f>'Reference Score Calculation'!E345</f>
        <v>綜合環境管理榮譽理學士及科學教育榮譽學士</v>
      </c>
      <c r="D353" s="13" t="str">
        <f>'Reference Score Calculation'!S345</f>
        <v>BSc(IEM)&amp;BEd(SCI)</v>
      </c>
      <c r="E353" s="13" t="str">
        <f>'Reference Score Calculation'!F345</f>
        <v>Best 5</v>
      </c>
      <c r="F353" s="20" t="str">
        <f>'Reference Score Calculation'!H345</f>
        <v>/</v>
      </c>
      <c r="G353" s="20">
        <f>'Reference Score Calculation'!I345</f>
        <v>23</v>
      </c>
      <c r="H353" s="20">
        <f>'Reference Score Calculation'!J345</f>
        <v>22</v>
      </c>
      <c r="I353" s="20">
        <f>計分版!J368</f>
        <v>3.4999999999999999E-9</v>
      </c>
      <c r="J353" s="13">
        <f>'Reference Score Calculation'!U345</f>
        <v>29</v>
      </c>
      <c r="K353" s="28" t="str">
        <f>'Reference Score Calculation'!V345</f>
        <v>/</v>
      </c>
      <c r="L353" s="110" t="str">
        <f>'Reference Score Calculation'!Y345</f>
        <v>新科目</v>
      </c>
      <c r="M353" s="13">
        <f>入學要求!Z354</f>
        <v>0</v>
      </c>
    </row>
    <row r="354" spans="1:13">
      <c r="A354" s="13" t="str">
        <f>'Reference Score Calculation'!B346</f>
        <v>JS8507</v>
      </c>
      <c r="B354" s="13" t="str">
        <f>'Reference Score Calculation'!C346</f>
        <v>EdUHK</v>
      </c>
      <c r="C354" s="13" t="str">
        <f>'Reference Score Calculation'!E346</f>
        <v>幼兒教育高級文憑</v>
      </c>
      <c r="D354" s="13" t="str">
        <f>'Reference Score Calculation'!S346</f>
        <v>HD(ECE)</v>
      </c>
      <c r="E354" s="13" t="str">
        <f>'Reference Score Calculation'!F346</f>
        <v>Best 5</v>
      </c>
      <c r="F354" s="20" t="str">
        <f>'Reference Score Calculation'!H346</f>
        <v>/</v>
      </c>
      <c r="G354" s="20">
        <f>'Reference Score Calculation'!I346</f>
        <v>16</v>
      </c>
      <c r="H354" s="20">
        <f>'Reference Score Calculation'!J346</f>
        <v>14.5</v>
      </c>
      <c r="I354" s="20">
        <f>計分版!J369</f>
        <v>3.4999999999999999E-9</v>
      </c>
      <c r="J354" s="13">
        <f>'Reference Score Calculation'!U346</f>
        <v>264</v>
      </c>
      <c r="K354" s="28">
        <f>'Reference Score Calculation'!V346</f>
        <v>416</v>
      </c>
      <c r="L354" s="110">
        <f>'Reference Score Calculation'!Y346</f>
        <v>4.3542319749216301</v>
      </c>
      <c r="M354" s="13">
        <f>入學要求!Z355</f>
        <v>0</v>
      </c>
    </row>
    <row r="355" spans="1:13">
      <c r="A355" s="13" t="str">
        <f>'Reference Score Calculation'!B347</f>
        <v>JS8674</v>
      </c>
      <c r="B355" s="13" t="str">
        <f>'Reference Score Calculation'!C347</f>
        <v>EdUHK</v>
      </c>
      <c r="C355" s="13" t="str">
        <f>'Reference Score Calculation'!E347</f>
        <v>數碼中國文化與傳意榮譽文學士</v>
      </c>
      <c r="D355" s="13" t="str">
        <f>'Reference Score Calculation'!S347</f>
        <v>BA(DCCC)</v>
      </c>
      <c r="E355" s="13" t="str">
        <f>'Reference Score Calculation'!F347</f>
        <v>Best 5</v>
      </c>
      <c r="F355" s="20" t="str">
        <f>'Reference Score Calculation'!H347</f>
        <v>/</v>
      </c>
      <c r="G355" s="20">
        <f>'Reference Score Calculation'!I347</f>
        <v>24.3</v>
      </c>
      <c r="H355" s="20">
        <f>'Reference Score Calculation'!J347</f>
        <v>23.4</v>
      </c>
      <c r="I355" s="20">
        <f>計分版!J370</f>
        <v>3.4999999999999999E-9</v>
      </c>
      <c r="J355" s="13">
        <f>'Reference Score Calculation'!U347</f>
        <v>21</v>
      </c>
      <c r="K355" s="28" t="str">
        <f>'Reference Score Calculation'!V347</f>
        <v>/</v>
      </c>
      <c r="L355" s="110" t="str">
        <f>'Reference Score Calculation'!Y347</f>
        <v>新科目</v>
      </c>
      <c r="M355" s="13">
        <f>入學要求!Z356</f>
        <v>0</v>
      </c>
    </row>
    <row r="356" spans="1:13">
      <c r="A356" s="13" t="str">
        <f>'Reference Score Calculation'!B348</f>
        <v>JS8685</v>
      </c>
      <c r="B356" s="13" t="str">
        <f>'Reference Score Calculation'!C348</f>
        <v>EdUHK</v>
      </c>
      <c r="C356" s="13" t="str">
        <f>'Reference Score Calculation'!E348</f>
        <v>創意藝術與數碼藝術榮譽文學士 (音樂)</v>
      </c>
      <c r="D356" s="13" t="str">
        <f>'Reference Score Calculation'!S348</f>
        <v>BA(CDA)-MU</v>
      </c>
      <c r="E356" s="13" t="str">
        <f>'Reference Score Calculation'!F348</f>
        <v>Best 5</v>
      </c>
      <c r="F356" s="20" t="str">
        <f>'Reference Score Calculation'!H348</f>
        <v>/</v>
      </c>
      <c r="G356" s="20">
        <f>'Reference Score Calculation'!I348</f>
        <v>18</v>
      </c>
      <c r="H356" s="20">
        <f>'Reference Score Calculation'!J348</f>
        <v>18</v>
      </c>
      <c r="I356" s="20">
        <f>計分版!J371</f>
        <v>3.4999999999999999E-9</v>
      </c>
      <c r="J356" s="13">
        <f>'Reference Score Calculation'!U348</f>
        <v>10</v>
      </c>
      <c r="K356" s="28" t="str">
        <f>'Reference Score Calculation'!V348</f>
        <v>/</v>
      </c>
      <c r="L356" s="110" t="str">
        <f>'Reference Score Calculation'!Y348</f>
        <v>新科目</v>
      </c>
      <c r="M356" s="13">
        <f>入學要求!Z357</f>
        <v>0</v>
      </c>
    </row>
    <row r="357" spans="1:13">
      <c r="A357" s="13" t="str">
        <f>'Reference Score Calculation'!B349</f>
        <v>JS8686</v>
      </c>
      <c r="B357" s="13" t="str">
        <f>'Reference Score Calculation'!C349</f>
        <v>EdUHK</v>
      </c>
      <c r="C357" s="13" t="str">
        <f>'Reference Score Calculation'!E349</f>
        <v>創意藝術與數碼藝術榮譽文學士 (視覺藝術)</v>
      </c>
      <c r="D357" s="13" t="str">
        <f>'Reference Score Calculation'!S349</f>
        <v>BA(CDA)-VA</v>
      </c>
      <c r="E357" s="13" t="str">
        <f>'Reference Score Calculation'!F349</f>
        <v>Best 5</v>
      </c>
      <c r="F357" s="20" t="str">
        <f>'Reference Score Calculation'!H349</f>
        <v>/</v>
      </c>
      <c r="G357" s="20">
        <f>'Reference Score Calculation'!I349</f>
        <v>21</v>
      </c>
      <c r="H357" s="20">
        <f>'Reference Score Calculation'!J349</f>
        <v>20.5</v>
      </c>
      <c r="I357" s="20">
        <f>計分版!J372</f>
        <v>3.4999999999999999E-9</v>
      </c>
      <c r="J357" s="13">
        <f>'Reference Score Calculation'!U349</f>
        <v>10</v>
      </c>
      <c r="K357" s="28" t="str">
        <f>'Reference Score Calculation'!V349</f>
        <v>/</v>
      </c>
      <c r="L357" s="110" t="str">
        <f>'Reference Score Calculation'!Y349</f>
        <v>新科目</v>
      </c>
      <c r="M357" s="13">
        <f>入學要求!Z358</f>
        <v>0</v>
      </c>
    </row>
    <row r="358" spans="1:13">
      <c r="A358" s="13" t="str">
        <f>'Reference Score Calculation'!B350</f>
        <v>JS8651</v>
      </c>
      <c r="B358" s="13" t="str">
        <f>'Reference Score Calculation'!C350</f>
        <v>EdUHK</v>
      </c>
      <c r="C358" s="13" t="str">
        <f>'Reference Score Calculation'!E350</f>
        <v>心理學榮譽社會科學學士</v>
      </c>
      <c r="D358" s="13" t="str">
        <f>'Reference Score Calculation'!S350</f>
        <v>BSocSc(Psy)</v>
      </c>
      <c r="E358" s="13" t="str">
        <f>'Reference Score Calculation'!F350</f>
        <v>Best 5</v>
      </c>
      <c r="F358" s="20" t="str">
        <f>'Reference Score Calculation'!H350</f>
        <v>/</v>
      </c>
      <c r="G358" s="20">
        <f>'Reference Score Calculation'!I350</f>
        <v>20</v>
      </c>
      <c r="H358" s="20">
        <f>'Reference Score Calculation'!J350</f>
        <v>20</v>
      </c>
      <c r="I358" s="20">
        <f>計分版!J373</f>
        <v>3.4999999999999999E-9</v>
      </c>
      <c r="J358" s="13">
        <f>'Reference Score Calculation'!U350</f>
        <v>20</v>
      </c>
      <c r="K358" s="28">
        <f>'Reference Score Calculation'!V350</f>
        <v>20</v>
      </c>
      <c r="L358" s="110">
        <f>'Reference Score Calculation'!Y350</f>
        <v>22.705882352941178</v>
      </c>
      <c r="M358" s="13">
        <f>入學要求!Z359</f>
        <v>0</v>
      </c>
    </row>
    <row r="359" spans="1:13">
      <c r="A359" s="13" t="str">
        <f>'Reference Score Calculation'!B351</f>
        <v>JS8663</v>
      </c>
      <c r="B359" s="13" t="str">
        <f>'Reference Score Calculation'!C351</f>
        <v>EdUHK</v>
      </c>
      <c r="C359" s="13" t="str">
        <f>'Reference Score Calculation'!E351</f>
        <v>特殊教育榮譽文學士</v>
      </c>
      <c r="D359" s="13" t="str">
        <f>'Reference Score Calculation'!S351</f>
        <v>BA(SE)</v>
      </c>
      <c r="E359" s="13" t="str">
        <f>'Reference Score Calculation'!F351</f>
        <v>Best 5</v>
      </c>
      <c r="F359" s="20" t="str">
        <f>'Reference Score Calculation'!H351</f>
        <v>/</v>
      </c>
      <c r="G359" s="20">
        <f>'Reference Score Calculation'!I351</f>
        <v>23</v>
      </c>
      <c r="H359" s="20">
        <f>'Reference Score Calculation'!J351</f>
        <v>22.8</v>
      </c>
      <c r="I359" s="20">
        <f>計分版!J374</f>
        <v>3.4999999999999999E-9</v>
      </c>
      <c r="J359" s="13">
        <f>'Reference Score Calculation'!U351</f>
        <v>20</v>
      </c>
      <c r="K359" s="28">
        <f>'Reference Score Calculation'!V351</f>
        <v>18</v>
      </c>
      <c r="L359" s="110">
        <f>'Reference Score Calculation'!Y351</f>
        <v>14.888888888888889</v>
      </c>
      <c r="M359" s="13">
        <f>入學要求!Z360</f>
        <v>0</v>
      </c>
    </row>
    <row r="360" spans="1:13">
      <c r="A360" s="13" t="str">
        <f>'Reference Score Calculation'!B352</f>
        <v>JS8675</v>
      </c>
      <c r="B360" s="13" t="str">
        <f>'Reference Score Calculation'!C352</f>
        <v>EdUHK</v>
      </c>
      <c r="C360" s="13" t="str">
        <f>'Reference Score Calculation'!E352</f>
        <v>英語研究及數碼傳訊榮譽文學士</v>
      </c>
      <c r="D360" s="13" t="str">
        <f>'Reference Score Calculation'!S352</f>
        <v>BA(ESDC)</v>
      </c>
      <c r="E360" s="13" t="str">
        <f>'Reference Score Calculation'!F352</f>
        <v>Best 5</v>
      </c>
      <c r="F360" s="20" t="str">
        <f>'Reference Score Calculation'!H352</f>
        <v>/</v>
      </c>
      <c r="G360" s="20">
        <f>'Reference Score Calculation'!I352</f>
        <v>20.5</v>
      </c>
      <c r="H360" s="20">
        <f>'Reference Score Calculation'!J352</f>
        <v>20</v>
      </c>
      <c r="I360" s="20">
        <f>計分版!J375</f>
        <v>3.4999999999999999E-9</v>
      </c>
      <c r="J360" s="13">
        <f>'Reference Score Calculation'!U352</f>
        <v>17</v>
      </c>
      <c r="K360" s="28">
        <f>'Reference Score Calculation'!V352</f>
        <v>14</v>
      </c>
      <c r="L360" s="110">
        <f>'Reference Score Calculation'!Y352</f>
        <v>15</v>
      </c>
      <c r="M360" s="13">
        <f>入學要求!Z361</f>
        <v>0</v>
      </c>
    </row>
    <row r="361" spans="1:13">
      <c r="A361" s="13" t="str">
        <f>'Reference Score Calculation'!B353</f>
        <v>JS8687</v>
      </c>
      <c r="B361" s="13" t="str">
        <f>'Reference Score Calculation'!C353</f>
        <v>EdUHK</v>
      </c>
      <c r="C361" s="13" t="str">
        <f>'Reference Score Calculation'!E353</f>
        <v>文化傳承教育與藝術管理榮譽文學士</v>
      </c>
      <c r="D361" s="13" t="str">
        <f>'Reference Score Calculation'!S353</f>
        <v>BA(HE&amp;AM)</v>
      </c>
      <c r="E361" s="13" t="str">
        <f>'Reference Score Calculation'!F353</f>
        <v>Best 5</v>
      </c>
      <c r="F361" s="20" t="str">
        <f>'Reference Score Calculation'!H353</f>
        <v>/</v>
      </c>
      <c r="G361" s="20">
        <f>'Reference Score Calculation'!I353</f>
        <v>25.5</v>
      </c>
      <c r="H361" s="20">
        <f>'Reference Score Calculation'!J353</f>
        <v>25</v>
      </c>
      <c r="I361" s="20">
        <f>計分版!J376</f>
        <v>3.4999999999999999E-9</v>
      </c>
      <c r="J361" s="13">
        <f>'Reference Score Calculation'!U353</f>
        <v>22</v>
      </c>
      <c r="K361" s="28">
        <f>'Reference Score Calculation'!V353</f>
        <v>26</v>
      </c>
      <c r="L361" s="110">
        <f>'Reference Score Calculation'!Y353</f>
        <v>11.384615384615385</v>
      </c>
      <c r="M361" s="13">
        <f>入學要求!Z362</f>
        <v>0</v>
      </c>
    </row>
    <row r="362" spans="1:13">
      <c r="A362" s="13" t="str">
        <f>'Reference Score Calculation'!B354</f>
        <v>JS8688</v>
      </c>
      <c r="B362" s="13" t="str">
        <f>'Reference Score Calculation'!C354</f>
        <v>EdUHK</v>
      </c>
      <c r="C362" s="13" t="str">
        <f>'Reference Score Calculation'!E354</f>
        <v>個人理財榮譽文學士</v>
      </c>
      <c r="D362" s="13" t="str">
        <f>'Reference Score Calculation'!S354</f>
        <v>BA(PF)</v>
      </c>
      <c r="E362" s="13" t="str">
        <f>'Reference Score Calculation'!F354</f>
        <v>25年新科目</v>
      </c>
      <c r="F362" s="20" t="str">
        <f>'Reference Score Calculation'!H354</f>
        <v>/</v>
      </c>
      <c r="G362" s="20" t="str">
        <f>'Reference Score Calculation'!I354</f>
        <v>/</v>
      </c>
      <c r="H362" s="20" t="str">
        <f>'Reference Score Calculation'!J354</f>
        <v>/</v>
      </c>
      <c r="I362" s="20">
        <f>計分版!J377</f>
        <v>3.4999999999999999E-9</v>
      </c>
      <c r="J362" s="13">
        <f>'Reference Score Calculation'!U354</f>
        <v>10</v>
      </c>
      <c r="K362" s="28" t="str">
        <f>'Reference Score Calculation'!V354</f>
        <v>/</v>
      </c>
      <c r="L362" s="110" t="str">
        <f>'Reference Score Calculation'!Y354</f>
        <v>新科目</v>
      </c>
      <c r="M362" s="13">
        <f>入學要求!Z363</f>
        <v>0</v>
      </c>
    </row>
    <row r="363" spans="1:13">
      <c r="A363" s="13" t="str">
        <f>'Reference Score Calculation'!B355</f>
        <v>JS8702</v>
      </c>
      <c r="B363" s="13" t="str">
        <f>'Reference Score Calculation'!C355</f>
        <v>EdUHK</v>
      </c>
      <c r="C363" s="13" t="str">
        <f>'Reference Score Calculation'!E355</f>
        <v>綜合環境管理榮譽理學士</v>
      </c>
      <c r="D363" s="13" t="str">
        <f>'Reference Score Calculation'!S355</f>
        <v>BSc(IEM)</v>
      </c>
      <c r="E363" s="13" t="str">
        <f>'Reference Score Calculation'!F355</f>
        <v>Best 5</v>
      </c>
      <c r="F363" s="20" t="str">
        <f>'Reference Score Calculation'!H355</f>
        <v>/</v>
      </c>
      <c r="G363" s="20">
        <f>'Reference Score Calculation'!I355</f>
        <v>22.2</v>
      </c>
      <c r="H363" s="20">
        <f>'Reference Score Calculation'!J355</f>
        <v>21.7</v>
      </c>
      <c r="I363" s="20">
        <f>計分版!J378</f>
        <v>3.4999999999999999E-9</v>
      </c>
      <c r="J363" s="13">
        <f>'Reference Score Calculation'!U355</f>
        <v>21</v>
      </c>
      <c r="K363" s="28">
        <f>'Reference Score Calculation'!V355</f>
        <v>21</v>
      </c>
      <c r="L363" s="110">
        <f>'Reference Score Calculation'!Y355</f>
        <v>11.380952380952381</v>
      </c>
      <c r="M363" s="13">
        <f>入學要求!Z364</f>
        <v>0</v>
      </c>
    </row>
    <row r="364" spans="1:13">
      <c r="A364" s="13" t="str">
        <f>'Reference Score Calculation'!B356</f>
        <v>JS8714</v>
      </c>
      <c r="B364" s="13" t="str">
        <f>'Reference Score Calculation'!C356</f>
        <v>EdUHK</v>
      </c>
      <c r="C364" s="13" t="str">
        <f>'Reference Score Calculation'!E356</f>
        <v>人工智能與教育科技榮譽理學士</v>
      </c>
      <c r="D364" s="13" t="str">
        <f>'Reference Score Calculation'!S356</f>
        <v>BSc(AI&amp;EdTech)</v>
      </c>
      <c r="E364" s="13" t="str">
        <f>'Reference Score Calculation'!F356</f>
        <v>Best 5</v>
      </c>
      <c r="F364" s="20" t="str">
        <f>'Reference Score Calculation'!H356</f>
        <v>/</v>
      </c>
      <c r="G364" s="20">
        <f>'Reference Score Calculation'!I356</f>
        <v>23.5</v>
      </c>
      <c r="H364" s="20">
        <f>'Reference Score Calculation'!J356</f>
        <v>22.5</v>
      </c>
      <c r="I364" s="20">
        <f>計分版!J379</f>
        <v>3.7500000000000005E-9</v>
      </c>
      <c r="J364" s="13">
        <f>'Reference Score Calculation'!U356</f>
        <v>30</v>
      </c>
      <c r="K364" s="28">
        <f>'Reference Score Calculation'!V356</f>
        <v>22</v>
      </c>
      <c r="L364" s="110">
        <f>'Reference Score Calculation'!Y356</f>
        <v>14.117647058823529</v>
      </c>
      <c r="M364" s="13">
        <f>入學要求!Z365</f>
        <v>0</v>
      </c>
    </row>
    <row r="365" spans="1:13">
      <c r="A365" s="13" t="str">
        <f>'Reference Score Calculation'!B357</f>
        <v>JS8726</v>
      </c>
      <c r="B365" s="13" t="str">
        <f>'Reference Score Calculation'!C357</f>
        <v>EdUHK</v>
      </c>
      <c r="C365" s="13" t="str">
        <f>'Reference Score Calculation'!E357</f>
        <v>運動科學及教練榮譽理學士</v>
      </c>
      <c r="D365" s="13" t="str">
        <f>'Reference Score Calculation'!S357</f>
        <v>BSc(SPSC)</v>
      </c>
      <c r="E365" s="13" t="str">
        <f>'Reference Score Calculation'!F357</f>
        <v>Best 5</v>
      </c>
      <c r="F365" s="20" t="str">
        <f>'Reference Score Calculation'!H357</f>
        <v>/</v>
      </c>
      <c r="G365" s="20">
        <f>'Reference Score Calculation'!I357</f>
        <v>28.5</v>
      </c>
      <c r="H365" s="20">
        <f>'Reference Score Calculation'!J357</f>
        <v>26.5</v>
      </c>
      <c r="I365" s="20">
        <f>計分版!J380</f>
        <v>3.7500000000000005E-9</v>
      </c>
      <c r="J365" s="13">
        <f>'Reference Score Calculation'!U357</f>
        <v>29</v>
      </c>
      <c r="K365" s="28">
        <f>'Reference Score Calculation'!V357</f>
        <v>30</v>
      </c>
      <c r="L365" s="110">
        <f>'Reference Score Calculation'!Y357</f>
        <v>28.666666666666668</v>
      </c>
      <c r="M365" s="13">
        <f>入學要求!Z366</f>
        <v>0</v>
      </c>
    </row>
    <row r="366" spans="1:13">
      <c r="A366" s="13" t="str">
        <f>'Reference Score Calculation'!B358</f>
        <v>JS8727</v>
      </c>
      <c r="B366" s="13" t="str">
        <f>'Reference Score Calculation'!C358</f>
        <v>EdUHK</v>
      </c>
      <c r="C366" s="13" t="str">
        <f>'Reference Score Calculation'!E358</f>
        <v>言語病理學及復康榮譽理學士</v>
      </c>
      <c r="D366" s="13" t="str">
        <f>'Reference Score Calculation'!S358</f>
        <v>BSc(SPR)</v>
      </c>
      <c r="E366" s="13" t="str">
        <f>'Reference Score Calculation'!F358</f>
        <v>25年新科目</v>
      </c>
      <c r="F366" s="20" t="str">
        <f>'Reference Score Calculation'!H358</f>
        <v>/</v>
      </c>
      <c r="G366" s="20" t="str">
        <f>'Reference Score Calculation'!I358</f>
        <v>/</v>
      </c>
      <c r="H366" s="20" t="str">
        <f>'Reference Score Calculation'!J358</f>
        <v>/</v>
      </c>
      <c r="I366" s="20">
        <f>計分版!J381</f>
        <v>3.4999999999999999E-9</v>
      </c>
      <c r="J366" s="13">
        <f>'Reference Score Calculation'!U358</f>
        <v>10</v>
      </c>
      <c r="K366" s="28" t="str">
        <f>'Reference Score Calculation'!V358</f>
        <v>/</v>
      </c>
      <c r="L366" s="110" t="str">
        <f>'Reference Score Calculation'!Y358</f>
        <v>新科目</v>
      </c>
      <c r="M366" s="13">
        <f>入學要求!Z367</f>
        <v>0</v>
      </c>
    </row>
    <row r="367" spans="1:13">
      <c r="A367" s="13" t="str">
        <f>'Reference Score Calculation'!B359</f>
        <v>JS8001</v>
      </c>
      <c r="B367" s="13" t="str">
        <f>'Reference Score Calculation'!C359</f>
        <v>EdUHK</v>
      </c>
      <c r="C367" s="13" t="str">
        <f>'Reference Score Calculation'!E359</f>
        <v>創意藝術與數碼藝術榮譽文學士及音樂教育榮譽學士</v>
      </c>
      <c r="D367" s="13" t="str">
        <f>'Reference Score Calculation'!S359</f>
        <v>BA(CDA)&amp;BEd(MU)</v>
      </c>
      <c r="E367" s="13" t="str">
        <f>'Reference Score Calculation'!F359</f>
        <v>Best 5</v>
      </c>
      <c r="F367" s="20" t="str">
        <f>'Reference Score Calculation'!H359</f>
        <v>/</v>
      </c>
      <c r="G367" s="20">
        <f>'Reference Score Calculation'!I359</f>
        <v>19</v>
      </c>
      <c r="H367" s="20">
        <f>'Reference Score Calculation'!J359</f>
        <v>18.5</v>
      </c>
      <c r="I367" s="20">
        <f>計分版!J382</f>
        <v>3.4999999999999999E-9</v>
      </c>
      <c r="J367" s="13">
        <f>'Reference Score Calculation'!U359</f>
        <v>32</v>
      </c>
      <c r="K367" s="28" t="str">
        <f>'Reference Score Calculation'!V359</f>
        <v>/</v>
      </c>
      <c r="L367" s="110" t="str">
        <f>'Reference Score Calculation'!Y359</f>
        <v>新科目</v>
      </c>
      <c r="M367" s="13">
        <f>入學要求!Z368</f>
        <v>0</v>
      </c>
    </row>
    <row r="368" spans="1:13">
      <c r="A368" s="13" t="str">
        <f>'Reference Score Calculation'!B360</f>
        <v>JS8002</v>
      </c>
      <c r="B368" s="13" t="str">
        <f>'Reference Score Calculation'!C360</f>
        <v>EdUHK</v>
      </c>
      <c r="C368" s="13" t="str">
        <f>'Reference Score Calculation'!E360</f>
        <v>創意藝術與數碼藝術榮譽文學士及視覺藝術教育榮譽學士</v>
      </c>
      <c r="D368" s="13" t="str">
        <f>'Reference Score Calculation'!S360</f>
        <v>BA(CDA)&amp;BEd(VA)</v>
      </c>
      <c r="E368" s="13" t="str">
        <f>'Reference Score Calculation'!F360</f>
        <v>Best 5</v>
      </c>
      <c r="F368" s="20" t="str">
        <f>'Reference Score Calculation'!H360</f>
        <v>/</v>
      </c>
      <c r="G368" s="20">
        <f>'Reference Score Calculation'!I360</f>
        <v>22</v>
      </c>
      <c r="H368" s="20">
        <f>'Reference Score Calculation'!J360</f>
        <v>22</v>
      </c>
      <c r="I368" s="20">
        <f>計分版!J383</f>
        <v>3.4999999999999999E-9</v>
      </c>
      <c r="J368" s="13">
        <f>'Reference Score Calculation'!U360</f>
        <v>32</v>
      </c>
      <c r="K368" s="28" t="str">
        <f>'Reference Score Calculation'!V360</f>
        <v>/</v>
      </c>
      <c r="L368" s="110" t="str">
        <f>'Reference Score Calculation'!Y360</f>
        <v>新科目</v>
      </c>
      <c r="M368" s="13">
        <f>入學要求!Z369</f>
        <v>0</v>
      </c>
    </row>
    <row r="369" spans="1:13">
      <c r="D369" s="13"/>
      <c r="K369" s="28"/>
    </row>
    <row r="370" spans="1:13">
      <c r="D370" s="13"/>
      <c r="K370" s="28"/>
    </row>
    <row r="371" spans="1:13">
      <c r="A371" s="13" t="str">
        <f>'Reference Score Calculation'!B363</f>
        <v>JS9009</v>
      </c>
      <c r="B371" s="13" t="str">
        <f>'Reference Score Calculation'!C363</f>
        <v>HKMU</v>
      </c>
      <c r="C371" s="13" t="str">
        <f>'Reference Score Calculation'!E363</f>
        <v>社會科學榮譽學士</v>
      </c>
      <c r="D371" s="13" t="str">
        <f>'Reference Score Calculation'!S363</f>
        <v>BSSc(Hons)</v>
      </c>
      <c r="E371" s="13" t="str">
        <f>'Reference Score Calculation'!F363</f>
        <v>Best 5</v>
      </c>
      <c r="F371" s="20" t="str">
        <f>'Reference Score Calculation'!H363</f>
        <v>/</v>
      </c>
      <c r="G371" s="20">
        <f>'Reference Score Calculation'!I363</f>
        <v>16</v>
      </c>
      <c r="H371" s="20">
        <f>'Reference Score Calculation'!J363</f>
        <v>15</v>
      </c>
      <c r="I371" s="20">
        <f>計分版!J386</f>
        <v>3.2999999999999998E-9</v>
      </c>
      <c r="J371" s="13">
        <f>'Reference Score Calculation'!U363</f>
        <v>100</v>
      </c>
      <c r="K371" s="28">
        <f>'Reference Score Calculation'!V363</f>
        <v>277</v>
      </c>
      <c r="L371" s="110">
        <f>'Reference Score Calculation'!Y363</f>
        <v>3.3764044943820224</v>
      </c>
      <c r="M371" s="13">
        <f>入學要求!Z372</f>
        <v>0</v>
      </c>
    </row>
    <row r="372" spans="1:13">
      <c r="A372" s="13" t="str">
        <f>'Reference Score Calculation'!B364</f>
        <v>JS9010</v>
      </c>
      <c r="B372" s="13" t="str">
        <f>'Reference Score Calculation'!C364</f>
        <v>HKMU</v>
      </c>
      <c r="C372" s="13" t="str">
        <f>'Reference Score Calculation'!E364</f>
        <v>心理學榮譽社會科學學士</v>
      </c>
      <c r="D372" s="13" t="str">
        <f>'Reference Score Calculation'!S364</f>
        <v>BSSc(Hons)Psychology</v>
      </c>
      <c r="E372" s="13" t="str">
        <f>'Reference Score Calculation'!F364</f>
        <v>Best 5</v>
      </c>
      <c r="F372" s="20" t="str">
        <f>'Reference Score Calculation'!H364</f>
        <v>/</v>
      </c>
      <c r="G372" s="20">
        <f>'Reference Score Calculation'!I364</f>
        <v>16</v>
      </c>
      <c r="H372" s="20">
        <f>'Reference Score Calculation'!J364</f>
        <v>14</v>
      </c>
      <c r="I372" s="20">
        <f>計分版!J387</f>
        <v>3.2999999999999998E-9</v>
      </c>
      <c r="J372" s="13">
        <f>'Reference Score Calculation'!U364</f>
        <v>120</v>
      </c>
      <c r="K372" s="28">
        <f>'Reference Score Calculation'!V364</f>
        <v>378</v>
      </c>
      <c r="L372" s="110">
        <f>'Reference Score Calculation'!Y364</f>
        <v>3.7409326424870466</v>
      </c>
      <c r="M372" s="13">
        <f>入學要求!Z373</f>
        <v>0</v>
      </c>
    </row>
    <row r="373" spans="1:13">
      <c r="A373" s="13" t="str">
        <f>'Reference Score Calculation'!B365</f>
        <v>JS9011</v>
      </c>
      <c r="B373" s="13" t="str">
        <f>'Reference Score Calculation'!C365</f>
        <v>HKMU</v>
      </c>
      <c r="C373" s="13" t="str">
        <f>'Reference Score Calculation'!E365</f>
        <v>中文榮譽文學士</v>
      </c>
      <c r="D373" s="13" t="str">
        <f>'Reference Score Calculation'!S365</f>
        <v>BA(Hons)Chinese</v>
      </c>
      <c r="E373" s="13" t="str">
        <f>'Reference Score Calculation'!F365</f>
        <v>Best 5</v>
      </c>
      <c r="F373" s="20" t="str">
        <f>'Reference Score Calculation'!H365</f>
        <v>/</v>
      </c>
      <c r="G373" s="20">
        <f>'Reference Score Calculation'!I365</f>
        <v>21</v>
      </c>
      <c r="H373" s="20">
        <f>'Reference Score Calculation'!J365</f>
        <v>20</v>
      </c>
      <c r="I373" s="20">
        <f>計分版!J388</f>
        <v>3.2999999999999998E-9</v>
      </c>
      <c r="J373" s="13">
        <f>'Reference Score Calculation'!U365</f>
        <v>40</v>
      </c>
      <c r="K373" s="28">
        <f>'Reference Score Calculation'!V365</f>
        <v>130</v>
      </c>
      <c r="L373" s="110">
        <f>'Reference Score Calculation'!Y365</f>
        <v>3.3157894736842106</v>
      </c>
      <c r="M373" s="13">
        <f>入學要求!Z374</f>
        <v>0</v>
      </c>
    </row>
    <row r="374" spans="1:13">
      <c r="A374" s="13" t="str">
        <f>'Reference Score Calculation'!B366</f>
        <v>JS9013</v>
      </c>
      <c r="B374" s="13" t="str">
        <f>'Reference Score Calculation'!C366</f>
        <v>HKMU</v>
      </c>
      <c r="C374" s="13" t="str">
        <f>'Reference Score Calculation'!E366</f>
        <v>語言研究與翻譯榮譽文學士</v>
      </c>
      <c r="D374" s="13" t="str">
        <f>'Reference Score Calculation'!S366</f>
        <v>BA(Hons)LangStud &amp; Tran</v>
      </c>
      <c r="E374" s="13" t="str">
        <f>'Reference Score Calculation'!F366</f>
        <v>Best 5</v>
      </c>
      <c r="F374" s="20" t="str">
        <f>'Reference Score Calculation'!H366</f>
        <v>/</v>
      </c>
      <c r="G374" s="20">
        <f>'Reference Score Calculation'!I366</f>
        <v>20</v>
      </c>
      <c r="H374" s="20">
        <f>'Reference Score Calculation'!J366</f>
        <v>18</v>
      </c>
      <c r="I374" s="20">
        <f>計分版!J389</f>
        <v>3.0000000000000004E-9</v>
      </c>
      <c r="J374" s="13">
        <f>'Reference Score Calculation'!U366</f>
        <v>45</v>
      </c>
      <c r="K374" s="28">
        <f>'Reference Score Calculation'!V366</f>
        <v>82</v>
      </c>
      <c r="L374" s="110">
        <f>'Reference Score Calculation'!Y366</f>
        <v>3.0857142857142859</v>
      </c>
      <c r="M374" s="13">
        <f>入學要求!Z375</f>
        <v>0</v>
      </c>
    </row>
    <row r="375" spans="1:13">
      <c r="A375" s="13" t="str">
        <f>'Reference Score Calculation'!B367</f>
        <v>JS9016</v>
      </c>
      <c r="B375" s="13" t="str">
        <f>'Reference Score Calculation'!C367</f>
        <v>HKMU</v>
      </c>
      <c r="C375" s="13" t="str">
        <f>'Reference Score Calculation'!E367</f>
        <v>創意廣告及媒體設計榮譽文學士</v>
      </c>
      <c r="D375" s="13" t="str">
        <f>'Reference Score Calculation'!S367</f>
        <v>BA(Hons)CreAd&amp;MediaDesig</v>
      </c>
      <c r="E375" s="13" t="str">
        <f>'Reference Score Calculation'!F367</f>
        <v>Best 5</v>
      </c>
      <c r="F375" s="20" t="str">
        <f>'Reference Score Calculation'!H367</f>
        <v>/</v>
      </c>
      <c r="G375" s="20">
        <f>'Reference Score Calculation'!I367</f>
        <v>19</v>
      </c>
      <c r="H375" s="20">
        <f>'Reference Score Calculation'!J367</f>
        <v>18</v>
      </c>
      <c r="I375" s="20">
        <f>計分版!J390</f>
        <v>3.0000000000000004E-9</v>
      </c>
      <c r="J375" s="13">
        <f>'Reference Score Calculation'!U367</f>
        <v>70</v>
      </c>
      <c r="K375" s="28">
        <f>'Reference Score Calculation'!V367</f>
        <v>177</v>
      </c>
      <c r="L375" s="110">
        <f>'Reference Score Calculation'!Y367</f>
        <v>3.978494623655914</v>
      </c>
      <c r="M375" s="13">
        <f>入學要求!Z376</f>
        <v>0</v>
      </c>
    </row>
    <row r="376" spans="1:13">
      <c r="A376" s="13" t="str">
        <f>'Reference Score Calculation'!B368</f>
        <v>JS9019</v>
      </c>
      <c r="B376" s="13" t="str">
        <f>'Reference Score Calculation'!C368</f>
        <v>HKMU</v>
      </c>
      <c r="C376" s="13" t="str">
        <f>'Reference Score Calculation'!E368</f>
        <v>英語及文化榮譽文學士</v>
      </c>
      <c r="D376" s="13" t="str">
        <f>'Reference Score Calculation'!S368</f>
        <v>BA(Hons)EngLang&amp;Cult</v>
      </c>
      <c r="E376" s="13" t="str">
        <f>'Reference Score Calculation'!F368</f>
        <v>Best 5</v>
      </c>
      <c r="F376" s="20" t="str">
        <f>'Reference Score Calculation'!H368</f>
        <v>/</v>
      </c>
      <c r="G376" s="20">
        <f>'Reference Score Calculation'!I368</f>
        <v>16</v>
      </c>
      <c r="H376" s="20">
        <f>'Reference Score Calculation'!J368</f>
        <v>15</v>
      </c>
      <c r="I376" s="20">
        <f>計分版!J391</f>
        <v>3.2999999999999998E-9</v>
      </c>
      <c r="J376" s="13">
        <f>'Reference Score Calculation'!U368</f>
        <v>30</v>
      </c>
      <c r="K376" s="28">
        <f>'Reference Score Calculation'!V368</f>
        <v>64</v>
      </c>
      <c r="L376" s="110">
        <f>'Reference Score Calculation'!Y368</f>
        <v>5.3488372093023253</v>
      </c>
      <c r="M376" s="13">
        <f>入學要求!Z377</f>
        <v>0</v>
      </c>
    </row>
    <row r="377" spans="1:13">
      <c r="A377" s="13" t="str">
        <f>'Reference Score Calculation'!B369</f>
        <v>JS9220</v>
      </c>
      <c r="B377" s="13" t="str">
        <f>'Reference Score Calculation'!C369</f>
        <v>HKMU</v>
      </c>
      <c r="C377" s="13" t="str">
        <f>'Reference Score Calculation'!E369</f>
        <v>專業會計榮譽工商管理學士</v>
      </c>
      <c r="D377" s="13" t="str">
        <f>'Reference Score Calculation'!S369</f>
        <v>BBA(Hons)Pro Acct</v>
      </c>
      <c r="E377" s="13" t="str">
        <f>'Reference Score Calculation'!F369</f>
        <v>Best 5</v>
      </c>
      <c r="F377" s="20" t="str">
        <f>'Reference Score Calculation'!H369</f>
        <v>/</v>
      </c>
      <c r="G377" s="20">
        <f>'Reference Score Calculation'!I369</f>
        <v>17</v>
      </c>
      <c r="H377" s="20">
        <f>'Reference Score Calculation'!J369</f>
        <v>16</v>
      </c>
      <c r="I377" s="20">
        <f>計分版!J392</f>
        <v>3.2999999999999998E-9</v>
      </c>
      <c r="J377" s="13">
        <f>'Reference Score Calculation'!U369</f>
        <v>40</v>
      </c>
      <c r="K377" s="28">
        <f>'Reference Score Calculation'!V369</f>
        <v>149</v>
      </c>
      <c r="L377" s="110">
        <f>'Reference Score Calculation'!Y369</f>
        <v>3.9807692307692308</v>
      </c>
      <c r="M377" s="13">
        <f>入學要求!Z378</f>
        <v>0</v>
      </c>
    </row>
    <row r="378" spans="1:13">
      <c r="A378" s="13" t="str">
        <f>'Reference Score Calculation'!B370</f>
        <v>JS9230</v>
      </c>
      <c r="B378" s="13" t="str">
        <f>'Reference Score Calculation'!C370</f>
        <v>HKMU</v>
      </c>
      <c r="C378" s="13" t="str">
        <f>'Reference Score Calculation'!E370</f>
        <v>商業管理學榮譽工商管理學士</v>
      </c>
      <c r="D378" s="13" t="str">
        <f>'Reference Score Calculation'!S370</f>
        <v>BBA(Hons)Business Mgt</v>
      </c>
      <c r="E378" s="13" t="str">
        <f>'Reference Score Calculation'!F370</f>
        <v>Best 5</v>
      </c>
      <c r="F378" s="20" t="str">
        <f>'Reference Score Calculation'!H370</f>
        <v>/</v>
      </c>
      <c r="G378" s="20">
        <f>'Reference Score Calculation'!I370</f>
        <v>16</v>
      </c>
      <c r="H378" s="20">
        <f>'Reference Score Calculation'!J370</f>
        <v>15</v>
      </c>
      <c r="I378" s="20">
        <f>計分版!J393</f>
        <v>3.2999999999999998E-9</v>
      </c>
      <c r="J378" s="13">
        <f>'Reference Score Calculation'!U370</f>
        <v>40</v>
      </c>
      <c r="K378" s="28">
        <f>'Reference Score Calculation'!V370</f>
        <v>80</v>
      </c>
      <c r="L378" s="110">
        <f>'Reference Score Calculation'!Y370</f>
        <v>5.85</v>
      </c>
      <c r="M378" s="13">
        <f>入學要求!Z379</f>
        <v>0</v>
      </c>
    </row>
    <row r="379" spans="1:13">
      <c r="A379" s="13" t="str">
        <f>'Reference Score Calculation'!B371</f>
        <v>JS9240</v>
      </c>
      <c r="B379" s="13" t="str">
        <f>'Reference Score Calculation'!C371</f>
        <v>HKMU</v>
      </c>
      <c r="C379" s="13" t="str">
        <f>'Reference Score Calculation'!E371</f>
        <v>環球商業及市場學榮譽工商管理學士</v>
      </c>
      <c r="D379" s="13" t="str">
        <f>'Reference Score Calculation'!S371</f>
        <v>BBA(Hons)Glbl Bus</v>
      </c>
      <c r="E379" s="13" t="str">
        <f>'Reference Score Calculation'!F371</f>
        <v>Best 5</v>
      </c>
      <c r="F379" s="20" t="str">
        <f>'Reference Score Calculation'!H371</f>
        <v>/</v>
      </c>
      <c r="G379" s="20">
        <f>'Reference Score Calculation'!I371</f>
        <v>17</v>
      </c>
      <c r="H379" s="20">
        <f>'Reference Score Calculation'!J371</f>
        <v>16</v>
      </c>
      <c r="I379" s="20">
        <f>計分版!J394</f>
        <v>3.2999999999999998E-9</v>
      </c>
      <c r="J379" s="13">
        <f>'Reference Score Calculation'!U371</f>
        <v>10</v>
      </c>
      <c r="K379" s="28">
        <f>'Reference Score Calculation'!V371</f>
        <v>110</v>
      </c>
      <c r="L379" s="110">
        <f>'Reference Score Calculation'!Y371</f>
        <v>3.152173913043478</v>
      </c>
      <c r="M379" s="13">
        <f>入學要求!Z380</f>
        <v>0</v>
      </c>
    </row>
    <row r="380" spans="1:13">
      <c r="A380" s="13" t="str">
        <f>'Reference Score Calculation'!B372</f>
        <v>JS9262</v>
      </c>
      <c r="B380" s="13" t="str">
        <f>'Reference Score Calculation'!C372</f>
        <v>HKMU</v>
      </c>
      <c r="C380" s="13" t="str">
        <f>'Reference Score Calculation'!E372</f>
        <v>人力資源管理學榮譽工商管理學士</v>
      </c>
      <c r="D380" s="13" t="str">
        <f>'Reference Score Calculation'!S372</f>
        <v>BBA(Hons)HRM</v>
      </c>
      <c r="E380" s="13" t="str">
        <f>'Reference Score Calculation'!F372</f>
        <v>Best 5</v>
      </c>
      <c r="F380" s="20" t="str">
        <f>'Reference Score Calculation'!H372</f>
        <v>/</v>
      </c>
      <c r="G380" s="20">
        <f>'Reference Score Calculation'!I372</f>
        <v>16</v>
      </c>
      <c r="H380" s="20">
        <f>'Reference Score Calculation'!J372</f>
        <v>16</v>
      </c>
      <c r="I380" s="20">
        <f>計分版!J395</f>
        <v>3.2999999999999998E-9</v>
      </c>
      <c r="J380" s="13">
        <f>'Reference Score Calculation'!U372</f>
        <v>20</v>
      </c>
      <c r="K380" s="28">
        <f>'Reference Score Calculation'!V372</f>
        <v>73</v>
      </c>
      <c r="L380" s="110">
        <f>'Reference Score Calculation'!Y372</f>
        <v>7.96</v>
      </c>
      <c r="M380" s="13">
        <f>入學要求!Z381</f>
        <v>0</v>
      </c>
    </row>
    <row r="381" spans="1:13">
      <c r="A381" s="13" t="str">
        <f>'Reference Score Calculation'!B373</f>
        <v>JS9266</v>
      </c>
      <c r="B381" s="13" t="str">
        <f>'Reference Score Calculation'!C373</f>
        <v>HKMU</v>
      </c>
      <c r="C381" s="13" t="str">
        <f>'Reference Score Calculation'!E373</f>
        <v>市場學榮譽工商管理學士</v>
      </c>
      <c r="D381" s="13" t="str">
        <f>'Reference Score Calculation'!S373</f>
        <v>BBA(Hons)Mkt</v>
      </c>
      <c r="E381" s="13" t="str">
        <f>'Reference Score Calculation'!F373</f>
        <v>Best 5</v>
      </c>
      <c r="F381" s="20" t="str">
        <f>'Reference Score Calculation'!H373</f>
        <v>/</v>
      </c>
      <c r="G381" s="20">
        <f>'Reference Score Calculation'!I373</f>
        <v>16</v>
      </c>
      <c r="H381" s="20">
        <f>'Reference Score Calculation'!J373</f>
        <v>15</v>
      </c>
      <c r="I381" s="20">
        <f>計分版!J396</f>
        <v>3.2999999999999998E-9</v>
      </c>
      <c r="J381" s="13">
        <f>'Reference Score Calculation'!U373</f>
        <v>20</v>
      </c>
      <c r="K381" s="28">
        <f>'Reference Score Calculation'!V373</f>
        <v>80</v>
      </c>
      <c r="L381" s="110">
        <f>'Reference Score Calculation'!Y373</f>
        <v>4.2244897959183669</v>
      </c>
      <c r="M381" s="13">
        <f>入學要求!Z382</f>
        <v>0</v>
      </c>
    </row>
    <row r="382" spans="1:13">
      <c r="A382" s="13" t="str">
        <f>'Reference Score Calculation'!B374</f>
        <v>JS9276</v>
      </c>
      <c r="B382" s="13" t="str">
        <f>'Reference Score Calculation'!C374</f>
        <v>HKMU</v>
      </c>
      <c r="C382" s="13" t="str">
        <f>'Reference Score Calculation'!E374</f>
        <v>房地產及測量學榮譽工商管理學士</v>
      </c>
      <c r="D382" s="13" t="str">
        <f>'Reference Score Calculation'!S374</f>
        <v>BBA(Hons)RealEst&amp;Surv</v>
      </c>
      <c r="E382" s="13" t="str">
        <f>'Reference Score Calculation'!F374</f>
        <v>25年新科目</v>
      </c>
      <c r="F382" s="20" t="str">
        <f>'Reference Score Calculation'!H374</f>
        <v>/</v>
      </c>
      <c r="G382" s="20" t="str">
        <f>'Reference Score Calculation'!I374</f>
        <v>/</v>
      </c>
      <c r="H382" s="20" t="str">
        <f>'Reference Score Calculation'!J374</f>
        <v>/</v>
      </c>
      <c r="I382" s="20">
        <f>計分版!J397</f>
        <v>3.2999999999999998E-9</v>
      </c>
      <c r="J382" s="13">
        <f>'Reference Score Calculation'!U374</f>
        <v>20</v>
      </c>
      <c r="K382" s="28" t="str">
        <f>'Reference Score Calculation'!V374</f>
        <v>/</v>
      </c>
      <c r="L382" s="110" t="str">
        <f>'Reference Score Calculation'!Y374</f>
        <v>新科目</v>
      </c>
      <c r="M382" s="13">
        <f>入學要求!Z383</f>
        <v>0</v>
      </c>
    </row>
    <row r="383" spans="1:13">
      <c r="A383" s="13" t="str">
        <f>'Reference Score Calculation'!B375</f>
        <v>JS9280</v>
      </c>
      <c r="B383" s="13" t="str">
        <f>'Reference Score Calculation'!C375</f>
        <v>HKMU</v>
      </c>
      <c r="C383" s="13" t="str">
        <f>'Reference Score Calculation'!E375</f>
        <v>應用心理學榮譽學士，商業管理榮譽學士</v>
      </c>
      <c r="D383" s="13" t="str">
        <f>'Reference Score Calculation'!S375</f>
        <v>BAPH &amp; BBMH</v>
      </c>
      <c r="E383" s="13" t="str">
        <f>'Reference Score Calculation'!F375</f>
        <v>Best 5</v>
      </c>
      <c r="F383" s="20" t="str">
        <f>'Reference Score Calculation'!H375</f>
        <v>/</v>
      </c>
      <c r="G383" s="20">
        <f>'Reference Score Calculation'!I375</f>
        <v>15</v>
      </c>
      <c r="H383" s="20">
        <f>'Reference Score Calculation'!J375</f>
        <v>14</v>
      </c>
      <c r="I383" s="20">
        <f>計分版!J398</f>
        <v>3.2999999999999998E-9</v>
      </c>
      <c r="J383" s="13">
        <f>'Reference Score Calculation'!U375</f>
        <v>25</v>
      </c>
      <c r="K383" s="28">
        <f>'Reference Score Calculation'!V375</f>
        <v>84</v>
      </c>
      <c r="L383" s="110">
        <f>'Reference Score Calculation'!Y375</f>
        <v>6.7714285714285714</v>
      </c>
      <c r="M383" s="13">
        <f>入學要求!Z384</f>
        <v>0</v>
      </c>
    </row>
    <row r="384" spans="1:13">
      <c r="A384" s="13" t="str">
        <f>'Reference Score Calculation'!B376</f>
        <v>JS9291</v>
      </c>
      <c r="B384" s="13" t="str">
        <f>'Reference Score Calculation'!C376</f>
        <v>HKMU</v>
      </c>
      <c r="C384" s="13" t="str">
        <f>'Reference Score Calculation'!E376</f>
        <v>酒店及可持續旅遊管理榮譽工商管理學士</v>
      </c>
      <c r="D384" s="13" t="str">
        <f>'Reference Score Calculation'!S376</f>
        <v>BBA(Hons)SusTour&amp;HosMgt</v>
      </c>
      <c r="E384" s="13" t="str">
        <f>'Reference Score Calculation'!F376</f>
        <v>Best 5</v>
      </c>
      <c r="F384" s="20" t="str">
        <f>'Reference Score Calculation'!H376</f>
        <v>/</v>
      </c>
      <c r="G384" s="20">
        <f>'Reference Score Calculation'!I376</f>
        <v>16</v>
      </c>
      <c r="H384" s="20">
        <f>'Reference Score Calculation'!J376</f>
        <v>14</v>
      </c>
      <c r="I384" s="20">
        <f>計分版!J399</f>
        <v>3.2999999999999998E-9</v>
      </c>
      <c r="J384" s="13">
        <f>'Reference Score Calculation'!U376</f>
        <v>25</v>
      </c>
      <c r="K384" s="28">
        <f>'Reference Score Calculation'!V376</f>
        <v>106</v>
      </c>
      <c r="L384" s="110">
        <f>'Reference Score Calculation'!Y376</f>
        <v>9.0769230769230766</v>
      </c>
      <c r="M384" s="13">
        <f>入學要求!Z385</f>
        <v>0</v>
      </c>
    </row>
    <row r="385" spans="1:13">
      <c r="A385" s="13" t="str">
        <f>'Reference Score Calculation'!B377</f>
        <v>JS9294</v>
      </c>
      <c r="B385" s="13" t="str">
        <f>'Reference Score Calculation'!C377</f>
        <v>HKMU</v>
      </c>
      <c r="C385" s="13" t="str">
        <f>'Reference Score Calculation'!E377</f>
        <v>運動及電競運動管理榮譽工商管理學士</v>
      </c>
      <c r="D385" s="13" t="str">
        <f>'Reference Score Calculation'!S377</f>
        <v>BBA(Hons)eSports Mgt</v>
      </c>
      <c r="E385" s="13" t="str">
        <f>'Reference Score Calculation'!F377</f>
        <v>Best 5</v>
      </c>
      <c r="F385" s="20" t="str">
        <f>'Reference Score Calculation'!H377</f>
        <v>/</v>
      </c>
      <c r="G385" s="20">
        <f>'Reference Score Calculation'!I377</f>
        <v>17</v>
      </c>
      <c r="H385" s="20">
        <f>'Reference Score Calculation'!J377</f>
        <v>15</v>
      </c>
      <c r="I385" s="20">
        <f>計分版!J400</f>
        <v>3.2999999999999998E-9</v>
      </c>
      <c r="J385" s="13">
        <f>'Reference Score Calculation'!U377</f>
        <v>25</v>
      </c>
      <c r="K385" s="28">
        <f>'Reference Score Calculation'!V377</f>
        <v>66</v>
      </c>
      <c r="L385" s="110">
        <f>'Reference Score Calculation'!Y377</f>
        <v>12.25</v>
      </c>
      <c r="M385" s="13">
        <f>入學要求!Z386</f>
        <v>0</v>
      </c>
    </row>
    <row r="386" spans="1:13">
      <c r="A386" s="13" t="str">
        <f>'Reference Score Calculation'!B378</f>
        <v>JS9520</v>
      </c>
      <c r="B386" s="13" t="str">
        <f>'Reference Score Calculation'!C378</f>
        <v>HKMU</v>
      </c>
      <c r="C386" s="13" t="str">
        <f>'Reference Score Calculation'!E378</f>
        <v>教育榮譽學士（普通話及中文教育）及語言研究榮譽學士（漢語語言學研究）</v>
      </c>
      <c r="D386" s="13" t="str">
        <f>'Reference Score Calculation'!S378</f>
        <v>BEd&amp;BLang(Hons)Putonghua</v>
      </c>
      <c r="E386" s="13" t="str">
        <f>'Reference Score Calculation'!F378</f>
        <v>Best 5</v>
      </c>
      <c r="F386" s="20" t="str">
        <f>'Reference Score Calculation'!H378</f>
        <v>/</v>
      </c>
      <c r="G386" s="20">
        <f>'Reference Score Calculation'!I378</f>
        <v>20</v>
      </c>
      <c r="H386" s="20">
        <f>'Reference Score Calculation'!J378</f>
        <v>18</v>
      </c>
      <c r="I386" s="20">
        <f>計分版!J401</f>
        <v>3.2999999999999998E-9</v>
      </c>
      <c r="J386" s="13">
        <f>'Reference Score Calculation'!U378</f>
        <v>30</v>
      </c>
      <c r="K386" s="28">
        <f>'Reference Score Calculation'!V378</f>
        <v>25</v>
      </c>
      <c r="L386" s="110">
        <f>'Reference Score Calculation'!Y378</f>
        <v>8.25</v>
      </c>
      <c r="M386" s="13">
        <f>入學要求!Z387</f>
        <v>0</v>
      </c>
    </row>
    <row r="387" spans="1:13">
      <c r="A387" s="13" t="str">
        <f>'Reference Score Calculation'!B379</f>
        <v>JS9530</v>
      </c>
      <c r="B387" s="13" t="str">
        <f>'Reference Score Calculation'!C379</f>
        <v>HKMU</v>
      </c>
      <c r="C387" s="13" t="str">
        <f>'Reference Score Calculation'!E379</f>
        <v>英語教學榮譽教育學士及英語研究榮譽學士</v>
      </c>
      <c r="D387" s="13" t="str">
        <f>'Reference Score Calculation'!S379</f>
        <v>BEd(Hons)&amp;BEngLang(Hons)</v>
      </c>
      <c r="E387" s="13" t="str">
        <f>'Reference Score Calculation'!F379</f>
        <v>Best 5</v>
      </c>
      <c r="F387" s="20" t="str">
        <f>'Reference Score Calculation'!H379</f>
        <v>/</v>
      </c>
      <c r="G387" s="20">
        <f>'Reference Score Calculation'!I379</f>
        <v>20</v>
      </c>
      <c r="H387" s="20">
        <f>'Reference Score Calculation'!J379</f>
        <v>19</v>
      </c>
      <c r="I387" s="20">
        <f>計分版!J402</f>
        <v>3.3999999999999998E-9</v>
      </c>
      <c r="J387" s="13">
        <f>'Reference Score Calculation'!U379</f>
        <v>30</v>
      </c>
      <c r="K387" s="28">
        <f>'Reference Score Calculation'!V379</f>
        <v>36</v>
      </c>
      <c r="L387" s="110">
        <f>'Reference Score Calculation'!Y379</f>
        <v>4.580645161290323</v>
      </c>
      <c r="M387" s="13">
        <f>入學要求!Z388</f>
        <v>0</v>
      </c>
    </row>
    <row r="388" spans="1:13">
      <c r="A388" s="13" t="str">
        <f>'Reference Score Calculation'!B380</f>
        <v>JS9540</v>
      </c>
      <c r="B388" s="13" t="str">
        <f>'Reference Score Calculation'!C380</f>
        <v>HKMU</v>
      </c>
      <c r="C388" s="13" t="str">
        <f>'Reference Score Calculation'!E380</f>
        <v>英語研究榮譽學士</v>
      </c>
      <c r="D388" s="13" t="str">
        <f>'Reference Score Calculation'!S380</f>
        <v>BEng Lang (Hons)</v>
      </c>
      <c r="E388" s="13" t="str">
        <f>'Reference Score Calculation'!F380</f>
        <v>Best 5</v>
      </c>
      <c r="F388" s="20" t="str">
        <f>'Reference Score Calculation'!H380</f>
        <v>/</v>
      </c>
      <c r="G388" s="20">
        <f>'Reference Score Calculation'!I380</f>
        <v>19</v>
      </c>
      <c r="H388" s="20">
        <f>'Reference Score Calculation'!J380</f>
        <v>17</v>
      </c>
      <c r="I388" s="20">
        <f>計分版!J403</f>
        <v>3.3999999999999998E-9</v>
      </c>
      <c r="J388" s="13">
        <f>'Reference Score Calculation'!U380</f>
        <v>20</v>
      </c>
      <c r="K388" s="28">
        <f>'Reference Score Calculation'!V380</f>
        <v>33</v>
      </c>
      <c r="L388" s="110">
        <f>'Reference Score Calculation'!Y380</f>
        <v>4.7272727272727275</v>
      </c>
      <c r="M388" s="13">
        <f>入學要求!Z389</f>
        <v>0</v>
      </c>
    </row>
    <row r="389" spans="1:13">
      <c r="A389" s="13" t="str">
        <f>'Reference Score Calculation'!B381</f>
        <v>JS9550</v>
      </c>
      <c r="B389" s="13" t="str">
        <f>'Reference Score Calculation'!C381</f>
        <v>HKMU</v>
      </c>
      <c r="C389" s="13" t="str">
        <f>'Reference Score Calculation'!E381</f>
        <v>語言研究榮譽學士（應用中國語言）</v>
      </c>
      <c r="D389" s="13" t="str">
        <f>'Reference Score Calculation'!S381</f>
        <v>BLang(Hons)Applied Chin</v>
      </c>
      <c r="E389" s="13" t="str">
        <f>'Reference Score Calculation'!F381</f>
        <v>Best 5</v>
      </c>
      <c r="F389" s="20" t="str">
        <f>'Reference Score Calculation'!H381</f>
        <v>/</v>
      </c>
      <c r="G389" s="20">
        <f>'Reference Score Calculation'!I381</f>
        <v>19</v>
      </c>
      <c r="H389" s="20">
        <f>'Reference Score Calculation'!J381</f>
        <v>19</v>
      </c>
      <c r="I389" s="20">
        <f>計分版!J404</f>
        <v>3.2999999999999998E-9</v>
      </c>
      <c r="J389" s="13">
        <f>'Reference Score Calculation'!U381</f>
        <v>20</v>
      </c>
      <c r="K389" s="28">
        <f>'Reference Score Calculation'!V381</f>
        <v>21</v>
      </c>
      <c r="L389" s="110">
        <f>'Reference Score Calculation'!Y381</f>
        <v>12</v>
      </c>
      <c r="M389" s="13">
        <f>入學要求!Z390</f>
        <v>0</v>
      </c>
    </row>
    <row r="390" spans="1:13">
      <c r="A390" s="13" t="str">
        <f>'Reference Score Calculation'!B382</f>
        <v>JS9555</v>
      </c>
      <c r="B390" s="13" t="str">
        <f>'Reference Score Calculation'!C382</f>
        <v>HKMU</v>
      </c>
      <c r="C390" s="13" t="str">
        <f>'Reference Score Calculation'!E382</f>
        <v>雙語研究及應用戲劇語言研究榮譽學士</v>
      </c>
      <c r="D390" s="13" t="str">
        <f>'Reference Score Calculation'!S382</f>
        <v>BLang(Hons)Biligua&amp;Drama</v>
      </c>
      <c r="E390" s="13" t="str">
        <f>'Reference Score Calculation'!F382</f>
        <v>25年新科目</v>
      </c>
      <c r="F390" s="20" t="str">
        <f>'Reference Score Calculation'!H382</f>
        <v>/</v>
      </c>
      <c r="G390" s="20" t="str">
        <f>'Reference Score Calculation'!I382</f>
        <v>/</v>
      </c>
      <c r="H390" s="20" t="str">
        <f>'Reference Score Calculation'!J382</f>
        <v>/</v>
      </c>
      <c r="I390" s="20">
        <f>計分版!J405</f>
        <v>3.2999999999999998E-9</v>
      </c>
      <c r="J390" s="13">
        <f>'Reference Score Calculation'!U382</f>
        <v>20</v>
      </c>
      <c r="K390" s="28" t="str">
        <f>'Reference Score Calculation'!V382</f>
        <v>/</v>
      </c>
      <c r="L390" s="110" t="str">
        <f>'Reference Score Calculation'!Y382</f>
        <v>新科目</v>
      </c>
      <c r="M390" s="13">
        <f>入學要求!Z391</f>
        <v>0</v>
      </c>
    </row>
    <row r="391" spans="1:13">
      <c r="A391" s="13" t="str">
        <f>'Reference Score Calculation'!B383</f>
        <v>JS9560</v>
      </c>
      <c r="B391" s="13" t="str">
        <f>'Reference Score Calculation'!C383</f>
        <v>HKMU</v>
      </c>
      <c r="C391" s="13" t="str">
        <f>'Reference Score Calculation'!E383</f>
        <v>教育榮譽學士（中國語文教學）及語言研究榮譽學士（應用中國語言）</v>
      </c>
      <c r="D391" s="13" t="str">
        <f>'Reference Score Calculation'!S383</f>
        <v>BEd(Hons)&amp;BLang(Hons)Chi</v>
      </c>
      <c r="E391" s="13" t="str">
        <f>'Reference Score Calculation'!F383</f>
        <v>Best 5</v>
      </c>
      <c r="F391" s="20" t="str">
        <f>'Reference Score Calculation'!H383</f>
        <v>/</v>
      </c>
      <c r="G391" s="20">
        <f>'Reference Score Calculation'!I383</f>
        <v>22</v>
      </c>
      <c r="H391" s="20">
        <f>'Reference Score Calculation'!J383</f>
        <v>21</v>
      </c>
      <c r="I391" s="20">
        <f>計分版!J406</f>
        <v>3.2999999999999998E-9</v>
      </c>
      <c r="J391" s="13">
        <f>'Reference Score Calculation'!U383</f>
        <v>30</v>
      </c>
      <c r="K391" s="28">
        <f>'Reference Score Calculation'!V383</f>
        <v>29</v>
      </c>
      <c r="L391" s="110">
        <f>'Reference Score Calculation'!Y383</f>
        <v>6.3461538461538458</v>
      </c>
      <c r="M391" s="13">
        <f>入學要求!Z392</f>
        <v>0</v>
      </c>
    </row>
    <row r="392" spans="1:13">
      <c r="A392" s="13" t="str">
        <f>'Reference Score Calculation'!B384</f>
        <v>JS9580</v>
      </c>
      <c r="B392" s="13" t="str">
        <f>'Reference Score Calculation'!C384</f>
        <v>HKMU</v>
      </c>
      <c r="C392" s="13" t="str">
        <f>'Reference Score Calculation'!E384</f>
        <v>教育榮譽學士（幼兒教育：領導及特殊教育需要）</v>
      </c>
      <c r="D392" s="13" t="str">
        <f>'Reference Score Calculation'!S384</f>
        <v>BEd(Hons)ECE-Leader&amp;SEN</v>
      </c>
      <c r="E392" s="13" t="str">
        <f>'Reference Score Calculation'!F384</f>
        <v>Best 5</v>
      </c>
      <c r="F392" s="20" t="str">
        <f>'Reference Score Calculation'!H384</f>
        <v>/</v>
      </c>
      <c r="G392" s="20">
        <f>'Reference Score Calculation'!I384</f>
        <v>16</v>
      </c>
      <c r="H392" s="20">
        <f>'Reference Score Calculation'!J384</f>
        <v>14</v>
      </c>
      <c r="I392" s="20">
        <f>計分版!J407</f>
        <v>3.2999999999999998E-9</v>
      </c>
      <c r="J392" s="13">
        <f>'Reference Score Calculation'!U384</f>
        <v>25</v>
      </c>
      <c r="K392" s="28">
        <f>'Reference Score Calculation'!V384</f>
        <v>26</v>
      </c>
      <c r="L392" s="110">
        <f>'Reference Score Calculation'!Y384</f>
        <v>16.956521739130434</v>
      </c>
      <c r="M392" s="13">
        <f>入學要求!Z393</f>
        <v>0</v>
      </c>
    </row>
    <row r="393" spans="1:13">
      <c r="A393" s="13" t="str">
        <f>'Reference Score Calculation'!B385</f>
        <v>JS9719</v>
      </c>
      <c r="B393" s="13" t="str">
        <f>'Reference Score Calculation'!C385</f>
        <v>HKMU</v>
      </c>
      <c r="C393" s="13" t="str">
        <f>'Reference Score Calculation'!E385</f>
        <v>網路及電腦安全榮譽理學士</v>
      </c>
      <c r="D393" s="13" t="str">
        <f>'Reference Score Calculation'!S385</f>
        <v>BSc(Hons)Cyber&amp;ComSecy</v>
      </c>
      <c r="E393" s="13" t="str">
        <f>'Reference Score Calculation'!F385</f>
        <v>Best 5</v>
      </c>
      <c r="F393" s="20" t="str">
        <f>'Reference Score Calculation'!H385</f>
        <v>/</v>
      </c>
      <c r="G393" s="20">
        <f>'Reference Score Calculation'!I385</f>
        <v>16</v>
      </c>
      <c r="H393" s="20">
        <f>'Reference Score Calculation'!J385</f>
        <v>14</v>
      </c>
      <c r="I393" s="20">
        <f>計分版!J408</f>
        <v>3.2999999999999998E-9</v>
      </c>
      <c r="J393" s="13">
        <f>'Reference Score Calculation'!U385</f>
        <v>30</v>
      </c>
      <c r="K393" s="28">
        <f>'Reference Score Calculation'!V385</f>
        <v>74</v>
      </c>
      <c r="L393" s="110">
        <f>'Reference Score Calculation'!Y385</f>
        <v>10.527777777777779</v>
      </c>
      <c r="M393" s="13">
        <f>入學要求!Z394</f>
        <v>0</v>
      </c>
    </row>
    <row r="394" spans="1:13">
      <c r="A394" s="13" t="str">
        <f>'Reference Score Calculation'!B386</f>
        <v>JS9720</v>
      </c>
      <c r="B394" s="13" t="str">
        <f>'Reference Score Calculation'!C386</f>
        <v>HKMU</v>
      </c>
      <c r="C394" s="13" t="str">
        <f>'Reference Score Calculation'!E386</f>
        <v>電子及電腦工程學榮譽工學士</v>
      </c>
      <c r="D394" s="13" t="str">
        <f>'Reference Score Calculation'!S386</f>
        <v>BEng(Hons)Elec &amp; CompEng</v>
      </c>
      <c r="E394" s="13" t="str">
        <f>'Reference Score Calculation'!F386</f>
        <v>Best 5</v>
      </c>
      <c r="F394" s="20" t="str">
        <f>'Reference Score Calculation'!H386</f>
        <v>/</v>
      </c>
      <c r="G394" s="20">
        <f>'Reference Score Calculation'!I386</f>
        <v>17</v>
      </c>
      <c r="H394" s="20">
        <f>'Reference Score Calculation'!J386</f>
        <v>16</v>
      </c>
      <c r="I394" s="20">
        <f>計分版!J409</f>
        <v>3.2999999999999998E-9</v>
      </c>
      <c r="J394" s="13">
        <f>'Reference Score Calculation'!U386</f>
        <v>30</v>
      </c>
      <c r="K394" s="28">
        <f>'Reference Score Calculation'!V386</f>
        <v>50</v>
      </c>
      <c r="L394" s="110">
        <f>'Reference Score Calculation'!Y386</f>
        <v>5.4871794871794872</v>
      </c>
      <c r="M394" s="13">
        <f>入學要求!Z395</f>
        <v>0</v>
      </c>
    </row>
    <row r="395" spans="1:13">
      <c r="A395" s="13" t="str">
        <f>'Reference Score Calculation'!B387</f>
        <v>JS9731</v>
      </c>
      <c r="B395" s="13" t="str">
        <f>'Reference Score Calculation'!C387</f>
        <v>HKMU</v>
      </c>
      <c r="C395" s="13" t="str">
        <f>'Reference Score Calculation'!E387</f>
        <v>環境科學與綠色管理榮譽理學士</v>
      </c>
      <c r="D395" s="13" t="str">
        <f>'Reference Score Calculation'!S387</f>
        <v>BSc(Hons)EnvSci&amp;GreenMgt</v>
      </c>
      <c r="E395" s="13" t="str">
        <f>'Reference Score Calculation'!F387</f>
        <v>Best 5</v>
      </c>
      <c r="F395" s="20" t="str">
        <f>'Reference Score Calculation'!H387</f>
        <v>/</v>
      </c>
      <c r="G395" s="20">
        <f>'Reference Score Calculation'!I387</f>
        <v>17</v>
      </c>
      <c r="H395" s="20">
        <f>'Reference Score Calculation'!J387</f>
        <v>15</v>
      </c>
      <c r="I395" s="20">
        <f>計分版!J410</f>
        <v>3.2999999999999998E-9</v>
      </c>
      <c r="J395" s="13">
        <f>'Reference Score Calculation'!U387</f>
        <v>35</v>
      </c>
      <c r="K395" s="28">
        <f>'Reference Score Calculation'!V387</f>
        <v>85</v>
      </c>
      <c r="L395" s="110">
        <f>'Reference Score Calculation'!Y387</f>
        <v>4.2222222222222223</v>
      </c>
      <c r="M395" s="13">
        <f>入學要求!Z396</f>
        <v>0</v>
      </c>
    </row>
    <row r="396" spans="1:13">
      <c r="A396" s="13" t="str">
        <f>'Reference Score Calculation'!B388</f>
        <v>JS9732</v>
      </c>
      <c r="B396" s="13" t="str">
        <f>'Reference Score Calculation'!C388</f>
        <v>HKMU</v>
      </c>
      <c r="C396" s="13" t="str">
        <f>'Reference Score Calculation'!E388</f>
        <v>生命科學榮譽理學士</v>
      </c>
      <c r="D396" s="13" t="str">
        <f>'Reference Score Calculation'!S388</f>
        <v>BSc(Hons)BioMed&amp;BioTech</v>
      </c>
      <c r="E396" s="13" t="str">
        <f>'Reference Score Calculation'!F388</f>
        <v>Best 5</v>
      </c>
      <c r="F396" s="20" t="str">
        <f>'Reference Score Calculation'!H388</f>
        <v>/</v>
      </c>
      <c r="G396" s="20">
        <f>'Reference Score Calculation'!I388</f>
        <v>16</v>
      </c>
      <c r="H396" s="20">
        <f>'Reference Score Calculation'!J388</f>
        <v>16</v>
      </c>
      <c r="I396" s="20">
        <f>計分版!J411</f>
        <v>3.2999999999999998E-9</v>
      </c>
      <c r="J396" s="13">
        <f>'Reference Score Calculation'!U388</f>
        <v>30</v>
      </c>
      <c r="K396" s="28">
        <f>'Reference Score Calculation'!V388</f>
        <v>70</v>
      </c>
      <c r="L396" s="110">
        <f>'Reference Score Calculation'!Y388</f>
        <v>3.3857142857142857</v>
      </c>
      <c r="M396" s="13">
        <f>入學要求!Z397</f>
        <v>0</v>
      </c>
    </row>
    <row r="397" spans="1:13">
      <c r="A397" s="13" t="str">
        <f>'Reference Score Calculation'!B389</f>
        <v>JS9733</v>
      </c>
      <c r="B397" s="13" t="str">
        <f>'Reference Score Calculation'!C389</f>
        <v>HKMU</v>
      </c>
      <c r="C397" s="13" t="str">
        <f>'Reference Score Calculation'!E389</f>
        <v>科學（ＳＴＥＭ）榮譽理學士</v>
      </c>
      <c r="D397" s="13" t="str">
        <f>'Reference Score Calculation'!S389</f>
        <v>BSc(Hons)Science(STEAM)</v>
      </c>
      <c r="E397" s="13" t="str">
        <f>'Reference Score Calculation'!F389</f>
        <v>Best 5</v>
      </c>
      <c r="F397" s="20" t="str">
        <f>'Reference Score Calculation'!H389</f>
        <v>/</v>
      </c>
      <c r="G397" s="20">
        <f>'Reference Score Calculation'!I389</f>
        <v>17</v>
      </c>
      <c r="H397" s="20">
        <f>'Reference Score Calculation'!J389</f>
        <v>16</v>
      </c>
      <c r="I397" s="20">
        <f>計分版!J412</f>
        <v>3.2999999999999998E-9</v>
      </c>
      <c r="J397" s="13">
        <f>'Reference Score Calculation'!U389</f>
        <v>30</v>
      </c>
      <c r="K397" s="28">
        <f>'Reference Score Calculation'!V389</f>
        <v>36</v>
      </c>
      <c r="L397" s="110">
        <f>'Reference Score Calculation'!Y389</f>
        <v>6.5454545454545459</v>
      </c>
      <c r="M397" s="13">
        <f>入學要求!Z398</f>
        <v>0</v>
      </c>
    </row>
    <row r="398" spans="1:13">
      <c r="A398" s="13" t="str">
        <f>'Reference Score Calculation'!B390</f>
        <v>JS9776</v>
      </c>
      <c r="B398" s="13" t="str">
        <f>'Reference Score Calculation'!C390</f>
        <v>HKMU</v>
      </c>
      <c r="C398" s="13" t="str">
        <f>'Reference Score Calculation'!E390</f>
        <v>建造工程與管理榮譽理學士</v>
      </c>
      <c r="D398" s="13" t="str">
        <f>'Reference Score Calculation'!S390</f>
        <v>BSc(Hons)BE&amp;Mgt</v>
      </c>
      <c r="E398" s="13" t="str">
        <f>'Reference Score Calculation'!F390</f>
        <v>25年新科目</v>
      </c>
      <c r="F398" s="20" t="str">
        <f>'Reference Score Calculation'!H390</f>
        <v>/</v>
      </c>
      <c r="G398" s="20" t="str">
        <f>'Reference Score Calculation'!I390</f>
        <v>/</v>
      </c>
      <c r="H398" s="20" t="str">
        <f>'Reference Score Calculation'!J390</f>
        <v>/</v>
      </c>
      <c r="I398" s="20">
        <f>計分版!J413</f>
        <v>3.2999999999999998E-9</v>
      </c>
      <c r="J398" s="13">
        <f>'Reference Score Calculation'!U390</f>
        <v>30</v>
      </c>
      <c r="K398" s="28" t="str">
        <f>'Reference Score Calculation'!V390</f>
        <v>/</v>
      </c>
      <c r="L398" s="110" t="str">
        <f>'Reference Score Calculation'!Y390</f>
        <v>新科目</v>
      </c>
      <c r="M398" s="13">
        <f>入學要求!Z399</f>
        <v>0</v>
      </c>
    </row>
    <row r="399" spans="1:13">
      <c r="D399" s="13"/>
      <c r="K399" s="28"/>
    </row>
    <row r="400" spans="1:13">
      <c r="D400" s="13"/>
      <c r="K400" s="28"/>
    </row>
    <row r="401" spans="1:13">
      <c r="A401" s="13" t="str">
        <f>'Reference Score Calculation'!B393</f>
        <v>JSSA01</v>
      </c>
      <c r="B401" s="13" t="str">
        <f>'Reference Score Calculation'!C393</f>
        <v>SSSDP</v>
      </c>
      <c r="C401" s="13" t="str">
        <f>'Reference Score Calculation'!E393</f>
        <v>護理學（榮譽）學士</v>
      </c>
      <c r="D401" s="13" t="str">
        <f>'Reference Score Calculation'!S393</f>
        <v>BN (Hons)</v>
      </c>
      <c r="E401" s="13" t="str">
        <f>'Reference Score Calculation'!F393</f>
        <v>Best 5</v>
      </c>
      <c r="F401" s="20" t="str">
        <f>'Reference Score Calculation'!H393</f>
        <v>/</v>
      </c>
      <c r="G401" s="20">
        <f>'Reference Score Calculation'!I393</f>
        <v>16</v>
      </c>
      <c r="H401" s="20" t="str">
        <f>'Reference Score Calculation'!J393</f>
        <v>/</v>
      </c>
      <c r="I401" s="20">
        <f>計分版!J416</f>
        <v>3.4999999999999999E-9</v>
      </c>
      <c r="J401" s="13">
        <f>'Reference Score Calculation'!U393</f>
        <v>640</v>
      </c>
      <c r="K401" s="28">
        <f>'Reference Score Calculation'!V393</f>
        <v>720</v>
      </c>
      <c r="L401" s="110">
        <f>'Reference Score Calculation'!Y393</f>
        <v>4.4127243066884176</v>
      </c>
      <c r="M401" s="13">
        <f>入學要求!Z402</f>
        <v>0</v>
      </c>
    </row>
    <row r="402" spans="1:13">
      <c r="A402" s="13" t="str">
        <f>'Reference Score Calculation'!B394</f>
        <v>JSSA02</v>
      </c>
      <c r="B402" s="13" t="str">
        <f>'Reference Score Calculation'!C394</f>
        <v>SSSDP</v>
      </c>
      <c r="C402" s="13" t="str">
        <f>'Reference Score Calculation'!E394</f>
        <v>數碼娛樂科技（榮譽）理學士</v>
      </c>
      <c r="D402" s="13" t="str">
        <f>'Reference Score Calculation'!S394</f>
        <v>BSDET (Hons)</v>
      </c>
      <c r="E402" s="13" t="str">
        <f>'Reference Score Calculation'!F394</f>
        <v>Best 5</v>
      </c>
      <c r="F402" s="20" t="str">
        <f>'Reference Score Calculation'!H394</f>
        <v>/</v>
      </c>
      <c r="G402" s="20">
        <f>'Reference Score Calculation'!I394</f>
        <v>16</v>
      </c>
      <c r="H402" s="20" t="str">
        <f>'Reference Score Calculation'!J394</f>
        <v>/</v>
      </c>
      <c r="I402" s="20">
        <f>計分版!J417</f>
        <v>3.4999999999999999E-9</v>
      </c>
      <c r="J402" s="13">
        <f>'Reference Score Calculation'!U394</f>
        <v>15</v>
      </c>
      <c r="K402" s="28">
        <f>'Reference Score Calculation'!V394</f>
        <v>28</v>
      </c>
      <c r="L402" s="110">
        <f>'Reference Score Calculation'!Y394</f>
        <v>13.823529411764707</v>
      </c>
      <c r="M402" s="13">
        <f>入學要求!Z403</f>
        <v>0</v>
      </c>
    </row>
    <row r="403" spans="1:13">
      <c r="A403" s="13" t="str">
        <f>'Reference Score Calculation'!B395</f>
        <v>JSSA03</v>
      </c>
      <c r="B403" s="13" t="str">
        <f>'Reference Score Calculation'!C395</f>
        <v>SSSDP</v>
      </c>
      <c r="C403" s="13" t="str">
        <f>'Reference Score Calculation'!E395</f>
        <v>物理治療學（榮譽）理學士</v>
      </c>
      <c r="D403" s="13" t="str">
        <f>'Reference Score Calculation'!S395</f>
        <v>BSPT (Hons)</v>
      </c>
      <c r="E403" s="13" t="str">
        <f>'Reference Score Calculation'!F395</f>
        <v>Best 5</v>
      </c>
      <c r="F403" s="20" t="str">
        <f>'Reference Score Calculation'!H395</f>
        <v>/</v>
      </c>
      <c r="G403" s="20">
        <f>'Reference Score Calculation'!I395</f>
        <v>21</v>
      </c>
      <c r="H403" s="20" t="str">
        <f>'Reference Score Calculation'!J395</f>
        <v>/</v>
      </c>
      <c r="I403" s="20">
        <f>計分版!J418</f>
        <v>3.4999999999999999E-9</v>
      </c>
      <c r="J403" s="13">
        <f>'Reference Score Calculation'!U395</f>
        <v>60</v>
      </c>
      <c r="K403" s="28">
        <f>'Reference Score Calculation'!V395</f>
        <v>60</v>
      </c>
      <c r="L403" s="110">
        <f>'Reference Score Calculation'!Y395</f>
        <v>10.4</v>
      </c>
      <c r="M403" s="13">
        <f>入學要求!Z404</f>
        <v>0</v>
      </c>
    </row>
    <row r="404" spans="1:13">
      <c r="A404" s="13" t="str">
        <f>'Reference Score Calculation'!B396</f>
        <v>JSSA04</v>
      </c>
      <c r="B404" s="13" t="str">
        <f>'Reference Score Calculation'!C396</f>
        <v>SSSDP</v>
      </c>
      <c r="C404" s="13" t="str">
        <f>'Reference Score Calculation'!E396</f>
        <v>人工智能（榮譽）理學士</v>
      </c>
      <c r="D404" s="13" t="str">
        <f>'Reference Score Calculation'!S396</f>
        <v>BSAI (Hons)</v>
      </c>
      <c r="E404" s="13" t="str">
        <f>'Reference Score Calculation'!F396</f>
        <v>Best 5</v>
      </c>
      <c r="F404" s="20" t="str">
        <f>'Reference Score Calculation'!H396</f>
        <v>/</v>
      </c>
      <c r="G404" s="20">
        <f>'Reference Score Calculation'!I396</f>
        <v>16</v>
      </c>
      <c r="H404" s="20" t="str">
        <f>'Reference Score Calculation'!J396</f>
        <v>/</v>
      </c>
      <c r="I404" s="20">
        <f>計分版!J419</f>
        <v>3.4999999999999999E-9</v>
      </c>
      <c r="J404" s="13">
        <f>'Reference Score Calculation'!U396</f>
        <v>25</v>
      </c>
      <c r="K404" s="28">
        <f>'Reference Score Calculation'!V396</f>
        <v>66</v>
      </c>
      <c r="L404" s="110">
        <f>'Reference Score Calculation'!Y396</f>
        <v>10.947368421052632</v>
      </c>
      <c r="M404" s="13">
        <f>入學要求!Z405</f>
        <v>0</v>
      </c>
    </row>
    <row r="405" spans="1:13">
      <c r="A405" s="13" t="str">
        <f>'Reference Score Calculation'!B397</f>
        <v>JSSA05</v>
      </c>
      <c r="B405" s="13" t="str">
        <f>'Reference Score Calculation'!C397</f>
        <v>SSSDP</v>
      </c>
      <c r="C405" s="13" t="str">
        <f>'Reference Score Calculation'!E397</f>
        <v>翻譯科技（榮譽）文學士</v>
      </c>
      <c r="D405" s="13" t="str">
        <f>'Reference Score Calculation'!S397</f>
        <v>BATT (Hons)</v>
      </c>
      <c r="E405" s="13" t="str">
        <f>'Reference Score Calculation'!F397</f>
        <v>Best 5</v>
      </c>
      <c r="F405" s="20" t="str">
        <f>'Reference Score Calculation'!H397</f>
        <v>/</v>
      </c>
      <c r="G405" s="20">
        <f>'Reference Score Calculation'!I397</f>
        <v>17</v>
      </c>
      <c r="H405" s="20" t="str">
        <f>'Reference Score Calculation'!J397</f>
        <v>/</v>
      </c>
      <c r="I405" s="20">
        <f>計分版!J420</f>
        <v>3.4999999999999999E-9</v>
      </c>
      <c r="J405" s="13">
        <f>'Reference Score Calculation'!U397</f>
        <v>5</v>
      </c>
      <c r="K405" s="28">
        <f>'Reference Score Calculation'!V397</f>
        <v>22</v>
      </c>
      <c r="L405" s="110">
        <f>'Reference Score Calculation'!Y397</f>
        <v>14</v>
      </c>
      <c r="M405" s="13">
        <f>入學要求!Z406</f>
        <v>0</v>
      </c>
    </row>
    <row r="406" spans="1:13">
      <c r="A406" s="13" t="str">
        <f>'Reference Score Calculation'!B398</f>
        <v>JSSA06</v>
      </c>
      <c r="B406" s="13" t="str">
        <f>'Reference Score Calculation'!C398</f>
        <v>SSSDP</v>
      </c>
      <c r="C406" s="13" t="str">
        <f>'Reference Score Calculation'!E398</f>
        <v>工商管理（榮譽）酒店及旅遊管理應用學士</v>
      </c>
      <c r="D406" s="13" t="str">
        <f>'Reference Score Calculation'!S398</f>
        <v>BBA-AHTM</v>
      </c>
      <c r="E406" s="13" t="str">
        <f>'Reference Score Calculation'!F398</f>
        <v>Best 5</v>
      </c>
      <c r="F406" s="20" t="str">
        <f>'Reference Score Calculation'!H398</f>
        <v>/</v>
      </c>
      <c r="G406" s="20">
        <f>'Reference Score Calculation'!I398</f>
        <v>15</v>
      </c>
      <c r="H406" s="20" t="str">
        <f>'Reference Score Calculation'!J398</f>
        <v>/</v>
      </c>
      <c r="I406" s="20">
        <f>計分版!J421</f>
        <v>3.4999999999999999E-9</v>
      </c>
      <c r="J406" s="13">
        <f>'Reference Score Calculation'!U398</f>
        <v>25</v>
      </c>
      <c r="K406" s="28">
        <f>'Reference Score Calculation'!V398</f>
        <v>81</v>
      </c>
      <c r="L406" s="110">
        <f>'Reference Score Calculation'!Y398</f>
        <v>12.358974358974359</v>
      </c>
      <c r="M406" s="13">
        <f>入學要求!Z407</f>
        <v>0</v>
      </c>
    </row>
    <row r="407" spans="1:13">
      <c r="A407" s="13" t="str">
        <f>'Reference Score Calculation'!B399</f>
        <v>JSSC02</v>
      </c>
      <c r="B407" s="13" t="str">
        <f>'Reference Score Calculation'!C399</f>
        <v>SSSDP</v>
      </c>
      <c r="C407" s="13" t="str">
        <f>'Reference Score Calculation'!E399</f>
        <v>建築學（榮譽）理學士</v>
      </c>
      <c r="D407" s="13" t="str">
        <f>'Reference Score Calculation'!S399</f>
        <v>B.Sc (Hons) in Arch</v>
      </c>
      <c r="E407" s="13" t="str">
        <f>'Reference Score Calculation'!F399</f>
        <v>Best 4</v>
      </c>
      <c r="F407" s="20">
        <f>'Reference Score Calculation'!H399</f>
        <v>15</v>
      </c>
      <c r="G407" s="20" t="str">
        <f>'Reference Score Calculation'!I399</f>
        <v>/</v>
      </c>
      <c r="H407" s="20">
        <f>'Reference Score Calculation'!J399</f>
        <v>13</v>
      </c>
      <c r="I407" s="20">
        <f>計分版!J422</f>
        <v>3.3500000000000002E-9</v>
      </c>
      <c r="J407" s="13">
        <f>'Reference Score Calculation'!U399</f>
        <v>20</v>
      </c>
      <c r="K407" s="28">
        <f>'Reference Score Calculation'!V399</f>
        <v>27</v>
      </c>
      <c r="L407" s="110">
        <f>'Reference Score Calculation'!Y399</f>
        <v>5.666666666666667</v>
      </c>
      <c r="M407" s="13">
        <f>入學要求!Z408</f>
        <v>0</v>
      </c>
    </row>
    <row r="408" spans="1:13">
      <c r="A408" s="13" t="str">
        <f>'Reference Score Calculation'!B400</f>
        <v>JSSH01</v>
      </c>
      <c r="B408" s="13" t="str">
        <f>'Reference Score Calculation'!C400</f>
        <v>SSSDP</v>
      </c>
      <c r="C408" s="13" t="str">
        <f>'Reference Score Calculation'!E400</f>
        <v>供應鏈管理工商管理（榮譽）學士</v>
      </c>
      <c r="D408" s="13" t="str">
        <f>'Reference Score Calculation'!S400</f>
        <v>BBA-SCM</v>
      </c>
      <c r="E408" s="13" t="str">
        <f>'Reference Score Calculation'!F400</f>
        <v>Best 5</v>
      </c>
      <c r="F408" s="20" t="str">
        <f>'Reference Score Calculation'!H400</f>
        <v>/</v>
      </c>
      <c r="G408" s="20">
        <f>'Reference Score Calculation'!I400</f>
        <v>16.23</v>
      </c>
      <c r="H408" s="20" t="str">
        <f>'Reference Score Calculation'!J400</f>
        <v>/</v>
      </c>
      <c r="I408" s="20">
        <f>計分版!J423</f>
        <v>3.4999999999999999E-9</v>
      </c>
      <c r="J408" s="13">
        <f>'Reference Score Calculation'!U400</f>
        <v>105</v>
      </c>
      <c r="K408" s="28">
        <f>'Reference Score Calculation'!V400</f>
        <v>227</v>
      </c>
      <c r="L408" s="110">
        <f>'Reference Score Calculation'!Y400</f>
        <v>3.5986394557823131</v>
      </c>
      <c r="M408" s="13">
        <f>入學要求!Z409</f>
        <v>0</v>
      </c>
    </row>
    <row r="409" spans="1:13">
      <c r="A409" s="13" t="str">
        <f>'Reference Score Calculation'!B401</f>
        <v>JSSH02</v>
      </c>
      <c r="B409" s="13" t="str">
        <f>'Reference Score Calculation'!C401</f>
        <v>SSSDP</v>
      </c>
      <c r="C409" s="13" t="str">
        <f>'Reference Score Calculation'!E401</f>
        <v>精算及保險 （榮譽）理學士</v>
      </c>
      <c r="D409" s="13" t="str">
        <f>'Reference Score Calculation'!S401</f>
        <v>BSc-AIN</v>
      </c>
      <c r="E409" s="13" t="str">
        <f>'Reference Score Calculation'!F401</f>
        <v>Best 5</v>
      </c>
      <c r="F409" s="20" t="str">
        <f>'Reference Score Calculation'!H401</f>
        <v>/</v>
      </c>
      <c r="G409" s="20">
        <f>'Reference Score Calculation'!I401</f>
        <v>16.420000000000002</v>
      </c>
      <c r="H409" s="20" t="str">
        <f>'Reference Score Calculation'!J401</f>
        <v>/</v>
      </c>
      <c r="I409" s="20">
        <f>計分版!J424</f>
        <v>3.4999999999999999E-9</v>
      </c>
      <c r="J409" s="13">
        <f>'Reference Score Calculation'!U401</f>
        <v>35</v>
      </c>
      <c r="K409" s="28">
        <f>'Reference Score Calculation'!V401</f>
        <v>64</v>
      </c>
      <c r="L409" s="110">
        <f>'Reference Score Calculation'!Y401</f>
        <v>4.1724137931034484</v>
      </c>
      <c r="M409" s="13">
        <f>入學要求!Z410</f>
        <v>0</v>
      </c>
    </row>
    <row r="410" spans="1:13">
      <c r="A410" s="13" t="str">
        <f>'Reference Score Calculation'!B402</f>
        <v>JSSH03</v>
      </c>
      <c r="B410" s="13" t="str">
        <f>'Reference Score Calculation'!C402</f>
        <v>SSSDP</v>
      </c>
      <c r="C410" s="13" t="str">
        <f>'Reference Score Calculation'!E402</f>
        <v>計算機應用（榮譽）理學士</v>
      </c>
      <c r="D410" s="13" t="str">
        <f>'Reference Score Calculation'!S402</f>
        <v>BSc-AC</v>
      </c>
      <c r="E410" s="13" t="str">
        <f>'Reference Score Calculation'!F402</f>
        <v>Best 5</v>
      </c>
      <c r="F410" s="20" t="str">
        <f>'Reference Score Calculation'!H402</f>
        <v>/</v>
      </c>
      <c r="G410" s="20">
        <f>'Reference Score Calculation'!I402</f>
        <v>15.73</v>
      </c>
      <c r="H410" s="20" t="str">
        <f>'Reference Score Calculation'!J402</f>
        <v>/</v>
      </c>
      <c r="I410" s="20">
        <f>計分版!J425</f>
        <v>3.4999999999999999E-9</v>
      </c>
      <c r="J410" s="13">
        <f>'Reference Score Calculation'!U402</f>
        <v>55</v>
      </c>
      <c r="K410" s="28">
        <f>'Reference Score Calculation'!V402</f>
        <v>70</v>
      </c>
      <c r="L410" s="110">
        <f>'Reference Score Calculation'!Y402</f>
        <v>5.8867924528301883</v>
      </c>
      <c r="M410" s="13">
        <f>入學要求!Z411</f>
        <v>0</v>
      </c>
    </row>
    <row r="411" spans="1:13">
      <c r="A411" s="13" t="str">
        <f>'Reference Score Calculation'!B403</f>
        <v>JSSH04</v>
      </c>
      <c r="B411" s="13" t="str">
        <f>'Reference Score Calculation'!C403</f>
        <v>SSSDP</v>
      </c>
      <c r="C411" s="13" t="str">
        <f>'Reference Score Calculation'!E403</f>
        <v>數據科學及商業智能學（榮譽）理學士</v>
      </c>
      <c r="D411" s="13" t="str">
        <f>'Reference Score Calculation'!S403</f>
        <v>BSc-DSBI</v>
      </c>
      <c r="E411" s="13" t="str">
        <f>'Reference Score Calculation'!F403</f>
        <v>Best 5</v>
      </c>
      <c r="F411" s="20" t="str">
        <f>'Reference Score Calculation'!H403</f>
        <v>/</v>
      </c>
      <c r="G411" s="20">
        <f>'Reference Score Calculation'!I403</f>
        <v>16</v>
      </c>
      <c r="H411" s="20" t="str">
        <f>'Reference Score Calculation'!J403</f>
        <v>/</v>
      </c>
      <c r="I411" s="20">
        <f>計分版!J426</f>
        <v>3.4999999999999999E-9</v>
      </c>
      <c r="J411" s="13">
        <f>'Reference Score Calculation'!U403</f>
        <v>60</v>
      </c>
      <c r="K411" s="28">
        <f>'Reference Score Calculation'!V403</f>
        <v>89</v>
      </c>
      <c r="L411" s="110">
        <f>'Reference Score Calculation'!Y403</f>
        <v>5.2653061224489797</v>
      </c>
      <c r="M411" s="13">
        <f>入學要求!Z412</f>
        <v>0</v>
      </c>
    </row>
    <row r="412" spans="1:13">
      <c r="A412" s="13" t="str">
        <f>'Reference Score Calculation'!B404</f>
        <v>JSSH05</v>
      </c>
      <c r="B412" s="13" t="str">
        <f>'Reference Score Calculation'!C404</f>
        <v>SSSDP</v>
      </c>
      <c r="C412" s="13" t="str">
        <f>'Reference Score Calculation'!E404</f>
        <v>管理科學與資訊管理（榮譽）學士</v>
      </c>
      <c r="D412" s="13" t="str">
        <f>'Reference Score Calculation'!S404</f>
        <v>BSc-BAIM</v>
      </c>
      <c r="E412" s="13" t="str">
        <f>'Reference Score Calculation'!F404</f>
        <v>Best 5</v>
      </c>
      <c r="F412" s="20" t="str">
        <f>'Reference Score Calculation'!H404</f>
        <v>/</v>
      </c>
      <c r="G412" s="20">
        <f>'Reference Score Calculation'!I404</f>
        <v>16.05</v>
      </c>
      <c r="H412" s="20" t="str">
        <f>'Reference Score Calculation'!J404</f>
        <v>/</v>
      </c>
      <c r="I412" s="20">
        <f>計分版!J427</f>
        <v>3.4999999999999999E-9</v>
      </c>
      <c r="J412" s="13">
        <f>'Reference Score Calculation'!U404</f>
        <v>50</v>
      </c>
      <c r="K412" s="28">
        <f>'Reference Score Calculation'!V404</f>
        <v>70</v>
      </c>
      <c r="L412" s="110">
        <f>'Reference Score Calculation'!Y404</f>
        <v>4.666666666666667</v>
      </c>
      <c r="M412" s="13">
        <f>入學要求!Z413</f>
        <v>0</v>
      </c>
    </row>
    <row r="413" spans="1:13">
      <c r="A413" s="13" t="str">
        <f>'Reference Score Calculation'!B405</f>
        <v>JSSH06</v>
      </c>
      <c r="B413" s="13" t="str">
        <f>'Reference Score Calculation'!C405</f>
        <v>SSSDP</v>
      </c>
      <c r="C413" s="13" t="str">
        <f>'Reference Score Calculation'!E405</f>
        <v>藝術設計（榮譽）文學士</v>
      </c>
      <c r="D413" s="13" t="str">
        <f>'Reference Score Calculation'!S405</f>
        <v>BA-AD</v>
      </c>
      <c r="E413" s="13" t="str">
        <f>'Reference Score Calculation'!F405</f>
        <v>Best 5</v>
      </c>
      <c r="F413" s="20" t="str">
        <f>'Reference Score Calculation'!H405</f>
        <v>/</v>
      </c>
      <c r="G413" s="20">
        <f>'Reference Score Calculation'!I405</f>
        <v>15.49</v>
      </c>
      <c r="H413" s="20" t="str">
        <f>'Reference Score Calculation'!J405</f>
        <v>/</v>
      </c>
      <c r="I413" s="20">
        <f>計分版!J428</f>
        <v>3.4999999999999999E-9</v>
      </c>
      <c r="J413" s="13">
        <f>'Reference Score Calculation'!U405</f>
        <v>40</v>
      </c>
      <c r="K413" s="28">
        <f>'Reference Score Calculation'!V405</f>
        <v>76</v>
      </c>
      <c r="L413" s="110">
        <f>'Reference Score Calculation'!Y405</f>
        <v>6.1311475409836067</v>
      </c>
      <c r="M413" s="13">
        <f>入學要求!Z414</f>
        <v>0</v>
      </c>
    </row>
    <row r="414" spans="1:13">
      <c r="A414" s="13" t="str">
        <f>'Reference Score Calculation'!B406</f>
        <v>JSST01</v>
      </c>
      <c r="B414" s="13" t="str">
        <f>'Reference Score Calculation'!C406</f>
        <v>SSSDP</v>
      </c>
      <c r="C414" s="13" t="str">
        <f>'Reference Score Calculation'!E406</f>
        <v>護理學（榮譽）健康科學學士</v>
      </c>
      <c r="D414" s="13" t="str">
        <f>'Reference Score Calculation'!S406</f>
        <v>BHSc(N)</v>
      </c>
      <c r="E414" s="13" t="str">
        <f>'Reference Score Calculation'!F406</f>
        <v>Best 5</v>
      </c>
      <c r="F414" s="20" t="str">
        <f>'Reference Score Calculation'!H406</f>
        <v>/</v>
      </c>
      <c r="G414" s="20">
        <f>'Reference Score Calculation'!I406</f>
        <v>16.2</v>
      </c>
      <c r="H414" s="20" t="str">
        <f>'Reference Score Calculation'!J406</f>
        <v>/</v>
      </c>
      <c r="I414" s="20">
        <f>計分版!J429</f>
        <v>3.4999999999999999E-9</v>
      </c>
      <c r="J414" s="13">
        <f>'Reference Score Calculation'!U406</f>
        <v>400</v>
      </c>
      <c r="K414" s="28">
        <f>'Reference Score Calculation'!V406</f>
        <v>545</v>
      </c>
      <c r="L414" s="110">
        <f>'Reference Score Calculation'!Y406</f>
        <v>4.2641083521444694</v>
      </c>
      <c r="M414" s="13">
        <f>入學要求!Z415</f>
        <v>0</v>
      </c>
    </row>
    <row r="415" spans="1:13">
      <c r="A415" s="13" t="str">
        <f>'Reference Score Calculation'!B407</f>
        <v>JSST02</v>
      </c>
      <c r="B415" s="13" t="str">
        <f>'Reference Score Calculation'!C407</f>
        <v>SSSDP</v>
      </c>
      <c r="C415" s="13" t="str">
        <f>'Reference Score Calculation'!E407</f>
        <v>醫療化驗科學（榮譽）理學士</v>
      </c>
      <c r="D415" s="13" t="str">
        <f>'Reference Score Calculation'!S407</f>
        <v>BSc(MLSc)</v>
      </c>
      <c r="E415" s="13" t="str">
        <f>'Reference Score Calculation'!F407</f>
        <v>Best 5</v>
      </c>
      <c r="F415" s="20" t="str">
        <f>'Reference Score Calculation'!H407</f>
        <v>/</v>
      </c>
      <c r="G415" s="20">
        <f>'Reference Score Calculation'!I407</f>
        <v>21.2</v>
      </c>
      <c r="H415" s="20" t="str">
        <f>'Reference Score Calculation'!J407</f>
        <v>/</v>
      </c>
      <c r="I415" s="20">
        <f>計分版!J430</f>
        <v>3.4999999999999999E-9</v>
      </c>
      <c r="J415" s="13">
        <f>'Reference Score Calculation'!U407</f>
        <v>45</v>
      </c>
      <c r="K415" s="28">
        <f>'Reference Score Calculation'!V407</f>
        <v>46</v>
      </c>
      <c r="L415" s="110">
        <f>'Reference Score Calculation'!Y407</f>
        <v>6.2682926829268295</v>
      </c>
      <c r="M415" s="13">
        <f>入學要求!Z416</f>
        <v>0</v>
      </c>
    </row>
    <row r="416" spans="1:13">
      <c r="A416" s="13" t="str">
        <f>'Reference Score Calculation'!B408</f>
        <v>JSST03</v>
      </c>
      <c r="B416" s="13" t="str">
        <f>'Reference Score Calculation'!C408</f>
        <v>SSSDP</v>
      </c>
      <c r="C416" s="13" t="str">
        <f>'Reference Score Calculation'!E408</f>
        <v>放射治療學（榮譽）理學士</v>
      </c>
      <c r="D416" s="13" t="str">
        <f>'Reference Score Calculation'!S408</f>
        <v>BSc(RT)</v>
      </c>
      <c r="E416" s="13" t="str">
        <f>'Reference Score Calculation'!F408</f>
        <v>Best 5</v>
      </c>
      <c r="F416" s="20" t="str">
        <f>'Reference Score Calculation'!H408</f>
        <v>/</v>
      </c>
      <c r="G416" s="20">
        <f>'Reference Score Calculation'!I408</f>
        <v>24.3</v>
      </c>
      <c r="H416" s="20" t="str">
        <f>'Reference Score Calculation'!J408</f>
        <v>/</v>
      </c>
      <c r="I416" s="20">
        <f>計分版!J431</f>
        <v>3.4999999999999999E-9</v>
      </c>
      <c r="J416" s="13">
        <f>'Reference Score Calculation'!U408</f>
        <v>20</v>
      </c>
      <c r="K416" s="28">
        <f>'Reference Score Calculation'!V408</f>
        <v>22</v>
      </c>
      <c r="L416" s="110">
        <f>'Reference Score Calculation'!Y408</f>
        <v>6.7142857142857144</v>
      </c>
      <c r="M416" s="13">
        <f>入學要求!Z417</f>
        <v>0</v>
      </c>
    </row>
    <row r="417" spans="1:13">
      <c r="A417" s="13" t="str">
        <f>'Reference Score Calculation'!B409</f>
        <v>JSST04</v>
      </c>
      <c r="B417" s="13" t="str">
        <f>'Reference Score Calculation'!C409</f>
        <v>SSSDP</v>
      </c>
      <c r="C417" s="13" t="str">
        <f>'Reference Score Calculation'!E409</f>
        <v>職業治療學（榮譽）理學士</v>
      </c>
      <c r="D417" s="13" t="str">
        <f>'Reference Score Calculation'!S409</f>
        <v>BSc(OT)</v>
      </c>
      <c r="E417" s="13" t="str">
        <f>'Reference Score Calculation'!F409</f>
        <v>Best 5</v>
      </c>
      <c r="F417" s="20" t="str">
        <f>'Reference Score Calculation'!H409</f>
        <v>/</v>
      </c>
      <c r="G417" s="20">
        <f>'Reference Score Calculation'!I409</f>
        <v>21.3</v>
      </c>
      <c r="H417" s="20" t="str">
        <f>'Reference Score Calculation'!J409</f>
        <v>/</v>
      </c>
      <c r="I417" s="20">
        <f>計分版!J432</f>
        <v>3.4999999999999999E-9</v>
      </c>
      <c r="J417" s="13">
        <f>'Reference Score Calculation'!U409</f>
        <v>60</v>
      </c>
      <c r="K417" s="28">
        <f>'Reference Score Calculation'!V409</f>
        <v>65</v>
      </c>
      <c r="L417" s="110">
        <f>'Reference Score Calculation'!Y409</f>
        <v>5.2769230769230768</v>
      </c>
      <c r="M417" s="13">
        <f>入學要求!Z418</f>
        <v>0</v>
      </c>
    </row>
    <row r="418" spans="1:13">
      <c r="A418" s="13" t="str">
        <f>'Reference Score Calculation'!B410</f>
        <v>JSST05</v>
      </c>
      <c r="B418" s="13" t="str">
        <f>'Reference Score Calculation'!C410</f>
        <v>SSSDP</v>
      </c>
      <c r="C418" s="13" t="str">
        <f>'Reference Score Calculation'!E410</f>
        <v>物理治療學（榮譽）理學士</v>
      </c>
      <c r="D418" s="13" t="str">
        <f>'Reference Score Calculation'!S410</f>
        <v>BSc(PT)</v>
      </c>
      <c r="E418" s="13" t="str">
        <f>'Reference Score Calculation'!F410</f>
        <v>Best 5</v>
      </c>
      <c r="F418" s="20" t="str">
        <f>'Reference Score Calculation'!H410</f>
        <v>/</v>
      </c>
      <c r="G418" s="20">
        <f>'Reference Score Calculation'!I410</f>
        <v>23.7</v>
      </c>
      <c r="H418" s="20" t="str">
        <f>'Reference Score Calculation'!J410</f>
        <v>/</v>
      </c>
      <c r="I418" s="20">
        <f>計分版!J433</f>
        <v>3.4999999999999999E-9</v>
      </c>
      <c r="J418" s="13">
        <f>'Reference Score Calculation'!U410</f>
        <v>60</v>
      </c>
      <c r="K418" s="28">
        <f>'Reference Score Calculation'!V410</f>
        <v>48</v>
      </c>
      <c r="L418" s="110">
        <f>'Reference Score Calculation'!Y410</f>
        <v>7.6875</v>
      </c>
      <c r="M418" s="13">
        <f>入學要求!Z419</f>
        <v>0</v>
      </c>
    </row>
    <row r="419" spans="1:13">
      <c r="A419" s="13" t="str">
        <f>'Reference Score Calculation'!B411</f>
        <v>JSST06</v>
      </c>
      <c r="B419" s="13" t="str">
        <f>'Reference Score Calculation'!C411</f>
        <v>SSSDP</v>
      </c>
      <c r="C419" s="13" t="str">
        <f>'Reference Score Calculation'!E411</f>
        <v>應用老年學（榮譽）理學士</v>
      </c>
      <c r="D419" s="13" t="str">
        <f>'Reference Score Calculation'!S411</f>
        <v>BSc(AG)</v>
      </c>
      <c r="E419" s="13" t="str">
        <f>'Reference Score Calculation'!F411</f>
        <v>Best 5</v>
      </c>
      <c r="F419" s="20" t="str">
        <f>'Reference Score Calculation'!H411</f>
        <v>/</v>
      </c>
      <c r="G419" s="20">
        <f>'Reference Score Calculation'!I411</f>
        <v>18</v>
      </c>
      <c r="H419" s="20" t="str">
        <f>'Reference Score Calculation'!J411</f>
        <v>/</v>
      </c>
      <c r="I419" s="20">
        <f>計分版!J434</f>
        <v>3.4999999999999999E-9</v>
      </c>
      <c r="J419" s="13">
        <f>'Reference Score Calculation'!U411</f>
        <v>40</v>
      </c>
      <c r="K419" s="28">
        <f>'Reference Score Calculation'!V411</f>
        <v>23</v>
      </c>
      <c r="L419" s="110">
        <f>'Reference Score Calculation'!Y411</f>
        <v>5.4</v>
      </c>
      <c r="M419" s="13">
        <f>入學要求!Z420</f>
        <v>0</v>
      </c>
    </row>
    <row r="420" spans="1:13">
      <c r="A420" s="13" t="str">
        <f>'Reference Score Calculation'!B412</f>
        <v>JSST07</v>
      </c>
      <c r="B420" s="13" t="str">
        <f>'Reference Score Calculation'!C412</f>
        <v>SSSDP</v>
      </c>
      <c r="C420" s="13" t="str">
        <f>'Reference Score Calculation'!E412</f>
        <v>醫療資訊及服務管理（榮譽）學士</v>
      </c>
      <c r="D420" s="13" t="str">
        <f>'Reference Score Calculation'!S412</f>
        <v>BHISM</v>
      </c>
      <c r="E420" s="13" t="str">
        <f>'Reference Score Calculation'!F412</f>
        <v>Best 5</v>
      </c>
      <c r="F420" s="20" t="str">
        <f>'Reference Score Calculation'!H412</f>
        <v>/</v>
      </c>
      <c r="G420" s="20">
        <f>'Reference Score Calculation'!I412</f>
        <v>15.8</v>
      </c>
      <c r="H420" s="20" t="str">
        <f>'Reference Score Calculation'!J412</f>
        <v>/</v>
      </c>
      <c r="I420" s="20">
        <f>計分版!J435</f>
        <v>3.4999999999999999E-9</v>
      </c>
      <c r="J420" s="13">
        <f>'Reference Score Calculation'!U412</f>
        <v>25</v>
      </c>
      <c r="K420" s="28">
        <f>'Reference Score Calculation'!V412</f>
        <v>24</v>
      </c>
      <c r="L420" s="110">
        <f>'Reference Score Calculation'!Y412</f>
        <v>4.7857142857142856</v>
      </c>
      <c r="M420" s="13">
        <f>入學要求!Z421</f>
        <v>0</v>
      </c>
    </row>
    <row r="421" spans="1:13">
      <c r="A421" s="13" t="str">
        <f>'Reference Score Calculation'!B413</f>
        <v>JSST08</v>
      </c>
      <c r="B421" s="13" t="str">
        <f>'Reference Score Calculation'!C413</f>
        <v>SSSDP</v>
      </c>
      <c r="C421" s="13" t="str">
        <f>'Reference Score Calculation'!E413</f>
        <v>醫療影像學（榮譽）理學士</v>
      </c>
      <c r="D421" s="13" t="str">
        <f>'Reference Score Calculation'!S413</f>
        <v>BSc(MI)</v>
      </c>
      <c r="E421" s="13" t="str">
        <f>'Reference Score Calculation'!F413</f>
        <v>25年新科目</v>
      </c>
      <c r="F421" s="20" t="str">
        <f>'Reference Score Calculation'!H413</f>
        <v>/</v>
      </c>
      <c r="G421" s="20" t="str">
        <f>'Reference Score Calculation'!I413</f>
        <v>/</v>
      </c>
      <c r="H421" s="20" t="str">
        <f>'Reference Score Calculation'!J413</f>
        <v>/</v>
      </c>
      <c r="I421" s="20">
        <f>計分版!J436</f>
        <v>3.4999999999999999E-9</v>
      </c>
      <c r="J421" s="13">
        <f>'Reference Score Calculation'!U413</f>
        <v>30</v>
      </c>
      <c r="K421" s="28" t="str">
        <f>'Reference Score Calculation'!V413</f>
        <v>/</v>
      </c>
      <c r="L421" s="110" t="str">
        <f>'Reference Score Calculation'!Y413</f>
        <v>新科目</v>
      </c>
      <c r="M421" s="13">
        <f>入學要求!Z422</f>
        <v>0</v>
      </c>
    </row>
    <row r="422" spans="1:13">
      <c r="A422" s="13" t="str">
        <f>'Reference Score Calculation'!B414</f>
        <v>JSSU12</v>
      </c>
      <c r="B422" s="13" t="str">
        <f>'Reference Score Calculation'!C414</f>
        <v>SSSDP</v>
      </c>
      <c r="C422" s="13" t="str">
        <f>'Reference Score Calculation'!E414</f>
        <v>創意寫作與電影藝術榮譽文學士</v>
      </c>
      <c r="D422" s="13" t="str">
        <f>'Reference Score Calculation'!S414</f>
        <v>BA(Hons)CreaWri&amp;FilmArts</v>
      </c>
      <c r="E422" s="13" t="str">
        <f>'Reference Score Calculation'!F414</f>
        <v>Best 5</v>
      </c>
      <c r="F422" s="20" t="str">
        <f>'Reference Score Calculation'!H414</f>
        <v>/</v>
      </c>
      <c r="G422" s="20">
        <f>'Reference Score Calculation'!I414</f>
        <v>19</v>
      </c>
      <c r="H422" s="20">
        <f>'Reference Score Calculation'!J414</f>
        <v>17</v>
      </c>
      <c r="I422" s="20">
        <f>計分版!J437</f>
        <v>3.4999999999999999E-9</v>
      </c>
      <c r="J422" s="13">
        <f>'Reference Score Calculation'!U414</f>
        <v>50</v>
      </c>
      <c r="K422" s="28">
        <f>'Reference Score Calculation'!V414</f>
        <v>119</v>
      </c>
      <c r="L422" s="110">
        <f>'Reference Score Calculation'!Y414</f>
        <v>4.5151515151515156</v>
      </c>
      <c r="M422" s="13">
        <f>入學要求!Z423</f>
        <v>0</v>
      </c>
    </row>
    <row r="423" spans="1:13">
      <c r="A423" s="13" t="str">
        <f>'Reference Score Calculation'!B415</f>
        <v>JSSU14</v>
      </c>
      <c r="B423" s="13" t="str">
        <f>'Reference Score Calculation'!C415</f>
        <v>SSSDP</v>
      </c>
      <c r="C423" s="13" t="str">
        <f>'Reference Score Calculation'!E415</f>
        <v>動畫及視覺特效榮譽藝術學士</v>
      </c>
      <c r="D423" s="13" t="str">
        <f>'Reference Score Calculation'!S415</f>
        <v>BFA(Hons)AnimatVisEff</v>
      </c>
      <c r="E423" s="13" t="str">
        <f>'Reference Score Calculation'!F415</f>
        <v>Best 5</v>
      </c>
      <c r="F423" s="20" t="str">
        <f>'Reference Score Calculation'!H415</f>
        <v>/</v>
      </c>
      <c r="G423" s="20">
        <f>'Reference Score Calculation'!I415</f>
        <v>16</v>
      </c>
      <c r="H423" s="20">
        <f>'Reference Score Calculation'!J415</f>
        <v>15</v>
      </c>
      <c r="I423" s="20">
        <f>計分版!J438</f>
        <v>3.4999999999999999E-9</v>
      </c>
      <c r="J423" s="13">
        <f>'Reference Score Calculation'!U415</f>
        <v>80</v>
      </c>
      <c r="K423" s="28">
        <f>'Reference Score Calculation'!V415</f>
        <v>118</v>
      </c>
      <c r="L423" s="110">
        <f>'Reference Score Calculation'!Y415</f>
        <v>5.4216867469879517</v>
      </c>
      <c r="M423" s="13">
        <f>入學要求!Z424</f>
        <v>0</v>
      </c>
    </row>
    <row r="424" spans="1:13">
      <c r="A424" s="13" t="str">
        <f>'Reference Score Calculation'!B416</f>
        <v>JSSU15</v>
      </c>
      <c r="B424" s="13" t="str">
        <f>'Reference Score Calculation'!C416</f>
        <v>SSSDP</v>
      </c>
      <c r="C424" s="13" t="str">
        <f>'Reference Score Calculation'!E416</f>
        <v>影像設計及數碼藝術榮譽藝術學士</v>
      </c>
      <c r="D424" s="13" t="str">
        <f>'Reference Score Calculation'!S416</f>
        <v>BFA(Hons)IDDA</v>
      </c>
      <c r="E424" s="13" t="str">
        <f>'Reference Score Calculation'!F416</f>
        <v>Best 5</v>
      </c>
      <c r="F424" s="20" t="str">
        <f>'Reference Score Calculation'!H416</f>
        <v>/</v>
      </c>
      <c r="G424" s="20">
        <f>'Reference Score Calculation'!I416</f>
        <v>16</v>
      </c>
      <c r="H424" s="20">
        <f>'Reference Score Calculation'!J416</f>
        <v>15</v>
      </c>
      <c r="I424" s="20">
        <f>計分版!J439</f>
        <v>3.4999999999999999E-9</v>
      </c>
      <c r="J424" s="13">
        <f>'Reference Score Calculation'!U416</f>
        <v>30</v>
      </c>
      <c r="K424" s="28">
        <f>'Reference Score Calculation'!V416</f>
        <v>54</v>
      </c>
      <c r="L424" s="110">
        <f>'Reference Score Calculation'!Y416</f>
        <v>8.7714285714285722</v>
      </c>
      <c r="M424" s="13">
        <f>入學要求!Z425</f>
        <v>0</v>
      </c>
    </row>
    <row r="425" spans="1:13">
      <c r="A425" s="13" t="str">
        <f>'Reference Score Calculation'!B417</f>
        <v>JSSU18</v>
      </c>
      <c r="B425" s="13" t="str">
        <f>'Reference Score Calculation'!C417</f>
        <v>SSSDP</v>
      </c>
      <c r="C425" s="13" t="str">
        <f>'Reference Score Calculation'!E417</f>
        <v>新音樂及互動娛樂榮譽文學士</v>
      </c>
      <c r="D425" s="13" t="str">
        <f>'Reference Score Calculation'!S417</f>
        <v>BA(Hons)NewMusic&amp;Enter</v>
      </c>
      <c r="E425" s="13" t="str">
        <f>'Reference Score Calculation'!F417</f>
        <v>Best 5</v>
      </c>
      <c r="F425" s="20" t="str">
        <f>'Reference Score Calculation'!H417</f>
        <v>/</v>
      </c>
      <c r="G425" s="20">
        <f>'Reference Score Calculation'!I417</f>
        <v>16</v>
      </c>
      <c r="H425" s="20">
        <f>'Reference Score Calculation'!J417</f>
        <v>14</v>
      </c>
      <c r="I425" s="20">
        <f>計分版!J440</f>
        <v>3.4999999999999999E-9</v>
      </c>
      <c r="J425" s="13">
        <f>'Reference Score Calculation'!U417</f>
        <v>40</v>
      </c>
      <c r="K425" s="28">
        <f>'Reference Score Calculation'!V417</f>
        <v>34</v>
      </c>
      <c r="L425" s="110">
        <f>'Reference Score Calculation'!Y417</f>
        <v>6.4</v>
      </c>
      <c r="M425" s="13">
        <f>入學要求!Z426</f>
        <v>0</v>
      </c>
    </row>
    <row r="426" spans="1:13">
      <c r="A426" s="13" t="str">
        <f>'Reference Score Calculation'!B418</f>
        <v>JSSU40</v>
      </c>
      <c r="B426" s="13" t="str">
        <f>'Reference Score Calculation'!C418</f>
        <v>SSSDP</v>
      </c>
      <c r="C426" s="13" t="str">
        <f>'Reference Score Calculation'!E418</f>
        <v>護理學榮譽學士（普通科）</v>
      </c>
      <c r="D426" s="13" t="str">
        <f>'Reference Score Calculation'!S418</f>
        <v>BNursing(Hons)General</v>
      </c>
      <c r="E426" s="13" t="str">
        <f>'Reference Score Calculation'!F418</f>
        <v>Best 5</v>
      </c>
      <c r="F426" s="20" t="str">
        <f>'Reference Score Calculation'!H418</f>
        <v>/</v>
      </c>
      <c r="G426" s="20">
        <f>'Reference Score Calculation'!I418</f>
        <v>20</v>
      </c>
      <c r="H426" s="20">
        <f>'Reference Score Calculation'!J418</f>
        <v>19</v>
      </c>
      <c r="I426" s="20">
        <f>計分版!J441</f>
        <v>3.4999999999999999E-9</v>
      </c>
      <c r="J426" s="13">
        <f>'Reference Score Calculation'!U418</f>
        <v>410</v>
      </c>
      <c r="K426" s="28">
        <f>'Reference Score Calculation'!V418</f>
        <v>390</v>
      </c>
      <c r="L426" s="110">
        <f>'Reference Score Calculation'!Y418</f>
        <v>5.2461538461538462</v>
      </c>
      <c r="M426" s="13">
        <f>入學要求!Z427</f>
        <v>0</v>
      </c>
    </row>
    <row r="427" spans="1:13">
      <c r="A427" s="13" t="str">
        <f>'Reference Score Calculation'!B419</f>
        <v>JSSU50</v>
      </c>
      <c r="B427" s="13" t="str">
        <f>'Reference Score Calculation'!C419</f>
        <v>SSSDP</v>
      </c>
      <c r="C427" s="13" t="str">
        <f>'Reference Score Calculation'!E419</f>
        <v>護理學榮譽學士（精神科）</v>
      </c>
      <c r="D427" s="13" t="str">
        <f>'Reference Score Calculation'!S419</f>
        <v>BNursing(Hons)Mental</v>
      </c>
      <c r="E427" s="13" t="str">
        <f>'Reference Score Calculation'!F419</f>
        <v>Best 5</v>
      </c>
      <c r="F427" s="20" t="str">
        <f>'Reference Score Calculation'!H419</f>
        <v>/</v>
      </c>
      <c r="G427" s="20">
        <f>'Reference Score Calculation'!I419</f>
        <v>17</v>
      </c>
      <c r="H427" s="20">
        <f>'Reference Score Calculation'!J419</f>
        <v>16</v>
      </c>
      <c r="I427" s="20">
        <f>計分版!J442</f>
        <v>3.4999999999999999E-9</v>
      </c>
      <c r="J427" s="13">
        <f>'Reference Score Calculation'!U419</f>
        <v>130</v>
      </c>
      <c r="K427" s="28">
        <f>'Reference Score Calculation'!V419</f>
        <v>135</v>
      </c>
      <c r="L427" s="110">
        <f>'Reference Score Calculation'!Y419</f>
        <v>7.6222222222222218</v>
      </c>
      <c r="M427" s="13">
        <f>入學要求!Z428</f>
        <v>0</v>
      </c>
    </row>
    <row r="428" spans="1:13">
      <c r="A428" s="13" t="str">
        <f>'Reference Score Calculation'!B420</f>
        <v>JSSU55</v>
      </c>
      <c r="B428" s="13" t="str">
        <f>'Reference Score Calculation'!C420</f>
        <v>SSSDP</v>
      </c>
      <c r="C428" s="13" t="str">
        <f>'Reference Score Calculation'!E420</f>
        <v>物理治療學榮譽理學士</v>
      </c>
      <c r="D428" s="13" t="str">
        <f>'Reference Score Calculation'!S420</f>
        <v>BSc(Hons)Physiotherapy</v>
      </c>
      <c r="E428" s="13" t="str">
        <f>'Reference Score Calculation'!F420</f>
        <v>Best 5</v>
      </c>
      <c r="F428" s="20" t="str">
        <f>'Reference Score Calculation'!H420</f>
        <v>/</v>
      </c>
      <c r="G428" s="20">
        <f>'Reference Score Calculation'!I420</f>
        <v>25</v>
      </c>
      <c r="H428" s="20">
        <f>'Reference Score Calculation'!J420</f>
        <v>24</v>
      </c>
      <c r="I428" s="20">
        <f>計分版!J443</f>
        <v>3.4999999999999999E-9</v>
      </c>
      <c r="J428" s="13">
        <f>'Reference Score Calculation'!U420</f>
        <v>55</v>
      </c>
      <c r="K428" s="28">
        <f>'Reference Score Calculation'!V420</f>
        <v>50</v>
      </c>
      <c r="L428" s="110">
        <f>'Reference Score Calculation'!Y420</f>
        <v>5.9</v>
      </c>
      <c r="M428" s="13">
        <f>入學要求!Z429</f>
        <v>0</v>
      </c>
    </row>
    <row r="429" spans="1:13">
      <c r="A429" s="13" t="str">
        <f>'Reference Score Calculation'!B421</f>
        <v>JSSU61</v>
      </c>
      <c r="B429" s="13" t="str">
        <f>'Reference Score Calculation'!C421</f>
        <v>SSSDP</v>
      </c>
      <c r="C429" s="13" t="str">
        <f>'Reference Score Calculation'!E421</f>
        <v>綜合檢測和認證榮譽應用理學士</v>
      </c>
      <c r="D429" s="13" t="str">
        <f>'Reference Score Calculation'!S421</f>
        <v>BASc(Hons)IntTestInsCert</v>
      </c>
      <c r="E429" s="13" t="str">
        <f>'Reference Score Calculation'!F421</f>
        <v>Best 5</v>
      </c>
      <c r="F429" s="20" t="str">
        <f>'Reference Score Calculation'!H421</f>
        <v>/</v>
      </c>
      <c r="G429" s="20">
        <f>'Reference Score Calculation'!I421</f>
        <v>16</v>
      </c>
      <c r="H429" s="20">
        <f>'Reference Score Calculation'!J421</f>
        <v>16</v>
      </c>
      <c r="I429" s="20">
        <f>計分版!J444</f>
        <v>3.4999999999999999E-9</v>
      </c>
      <c r="J429" s="13">
        <f>'Reference Score Calculation'!U421</f>
        <v>80</v>
      </c>
      <c r="K429" s="28">
        <f>'Reference Score Calculation'!V421</f>
        <v>90</v>
      </c>
      <c r="L429" s="110">
        <f>'Reference Score Calculation'!Y421</f>
        <v>3.5172413793103448</v>
      </c>
      <c r="M429" s="13">
        <f>入學要求!Z430</f>
        <v>0</v>
      </c>
    </row>
    <row r="430" spans="1:13">
      <c r="A430" s="13" t="str">
        <f>'Reference Score Calculation'!B422</f>
        <v>JSSU67</v>
      </c>
      <c r="B430" s="13" t="str">
        <f>'Reference Score Calculation'!C422</f>
        <v>SSSDP</v>
      </c>
      <c r="C430" s="13" t="str">
        <f>'Reference Score Calculation'!E422</f>
        <v>醫療化驗科學榮譽理學士</v>
      </c>
      <c r="D430" s="13" t="str">
        <f>'Reference Score Calculation'!S422</f>
        <v>BSc(Hons)MedLabSci</v>
      </c>
      <c r="E430" s="13" t="str">
        <f>'Reference Score Calculation'!F422</f>
        <v>Best 5</v>
      </c>
      <c r="F430" s="20" t="str">
        <f>'Reference Score Calculation'!H422</f>
        <v>/</v>
      </c>
      <c r="G430" s="20">
        <f>'Reference Score Calculation'!I422</f>
        <v>17</v>
      </c>
      <c r="H430" s="20">
        <f>'Reference Score Calculation'!J422</f>
        <v>17</v>
      </c>
      <c r="I430" s="20">
        <f>計分版!J445</f>
        <v>3.4999999999999999E-9</v>
      </c>
      <c r="J430" s="13">
        <f>'Reference Score Calculation'!U422</f>
        <v>60</v>
      </c>
      <c r="K430" s="28">
        <f>'Reference Score Calculation'!V422</f>
        <v>63</v>
      </c>
      <c r="L430" s="110">
        <f>'Reference Score Calculation'!Y422</f>
        <v>6.8571428571428568</v>
      </c>
      <c r="M430" s="13">
        <f>入學要求!Z431</f>
        <v>0</v>
      </c>
    </row>
    <row r="431" spans="1:13">
      <c r="A431" s="13" t="str">
        <f>'Reference Score Calculation'!B423</f>
        <v>JSSU69</v>
      </c>
      <c r="B431" s="13" t="str">
        <f>'Reference Score Calculation'!C423</f>
        <v>SSSDP</v>
      </c>
      <c r="C431" s="13" t="str">
        <f>'Reference Score Calculation'!E423</f>
        <v>食品測試科學榮譽理學士</v>
      </c>
      <c r="D431" s="13" t="str">
        <f>'Reference Score Calculation'!S423</f>
        <v>BSc(Hons)FoodTestSci</v>
      </c>
      <c r="E431" s="13" t="str">
        <f>'Reference Score Calculation'!F423</f>
        <v>Best 5</v>
      </c>
      <c r="F431" s="20" t="str">
        <f>'Reference Score Calculation'!H423</f>
        <v>/</v>
      </c>
      <c r="G431" s="20">
        <f>'Reference Score Calculation'!I423</f>
        <v>16</v>
      </c>
      <c r="H431" s="20">
        <f>'Reference Score Calculation'!J423</f>
        <v>15</v>
      </c>
      <c r="I431" s="20">
        <f>計分版!J446</f>
        <v>3.4999999999999999E-9</v>
      </c>
      <c r="J431" s="13">
        <f>'Reference Score Calculation'!U423</f>
        <v>40</v>
      </c>
      <c r="K431" s="28">
        <f>'Reference Score Calculation'!V423</f>
        <v>65</v>
      </c>
      <c r="L431" s="110">
        <f>'Reference Score Calculation'!Y423</f>
        <v>7.2363636363636363</v>
      </c>
      <c r="M431" s="13">
        <f>入學要求!Z432</f>
        <v>0</v>
      </c>
    </row>
    <row r="432" spans="1:13">
      <c r="A432" s="13" t="str">
        <f>'Reference Score Calculation'!B424</f>
        <v>JSSU70</v>
      </c>
      <c r="B432" s="13" t="str">
        <f>'Reference Score Calculation'!C424</f>
        <v>SSSDP</v>
      </c>
      <c r="C432" s="13" t="str">
        <f>'Reference Score Calculation'!E424</f>
        <v>數據科學及人工智能榮譽理學士</v>
      </c>
      <c r="D432" s="13" t="str">
        <f>'Reference Score Calculation'!S424</f>
        <v>BSc (Hons) Data Sci &amp; AI</v>
      </c>
      <c r="E432" s="13" t="str">
        <f>'Reference Score Calculation'!F424</f>
        <v>Best 5</v>
      </c>
      <c r="F432" s="20" t="str">
        <f>'Reference Score Calculation'!H424</f>
        <v>/</v>
      </c>
      <c r="G432" s="20">
        <f>'Reference Score Calculation'!I424</f>
        <v>16</v>
      </c>
      <c r="H432" s="20">
        <f>'Reference Score Calculation'!J424</f>
        <v>15</v>
      </c>
      <c r="I432" s="20">
        <f>計分版!J447</f>
        <v>3.4999999999999999E-9</v>
      </c>
      <c r="J432" s="13">
        <f>'Reference Score Calculation'!U424</f>
        <v>35</v>
      </c>
      <c r="K432" s="28">
        <f>'Reference Score Calculation'!V424</f>
        <v>60</v>
      </c>
      <c r="L432" s="110">
        <f>'Reference Score Calculation'!Y424</f>
        <v>5.75</v>
      </c>
      <c r="M432" s="13">
        <f>入學要求!Z433</f>
        <v>0</v>
      </c>
    </row>
    <row r="433" spans="1:13">
      <c r="A433" s="13" t="str">
        <f>'Reference Score Calculation'!B425</f>
        <v>JSSU72</v>
      </c>
      <c r="B433" s="13" t="str">
        <f>'Reference Score Calculation'!C425</f>
        <v>SSSDP</v>
      </c>
      <c r="C433" s="13" t="str">
        <f>'Reference Score Calculation'!E425</f>
        <v>電腦科學榮譽理學士</v>
      </c>
      <c r="D433" s="13" t="str">
        <f>'Reference Score Calculation'!S425</f>
        <v>BSc (Hons)CompSci</v>
      </c>
      <c r="E433" s="13" t="str">
        <f>'Reference Score Calculation'!F425</f>
        <v>Best 5</v>
      </c>
      <c r="F433" s="20" t="str">
        <f>'Reference Score Calculation'!H425</f>
        <v>/</v>
      </c>
      <c r="G433" s="20">
        <f>'Reference Score Calculation'!I425</f>
        <v>16</v>
      </c>
      <c r="H433" s="20">
        <f>'Reference Score Calculation'!J425</f>
        <v>16</v>
      </c>
      <c r="I433" s="20">
        <f>計分版!J448</f>
        <v>3.4999999999999999E-9</v>
      </c>
      <c r="J433" s="13">
        <f>'Reference Score Calculation'!U425</f>
        <v>50</v>
      </c>
      <c r="K433" s="28">
        <f>'Reference Score Calculation'!V425</f>
        <v>70</v>
      </c>
      <c r="L433" s="110">
        <f>'Reference Score Calculation'!Y425</f>
        <v>4.46875</v>
      </c>
      <c r="M433" s="13">
        <f>入學要求!Z434</f>
        <v>0</v>
      </c>
    </row>
    <row r="434" spans="1:13">
      <c r="A434" s="13" t="str">
        <f>'Reference Score Calculation'!B426</f>
        <v>JSSU77</v>
      </c>
      <c r="B434" s="13" t="str">
        <f>'Reference Score Calculation'!C426</f>
        <v>SSSDP</v>
      </c>
      <c r="C434" s="13" t="str">
        <f>'Reference Score Calculation'!E426</f>
        <v>建築管理及工料測量學榮譽理學士</v>
      </c>
      <c r="D434" s="13" t="str">
        <f>'Reference Score Calculation'!S426</f>
        <v>BSc(Hons)CMQSurveying</v>
      </c>
      <c r="E434" s="13" t="str">
        <f>'Reference Score Calculation'!F426</f>
        <v>Best 5</v>
      </c>
      <c r="F434" s="20" t="str">
        <f>'Reference Score Calculation'!H426</f>
        <v>/</v>
      </c>
      <c r="G434" s="20">
        <f>'Reference Score Calculation'!I426</f>
        <v>17</v>
      </c>
      <c r="H434" s="20">
        <f>'Reference Score Calculation'!J426</f>
        <v>16</v>
      </c>
      <c r="I434" s="20">
        <f>計分版!J449</f>
        <v>3.4999999999999999E-9</v>
      </c>
      <c r="J434" s="13">
        <f>'Reference Score Calculation'!U426</f>
        <v>25</v>
      </c>
      <c r="K434" s="28">
        <f>'Reference Score Calculation'!V426</f>
        <v>28</v>
      </c>
      <c r="L434" s="110">
        <f>'Reference Score Calculation'!Y426</f>
        <v>7.166666666666667</v>
      </c>
      <c r="M434" s="13">
        <f>入學要求!Z435</f>
        <v>0</v>
      </c>
    </row>
    <row r="435" spans="1:13">
      <c r="A435" s="13" t="str">
        <f>'Reference Score Calculation'!B427</f>
        <v>JSSU78</v>
      </c>
      <c r="B435" s="13" t="str">
        <f>'Reference Score Calculation'!C427</f>
        <v>SSSDP</v>
      </c>
      <c r="C435" s="13" t="str">
        <f>'Reference Score Calculation'!E427</f>
        <v>屋宇設備工程及可持續發展榮譽工學士</v>
      </c>
      <c r="D435" s="13" t="str">
        <f>'Reference Score Calculation'!S427</f>
        <v>BEng(Hons)BSE&amp;SustainDev</v>
      </c>
      <c r="E435" s="13" t="str">
        <f>'Reference Score Calculation'!F427</f>
        <v>Best 5</v>
      </c>
      <c r="F435" s="20" t="str">
        <f>'Reference Score Calculation'!H427</f>
        <v>/</v>
      </c>
      <c r="G435" s="20">
        <f>'Reference Score Calculation'!I427</f>
        <v>17</v>
      </c>
      <c r="H435" s="20">
        <f>'Reference Score Calculation'!J427</f>
        <v>16</v>
      </c>
      <c r="I435" s="20">
        <f>計分版!J450</f>
        <v>3.4999999999999999E-9</v>
      </c>
      <c r="J435" s="13">
        <f>'Reference Score Calculation'!U427</f>
        <v>20</v>
      </c>
      <c r="K435" s="28">
        <f>'Reference Score Calculation'!V427</f>
        <v>17</v>
      </c>
      <c r="L435" s="110">
        <f>'Reference Score Calculation'!Y427</f>
        <v>13</v>
      </c>
      <c r="M435" s="13">
        <f>入學要求!Z436</f>
        <v>0</v>
      </c>
    </row>
    <row r="436" spans="1:13">
      <c r="A436" s="13" t="str">
        <f>'Reference Score Calculation'!B428</f>
        <v>JSSU79</v>
      </c>
      <c r="B436" s="13" t="str">
        <f>'Reference Score Calculation'!C428</f>
        <v>SSSDP</v>
      </c>
      <c r="C436" s="13" t="str">
        <f>'Reference Score Calculation'!E428</f>
        <v>土木工程榮譽工學士</v>
      </c>
      <c r="D436" s="13" t="str">
        <f>'Reference Score Calculation'!S428</f>
        <v>BEng(Hons)Civil Eng</v>
      </c>
      <c r="E436" s="13" t="str">
        <f>'Reference Score Calculation'!F428</f>
        <v>Best 5</v>
      </c>
      <c r="F436" s="20" t="str">
        <f>'Reference Score Calculation'!H428</f>
        <v>/</v>
      </c>
      <c r="G436" s="20">
        <f>'Reference Score Calculation'!I428</f>
        <v>16</v>
      </c>
      <c r="H436" s="20">
        <f>'Reference Score Calculation'!J428</f>
        <v>16</v>
      </c>
      <c r="I436" s="20">
        <f>計分版!J451</f>
        <v>3.4999999999999999E-9</v>
      </c>
      <c r="J436" s="13">
        <f>'Reference Score Calculation'!U428</f>
        <v>45</v>
      </c>
      <c r="K436" s="28">
        <f>'Reference Score Calculation'!V428</f>
        <v>65</v>
      </c>
      <c r="L436" s="110">
        <f>'Reference Score Calculation'!Y428</f>
        <v>4.9375</v>
      </c>
      <c r="M436" s="13">
        <f>入學要求!Z437</f>
        <v>0</v>
      </c>
    </row>
    <row r="437" spans="1:13">
      <c r="A437" s="13" t="str">
        <f>'Reference Score Calculation'!B429</f>
        <v>JSSU90</v>
      </c>
      <c r="B437" s="13" t="str">
        <f>'Reference Score Calculation'!C429</f>
        <v>SSSDP</v>
      </c>
      <c r="C437" s="13" t="str">
        <f>'Reference Score Calculation'!E429</f>
        <v>國際款待及景區管理榮譽工商管理學士</v>
      </c>
      <c r="D437" s="13" t="str">
        <f>'Reference Score Calculation'!S429</f>
        <v>BBA(Hons)Hos&amp;AttractMgt</v>
      </c>
      <c r="E437" s="13" t="str">
        <f>'Reference Score Calculation'!F429</f>
        <v>Best 5</v>
      </c>
      <c r="F437" s="20" t="str">
        <f>'Reference Score Calculation'!H429</f>
        <v>/</v>
      </c>
      <c r="G437" s="20">
        <f>'Reference Score Calculation'!I429</f>
        <v>16</v>
      </c>
      <c r="H437" s="20">
        <f>'Reference Score Calculation'!J429</f>
        <v>15</v>
      </c>
      <c r="I437" s="20">
        <f>計分版!J452</f>
        <v>3.4999999999999999E-9</v>
      </c>
      <c r="J437" s="13">
        <f>'Reference Score Calculation'!U429</f>
        <v>40</v>
      </c>
      <c r="K437" s="28">
        <f>'Reference Score Calculation'!V429</f>
        <v>81</v>
      </c>
      <c r="L437" s="110">
        <f>'Reference Score Calculation'!Y429</f>
        <v>7.957446808510638</v>
      </c>
      <c r="M437" s="13">
        <f>入學要求!Z438</f>
        <v>0</v>
      </c>
    </row>
    <row r="438" spans="1:13">
      <c r="A438" s="13" t="str">
        <f>'Reference Score Calculation'!B430</f>
        <v>JSSU93</v>
      </c>
      <c r="B438" s="13" t="str">
        <f>'Reference Score Calculation'!C430</f>
        <v>SSSDP</v>
      </c>
      <c r="C438" s="13" t="str">
        <f>'Reference Score Calculation'!E430</f>
        <v>航空服務管理榮譽工商管理學士</v>
      </c>
      <c r="D438" s="13" t="str">
        <f>'Reference Score Calculation'!S430</f>
        <v>BBA(Hons)AviServMgt</v>
      </c>
      <c r="E438" s="13" t="str">
        <f>'Reference Score Calculation'!F430</f>
        <v>25年新科目</v>
      </c>
      <c r="F438" s="20" t="str">
        <f>'Reference Score Calculation'!H430</f>
        <v>/</v>
      </c>
      <c r="G438" s="20">
        <f>'Reference Score Calculation'!I430</f>
        <v>16</v>
      </c>
      <c r="H438" s="20">
        <f>'Reference Score Calculation'!J430</f>
        <v>16</v>
      </c>
      <c r="I438" s="20">
        <f>計分版!J453</f>
        <v>3.4999999999999999E-9</v>
      </c>
      <c r="J438" s="13">
        <f>'Reference Score Calculation'!U430</f>
        <v>40</v>
      </c>
      <c r="K438" s="28" t="str">
        <f>'Reference Score Calculation'!V430</f>
        <v>/</v>
      </c>
      <c r="L438" s="110" t="str">
        <f>'Reference Score Calculation'!Y430</f>
        <v>新科目</v>
      </c>
      <c r="M438" s="13">
        <f>入學要求!Z439</f>
        <v>0</v>
      </c>
    </row>
    <row r="439" spans="1:13">
      <c r="A439" s="13" t="str">
        <f>'Reference Score Calculation'!B431</f>
        <v>JSSU95</v>
      </c>
      <c r="B439" s="13" t="str">
        <f>'Reference Score Calculation'!C431</f>
        <v>SSSDP</v>
      </c>
      <c r="C439" s="13" t="str">
        <f>'Reference Score Calculation'!E431</f>
        <v>運動及康樂管理榮譽工商管理學士</v>
      </c>
      <c r="D439" s="13" t="str">
        <f>'Reference Score Calculation'!S431</f>
        <v>BBA(Hons)Sports&amp;RecMgt</v>
      </c>
      <c r="E439" s="13" t="str">
        <f>'Reference Score Calculation'!F431</f>
        <v>Best 5</v>
      </c>
      <c r="F439" s="20" t="str">
        <f>'Reference Score Calculation'!H431</f>
        <v>/</v>
      </c>
      <c r="G439" s="20">
        <f>'Reference Score Calculation'!I431</f>
        <v>17</v>
      </c>
      <c r="H439" s="20">
        <f>'Reference Score Calculation'!J431</f>
        <v>15</v>
      </c>
      <c r="I439" s="20">
        <f>計分版!J454</f>
        <v>3.4999999999999999E-9</v>
      </c>
      <c r="J439" s="13">
        <f>'Reference Score Calculation'!U431</f>
        <v>50</v>
      </c>
      <c r="K439" s="28">
        <f>'Reference Score Calculation'!V431</f>
        <v>70</v>
      </c>
      <c r="L439" s="110">
        <f>'Reference Score Calculation'!Y431</f>
        <v>5.7428571428571429</v>
      </c>
      <c r="M439" s="13">
        <f>入學要求!Z440</f>
        <v>0</v>
      </c>
    </row>
    <row r="440" spans="1:13">
      <c r="A440" s="13" t="str">
        <f>'Reference Score Calculation'!B432</f>
        <v>JSSU96</v>
      </c>
      <c r="B440" s="13" t="str">
        <f>'Reference Score Calculation'!C432</f>
        <v>SSSDP</v>
      </c>
      <c r="C440" s="13" t="str">
        <f>'Reference Score Calculation'!E432</f>
        <v>財務及金融科技榮譽工商管理學士</v>
      </c>
      <c r="D440" s="13" t="str">
        <f>'Reference Score Calculation'!S432</f>
        <v>BBA(Hons)Fin&amp;FinTech</v>
      </c>
      <c r="E440" s="13" t="str">
        <f>'Reference Score Calculation'!F432</f>
        <v>Best 5</v>
      </c>
      <c r="F440" s="20" t="str">
        <f>'Reference Score Calculation'!H432</f>
        <v>/</v>
      </c>
      <c r="G440" s="20">
        <f>'Reference Score Calculation'!I432</f>
        <v>17</v>
      </c>
      <c r="H440" s="20">
        <f>'Reference Score Calculation'!J432</f>
        <v>16</v>
      </c>
      <c r="I440" s="20">
        <f>計分版!J455</f>
        <v>3.4999999999999999E-9</v>
      </c>
      <c r="J440" s="13">
        <f>'Reference Score Calculation'!U432</f>
        <v>25</v>
      </c>
      <c r="K440" s="28">
        <f>'Reference Score Calculation'!V432</f>
        <v>67</v>
      </c>
      <c r="L440" s="110">
        <f>'Reference Score Calculation'!Y432</f>
        <v>5.3947368421052628</v>
      </c>
      <c r="M440" s="13">
        <f>入學要求!Z441</f>
        <v>0</v>
      </c>
    </row>
    <row r="441" spans="1:13">
      <c r="A441" s="13" t="str">
        <f>'Reference Score Calculation'!B433</f>
        <v>JSSU97</v>
      </c>
      <c r="B441" s="13" t="str">
        <f>'Reference Score Calculation'!C433</f>
        <v>SSSDP</v>
      </c>
      <c r="C441" s="13" t="str">
        <f>'Reference Score Calculation'!E433</f>
        <v>環球市場及供應鏈管理榮譽工商管理學士</v>
      </c>
      <c r="D441" s="13" t="str">
        <f>'Reference Score Calculation'!S433</f>
        <v>BBA(Hons)GM &amp; SCM</v>
      </c>
      <c r="E441" s="13" t="str">
        <f>'Reference Score Calculation'!F433</f>
        <v>Best 5</v>
      </c>
      <c r="F441" s="20" t="str">
        <f>'Reference Score Calculation'!H433</f>
        <v>/</v>
      </c>
      <c r="G441" s="20">
        <f>'Reference Score Calculation'!I433</f>
        <v>17</v>
      </c>
      <c r="H441" s="20">
        <f>'Reference Score Calculation'!J433</f>
        <v>16</v>
      </c>
      <c r="I441" s="20">
        <f>計分版!J456</f>
        <v>3.4999999999999999E-9</v>
      </c>
      <c r="J441" s="13">
        <f>'Reference Score Calculation'!U433</f>
        <v>20</v>
      </c>
      <c r="K441" s="28">
        <f>'Reference Score Calculation'!V433</f>
        <v>43</v>
      </c>
      <c r="L441" s="110">
        <f>'Reference Score Calculation'!Y433</f>
        <v>7.7368421052631575</v>
      </c>
      <c r="M441" s="13">
        <f>入學要求!Z442</f>
        <v>0</v>
      </c>
    </row>
    <row r="442" spans="1:13">
      <c r="A442" s="13" t="str">
        <f>'Reference Score Calculation'!B434</f>
        <v>JSSV01</v>
      </c>
      <c r="B442" s="13" t="str">
        <f>'Reference Score Calculation'!C434</f>
        <v>SSSDP</v>
      </c>
      <c r="C442" s="13" t="str">
        <f>'Reference Score Calculation'!E434</f>
        <v>時裝設計（榮譽）文學士</v>
      </c>
      <c r="D442" s="13" t="str">
        <f>'Reference Score Calculation'!S434</f>
        <v>BA(FD)</v>
      </c>
      <c r="E442" s="13" t="str">
        <f>'Reference Score Calculation'!F434</f>
        <v>Best 5</v>
      </c>
      <c r="F442" s="20" t="str">
        <f>'Reference Score Calculation'!H434</f>
        <v>/</v>
      </c>
      <c r="G442" s="20">
        <f>'Reference Score Calculation'!I434</f>
        <v>15</v>
      </c>
      <c r="H442" s="20" t="str">
        <f>'Reference Score Calculation'!J434</f>
        <v>/</v>
      </c>
      <c r="I442" s="20">
        <f>計分版!J457</f>
        <v>3.2999999999999998E-9</v>
      </c>
      <c r="J442" s="13">
        <f>'Reference Score Calculation'!U434</f>
        <v>20</v>
      </c>
      <c r="K442" s="28">
        <f>'Reference Score Calculation'!V434</f>
        <v>51</v>
      </c>
      <c r="L442" s="110">
        <f>'Reference Score Calculation'!Y434</f>
        <v>11.208333333333334</v>
      </c>
      <c r="M442" s="13">
        <f>入學要求!Z443</f>
        <v>0</v>
      </c>
    </row>
    <row r="443" spans="1:13">
      <c r="A443" s="13" t="str">
        <f>'Reference Score Calculation'!B435</f>
        <v>JSSV02</v>
      </c>
      <c r="B443" s="13" t="str">
        <f>'Reference Score Calculation'!C435</f>
        <v>SSSDP</v>
      </c>
      <c r="C443" s="13" t="str">
        <f>'Reference Score Calculation'!E435</f>
        <v>產品設計（榮譽）文學士</v>
      </c>
      <c r="D443" s="13" t="str">
        <f>'Reference Score Calculation'!S435</f>
        <v>BA(PD)</v>
      </c>
      <c r="E443" s="13" t="str">
        <f>'Reference Score Calculation'!F435</f>
        <v>Best 5</v>
      </c>
      <c r="F443" s="20" t="str">
        <f>'Reference Score Calculation'!H435</f>
        <v>/</v>
      </c>
      <c r="G443" s="20">
        <f>'Reference Score Calculation'!I435</f>
        <v>15</v>
      </c>
      <c r="H443" s="20" t="str">
        <f>'Reference Score Calculation'!J435</f>
        <v>/</v>
      </c>
      <c r="I443" s="20">
        <f>計分版!J458</f>
        <v>3.2999999999999998E-9</v>
      </c>
      <c r="J443" s="13">
        <f>'Reference Score Calculation'!U435</f>
        <v>10</v>
      </c>
      <c r="K443" s="28">
        <f>'Reference Score Calculation'!V435</f>
        <v>17</v>
      </c>
      <c r="L443" s="110">
        <f>'Reference Score Calculation'!Y435</f>
        <v>15.2</v>
      </c>
      <c r="M443" s="13">
        <f>入學要求!Z444</f>
        <v>0</v>
      </c>
    </row>
    <row r="444" spans="1:13">
      <c r="A444" s="13" t="str">
        <f>'Reference Score Calculation'!B436</f>
        <v>JSSV03</v>
      </c>
      <c r="B444" s="13" t="str">
        <f>'Reference Score Calculation'!C436</f>
        <v>SSSDP</v>
      </c>
      <c r="C444" s="13" t="str">
        <f>'Reference Score Calculation'!E436</f>
        <v>園境建築（榮譽）文學士</v>
      </c>
      <c r="D444" s="13" t="str">
        <f>'Reference Score Calculation'!S436</f>
        <v>BA(LA)</v>
      </c>
      <c r="E444" s="13" t="str">
        <f>'Reference Score Calculation'!F436</f>
        <v>Best 5</v>
      </c>
      <c r="F444" s="20" t="str">
        <f>'Reference Score Calculation'!H436</f>
        <v>/</v>
      </c>
      <c r="G444" s="20">
        <f>'Reference Score Calculation'!I436</f>
        <v>16</v>
      </c>
      <c r="H444" s="20" t="str">
        <f>'Reference Score Calculation'!J436</f>
        <v>/</v>
      </c>
      <c r="I444" s="20">
        <f>計分版!J459</f>
        <v>3.2999999999999998E-9</v>
      </c>
      <c r="J444" s="13">
        <f>'Reference Score Calculation'!U436</f>
        <v>15</v>
      </c>
      <c r="K444" s="28">
        <f>'Reference Score Calculation'!V436</f>
        <v>15</v>
      </c>
      <c r="L444" s="110">
        <f>'Reference Score Calculation'!Y436</f>
        <v>8.375</v>
      </c>
      <c r="M444" s="13">
        <f>入學要求!Z445</f>
        <v>0</v>
      </c>
    </row>
    <row r="445" spans="1:13">
      <c r="A445" s="13" t="str">
        <f>'Reference Score Calculation'!B437</f>
        <v>JSSV04</v>
      </c>
      <c r="B445" s="13" t="str">
        <f>'Reference Score Calculation'!C437</f>
        <v>SSSDP</v>
      </c>
      <c r="C445" s="13" t="str">
        <f>'Reference Score Calculation'!E437</f>
        <v>廚藝及管理（榮譽）文學士</v>
      </c>
      <c r="D445" s="13" t="str">
        <f>'Reference Score Calculation'!S437</f>
        <v>BA(CAM)</v>
      </c>
      <c r="E445" s="13" t="str">
        <f>'Reference Score Calculation'!F437</f>
        <v>Best 5</v>
      </c>
      <c r="F445" s="20" t="str">
        <f>'Reference Score Calculation'!H437</f>
        <v>/</v>
      </c>
      <c r="G445" s="20">
        <f>'Reference Score Calculation'!I437</f>
        <v>16</v>
      </c>
      <c r="H445" s="20" t="str">
        <f>'Reference Score Calculation'!J437</f>
        <v>/</v>
      </c>
      <c r="I445" s="20">
        <f>計分版!J460</f>
        <v>3.2999999999999998E-9</v>
      </c>
      <c r="J445" s="13">
        <f>'Reference Score Calculation'!U437</f>
        <v>10</v>
      </c>
      <c r="K445" s="28">
        <f>'Reference Score Calculation'!V437</f>
        <v>24</v>
      </c>
      <c r="L445" s="110">
        <f>'Reference Score Calculation'!Y437</f>
        <v>18.166666666666668</v>
      </c>
      <c r="M445" s="13">
        <f>入學要求!Z446</f>
        <v>0</v>
      </c>
    </row>
    <row r="446" spans="1:13">
      <c r="A446" s="13" t="str">
        <f>'Reference Score Calculation'!B438</f>
        <v>JSSV05</v>
      </c>
      <c r="B446" s="13" t="str">
        <f>'Reference Score Calculation'!C438</f>
        <v>SSSDP</v>
      </c>
      <c r="C446" s="13" t="str">
        <f>'Reference Score Calculation'!E438</f>
        <v>土木工程（榮譽）工學士</v>
      </c>
      <c r="D446" s="13" t="str">
        <f>'Reference Score Calculation'!S438</f>
        <v>BEng(CE)</v>
      </c>
      <c r="E446" s="13" t="str">
        <f>'Reference Score Calculation'!F438</f>
        <v>Best 5</v>
      </c>
      <c r="F446" s="20" t="str">
        <f>'Reference Score Calculation'!H438</f>
        <v>/</v>
      </c>
      <c r="G446" s="20">
        <f>'Reference Score Calculation'!I438</f>
        <v>16</v>
      </c>
      <c r="H446" s="20" t="str">
        <f>'Reference Score Calculation'!J438</f>
        <v>/</v>
      </c>
      <c r="I446" s="20">
        <f>計分版!J461</f>
        <v>3.4999999999999999E-9</v>
      </c>
      <c r="J446" s="13">
        <f>'Reference Score Calculation'!U438</f>
        <v>20</v>
      </c>
      <c r="K446" s="28">
        <f>'Reference Score Calculation'!V438</f>
        <v>26</v>
      </c>
      <c r="L446" s="110">
        <f>'Reference Score Calculation'!Y438</f>
        <v>22.4</v>
      </c>
      <c r="M446" s="13">
        <f>入學要求!Z447</f>
        <v>0</v>
      </c>
    </row>
    <row r="447" spans="1:13">
      <c r="A447" s="13" t="str">
        <f>'Reference Score Calculation'!B439</f>
        <v>JSSV07</v>
      </c>
      <c r="B447" s="13" t="str">
        <f>'Reference Score Calculation'!C439</f>
        <v>SSSDP</v>
      </c>
      <c r="C447" s="13" t="str">
        <f>'Reference Score Calculation'!E439</f>
        <v>園藝樹藝及園境管理（榮譽）理學士</v>
      </c>
      <c r="D447" s="13" t="str">
        <f>'Reference Score Calculation'!S439</f>
        <v>BSc(HALM)</v>
      </c>
      <c r="E447" s="13" t="str">
        <f>'Reference Score Calculation'!F439</f>
        <v>Best 5</v>
      </c>
      <c r="F447" s="20" t="str">
        <f>'Reference Score Calculation'!H439</f>
        <v>/</v>
      </c>
      <c r="G447" s="20">
        <f>'Reference Score Calculation'!I439</f>
        <v>15</v>
      </c>
      <c r="H447" s="20" t="str">
        <f>'Reference Score Calculation'!J439</f>
        <v>/</v>
      </c>
      <c r="I447" s="20">
        <f>計分版!J462</f>
        <v>3.2999999999999998E-9</v>
      </c>
      <c r="J447" s="13">
        <f>'Reference Score Calculation'!U439</f>
        <v>15</v>
      </c>
      <c r="K447" s="28">
        <f>'Reference Score Calculation'!V439</f>
        <v>12</v>
      </c>
      <c r="L447" s="110">
        <f>'Reference Score Calculation'!Y439</f>
        <v>9.5714285714285712</v>
      </c>
      <c r="M447" s="13">
        <f>入學要求!Z448</f>
        <v>0</v>
      </c>
    </row>
    <row r="448" spans="1:13">
      <c r="A448" s="13" t="str">
        <f>'Reference Score Calculation'!B440</f>
        <v>JSSV08</v>
      </c>
      <c r="B448" s="13" t="str">
        <f>'Reference Score Calculation'!C440</f>
        <v>SSSDP</v>
      </c>
      <c r="C448" s="13" t="str">
        <f>'Reference Score Calculation'!E440</f>
        <v>測量學（榮譽）理學士</v>
      </c>
      <c r="D448" s="13" t="str">
        <f>'Reference Score Calculation'!S440</f>
        <v>BSc(SUR)</v>
      </c>
      <c r="E448" s="13" t="str">
        <f>'Reference Score Calculation'!F440</f>
        <v>Best 5</v>
      </c>
      <c r="F448" s="20" t="str">
        <f>'Reference Score Calculation'!H440</f>
        <v>/</v>
      </c>
      <c r="G448" s="20">
        <f>'Reference Score Calculation'!I440</f>
        <v>16</v>
      </c>
      <c r="H448" s="20" t="str">
        <f>'Reference Score Calculation'!J440</f>
        <v>/</v>
      </c>
      <c r="I448" s="20">
        <f>計分版!J463</f>
        <v>3.2999999999999998E-9</v>
      </c>
      <c r="J448" s="13">
        <f>'Reference Score Calculation'!U440</f>
        <v>15</v>
      </c>
      <c r="K448" s="28">
        <f>'Reference Score Calculation'!V440</f>
        <v>26</v>
      </c>
      <c r="L448" s="110">
        <f>'Reference Score Calculation'!Y440</f>
        <v>5.125</v>
      </c>
      <c r="M448" s="13">
        <f>入學要求!Z449</f>
        <v>0</v>
      </c>
    </row>
    <row r="449" spans="1:13">
      <c r="A449" s="13" t="str">
        <f>'Reference Score Calculation'!B441</f>
        <v>JSSV09</v>
      </c>
      <c r="B449" s="13" t="str">
        <f>'Reference Score Calculation'!C441</f>
        <v>SSSDP</v>
      </c>
      <c r="C449" s="13" t="str">
        <f>'Reference Score Calculation'!E441</f>
        <v>運動及康樂管理（榮譽）社會科學學士</v>
      </c>
      <c r="D449" s="13" t="str">
        <f>'Reference Score Calculation'!S441</f>
        <v>BSocSc(SRM)</v>
      </c>
      <c r="E449" s="13" t="str">
        <f>'Reference Score Calculation'!F441</f>
        <v>Best 5</v>
      </c>
      <c r="F449" s="20" t="str">
        <f>'Reference Score Calculation'!H441</f>
        <v>/</v>
      </c>
      <c r="G449" s="20">
        <f>'Reference Score Calculation'!I441</f>
        <v>15</v>
      </c>
      <c r="H449" s="20" t="str">
        <f>'Reference Score Calculation'!J441</f>
        <v>/</v>
      </c>
      <c r="I449" s="20">
        <f>計分版!J464</f>
        <v>3.2999999999999998E-9</v>
      </c>
      <c r="J449" s="13">
        <f>'Reference Score Calculation'!U441</f>
        <v>20</v>
      </c>
      <c r="K449" s="28">
        <f>'Reference Score Calculation'!V441</f>
        <v>63</v>
      </c>
      <c r="L449" s="110">
        <f>'Reference Score Calculation'!Y441</f>
        <v>7.8529411764705879</v>
      </c>
      <c r="M449" s="13">
        <f>入學要求!Z450</f>
        <v>0</v>
      </c>
    </row>
    <row r="450" spans="1:13">
      <c r="A450" s="13" t="str">
        <f>'Reference Score Calculation'!B442</f>
        <v>JSSV10</v>
      </c>
      <c r="B450" s="13" t="str">
        <f>'Reference Score Calculation'!C442</f>
        <v>SSSDP</v>
      </c>
      <c r="C450" s="13" t="str">
        <f>'Reference Score Calculation'!E442</f>
        <v>屋宇設備工程（榮譽）工學士</v>
      </c>
      <c r="D450" s="13" t="str">
        <f>'Reference Score Calculation'!S442</f>
        <v>BEng(BSE)</v>
      </c>
      <c r="E450" s="13" t="str">
        <f>'Reference Score Calculation'!F442</f>
        <v>Best 5</v>
      </c>
      <c r="F450" s="20" t="str">
        <f>'Reference Score Calculation'!H442</f>
        <v>/</v>
      </c>
      <c r="G450" s="20">
        <f>'Reference Score Calculation'!I442</f>
        <v>15</v>
      </c>
      <c r="H450" s="20" t="str">
        <f>'Reference Score Calculation'!J442</f>
        <v>/</v>
      </c>
      <c r="I450" s="20">
        <f>計分版!J465</f>
        <v>3.4999999999999999E-9</v>
      </c>
      <c r="J450" s="13">
        <f>'Reference Score Calculation'!U442</f>
        <v>10</v>
      </c>
      <c r="K450" s="28">
        <f>'Reference Score Calculation'!V442</f>
        <v>5</v>
      </c>
      <c r="L450" s="110">
        <f>'Reference Score Calculation'!Y442</f>
        <v>16.666666666666668</v>
      </c>
      <c r="M450" s="13">
        <f>入學要求!Z451</f>
        <v>0</v>
      </c>
    </row>
    <row r="451" spans="1:13">
      <c r="A451" s="13" t="str">
        <f>'Reference Score Calculation'!B443</f>
        <v>JSSV13</v>
      </c>
      <c r="B451" s="13" t="str">
        <f>'Reference Score Calculation'!C443</f>
        <v>SSSDP</v>
      </c>
      <c r="C451" s="13" t="str">
        <f>'Reference Score Calculation'!E443</f>
        <v>運動教練(榮譽)社會科學學士</v>
      </c>
      <c r="D451" s="13" t="str">
        <f>'Reference Score Calculation'!S443</f>
        <v>BSocSc(SC)</v>
      </c>
      <c r="E451" s="13" t="str">
        <f>'Reference Score Calculation'!F443</f>
        <v>25年新科目</v>
      </c>
      <c r="F451" s="20" t="str">
        <f>'Reference Score Calculation'!H443</f>
        <v>/</v>
      </c>
      <c r="G451" s="20" t="str">
        <f>'Reference Score Calculation'!I443</f>
        <v>/</v>
      </c>
      <c r="H451" s="20" t="str">
        <f>'Reference Score Calculation'!J443</f>
        <v>/</v>
      </c>
      <c r="I451" s="20">
        <f>計分版!J466</f>
        <v>3.2999999999999998E-9</v>
      </c>
      <c r="J451" s="13">
        <f>'Reference Score Calculation'!U443</f>
        <v>10</v>
      </c>
      <c r="K451" s="28" t="str">
        <f>'Reference Score Calculation'!V443</f>
        <v>/</v>
      </c>
      <c r="L451" s="110" t="str">
        <f>'Reference Score Calculation'!Y443</f>
        <v>新科目</v>
      </c>
      <c r="M451" s="13">
        <f>入學要求!Z452</f>
        <v>0</v>
      </c>
    </row>
    <row r="452" spans="1:13">
      <c r="A452" s="13" t="str">
        <f>'Reference Score Calculation'!B444</f>
        <v>JSSW01</v>
      </c>
      <c r="B452" s="13" t="str">
        <f>'Reference Score Calculation'!C444</f>
        <v>SSSDP</v>
      </c>
      <c r="C452" s="13" t="str">
        <f>'Reference Score Calculation'!E444</f>
        <v>營運及管理（榮譽）航空學士</v>
      </c>
      <c r="D452" s="13" t="str">
        <f>'Reference Score Calculation'!S444</f>
        <v>BAvOM</v>
      </c>
      <c r="E452" s="13" t="str">
        <f>'Reference Score Calculation'!F444</f>
        <v>Best 5</v>
      </c>
      <c r="F452" s="20" t="str">
        <f>'Reference Score Calculation'!H444</f>
        <v>/</v>
      </c>
      <c r="G452" s="20">
        <f>'Reference Score Calculation'!I444</f>
        <v>14.3</v>
      </c>
      <c r="H452" s="20" t="str">
        <f>'Reference Score Calculation'!J444</f>
        <v>/</v>
      </c>
      <c r="I452" s="20">
        <f>計分版!J467</f>
        <v>3.2999999999999998E-9</v>
      </c>
      <c r="J452" s="13">
        <f>'Reference Score Calculation'!U444</f>
        <v>15</v>
      </c>
      <c r="K452" s="28">
        <f>'Reference Score Calculation'!V444</f>
        <v>31</v>
      </c>
      <c r="L452" s="110">
        <f>'Reference Score Calculation'!Y444</f>
        <v>9.1666666666666661</v>
      </c>
      <c r="M452" s="13">
        <f>入學要求!Z453</f>
        <v>0</v>
      </c>
    </row>
    <row r="453" spans="1:13">
      <c r="A453" s="13" t="str">
        <f>'Reference Score Calculation'!B445</f>
        <v>JSSW02</v>
      </c>
      <c r="B453" s="13" t="str">
        <f>'Reference Score Calculation'!C445</f>
        <v>SSSDP</v>
      </c>
      <c r="C453" s="13" t="str">
        <f>'Reference Score Calculation'!E445</f>
        <v>航運服務及營運管理學士（榮譽）</v>
      </c>
      <c r="D453" s="13" t="str">
        <f>'Reference Score Calculation'!S445</f>
        <v>BMSOM</v>
      </c>
      <c r="E453" s="13" t="str">
        <f>'Reference Score Calculation'!F445</f>
        <v>Best 5</v>
      </c>
      <c r="F453" s="20" t="str">
        <f>'Reference Score Calculation'!H445</f>
        <v>/</v>
      </c>
      <c r="G453" s="20">
        <f>'Reference Score Calculation'!I445</f>
        <v>14</v>
      </c>
      <c r="H453" s="20" t="str">
        <f>'Reference Score Calculation'!J445</f>
        <v>/</v>
      </c>
      <c r="I453" s="20">
        <f>計分版!J468</f>
        <v>3.2999999999999998E-9</v>
      </c>
      <c r="J453" s="13">
        <f>'Reference Score Calculation'!U445</f>
        <v>10</v>
      </c>
      <c r="K453" s="28">
        <f>'Reference Score Calculation'!V445</f>
        <v>8</v>
      </c>
      <c r="L453" s="110">
        <f>'Reference Score Calculation'!Y445</f>
        <v>14.4</v>
      </c>
      <c r="M453" s="13">
        <f>入學要求!Z454</f>
        <v>0</v>
      </c>
    </row>
    <row r="454" spans="1:13">
      <c r="A454" s="13" t="str">
        <f>'Reference Score Calculation'!B446</f>
        <v>JSSY01</v>
      </c>
      <c r="B454" s="13" t="str">
        <f>'Reference Score Calculation'!C446</f>
        <v>SSSDP</v>
      </c>
      <c r="C454" s="13" t="str">
        <f>'Reference Score Calculation'!E446</f>
        <v>金融科技（榮譽）商學士</v>
      </c>
      <c r="D454" s="13" t="str">
        <f>'Reference Score Calculation'!S446</f>
        <v>BCom (Hons) FinTech</v>
      </c>
      <c r="E454" s="13" t="str">
        <f>'Reference Score Calculation'!F446</f>
        <v>Best 5</v>
      </c>
      <c r="F454" s="20" t="str">
        <f>'Reference Score Calculation'!H446</f>
        <v>/</v>
      </c>
      <c r="G454" s="20">
        <f>'Reference Score Calculation'!I446</f>
        <v>15.9</v>
      </c>
      <c r="H454" s="20" t="str">
        <f>'Reference Score Calculation'!J446</f>
        <v>/</v>
      </c>
      <c r="I454" s="20">
        <f>計分版!J469</f>
        <v>3.4999999999999999E-9</v>
      </c>
      <c r="J454" s="13">
        <f>'Reference Score Calculation'!U446</f>
        <v>25</v>
      </c>
      <c r="K454" s="28">
        <f>'Reference Score Calculation'!V446</f>
        <v>62</v>
      </c>
      <c r="L454" s="110">
        <f>'Reference Score Calculation'!Y446</f>
        <v>6.4230769230769234</v>
      </c>
      <c r="M454" s="13">
        <f>入學要求!Z455</f>
        <v>0</v>
      </c>
    </row>
    <row r="455" spans="1:13">
      <c r="A455" s="13" t="str">
        <f>'Reference Score Calculation'!B447</f>
        <v>JSSY02</v>
      </c>
      <c r="B455" s="13" t="str">
        <f>'Reference Score Calculation'!C447</f>
        <v>SSSDP</v>
      </c>
      <c r="C455" s="13" t="str">
        <f>'Reference Score Calculation'!E447</f>
        <v>應用數據科學（榮譽）理學士</v>
      </c>
      <c r="D455" s="13" t="str">
        <f>'Reference Score Calculation'!S447</f>
        <v>BSc (Hons) ADS</v>
      </c>
      <c r="E455" s="13" t="str">
        <f>'Reference Score Calculation'!F447</f>
        <v>25年新科目</v>
      </c>
      <c r="F455" s="20" t="str">
        <f>'Reference Score Calculation'!H447</f>
        <v>/</v>
      </c>
      <c r="G455" s="20">
        <f>'Reference Score Calculation'!I447</f>
        <v>16</v>
      </c>
      <c r="H455" s="20" t="str">
        <f>'Reference Score Calculation'!J447</f>
        <v>/</v>
      </c>
      <c r="I455" s="20">
        <f>計分版!J470</f>
        <v>3.4999999999999999E-9</v>
      </c>
      <c r="J455" s="13">
        <f>'Reference Score Calculation'!U447</f>
        <v>30</v>
      </c>
      <c r="K455" s="28" t="str">
        <f>'Reference Score Calculation'!V447</f>
        <v>/</v>
      </c>
      <c r="L455" s="110" t="str">
        <f>'Reference Score Calculation'!Y447</f>
        <v>新科目</v>
      </c>
      <c r="M455" s="13">
        <f>入學要求!Z456</f>
        <v>0</v>
      </c>
    </row>
    <row r="456" spans="1:13">
      <c r="D456" s="13"/>
      <c r="K456" s="28"/>
    </row>
    <row r="457" spans="1:13">
      <c r="D457" s="13"/>
      <c r="K457" s="28"/>
    </row>
    <row r="458" spans="1:13">
      <c r="D458" s="13"/>
      <c r="K458" s="28"/>
    </row>
    <row r="459" spans="1:13">
      <c r="D459" s="13"/>
      <c r="K459" s="28"/>
    </row>
    <row r="460" spans="1:13">
      <c r="D460" s="13"/>
      <c r="K460" s="28"/>
    </row>
    <row r="461" spans="1:13">
      <c r="D461" s="13"/>
      <c r="K461" s="28"/>
    </row>
    <row r="462" spans="1:13">
      <c r="D462" s="13"/>
      <c r="K462" s="28"/>
    </row>
    <row r="463" spans="1:13">
      <c r="D463" s="13"/>
      <c r="K463" s="28"/>
    </row>
    <row r="464" spans="1:13">
      <c r="D464" s="13"/>
      <c r="K464" s="28"/>
    </row>
    <row r="465" spans="4:11">
      <c r="D465" s="13"/>
      <c r="K465" s="28"/>
    </row>
    <row r="466" spans="4:11">
      <c r="D466" s="13"/>
      <c r="K466" s="28"/>
    </row>
    <row r="467" spans="4:11">
      <c r="D467" s="13"/>
      <c r="K467" s="28"/>
    </row>
    <row r="468" spans="4:11">
      <c r="D468" s="13"/>
      <c r="K468" s="28"/>
    </row>
    <row r="469" spans="4:11">
      <c r="D469" s="13"/>
      <c r="K469" s="28"/>
    </row>
    <row r="470" spans="4:11">
      <c r="D470" s="13"/>
      <c r="K470" s="28"/>
    </row>
    <row r="471" spans="4:11">
      <c r="D471" s="13"/>
      <c r="K471" s="28"/>
    </row>
    <row r="472" spans="4:11">
      <c r="D472" s="13"/>
      <c r="K472" s="28"/>
    </row>
    <row r="473" spans="4:11">
      <c r="D473" s="13"/>
      <c r="K473" s="28"/>
    </row>
    <row r="474" spans="4:11">
      <c r="D474" s="13"/>
      <c r="K474" s="28"/>
    </row>
    <row r="475" spans="4:11">
      <c r="D475" s="13"/>
      <c r="K475" s="28"/>
    </row>
    <row r="476" spans="4:11">
      <c r="D476" s="13"/>
      <c r="K476" s="28"/>
    </row>
    <row r="477" spans="4:11">
      <c r="D477" s="13"/>
      <c r="K477" s="28"/>
    </row>
    <row r="478" spans="4:11">
      <c r="D478" s="13"/>
      <c r="K478" s="28"/>
    </row>
    <row r="479" spans="4:11">
      <c r="D479" s="13"/>
      <c r="K479" s="28"/>
    </row>
    <row r="480" spans="4:11">
      <c r="D480" s="13"/>
      <c r="K480" s="28"/>
    </row>
    <row r="481" spans="4:11">
      <c r="D481" s="13"/>
      <c r="K481" s="28"/>
    </row>
    <row r="482" spans="4:11">
      <c r="D482" s="13"/>
      <c r="K482" s="28"/>
    </row>
    <row r="483" spans="4:11">
      <c r="D483" s="13"/>
      <c r="K483" s="28"/>
    </row>
    <row r="484" spans="4:11">
      <c r="D484" s="13"/>
      <c r="K484" s="28"/>
    </row>
    <row r="485" spans="4:11">
      <c r="D485" s="13"/>
      <c r="K485" s="28"/>
    </row>
    <row r="486" spans="4:11">
      <c r="D486" s="13"/>
      <c r="K486" s="28"/>
    </row>
    <row r="487" spans="4:11">
      <c r="D487" s="13"/>
      <c r="K487" s="28"/>
    </row>
    <row r="488" spans="4:11">
      <c r="D488" s="13"/>
      <c r="K488" s="28"/>
    </row>
    <row r="489" spans="4:11">
      <c r="D489" s="13"/>
      <c r="K489" s="28"/>
    </row>
    <row r="490" spans="4:11">
      <c r="D490" s="13"/>
      <c r="K490" s="28"/>
    </row>
    <row r="491" spans="4:11">
      <c r="D491" s="13"/>
      <c r="K491" s="28"/>
    </row>
    <row r="492" spans="4:11">
      <c r="D492" s="13"/>
      <c r="K492" s="28"/>
    </row>
    <row r="493" spans="4:11">
      <c r="D493" s="13"/>
      <c r="K493" s="28"/>
    </row>
    <row r="494" spans="4:11">
      <c r="D494" s="13"/>
      <c r="K494" s="28"/>
    </row>
    <row r="495" spans="4:11">
      <c r="D495" s="13"/>
      <c r="K495" s="28"/>
    </row>
    <row r="496" spans="4:11">
      <c r="D496" s="13"/>
      <c r="K496" s="28"/>
    </row>
    <row r="497" spans="4:11">
      <c r="D497" s="13"/>
      <c r="K497" s="28"/>
    </row>
    <row r="498" spans="4:11">
      <c r="D498" s="13"/>
      <c r="K498" s="28"/>
    </row>
    <row r="499" spans="4:11">
      <c r="D499" s="13"/>
      <c r="K499" s="28"/>
    </row>
    <row r="500" spans="4:11">
      <c r="D500" s="13"/>
      <c r="K500" s="28"/>
    </row>
    <row r="501" spans="4:11">
      <c r="D501" s="13"/>
      <c r="K501" s="28"/>
    </row>
    <row r="502" spans="4:11">
      <c r="D502" s="13"/>
      <c r="K502" s="28"/>
    </row>
    <row r="503" spans="4:11">
      <c r="D503" s="13"/>
      <c r="K503" s="28"/>
    </row>
    <row r="504" spans="4:11">
      <c r="D504" s="13"/>
      <c r="K504" s="28"/>
    </row>
    <row r="505" spans="4:11">
      <c r="D505" s="13"/>
      <c r="K505" s="28"/>
    </row>
    <row r="506" spans="4:11">
      <c r="D506" s="13"/>
      <c r="K506" s="28"/>
    </row>
    <row r="507" spans="4:11">
      <c r="D507" s="13"/>
      <c r="K507" s="28"/>
    </row>
    <row r="508" spans="4:11">
      <c r="D508" s="13"/>
      <c r="K508" s="28"/>
    </row>
    <row r="509" spans="4:11">
      <c r="D509" s="13"/>
      <c r="K509" s="28"/>
    </row>
    <row r="510" spans="4:11">
      <c r="D510" s="13"/>
      <c r="K510" s="28"/>
    </row>
    <row r="511" spans="4:11">
      <c r="D511" s="13"/>
      <c r="K511" s="28"/>
    </row>
    <row r="512" spans="4:11">
      <c r="D512" s="13"/>
      <c r="K512" s="28"/>
    </row>
    <row r="513" spans="4:11">
      <c r="D513" s="13"/>
      <c r="K513" s="28"/>
    </row>
    <row r="514" spans="4:11">
      <c r="D514" s="13"/>
      <c r="K514" s="28"/>
    </row>
    <row r="515" spans="4:11">
      <c r="D515" s="13"/>
      <c r="K515" s="28"/>
    </row>
    <row r="516" spans="4:11">
      <c r="D516" s="13"/>
      <c r="K516" s="28"/>
    </row>
    <row r="517" spans="4:11">
      <c r="D517" s="13"/>
      <c r="K517" s="28"/>
    </row>
    <row r="518" spans="4:11">
      <c r="D518" s="13"/>
      <c r="K518" s="28"/>
    </row>
    <row r="519" spans="4:11">
      <c r="D519" s="13"/>
      <c r="K519" s="28"/>
    </row>
    <row r="520" spans="4:11">
      <c r="D520" s="13"/>
      <c r="K520" s="28"/>
    </row>
    <row r="521" spans="4:11">
      <c r="D521" s="13"/>
      <c r="K521" s="28"/>
    </row>
    <row r="522" spans="4:11">
      <c r="D522" s="13"/>
      <c r="K522" s="28"/>
    </row>
    <row r="523" spans="4:11">
      <c r="D523" s="13"/>
      <c r="K523" s="28"/>
    </row>
    <row r="524" spans="4:11">
      <c r="D524" s="13"/>
      <c r="K524" s="28"/>
    </row>
    <row r="525" spans="4:11">
      <c r="D525" s="13"/>
      <c r="K525" s="28"/>
    </row>
    <row r="526" spans="4:11">
      <c r="D526" s="13"/>
      <c r="K526" s="28"/>
    </row>
    <row r="527" spans="4:11">
      <c r="D527" s="13"/>
      <c r="K527" s="28"/>
    </row>
    <row r="528" spans="4:11">
      <c r="D528" s="13"/>
      <c r="K528" s="28"/>
    </row>
    <row r="529" spans="4:11">
      <c r="D529" s="13"/>
      <c r="K529" s="28"/>
    </row>
    <row r="530" spans="4:11">
      <c r="D530" s="13"/>
      <c r="K530" s="28"/>
    </row>
    <row r="531" spans="4:11">
      <c r="D531" s="13"/>
      <c r="K531" s="28"/>
    </row>
    <row r="532" spans="4:11">
      <c r="D532" s="13"/>
      <c r="K532" s="28"/>
    </row>
    <row r="533" spans="4:11">
      <c r="D533" s="13"/>
      <c r="K533" s="28"/>
    </row>
    <row r="637" spans="9:9">
      <c r="I637" s="20" t="s">
        <v>70</v>
      </c>
    </row>
    <row r="720" spans="9:9">
      <c r="I720" s="75"/>
    </row>
    <row r="757" spans="9:9">
      <c r="I757" s="75"/>
    </row>
    <row r="763" spans="9:9">
      <c r="I763" s="16"/>
    </row>
  </sheetData>
  <phoneticPr fontId="3" type="noConversion"/>
  <conditionalFormatting sqref="M19:M533">
    <cfRule type="cellIs" dxfId="268" priority="3" operator="equal">
      <formula>2</formula>
    </cfRule>
    <cfRule type="cellIs" dxfId="267" priority="4" operator="equal">
      <formula>1</formula>
    </cfRule>
    <cfRule type="cellIs" dxfId="266" priority="5" operator="equal">
      <formula>0</formula>
    </cfRule>
  </conditionalFormatting>
  <pageMargins left="0.7" right="0.7" top="0.75" bottom="0.75" header="0.3" footer="0.3"/>
  <pageSetup paperSize="9"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3387-2E56-4C47-97C1-79ABA018D5E2}">
  <sheetPr codeName="Sheet1">
    <tabColor theme="7" tint="-0.499984740745262"/>
  </sheetPr>
  <dimension ref="A1:AG77"/>
  <sheetViews>
    <sheetView zoomScale="130" zoomScaleNormal="130" workbookViewId="0">
      <selection activeCell="C8" sqref="C8"/>
    </sheetView>
  </sheetViews>
  <sheetFormatPr defaultColWidth="0" defaultRowHeight="13.8" zeroHeight="1"/>
  <cols>
    <col min="1" max="1" width="8.69921875" style="256" customWidth="1"/>
    <col min="2" max="2" width="1.5" style="256" customWidth="1"/>
    <col min="3" max="4" width="8.69921875" style="256" customWidth="1"/>
    <col min="5" max="5" width="10" style="256" customWidth="1"/>
    <col min="6" max="8" width="8.69921875" style="256" customWidth="1"/>
    <col min="9" max="9" width="8.69921875" style="257" customWidth="1"/>
    <col min="10" max="11" width="8.69921875" style="256" customWidth="1"/>
    <col min="12" max="13" width="8.19921875" style="256" customWidth="1"/>
    <col min="14" max="14" width="8.69921875" style="256" customWidth="1"/>
    <col min="15" max="15" width="9.59765625" style="256" customWidth="1"/>
    <col min="16" max="16" width="1.5" style="256" customWidth="1"/>
    <col min="17" max="17" width="3.19921875" style="256" customWidth="1"/>
    <col min="18" max="18" width="1" style="256" customWidth="1"/>
    <col min="19" max="19" width="10.69921875" style="256" customWidth="1"/>
    <col min="20" max="20" width="1" style="256" customWidth="1"/>
    <col min="21" max="21" width="8.69921875" style="256" customWidth="1"/>
    <col min="22" max="22" width="1" style="256" customWidth="1"/>
    <col min="23" max="30" width="8.69921875" style="256" customWidth="1"/>
    <col min="31" max="33" width="0" style="256" hidden="1" customWidth="1"/>
    <col min="34" max="16384" width="8.69921875" style="256" hidden="1"/>
  </cols>
  <sheetData>
    <row r="1" spans="1:19">
      <c r="F1" s="257"/>
      <c r="G1" s="257"/>
      <c r="H1" s="257"/>
      <c r="J1" s="257"/>
      <c r="K1" s="257"/>
      <c r="L1" s="257"/>
      <c r="M1" s="257"/>
      <c r="N1" s="257"/>
      <c r="O1" s="257"/>
    </row>
    <row r="2" spans="1:19" ht="21.6">
      <c r="A2" s="257" t="s">
        <v>64</v>
      </c>
      <c r="C2" s="258" t="s">
        <v>65</v>
      </c>
      <c r="I2" s="256"/>
    </row>
    <row r="3" spans="1:19" ht="18" customHeight="1">
      <c r="C3" s="258"/>
      <c r="I3" s="256"/>
    </row>
    <row r="4" spans="1:19" ht="18" customHeight="1">
      <c r="C4" s="258"/>
      <c r="D4" s="281" t="s">
        <v>66</v>
      </c>
      <c r="I4" s="256"/>
    </row>
    <row r="5" spans="1:19" ht="18" customHeight="1">
      <c r="C5" s="258"/>
      <c r="D5" s="281"/>
      <c r="I5" s="256"/>
    </row>
    <row r="6" spans="1:19">
      <c r="I6" s="256"/>
    </row>
    <row r="7" spans="1:19" ht="14.4" thickBot="1">
      <c r="C7" s="259" t="s">
        <v>67</v>
      </c>
      <c r="D7" s="259"/>
      <c r="E7" s="259" t="s">
        <v>68</v>
      </c>
      <c r="F7" s="259" t="s">
        <v>69</v>
      </c>
      <c r="I7" s="256"/>
      <c r="L7" s="259" t="s">
        <v>70</v>
      </c>
      <c r="N7" s="259"/>
      <c r="O7" s="259" t="s">
        <v>2965</v>
      </c>
    </row>
    <row r="8" spans="1:19" ht="14.4" thickBot="1">
      <c r="C8" s="280" t="s">
        <v>1446</v>
      </c>
      <c r="E8" s="256" t="str">
        <f>'Reference Score Calculation'!C4</f>
        <v>HKUST</v>
      </c>
      <c r="F8" s="536" t="str">
        <f>'Reference Score Calculation'!E4</f>
        <v>理學士（經濟及金融學）</v>
      </c>
      <c r="G8" s="536"/>
      <c r="H8" s="536"/>
      <c r="I8" s="536"/>
      <c r="J8" s="536"/>
      <c r="L8" s="256">
        <f>'Reference Score Calculation'!U4</f>
        <v>30</v>
      </c>
      <c r="O8" s="256">
        <f>'Reference Score Calculation'!V4</f>
        <v>33</v>
      </c>
    </row>
    <row r="9" spans="1:19">
      <c r="I9" s="256"/>
    </row>
    <row r="10" spans="1:19" ht="18">
      <c r="E10" s="257" t="s">
        <v>72</v>
      </c>
      <c r="F10" s="257" t="s">
        <v>73</v>
      </c>
      <c r="G10" s="257" t="s">
        <v>74</v>
      </c>
      <c r="H10" s="257" t="s">
        <v>2099</v>
      </c>
      <c r="I10" s="257" t="s">
        <v>76</v>
      </c>
      <c r="J10" s="257" t="s">
        <v>77</v>
      </c>
      <c r="L10" s="259" t="s">
        <v>2964</v>
      </c>
      <c r="O10" s="259" t="s">
        <v>78</v>
      </c>
    </row>
    <row r="11" spans="1:19" ht="15.6">
      <c r="C11" s="259" t="s">
        <v>79</v>
      </c>
      <c r="E11" s="261">
        <f>入學要求!L18</f>
        <v>3</v>
      </c>
      <c r="F11" s="262">
        <f>入學要求!M18</f>
        <v>4</v>
      </c>
      <c r="G11" s="262">
        <f>入學要求!N18</f>
        <v>3</v>
      </c>
      <c r="H11" s="262">
        <f>入學要求!O18</f>
        <v>1</v>
      </c>
      <c r="I11" s="262">
        <f>入學要求!P18</f>
        <v>3</v>
      </c>
      <c r="J11" s="263">
        <f>入學要求!Q18</f>
        <v>3</v>
      </c>
      <c r="L11" s="534" t="str">
        <f>IF(入學要求!Z18=0, "否",IF(入學要求!Z18=2,"或有額外要求",IF(入學要求!Z18=1,"是")))</f>
        <v>否</v>
      </c>
      <c r="M11" s="534"/>
      <c r="O11" s="256">
        <f>'Reference Score Calculation'!Y4</f>
        <v>3.18</v>
      </c>
    </row>
    <row r="12" spans="1:19">
      <c r="E12" s="260" t="str">
        <f>'Reference Score Calculation'!AA4</f>
        <v>申請人必須出席面試</v>
      </c>
      <c r="F12" s="257"/>
      <c r="G12" s="257"/>
      <c r="H12" s="257"/>
      <c r="J12" s="257"/>
      <c r="K12" s="257"/>
      <c r="L12" s="256" t="s">
        <v>3084</v>
      </c>
      <c r="O12" s="256" t="s">
        <v>80</v>
      </c>
    </row>
    <row r="13" spans="1:19">
      <c r="E13" s="260" t="str">
        <f>'Reference Score Calculation'!AB4</f>
        <v/>
      </c>
      <c r="F13" s="257"/>
      <c r="G13" s="257"/>
      <c r="H13" s="257"/>
      <c r="J13" s="257"/>
      <c r="K13" s="257"/>
    </row>
    <row r="14" spans="1:19">
      <c r="I14" s="256"/>
    </row>
    <row r="15" spans="1:19" ht="7.95" customHeight="1">
      <c r="I15" s="256"/>
    </row>
    <row r="16" spans="1:19">
      <c r="C16" s="259" t="s">
        <v>81</v>
      </c>
      <c r="E16" s="256" t="str">
        <f>'Reference Score Calculation'!F4</f>
        <v>英數Best3</v>
      </c>
      <c r="G16" s="536" t="str">
        <f>'Reference Score Calculation'!N4</f>
        <v/>
      </c>
      <c r="H16" s="536"/>
      <c r="I16" s="536"/>
      <c r="J16" s="536"/>
      <c r="K16" s="536"/>
      <c r="L16" s="536"/>
      <c r="M16" s="536"/>
      <c r="N16" s="536"/>
      <c r="O16" s="536"/>
      <c r="S16" s="256" t="s">
        <v>82</v>
      </c>
    </row>
    <row r="17" spans="3:19">
      <c r="C17" s="259" t="s">
        <v>2286</v>
      </c>
      <c r="G17" s="536" t="str">
        <f>'Reference Score Calculation'!O4</f>
        <v/>
      </c>
      <c r="H17" s="536"/>
      <c r="I17" s="536"/>
      <c r="J17" s="536"/>
      <c r="K17" s="536"/>
      <c r="L17" s="536"/>
      <c r="M17" s="536"/>
      <c r="N17" s="536"/>
      <c r="O17" s="536"/>
      <c r="S17" s="256" t="s">
        <v>83</v>
      </c>
    </row>
    <row r="18" spans="3:19">
      <c r="I18" s="256"/>
      <c r="S18" s="256" t="s">
        <v>84</v>
      </c>
    </row>
    <row r="19" spans="3:19">
      <c r="C19" s="259" t="s">
        <v>85</v>
      </c>
      <c r="E19" s="259" t="s">
        <v>86</v>
      </c>
      <c r="G19" s="536" t="str">
        <f>'Reference Score Calculation'!P4</f>
        <v>英文x2  + 數學x2</v>
      </c>
      <c r="H19" s="536"/>
      <c r="I19" s="536"/>
      <c r="J19" s="536"/>
      <c r="K19" s="536"/>
      <c r="L19" s="536"/>
      <c r="M19" s="536"/>
      <c r="N19" s="536"/>
      <c r="O19" s="536"/>
    </row>
    <row r="20" spans="3:19">
      <c r="E20" s="256" t="str">
        <f>'Reference Score Calculation'!T4</f>
        <v>有</v>
      </c>
      <c r="G20" s="536" t="str">
        <f>'Reference Score Calculation'!Q4</f>
        <v>+ 最佳三科x1 或</v>
      </c>
      <c r="H20" s="536"/>
      <c r="I20" s="536"/>
      <c r="J20" s="536"/>
      <c r="K20" s="536"/>
      <c r="L20" s="536"/>
      <c r="M20" s="536"/>
      <c r="N20" s="536"/>
      <c r="O20" s="536"/>
    </row>
    <row r="21" spans="3:19">
      <c r="G21" s="536" t="str">
        <f>'Reference Score Calculation'!R4</f>
        <v>+ [化學、經濟、物理、M1/2]中最佳一科x1.5 + 最佳兩科x1</v>
      </c>
      <c r="H21" s="536"/>
      <c r="I21" s="536"/>
      <c r="J21" s="536"/>
      <c r="K21" s="536"/>
      <c r="L21" s="536"/>
      <c r="M21" s="536"/>
      <c r="N21" s="536"/>
      <c r="O21" s="536"/>
    </row>
    <row r="22" spans="3:19" ht="7.95" customHeight="1">
      <c r="I22" s="256"/>
    </row>
    <row r="23" spans="3:19">
      <c r="I23" s="256"/>
    </row>
    <row r="24" spans="3:19" ht="7.95" customHeight="1">
      <c r="I24" s="256"/>
    </row>
    <row r="25" spans="3:19">
      <c r="C25" s="259" t="s">
        <v>87</v>
      </c>
      <c r="E25" s="256" t="str">
        <f>'Reference Score Calculation'!AC4</f>
        <v>英數Best3</v>
      </c>
      <c r="G25" s="536" t="str">
        <f>'Reference Score Calculation'!AF4</f>
        <v/>
      </c>
      <c r="H25" s="536"/>
      <c r="I25" s="536"/>
      <c r="J25" s="536"/>
      <c r="K25" s="536"/>
      <c r="L25" s="536"/>
      <c r="M25" s="536"/>
      <c r="N25" s="536"/>
      <c r="O25" s="536"/>
      <c r="S25" s="256" t="s">
        <v>88</v>
      </c>
    </row>
    <row r="26" spans="3:19">
      <c r="C26" s="264" t="s">
        <v>2967</v>
      </c>
      <c r="G26" s="536" t="str">
        <f>'Reference Score Calculation'!AG4</f>
        <v/>
      </c>
      <c r="H26" s="536"/>
      <c r="I26" s="536"/>
      <c r="J26" s="536"/>
      <c r="K26" s="536"/>
      <c r="L26" s="536"/>
      <c r="M26" s="536"/>
      <c r="N26" s="536"/>
      <c r="O26" s="536"/>
      <c r="S26" s="256" t="s">
        <v>89</v>
      </c>
    </row>
    <row r="27" spans="3:19">
      <c r="I27" s="256"/>
    </row>
    <row r="28" spans="3:19">
      <c r="C28" s="259" t="s">
        <v>85</v>
      </c>
      <c r="E28" s="259" t="s">
        <v>86</v>
      </c>
      <c r="G28" s="536" t="str">
        <f>'Reference Score Calculation'!AH4</f>
        <v>英文x2  + 數學x2</v>
      </c>
      <c r="H28" s="536"/>
      <c r="I28" s="536"/>
      <c r="J28" s="536"/>
      <c r="K28" s="536"/>
      <c r="L28" s="536"/>
      <c r="M28" s="536"/>
      <c r="N28" s="536"/>
      <c r="O28" s="536"/>
    </row>
    <row r="29" spans="3:19">
      <c r="E29" s="256" t="str">
        <f>'Reference Score Calculation'!Z4</f>
        <v>有</v>
      </c>
      <c r="G29" s="536" t="str">
        <f>'Reference Score Calculation'!AI4</f>
        <v>+ 最佳三科x1 或</v>
      </c>
      <c r="H29" s="536"/>
      <c r="I29" s="536"/>
      <c r="J29" s="536"/>
      <c r="K29" s="536"/>
      <c r="L29" s="536"/>
      <c r="M29" s="536"/>
      <c r="N29" s="536"/>
      <c r="O29" s="536"/>
    </row>
    <row r="30" spans="3:19">
      <c r="G30" s="536" t="str">
        <f>'Reference Score Calculation'!AJ4</f>
        <v>+ [化學、經濟、物理、M1/2]中最佳一科x1.5 + 最佳兩科x1</v>
      </c>
      <c r="H30" s="536"/>
      <c r="I30" s="536"/>
      <c r="J30" s="536"/>
      <c r="K30" s="536"/>
      <c r="L30" s="536"/>
      <c r="M30" s="536"/>
      <c r="N30" s="536"/>
      <c r="O30" s="536"/>
    </row>
    <row r="31" spans="3:19">
      <c r="I31" s="256"/>
    </row>
    <row r="32" spans="3:19">
      <c r="E32" s="259" t="s">
        <v>2966</v>
      </c>
      <c r="G32" s="535" t="str">
        <f>'Reference Score Calculation'!AD4</f>
        <v/>
      </c>
      <c r="H32" s="535"/>
      <c r="I32" s="535"/>
      <c r="J32" s="535"/>
      <c r="K32" s="535"/>
      <c r="L32" s="535"/>
      <c r="M32" s="535"/>
      <c r="N32" s="535"/>
      <c r="O32" s="535"/>
    </row>
    <row r="33" spans="3:15">
      <c r="E33" s="259"/>
      <c r="G33" s="345" t="str">
        <f>'Reference Score Calculation'!AE4</f>
        <v/>
      </c>
      <c r="H33" s="345"/>
      <c r="I33" s="345"/>
      <c r="J33" s="345"/>
      <c r="K33" s="345"/>
      <c r="L33" s="345"/>
      <c r="M33" s="345"/>
      <c r="N33" s="345"/>
      <c r="O33" s="345"/>
    </row>
    <row r="34" spans="3:15" ht="7.95" customHeight="1">
      <c r="I34" s="256"/>
    </row>
    <row r="35" spans="3:15">
      <c r="I35" s="256"/>
    </row>
    <row r="36" spans="3:15">
      <c r="C36" s="259" t="s">
        <v>90</v>
      </c>
      <c r="E36" s="536" t="str">
        <f>'Reference Score Calculation'!AK4</f>
        <v>LQ 每科平均成績:</v>
      </c>
      <c r="F36" s="536"/>
      <c r="G36" s="536"/>
      <c r="I36" s="265" t="s">
        <v>91</v>
      </c>
      <c r="J36" s="256" t="str">
        <f>'Reference Score Calculation'!AV4</f>
        <v>無</v>
      </c>
      <c r="L36" s="265" t="s">
        <v>92</v>
      </c>
      <c r="M36" s="536" t="str">
        <f>'Reference Score Calculation'!AW4</f>
        <v/>
      </c>
      <c r="N36" s="536"/>
      <c r="O36" s="536"/>
    </row>
    <row r="37" spans="3:15">
      <c r="E37" s="260" t="str">
        <f>'Reference Score Calculation'!AL4</f>
        <v>6.18 (已計算加分制)</v>
      </c>
      <c r="F37" s="260"/>
      <c r="G37" s="260"/>
      <c r="I37" s="256"/>
      <c r="M37" s="536" t="str">
        <f>'Reference Score Calculation'!AX4</f>
        <v/>
      </c>
      <c r="N37" s="536"/>
      <c r="O37" s="536"/>
    </row>
    <row r="38" spans="3:15">
      <c r="E38" s="536" t="str">
        <f>'Reference Score Calculation'!AM4</f>
        <v/>
      </c>
      <c r="F38" s="536"/>
      <c r="G38" s="536"/>
      <c r="I38" s="256"/>
      <c r="M38" s="536"/>
      <c r="N38" s="536"/>
      <c r="O38" s="536"/>
    </row>
    <row r="39" spans="3:15">
      <c r="I39" s="256"/>
    </row>
    <row r="40" spans="3:15">
      <c r="C40" s="259" t="s">
        <v>93</v>
      </c>
      <c r="E40" s="536" t="str">
        <f>'Reference Score Calculation'!AN4</f>
        <v>申請人必須出席面試</v>
      </c>
      <c r="F40" s="536"/>
      <c r="G40" s="536"/>
      <c r="H40" s="536"/>
      <c r="I40" s="536"/>
      <c r="J40" s="536"/>
      <c r="K40" s="536"/>
      <c r="L40" s="536"/>
      <c r="M40" s="536"/>
      <c r="N40" s="536"/>
      <c r="O40" s="536"/>
    </row>
    <row r="41" spans="3:15">
      <c r="E41" s="536" t="str">
        <f>'Reference Score Calculation'!AO4</f>
        <v/>
      </c>
      <c r="F41" s="536"/>
      <c r="G41" s="536"/>
      <c r="H41" s="536"/>
      <c r="I41" s="536"/>
      <c r="J41" s="536"/>
      <c r="K41" s="536"/>
      <c r="L41" s="536"/>
      <c r="M41" s="536"/>
      <c r="N41" s="536"/>
      <c r="O41" s="536"/>
    </row>
    <row r="42" spans="3:15">
      <c r="E42" s="536" t="str">
        <f>'Reference Score Calculation'!AP4</f>
        <v/>
      </c>
      <c r="F42" s="536"/>
      <c r="G42" s="536"/>
      <c r="H42" s="536"/>
      <c r="I42" s="536"/>
      <c r="J42" s="536"/>
      <c r="K42" s="536"/>
      <c r="L42" s="536"/>
      <c r="M42" s="536"/>
      <c r="N42" s="536"/>
      <c r="O42" s="536"/>
    </row>
    <row r="43" spans="3:15">
      <c r="E43" s="536" t="str">
        <f>'Reference Score Calculation'!AQ4</f>
        <v>此課程的加權後的 *最高可考獲分數* 為:  66.94</v>
      </c>
      <c r="F43" s="536"/>
      <c r="G43" s="536"/>
      <c r="H43" s="536"/>
      <c r="I43" s="536"/>
      <c r="J43" s="536"/>
      <c r="K43" s="536"/>
      <c r="L43" s="536"/>
      <c r="M43" s="536"/>
      <c r="N43" s="536"/>
      <c r="O43" s="536"/>
    </row>
    <row r="44" spans="3:15">
      <c r="E44" s="536" t="str">
        <f>'Reference Score Calculation'!AR4</f>
        <v>科大會根據同學的第六科成績獎勵最高5%的額外分數，計算方式如下︰</v>
      </c>
      <c r="F44" s="536"/>
      <c r="G44" s="536"/>
      <c r="H44" s="536"/>
      <c r="I44" s="536"/>
      <c r="J44" s="536"/>
      <c r="K44" s="536"/>
      <c r="L44" s="536"/>
      <c r="M44" s="536"/>
      <c r="N44" s="536"/>
      <c r="O44" s="536"/>
    </row>
    <row r="45" spans="3:15">
      <c r="E45" s="536" t="str">
        <f>'Reference Score Calculation'!AS4</f>
        <v>8.5分 -&gt; 5% | 7分 -&gt; 4.12% | 5.5分 -&gt; 3.24% | 4分 -&gt; 2.35% | 3分 -&gt; 1.76%</v>
      </c>
      <c r="F45" s="536"/>
      <c r="G45" s="536"/>
      <c r="H45" s="536"/>
      <c r="I45" s="536"/>
      <c r="J45" s="536"/>
      <c r="K45" s="536"/>
      <c r="L45" s="536"/>
      <c r="M45" s="536"/>
      <c r="N45" s="536"/>
      <c r="O45" s="536"/>
    </row>
    <row r="46" spans="3:15">
      <c r="G46" s="260"/>
      <c r="H46" s="260"/>
      <c r="I46" s="260"/>
      <c r="J46" s="260"/>
      <c r="K46" s="260"/>
      <c r="L46" s="260"/>
      <c r="M46" s="260"/>
      <c r="N46" s="260"/>
      <c r="O46" s="260"/>
    </row>
    <row r="47" spans="3:15">
      <c r="E47" s="409"/>
      <c r="F47" s="410"/>
      <c r="G47" s="257"/>
      <c r="H47" s="257"/>
      <c r="J47" s="257"/>
      <c r="K47" s="257"/>
      <c r="L47" s="257"/>
    </row>
    <row r="48" spans="3:15">
      <c r="E48" s="409"/>
      <c r="F48" s="411"/>
      <c r="G48" s="257"/>
      <c r="H48" s="257"/>
      <c r="J48" s="257"/>
      <c r="K48" s="257"/>
      <c r="L48" s="257"/>
    </row>
    <row r="49" spans="2:22">
      <c r="C49" s="259"/>
      <c r="D49" s="264"/>
      <c r="F49" s="273">
        <f>計分版!AP24</f>
        <v>0</v>
      </c>
      <c r="G49" s="273">
        <f>計分版!AQ24</f>
        <v>1</v>
      </c>
      <c r="H49" s="273">
        <f>計分版!AR24</f>
        <v>1</v>
      </c>
      <c r="I49" s="273">
        <f>計分版!AS24</f>
        <v>0</v>
      </c>
      <c r="J49" s="273">
        <f>計分版!AT24</f>
        <v>0</v>
      </c>
      <c r="K49" s="273">
        <f>計分版!AU24</f>
        <v>0</v>
      </c>
      <c r="L49" s="273">
        <f>計分版!AV24</f>
        <v>1</v>
      </c>
      <c r="M49" s="273">
        <f>計分版!AW24</f>
        <v>1</v>
      </c>
      <c r="N49" s="273">
        <f>計分版!AX24</f>
        <v>1</v>
      </c>
      <c r="O49" s="273">
        <f>計分版!AY24</f>
        <v>0</v>
      </c>
      <c r="S49" s="256" t="s">
        <v>3311</v>
      </c>
    </row>
    <row r="50" spans="2:22" ht="6" customHeight="1">
      <c r="B50" s="274"/>
      <c r="C50" s="275"/>
      <c r="D50" s="276"/>
      <c r="E50" s="274"/>
      <c r="F50" s="277"/>
      <c r="G50" s="277"/>
      <c r="H50" s="277"/>
      <c r="I50" s="277"/>
      <c r="J50" s="277"/>
      <c r="K50" s="277"/>
      <c r="L50" s="277"/>
      <c r="M50" s="274"/>
      <c r="N50" s="274"/>
      <c r="O50" s="274"/>
      <c r="P50" s="274"/>
      <c r="R50" s="274"/>
      <c r="S50" s="274"/>
      <c r="T50" s="274"/>
      <c r="U50" s="274"/>
      <c r="V50" s="274"/>
    </row>
    <row r="51" spans="2:22">
      <c r="B51" s="274"/>
      <c r="C51" s="274"/>
      <c r="D51" s="277"/>
      <c r="E51" s="274"/>
      <c r="F51" s="277" t="s">
        <v>94</v>
      </c>
      <c r="G51" s="277" t="s">
        <v>73</v>
      </c>
      <c r="H51" s="277" t="s">
        <v>74</v>
      </c>
      <c r="I51" s="277"/>
      <c r="J51" s="277" t="s">
        <v>95</v>
      </c>
      <c r="K51" s="277" t="str">
        <f>IF(計分版!P$1="請選擇第一選修科","無",計分版!P$1)</f>
        <v>無</v>
      </c>
      <c r="L51" s="277" t="str">
        <f>IF(計分版!Q$1="請選擇第二選修科","無",計分版!Q$1)</f>
        <v>無</v>
      </c>
      <c r="M51" s="277" t="str">
        <f>IF(計分版!R$1="請選擇第三選修科","無",計分版!R$1)</f>
        <v>無</v>
      </c>
      <c r="N51" s="277" t="str">
        <f>IF(計分版!S$1="請選擇第四選修科","無",計分版!S$1)</f>
        <v>無</v>
      </c>
      <c r="O51" s="277" t="str">
        <f>IF(計分版!T$1="請選擇語言科目","無",計分版!T$1)</f>
        <v>無</v>
      </c>
      <c r="P51" s="274"/>
      <c r="R51" s="274"/>
      <c r="S51" s="277" t="s">
        <v>3312</v>
      </c>
      <c r="T51" s="274"/>
      <c r="U51" s="274" t="s">
        <v>3313</v>
      </c>
      <c r="V51" s="274"/>
    </row>
    <row r="52" spans="2:22">
      <c r="B52" s="274"/>
      <c r="C52" s="274" t="s">
        <v>35</v>
      </c>
      <c r="D52" s="272">
        <f>計分版!J24</f>
        <v>0</v>
      </c>
      <c r="E52" s="274"/>
      <c r="F52" s="272">
        <f>IFERROR(計分版!K31,"")</f>
        <v>0</v>
      </c>
      <c r="G52" s="272">
        <f>IFERROR(計分版!L31,"")</f>
        <v>0</v>
      </c>
      <c r="H52" s="272">
        <f>IFERROR(計分版!M31,"")</f>
        <v>0</v>
      </c>
      <c r="I52" s="277"/>
      <c r="J52" s="272">
        <f>IFERROR(計分版!O31,"")</f>
        <v>0</v>
      </c>
      <c r="K52" s="272">
        <f>IFERROR(計分版!P31,"")</f>
        <v>0</v>
      </c>
      <c r="L52" s="272">
        <f>IFERROR(計分版!Q31,"")</f>
        <v>0</v>
      </c>
      <c r="M52" s="272">
        <f>IFERROR(計分版!R31,"")</f>
        <v>0</v>
      </c>
      <c r="N52" s="272">
        <f>IFERROR(計分版!S31,"")</f>
        <v>0</v>
      </c>
      <c r="O52" s="272">
        <f>IFERROR(計分版!T31,"")</f>
        <v>0</v>
      </c>
      <c r="P52" s="274"/>
      <c r="R52" s="274"/>
      <c r="S52" s="514" t="str">
        <f>計分版!BC23</f>
        <v>請選擇第一選修科</v>
      </c>
      <c r="T52" s="274"/>
      <c r="U52" s="514">
        <f>計分版!BE23</f>
        <v>1</v>
      </c>
      <c r="V52" s="274"/>
    </row>
    <row r="53" spans="2:22">
      <c r="B53" s="274"/>
      <c r="C53" s="274"/>
      <c r="D53" s="277"/>
      <c r="E53" s="278" t="s">
        <v>96</v>
      </c>
      <c r="F53" s="279">
        <f>計分版!K24</f>
        <v>1</v>
      </c>
      <c r="G53" s="279">
        <f>計分版!L24</f>
        <v>2</v>
      </c>
      <c r="H53" s="279">
        <f>計分版!M24</f>
        <v>2</v>
      </c>
      <c r="I53" s="277"/>
      <c r="J53" s="279">
        <f>計分版!O24</f>
        <v>1</v>
      </c>
      <c r="K53" s="279">
        <f>計分版!P24</f>
        <v>1</v>
      </c>
      <c r="L53" s="279">
        <f>計分版!Q24</f>
        <v>1</v>
      </c>
      <c r="M53" s="279">
        <f>計分版!R24</f>
        <v>1</v>
      </c>
      <c r="N53" s="279">
        <f>計分版!S24</f>
        <v>1</v>
      </c>
      <c r="O53" s="279">
        <f>計分版!T24</f>
        <v>1</v>
      </c>
      <c r="P53" s="274"/>
      <c r="R53" s="274"/>
      <c r="S53" s="274"/>
      <c r="T53" s="274"/>
      <c r="U53" s="274"/>
      <c r="V53" s="274"/>
    </row>
    <row r="54" spans="2:22">
      <c r="B54" s="274"/>
      <c r="C54" s="274" t="s">
        <v>2970</v>
      </c>
      <c r="D54" s="272" t="str">
        <f>'Reference Score Calculation'!F4</f>
        <v>英數Best3</v>
      </c>
      <c r="E54" s="274"/>
      <c r="F54" s="272">
        <f>IF(計分版!V24&lt;1,0,計分版!V24)</f>
        <v>0</v>
      </c>
      <c r="G54" s="272">
        <f>IF(計分版!W24&lt;1,0,計分版!W24)</f>
        <v>0</v>
      </c>
      <c r="H54" s="272">
        <f>IF(計分版!X24&lt;1,0,計分版!X24)</f>
        <v>0</v>
      </c>
      <c r="I54" s="277"/>
      <c r="J54" s="272">
        <f>IF(計分版!Z24&lt;1,0,計分版!Z24)</f>
        <v>0</v>
      </c>
      <c r="K54" s="272">
        <f>IF(計分版!AA24&lt;1,0,計分版!AA24)</f>
        <v>0</v>
      </c>
      <c r="L54" s="272">
        <f>IF(計分版!AB24&lt;1,0,計分版!AB24)</f>
        <v>0</v>
      </c>
      <c r="M54" s="272">
        <f>IF(計分版!AC24&lt;1,0,計分版!AC24)</f>
        <v>0</v>
      </c>
      <c r="N54" s="272">
        <f>IF(計分版!AD24&lt;1,0,計分版!AD24)</f>
        <v>0</v>
      </c>
      <c r="O54" s="272">
        <f>IF(計分版!AE24&lt;1,0,計分版!AE24)</f>
        <v>0</v>
      </c>
      <c r="P54" s="274"/>
      <c r="R54" s="274"/>
      <c r="S54" s="274" t="str">
        <f>計分版!BF23</f>
        <v>Best 5總分 x 1</v>
      </c>
      <c r="T54" s="274"/>
      <c r="U54" s="274"/>
      <c r="V54" s="274"/>
    </row>
    <row r="55" spans="2:22" ht="9" customHeight="1">
      <c r="B55" s="274"/>
      <c r="C55" s="274"/>
      <c r="D55" s="274"/>
      <c r="E55" s="274"/>
      <c r="F55" s="277"/>
      <c r="G55" s="277"/>
      <c r="H55" s="277"/>
      <c r="I55" s="277"/>
      <c r="J55" s="277"/>
      <c r="K55" s="277"/>
      <c r="L55" s="277"/>
      <c r="M55" s="277"/>
      <c r="N55" s="277"/>
      <c r="O55" s="277"/>
      <c r="P55" s="274"/>
      <c r="R55" s="274"/>
      <c r="S55" s="274"/>
      <c r="T55" s="274"/>
      <c r="U55" s="274"/>
      <c r="V55" s="274"/>
    </row>
    <row r="56" spans="2:22">
      <c r="D56" s="257"/>
      <c r="F56" s="257"/>
      <c r="G56" s="257"/>
      <c r="H56" s="257"/>
      <c r="J56" s="257"/>
      <c r="K56" s="257"/>
      <c r="L56" s="257"/>
      <c r="M56" s="257"/>
      <c r="N56" s="257"/>
      <c r="O56" s="257"/>
    </row>
    <row r="57" spans="2:22">
      <c r="H57" s="257"/>
      <c r="J57" s="257"/>
      <c r="K57" s="257"/>
      <c r="L57" s="257"/>
      <c r="M57" s="257"/>
      <c r="N57" s="257"/>
      <c r="O57" s="257"/>
    </row>
    <row r="58" spans="2:22">
      <c r="F58" s="257" t="s">
        <v>94</v>
      </c>
      <c r="G58" s="257" t="s">
        <v>73</v>
      </c>
      <c r="H58" s="257" t="s">
        <v>74</v>
      </c>
      <c r="J58" s="257" t="s">
        <v>95</v>
      </c>
      <c r="K58" s="257" t="s">
        <v>97</v>
      </c>
      <c r="L58" s="257" t="s">
        <v>98</v>
      </c>
      <c r="M58" s="257" t="s">
        <v>99</v>
      </c>
      <c r="N58" s="257"/>
    </row>
    <row r="59" spans="2:22">
      <c r="C59" s="256" t="s">
        <v>100</v>
      </c>
      <c r="D59" s="272">
        <f>'Reference Score Calculation'!J4</f>
        <v>48.56</v>
      </c>
      <c r="F59" s="272" t="str">
        <f>'Reference Score Calculation'!BI4</f>
        <v/>
      </c>
      <c r="G59" s="272" t="str">
        <f>'Reference Score Calculation'!BJ4</f>
        <v/>
      </c>
      <c r="H59" s="272" t="str">
        <f>'Reference Score Calculation'!BK4</f>
        <v/>
      </c>
      <c r="J59" s="272" t="str">
        <f>'Reference Score Calculation'!BM4</f>
        <v/>
      </c>
      <c r="K59" s="272" t="str">
        <f>'Reference Score Calculation'!BN4</f>
        <v/>
      </c>
      <c r="L59" s="272" t="str">
        <f>'Reference Score Calculation'!BO4</f>
        <v/>
      </c>
      <c r="M59" s="272" t="str">
        <f>'Reference Score Calculation'!BP4</f>
        <v/>
      </c>
      <c r="N59" s="257"/>
      <c r="O59" s="259" t="str">
        <f>'Reference Score Calculation'!AT4</f>
        <v>此參考分數為院校公佈的 已計比重分數，沒有估算成份。</v>
      </c>
    </row>
    <row r="60" spans="2:22">
      <c r="C60" s="268"/>
      <c r="D60" s="269"/>
      <c r="E60" s="266" t="s">
        <v>96</v>
      </c>
      <c r="F60" s="267" t="str">
        <f>'Reference Score Calculation'!AZ4</f>
        <v/>
      </c>
      <c r="G60" s="267" t="str">
        <f>'Reference Score Calculation'!BA4</f>
        <v/>
      </c>
      <c r="H60" s="267" t="str">
        <f>'Reference Score Calculation'!BB4</f>
        <v/>
      </c>
      <c r="J60" s="267" t="str">
        <f>'Reference Score Calculation'!BD4</f>
        <v/>
      </c>
      <c r="K60" s="267" t="str">
        <f>'Reference Score Calculation'!BE4</f>
        <v/>
      </c>
      <c r="L60" s="267" t="str">
        <f>'Reference Score Calculation'!BF4</f>
        <v/>
      </c>
      <c r="M60" s="267" t="str">
        <f>'Reference Score Calculation'!BG4</f>
        <v/>
      </c>
      <c r="N60" s="257"/>
      <c r="O60" s="259" t="str">
        <f>'Reference Score Calculation'!AU4</f>
        <v/>
      </c>
    </row>
    <row r="61" spans="2:22">
      <c r="C61" s="256" t="s">
        <v>101</v>
      </c>
      <c r="D61" s="270">
        <f>IFERROR(($D$52-D59)/D59,0)</f>
        <v>-1</v>
      </c>
      <c r="F61" s="272" t="str">
        <f>'Reference Score Calculation'!BY4</f>
        <v/>
      </c>
      <c r="G61" s="272" t="str">
        <f>'Reference Score Calculation'!BZ4</f>
        <v/>
      </c>
      <c r="H61" s="272" t="str">
        <f>'Reference Score Calculation'!CA4</f>
        <v/>
      </c>
      <c r="J61" s="272" t="str">
        <f>'Reference Score Calculation'!CC4</f>
        <v/>
      </c>
      <c r="K61" s="272" t="str">
        <f>'Reference Score Calculation'!CD4</f>
        <v/>
      </c>
      <c r="L61" s="272" t="str">
        <f>'Reference Score Calculation'!CE4</f>
        <v/>
      </c>
      <c r="M61" s="272" t="str">
        <f>'Reference Score Calculation'!CF4</f>
        <v/>
      </c>
      <c r="N61" s="257"/>
      <c r="O61" s="259"/>
    </row>
    <row r="62" spans="2:22">
      <c r="D62" s="257"/>
      <c r="F62" s="273" t="str">
        <f>'Reference Score Calculation'!CG4</f>
        <v/>
      </c>
      <c r="G62" s="273" t="str">
        <f>'Reference Score Calculation'!CH4</f>
        <v/>
      </c>
      <c r="H62" s="273" t="str">
        <f>'Reference Score Calculation'!CI4</f>
        <v/>
      </c>
      <c r="J62" s="273" t="str">
        <f>'Reference Score Calculation'!CK4</f>
        <v/>
      </c>
      <c r="K62" s="273" t="str">
        <f>'Reference Score Calculation'!CL4</f>
        <v/>
      </c>
      <c r="L62" s="273" t="str">
        <f>'Reference Score Calculation'!CM4</f>
        <v/>
      </c>
      <c r="M62" s="273" t="str">
        <f>'Reference Score Calculation'!CN4</f>
        <v/>
      </c>
      <c r="N62" s="257"/>
    </row>
    <row r="63" spans="2:22">
      <c r="D63" s="257"/>
      <c r="F63" s="271"/>
      <c r="G63" s="271"/>
      <c r="H63" s="271"/>
      <c r="J63" s="271"/>
      <c r="K63" s="271"/>
      <c r="L63" s="271"/>
      <c r="M63" s="271"/>
      <c r="N63" s="257"/>
    </row>
    <row r="64" spans="2:22">
      <c r="D64" s="257"/>
      <c r="F64" s="257" t="s">
        <v>94</v>
      </c>
      <c r="G64" s="257" t="s">
        <v>73</v>
      </c>
      <c r="H64" s="257" t="s">
        <v>74</v>
      </c>
      <c r="J64" s="257" t="s">
        <v>95</v>
      </c>
      <c r="K64" s="257" t="s">
        <v>97</v>
      </c>
      <c r="L64" s="257" t="s">
        <v>98</v>
      </c>
      <c r="M64" s="257" t="s">
        <v>99</v>
      </c>
      <c r="N64" s="257"/>
      <c r="O64" s="257"/>
    </row>
    <row r="65" spans="3:15">
      <c r="C65" s="256" t="s">
        <v>102</v>
      </c>
      <c r="D65" s="272">
        <f>'Reference Score Calculation'!I4</f>
        <v>50.06</v>
      </c>
      <c r="F65" s="272" t="str">
        <f>'Reference Score Calculation'!CX4</f>
        <v/>
      </c>
      <c r="G65" s="272" t="str">
        <f>'Reference Score Calculation'!CY4</f>
        <v/>
      </c>
      <c r="H65" s="272" t="str">
        <f>'Reference Score Calculation'!CZ4</f>
        <v/>
      </c>
      <c r="J65" s="272" t="str">
        <f>'Reference Score Calculation'!DB4</f>
        <v/>
      </c>
      <c r="K65" s="272" t="str">
        <f>'Reference Score Calculation'!DC4</f>
        <v/>
      </c>
      <c r="L65" s="272" t="str">
        <f>'Reference Score Calculation'!DD4</f>
        <v/>
      </c>
      <c r="M65" s="272" t="str">
        <f>'Reference Score Calculation'!DE4</f>
        <v/>
      </c>
      <c r="N65" s="257"/>
      <c r="O65" s="259"/>
    </row>
    <row r="66" spans="3:15">
      <c r="E66" s="266" t="s">
        <v>96</v>
      </c>
      <c r="F66" s="267" t="str">
        <f>'Reference Score Calculation'!CO4</f>
        <v/>
      </c>
      <c r="G66" s="267" t="str">
        <f>'Reference Score Calculation'!CP4</f>
        <v/>
      </c>
      <c r="H66" s="267" t="str">
        <f>'Reference Score Calculation'!CQ4</f>
        <v/>
      </c>
      <c r="J66" s="267" t="str">
        <f>'Reference Score Calculation'!CS4</f>
        <v/>
      </c>
      <c r="K66" s="267" t="str">
        <f>'Reference Score Calculation'!CT4</f>
        <v/>
      </c>
      <c r="L66" s="267" t="str">
        <f>'Reference Score Calculation'!CU4</f>
        <v/>
      </c>
      <c r="M66" s="267" t="str">
        <f>'Reference Score Calculation'!CV4</f>
        <v/>
      </c>
    </row>
    <row r="67" spans="3:15">
      <c r="C67" s="256" t="s">
        <v>101</v>
      </c>
      <c r="D67" s="270">
        <f>IFERROR(($D$52-D65)/D65,0)</f>
        <v>-1</v>
      </c>
      <c r="F67" s="272" t="str">
        <f>'Reference Score Calculation'!DN4</f>
        <v/>
      </c>
      <c r="G67" s="272" t="str">
        <f>'Reference Score Calculation'!DO4</f>
        <v/>
      </c>
      <c r="H67" s="272" t="str">
        <f>'Reference Score Calculation'!DP4</f>
        <v/>
      </c>
      <c r="J67" s="272" t="str">
        <f>'Reference Score Calculation'!DR4</f>
        <v/>
      </c>
      <c r="K67" s="272" t="str">
        <f>'Reference Score Calculation'!DS4</f>
        <v/>
      </c>
      <c r="L67" s="272" t="str">
        <f>'Reference Score Calculation'!DT4</f>
        <v/>
      </c>
      <c r="M67" s="272" t="str">
        <f>'Reference Score Calculation'!DU4</f>
        <v/>
      </c>
    </row>
    <row r="68" spans="3:15">
      <c r="D68" s="257"/>
      <c r="F68" s="273" t="str">
        <f>'Reference Score Calculation'!DV4</f>
        <v/>
      </c>
      <c r="G68" s="273" t="str">
        <f>'Reference Score Calculation'!DW4</f>
        <v/>
      </c>
      <c r="H68" s="273" t="str">
        <f>'Reference Score Calculation'!DX4</f>
        <v/>
      </c>
      <c r="J68" s="273" t="str">
        <f>'Reference Score Calculation'!DZ4</f>
        <v/>
      </c>
      <c r="K68" s="273" t="str">
        <f>'Reference Score Calculation'!EA4</f>
        <v/>
      </c>
      <c r="L68" s="273" t="str">
        <f>'Reference Score Calculation'!EB4</f>
        <v/>
      </c>
      <c r="M68" s="273" t="str">
        <f>'Reference Score Calculation'!EC4</f>
        <v/>
      </c>
      <c r="O68" s="257"/>
    </row>
    <row r="69" spans="3:15">
      <c r="C69" s="259"/>
      <c r="D69" s="259"/>
      <c r="E69" s="257"/>
      <c r="F69" s="257"/>
      <c r="G69" s="257"/>
      <c r="H69" s="257"/>
      <c r="J69" s="257"/>
      <c r="K69" s="257"/>
      <c r="L69" s="257"/>
    </row>
    <row r="70" spans="3:15">
      <c r="C70" s="259"/>
      <c r="D70" s="259"/>
      <c r="E70" s="257"/>
      <c r="F70" s="257" t="s">
        <v>94</v>
      </c>
      <c r="G70" s="257" t="s">
        <v>73</v>
      </c>
      <c r="H70" s="257" t="s">
        <v>74</v>
      </c>
      <c r="J70" s="257" t="s">
        <v>95</v>
      </c>
      <c r="K70" s="257" t="str">
        <f>IF(計分版!P$1="請選擇第一選修科","無",計分版!P$1)</f>
        <v>無</v>
      </c>
      <c r="L70" s="257" t="str">
        <f>IF(計分版!Q$1="請選擇第二選修科","無",計分版!Q$1)</f>
        <v>無</v>
      </c>
      <c r="M70" s="257" t="str">
        <f>IF(計分版!R$1="請選擇第三選修科","無",計分版!R$1)</f>
        <v>無</v>
      </c>
      <c r="N70" s="257"/>
      <c r="O70" s="257"/>
    </row>
    <row r="71" spans="3:15">
      <c r="C71" s="256" t="s">
        <v>103</v>
      </c>
      <c r="D71" s="272" t="str">
        <f>'Reference Score Calculation'!H4</f>
        <v/>
      </c>
      <c r="E71" s="257"/>
      <c r="F71" s="272" t="str">
        <f>IF($E$8="PolyU",計分版!K31,'Reference Score Calculation'!EL4)</f>
        <v/>
      </c>
      <c r="G71" s="272" t="str">
        <f>IF($E$8="PolyU",計分版!L31,'Reference Score Calculation'!EM4)</f>
        <v/>
      </c>
      <c r="H71" s="272" t="str">
        <f>IF($E$8="PolyU",計分版!M31,'Reference Score Calculation'!EN4)</f>
        <v/>
      </c>
      <c r="J71" s="272" t="str">
        <f>IF($E$8="PolyU",計分版!O31,'Reference Score Calculation'!EP4)</f>
        <v/>
      </c>
      <c r="K71" s="272" t="str">
        <f>IF($E$8="PolyU",計分版!P31,'Reference Score Calculation'!EQ4)</f>
        <v/>
      </c>
      <c r="L71" s="272" t="str">
        <f>IF($E$8="PolyU",計分版!Q31,'Reference Score Calculation'!ER4)</f>
        <v/>
      </c>
      <c r="M71" s="272" t="str">
        <f>IF($E$8="PolyU",計分版!R31,'Reference Score Calculation'!ES4)</f>
        <v/>
      </c>
      <c r="N71" s="257"/>
      <c r="O71" s="257"/>
    </row>
    <row r="72" spans="3:15">
      <c r="E72" s="266" t="s">
        <v>96</v>
      </c>
      <c r="F72" s="267" t="str">
        <f>IF($E$8="PolyU",計分版!K26,'Reference Score Calculation'!ED4)</f>
        <v/>
      </c>
      <c r="G72" s="267" t="str">
        <f>IF($E$8="PolyU",計分版!L26,'Reference Score Calculation'!EE4)</f>
        <v/>
      </c>
      <c r="H72" s="267" t="str">
        <f>IF($E$8="PolyU",計分版!M26,'Reference Score Calculation'!EF4)</f>
        <v/>
      </c>
      <c r="J72" s="267" t="str">
        <f>IF($E$8="PolyU",計分版!O26,'Reference Score Calculation'!EH4)</f>
        <v/>
      </c>
      <c r="K72" s="267" t="str">
        <f>IF($E$8="PolyU",計分版!P26,'Reference Score Calculation'!EI4)</f>
        <v/>
      </c>
      <c r="L72" s="267" t="str">
        <f>IF($E$8="PolyU",計分版!Q26,'Reference Score Calculation'!EJ4)</f>
        <v/>
      </c>
      <c r="M72" s="267" t="str">
        <f>IF($E$8="PolyU",計分版!R26,'Reference Score Calculation'!EK4)</f>
        <v/>
      </c>
      <c r="N72" s="267"/>
      <c r="O72" s="267"/>
    </row>
    <row r="73" spans="3:15">
      <c r="C73" s="256" t="str">
        <f>IF($E$8="PolyU","","相差")</f>
        <v>相差</v>
      </c>
      <c r="D73" s="270">
        <f>IFERROR(IF(E$8="PolyU","",($D$52-D71)/D71),0)</f>
        <v>0</v>
      </c>
      <c r="E73" s="257"/>
      <c r="F73" s="272" t="str">
        <f>IF($E$8="PolyU",IF(計分版!V26&lt;0.1,0,計分版!V26),'Reference Score Calculation'!FB4)</f>
        <v/>
      </c>
      <c r="G73" s="272" t="str">
        <f>IF($E$8="PolyU",IF(計分版!W26&lt;0.1,0,計分版!W26),'Reference Score Calculation'!FC4)</f>
        <v/>
      </c>
      <c r="H73" s="272" t="str">
        <f>IF($E$8="PolyU",IF(計分版!X26&lt;0.1,0,計分版!X26),'Reference Score Calculation'!FD4)</f>
        <v/>
      </c>
      <c r="J73" s="272" t="str">
        <f>IF($E$8="PolyU",IF(計分版!Z26&lt;0.1,0,計分版!Z26),'Reference Score Calculation'!FF4)</f>
        <v/>
      </c>
      <c r="K73" s="272" t="str">
        <f>IF($E$8="PolyU",IF(計分版!AA26&lt;0.1,0,計分版!AA26),'Reference Score Calculation'!FG4)</f>
        <v/>
      </c>
      <c r="L73" s="272" t="str">
        <f>IF($E$8="PolyU",IF(計分版!AB26&lt;0.1,0,計分版!AB26),'Reference Score Calculation'!FH4)</f>
        <v/>
      </c>
      <c r="M73" s="272" t="str">
        <f>IF($E$8="PolyU",IF(計分版!AC26&lt;0.1,0,計分版!AC26),'Reference Score Calculation'!FI4)</f>
        <v/>
      </c>
      <c r="N73" s="257"/>
      <c r="O73" s="257"/>
    </row>
    <row r="74" spans="3:15">
      <c r="E74" s="257"/>
      <c r="F74" s="273" t="str">
        <f>'Reference Score Calculation'!FJ4</f>
        <v/>
      </c>
      <c r="G74" s="273" t="str">
        <f>'Reference Score Calculation'!FK4</f>
        <v/>
      </c>
      <c r="H74" s="273" t="str">
        <f>'Reference Score Calculation'!FL4</f>
        <v/>
      </c>
      <c r="J74" s="273" t="str">
        <f>'Reference Score Calculation'!FN4</f>
        <v/>
      </c>
      <c r="K74" s="273" t="str">
        <f>'Reference Score Calculation'!FO4</f>
        <v/>
      </c>
      <c r="L74" s="273" t="str">
        <f>'Reference Score Calculation'!FP4</f>
        <v/>
      </c>
      <c r="M74" s="273" t="str">
        <f>'Reference Score Calculation'!FQ4</f>
        <v/>
      </c>
      <c r="N74" s="271"/>
      <c r="O74" s="271"/>
    </row>
    <row r="75" spans="3:15">
      <c r="D75" s="257"/>
      <c r="E75" s="271"/>
      <c r="F75" s="271"/>
      <c r="G75" s="271"/>
      <c r="H75" s="271"/>
      <c r="J75" s="271"/>
      <c r="K75" s="271"/>
      <c r="L75" s="271"/>
    </row>
    <row r="76" spans="3:15"/>
    <row r="77" spans="3:15"/>
  </sheetData>
  <sheetProtection sheet="1" selectLockedCells="1"/>
  <protectedRanges>
    <protectedRange sqref="H6" name="JUPAS"/>
  </protectedRanges>
  <mergeCells count="24">
    <mergeCell ref="E43:O43"/>
    <mergeCell ref="E44:O44"/>
    <mergeCell ref="E45:O45"/>
    <mergeCell ref="F8:J8"/>
    <mergeCell ref="M38:O38"/>
    <mergeCell ref="E36:G36"/>
    <mergeCell ref="E38:G38"/>
    <mergeCell ref="E40:O40"/>
    <mergeCell ref="E41:O41"/>
    <mergeCell ref="E42:O42"/>
    <mergeCell ref="G26:O26"/>
    <mergeCell ref="G28:O28"/>
    <mergeCell ref="G29:O29"/>
    <mergeCell ref="G30:O30"/>
    <mergeCell ref="M36:O36"/>
    <mergeCell ref="M37:O37"/>
    <mergeCell ref="L11:M11"/>
    <mergeCell ref="G32:O32"/>
    <mergeCell ref="G25:O25"/>
    <mergeCell ref="G16:O16"/>
    <mergeCell ref="G17:O17"/>
    <mergeCell ref="G19:O19"/>
    <mergeCell ref="G20:O20"/>
    <mergeCell ref="G21:O21"/>
  </mergeCells>
  <phoneticPr fontId="3" type="noConversion"/>
  <conditionalFormatting sqref="B16:G17 B19:G21 B25:G26 B28:G30 B32:G33 B15:P15 P16:P17 B18:P18 P19:P21 B22:P22 B24:P24 P25:P26 B27:P27 P28:P33 B31:O31 B34:P34">
    <cfRule type="expression" dxfId="265" priority="4">
      <formula>TRUE</formula>
    </cfRule>
  </conditionalFormatting>
  <conditionalFormatting sqref="C8 E8:F8 L8 O8 O11 E16 G16:G17 G19:G21 E20 E25 G25:G26 G28:G30 E29 G32:G33 E36 J36:K36 M36:M38 E37:G37 E38 E40:E45">
    <cfRule type="expression" dxfId="264" priority="3">
      <formula>TRUE</formula>
    </cfRule>
  </conditionalFormatting>
  <conditionalFormatting sqref="C57:H63 J57:O63">
    <cfRule type="expression" dxfId="263" priority="21" stopIfTrue="1">
      <formula>$D$59=""</formula>
    </cfRule>
  </conditionalFormatting>
  <conditionalFormatting sqref="C64:H68 J64:O68">
    <cfRule type="expression" dxfId="262" priority="22" stopIfTrue="1">
      <formula>$D$65=""</formula>
    </cfRule>
  </conditionalFormatting>
  <conditionalFormatting sqref="C69:H74 J69:O74 Q69:Z74">
    <cfRule type="expression" dxfId="261" priority="23" stopIfTrue="1">
      <formula>$D$71=""</formula>
    </cfRule>
  </conditionalFormatting>
  <conditionalFormatting sqref="D73 D67 D61">
    <cfRule type="cellIs" dxfId="260" priority="27" operator="lessThan">
      <formula>0</formula>
    </cfRule>
    <cfRule type="cellIs" dxfId="259" priority="29" operator="greaterThanOrEqual">
      <formula>0</formula>
    </cfRule>
  </conditionalFormatting>
  <conditionalFormatting sqref="F54:H55 J54:O55">
    <cfRule type="expression" dxfId="252" priority="41">
      <formula>F49</formula>
    </cfRule>
  </conditionalFormatting>
  <conditionalFormatting sqref="F67:H67 J67:M67 F61:H61 J61:M61">
    <cfRule type="expression" dxfId="251" priority="63">
      <formula>F62</formula>
    </cfRule>
  </conditionalFormatting>
  <conditionalFormatting sqref="F73:H73 J73:O73">
    <cfRule type="expression" dxfId="250" priority="62">
      <formula>F74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82" id="{86653BAB-20F3-449A-B9F8-D656B9FFF80D}">
            <xm:f>入學要求!$S$18=0</xm:f>
            <x14:dxf>
              <font>
                <color rgb="FF9C0006"/>
              </font>
              <fill>
                <patternFill>
                  <bgColor rgb="FFFFC7CE"/>
                </patternFill>
              </fill>
            </x14:dxf>
          </x14:cfRule>
          <x14:cfRule type="expression" priority="83" id="{070C1F05-6657-4B85-B24D-62CAA389D1E1}">
            <xm:f>入學要求!$S$18=2</xm:f>
            <x14:dxf>
              <font>
                <color rgb="FF9C5700"/>
              </font>
              <fill>
                <patternFill>
                  <bgColor rgb="FFFFEB9C"/>
                </patternFill>
              </fill>
            </x14:dxf>
          </x14:cfRule>
          <x14:cfRule type="expression" priority="84" id="{C68A847E-030E-483F-ABF6-6BFDAA020694}">
            <xm:f>入學要求!$S$18=1</xm:f>
            <x14:dxf>
              <font>
                <color rgb="FF006100"/>
              </font>
              <fill>
                <patternFill>
                  <bgColor rgb="FFC6EFCE"/>
                </patternFill>
              </fill>
            </x14:dxf>
          </x14:cfRule>
          <xm:sqref>E11</xm:sqref>
        </x14:conditionalFormatting>
        <x14:conditionalFormatting xmlns:xm="http://schemas.microsoft.com/office/excel/2006/main">
          <x14:cfRule type="expression" priority="79" id="{1CB9E39F-6654-4BB8-AB6A-E563B06AC0EF}">
            <xm:f>入學要求!$T$18=0</xm:f>
            <x14:dxf>
              <font>
                <color rgb="FF9C0006"/>
              </font>
              <fill>
                <patternFill>
                  <bgColor rgb="FFFFC7CE"/>
                </patternFill>
              </fill>
            </x14:dxf>
          </x14:cfRule>
          <x14:cfRule type="expression" priority="80" id="{A1CE3C34-A4C0-44A6-B734-8E9B59F0C6FB}">
            <xm:f>入學要求!$T$18=2</xm:f>
            <x14:dxf>
              <font>
                <color rgb="FF9C5700"/>
              </font>
              <fill>
                <patternFill>
                  <bgColor rgb="FFFFEB9C"/>
                </patternFill>
              </fill>
            </x14:dxf>
          </x14:cfRule>
          <x14:cfRule type="expression" priority="81" id="{88F54AB1-D35A-4C58-A97D-5CAF90AFF272}">
            <xm:f>入學要求!$T$18=1</xm:f>
            <x14:dxf>
              <font>
                <color rgb="FF006100"/>
              </font>
              <fill>
                <patternFill>
                  <bgColor rgb="FFC6EFCE"/>
                </patternFill>
              </fill>
            </x14:dxf>
          </x14:cfRule>
          <xm:sqref>F11</xm:sqref>
        </x14:conditionalFormatting>
        <x14:conditionalFormatting xmlns:xm="http://schemas.microsoft.com/office/excel/2006/main">
          <x14:cfRule type="expression" priority="76" id="{F3AFCBFC-D0DA-4E46-82E6-AD703BB34D57}">
            <xm:f>入學要求!$U$18=0</xm:f>
            <x14:dxf>
              <font>
                <color rgb="FF9C0006"/>
              </font>
              <fill>
                <patternFill>
                  <bgColor rgb="FFFFC7CE"/>
                </patternFill>
              </fill>
            </x14:dxf>
          </x14:cfRule>
          <x14:cfRule type="expression" priority="77" id="{240152D7-58E9-4F4B-B49B-1C1F9206AB84}">
            <xm:f>入學要求!$U$18=2</xm:f>
            <x14:dxf>
              <font>
                <color rgb="FF9C5700"/>
              </font>
              <fill>
                <patternFill>
                  <bgColor rgb="FFFFEB9C"/>
                </patternFill>
              </fill>
            </x14:dxf>
          </x14:cfRule>
          <x14:cfRule type="expression" priority="78" id="{4ED92262-35CE-4F47-B326-364A37E08BA4}">
            <xm:f>入學要求!$U$18=1</xm:f>
            <x14:dxf>
              <font>
                <color rgb="FF006100"/>
              </font>
              <fill>
                <patternFill>
                  <bgColor rgb="FFC6EFCE"/>
                </patternFill>
              </fill>
            </x14:dxf>
          </x14:cfRule>
          <xm:sqref>G11</xm:sqref>
        </x14:conditionalFormatting>
        <x14:conditionalFormatting xmlns:xm="http://schemas.microsoft.com/office/excel/2006/main">
          <x14:cfRule type="expression" priority="73" id="{A1F438EA-84FC-47DB-B3A6-77D1380E62CD}">
            <xm:f>入學要求!$V$18=0</xm:f>
            <x14:dxf>
              <font>
                <color rgb="FF9C0006"/>
              </font>
              <fill>
                <patternFill>
                  <bgColor rgb="FFFFC7CE"/>
                </patternFill>
              </fill>
            </x14:dxf>
          </x14:cfRule>
          <x14:cfRule type="expression" priority="74" id="{45342687-B2C4-4A68-8F2A-550F2DB52519}">
            <xm:f>入學要求!$V$18=2</xm:f>
            <x14:dxf>
              <font>
                <color rgb="FF9C5700"/>
              </font>
              <fill>
                <patternFill>
                  <bgColor rgb="FFFFEB9C"/>
                </patternFill>
              </fill>
            </x14:dxf>
          </x14:cfRule>
          <x14:cfRule type="expression" priority="75" id="{12FE55E0-CA82-4E53-B2BD-7D27197FF798}">
            <xm:f>入學要求!$V$18=1</xm:f>
            <x14:dxf>
              <font>
                <color rgb="FF006100"/>
              </font>
              <fill>
                <patternFill>
                  <bgColor rgb="FFC6EFCE"/>
                </patternFill>
              </fill>
            </x14:dxf>
          </x14:cfRule>
          <xm:sqref>H11</xm:sqref>
        </x14:conditionalFormatting>
        <x14:conditionalFormatting xmlns:xm="http://schemas.microsoft.com/office/excel/2006/main">
          <x14:cfRule type="expression" priority="70" id="{2918149A-2E63-4760-A01D-ADAEC33D2B5C}">
            <xm:f>入學要求!$W$18=0</xm:f>
            <x14:dxf>
              <font>
                <color rgb="FF9C0006"/>
              </font>
              <fill>
                <patternFill>
                  <bgColor rgb="FFFFC7CE"/>
                </patternFill>
              </fill>
            </x14:dxf>
          </x14:cfRule>
          <x14:cfRule type="expression" priority="71" id="{0581C344-1641-4289-A227-E592B329DFDA}">
            <xm:f>入學要求!$W$18=2</xm:f>
            <x14:dxf>
              <font>
                <color rgb="FF9C5700"/>
              </font>
              <fill>
                <patternFill>
                  <bgColor rgb="FFFFEB9C"/>
                </patternFill>
              </fill>
            </x14:dxf>
          </x14:cfRule>
          <x14:cfRule type="expression" priority="72" id="{CD76A91B-7F74-4841-AD69-57B72EF5F707}">
            <xm:f>入學要求!$W$18=1</xm:f>
            <x14:dxf>
              <font>
                <color rgb="FF006100"/>
              </font>
              <fill>
                <patternFill>
                  <bgColor rgb="FFC6EFCE"/>
                </patternFill>
              </fill>
            </x14:dxf>
          </x14:cfRule>
          <xm:sqref>I11</xm:sqref>
        </x14:conditionalFormatting>
        <x14:conditionalFormatting xmlns:xm="http://schemas.microsoft.com/office/excel/2006/main">
          <x14:cfRule type="expression" priority="67" id="{8CCACE6A-5044-416D-99C0-509B6A15ACD2}">
            <xm:f>入學要求!$X$18=0</xm:f>
            <x14:dxf>
              <font>
                <color rgb="FF9C0006"/>
              </font>
              <fill>
                <patternFill>
                  <bgColor rgb="FFFFC7CE"/>
                </patternFill>
              </fill>
            </x14:dxf>
          </x14:cfRule>
          <x14:cfRule type="expression" priority="68" id="{73D082A2-16E8-4E6C-9607-BC2C3AB33AA2}">
            <xm:f>入學要求!$X$18=2</xm:f>
            <x14:dxf>
              <font>
                <color rgb="FF9C5700"/>
              </font>
              <fill>
                <patternFill>
                  <bgColor rgb="FFFFEB9C"/>
                </patternFill>
              </fill>
            </x14:dxf>
          </x14:cfRule>
          <x14:cfRule type="expression" priority="69" id="{1CA3F4FC-B678-4408-8000-6EC5443D1785}">
            <xm:f>入學要求!$X$18=1</xm:f>
            <x14:dxf>
              <font>
                <color rgb="FF006100"/>
              </font>
              <fill>
                <patternFill>
                  <bgColor rgb="FFC6EFCE"/>
                </patternFill>
              </fill>
            </x14:dxf>
          </x14:cfRule>
          <xm:sqref>J11</xm:sqref>
        </x14:conditionalFormatting>
        <x14:conditionalFormatting xmlns:xm="http://schemas.microsoft.com/office/excel/2006/main">
          <x14:cfRule type="expression" priority="64" id="{628D3F64-5439-4CB4-81B2-592832FF1112}">
            <xm:f>入學要求!$Z$18=0</xm:f>
            <x14:dxf>
              <font>
                <b/>
                <i val="0"/>
                <color theme="0"/>
              </font>
              <fill>
                <patternFill>
                  <bgColor rgb="FFC00000"/>
                </patternFill>
              </fill>
            </x14:dxf>
          </x14:cfRule>
          <x14:cfRule type="expression" priority="65" id="{EFCD62EC-F6FE-417F-B07A-B4D209699822}">
            <xm:f>入學要求!$Z$18=2</xm:f>
            <x14:dxf>
              <font>
                <b/>
                <i val="0"/>
                <color theme="0"/>
              </font>
              <fill>
                <patternFill>
                  <bgColor rgb="FFE2A714"/>
                </patternFill>
              </fill>
            </x14:dxf>
          </x14:cfRule>
          <x14:cfRule type="expression" priority="66" id="{CB97B0C5-6249-438C-B029-1464260FB391}">
            <xm:f>入學要求!$Z$18=1</xm:f>
            <x14:dxf>
              <font>
                <b/>
                <i val="0"/>
                <color theme="0"/>
              </font>
              <fill>
                <patternFill>
                  <bgColor theme="9" tint="-0.24994659260841701"/>
                </patternFill>
              </fill>
            </x14:dxf>
          </x14:cfRule>
          <xm:sqref>L11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5">
    <tabColor rgb="FFCC0066"/>
  </sheetPr>
  <dimension ref="A1:BF87"/>
  <sheetViews>
    <sheetView topLeftCell="A8" zoomScaleNormal="100" workbookViewId="0">
      <selection activeCell="B1" sqref="B1"/>
    </sheetView>
  </sheetViews>
  <sheetFormatPr defaultColWidth="0" defaultRowHeight="0" customHeight="1" zeroHeight="1"/>
  <cols>
    <col min="1" max="1" width="8.69921875" style="15" customWidth="1"/>
    <col min="2" max="2" width="9.19921875" style="4" customWidth="1"/>
    <col min="3" max="3" width="25.69921875" style="23" customWidth="1"/>
    <col min="4" max="4" width="10.5" style="4" customWidth="1"/>
    <col min="5" max="5" width="12.8984375" style="15" customWidth="1"/>
    <col min="6" max="6" width="12.3984375" style="15" customWidth="1"/>
    <col min="7" max="8" width="7.69921875" style="4" customWidth="1"/>
    <col min="9" max="9" width="7.69921875" style="15" customWidth="1"/>
    <col min="10" max="11" width="7.69921875" style="4" customWidth="1"/>
    <col min="12" max="12" width="4.69921875" style="36" customWidth="1"/>
    <col min="13" max="13" width="4.69921875" style="15" customWidth="1"/>
    <col min="14" max="14" width="15.19921875" style="4" customWidth="1"/>
    <col min="15" max="20" width="2.19921875" style="4" customWidth="1"/>
    <col min="21" max="26" width="2.19921875" style="4" hidden="1" customWidth="1"/>
    <col min="27" max="27" width="11" style="4" customWidth="1"/>
    <col min="28" max="28" width="8.69921875" style="4" customWidth="1"/>
    <col min="29" max="34" width="6.19921875" style="4" customWidth="1"/>
    <col min="35" max="35" width="8" style="4" customWidth="1"/>
    <col min="36" max="41" width="6.19921875" style="4" customWidth="1"/>
    <col min="42" max="42" width="3.19921875" style="4" customWidth="1"/>
    <col min="43" max="43" width="8.19921875" style="4" customWidth="1"/>
    <col min="44" max="58" width="8.69921875" style="4" hidden="1" customWidth="1"/>
    <col min="59" max="16384" width="8.69921875" style="4" hidden="1"/>
  </cols>
  <sheetData>
    <row r="1" spans="1:58" s="179" customFormat="1" ht="18" customHeight="1">
      <c r="A1" s="178" t="s">
        <v>104</v>
      </c>
      <c r="B1" s="179" t="s">
        <v>105</v>
      </c>
      <c r="C1" s="180" t="s">
        <v>106</v>
      </c>
      <c r="E1" s="178" t="s">
        <v>2963</v>
      </c>
      <c r="F1" s="178" t="s">
        <v>2319</v>
      </c>
      <c r="G1" s="178" t="s">
        <v>102</v>
      </c>
      <c r="H1" s="178" t="s">
        <v>100</v>
      </c>
      <c r="I1" s="178" t="s">
        <v>108</v>
      </c>
      <c r="J1" s="539" t="s">
        <v>109</v>
      </c>
      <c r="K1" s="539"/>
      <c r="L1" s="178" t="s">
        <v>36</v>
      </c>
      <c r="M1" s="178" t="s">
        <v>110</v>
      </c>
      <c r="N1" s="178"/>
      <c r="O1" s="178" t="s">
        <v>111</v>
      </c>
      <c r="P1" s="178" t="s">
        <v>112</v>
      </c>
      <c r="Q1" s="178" t="s">
        <v>113</v>
      </c>
      <c r="R1" s="178" t="s">
        <v>2251</v>
      </c>
      <c r="S1" s="178" t="s">
        <v>115</v>
      </c>
      <c r="T1" s="178" t="s">
        <v>116</v>
      </c>
      <c r="U1" s="178"/>
      <c r="V1" s="178"/>
      <c r="W1" s="178"/>
      <c r="X1" s="178"/>
      <c r="Y1" s="178"/>
      <c r="Z1" s="178"/>
      <c r="AA1" s="178" t="s">
        <v>117</v>
      </c>
      <c r="AB1" s="178" t="s">
        <v>118</v>
      </c>
      <c r="AC1" s="178" t="s">
        <v>119</v>
      </c>
      <c r="AD1" s="180" t="s">
        <v>120</v>
      </c>
      <c r="AE1" s="180" t="s">
        <v>121</v>
      </c>
      <c r="AF1" s="180" t="s">
        <v>122</v>
      </c>
      <c r="AG1" s="180" t="s">
        <v>123</v>
      </c>
      <c r="AH1" s="180" t="s">
        <v>124</v>
      </c>
      <c r="AI1" s="178" t="s">
        <v>125</v>
      </c>
      <c r="AJ1" s="178" t="s">
        <v>119</v>
      </c>
      <c r="AK1" s="180" t="s">
        <v>120</v>
      </c>
      <c r="AL1" s="180" t="s">
        <v>121</v>
      </c>
      <c r="AM1" s="180" t="s">
        <v>122</v>
      </c>
      <c r="AN1" s="180" t="s">
        <v>123</v>
      </c>
      <c r="AO1" s="180" t="s">
        <v>124</v>
      </c>
      <c r="AP1" s="178"/>
      <c r="AQ1" s="178"/>
    </row>
    <row r="2" spans="1:58" s="2" customFormat="1" ht="18" customHeight="1">
      <c r="A2" s="15" t="str">
        <f>'Reference Score Calculation'!B13</f>
        <v>JS1000</v>
      </c>
      <c r="B2" s="4" t="str">
        <f>'Reference Score Calculation'!D13</f>
        <v>商學院</v>
      </c>
      <c r="C2" s="23" t="str">
        <f>'Reference Score Calculation'!E13</f>
        <v>理學士(計算金融及金融科技) (專修：計算金融 / 金融科技)</v>
      </c>
      <c r="D2" s="4" t="str">
        <f>'Reference Score Calculation'!S13</f>
        <v>BScCFFT</v>
      </c>
      <c r="E2" s="352" t="str">
        <f>'Reference Score Calculation'!AC13</f>
        <v>3C2X</v>
      </c>
      <c r="F2" s="334" t="str">
        <f>'Reference Score Calculation'!F13</f>
        <v>3C2X</v>
      </c>
      <c r="G2" s="6">
        <f>'Reference Score Calculation'!I13</f>
        <v>24.5</v>
      </c>
      <c r="H2" s="6" t="str">
        <f>'Reference Score Calculation'!J13</f>
        <v>/</v>
      </c>
      <c r="I2" s="45">
        <f>計分版!J36</f>
        <v>2.2999999999999999E-9</v>
      </c>
      <c r="J2" s="176">
        <f>IFERROR(IF(J$1="差距(Median)",I2-G2,IF(J$1="差距(LQ)",I2-H2)),"/")</f>
        <v>-24.499999997700002</v>
      </c>
      <c r="K2" s="181">
        <f>IFERROR(IF(J$1="差距(Median)",(I2-G2)/I2,IF(J$1="差距(LQ)",(I2-H2)/I2)),"/")</f>
        <v>-10652173912.04348</v>
      </c>
      <c r="L2" s="36">
        <f>'Reference Score Calculation'!U13</f>
        <v>10</v>
      </c>
      <c r="M2" s="84">
        <f>入學要求!Z22</f>
        <v>0</v>
      </c>
      <c r="N2" s="540" t="s">
        <v>2104</v>
      </c>
      <c r="O2" s="160">
        <f>入學要求!L22</f>
        <v>3</v>
      </c>
      <c r="P2" s="160">
        <f>入學要求!M22</f>
        <v>3</v>
      </c>
      <c r="Q2" s="160">
        <f>入學要求!N22</f>
        <v>4</v>
      </c>
      <c r="R2" s="160">
        <f>入學要求!O22</f>
        <v>1</v>
      </c>
      <c r="S2" s="160">
        <f>入學要求!P22</f>
        <v>3</v>
      </c>
      <c r="T2" s="160">
        <f>入學要求!Q22</f>
        <v>3</v>
      </c>
      <c r="U2" s="236">
        <f>入學要求!S22</f>
        <v>0</v>
      </c>
      <c r="V2" s="236">
        <f>入學要求!T22</f>
        <v>0</v>
      </c>
      <c r="W2" s="236">
        <f>入學要求!U22</f>
        <v>0</v>
      </c>
      <c r="X2" s="236">
        <f>入學要求!V22</f>
        <v>0</v>
      </c>
      <c r="Y2" s="236">
        <f>入學要求!W22</f>
        <v>0</v>
      </c>
      <c r="Z2" s="236">
        <f>入學要求!X22</f>
        <v>0</v>
      </c>
      <c r="AA2" s="44">
        <f>IFERROR(ROUND(AK2/AD2,2),"/")</f>
        <v>40.5</v>
      </c>
      <c r="AB2" s="537" t="s">
        <v>2253</v>
      </c>
      <c r="AC2" s="36" cm="1">
        <f t="array" ref="AC2">IFERROR(INDEX('Offer Statistics'!$Q$2:$Q$500,MATCH(1,(CityU!$A2='Offer Statistics'!$B$2:$B$500)*(CityU!$AB$2='Offer Statistics'!$K$2:$K$500),0)),"/")</f>
        <v>2</v>
      </c>
      <c r="AD2" s="63" cm="1">
        <f t="array" ref="AD2">IFERROR(INDEX('Offer Statistics'!L$2:L$500,MATCH(1,(CityU!$A2='Offer Statistics'!$B$2:$B$500)*(CityU!$AB$2='Offer Statistics'!$K$2:$K$500),0)),"/")</f>
        <v>2</v>
      </c>
      <c r="AE2" s="63" cm="1">
        <f t="array" ref="AE2">IFERROR(INDEX('Offer Statistics'!M$2:M$500,MATCH(1,(CityU!$A2='Offer Statistics'!$B$2:$B$500)*(CityU!$AB$2='Offer Statistics'!$K$2:$K$500),0)),"/")</f>
        <v>0</v>
      </c>
      <c r="AF2" s="63" cm="1">
        <f t="array" ref="AF2">IFERROR(INDEX('Offer Statistics'!N$2:N$500,MATCH(1,(CityU!$A2='Offer Statistics'!$B$2:$B$500)*(CityU!$AB$2='Offer Statistics'!$K$2:$K$500),0)),"/")</f>
        <v>0</v>
      </c>
      <c r="AG2" s="63" cm="1">
        <f t="array" ref="AG2">IFERROR(INDEX('Offer Statistics'!O$2:O$500,MATCH(1,(CityU!$A2='Offer Statistics'!$B$2:$B$500)*(CityU!$AB$2='Offer Statistics'!$K$2:$K$500),0)),"/")</f>
        <v>0</v>
      </c>
      <c r="AH2" s="63" cm="1">
        <f t="array" ref="AH2">IFERROR(INDEX('Offer Statistics'!P$2:P$500,MATCH(1,(CityU!$A2='Offer Statistics'!$B$2:$B$500)*(CityU!$AB$2='Offer Statistics'!$K$2:$K$500),0)),"/")</f>
        <v>0</v>
      </c>
      <c r="AI2" s="538" t="str">
        <f>AB2</f>
        <v>2024年</v>
      </c>
      <c r="AJ2" s="36" cm="1">
        <f t="array" ref="AJ2">IFERROR(INDEX('Offer Statistics'!$I$2:$I$500,MATCH(1,(CityU!$A2='Offer Statistics'!$B$2:$B$500)*(CityU!$AB$2='Offer Statistics'!$C$2:$C$500),0)),"/")</f>
        <v>1254</v>
      </c>
      <c r="AK2" s="63" cm="1">
        <f t="array" ref="AK2">IFERROR(INDEX('Offer Statistics'!D$2:D$500,MATCH(1,(CityU!$A2='Offer Statistics'!$B$2:$B$500)*(CityU!$AB$2='Offer Statistics'!$C$2:$C$500),0)),"/")</f>
        <v>81</v>
      </c>
      <c r="AL2" s="63" cm="1">
        <f t="array" ref="AL2">IFERROR(INDEX('Offer Statistics'!E$2:E$500,MATCH(1,(CityU!$A2='Offer Statistics'!$B$2:$B$500)*(CityU!$AB$2='Offer Statistics'!$C$2:$C$500),0)),"/")</f>
        <v>151</v>
      </c>
      <c r="AM2" s="63" cm="1">
        <f t="array" ref="AM2">IFERROR(INDEX('Offer Statistics'!F$2:F$500,MATCH(1,(CityU!$A2='Offer Statistics'!$B$2:$B$500)*(CityU!$AB$2='Offer Statistics'!$C$2:$C$500),0)),"/")</f>
        <v>309</v>
      </c>
      <c r="AN2" s="63" cm="1">
        <f t="array" ref="AN2">IFERROR(INDEX('Offer Statistics'!G$2:G$500,MATCH(1,(CityU!$A2='Offer Statistics'!$B$2:$B$500)*(CityU!$AB$2='Offer Statistics'!$C$2:$C$500),0)),"/")</f>
        <v>390</v>
      </c>
      <c r="AO2" s="63" cm="1">
        <f t="array" ref="AO2">IFERROR(INDEX('Offer Statistics'!H$2:H$500,MATCH(1,(CityU!$A2='Offer Statistics'!$B$2:$B$500)*(CityU!$AB$2='Offer Statistics'!$C$2:$C$500),0)),"/")</f>
        <v>323</v>
      </c>
      <c r="AP2" s="15"/>
      <c r="AQ2" s="15" t="str">
        <f t="shared" ref="AQ2:AQ60" si="0">A2</f>
        <v>JS1000</v>
      </c>
      <c r="AR2" s="4"/>
      <c r="AS2" s="4"/>
      <c r="AT2" s="4"/>
      <c r="AU2" s="4"/>
      <c r="AV2" s="4"/>
      <c r="AW2" s="4"/>
      <c r="AX2" s="4"/>
      <c r="AY2" s="4"/>
      <c r="AZ2" s="4"/>
      <c r="BA2" s="4"/>
      <c r="BB2" s="4"/>
      <c r="BC2" s="4"/>
      <c r="BD2" s="4"/>
      <c r="BE2" s="4"/>
      <c r="BF2" s="4"/>
    </row>
    <row r="3" spans="1:58" s="2" customFormat="1" ht="18" customHeight="1">
      <c r="A3" s="15" t="str">
        <f>'Reference Score Calculation'!B14</f>
        <v>JS1001</v>
      </c>
      <c r="B3" s="4" t="str">
        <f>'Reference Score Calculation'!D14</f>
        <v>商學院</v>
      </c>
      <c r="C3" s="23" t="str">
        <f>'Reference Score Calculation'!E14</f>
        <v>工商管理學士(環球商業) (特點: 三次海外交流 / 美國哥倫比亞大學雙聯學士學位 / 海外暑期及遊學課程 / 商業諮詢課程 / 獎學金及資助)</v>
      </c>
      <c r="D3" s="4" t="str">
        <f>'Reference Score Calculation'!S14</f>
        <v>BBAGBU</v>
      </c>
      <c r="E3" s="352" t="str">
        <f>'Reference Score Calculation'!AC14</f>
        <v>3C2X</v>
      </c>
      <c r="F3" s="334" t="str">
        <f>'Reference Score Calculation'!F14</f>
        <v>3C2X</v>
      </c>
      <c r="G3" s="6">
        <f>'Reference Score Calculation'!I14</f>
        <v>29</v>
      </c>
      <c r="H3" s="6">
        <f>'Reference Score Calculation'!J14</f>
        <v>25.5</v>
      </c>
      <c r="I3" s="45">
        <f>計分版!J37</f>
        <v>2.2999999999999999E-9</v>
      </c>
      <c r="J3" s="176">
        <f t="shared" ref="J3:J60" si="1">IFERROR(IF(J$1="差距(Median)",I3-G3,IF(J$1="差距(LQ)",I3-H3)),"/")</f>
        <v>-28.999999997700002</v>
      </c>
      <c r="K3" s="181">
        <f t="shared" ref="K3:K60" si="2">IFERROR(IF(J$1="差距(Median)",(I3-G3)/I3,IF(J$1="差距(LQ)",(I3-H3)/I3)),"/")</f>
        <v>-12608695651.173914</v>
      </c>
      <c r="L3" s="36">
        <f>'Reference Score Calculation'!U14</f>
        <v>15</v>
      </c>
      <c r="M3" s="84">
        <f>入學要求!Z23</f>
        <v>0</v>
      </c>
      <c r="N3" s="540"/>
      <c r="O3" s="160">
        <f>入學要求!L23</f>
        <v>3</v>
      </c>
      <c r="P3" s="160">
        <f>入學要求!M23</f>
        <v>3</v>
      </c>
      <c r="Q3" s="160">
        <f>入學要求!N23</f>
        <v>3</v>
      </c>
      <c r="R3" s="160">
        <f>入學要求!O23</f>
        <v>1</v>
      </c>
      <c r="S3" s="160">
        <f>入學要求!P23</f>
        <v>3</v>
      </c>
      <c r="T3" s="160">
        <f>入學要求!Q23</f>
        <v>3</v>
      </c>
      <c r="U3" s="236">
        <f>入學要求!S23</f>
        <v>0</v>
      </c>
      <c r="V3" s="236">
        <f>入學要求!T23</f>
        <v>0</v>
      </c>
      <c r="W3" s="236">
        <f>入學要求!U23</f>
        <v>0</v>
      </c>
      <c r="X3" s="236">
        <f>入學要求!V23</f>
        <v>0</v>
      </c>
      <c r="Y3" s="236">
        <f>入學要求!W23</f>
        <v>0</v>
      </c>
      <c r="Z3" s="236">
        <f>入學要求!X23</f>
        <v>0</v>
      </c>
      <c r="AA3" s="44">
        <f t="shared" ref="AA3:AA60" si="3">IFERROR(ROUND(AK3/AD3,2),"/")</f>
        <v>100</v>
      </c>
      <c r="AB3" s="537"/>
      <c r="AC3" s="36" cm="1">
        <f t="array" ref="AC3">IFERROR(INDEX('Offer Statistics'!$Q$2:$Q$500,MATCH(1,(CityU!$A3='Offer Statistics'!$B$2:$B$500)*(CityU!$AB$2='Offer Statistics'!$K$2:$K$500),0)),"/")</f>
        <v>4</v>
      </c>
      <c r="AD3" s="63" cm="1">
        <f t="array" ref="AD3">IFERROR(INDEX('Offer Statistics'!L$2:L$500,MATCH(1,(CityU!$A3='Offer Statistics'!$B$2:$B$500)*(CityU!$AB$2='Offer Statistics'!$K$2:$K$500),0)),"/")</f>
        <v>1</v>
      </c>
      <c r="AE3" s="63" cm="1">
        <f t="array" ref="AE3">IFERROR(INDEX('Offer Statistics'!M$2:M$500,MATCH(1,(CityU!$A3='Offer Statistics'!$B$2:$B$500)*(CityU!$AB$2='Offer Statistics'!$K$2:$K$500),0)),"/")</f>
        <v>3</v>
      </c>
      <c r="AF3" s="63" cm="1">
        <f t="array" ref="AF3">IFERROR(INDEX('Offer Statistics'!N$2:N$500,MATCH(1,(CityU!$A3='Offer Statistics'!$B$2:$B$500)*(CityU!$AB$2='Offer Statistics'!$K$2:$K$500),0)),"/")</f>
        <v>0</v>
      </c>
      <c r="AG3" s="63" cm="1">
        <f t="array" ref="AG3">IFERROR(INDEX('Offer Statistics'!O$2:O$500,MATCH(1,(CityU!$A3='Offer Statistics'!$B$2:$B$500)*(CityU!$AB$2='Offer Statistics'!$K$2:$K$500),0)),"/")</f>
        <v>0</v>
      </c>
      <c r="AH3" s="63" cm="1">
        <f t="array" ref="AH3">IFERROR(INDEX('Offer Statistics'!P$2:P$500,MATCH(1,(CityU!$A3='Offer Statistics'!$B$2:$B$500)*(CityU!$AB$2='Offer Statistics'!$K$2:$K$500),0)),"/")</f>
        <v>0</v>
      </c>
      <c r="AI3" s="538"/>
      <c r="AJ3" s="36" cm="1">
        <f t="array" ref="AJ3">IFERROR(INDEX('Offer Statistics'!$I$2:$I$500,MATCH(1,(CityU!$A3='Offer Statistics'!$B$2:$B$500)*(CityU!$AB$2='Offer Statistics'!$C$2:$C$500),0)),"/")</f>
        <v>1849</v>
      </c>
      <c r="AK3" s="63" cm="1">
        <f t="array" ref="AK3">IFERROR(INDEX('Offer Statistics'!D$2:D$500,MATCH(1,(CityU!$A3='Offer Statistics'!$B$2:$B$500)*(CityU!$AB$2='Offer Statistics'!$C$2:$C$500),0)),"/")</f>
        <v>100</v>
      </c>
      <c r="AL3" s="63" cm="1">
        <f t="array" ref="AL3">IFERROR(INDEX('Offer Statistics'!E$2:E$500,MATCH(1,(CityU!$A3='Offer Statistics'!$B$2:$B$500)*(CityU!$AB$2='Offer Statistics'!$C$2:$C$500),0)),"/")</f>
        <v>292</v>
      </c>
      <c r="AM3" s="63" cm="1">
        <f t="array" ref="AM3">IFERROR(INDEX('Offer Statistics'!F$2:F$500,MATCH(1,(CityU!$A3='Offer Statistics'!$B$2:$B$500)*(CityU!$AB$2='Offer Statistics'!$C$2:$C$500),0)),"/")</f>
        <v>443</v>
      </c>
      <c r="AN3" s="63" cm="1">
        <f t="array" ref="AN3">IFERROR(INDEX('Offer Statistics'!G$2:G$500,MATCH(1,(CityU!$A3='Offer Statistics'!$B$2:$B$500)*(CityU!$AB$2='Offer Statistics'!$C$2:$C$500),0)),"/")</f>
        <v>564</v>
      </c>
      <c r="AO3" s="63" cm="1">
        <f t="array" ref="AO3">IFERROR(INDEX('Offer Statistics'!H$2:H$500,MATCH(1,(CityU!$A3='Offer Statistics'!$B$2:$B$500)*(CityU!$AB$2='Offer Statistics'!$C$2:$C$500),0)),"/")</f>
        <v>450</v>
      </c>
      <c r="AP3" s="15"/>
      <c r="AQ3" s="15" t="str">
        <f t="shared" si="0"/>
        <v>JS1001</v>
      </c>
      <c r="AR3" s="4"/>
      <c r="AS3" s="4"/>
      <c r="AT3" s="4"/>
      <c r="AU3" s="4"/>
      <c r="AV3" s="4"/>
      <c r="AW3" s="4"/>
      <c r="AX3" s="4"/>
      <c r="AY3" s="4"/>
      <c r="AZ3" s="4"/>
      <c r="BA3" s="4"/>
      <c r="BB3" s="4"/>
      <c r="BC3" s="4"/>
      <c r="BD3" s="4"/>
      <c r="BE3" s="4"/>
      <c r="BF3" s="4"/>
    </row>
    <row r="4" spans="1:58" s="2" customFormat="1" ht="18" customHeight="1">
      <c r="A4" s="15" t="str">
        <f>'Reference Score Calculation'!B15</f>
        <v>JS1002</v>
      </c>
      <c r="B4" s="4" t="str">
        <f>'Reference Score Calculation'!D15</f>
        <v>商學院</v>
      </c>
      <c r="C4" s="23" t="str">
        <f>'Reference Score Calculation'!E15</f>
        <v>工商管理學士(會計) (專修: 專業會計 / 環境，社會，治理和科技)</v>
      </c>
      <c r="D4" s="4" t="str">
        <f>'Reference Score Calculation'!S15</f>
        <v>BBAAC</v>
      </c>
      <c r="E4" s="352" t="str">
        <f>'Reference Score Calculation'!AC15</f>
        <v>Best 5</v>
      </c>
      <c r="F4" s="334" t="str">
        <f>'Reference Score Calculation'!F15</f>
        <v>Best 5</v>
      </c>
      <c r="G4" s="6">
        <f>'Reference Score Calculation'!I15</f>
        <v>20.5</v>
      </c>
      <c r="H4" s="6">
        <f>'Reference Score Calculation'!J15</f>
        <v>20</v>
      </c>
      <c r="I4" s="45">
        <f>計分版!J38</f>
        <v>3.2999999999999998E-9</v>
      </c>
      <c r="J4" s="176">
        <f t="shared" si="1"/>
        <v>-20.499999996700002</v>
      </c>
      <c r="K4" s="181">
        <f t="shared" si="2"/>
        <v>-6212121211.121213</v>
      </c>
      <c r="L4" s="36">
        <f>'Reference Score Calculation'!U15</f>
        <v>148</v>
      </c>
      <c r="M4" s="84">
        <f>入學要求!Z24</f>
        <v>0</v>
      </c>
      <c r="N4" s="540"/>
      <c r="O4" s="160">
        <f>入學要求!L24</f>
        <v>3</v>
      </c>
      <c r="P4" s="160">
        <f>入學要求!M24</f>
        <v>3</v>
      </c>
      <c r="Q4" s="160">
        <f>入學要求!N24</f>
        <v>3</v>
      </c>
      <c r="R4" s="160">
        <f>入學要求!O24</f>
        <v>1</v>
      </c>
      <c r="S4" s="160">
        <f>入學要求!P24</f>
        <v>3</v>
      </c>
      <c r="T4" s="160">
        <f>入學要求!Q24</f>
        <v>3</v>
      </c>
      <c r="U4" s="236">
        <f>入學要求!S24</f>
        <v>0</v>
      </c>
      <c r="V4" s="236">
        <f>入學要求!T24</f>
        <v>0</v>
      </c>
      <c r="W4" s="236">
        <f>入學要求!U24</f>
        <v>0</v>
      </c>
      <c r="X4" s="236">
        <f>入學要求!V24</f>
        <v>0</v>
      </c>
      <c r="Y4" s="236">
        <f>入學要求!W24</f>
        <v>0</v>
      </c>
      <c r="Z4" s="236">
        <f>入學要求!X24</f>
        <v>0</v>
      </c>
      <c r="AA4" s="44">
        <f t="shared" si="3"/>
        <v>8.02</v>
      </c>
      <c r="AB4" s="537"/>
      <c r="AC4" s="36" cm="1">
        <f t="array" ref="AC4">IFERROR(INDEX('Offer Statistics'!$Q$2:$Q$500,MATCH(1,(CityU!$A4='Offer Statistics'!$B$2:$B$500)*(CityU!$AB$2='Offer Statistics'!$K$2:$K$500),0)),"/")</f>
        <v>131</v>
      </c>
      <c r="AD4" s="63" cm="1">
        <f t="array" ref="AD4">IFERROR(INDEX('Offer Statistics'!L$2:L$500,MATCH(1,(CityU!$A4='Offer Statistics'!$B$2:$B$500)*(CityU!$AB$2='Offer Statistics'!$K$2:$K$500),0)),"/")</f>
        <v>127</v>
      </c>
      <c r="AE4" s="63" cm="1">
        <f t="array" ref="AE4">IFERROR(INDEX('Offer Statistics'!M$2:M$500,MATCH(1,(CityU!$A4='Offer Statistics'!$B$2:$B$500)*(CityU!$AB$2='Offer Statistics'!$K$2:$K$500),0)),"/")</f>
        <v>2</v>
      </c>
      <c r="AF4" s="63" cm="1">
        <f t="array" ref="AF4">IFERROR(INDEX('Offer Statistics'!N$2:N$500,MATCH(1,(CityU!$A4='Offer Statistics'!$B$2:$B$500)*(CityU!$AB$2='Offer Statistics'!$K$2:$K$500),0)),"/")</f>
        <v>1</v>
      </c>
      <c r="AG4" s="63" cm="1">
        <f t="array" ref="AG4">IFERROR(INDEX('Offer Statistics'!O$2:O$500,MATCH(1,(CityU!$A4='Offer Statistics'!$B$2:$B$500)*(CityU!$AB$2='Offer Statistics'!$K$2:$K$500),0)),"/")</f>
        <v>1</v>
      </c>
      <c r="AH4" s="63" cm="1">
        <f t="array" ref="AH4">IFERROR(INDEX('Offer Statistics'!P$2:P$500,MATCH(1,(CityU!$A4='Offer Statistics'!$B$2:$B$500)*(CityU!$AB$2='Offer Statistics'!$K$2:$K$500),0)),"/")</f>
        <v>0</v>
      </c>
      <c r="AI4" s="538"/>
      <c r="AJ4" s="36" cm="1">
        <f t="array" ref="AJ4">IFERROR(INDEX('Offer Statistics'!$I$2:$I$500,MATCH(1,(CityU!$A4='Offer Statistics'!$B$2:$B$500)*(CityU!$AB$2='Offer Statistics'!$C$2:$C$500),0)),"/")</f>
        <v>4045</v>
      </c>
      <c r="AK4" s="63" cm="1">
        <f t="array" ref="AK4">IFERROR(INDEX('Offer Statistics'!D$2:D$500,MATCH(1,(CityU!$A4='Offer Statistics'!$B$2:$B$500)*(CityU!$AB$2='Offer Statistics'!$C$2:$C$500),0)),"/")</f>
        <v>1018</v>
      </c>
      <c r="AL4" s="63" cm="1">
        <f t="array" ref="AL4">IFERROR(INDEX('Offer Statistics'!E$2:E$500,MATCH(1,(CityU!$A4='Offer Statistics'!$B$2:$B$500)*(CityU!$AB$2='Offer Statistics'!$C$2:$C$500),0)),"/")</f>
        <v>758</v>
      </c>
      <c r="AM4" s="63" cm="1">
        <f t="array" ref="AM4">IFERROR(INDEX('Offer Statistics'!F$2:F$500,MATCH(1,(CityU!$A4='Offer Statistics'!$B$2:$B$500)*(CityU!$AB$2='Offer Statistics'!$C$2:$C$500),0)),"/")</f>
        <v>904</v>
      </c>
      <c r="AN4" s="63" cm="1">
        <f t="array" ref="AN4">IFERROR(INDEX('Offer Statistics'!G$2:G$500,MATCH(1,(CityU!$A4='Offer Statistics'!$B$2:$B$500)*(CityU!$AB$2='Offer Statistics'!$C$2:$C$500),0)),"/")</f>
        <v>852</v>
      </c>
      <c r="AO4" s="63" cm="1">
        <f t="array" ref="AO4">IFERROR(INDEX('Offer Statistics'!H$2:H$500,MATCH(1,(CityU!$A4='Offer Statistics'!$B$2:$B$500)*(CityU!$AB$2='Offer Statistics'!$C$2:$C$500),0)),"/")</f>
        <v>513</v>
      </c>
      <c r="AP4" s="15"/>
      <c r="AQ4" s="15" t="str">
        <f t="shared" si="0"/>
        <v>JS1002</v>
      </c>
      <c r="AR4" s="4"/>
      <c r="AS4" s="4"/>
      <c r="AT4" s="4"/>
      <c r="AU4" s="4"/>
      <c r="AV4" s="4"/>
      <c r="AW4" s="4"/>
      <c r="AX4" s="4"/>
      <c r="AY4" s="4"/>
      <c r="AZ4" s="4"/>
      <c r="BA4" s="4"/>
      <c r="BB4" s="4"/>
      <c r="BC4" s="4"/>
      <c r="BD4" s="4"/>
      <c r="BE4" s="4"/>
      <c r="BF4" s="4"/>
    </row>
    <row r="5" spans="1:58" s="2" customFormat="1" ht="18" customHeight="1">
      <c r="A5" s="15" t="str">
        <f>'Reference Score Calculation'!B16</f>
        <v>JS1005</v>
      </c>
      <c r="B5" s="4" t="str">
        <f>'Reference Score Calculation'!D16</f>
        <v>商學院</v>
      </c>
      <c r="C5" s="23" t="str">
        <f>'Reference Score Calculation'!E16</f>
        <v>工商管理學士 (管理學 ) (專修 : 人 力資源管理 / 策略及國際管理 )</v>
      </c>
      <c r="D5" s="4" t="str">
        <f>'Reference Score Calculation'!S16</f>
        <v>BBAMGMT</v>
      </c>
      <c r="E5" s="352" t="str">
        <f>'Reference Score Calculation'!AC16</f>
        <v>Best 5</v>
      </c>
      <c r="F5" s="334" t="str">
        <f>'Reference Score Calculation'!F16</f>
        <v>Best 5</v>
      </c>
      <c r="G5" s="6">
        <f>'Reference Score Calculation'!I16</f>
        <v>20.5</v>
      </c>
      <c r="H5" s="6">
        <f>'Reference Score Calculation'!J16</f>
        <v>20.5</v>
      </c>
      <c r="I5" s="45">
        <f>計分版!J39</f>
        <v>3.2999999999999998E-9</v>
      </c>
      <c r="J5" s="176">
        <f t="shared" si="1"/>
        <v>-20.499999996700002</v>
      </c>
      <c r="K5" s="181">
        <f t="shared" si="2"/>
        <v>-6212121211.121213</v>
      </c>
      <c r="L5" s="36">
        <f>'Reference Score Calculation'!U16</f>
        <v>58</v>
      </c>
      <c r="M5" s="84">
        <f>入學要求!Z25</f>
        <v>0</v>
      </c>
      <c r="N5" s="540"/>
      <c r="O5" s="160">
        <f>入學要求!L25</f>
        <v>3</v>
      </c>
      <c r="P5" s="160">
        <f>入學要求!M25</f>
        <v>3</v>
      </c>
      <c r="Q5" s="160">
        <f>入學要求!N25</f>
        <v>3</v>
      </c>
      <c r="R5" s="160">
        <f>入學要求!O25</f>
        <v>1</v>
      </c>
      <c r="S5" s="160">
        <f>入學要求!P25</f>
        <v>3</v>
      </c>
      <c r="T5" s="160">
        <f>入學要求!Q25</f>
        <v>3</v>
      </c>
      <c r="U5" s="236">
        <f>入學要求!S25</f>
        <v>0</v>
      </c>
      <c r="V5" s="236">
        <f>入學要求!T25</f>
        <v>0</v>
      </c>
      <c r="W5" s="236">
        <f>入學要求!U25</f>
        <v>0</v>
      </c>
      <c r="X5" s="236">
        <f>入學要求!V25</f>
        <v>0</v>
      </c>
      <c r="Y5" s="236">
        <f>入學要求!W25</f>
        <v>0</v>
      </c>
      <c r="Z5" s="236">
        <f>入學要求!X25</f>
        <v>0</v>
      </c>
      <c r="AA5" s="44">
        <f t="shared" si="3"/>
        <v>19.22</v>
      </c>
      <c r="AB5" s="537"/>
      <c r="AC5" s="36" cm="1">
        <f t="array" ref="AC5">IFERROR(INDEX('Offer Statistics'!$Q$2:$Q$500,MATCH(1,(CityU!$A5='Offer Statistics'!$B$2:$B$500)*(CityU!$AB$2='Offer Statistics'!$K$2:$K$500),0)),"/")</f>
        <v>42</v>
      </c>
      <c r="AD5" s="63" cm="1">
        <f t="array" ref="AD5">IFERROR(INDEX('Offer Statistics'!L$2:L$500,MATCH(1,(CityU!$A5='Offer Statistics'!$B$2:$B$500)*(CityU!$AB$2='Offer Statistics'!$K$2:$K$500),0)),"/")</f>
        <v>37</v>
      </c>
      <c r="AE5" s="63" cm="1">
        <f t="array" ref="AE5">IFERROR(INDEX('Offer Statistics'!M$2:M$500,MATCH(1,(CityU!$A5='Offer Statistics'!$B$2:$B$500)*(CityU!$AB$2='Offer Statistics'!$K$2:$K$500),0)),"/")</f>
        <v>5</v>
      </c>
      <c r="AF5" s="63" cm="1">
        <f t="array" ref="AF5">IFERROR(INDEX('Offer Statistics'!N$2:N$500,MATCH(1,(CityU!$A5='Offer Statistics'!$B$2:$B$500)*(CityU!$AB$2='Offer Statistics'!$K$2:$K$500),0)),"/")</f>
        <v>0</v>
      </c>
      <c r="AG5" s="63" cm="1">
        <f t="array" ref="AG5">IFERROR(INDEX('Offer Statistics'!O$2:O$500,MATCH(1,(CityU!$A5='Offer Statistics'!$B$2:$B$500)*(CityU!$AB$2='Offer Statistics'!$K$2:$K$500),0)),"/")</f>
        <v>0</v>
      </c>
      <c r="AH5" s="63" cm="1">
        <f t="array" ref="AH5">IFERROR(INDEX('Offer Statistics'!P$2:P$500,MATCH(1,(CityU!$A5='Offer Statistics'!$B$2:$B$500)*(CityU!$AB$2='Offer Statistics'!$K$2:$K$500),0)),"/")</f>
        <v>0</v>
      </c>
      <c r="AI5" s="538"/>
      <c r="AJ5" s="36" cm="1">
        <f t="array" ref="AJ5">IFERROR(INDEX('Offer Statistics'!$I$2:$I$500,MATCH(1,(CityU!$A5='Offer Statistics'!$B$2:$B$500)*(CityU!$AB$2='Offer Statistics'!$C$2:$C$500),0)),"/")</f>
        <v>5157</v>
      </c>
      <c r="AK5" s="63" cm="1">
        <f t="array" ref="AK5">IFERROR(INDEX('Offer Statistics'!D$2:D$500,MATCH(1,(CityU!$A5='Offer Statistics'!$B$2:$B$500)*(CityU!$AB$2='Offer Statistics'!$C$2:$C$500),0)),"/")</f>
        <v>711</v>
      </c>
      <c r="AL5" s="63" cm="1">
        <f t="array" ref="AL5">IFERROR(INDEX('Offer Statistics'!E$2:E$500,MATCH(1,(CityU!$A5='Offer Statistics'!$B$2:$B$500)*(CityU!$AB$2='Offer Statistics'!$C$2:$C$500),0)),"/")</f>
        <v>934</v>
      </c>
      <c r="AM5" s="63" cm="1">
        <f t="array" ref="AM5">IFERROR(INDEX('Offer Statistics'!F$2:F$500,MATCH(1,(CityU!$A5='Offer Statistics'!$B$2:$B$500)*(CityU!$AB$2='Offer Statistics'!$C$2:$C$500),0)),"/")</f>
        <v>1352</v>
      </c>
      <c r="AN5" s="63" cm="1">
        <f t="array" ref="AN5">IFERROR(INDEX('Offer Statistics'!G$2:G$500,MATCH(1,(CityU!$A5='Offer Statistics'!$B$2:$B$500)*(CityU!$AB$2='Offer Statistics'!$C$2:$C$500),0)),"/")</f>
        <v>1343</v>
      </c>
      <c r="AO5" s="63" cm="1">
        <f t="array" ref="AO5">IFERROR(INDEX('Offer Statistics'!H$2:H$500,MATCH(1,(CityU!$A5='Offer Statistics'!$B$2:$B$500)*(CityU!$AB$2='Offer Statistics'!$C$2:$C$500),0)),"/")</f>
        <v>817</v>
      </c>
      <c r="AP5" s="15"/>
      <c r="AQ5" s="15" t="str">
        <f t="shared" si="0"/>
        <v>JS1005</v>
      </c>
      <c r="AR5" s="4"/>
      <c r="AS5" s="4"/>
      <c r="AT5" s="4"/>
      <c r="AU5" s="4"/>
      <c r="AV5" s="4"/>
      <c r="AW5" s="4"/>
      <c r="AX5" s="4"/>
      <c r="AY5" s="4"/>
      <c r="AZ5" s="4"/>
      <c r="BA5" s="4"/>
      <c r="BB5" s="4"/>
      <c r="BC5" s="4"/>
      <c r="BD5" s="4"/>
      <c r="BE5" s="4"/>
      <c r="BF5" s="4"/>
    </row>
    <row r="6" spans="1:58" s="2" customFormat="1" ht="18" customHeight="1">
      <c r="A6" s="15" t="str">
        <f>'Reference Score Calculation'!B17</f>
        <v>JS1007</v>
      </c>
      <c r="B6" s="4" t="str">
        <f>'Reference Score Calculation'!D17</f>
        <v>商學院</v>
      </c>
      <c r="C6" s="23" t="str">
        <f>'Reference Score Calculation'!E17</f>
        <v>工商管理學士(市場營銷) (專修: 環球市場營銷 / 營銷數據分析)</v>
      </c>
      <c r="D6" s="4" t="str">
        <f>'Reference Score Calculation'!S17</f>
        <v>BBAMKT</v>
      </c>
      <c r="E6" s="352" t="str">
        <f>'Reference Score Calculation'!AC17</f>
        <v>3C2X</v>
      </c>
      <c r="F6" s="347" t="str">
        <f>'Reference Score Calculation'!F17</f>
        <v>3C2X</v>
      </c>
      <c r="G6" s="6">
        <f>'Reference Score Calculation'!I17</f>
        <v>23.5</v>
      </c>
      <c r="H6" s="6">
        <f>'Reference Score Calculation'!J17</f>
        <v>22</v>
      </c>
      <c r="I6" s="45">
        <f>計分版!J40</f>
        <v>2.4E-9</v>
      </c>
      <c r="J6" s="176">
        <f t="shared" si="1"/>
        <v>-23.4999999976</v>
      </c>
      <c r="K6" s="181">
        <f t="shared" si="2"/>
        <v>-9791666665.666666</v>
      </c>
      <c r="L6" s="36">
        <f>'Reference Score Calculation'!U17</f>
        <v>82</v>
      </c>
      <c r="M6" s="84">
        <f>入學要求!Z26</f>
        <v>0</v>
      </c>
      <c r="N6" s="540"/>
      <c r="O6" s="160">
        <f>入學要求!L26</f>
        <v>3</v>
      </c>
      <c r="P6" s="160">
        <f>入學要求!M26</f>
        <v>3</v>
      </c>
      <c r="Q6" s="160">
        <f>入學要求!N26</f>
        <v>3</v>
      </c>
      <c r="R6" s="160">
        <f>入學要求!O26</f>
        <v>1</v>
      </c>
      <c r="S6" s="160">
        <f>入學要求!P26</f>
        <v>3</v>
      </c>
      <c r="T6" s="160">
        <f>入學要求!Q26</f>
        <v>3</v>
      </c>
      <c r="U6" s="236">
        <f>入學要求!S26</f>
        <v>0</v>
      </c>
      <c r="V6" s="236">
        <f>入學要求!T26</f>
        <v>0</v>
      </c>
      <c r="W6" s="236">
        <f>入學要求!U26</f>
        <v>0</v>
      </c>
      <c r="X6" s="236">
        <f>入學要求!V26</f>
        <v>0</v>
      </c>
      <c r="Y6" s="236">
        <f>入學要求!W26</f>
        <v>0</v>
      </c>
      <c r="Z6" s="236">
        <f>入學要求!X26</f>
        <v>0</v>
      </c>
      <c r="AA6" s="44">
        <f t="shared" si="3"/>
        <v>12.97</v>
      </c>
      <c r="AB6" s="537"/>
      <c r="AC6" s="36" cm="1">
        <f t="array" ref="AC6">IFERROR(INDEX('Offer Statistics'!$Q$2:$Q$500,MATCH(1,(CityU!$A6='Offer Statistics'!$B$2:$B$500)*(CityU!$AB$2='Offer Statistics'!$K$2:$K$500),0)),"/")</f>
        <v>76</v>
      </c>
      <c r="AD6" s="63" cm="1">
        <f t="array" ref="AD6">IFERROR(INDEX('Offer Statistics'!L$2:L$500,MATCH(1,(CityU!$A6='Offer Statistics'!$B$2:$B$500)*(CityU!$AB$2='Offer Statistics'!$K$2:$K$500),0)),"/")</f>
        <v>72</v>
      </c>
      <c r="AE6" s="63" cm="1">
        <f t="array" ref="AE6">IFERROR(INDEX('Offer Statistics'!M$2:M$500,MATCH(1,(CityU!$A6='Offer Statistics'!$B$2:$B$500)*(CityU!$AB$2='Offer Statistics'!$K$2:$K$500),0)),"/")</f>
        <v>3</v>
      </c>
      <c r="AF6" s="63" cm="1">
        <f t="array" ref="AF6">IFERROR(INDEX('Offer Statistics'!N$2:N$500,MATCH(1,(CityU!$A6='Offer Statistics'!$B$2:$B$500)*(CityU!$AB$2='Offer Statistics'!$K$2:$K$500),0)),"/")</f>
        <v>0</v>
      </c>
      <c r="AG6" s="63" cm="1">
        <f t="array" ref="AG6">IFERROR(INDEX('Offer Statistics'!O$2:O$500,MATCH(1,(CityU!$A6='Offer Statistics'!$B$2:$B$500)*(CityU!$AB$2='Offer Statistics'!$K$2:$K$500),0)),"/")</f>
        <v>0</v>
      </c>
      <c r="AH6" s="63" cm="1">
        <f t="array" ref="AH6">IFERROR(INDEX('Offer Statistics'!P$2:P$500,MATCH(1,(CityU!$A6='Offer Statistics'!$B$2:$B$500)*(CityU!$AB$2='Offer Statistics'!$K$2:$K$500),0)),"/")</f>
        <v>1</v>
      </c>
      <c r="AI6" s="538"/>
      <c r="AJ6" s="36" cm="1">
        <f t="array" ref="AJ6">IFERROR(INDEX('Offer Statistics'!$I$2:$I$500,MATCH(1,(CityU!$A6='Offer Statistics'!$B$2:$B$500)*(CityU!$AB$2='Offer Statistics'!$C$2:$C$500),0)),"/")</f>
        <v>5069</v>
      </c>
      <c r="AK6" s="63" cm="1">
        <f t="array" ref="AK6">IFERROR(INDEX('Offer Statistics'!D$2:D$500,MATCH(1,(CityU!$A6='Offer Statistics'!$B$2:$B$500)*(CityU!$AB$2='Offer Statistics'!$C$2:$C$500),0)),"/")</f>
        <v>934</v>
      </c>
      <c r="AL6" s="63" cm="1">
        <f t="array" ref="AL6">IFERROR(INDEX('Offer Statistics'!E$2:E$500,MATCH(1,(CityU!$A6='Offer Statistics'!$B$2:$B$500)*(CityU!$AB$2='Offer Statistics'!$C$2:$C$500),0)),"/")</f>
        <v>973</v>
      </c>
      <c r="AM6" s="63" cm="1">
        <f t="array" ref="AM6">IFERROR(INDEX('Offer Statistics'!F$2:F$500,MATCH(1,(CityU!$A6='Offer Statistics'!$B$2:$B$500)*(CityU!$AB$2='Offer Statistics'!$C$2:$C$500),0)),"/")</f>
        <v>1184</v>
      </c>
      <c r="AN6" s="63" cm="1">
        <f t="array" ref="AN6">IFERROR(INDEX('Offer Statistics'!G$2:G$500,MATCH(1,(CityU!$A6='Offer Statistics'!$B$2:$B$500)*(CityU!$AB$2='Offer Statistics'!$C$2:$C$500),0)),"/")</f>
        <v>1160</v>
      </c>
      <c r="AO6" s="63" cm="1">
        <f t="array" ref="AO6">IFERROR(INDEX('Offer Statistics'!H$2:H$500,MATCH(1,(CityU!$A6='Offer Statistics'!$B$2:$B$500)*(CityU!$AB$2='Offer Statistics'!$C$2:$C$500),0)),"/")</f>
        <v>818</v>
      </c>
      <c r="AP6" s="15"/>
      <c r="AQ6" s="15" t="str">
        <f t="shared" si="0"/>
        <v>JS1007</v>
      </c>
      <c r="AR6" s="4"/>
      <c r="AS6" s="4"/>
      <c r="AT6" s="4"/>
      <c r="AU6" s="4"/>
      <c r="AV6" s="4"/>
      <c r="AW6" s="4"/>
      <c r="AX6" s="4"/>
      <c r="AY6" s="4"/>
      <c r="AZ6" s="4"/>
      <c r="BA6" s="4"/>
      <c r="BB6" s="4"/>
      <c r="BC6" s="4"/>
      <c r="BD6" s="4"/>
      <c r="BE6" s="4"/>
      <c r="BF6" s="4"/>
    </row>
    <row r="7" spans="1:58" s="2" customFormat="1" ht="18" customHeight="1">
      <c r="A7" s="15" t="str">
        <f>'Reference Score Calculation'!B18</f>
        <v>JS1012</v>
      </c>
      <c r="B7" s="4" t="str">
        <f>'Reference Score Calculation'!D18</f>
        <v>商學院</v>
      </c>
      <c r="C7" s="23" t="str">
        <f>'Reference Score Calculation'!E18</f>
        <v>經濟及金融 [主修: 工商管理學士(商業經濟) / 工商管理學士(金融)]</v>
      </c>
      <c r="D7" s="4" t="str">
        <f>'Reference Score Calculation'!S18</f>
        <v>EF</v>
      </c>
      <c r="E7" s="352" t="str">
        <f>'Reference Score Calculation'!AC18</f>
        <v>Best 5</v>
      </c>
      <c r="F7" s="334" t="str">
        <f>'Reference Score Calculation'!F18</f>
        <v>Best 5</v>
      </c>
      <c r="G7" s="6">
        <f>'Reference Score Calculation'!I18</f>
        <v>21.5</v>
      </c>
      <c r="H7" s="6">
        <f>'Reference Score Calculation'!J18</f>
        <v>21.5</v>
      </c>
      <c r="I7" s="45">
        <f>計分版!J41</f>
        <v>3.2999999999999998E-9</v>
      </c>
      <c r="J7" s="176">
        <f t="shared" si="1"/>
        <v>-21.499999996700002</v>
      </c>
      <c r="K7" s="181">
        <f t="shared" si="2"/>
        <v>-6515151514.151516</v>
      </c>
      <c r="L7" s="36">
        <f>'Reference Score Calculation'!U18</f>
        <v>29</v>
      </c>
      <c r="M7" s="84">
        <f>入學要求!Z27</f>
        <v>0</v>
      </c>
      <c r="N7" s="540"/>
      <c r="O7" s="160">
        <f>入學要求!L27</f>
        <v>3</v>
      </c>
      <c r="P7" s="160">
        <f>入學要求!M27</f>
        <v>3</v>
      </c>
      <c r="Q7" s="160">
        <f>入學要求!N27</f>
        <v>3</v>
      </c>
      <c r="R7" s="160">
        <f>入學要求!O27</f>
        <v>1</v>
      </c>
      <c r="S7" s="160">
        <f>入學要求!P27</f>
        <v>3</v>
      </c>
      <c r="T7" s="160">
        <f>入學要求!Q27</f>
        <v>3</v>
      </c>
      <c r="U7" s="236">
        <f>入學要求!S27</f>
        <v>0</v>
      </c>
      <c r="V7" s="236">
        <f>入學要求!T27</f>
        <v>0</v>
      </c>
      <c r="W7" s="236">
        <f>入學要求!U27</f>
        <v>0</v>
      </c>
      <c r="X7" s="236">
        <f>入學要求!V27</f>
        <v>0</v>
      </c>
      <c r="Y7" s="236">
        <f>入學要求!W27</f>
        <v>0</v>
      </c>
      <c r="Z7" s="236">
        <f>入學要求!X27</f>
        <v>0</v>
      </c>
      <c r="AA7" s="44">
        <f t="shared" si="3"/>
        <v>11.76</v>
      </c>
      <c r="AB7" s="537"/>
      <c r="AC7" s="36" cm="1">
        <f t="array" ref="AC7">IFERROR(INDEX('Offer Statistics'!$Q$2:$Q$500,MATCH(1,(CityU!$A7='Offer Statistics'!$B$2:$B$500)*(CityU!$AB$2='Offer Statistics'!$K$2:$K$500),0)),"/")</f>
        <v>21</v>
      </c>
      <c r="AD7" s="63" cm="1">
        <f t="array" ref="AD7">IFERROR(INDEX('Offer Statistics'!L$2:L$500,MATCH(1,(CityU!$A7='Offer Statistics'!$B$2:$B$500)*(CityU!$AB$2='Offer Statistics'!$K$2:$K$500),0)),"/")</f>
        <v>21</v>
      </c>
      <c r="AE7" s="63" cm="1">
        <f t="array" ref="AE7">IFERROR(INDEX('Offer Statistics'!M$2:M$500,MATCH(1,(CityU!$A7='Offer Statistics'!$B$2:$B$500)*(CityU!$AB$2='Offer Statistics'!$K$2:$K$500),0)),"/")</f>
        <v>0</v>
      </c>
      <c r="AF7" s="63" cm="1">
        <f t="array" ref="AF7">IFERROR(INDEX('Offer Statistics'!N$2:N$500,MATCH(1,(CityU!$A7='Offer Statistics'!$B$2:$B$500)*(CityU!$AB$2='Offer Statistics'!$K$2:$K$500),0)),"/")</f>
        <v>0</v>
      </c>
      <c r="AG7" s="63" cm="1">
        <f t="array" ref="AG7">IFERROR(INDEX('Offer Statistics'!O$2:O$500,MATCH(1,(CityU!$A7='Offer Statistics'!$B$2:$B$500)*(CityU!$AB$2='Offer Statistics'!$K$2:$K$500),0)),"/")</f>
        <v>0</v>
      </c>
      <c r="AH7" s="63" cm="1">
        <f t="array" ref="AH7">IFERROR(INDEX('Offer Statistics'!P$2:P$500,MATCH(1,(CityU!$A7='Offer Statistics'!$B$2:$B$500)*(CityU!$AB$2='Offer Statistics'!$K$2:$K$500),0)),"/")</f>
        <v>0</v>
      </c>
      <c r="AI7" s="538"/>
      <c r="AJ7" s="36" cm="1">
        <f t="array" ref="AJ7">IFERROR(INDEX('Offer Statistics'!$I$2:$I$500,MATCH(1,(CityU!$A7='Offer Statistics'!$B$2:$B$500)*(CityU!$AB$2='Offer Statistics'!$C$2:$C$500),0)),"/")</f>
        <v>2986</v>
      </c>
      <c r="AK7" s="63" cm="1">
        <f t="array" ref="AK7">IFERROR(INDEX('Offer Statistics'!D$2:D$500,MATCH(1,(CityU!$A7='Offer Statistics'!$B$2:$B$500)*(CityU!$AB$2='Offer Statistics'!$C$2:$C$500),0)),"/")</f>
        <v>247</v>
      </c>
      <c r="AL7" s="63" cm="1">
        <f t="array" ref="AL7">IFERROR(INDEX('Offer Statistics'!E$2:E$500,MATCH(1,(CityU!$A7='Offer Statistics'!$B$2:$B$500)*(CityU!$AB$2='Offer Statistics'!$C$2:$C$500),0)),"/")</f>
        <v>488</v>
      </c>
      <c r="AM7" s="63" cm="1">
        <f t="array" ref="AM7">IFERROR(INDEX('Offer Statistics'!F$2:F$500,MATCH(1,(CityU!$A7='Offer Statistics'!$B$2:$B$500)*(CityU!$AB$2='Offer Statistics'!$C$2:$C$500),0)),"/")</f>
        <v>767</v>
      </c>
      <c r="AN7" s="63" cm="1">
        <f t="array" ref="AN7">IFERROR(INDEX('Offer Statistics'!G$2:G$500,MATCH(1,(CityU!$A7='Offer Statistics'!$B$2:$B$500)*(CityU!$AB$2='Offer Statistics'!$C$2:$C$500),0)),"/")</f>
        <v>911</v>
      </c>
      <c r="AO7" s="63" cm="1">
        <f t="array" ref="AO7">IFERROR(INDEX('Offer Statistics'!H$2:H$500,MATCH(1,(CityU!$A7='Offer Statistics'!$B$2:$B$500)*(CityU!$AB$2='Offer Statistics'!$C$2:$C$500),0)),"/")</f>
        <v>573</v>
      </c>
      <c r="AP7" s="15"/>
      <c r="AQ7" s="15" t="str">
        <f t="shared" si="0"/>
        <v>JS1012</v>
      </c>
      <c r="AR7" s="4"/>
      <c r="AS7" s="4"/>
      <c r="AT7" s="4"/>
      <c r="AU7" s="4"/>
      <c r="AV7" s="4"/>
      <c r="AW7" s="4"/>
      <c r="AX7" s="4"/>
      <c r="AY7" s="4"/>
      <c r="AZ7" s="4"/>
      <c r="BA7" s="4"/>
      <c r="BB7" s="4"/>
      <c r="BC7" s="4"/>
      <c r="BD7" s="4"/>
      <c r="BE7" s="4"/>
      <c r="BF7" s="4"/>
    </row>
    <row r="8" spans="1:58" s="2" customFormat="1" ht="18" customHeight="1">
      <c r="A8" s="15" t="str">
        <f>'Reference Score Calculation'!B19</f>
        <v>JS1013</v>
      </c>
      <c r="B8" s="4" t="str">
        <f>'Reference Score Calculation'!D19</f>
        <v>商學院</v>
      </c>
      <c r="C8" s="23" t="str">
        <f>'Reference Score Calculation'!E19</f>
        <v>工商管理學士(商業經濟) (特點: 經濟理論 / 國際經濟 / 經濟與商業預測 / 定量分析)</v>
      </c>
      <c r="D8" s="4" t="str">
        <f>'Reference Score Calculation'!S19</f>
        <v>BBABE</v>
      </c>
      <c r="E8" s="352" t="str">
        <f>'Reference Score Calculation'!AC19</f>
        <v>Best 5</v>
      </c>
      <c r="F8" s="334" t="str">
        <f>'Reference Score Calculation'!F19</f>
        <v>Best 5</v>
      </c>
      <c r="G8" s="6">
        <f>'Reference Score Calculation'!I19</f>
        <v>20.5</v>
      </c>
      <c r="H8" s="6">
        <f>'Reference Score Calculation'!J19</f>
        <v>20.5</v>
      </c>
      <c r="I8" s="45">
        <f>計分版!J42</f>
        <v>3.2999999999999998E-9</v>
      </c>
      <c r="J8" s="176">
        <f t="shared" si="1"/>
        <v>-20.499999996700002</v>
      </c>
      <c r="K8" s="181">
        <f t="shared" si="2"/>
        <v>-6212121211.121213</v>
      </c>
      <c r="L8" s="36">
        <f>'Reference Score Calculation'!U19</f>
        <v>31</v>
      </c>
      <c r="M8" s="84">
        <f>入學要求!Z28</f>
        <v>0</v>
      </c>
      <c r="N8" s="540"/>
      <c r="O8" s="160">
        <f>入學要求!L28</f>
        <v>3</v>
      </c>
      <c r="P8" s="160">
        <f>入學要求!M28</f>
        <v>3</v>
      </c>
      <c r="Q8" s="160">
        <f>入學要求!N28</f>
        <v>3</v>
      </c>
      <c r="R8" s="160">
        <f>入學要求!O28</f>
        <v>1</v>
      </c>
      <c r="S8" s="160">
        <f>入學要求!P28</f>
        <v>3</v>
      </c>
      <c r="T8" s="160">
        <f>入學要求!Q28</f>
        <v>3</v>
      </c>
      <c r="U8" s="236">
        <f>入學要求!S28</f>
        <v>0</v>
      </c>
      <c r="V8" s="236">
        <f>入學要求!T28</f>
        <v>0</v>
      </c>
      <c r="W8" s="236">
        <f>入學要求!U28</f>
        <v>0</v>
      </c>
      <c r="X8" s="236">
        <f>入學要求!V28</f>
        <v>0</v>
      </c>
      <c r="Y8" s="236">
        <f>入學要求!W28</f>
        <v>0</v>
      </c>
      <c r="Z8" s="236">
        <f>入學要求!X28</f>
        <v>0</v>
      </c>
      <c r="AA8" s="44">
        <f t="shared" si="3"/>
        <v>14.88</v>
      </c>
      <c r="AB8" s="537"/>
      <c r="AC8" s="36" cm="1">
        <f t="array" ref="AC8">IFERROR(INDEX('Offer Statistics'!$Q$2:$Q$500,MATCH(1,(CityU!$A8='Offer Statistics'!$B$2:$B$500)*(CityU!$AB$2='Offer Statistics'!$K$2:$K$500),0)),"/")</f>
        <v>32</v>
      </c>
      <c r="AD8" s="63" cm="1">
        <f t="array" ref="AD8">IFERROR(INDEX('Offer Statistics'!L$2:L$500,MATCH(1,(CityU!$A8='Offer Statistics'!$B$2:$B$500)*(CityU!$AB$2='Offer Statistics'!$K$2:$K$500),0)),"/")</f>
        <v>32</v>
      </c>
      <c r="AE8" s="63" cm="1">
        <f t="array" ref="AE8">IFERROR(INDEX('Offer Statistics'!M$2:M$500,MATCH(1,(CityU!$A8='Offer Statistics'!$B$2:$B$500)*(CityU!$AB$2='Offer Statistics'!$K$2:$K$500),0)),"/")</f>
        <v>0</v>
      </c>
      <c r="AF8" s="63" cm="1">
        <f t="array" ref="AF8">IFERROR(INDEX('Offer Statistics'!N$2:N$500,MATCH(1,(CityU!$A8='Offer Statistics'!$B$2:$B$500)*(CityU!$AB$2='Offer Statistics'!$K$2:$K$500),0)),"/")</f>
        <v>0</v>
      </c>
      <c r="AG8" s="63" cm="1">
        <f t="array" ref="AG8">IFERROR(INDEX('Offer Statistics'!O$2:O$500,MATCH(1,(CityU!$A8='Offer Statistics'!$B$2:$B$500)*(CityU!$AB$2='Offer Statistics'!$K$2:$K$500),0)),"/")</f>
        <v>0</v>
      </c>
      <c r="AH8" s="63" cm="1">
        <f t="array" ref="AH8">IFERROR(INDEX('Offer Statistics'!P$2:P$500,MATCH(1,(CityU!$A8='Offer Statistics'!$B$2:$B$500)*(CityU!$AB$2='Offer Statistics'!$K$2:$K$500),0)),"/")</f>
        <v>0</v>
      </c>
      <c r="AI8" s="538"/>
      <c r="AJ8" s="36" cm="1">
        <f t="array" ref="AJ8">IFERROR(INDEX('Offer Statistics'!$I$2:$I$500,MATCH(1,(CityU!$A8='Offer Statistics'!$B$2:$B$500)*(CityU!$AB$2='Offer Statistics'!$C$2:$C$500),0)),"/")</f>
        <v>3752</v>
      </c>
      <c r="AK8" s="63" cm="1">
        <f t="array" ref="AK8">IFERROR(INDEX('Offer Statistics'!D$2:D$500,MATCH(1,(CityU!$A8='Offer Statistics'!$B$2:$B$500)*(CityU!$AB$2='Offer Statistics'!$C$2:$C$500),0)),"/")</f>
        <v>476</v>
      </c>
      <c r="AL8" s="63" cm="1">
        <f t="array" ref="AL8">IFERROR(INDEX('Offer Statistics'!E$2:E$500,MATCH(1,(CityU!$A8='Offer Statistics'!$B$2:$B$500)*(CityU!$AB$2='Offer Statistics'!$C$2:$C$500),0)),"/")</f>
        <v>633</v>
      </c>
      <c r="AM8" s="63" cm="1">
        <f t="array" ref="AM8">IFERROR(INDEX('Offer Statistics'!F$2:F$500,MATCH(1,(CityU!$A8='Offer Statistics'!$B$2:$B$500)*(CityU!$AB$2='Offer Statistics'!$C$2:$C$500),0)),"/")</f>
        <v>965</v>
      </c>
      <c r="AN8" s="63" cm="1">
        <f t="array" ref="AN8">IFERROR(INDEX('Offer Statistics'!G$2:G$500,MATCH(1,(CityU!$A8='Offer Statistics'!$B$2:$B$500)*(CityU!$AB$2='Offer Statistics'!$C$2:$C$500),0)),"/")</f>
        <v>972</v>
      </c>
      <c r="AO8" s="63" cm="1">
        <f t="array" ref="AO8">IFERROR(INDEX('Offer Statistics'!H$2:H$500,MATCH(1,(CityU!$A8='Offer Statistics'!$B$2:$B$500)*(CityU!$AB$2='Offer Statistics'!$C$2:$C$500),0)),"/")</f>
        <v>706</v>
      </c>
      <c r="AP8" s="15"/>
      <c r="AQ8" s="15" t="str">
        <f t="shared" si="0"/>
        <v>JS1013</v>
      </c>
      <c r="AR8" s="4"/>
      <c r="AS8" s="4"/>
      <c r="AT8" s="4"/>
      <c r="AU8" s="4"/>
      <c r="AV8" s="4"/>
      <c r="AW8" s="4"/>
      <c r="AX8" s="4"/>
      <c r="AY8" s="4"/>
      <c r="AZ8" s="4"/>
      <c r="BA8" s="4"/>
      <c r="BB8" s="4"/>
      <c r="BC8" s="4"/>
      <c r="BD8" s="4"/>
      <c r="BE8" s="4"/>
      <c r="BF8" s="4"/>
    </row>
    <row r="9" spans="1:58" s="2" customFormat="1" ht="18" customHeight="1">
      <c r="A9" s="15" t="str">
        <f>'Reference Score Calculation'!B20</f>
        <v>JS1014</v>
      </c>
      <c r="B9" s="4" t="str">
        <f>'Reference Score Calculation'!D20</f>
        <v>商學院</v>
      </c>
      <c r="C9" s="23" t="str">
        <f>'Reference Score Calculation'!E20</f>
        <v>工商管理學士(金融) (特點: 投資分析 / 金融市場 / 公司金融/ 風險管理 / 交易室工作坊)</v>
      </c>
      <c r="D9" s="4" t="str">
        <f>'Reference Score Calculation'!S20</f>
        <v>BBAFIN</v>
      </c>
      <c r="E9" s="352" t="str">
        <f>'Reference Score Calculation'!AC20</f>
        <v>Best 5</v>
      </c>
      <c r="F9" s="334" t="str">
        <f>'Reference Score Calculation'!F20</f>
        <v>Best 5</v>
      </c>
      <c r="G9" s="6">
        <f>'Reference Score Calculation'!I20</f>
        <v>20.5</v>
      </c>
      <c r="H9" s="6">
        <f>'Reference Score Calculation'!J20</f>
        <v>20.5</v>
      </c>
      <c r="I9" s="45">
        <f>計分版!J43</f>
        <v>3.2999999999999998E-9</v>
      </c>
      <c r="J9" s="176">
        <f t="shared" si="1"/>
        <v>-20.499999996700002</v>
      </c>
      <c r="K9" s="181">
        <f t="shared" si="2"/>
        <v>-6212121211.121213</v>
      </c>
      <c r="L9" s="36">
        <f>'Reference Score Calculation'!U20</f>
        <v>96</v>
      </c>
      <c r="M9" s="84">
        <f>入學要求!Z29</f>
        <v>0</v>
      </c>
      <c r="N9" s="540"/>
      <c r="O9" s="160">
        <f>入學要求!L29</f>
        <v>3</v>
      </c>
      <c r="P9" s="160">
        <f>入學要求!M29</f>
        <v>3</v>
      </c>
      <c r="Q9" s="160">
        <f>入學要求!N29</f>
        <v>3</v>
      </c>
      <c r="R9" s="160">
        <f>入學要求!O29</f>
        <v>1</v>
      </c>
      <c r="S9" s="160">
        <f>入學要求!P29</f>
        <v>3</v>
      </c>
      <c r="T9" s="160">
        <f>入學要求!Q29</f>
        <v>3</v>
      </c>
      <c r="U9" s="236">
        <f>入學要求!S29</f>
        <v>0</v>
      </c>
      <c r="V9" s="236">
        <f>入學要求!T29</f>
        <v>0</v>
      </c>
      <c r="W9" s="236">
        <f>入學要求!U29</f>
        <v>0</v>
      </c>
      <c r="X9" s="236">
        <f>入學要求!V29</f>
        <v>0</v>
      </c>
      <c r="Y9" s="236">
        <f>入學要求!W29</f>
        <v>0</v>
      </c>
      <c r="Z9" s="236">
        <f>入學要求!X29</f>
        <v>0</v>
      </c>
      <c r="AA9" s="44">
        <f t="shared" si="3"/>
        <v>7.41</v>
      </c>
      <c r="AB9" s="537"/>
      <c r="AC9" s="36" cm="1">
        <f t="array" ref="AC9">IFERROR(INDEX('Offer Statistics'!$Q$2:$Q$500,MATCH(1,(CityU!$A9='Offer Statistics'!$B$2:$B$500)*(CityU!$AB$2='Offer Statistics'!$K$2:$K$500),0)),"/")</f>
        <v>102</v>
      </c>
      <c r="AD9" s="63" cm="1">
        <f t="array" ref="AD9">IFERROR(INDEX('Offer Statistics'!L$2:L$500,MATCH(1,(CityU!$A9='Offer Statistics'!$B$2:$B$500)*(CityU!$AB$2='Offer Statistics'!$K$2:$K$500),0)),"/")</f>
        <v>102</v>
      </c>
      <c r="AE9" s="63" cm="1">
        <f t="array" ref="AE9">IFERROR(INDEX('Offer Statistics'!M$2:M$500,MATCH(1,(CityU!$A9='Offer Statistics'!$B$2:$B$500)*(CityU!$AB$2='Offer Statistics'!$K$2:$K$500),0)),"/")</f>
        <v>0</v>
      </c>
      <c r="AF9" s="63" cm="1">
        <f t="array" ref="AF9">IFERROR(INDEX('Offer Statistics'!N$2:N$500,MATCH(1,(CityU!$A9='Offer Statistics'!$B$2:$B$500)*(CityU!$AB$2='Offer Statistics'!$K$2:$K$500),0)),"/")</f>
        <v>0</v>
      </c>
      <c r="AG9" s="63" cm="1">
        <f t="array" ref="AG9">IFERROR(INDEX('Offer Statistics'!O$2:O$500,MATCH(1,(CityU!$A9='Offer Statistics'!$B$2:$B$500)*(CityU!$AB$2='Offer Statistics'!$K$2:$K$500),0)),"/")</f>
        <v>0</v>
      </c>
      <c r="AH9" s="63" cm="1">
        <f t="array" ref="AH9">IFERROR(INDEX('Offer Statistics'!P$2:P$500,MATCH(1,(CityU!$A9='Offer Statistics'!$B$2:$B$500)*(CityU!$AB$2='Offer Statistics'!$K$2:$K$500),0)),"/")</f>
        <v>0</v>
      </c>
      <c r="AI9" s="538"/>
      <c r="AJ9" s="36" cm="1">
        <f t="array" ref="AJ9">IFERROR(INDEX('Offer Statistics'!$I$2:$I$500,MATCH(1,(CityU!$A9='Offer Statistics'!$B$2:$B$500)*(CityU!$AB$2='Offer Statistics'!$C$2:$C$500),0)),"/")</f>
        <v>4249</v>
      </c>
      <c r="AK9" s="63" cm="1">
        <f t="array" ref="AK9">IFERROR(INDEX('Offer Statistics'!D$2:D$500,MATCH(1,(CityU!$A9='Offer Statistics'!$B$2:$B$500)*(CityU!$AB$2='Offer Statistics'!$C$2:$C$500),0)),"/")</f>
        <v>756</v>
      </c>
      <c r="AL9" s="63" cm="1">
        <f t="array" ref="AL9">IFERROR(INDEX('Offer Statistics'!E$2:E$500,MATCH(1,(CityU!$A9='Offer Statistics'!$B$2:$B$500)*(CityU!$AB$2='Offer Statistics'!$C$2:$C$500),0)),"/")</f>
        <v>863</v>
      </c>
      <c r="AM9" s="63" cm="1">
        <f t="array" ref="AM9">IFERROR(INDEX('Offer Statistics'!F$2:F$500,MATCH(1,(CityU!$A9='Offer Statistics'!$B$2:$B$500)*(CityU!$AB$2='Offer Statistics'!$C$2:$C$500),0)),"/")</f>
        <v>953</v>
      </c>
      <c r="AN9" s="63" cm="1">
        <f t="array" ref="AN9">IFERROR(INDEX('Offer Statistics'!G$2:G$500,MATCH(1,(CityU!$A9='Offer Statistics'!$B$2:$B$500)*(CityU!$AB$2='Offer Statistics'!$C$2:$C$500),0)),"/")</f>
        <v>999</v>
      </c>
      <c r="AO9" s="63" cm="1">
        <f t="array" ref="AO9">IFERROR(INDEX('Offer Statistics'!H$2:H$500,MATCH(1,(CityU!$A9='Offer Statistics'!$B$2:$B$500)*(CityU!$AB$2='Offer Statistics'!$C$2:$C$500),0)),"/")</f>
        <v>678</v>
      </c>
      <c r="AP9" s="15"/>
      <c r="AQ9" s="15" t="str">
        <f t="shared" si="0"/>
        <v>JS1014</v>
      </c>
      <c r="AR9" s="4"/>
      <c r="AS9" s="4"/>
      <c r="AT9" s="4"/>
      <c r="AU9" s="4"/>
      <c r="AV9" s="4"/>
      <c r="AW9" s="4"/>
      <c r="AX9" s="4"/>
      <c r="AY9" s="4"/>
      <c r="AZ9" s="4"/>
      <c r="BA9" s="4"/>
      <c r="BB9" s="4"/>
      <c r="BC9" s="4"/>
      <c r="BD9" s="4"/>
      <c r="BE9" s="4"/>
      <c r="BF9" s="4"/>
    </row>
    <row r="10" spans="1:58" s="2" customFormat="1" ht="18" customHeight="1">
      <c r="A10" s="15" t="str">
        <f>'Reference Score Calculation'!B21</f>
        <v>JS1017</v>
      </c>
      <c r="B10" s="4" t="str">
        <f>'Reference Score Calculation'!D21</f>
        <v>商學院</v>
      </c>
      <c r="C10" s="23" t="str">
        <f>'Reference Score Calculation'!E21</f>
        <v>資訊系統學 [主修: 工商管理學士(環球商業系統管理) 、工商管理學士(資訊管理)]</v>
      </c>
      <c r="D10" s="4" t="str">
        <f>'Reference Score Calculation'!S21</f>
        <v>IS</v>
      </c>
      <c r="E10" s="352" t="str">
        <f>'Reference Score Calculation'!AC21</f>
        <v>3C2X</v>
      </c>
      <c r="F10" s="334" t="str">
        <f>'Reference Score Calculation'!F21</f>
        <v>3C2X</v>
      </c>
      <c r="G10" s="6">
        <f>'Reference Score Calculation'!I21</f>
        <v>20.5</v>
      </c>
      <c r="H10" s="6">
        <f>'Reference Score Calculation'!J21</f>
        <v>19.5</v>
      </c>
      <c r="I10" s="45">
        <f>計分版!J44</f>
        <v>2.2999999999999999E-9</v>
      </c>
      <c r="J10" s="176">
        <f t="shared" si="1"/>
        <v>-20.499999997700002</v>
      </c>
      <c r="K10" s="181">
        <f t="shared" si="2"/>
        <v>-8913043477.26087</v>
      </c>
      <c r="L10" s="36">
        <f>'Reference Score Calculation'!U21</f>
        <v>62</v>
      </c>
      <c r="M10" s="84">
        <f>入學要求!Z30</f>
        <v>0</v>
      </c>
      <c r="N10" s="540"/>
      <c r="O10" s="160">
        <f>入學要求!L30</f>
        <v>3</v>
      </c>
      <c r="P10" s="160">
        <f>入學要求!M30</f>
        <v>3</v>
      </c>
      <c r="Q10" s="160">
        <f>入學要求!N30</f>
        <v>3</v>
      </c>
      <c r="R10" s="160">
        <f>入學要求!O30</f>
        <v>1</v>
      </c>
      <c r="S10" s="160">
        <f>入學要求!P30</f>
        <v>3</v>
      </c>
      <c r="T10" s="160">
        <f>入學要求!Q30</f>
        <v>3</v>
      </c>
      <c r="U10" s="236">
        <f>入學要求!S30</f>
        <v>0</v>
      </c>
      <c r="V10" s="236">
        <f>入學要求!T30</f>
        <v>0</v>
      </c>
      <c r="W10" s="236">
        <f>入學要求!U30</f>
        <v>0</v>
      </c>
      <c r="X10" s="236">
        <f>入學要求!V30</f>
        <v>0</v>
      </c>
      <c r="Y10" s="236">
        <f>入學要求!W30</f>
        <v>0</v>
      </c>
      <c r="Z10" s="236">
        <f>入學要求!X30</f>
        <v>0</v>
      </c>
      <c r="AA10" s="44">
        <f t="shared" si="3"/>
        <v>5.96</v>
      </c>
      <c r="AB10" s="537"/>
      <c r="AC10" s="36" cm="1">
        <f t="array" ref="AC10">IFERROR(INDEX('Offer Statistics'!$Q$2:$Q$500,MATCH(1,(CityU!$A10='Offer Statistics'!$B$2:$B$500)*(CityU!$AB$2='Offer Statistics'!$K$2:$K$500),0)),"/")</f>
        <v>59</v>
      </c>
      <c r="AD10" s="63" cm="1">
        <f t="array" ref="AD10">IFERROR(INDEX('Offer Statistics'!L$2:L$500,MATCH(1,(CityU!$A10='Offer Statistics'!$B$2:$B$500)*(CityU!$AB$2='Offer Statistics'!$K$2:$K$500),0)),"/")</f>
        <v>54</v>
      </c>
      <c r="AE10" s="63" cm="1">
        <f t="array" ref="AE10">IFERROR(INDEX('Offer Statistics'!M$2:M$500,MATCH(1,(CityU!$A10='Offer Statistics'!$B$2:$B$500)*(CityU!$AB$2='Offer Statistics'!$K$2:$K$500),0)),"/")</f>
        <v>4</v>
      </c>
      <c r="AF10" s="63" cm="1">
        <f t="array" ref="AF10">IFERROR(INDEX('Offer Statistics'!N$2:N$500,MATCH(1,(CityU!$A10='Offer Statistics'!$B$2:$B$500)*(CityU!$AB$2='Offer Statistics'!$K$2:$K$500),0)),"/")</f>
        <v>0</v>
      </c>
      <c r="AG10" s="63" cm="1">
        <f t="array" ref="AG10">IFERROR(INDEX('Offer Statistics'!O$2:O$500,MATCH(1,(CityU!$A10='Offer Statistics'!$B$2:$B$500)*(CityU!$AB$2='Offer Statistics'!$K$2:$K$500),0)),"/")</f>
        <v>1</v>
      </c>
      <c r="AH10" s="63" cm="1">
        <f t="array" ref="AH10">IFERROR(INDEX('Offer Statistics'!P$2:P$500,MATCH(1,(CityU!$A10='Offer Statistics'!$B$2:$B$500)*(CityU!$AB$2='Offer Statistics'!$K$2:$K$500),0)),"/")</f>
        <v>0</v>
      </c>
      <c r="AI10" s="538"/>
      <c r="AJ10" s="36" cm="1">
        <f t="array" ref="AJ10">IFERROR(INDEX('Offer Statistics'!$I$2:$I$500,MATCH(1,(CityU!$A10='Offer Statistics'!$B$2:$B$500)*(CityU!$AB$2='Offer Statistics'!$C$2:$C$500),0)),"/")</f>
        <v>1895</v>
      </c>
      <c r="AK10" s="63" cm="1">
        <f t="array" ref="AK10">IFERROR(INDEX('Offer Statistics'!D$2:D$500,MATCH(1,(CityU!$A10='Offer Statistics'!$B$2:$B$500)*(CityU!$AB$2='Offer Statistics'!$C$2:$C$500),0)),"/")</f>
        <v>322</v>
      </c>
      <c r="AL10" s="63" cm="1">
        <f t="array" ref="AL10">IFERROR(INDEX('Offer Statistics'!E$2:E$500,MATCH(1,(CityU!$A10='Offer Statistics'!$B$2:$B$500)*(CityU!$AB$2='Offer Statistics'!$C$2:$C$500),0)),"/")</f>
        <v>269</v>
      </c>
      <c r="AM10" s="63" cm="1">
        <f t="array" ref="AM10">IFERROR(INDEX('Offer Statistics'!F$2:F$500,MATCH(1,(CityU!$A10='Offer Statistics'!$B$2:$B$500)*(CityU!$AB$2='Offer Statistics'!$C$2:$C$500),0)),"/")</f>
        <v>432</v>
      </c>
      <c r="AN10" s="63" cm="1">
        <f t="array" ref="AN10">IFERROR(INDEX('Offer Statistics'!G$2:G$500,MATCH(1,(CityU!$A10='Offer Statistics'!$B$2:$B$500)*(CityU!$AB$2='Offer Statistics'!$C$2:$C$500),0)),"/")</f>
        <v>508</v>
      </c>
      <c r="AO10" s="63" cm="1">
        <f t="array" ref="AO10">IFERROR(INDEX('Offer Statistics'!H$2:H$500,MATCH(1,(CityU!$A10='Offer Statistics'!$B$2:$B$500)*(CityU!$AB$2='Offer Statistics'!$C$2:$C$500),0)),"/")</f>
        <v>364</v>
      </c>
      <c r="AP10" s="15"/>
      <c r="AQ10" s="15" t="str">
        <f t="shared" si="0"/>
        <v>JS1017</v>
      </c>
      <c r="AR10" s="4"/>
      <c r="AS10" s="4"/>
      <c r="AT10" s="4"/>
      <c r="AU10" s="4"/>
      <c r="AV10" s="4"/>
      <c r="AW10" s="4"/>
      <c r="AX10" s="4"/>
      <c r="AY10" s="4"/>
      <c r="AZ10" s="4"/>
      <c r="BA10" s="4"/>
      <c r="BB10" s="4"/>
      <c r="BC10" s="4"/>
      <c r="BD10" s="4"/>
      <c r="BE10" s="4"/>
      <c r="BF10" s="4"/>
    </row>
    <row r="11" spans="1:58" s="2" customFormat="1" ht="18" customHeight="1">
      <c r="A11" s="15" t="str">
        <f>'Reference Score Calculation'!B22</f>
        <v>JS1018</v>
      </c>
      <c r="B11" s="4" t="str">
        <f>'Reference Score Calculation'!D22</f>
        <v>商學院</v>
      </c>
      <c r="C11" s="23" t="str">
        <f>'Reference Score Calculation'!E22</f>
        <v>工商管理學士(環球商業系統管理) (特點: 智能科技 / 環球商業 / 海外及内地交流)</v>
      </c>
      <c r="D11" s="4" t="str">
        <f>'Reference Score Calculation'!S22</f>
        <v>BBAGBSM</v>
      </c>
      <c r="E11" s="352" t="str">
        <f>'Reference Score Calculation'!AC22</f>
        <v>3C2X</v>
      </c>
      <c r="F11" s="334" t="str">
        <f>'Reference Score Calculation'!F22</f>
        <v>3C2X</v>
      </c>
      <c r="G11" s="6">
        <f>'Reference Score Calculation'!I22</f>
        <v>22</v>
      </c>
      <c r="H11" s="6">
        <f>'Reference Score Calculation'!J22</f>
        <v>22</v>
      </c>
      <c r="I11" s="45">
        <f>計分版!J45</f>
        <v>2.2999999999999999E-9</v>
      </c>
      <c r="J11" s="176">
        <f t="shared" si="1"/>
        <v>-21.999999997700002</v>
      </c>
      <c r="K11" s="181">
        <f t="shared" si="2"/>
        <v>-9565217390.304348</v>
      </c>
      <c r="L11" s="36">
        <f>'Reference Score Calculation'!U22</f>
        <v>10</v>
      </c>
      <c r="M11" s="84">
        <f>入學要求!Z31</f>
        <v>0</v>
      </c>
      <c r="N11" s="540"/>
      <c r="O11" s="160">
        <f>入學要求!L31</f>
        <v>3</v>
      </c>
      <c r="P11" s="160">
        <f>入學要求!M31</f>
        <v>3</v>
      </c>
      <c r="Q11" s="160">
        <f>入學要求!N31</f>
        <v>3</v>
      </c>
      <c r="R11" s="160">
        <f>入學要求!O31</f>
        <v>1</v>
      </c>
      <c r="S11" s="160">
        <f>入學要求!P31</f>
        <v>3</v>
      </c>
      <c r="T11" s="160">
        <f>入學要求!Q31</f>
        <v>3</v>
      </c>
      <c r="U11" s="236">
        <f>入學要求!S31</f>
        <v>0</v>
      </c>
      <c r="V11" s="236">
        <f>入學要求!T31</f>
        <v>0</v>
      </c>
      <c r="W11" s="236">
        <f>入學要求!U31</f>
        <v>0</v>
      </c>
      <c r="X11" s="236">
        <f>入學要求!V31</f>
        <v>0</v>
      </c>
      <c r="Y11" s="236">
        <f>入學要求!W31</f>
        <v>0</v>
      </c>
      <c r="Z11" s="236">
        <f>入學要求!X31</f>
        <v>0</v>
      </c>
      <c r="AA11" s="44">
        <f t="shared" si="3"/>
        <v>10.5</v>
      </c>
      <c r="AB11" s="537"/>
      <c r="AC11" s="36" cm="1">
        <f t="array" ref="AC11">IFERROR(INDEX('Offer Statistics'!$Q$2:$Q$500,MATCH(1,(CityU!$A11='Offer Statistics'!$B$2:$B$500)*(CityU!$AB$2='Offer Statistics'!$K$2:$K$500),0)),"/")</f>
        <v>8</v>
      </c>
      <c r="AD11" s="63" cm="1">
        <f t="array" ref="AD11">IFERROR(INDEX('Offer Statistics'!L$2:L$500,MATCH(1,(CityU!$A11='Offer Statistics'!$B$2:$B$500)*(CityU!$AB$2='Offer Statistics'!$K$2:$K$500),0)),"/")</f>
        <v>6</v>
      </c>
      <c r="AE11" s="63" cm="1">
        <f t="array" ref="AE11">IFERROR(INDEX('Offer Statistics'!M$2:M$500,MATCH(1,(CityU!$A11='Offer Statistics'!$B$2:$B$500)*(CityU!$AB$2='Offer Statistics'!$K$2:$K$500),0)),"/")</f>
        <v>2</v>
      </c>
      <c r="AF11" s="63" cm="1">
        <f t="array" ref="AF11">IFERROR(INDEX('Offer Statistics'!N$2:N$500,MATCH(1,(CityU!$A11='Offer Statistics'!$B$2:$B$500)*(CityU!$AB$2='Offer Statistics'!$K$2:$K$500),0)),"/")</f>
        <v>0</v>
      </c>
      <c r="AG11" s="63" cm="1">
        <f t="array" ref="AG11">IFERROR(INDEX('Offer Statistics'!O$2:O$500,MATCH(1,(CityU!$A11='Offer Statistics'!$B$2:$B$500)*(CityU!$AB$2='Offer Statistics'!$K$2:$K$500),0)),"/")</f>
        <v>0</v>
      </c>
      <c r="AH11" s="63" cm="1">
        <f t="array" ref="AH11">IFERROR(INDEX('Offer Statistics'!P$2:P$500,MATCH(1,(CityU!$A11='Offer Statistics'!$B$2:$B$500)*(CityU!$AB$2='Offer Statistics'!$K$2:$K$500),0)),"/")</f>
        <v>0</v>
      </c>
      <c r="AI11" s="538"/>
      <c r="AJ11" s="36" cm="1">
        <f t="array" ref="AJ11">IFERROR(INDEX('Offer Statistics'!$I$2:$I$500,MATCH(1,(CityU!$A11='Offer Statistics'!$B$2:$B$500)*(CityU!$AB$2='Offer Statistics'!$C$2:$C$500),0)),"/")</f>
        <v>1366</v>
      </c>
      <c r="AK11" s="63" cm="1">
        <f t="array" ref="AK11">IFERROR(INDEX('Offer Statistics'!D$2:D$500,MATCH(1,(CityU!$A11='Offer Statistics'!$B$2:$B$500)*(CityU!$AB$2='Offer Statistics'!$C$2:$C$500),0)),"/")</f>
        <v>63</v>
      </c>
      <c r="AL11" s="63" cm="1">
        <f t="array" ref="AL11">IFERROR(INDEX('Offer Statistics'!E$2:E$500,MATCH(1,(CityU!$A11='Offer Statistics'!$B$2:$B$500)*(CityU!$AB$2='Offer Statistics'!$C$2:$C$500),0)),"/")</f>
        <v>173</v>
      </c>
      <c r="AM11" s="63" cm="1">
        <f t="array" ref="AM11">IFERROR(INDEX('Offer Statistics'!F$2:F$500,MATCH(1,(CityU!$A11='Offer Statistics'!$B$2:$B$500)*(CityU!$AB$2='Offer Statistics'!$C$2:$C$500),0)),"/")</f>
        <v>334</v>
      </c>
      <c r="AN11" s="63" cm="1">
        <f t="array" ref="AN11">IFERROR(INDEX('Offer Statistics'!G$2:G$500,MATCH(1,(CityU!$A11='Offer Statistics'!$B$2:$B$500)*(CityU!$AB$2='Offer Statistics'!$C$2:$C$500),0)),"/")</f>
        <v>456</v>
      </c>
      <c r="AO11" s="63" cm="1">
        <f t="array" ref="AO11">IFERROR(INDEX('Offer Statistics'!H$2:H$500,MATCH(1,(CityU!$A11='Offer Statistics'!$B$2:$B$500)*(CityU!$AB$2='Offer Statistics'!$C$2:$C$500),0)),"/")</f>
        <v>340</v>
      </c>
      <c r="AP11" s="15"/>
      <c r="AQ11" s="15" t="str">
        <f t="shared" si="0"/>
        <v>JS1018</v>
      </c>
      <c r="AR11" s="4"/>
      <c r="AS11" s="4"/>
      <c r="AT11" s="4"/>
      <c r="AU11" s="4"/>
      <c r="AV11" s="4"/>
      <c r="AW11" s="4"/>
      <c r="AX11" s="4"/>
      <c r="AY11" s="4"/>
      <c r="AZ11" s="4"/>
      <c r="BA11" s="4"/>
      <c r="BB11" s="4"/>
      <c r="BC11" s="4"/>
      <c r="BD11" s="4"/>
      <c r="BE11" s="4"/>
      <c r="BF11" s="4"/>
    </row>
    <row r="12" spans="1:58" s="2" customFormat="1" ht="18" customHeight="1">
      <c r="A12" s="15" t="str">
        <f>'Reference Score Calculation'!B23</f>
        <v>JS1019</v>
      </c>
      <c r="B12" s="4" t="str">
        <f>'Reference Score Calculation'!D23</f>
        <v>商學院</v>
      </c>
      <c r="C12" s="23" t="str">
        <f>'Reference Score Calculation'!E23</f>
        <v>工商管理學士(資訊管理) (專修: 商務智能 / 信息系統審計 / 互聯網服務及社交網絡 / 數據信息學)</v>
      </c>
      <c r="D12" s="4" t="str">
        <f>'Reference Score Calculation'!S23</f>
        <v>BBAIFMG</v>
      </c>
      <c r="E12" s="352" t="str">
        <f>'Reference Score Calculation'!AC23</f>
        <v>3C2X</v>
      </c>
      <c r="F12" s="334" t="str">
        <f>'Reference Score Calculation'!F23</f>
        <v>3C2X</v>
      </c>
      <c r="G12" s="6">
        <f>'Reference Score Calculation'!I23</f>
        <v>20.5</v>
      </c>
      <c r="H12" s="6">
        <f>'Reference Score Calculation'!J23</f>
        <v>19.5</v>
      </c>
      <c r="I12" s="45">
        <f>計分版!J46</f>
        <v>2.2999999999999999E-9</v>
      </c>
      <c r="J12" s="176">
        <f t="shared" si="1"/>
        <v>-20.499999997700002</v>
      </c>
      <c r="K12" s="181">
        <f t="shared" si="2"/>
        <v>-8913043477.26087</v>
      </c>
      <c r="L12" s="36">
        <f>'Reference Score Calculation'!U23</f>
        <v>10</v>
      </c>
      <c r="M12" s="84">
        <f>入學要求!Z32</f>
        <v>0</v>
      </c>
      <c r="N12" s="540"/>
      <c r="O12" s="160">
        <f>入學要求!L32</f>
        <v>3</v>
      </c>
      <c r="P12" s="160">
        <f>入學要求!M32</f>
        <v>3</v>
      </c>
      <c r="Q12" s="160">
        <f>入學要求!N32</f>
        <v>3</v>
      </c>
      <c r="R12" s="160">
        <f>入學要求!O32</f>
        <v>1</v>
      </c>
      <c r="S12" s="160">
        <f>入學要求!P32</f>
        <v>3</v>
      </c>
      <c r="T12" s="160">
        <f>入學要求!Q32</f>
        <v>3</v>
      </c>
      <c r="U12" s="236">
        <f>入學要求!S32</f>
        <v>0</v>
      </c>
      <c r="V12" s="236">
        <f>入學要求!T32</f>
        <v>0</v>
      </c>
      <c r="W12" s="236">
        <f>入學要求!U32</f>
        <v>0</v>
      </c>
      <c r="X12" s="236">
        <f>入學要求!V32</f>
        <v>0</v>
      </c>
      <c r="Y12" s="236">
        <f>入學要求!W32</f>
        <v>0</v>
      </c>
      <c r="Z12" s="236">
        <f>入學要求!X32</f>
        <v>0</v>
      </c>
      <c r="AA12" s="44">
        <f t="shared" si="3"/>
        <v>22</v>
      </c>
      <c r="AB12" s="537"/>
      <c r="AC12" s="36" cm="1">
        <f t="array" ref="AC12">IFERROR(INDEX('Offer Statistics'!$Q$2:$Q$500,MATCH(1,(CityU!$A12='Offer Statistics'!$B$2:$B$500)*(CityU!$AB$2='Offer Statistics'!$K$2:$K$500),0)),"/")</f>
        <v>7</v>
      </c>
      <c r="AD12" s="63" cm="1">
        <f t="array" ref="AD12">IFERROR(INDEX('Offer Statistics'!L$2:L$500,MATCH(1,(CityU!$A12='Offer Statistics'!$B$2:$B$500)*(CityU!$AB$2='Offer Statistics'!$K$2:$K$500),0)),"/")</f>
        <v>3</v>
      </c>
      <c r="AE12" s="63" cm="1">
        <f t="array" ref="AE12">IFERROR(INDEX('Offer Statistics'!M$2:M$500,MATCH(1,(CityU!$A12='Offer Statistics'!$B$2:$B$500)*(CityU!$AB$2='Offer Statistics'!$K$2:$K$500),0)),"/")</f>
        <v>2</v>
      </c>
      <c r="AF12" s="63" cm="1">
        <f t="array" ref="AF12">IFERROR(INDEX('Offer Statistics'!N$2:N$500,MATCH(1,(CityU!$A12='Offer Statistics'!$B$2:$B$500)*(CityU!$AB$2='Offer Statistics'!$K$2:$K$500),0)),"/")</f>
        <v>2</v>
      </c>
      <c r="AG12" s="63" cm="1">
        <f t="array" ref="AG12">IFERROR(INDEX('Offer Statistics'!O$2:O$500,MATCH(1,(CityU!$A12='Offer Statistics'!$B$2:$B$500)*(CityU!$AB$2='Offer Statistics'!$K$2:$K$500),0)),"/")</f>
        <v>0</v>
      </c>
      <c r="AH12" s="63" cm="1">
        <f t="array" ref="AH12">IFERROR(INDEX('Offer Statistics'!P$2:P$500,MATCH(1,(CityU!$A12='Offer Statistics'!$B$2:$B$500)*(CityU!$AB$2='Offer Statistics'!$K$2:$K$500),0)),"/")</f>
        <v>0</v>
      </c>
      <c r="AI12" s="538"/>
      <c r="AJ12" s="36" cm="1">
        <f t="array" ref="AJ12">IFERROR(INDEX('Offer Statistics'!$I$2:$I$500,MATCH(1,(CityU!$A12='Offer Statistics'!$B$2:$B$500)*(CityU!$AB$2='Offer Statistics'!$C$2:$C$500),0)),"/")</f>
        <v>1365</v>
      </c>
      <c r="AK12" s="63" cm="1">
        <f t="array" ref="AK12">IFERROR(INDEX('Offer Statistics'!D$2:D$500,MATCH(1,(CityU!$A12='Offer Statistics'!$B$2:$B$500)*(CityU!$AB$2='Offer Statistics'!$C$2:$C$500),0)),"/")</f>
        <v>66</v>
      </c>
      <c r="AL12" s="63" cm="1">
        <f t="array" ref="AL12">IFERROR(INDEX('Offer Statistics'!E$2:E$500,MATCH(1,(CityU!$A12='Offer Statistics'!$B$2:$B$500)*(CityU!$AB$2='Offer Statistics'!$C$2:$C$500),0)),"/")</f>
        <v>157</v>
      </c>
      <c r="AM12" s="63" cm="1">
        <f t="array" ref="AM12">IFERROR(INDEX('Offer Statistics'!F$2:F$500,MATCH(1,(CityU!$A12='Offer Statistics'!$B$2:$B$500)*(CityU!$AB$2='Offer Statistics'!$C$2:$C$500),0)),"/")</f>
        <v>312</v>
      </c>
      <c r="AN12" s="63" cm="1">
        <f t="array" ref="AN12">IFERROR(INDEX('Offer Statistics'!G$2:G$500,MATCH(1,(CityU!$A12='Offer Statistics'!$B$2:$B$500)*(CityU!$AB$2='Offer Statistics'!$C$2:$C$500),0)),"/")</f>
        <v>488</v>
      </c>
      <c r="AO12" s="63" cm="1">
        <f t="array" ref="AO12">IFERROR(INDEX('Offer Statistics'!H$2:H$500,MATCH(1,(CityU!$A12='Offer Statistics'!$B$2:$B$500)*(CityU!$AB$2='Offer Statistics'!$C$2:$C$500),0)),"/")</f>
        <v>342</v>
      </c>
      <c r="AP12" s="15"/>
      <c r="AQ12" s="15" t="str">
        <f t="shared" si="0"/>
        <v>JS1019</v>
      </c>
      <c r="AR12" s="4"/>
      <c r="AS12" s="4"/>
      <c r="AT12" s="4"/>
      <c r="AU12" s="4"/>
      <c r="AV12" s="4"/>
      <c r="AW12" s="4"/>
      <c r="AX12" s="4"/>
      <c r="AY12" s="4"/>
      <c r="AZ12" s="4"/>
      <c r="BA12" s="4"/>
      <c r="BB12" s="4"/>
      <c r="BC12" s="4"/>
      <c r="BD12" s="4"/>
      <c r="BE12" s="4"/>
      <c r="BF12" s="4"/>
    </row>
    <row r="13" spans="1:58" s="2" customFormat="1" ht="18" customHeight="1">
      <c r="A13" s="15" t="str">
        <f>'Reference Score Calculation'!B24</f>
        <v>JS1025</v>
      </c>
      <c r="B13" s="4" t="str">
        <f>'Reference Score Calculation'!D24</f>
        <v>商學院</v>
      </c>
      <c r="C13" s="23" t="str">
        <f>'Reference Score Calculation'!E24</f>
        <v>決策分析及營運學 [主修: 工商管理學士(商業決策分析) / 工商管理學士(環球營運管理)]</v>
      </c>
      <c r="D13" s="4" t="str">
        <f>'Reference Score Calculation'!S24</f>
        <v>DAO</v>
      </c>
      <c r="E13" s="352" t="str">
        <f>'Reference Score Calculation'!AC24</f>
        <v>3C2X</v>
      </c>
      <c r="F13" s="334" t="str">
        <f>'Reference Score Calculation'!F24</f>
        <v>3C2X</v>
      </c>
      <c r="G13" s="6">
        <f>'Reference Score Calculation'!I24</f>
        <v>20</v>
      </c>
      <c r="H13" s="6">
        <f>'Reference Score Calculation'!J24</f>
        <v>19.5</v>
      </c>
      <c r="I13" s="45">
        <f>計分版!J47</f>
        <v>2.2999999999999999E-9</v>
      </c>
      <c r="J13" s="176">
        <f t="shared" si="1"/>
        <v>-19.999999997700002</v>
      </c>
      <c r="K13" s="181">
        <f t="shared" si="2"/>
        <v>-8695652172.913044</v>
      </c>
      <c r="L13" s="36">
        <f>'Reference Score Calculation'!U24</f>
        <v>24</v>
      </c>
      <c r="M13" s="84">
        <f>入學要求!Z33</f>
        <v>0</v>
      </c>
      <c r="N13" s="540"/>
      <c r="O13" s="160">
        <f>入學要求!L33</f>
        <v>3</v>
      </c>
      <c r="P13" s="160">
        <f>入學要求!M33</f>
        <v>3</v>
      </c>
      <c r="Q13" s="160">
        <f>入學要求!N33</f>
        <v>3</v>
      </c>
      <c r="R13" s="160">
        <f>入學要求!O33</f>
        <v>1</v>
      </c>
      <c r="S13" s="160">
        <f>入學要求!P33</f>
        <v>3</v>
      </c>
      <c r="T13" s="160">
        <f>入學要求!Q33</f>
        <v>3</v>
      </c>
      <c r="U13" s="236">
        <f>入學要求!S33</f>
        <v>0</v>
      </c>
      <c r="V13" s="236">
        <f>入學要求!T33</f>
        <v>0</v>
      </c>
      <c r="W13" s="236">
        <f>入學要求!U33</f>
        <v>0</v>
      </c>
      <c r="X13" s="236">
        <f>入學要求!V33</f>
        <v>0</v>
      </c>
      <c r="Y13" s="236">
        <f>入學要求!W33</f>
        <v>0</v>
      </c>
      <c r="Z13" s="236">
        <f>入學要求!X33</f>
        <v>0</v>
      </c>
      <c r="AA13" s="44">
        <f t="shared" si="3"/>
        <v>18.91</v>
      </c>
      <c r="AB13" s="537"/>
      <c r="AC13" s="36" cm="1">
        <f t="array" ref="AC13">IFERROR(INDEX('Offer Statistics'!$Q$2:$Q$500,MATCH(1,(CityU!$A13='Offer Statistics'!$B$2:$B$500)*(CityU!$AB$2='Offer Statistics'!$K$2:$K$500),0)),"/")</f>
        <v>24</v>
      </c>
      <c r="AD13" s="63" cm="1">
        <f t="array" ref="AD13">IFERROR(INDEX('Offer Statistics'!L$2:L$500,MATCH(1,(CityU!$A13='Offer Statistics'!$B$2:$B$500)*(CityU!$AB$2='Offer Statistics'!$K$2:$K$500),0)),"/")</f>
        <v>22</v>
      </c>
      <c r="AE13" s="63" cm="1">
        <f t="array" ref="AE13">IFERROR(INDEX('Offer Statistics'!M$2:M$500,MATCH(1,(CityU!$A13='Offer Statistics'!$B$2:$B$500)*(CityU!$AB$2='Offer Statistics'!$K$2:$K$500),0)),"/")</f>
        <v>1</v>
      </c>
      <c r="AF13" s="63" cm="1">
        <f t="array" ref="AF13">IFERROR(INDEX('Offer Statistics'!N$2:N$500,MATCH(1,(CityU!$A13='Offer Statistics'!$B$2:$B$500)*(CityU!$AB$2='Offer Statistics'!$K$2:$K$500),0)),"/")</f>
        <v>1</v>
      </c>
      <c r="AG13" s="63" cm="1">
        <f t="array" ref="AG13">IFERROR(INDEX('Offer Statistics'!O$2:O$500,MATCH(1,(CityU!$A13='Offer Statistics'!$B$2:$B$500)*(CityU!$AB$2='Offer Statistics'!$K$2:$K$500),0)),"/")</f>
        <v>0</v>
      </c>
      <c r="AH13" s="63" cm="1">
        <f t="array" ref="AH13">IFERROR(INDEX('Offer Statistics'!P$2:P$500,MATCH(1,(CityU!$A13='Offer Statistics'!$B$2:$B$500)*(CityU!$AB$2='Offer Statistics'!$K$2:$K$500),0)),"/")</f>
        <v>0</v>
      </c>
      <c r="AI13" s="538"/>
      <c r="AJ13" s="36" cm="1">
        <f t="array" ref="AJ13">IFERROR(INDEX('Offer Statistics'!$I$2:$I$500,MATCH(1,(CityU!$A13='Offer Statistics'!$B$2:$B$500)*(CityU!$AB$2='Offer Statistics'!$C$2:$C$500),0)),"/")</f>
        <v>2296</v>
      </c>
      <c r="AK13" s="63" cm="1">
        <f t="array" ref="AK13">IFERROR(INDEX('Offer Statistics'!D$2:D$500,MATCH(1,(CityU!$A13='Offer Statistics'!$B$2:$B$500)*(CityU!$AB$2='Offer Statistics'!$C$2:$C$500),0)),"/")</f>
        <v>416</v>
      </c>
      <c r="AL13" s="63" cm="1">
        <f t="array" ref="AL13">IFERROR(INDEX('Offer Statistics'!E$2:E$500,MATCH(1,(CityU!$A13='Offer Statistics'!$B$2:$B$500)*(CityU!$AB$2='Offer Statistics'!$C$2:$C$500),0)),"/")</f>
        <v>382</v>
      </c>
      <c r="AM13" s="63" cm="1">
        <f t="array" ref="AM13">IFERROR(INDEX('Offer Statistics'!F$2:F$500,MATCH(1,(CityU!$A13='Offer Statistics'!$B$2:$B$500)*(CityU!$AB$2='Offer Statistics'!$C$2:$C$500),0)),"/")</f>
        <v>527</v>
      </c>
      <c r="AN13" s="63" cm="1">
        <f t="array" ref="AN13">IFERROR(INDEX('Offer Statistics'!G$2:G$500,MATCH(1,(CityU!$A13='Offer Statistics'!$B$2:$B$500)*(CityU!$AB$2='Offer Statistics'!$C$2:$C$500),0)),"/")</f>
        <v>552</v>
      </c>
      <c r="AO13" s="63" cm="1">
        <f t="array" ref="AO13">IFERROR(INDEX('Offer Statistics'!H$2:H$500,MATCH(1,(CityU!$A13='Offer Statistics'!$B$2:$B$500)*(CityU!$AB$2='Offer Statistics'!$C$2:$C$500),0)),"/")</f>
        <v>419</v>
      </c>
      <c r="AP13" s="15"/>
      <c r="AQ13" s="15" t="str">
        <f t="shared" si="0"/>
        <v>JS1025</v>
      </c>
      <c r="AR13" s="4"/>
      <c r="AS13" s="4"/>
      <c r="AT13" s="4"/>
      <c r="AU13" s="4"/>
      <c r="AV13" s="4"/>
      <c r="AW13" s="4"/>
      <c r="AX13" s="4"/>
      <c r="AY13" s="4"/>
      <c r="AZ13" s="4"/>
      <c r="BA13" s="4"/>
      <c r="BB13" s="4"/>
      <c r="BC13" s="4"/>
      <c r="BD13" s="4"/>
      <c r="BE13" s="4"/>
      <c r="BF13" s="4"/>
    </row>
    <row r="14" spans="1:58" s="2" customFormat="1" ht="18" customHeight="1">
      <c r="A14" s="15" t="str">
        <f>'Reference Score Calculation'!B25</f>
        <v>JS1026</v>
      </c>
      <c r="B14" s="4" t="str">
        <f>'Reference Score Calculation'!D25</f>
        <v>商學院</v>
      </c>
      <c r="C14" s="23" t="str">
        <f>'Reference Score Calculation'!E25</f>
        <v>工商管理學士(商業決策分析) (專修: 決策分析學 / 數據信息學)</v>
      </c>
      <c r="D14" s="4" t="str">
        <f>'Reference Score Calculation'!S25</f>
        <v>BBABDAN</v>
      </c>
      <c r="E14" s="352" t="str">
        <f>'Reference Score Calculation'!AC25</f>
        <v>3C2X</v>
      </c>
      <c r="F14" s="334" t="str">
        <f>'Reference Score Calculation'!F25</f>
        <v>3C2X</v>
      </c>
      <c r="G14" s="6">
        <f>'Reference Score Calculation'!I25</f>
        <v>19.5</v>
      </c>
      <c r="H14" s="6">
        <f>'Reference Score Calculation'!J25</f>
        <v>19</v>
      </c>
      <c r="I14" s="45">
        <f>計分版!J48</f>
        <v>2.2999999999999999E-9</v>
      </c>
      <c r="J14" s="176">
        <f t="shared" si="1"/>
        <v>-19.499999997700002</v>
      </c>
      <c r="K14" s="181">
        <f t="shared" si="2"/>
        <v>-8478260868.565218</v>
      </c>
      <c r="L14" s="36">
        <f>'Reference Score Calculation'!U25</f>
        <v>24</v>
      </c>
      <c r="M14" s="84">
        <f>入學要求!Z34</f>
        <v>0</v>
      </c>
      <c r="N14" s="540"/>
      <c r="O14" s="160">
        <f>入學要求!L34</f>
        <v>3</v>
      </c>
      <c r="P14" s="160">
        <f>入學要求!M34</f>
        <v>3</v>
      </c>
      <c r="Q14" s="160">
        <f>入學要求!N34</f>
        <v>3</v>
      </c>
      <c r="R14" s="160">
        <f>入學要求!O34</f>
        <v>1</v>
      </c>
      <c r="S14" s="160">
        <f>入學要求!P34</f>
        <v>3</v>
      </c>
      <c r="T14" s="160">
        <f>入學要求!Q34</f>
        <v>3</v>
      </c>
      <c r="U14" s="236">
        <f>入學要求!S34</f>
        <v>0</v>
      </c>
      <c r="V14" s="236">
        <f>入學要求!T34</f>
        <v>0</v>
      </c>
      <c r="W14" s="236">
        <f>入學要求!U34</f>
        <v>0</v>
      </c>
      <c r="X14" s="236">
        <f>入學要求!V34</f>
        <v>0</v>
      </c>
      <c r="Y14" s="236">
        <f>入學要求!W34</f>
        <v>0</v>
      </c>
      <c r="Z14" s="236">
        <f>入學要求!X34</f>
        <v>0</v>
      </c>
      <c r="AA14" s="44">
        <f t="shared" si="3"/>
        <v>7.7</v>
      </c>
      <c r="AB14" s="537"/>
      <c r="AC14" s="36" cm="1">
        <f t="array" ref="AC14">IFERROR(INDEX('Offer Statistics'!$Q$2:$Q$500,MATCH(1,(CityU!$A14='Offer Statistics'!$B$2:$B$500)*(CityU!$AB$2='Offer Statistics'!$K$2:$K$500),0)),"/")</f>
        <v>21</v>
      </c>
      <c r="AD14" s="63" cm="1">
        <f t="array" ref="AD14">IFERROR(INDEX('Offer Statistics'!L$2:L$500,MATCH(1,(CityU!$A14='Offer Statistics'!$B$2:$B$500)*(CityU!$AB$2='Offer Statistics'!$K$2:$K$500),0)),"/")</f>
        <v>20</v>
      </c>
      <c r="AE14" s="63" cm="1">
        <f t="array" ref="AE14">IFERROR(INDEX('Offer Statistics'!M$2:M$500,MATCH(1,(CityU!$A14='Offer Statistics'!$B$2:$B$500)*(CityU!$AB$2='Offer Statistics'!$K$2:$K$500),0)),"/")</f>
        <v>1</v>
      </c>
      <c r="AF14" s="63" cm="1">
        <f t="array" ref="AF14">IFERROR(INDEX('Offer Statistics'!N$2:N$500,MATCH(1,(CityU!$A14='Offer Statistics'!$B$2:$B$500)*(CityU!$AB$2='Offer Statistics'!$K$2:$K$500),0)),"/")</f>
        <v>0</v>
      </c>
      <c r="AG14" s="63" cm="1">
        <f t="array" ref="AG14">IFERROR(INDEX('Offer Statistics'!O$2:O$500,MATCH(1,(CityU!$A14='Offer Statistics'!$B$2:$B$500)*(CityU!$AB$2='Offer Statistics'!$K$2:$K$500),0)),"/")</f>
        <v>0</v>
      </c>
      <c r="AH14" s="63" cm="1">
        <f t="array" ref="AH14">IFERROR(INDEX('Offer Statistics'!P$2:P$500,MATCH(1,(CityU!$A14='Offer Statistics'!$B$2:$B$500)*(CityU!$AB$2='Offer Statistics'!$K$2:$K$500),0)),"/")</f>
        <v>0</v>
      </c>
      <c r="AI14" s="538"/>
      <c r="AJ14" s="36" cm="1">
        <f t="array" ref="AJ14">IFERROR(INDEX('Offer Statistics'!$I$2:$I$500,MATCH(1,(CityU!$A14='Offer Statistics'!$B$2:$B$500)*(CityU!$AB$2='Offer Statistics'!$C$2:$C$500),0)),"/")</f>
        <v>2092</v>
      </c>
      <c r="AK14" s="63" cm="1">
        <f t="array" ref="AK14">IFERROR(INDEX('Offer Statistics'!D$2:D$500,MATCH(1,(CityU!$A14='Offer Statistics'!$B$2:$B$500)*(CityU!$AB$2='Offer Statistics'!$C$2:$C$500),0)),"/")</f>
        <v>154</v>
      </c>
      <c r="AL14" s="63" cm="1">
        <f t="array" ref="AL14">IFERROR(INDEX('Offer Statistics'!E$2:E$500,MATCH(1,(CityU!$A14='Offer Statistics'!$B$2:$B$500)*(CityU!$AB$2='Offer Statistics'!$C$2:$C$500),0)),"/")</f>
        <v>280</v>
      </c>
      <c r="AM14" s="63" cm="1">
        <f t="array" ref="AM14">IFERROR(INDEX('Offer Statistics'!F$2:F$500,MATCH(1,(CityU!$A14='Offer Statistics'!$B$2:$B$500)*(CityU!$AB$2='Offer Statistics'!$C$2:$C$500),0)),"/")</f>
        <v>554</v>
      </c>
      <c r="AN14" s="63" cm="1">
        <f t="array" ref="AN14">IFERROR(INDEX('Offer Statistics'!G$2:G$500,MATCH(1,(CityU!$A14='Offer Statistics'!$B$2:$B$500)*(CityU!$AB$2='Offer Statistics'!$C$2:$C$500),0)),"/")</f>
        <v>671</v>
      </c>
      <c r="AO14" s="63" cm="1">
        <f t="array" ref="AO14">IFERROR(INDEX('Offer Statistics'!H$2:H$500,MATCH(1,(CityU!$A14='Offer Statistics'!$B$2:$B$500)*(CityU!$AB$2='Offer Statistics'!$C$2:$C$500),0)),"/")</f>
        <v>433</v>
      </c>
      <c r="AP14" s="15"/>
      <c r="AQ14" s="15" t="str">
        <f t="shared" si="0"/>
        <v>JS1026</v>
      </c>
      <c r="AR14" s="4"/>
      <c r="AS14" s="4"/>
      <c r="AT14" s="4"/>
      <c r="AU14" s="4"/>
      <c r="AV14" s="4"/>
      <c r="AW14" s="4"/>
      <c r="AX14" s="4"/>
      <c r="AY14" s="4"/>
      <c r="AZ14" s="4"/>
      <c r="BA14" s="4"/>
      <c r="BB14" s="4"/>
      <c r="BC14" s="4"/>
      <c r="BD14" s="4"/>
      <c r="BE14" s="4"/>
      <c r="BF14" s="4"/>
    </row>
    <row r="15" spans="1:58" s="2" customFormat="1" ht="18" customHeight="1">
      <c r="A15" s="15" t="str">
        <f>'Reference Score Calculation'!B26</f>
        <v>JS1027</v>
      </c>
      <c r="B15" s="4" t="str">
        <f>'Reference Score Calculation'!D26</f>
        <v>商學院</v>
      </c>
      <c r="C15" s="23" t="str">
        <f>'Reference Score Calculation'!E26</f>
        <v>工商管理學士(環球營運管理) (特點: 供應鏈管理 / 營運效率 / 流程改善 / 營運分析 / 資源規劃)</v>
      </c>
      <c r="D15" s="4" t="str">
        <f>'Reference Score Calculation'!S26</f>
        <v>BBAGOM</v>
      </c>
      <c r="E15" s="352" t="str">
        <f>'Reference Score Calculation'!AC26</f>
        <v>3C2X</v>
      </c>
      <c r="F15" s="334" t="str">
        <f>'Reference Score Calculation'!F26</f>
        <v>3C2X</v>
      </c>
      <c r="G15" s="6">
        <f>'Reference Score Calculation'!I26</f>
        <v>19.5</v>
      </c>
      <c r="H15" s="6">
        <f>'Reference Score Calculation'!J26</f>
        <v>19</v>
      </c>
      <c r="I15" s="45">
        <f>計分版!J49</f>
        <v>2.2999999999999999E-9</v>
      </c>
      <c r="J15" s="176">
        <f t="shared" si="1"/>
        <v>-19.499999997700002</v>
      </c>
      <c r="K15" s="181">
        <f t="shared" si="2"/>
        <v>-8478260868.565218</v>
      </c>
      <c r="L15" s="36">
        <f>'Reference Score Calculation'!U26</f>
        <v>23</v>
      </c>
      <c r="M15" s="84">
        <f>入學要求!Z35</f>
        <v>0</v>
      </c>
      <c r="N15" s="540"/>
      <c r="O15" s="160">
        <f>入學要求!L35</f>
        <v>3</v>
      </c>
      <c r="P15" s="160">
        <f>入學要求!M35</f>
        <v>3</v>
      </c>
      <c r="Q15" s="160">
        <f>入學要求!N35</f>
        <v>3</v>
      </c>
      <c r="R15" s="160">
        <f>入學要求!O35</f>
        <v>1</v>
      </c>
      <c r="S15" s="160">
        <f>入學要求!P35</f>
        <v>3</v>
      </c>
      <c r="T15" s="160">
        <f>入學要求!Q35</f>
        <v>3</v>
      </c>
      <c r="U15" s="236">
        <f>入學要求!S35</f>
        <v>0</v>
      </c>
      <c r="V15" s="236">
        <f>入學要求!T35</f>
        <v>0</v>
      </c>
      <c r="W15" s="236">
        <f>入學要求!U35</f>
        <v>0</v>
      </c>
      <c r="X15" s="236">
        <f>入學要求!V35</f>
        <v>0</v>
      </c>
      <c r="Y15" s="236">
        <f>入學要求!W35</f>
        <v>0</v>
      </c>
      <c r="Z15" s="236">
        <f>入學要求!X35</f>
        <v>0</v>
      </c>
      <c r="AA15" s="44">
        <f t="shared" si="3"/>
        <v>14.3</v>
      </c>
      <c r="AB15" s="537"/>
      <c r="AC15" s="36" cm="1">
        <f t="array" ref="AC15">IFERROR(INDEX('Offer Statistics'!$Q$2:$Q$500,MATCH(1,(CityU!$A15='Offer Statistics'!$B$2:$B$500)*(CityU!$AB$2='Offer Statistics'!$K$2:$K$500),0)),"/")</f>
        <v>21</v>
      </c>
      <c r="AD15" s="63" cm="1">
        <f t="array" ref="AD15">IFERROR(INDEX('Offer Statistics'!L$2:L$500,MATCH(1,(CityU!$A15='Offer Statistics'!$B$2:$B$500)*(CityU!$AB$2='Offer Statistics'!$K$2:$K$500),0)),"/")</f>
        <v>20</v>
      </c>
      <c r="AE15" s="63" cm="1">
        <f t="array" ref="AE15">IFERROR(INDEX('Offer Statistics'!M$2:M$500,MATCH(1,(CityU!$A15='Offer Statistics'!$B$2:$B$500)*(CityU!$AB$2='Offer Statistics'!$K$2:$K$500),0)),"/")</f>
        <v>1</v>
      </c>
      <c r="AF15" s="63" cm="1">
        <f t="array" ref="AF15">IFERROR(INDEX('Offer Statistics'!N$2:N$500,MATCH(1,(CityU!$A15='Offer Statistics'!$B$2:$B$500)*(CityU!$AB$2='Offer Statistics'!$K$2:$K$500),0)),"/")</f>
        <v>0</v>
      </c>
      <c r="AG15" s="63" cm="1">
        <f t="array" ref="AG15">IFERROR(INDEX('Offer Statistics'!O$2:O$500,MATCH(1,(CityU!$A15='Offer Statistics'!$B$2:$B$500)*(CityU!$AB$2='Offer Statistics'!$K$2:$K$500),0)),"/")</f>
        <v>0</v>
      </c>
      <c r="AH15" s="63" cm="1">
        <f t="array" ref="AH15">IFERROR(INDEX('Offer Statistics'!P$2:P$500,MATCH(1,(CityU!$A15='Offer Statistics'!$B$2:$B$500)*(CityU!$AB$2='Offer Statistics'!$K$2:$K$500),0)),"/")</f>
        <v>0</v>
      </c>
      <c r="AI15" s="538"/>
      <c r="AJ15" s="36" cm="1">
        <f t="array" ref="AJ15">IFERROR(INDEX('Offer Statistics'!$I$2:$I$500,MATCH(1,(CityU!$A15='Offer Statistics'!$B$2:$B$500)*(CityU!$AB$2='Offer Statistics'!$C$2:$C$500),0)),"/")</f>
        <v>2454</v>
      </c>
      <c r="AK15" s="63" cm="1">
        <f t="array" ref="AK15">IFERROR(INDEX('Offer Statistics'!D$2:D$500,MATCH(1,(CityU!$A15='Offer Statistics'!$B$2:$B$500)*(CityU!$AB$2='Offer Statistics'!$C$2:$C$500),0)),"/")</f>
        <v>286</v>
      </c>
      <c r="AL15" s="63" cm="1">
        <f t="array" ref="AL15">IFERROR(INDEX('Offer Statistics'!E$2:E$500,MATCH(1,(CityU!$A15='Offer Statistics'!$B$2:$B$500)*(CityU!$AB$2='Offer Statistics'!$C$2:$C$500),0)),"/")</f>
        <v>386</v>
      </c>
      <c r="AM15" s="63" cm="1">
        <f t="array" ref="AM15">IFERROR(INDEX('Offer Statistics'!F$2:F$500,MATCH(1,(CityU!$A15='Offer Statistics'!$B$2:$B$500)*(CityU!$AB$2='Offer Statistics'!$C$2:$C$500),0)),"/")</f>
        <v>570</v>
      </c>
      <c r="AN15" s="63" cm="1">
        <f t="array" ref="AN15">IFERROR(INDEX('Offer Statistics'!G$2:G$500,MATCH(1,(CityU!$A15='Offer Statistics'!$B$2:$B$500)*(CityU!$AB$2='Offer Statistics'!$C$2:$C$500),0)),"/")</f>
        <v>712</v>
      </c>
      <c r="AO15" s="63" cm="1">
        <f t="array" ref="AO15">IFERROR(INDEX('Offer Statistics'!H$2:H$500,MATCH(1,(CityU!$A15='Offer Statistics'!$B$2:$B$500)*(CityU!$AB$2='Offer Statistics'!$C$2:$C$500),0)),"/")</f>
        <v>500</v>
      </c>
      <c r="AP15" s="15"/>
      <c r="AQ15" s="15" t="str">
        <f t="shared" si="0"/>
        <v>JS1027</v>
      </c>
      <c r="AR15" s="4"/>
      <c r="AS15" s="4"/>
      <c r="AT15" s="4"/>
      <c r="AU15" s="4"/>
      <c r="AV15" s="4"/>
      <c r="AW15" s="4"/>
      <c r="AX15" s="4"/>
      <c r="AY15" s="4"/>
      <c r="AZ15" s="4"/>
      <c r="BA15" s="4"/>
      <c r="BB15" s="4"/>
      <c r="BC15" s="4"/>
      <c r="BD15" s="4"/>
      <c r="BE15" s="4"/>
      <c r="BF15" s="4"/>
    </row>
    <row r="16" spans="1:58" s="2" customFormat="1" ht="18" customHeight="1">
      <c r="A16" s="15" t="str">
        <f>'Reference Score Calculation'!B27</f>
        <v>JS1040</v>
      </c>
      <c r="B16" s="4" t="str">
        <f>'Reference Score Calculation'!D27</f>
        <v>創意媒體學院</v>
      </c>
      <c r="C16" s="23" t="str">
        <f>'Reference Score Calculation'!E27</f>
        <v>卓越創藝與科技課程 [選項: 創意媒體(校本課程)、 文學士(創意媒體)、理學士(創意媒體)、文理學士(新媒體)]</v>
      </c>
      <c r="D16" s="4" t="str">
        <f>'Reference Score Calculation'!S27</f>
        <v>CREATE</v>
      </c>
      <c r="E16" s="352" t="str">
        <f>'Reference Score Calculation'!AC27</f>
        <v>Best 5</v>
      </c>
      <c r="F16" s="443" t="str">
        <f>'Reference Score Calculation'!F27</f>
        <v>25年新科目</v>
      </c>
      <c r="G16" s="6" t="str">
        <f>'Reference Score Calculation'!I27</f>
        <v>/</v>
      </c>
      <c r="H16" s="6" t="str">
        <f>'Reference Score Calculation'!J27</f>
        <v>/</v>
      </c>
      <c r="I16" s="45">
        <f>計分版!J50</f>
        <v>3.4999999999999999E-9</v>
      </c>
      <c r="J16" s="237" t="str">
        <f t="shared" si="1"/>
        <v>/</v>
      </c>
      <c r="K16" s="238" t="str">
        <f t="shared" si="2"/>
        <v>/</v>
      </c>
      <c r="L16" s="36">
        <f>'Reference Score Calculation'!U27</f>
        <v>10</v>
      </c>
      <c r="M16" s="84">
        <f>入學要求!Z36</f>
        <v>0</v>
      </c>
      <c r="N16" s="540"/>
      <c r="O16" s="160">
        <f>入學要求!L36</f>
        <v>3</v>
      </c>
      <c r="P16" s="160">
        <f>入學要求!M36</f>
        <v>3</v>
      </c>
      <c r="Q16" s="160">
        <f>入學要求!N36</f>
        <v>2</v>
      </c>
      <c r="R16" s="160">
        <f>入學要求!O36</f>
        <v>1</v>
      </c>
      <c r="S16" s="160">
        <f>入學要求!P36</f>
        <v>3</v>
      </c>
      <c r="T16" s="160">
        <f>入學要求!Q36</f>
        <v>3</v>
      </c>
      <c r="U16" s="236">
        <f>入學要求!S36</f>
        <v>0</v>
      </c>
      <c r="V16" s="236">
        <f>入學要求!T36</f>
        <v>0</v>
      </c>
      <c r="W16" s="236">
        <f>入學要求!U36</f>
        <v>0</v>
      </c>
      <c r="X16" s="236">
        <f>入學要求!V36</f>
        <v>0</v>
      </c>
      <c r="Y16" s="236">
        <f>入學要求!W36</f>
        <v>0</v>
      </c>
      <c r="Z16" s="236">
        <f>入學要求!X36</f>
        <v>0</v>
      </c>
      <c r="AA16" s="44" t="str">
        <f t="shared" si="3"/>
        <v>/</v>
      </c>
      <c r="AB16" s="537"/>
      <c r="AC16" s="36" t="str" cm="1">
        <f t="array" ref="AC16">IFERROR(INDEX('Offer Statistics'!$Q$2:$Q$500,MATCH(1,(CityU!$A16='Offer Statistics'!$B$2:$B$500)*(CityU!$AB$2='Offer Statistics'!$K$2:$K$500),0)),"/")</f>
        <v>/</v>
      </c>
      <c r="AD16" s="63" t="str" cm="1">
        <f t="array" ref="AD16">IFERROR(INDEX('Offer Statistics'!L$2:L$500,MATCH(1,(CityU!$A16='Offer Statistics'!$B$2:$B$500)*(CityU!$AB$2='Offer Statistics'!$K$2:$K$500),0)),"/")</f>
        <v>/</v>
      </c>
      <c r="AE16" s="63" t="str" cm="1">
        <f t="array" ref="AE16">IFERROR(INDEX('Offer Statistics'!M$2:M$500,MATCH(1,(CityU!$A16='Offer Statistics'!$B$2:$B$500)*(CityU!$AB$2='Offer Statistics'!$K$2:$K$500),0)),"/")</f>
        <v>/</v>
      </c>
      <c r="AF16" s="63" t="str" cm="1">
        <f t="array" ref="AF16">IFERROR(INDEX('Offer Statistics'!N$2:N$500,MATCH(1,(CityU!$A16='Offer Statistics'!$B$2:$B$500)*(CityU!$AB$2='Offer Statistics'!$K$2:$K$500),0)),"/")</f>
        <v>/</v>
      </c>
      <c r="AG16" s="63" t="str" cm="1">
        <f t="array" ref="AG16">IFERROR(INDEX('Offer Statistics'!O$2:O$500,MATCH(1,(CityU!$A16='Offer Statistics'!$B$2:$B$500)*(CityU!$AB$2='Offer Statistics'!$K$2:$K$500),0)),"/")</f>
        <v>/</v>
      </c>
      <c r="AH16" s="63" t="str" cm="1">
        <f t="array" ref="AH16">IFERROR(INDEX('Offer Statistics'!P$2:P$500,MATCH(1,(CityU!$A16='Offer Statistics'!$B$2:$B$500)*(CityU!$AB$2='Offer Statistics'!$K$2:$K$500),0)),"/")</f>
        <v>/</v>
      </c>
      <c r="AI16" s="538"/>
      <c r="AJ16" s="36" t="str" cm="1">
        <f t="array" ref="AJ16">IFERROR(INDEX('Offer Statistics'!$I$2:$I$500,MATCH(1,(CityU!$A16='Offer Statistics'!$B$2:$B$500)*(CityU!$AB$2='Offer Statistics'!$C$2:$C$500),0)),"/")</f>
        <v>/</v>
      </c>
      <c r="AK16" s="63" t="str" cm="1">
        <f t="array" ref="AK16">IFERROR(INDEX('Offer Statistics'!D$2:D$500,MATCH(1,(CityU!$A16='Offer Statistics'!$B$2:$B$500)*(CityU!$AB$2='Offer Statistics'!$C$2:$C$500),0)),"/")</f>
        <v>/</v>
      </c>
      <c r="AL16" s="63" t="str" cm="1">
        <f t="array" ref="AL16">IFERROR(INDEX('Offer Statistics'!E$2:E$500,MATCH(1,(CityU!$A16='Offer Statistics'!$B$2:$B$500)*(CityU!$AB$2='Offer Statistics'!$C$2:$C$500),0)),"/")</f>
        <v>/</v>
      </c>
      <c r="AM16" s="63" t="str" cm="1">
        <f t="array" ref="AM16">IFERROR(INDEX('Offer Statistics'!F$2:F$500,MATCH(1,(CityU!$A16='Offer Statistics'!$B$2:$B$500)*(CityU!$AB$2='Offer Statistics'!$C$2:$C$500),0)),"/")</f>
        <v>/</v>
      </c>
      <c r="AN16" s="63" t="str" cm="1">
        <f t="array" ref="AN16">IFERROR(INDEX('Offer Statistics'!G$2:G$500,MATCH(1,(CityU!$A16='Offer Statistics'!$B$2:$B$500)*(CityU!$AB$2='Offer Statistics'!$C$2:$C$500),0)),"/")</f>
        <v>/</v>
      </c>
      <c r="AO16" s="63" t="str" cm="1">
        <f t="array" ref="AO16">IFERROR(INDEX('Offer Statistics'!H$2:H$500,MATCH(1,(CityU!$A16='Offer Statistics'!$B$2:$B$500)*(CityU!$AB$2='Offer Statistics'!$C$2:$C$500),0)),"/")</f>
        <v>/</v>
      </c>
      <c r="AP16" s="15"/>
      <c r="AQ16" s="15" t="str">
        <f t="shared" si="0"/>
        <v>JS1040</v>
      </c>
      <c r="AR16" s="4"/>
      <c r="AS16" s="4"/>
      <c r="AT16" s="4"/>
      <c r="AU16" s="4"/>
      <c r="AV16" s="4"/>
      <c r="AW16" s="4"/>
      <c r="AX16" s="4"/>
      <c r="AY16" s="4"/>
      <c r="AZ16" s="4"/>
      <c r="BA16" s="4"/>
      <c r="BB16" s="4"/>
      <c r="BC16" s="4"/>
      <c r="BD16" s="4"/>
      <c r="BE16" s="4"/>
      <c r="BF16" s="4"/>
    </row>
    <row r="17" spans="1:58" s="2" customFormat="1" ht="18" customHeight="1">
      <c r="A17" s="15" t="str">
        <f>'Reference Score Calculation'!B28</f>
        <v>JS1041</v>
      </c>
      <c r="B17" s="4" t="str">
        <f>'Reference Score Calculation'!D28</f>
        <v>創意媒體學院</v>
      </c>
      <c r="C17" s="23" t="str">
        <f>'Reference Score Calculation'!E28</f>
        <v>創意媒體 [主修: 文學士(創意媒體) / 理學士(創意媒體) / 文理學士(新媒體)]</v>
      </c>
      <c r="D17" s="4" t="str">
        <f>'Reference Score Calculation'!S28</f>
        <v>SCM</v>
      </c>
      <c r="E17" s="352" t="str">
        <f>'Reference Score Calculation'!AC28</f>
        <v>Best 5</v>
      </c>
      <c r="F17" s="347" t="str">
        <f>'Reference Score Calculation'!F28</f>
        <v>Best 5</v>
      </c>
      <c r="G17" s="6">
        <f>'Reference Score Calculation'!I28</f>
        <v>25</v>
      </c>
      <c r="H17" s="6">
        <f>'Reference Score Calculation'!J28</f>
        <v>23.5</v>
      </c>
      <c r="I17" s="45">
        <f>計分版!J51</f>
        <v>3.3999999999999998E-9</v>
      </c>
      <c r="J17" s="176">
        <f t="shared" si="1"/>
        <v>-24.9999999966</v>
      </c>
      <c r="K17" s="181">
        <f t="shared" si="2"/>
        <v>-7352941175.4705887</v>
      </c>
      <c r="L17" s="36">
        <f>'Reference Score Calculation'!U28</f>
        <v>21</v>
      </c>
      <c r="M17" s="84">
        <f>入學要求!Z37</f>
        <v>0</v>
      </c>
      <c r="N17" s="540"/>
      <c r="O17" s="160">
        <f>入學要求!L37</f>
        <v>3</v>
      </c>
      <c r="P17" s="160">
        <f>入學要求!M37</f>
        <v>3</v>
      </c>
      <c r="Q17" s="160">
        <f>入學要求!N37</f>
        <v>2</v>
      </c>
      <c r="R17" s="160">
        <f>入學要求!O37</f>
        <v>1</v>
      </c>
      <c r="S17" s="160">
        <f>入學要求!P37</f>
        <v>3</v>
      </c>
      <c r="T17" s="160">
        <f>入學要求!Q37</f>
        <v>3</v>
      </c>
      <c r="U17" s="236">
        <f>入學要求!S37</f>
        <v>0</v>
      </c>
      <c r="V17" s="236">
        <f>入學要求!T37</f>
        <v>0</v>
      </c>
      <c r="W17" s="236">
        <f>入學要求!U37</f>
        <v>0</v>
      </c>
      <c r="X17" s="236">
        <f>入學要求!V37</f>
        <v>0</v>
      </c>
      <c r="Y17" s="236">
        <f>入學要求!W37</f>
        <v>0</v>
      </c>
      <c r="Z17" s="236">
        <f>入學要求!X37</f>
        <v>0</v>
      </c>
      <c r="AA17" s="44">
        <f t="shared" si="3"/>
        <v>13.42</v>
      </c>
      <c r="AB17" s="537"/>
      <c r="AC17" s="36" cm="1">
        <f t="array" ref="AC17">IFERROR(INDEX('Offer Statistics'!$Q$2:$Q$500,MATCH(1,(CityU!$A17='Offer Statistics'!$B$2:$B$500)*(CityU!$AB$2='Offer Statistics'!$K$2:$K$500),0)),"/")</f>
        <v>24</v>
      </c>
      <c r="AD17" s="63" cm="1">
        <f t="array" ref="AD17">IFERROR(INDEX('Offer Statistics'!L$2:L$500,MATCH(1,(CityU!$A17='Offer Statistics'!$B$2:$B$500)*(CityU!$AB$2='Offer Statistics'!$K$2:$K$500),0)),"/")</f>
        <v>24</v>
      </c>
      <c r="AE17" s="63" cm="1">
        <f t="array" ref="AE17">IFERROR(INDEX('Offer Statistics'!M$2:M$500,MATCH(1,(CityU!$A17='Offer Statistics'!$B$2:$B$500)*(CityU!$AB$2='Offer Statistics'!$K$2:$K$500),0)),"/")</f>
        <v>0</v>
      </c>
      <c r="AF17" s="63" cm="1">
        <f t="array" ref="AF17">IFERROR(INDEX('Offer Statistics'!N$2:N$500,MATCH(1,(CityU!$A17='Offer Statistics'!$B$2:$B$500)*(CityU!$AB$2='Offer Statistics'!$K$2:$K$500),0)),"/")</f>
        <v>0</v>
      </c>
      <c r="AG17" s="63" cm="1">
        <f t="array" ref="AG17">IFERROR(INDEX('Offer Statistics'!O$2:O$500,MATCH(1,(CityU!$A17='Offer Statistics'!$B$2:$B$500)*(CityU!$AB$2='Offer Statistics'!$K$2:$K$500),0)),"/")</f>
        <v>0</v>
      </c>
      <c r="AH17" s="63" cm="1">
        <f t="array" ref="AH17">IFERROR(INDEX('Offer Statistics'!P$2:P$500,MATCH(1,(CityU!$A17='Offer Statistics'!$B$2:$B$500)*(CityU!$AB$2='Offer Statistics'!$K$2:$K$500),0)),"/")</f>
        <v>0</v>
      </c>
      <c r="AI17" s="538"/>
      <c r="AJ17" s="36" cm="1">
        <f t="array" ref="AJ17">IFERROR(INDEX('Offer Statistics'!$I$2:$I$500,MATCH(1,(CityU!$A17='Offer Statistics'!$B$2:$B$500)*(CityU!$AB$2='Offer Statistics'!$C$2:$C$500),0)),"/")</f>
        <v>2493</v>
      </c>
      <c r="AK17" s="63" cm="1">
        <f t="array" ref="AK17">IFERROR(INDEX('Offer Statistics'!D$2:D$500,MATCH(1,(CityU!$A17='Offer Statistics'!$B$2:$B$500)*(CityU!$AB$2='Offer Statistics'!$C$2:$C$500),0)),"/")</f>
        <v>322</v>
      </c>
      <c r="AL17" s="63" cm="1">
        <f t="array" ref="AL17">IFERROR(INDEX('Offer Statistics'!E$2:E$500,MATCH(1,(CityU!$A17='Offer Statistics'!$B$2:$B$500)*(CityU!$AB$2='Offer Statistics'!$C$2:$C$500),0)),"/")</f>
        <v>422</v>
      </c>
      <c r="AM17" s="63" cm="1">
        <f t="array" ref="AM17">IFERROR(INDEX('Offer Statistics'!F$2:F$500,MATCH(1,(CityU!$A17='Offer Statistics'!$B$2:$B$500)*(CityU!$AB$2='Offer Statistics'!$C$2:$C$500),0)),"/")</f>
        <v>559</v>
      </c>
      <c r="AN17" s="63" cm="1">
        <f t="array" ref="AN17">IFERROR(INDEX('Offer Statistics'!G$2:G$500,MATCH(1,(CityU!$A17='Offer Statistics'!$B$2:$B$500)*(CityU!$AB$2='Offer Statistics'!$C$2:$C$500),0)),"/")</f>
        <v>672</v>
      </c>
      <c r="AO17" s="63" cm="1">
        <f t="array" ref="AO17">IFERROR(INDEX('Offer Statistics'!H$2:H$500,MATCH(1,(CityU!$A17='Offer Statistics'!$B$2:$B$500)*(CityU!$AB$2='Offer Statistics'!$C$2:$C$500),0)),"/")</f>
        <v>518</v>
      </c>
      <c r="AP17" s="15"/>
      <c r="AQ17" s="15" t="str">
        <f t="shared" si="0"/>
        <v>JS1041</v>
      </c>
      <c r="AR17" s="4"/>
      <c r="AS17" s="4"/>
      <c r="AT17" s="4"/>
      <c r="AU17" s="4"/>
      <c r="AV17" s="4"/>
      <c r="AW17" s="4"/>
      <c r="AX17" s="4"/>
      <c r="AY17" s="4"/>
      <c r="AZ17" s="4"/>
      <c r="BA17" s="4"/>
      <c r="BB17" s="4"/>
      <c r="BC17" s="4"/>
      <c r="BD17" s="4"/>
      <c r="BE17" s="4"/>
      <c r="BF17" s="4"/>
    </row>
    <row r="18" spans="1:58" s="2" customFormat="1" ht="18" customHeight="1">
      <c r="A18" s="15" t="str">
        <f>'Reference Score Calculation'!B29</f>
        <v>JS1042</v>
      </c>
      <c r="B18" s="4" t="str">
        <f>'Reference Score Calculation'!D29</f>
        <v>創意媒體學院</v>
      </c>
      <c r="C18" s="23" t="str">
        <f>'Reference Score Calculation'!E29</f>
        <v>文學士(創意媒體) (特點: 動畫 / 電影及攝影 / 批判理論及實踐 / 遊戲及可玩媒體 / 新媒體藝術 / 聲音藝術)</v>
      </c>
      <c r="D18" s="4" t="str">
        <f>'Reference Score Calculation'!S29</f>
        <v>BACM</v>
      </c>
      <c r="E18" s="352" t="str">
        <f>'Reference Score Calculation'!AC29</f>
        <v>Best 5</v>
      </c>
      <c r="F18" s="347" t="str">
        <f>'Reference Score Calculation'!F29</f>
        <v>Best 5</v>
      </c>
      <c r="G18" s="6">
        <f>'Reference Score Calculation'!I29</f>
        <v>27</v>
      </c>
      <c r="H18" s="6">
        <f>'Reference Score Calculation'!J29</f>
        <v>26.5</v>
      </c>
      <c r="I18" s="45">
        <f>計分版!J52</f>
        <v>3.3999999999999998E-9</v>
      </c>
      <c r="J18" s="176">
        <f t="shared" si="1"/>
        <v>-26.9999999966</v>
      </c>
      <c r="K18" s="181">
        <f t="shared" si="2"/>
        <v>-7941176469.5882359</v>
      </c>
      <c r="L18" s="36">
        <f>'Reference Score Calculation'!U29</f>
        <v>17</v>
      </c>
      <c r="M18" s="84">
        <f>入學要求!Z38</f>
        <v>0</v>
      </c>
      <c r="N18" s="540"/>
      <c r="O18" s="160">
        <f>入學要求!L38</f>
        <v>3</v>
      </c>
      <c r="P18" s="160">
        <f>入學要求!M38</f>
        <v>3</v>
      </c>
      <c r="Q18" s="160">
        <f>入學要求!N38</f>
        <v>2</v>
      </c>
      <c r="R18" s="160">
        <f>入學要求!O38</f>
        <v>1</v>
      </c>
      <c r="S18" s="160">
        <f>入學要求!P38</f>
        <v>3</v>
      </c>
      <c r="T18" s="160">
        <f>入學要求!Q38</f>
        <v>3</v>
      </c>
      <c r="U18" s="236">
        <f>入學要求!S38</f>
        <v>0</v>
      </c>
      <c r="V18" s="236">
        <f>入學要求!T38</f>
        <v>0</v>
      </c>
      <c r="W18" s="236">
        <f>入學要求!U38</f>
        <v>0</v>
      </c>
      <c r="X18" s="236">
        <f>入學要求!V38</f>
        <v>0</v>
      </c>
      <c r="Y18" s="236">
        <f>入學要求!W38</f>
        <v>0</v>
      </c>
      <c r="Z18" s="236">
        <f>入學要求!X38</f>
        <v>0</v>
      </c>
      <c r="AA18" s="44">
        <f t="shared" si="3"/>
        <v>18.07</v>
      </c>
      <c r="AB18" s="537"/>
      <c r="AC18" s="36" cm="1">
        <f t="array" ref="AC18">IFERROR(INDEX('Offer Statistics'!$Q$2:$Q$500,MATCH(1,(CityU!$A18='Offer Statistics'!$B$2:$B$500)*(CityU!$AB$2='Offer Statistics'!$K$2:$K$500),0)),"/")</f>
        <v>14</v>
      </c>
      <c r="AD18" s="63" cm="1">
        <f t="array" ref="AD18">IFERROR(INDEX('Offer Statistics'!L$2:L$500,MATCH(1,(CityU!$A18='Offer Statistics'!$B$2:$B$500)*(CityU!$AB$2='Offer Statistics'!$K$2:$K$500),0)),"/")</f>
        <v>14</v>
      </c>
      <c r="AE18" s="63" cm="1">
        <f t="array" ref="AE18">IFERROR(INDEX('Offer Statistics'!M$2:M$500,MATCH(1,(CityU!$A18='Offer Statistics'!$B$2:$B$500)*(CityU!$AB$2='Offer Statistics'!$K$2:$K$500),0)),"/")</f>
        <v>0</v>
      </c>
      <c r="AF18" s="63" cm="1">
        <f t="array" ref="AF18">IFERROR(INDEX('Offer Statistics'!N$2:N$500,MATCH(1,(CityU!$A18='Offer Statistics'!$B$2:$B$500)*(CityU!$AB$2='Offer Statistics'!$K$2:$K$500),0)),"/")</f>
        <v>0</v>
      </c>
      <c r="AG18" s="63" cm="1">
        <f t="array" ref="AG18">IFERROR(INDEX('Offer Statistics'!O$2:O$500,MATCH(1,(CityU!$A18='Offer Statistics'!$B$2:$B$500)*(CityU!$AB$2='Offer Statistics'!$K$2:$K$500),0)),"/")</f>
        <v>0</v>
      </c>
      <c r="AH18" s="63" cm="1">
        <f t="array" ref="AH18">IFERROR(INDEX('Offer Statistics'!P$2:P$500,MATCH(1,(CityU!$A18='Offer Statistics'!$B$2:$B$500)*(CityU!$AB$2='Offer Statistics'!$K$2:$K$500),0)),"/")</f>
        <v>0</v>
      </c>
      <c r="AI18" s="538"/>
      <c r="AJ18" s="36" cm="1">
        <f t="array" ref="AJ18">IFERROR(INDEX('Offer Statistics'!$I$2:$I$500,MATCH(1,(CityU!$A18='Offer Statistics'!$B$2:$B$500)*(CityU!$AB$2='Offer Statistics'!$C$2:$C$500),0)),"/")</f>
        <v>2366</v>
      </c>
      <c r="AK18" s="63" cm="1">
        <f t="array" ref="AK18">IFERROR(INDEX('Offer Statistics'!D$2:D$500,MATCH(1,(CityU!$A18='Offer Statistics'!$B$2:$B$500)*(CityU!$AB$2='Offer Statistics'!$C$2:$C$500),0)),"/")</f>
        <v>253</v>
      </c>
      <c r="AL18" s="63" cm="1">
        <f t="array" ref="AL18">IFERROR(INDEX('Offer Statistics'!E$2:E$500,MATCH(1,(CityU!$A18='Offer Statistics'!$B$2:$B$500)*(CityU!$AB$2='Offer Statistics'!$C$2:$C$500),0)),"/")</f>
        <v>376</v>
      </c>
      <c r="AM18" s="63" cm="1">
        <f t="array" ref="AM18">IFERROR(INDEX('Offer Statistics'!F$2:F$500,MATCH(1,(CityU!$A18='Offer Statistics'!$B$2:$B$500)*(CityU!$AB$2='Offer Statistics'!$C$2:$C$500),0)),"/")</f>
        <v>545</v>
      </c>
      <c r="AN18" s="63" cm="1">
        <f t="array" ref="AN18">IFERROR(INDEX('Offer Statistics'!G$2:G$500,MATCH(1,(CityU!$A18='Offer Statistics'!$B$2:$B$500)*(CityU!$AB$2='Offer Statistics'!$C$2:$C$500),0)),"/")</f>
        <v>663</v>
      </c>
      <c r="AO18" s="63" cm="1">
        <f t="array" ref="AO18">IFERROR(INDEX('Offer Statistics'!H$2:H$500,MATCH(1,(CityU!$A18='Offer Statistics'!$B$2:$B$500)*(CityU!$AB$2='Offer Statistics'!$C$2:$C$500),0)),"/")</f>
        <v>529</v>
      </c>
      <c r="AP18" s="15"/>
      <c r="AQ18" s="15" t="str">
        <f t="shared" si="0"/>
        <v>JS1042</v>
      </c>
      <c r="AR18" s="4"/>
      <c r="AS18" s="4"/>
      <c r="AT18" s="4"/>
      <c r="AU18" s="4"/>
      <c r="AV18" s="4"/>
      <c r="AW18" s="4"/>
      <c r="AX18" s="4"/>
      <c r="AY18" s="4"/>
      <c r="AZ18" s="4"/>
      <c r="BA18" s="4"/>
      <c r="BB18" s="4"/>
      <c r="BC18" s="4"/>
      <c r="BD18" s="4"/>
      <c r="BE18" s="4"/>
      <c r="BF18" s="4"/>
    </row>
    <row r="19" spans="1:58" s="2" customFormat="1" ht="18" customHeight="1">
      <c r="A19" s="15" t="str">
        <f>'Reference Score Calculation'!B30</f>
        <v>JS1043</v>
      </c>
      <c r="B19" s="4" t="str">
        <f>'Reference Score Calculation'!D30</f>
        <v>創意媒體學院</v>
      </c>
      <c r="C19" s="23" t="str">
        <f>'Reference Score Calculation'!E30</f>
        <v>理學士(創意媒體) (特點: 結合創意媒體及電腦科學課程 / 動畫 / 遊戲 / 裝置藝術 / 互動媒體)</v>
      </c>
      <c r="D19" s="4" t="str">
        <f>'Reference Score Calculation'!S30</f>
        <v>BScCM</v>
      </c>
      <c r="E19" s="352" t="str">
        <f>'Reference Score Calculation'!AC30</f>
        <v>Best 5</v>
      </c>
      <c r="F19" s="347" t="str">
        <f>'Reference Score Calculation'!F30</f>
        <v>Best 5</v>
      </c>
      <c r="G19" s="6">
        <f>'Reference Score Calculation'!I30</f>
        <v>27</v>
      </c>
      <c r="H19" s="6">
        <f>'Reference Score Calculation'!J30</f>
        <v>25.5</v>
      </c>
      <c r="I19" s="45">
        <f>計分版!J53</f>
        <v>3.2500000000000002E-9</v>
      </c>
      <c r="J19" s="176">
        <f t="shared" si="1"/>
        <v>-26.999999996749999</v>
      </c>
      <c r="K19" s="181">
        <f t="shared" si="2"/>
        <v>-8307692306.6923065</v>
      </c>
      <c r="L19" s="36">
        <f>'Reference Score Calculation'!U30</f>
        <v>25</v>
      </c>
      <c r="M19" s="84">
        <f>入學要求!Z39</f>
        <v>0</v>
      </c>
      <c r="N19" s="540"/>
      <c r="O19" s="160">
        <f>入學要求!L39</f>
        <v>3</v>
      </c>
      <c r="P19" s="160">
        <f>入學要求!M39</f>
        <v>3</v>
      </c>
      <c r="Q19" s="160">
        <f>入學要求!N39</f>
        <v>2</v>
      </c>
      <c r="R19" s="160">
        <f>入學要求!O39</f>
        <v>1</v>
      </c>
      <c r="S19" s="160">
        <f>入學要求!P39</f>
        <v>3</v>
      </c>
      <c r="T19" s="160">
        <f>入學要求!Q39</f>
        <v>3</v>
      </c>
      <c r="U19" s="236">
        <f>入學要求!S39</f>
        <v>0</v>
      </c>
      <c r="V19" s="236">
        <f>入學要求!T39</f>
        <v>0</v>
      </c>
      <c r="W19" s="236">
        <f>入學要求!U39</f>
        <v>0</v>
      </c>
      <c r="X19" s="236">
        <f>入學要求!V39</f>
        <v>0</v>
      </c>
      <c r="Y19" s="236">
        <f>入學要求!W39</f>
        <v>0</v>
      </c>
      <c r="Z19" s="236">
        <f>入學要求!X39</f>
        <v>0</v>
      </c>
      <c r="AA19" s="44">
        <f t="shared" si="3"/>
        <v>9.44</v>
      </c>
      <c r="AB19" s="537"/>
      <c r="AC19" s="36" cm="1">
        <f t="array" ref="AC19">IFERROR(INDEX('Offer Statistics'!$Q$2:$Q$500,MATCH(1,(CityU!$A19='Offer Statistics'!$B$2:$B$500)*(CityU!$AB$2='Offer Statistics'!$K$2:$K$500),0)),"/")</f>
        <v>25</v>
      </c>
      <c r="AD19" s="63" cm="1">
        <f t="array" ref="AD19">IFERROR(INDEX('Offer Statistics'!L$2:L$500,MATCH(1,(CityU!$A19='Offer Statistics'!$B$2:$B$500)*(CityU!$AB$2='Offer Statistics'!$K$2:$K$500),0)),"/")</f>
        <v>25</v>
      </c>
      <c r="AE19" s="63" cm="1">
        <f t="array" ref="AE19">IFERROR(INDEX('Offer Statistics'!M$2:M$500,MATCH(1,(CityU!$A19='Offer Statistics'!$B$2:$B$500)*(CityU!$AB$2='Offer Statistics'!$K$2:$K$500),0)),"/")</f>
        <v>0</v>
      </c>
      <c r="AF19" s="63" cm="1">
        <f t="array" ref="AF19">IFERROR(INDEX('Offer Statistics'!N$2:N$500,MATCH(1,(CityU!$A19='Offer Statistics'!$B$2:$B$500)*(CityU!$AB$2='Offer Statistics'!$K$2:$K$500),0)),"/")</f>
        <v>0</v>
      </c>
      <c r="AG19" s="63" cm="1">
        <f t="array" ref="AG19">IFERROR(INDEX('Offer Statistics'!O$2:O$500,MATCH(1,(CityU!$A19='Offer Statistics'!$B$2:$B$500)*(CityU!$AB$2='Offer Statistics'!$K$2:$K$500),0)),"/")</f>
        <v>0</v>
      </c>
      <c r="AH19" s="63" cm="1">
        <f t="array" ref="AH19">IFERROR(INDEX('Offer Statistics'!P$2:P$500,MATCH(1,(CityU!$A19='Offer Statistics'!$B$2:$B$500)*(CityU!$AB$2='Offer Statistics'!$K$2:$K$500),0)),"/")</f>
        <v>0</v>
      </c>
      <c r="AI19" s="538"/>
      <c r="AJ19" s="36" cm="1">
        <f t="array" ref="AJ19">IFERROR(INDEX('Offer Statistics'!$I$2:$I$500,MATCH(1,(CityU!$A19='Offer Statistics'!$B$2:$B$500)*(CityU!$AB$2='Offer Statistics'!$C$2:$C$500),0)),"/")</f>
        <v>1841</v>
      </c>
      <c r="AK19" s="63" cm="1">
        <f t="array" ref="AK19">IFERROR(INDEX('Offer Statistics'!D$2:D$500,MATCH(1,(CityU!$A19='Offer Statistics'!$B$2:$B$500)*(CityU!$AB$2='Offer Statistics'!$C$2:$C$500),0)),"/")</f>
        <v>236</v>
      </c>
      <c r="AL19" s="63" cm="1">
        <f t="array" ref="AL19">IFERROR(INDEX('Offer Statistics'!E$2:E$500,MATCH(1,(CityU!$A19='Offer Statistics'!$B$2:$B$500)*(CityU!$AB$2='Offer Statistics'!$C$2:$C$500),0)),"/")</f>
        <v>237</v>
      </c>
      <c r="AM19" s="63" cm="1">
        <f t="array" ref="AM19">IFERROR(INDEX('Offer Statistics'!F$2:F$500,MATCH(1,(CityU!$A19='Offer Statistics'!$B$2:$B$500)*(CityU!$AB$2='Offer Statistics'!$C$2:$C$500),0)),"/")</f>
        <v>459</v>
      </c>
      <c r="AN19" s="63" cm="1">
        <f t="array" ref="AN19">IFERROR(INDEX('Offer Statistics'!G$2:G$500,MATCH(1,(CityU!$A19='Offer Statistics'!$B$2:$B$500)*(CityU!$AB$2='Offer Statistics'!$C$2:$C$500),0)),"/")</f>
        <v>488</v>
      </c>
      <c r="AO19" s="63" cm="1">
        <f t="array" ref="AO19">IFERROR(INDEX('Offer Statistics'!H$2:H$500,MATCH(1,(CityU!$A19='Offer Statistics'!$B$2:$B$500)*(CityU!$AB$2='Offer Statistics'!$C$2:$C$500),0)),"/")</f>
        <v>421</v>
      </c>
      <c r="AP19" s="15"/>
      <c r="AQ19" s="15" t="str">
        <f t="shared" si="0"/>
        <v>JS1043</v>
      </c>
      <c r="AR19" s="4"/>
      <c r="AS19" s="4"/>
      <c r="AT19" s="4"/>
      <c r="AU19" s="4"/>
      <c r="AV19" s="4"/>
      <c r="AW19" s="4"/>
      <c r="AX19" s="4"/>
      <c r="AY19" s="4"/>
      <c r="AZ19" s="4"/>
      <c r="BA19" s="4"/>
      <c r="BB19" s="4"/>
      <c r="BC19" s="4"/>
      <c r="BD19" s="4"/>
      <c r="BE19" s="4"/>
      <c r="BF19" s="4"/>
    </row>
    <row r="20" spans="1:58" s="2" customFormat="1" ht="18" customHeight="1">
      <c r="A20" s="15" t="str">
        <f>'Reference Score Calculation'!B31</f>
        <v>JS1044</v>
      </c>
      <c r="B20" s="4" t="str">
        <f>'Reference Score Calculation'!D31</f>
        <v>創意媒體學院</v>
      </c>
      <c r="C20" s="23" t="str">
        <f>'Reference Score Calculation'!E31</f>
        <v>文理學士(新媒體) (特點: 媒體藝術 / 機械人學及人工智能 / 藝術及科技 / 物料及數位製造)</v>
      </c>
      <c r="D20" s="4" t="str">
        <f>'Reference Score Calculation'!S31</f>
        <v>BAS</v>
      </c>
      <c r="E20" s="352" t="str">
        <f>'Reference Score Calculation'!AC31</f>
        <v>Best 5</v>
      </c>
      <c r="F20" s="347" t="str">
        <f>'Reference Score Calculation'!F31</f>
        <v>Best 5</v>
      </c>
      <c r="G20" s="6">
        <f>'Reference Score Calculation'!I31</f>
        <v>23.5</v>
      </c>
      <c r="H20" s="6">
        <f>'Reference Score Calculation'!J31</f>
        <v>23</v>
      </c>
      <c r="I20" s="45">
        <f>計分版!J54</f>
        <v>3.3999999999999998E-9</v>
      </c>
      <c r="J20" s="176">
        <f t="shared" si="1"/>
        <v>-23.4999999966</v>
      </c>
      <c r="K20" s="181">
        <f t="shared" si="2"/>
        <v>-6911764704.8823528</v>
      </c>
      <c r="L20" s="36">
        <f>'Reference Score Calculation'!U31</f>
        <v>17</v>
      </c>
      <c r="M20" s="84">
        <f>入學要求!Z40</f>
        <v>0</v>
      </c>
      <c r="N20" s="540"/>
      <c r="O20" s="160">
        <f>入學要求!L40</f>
        <v>3</v>
      </c>
      <c r="P20" s="160">
        <f>入學要求!M40</f>
        <v>3</v>
      </c>
      <c r="Q20" s="160">
        <f>入學要求!N40</f>
        <v>2</v>
      </c>
      <c r="R20" s="160">
        <f>入學要求!O40</f>
        <v>1</v>
      </c>
      <c r="S20" s="160">
        <f>入學要求!P40</f>
        <v>3</v>
      </c>
      <c r="T20" s="160">
        <f>入學要求!Q40</f>
        <v>3</v>
      </c>
      <c r="U20" s="236">
        <f>入學要求!S40</f>
        <v>0</v>
      </c>
      <c r="V20" s="236">
        <f>入學要求!T40</f>
        <v>0</v>
      </c>
      <c r="W20" s="236">
        <f>入學要求!U40</f>
        <v>0</v>
      </c>
      <c r="X20" s="236">
        <f>入學要求!V40</f>
        <v>0</v>
      </c>
      <c r="Y20" s="236">
        <f>入學要求!W40</f>
        <v>0</v>
      </c>
      <c r="Z20" s="236">
        <f>入學要求!X40</f>
        <v>0</v>
      </c>
      <c r="AA20" s="44">
        <f t="shared" si="3"/>
        <v>9.94</v>
      </c>
      <c r="AB20" s="537"/>
      <c r="AC20" s="36" cm="1">
        <f t="array" ref="AC20">IFERROR(INDEX('Offer Statistics'!$Q$2:$Q$500,MATCH(1,(CityU!$A20='Offer Statistics'!$B$2:$B$500)*(CityU!$AB$2='Offer Statistics'!$K$2:$K$500),0)),"/")</f>
        <v>18</v>
      </c>
      <c r="AD20" s="63" cm="1">
        <f t="array" ref="AD20">IFERROR(INDEX('Offer Statistics'!L$2:L$500,MATCH(1,(CityU!$A20='Offer Statistics'!$B$2:$B$500)*(CityU!$AB$2='Offer Statistics'!$K$2:$K$500),0)),"/")</f>
        <v>18</v>
      </c>
      <c r="AE20" s="63" cm="1">
        <f t="array" ref="AE20">IFERROR(INDEX('Offer Statistics'!M$2:M$500,MATCH(1,(CityU!$A20='Offer Statistics'!$B$2:$B$500)*(CityU!$AB$2='Offer Statistics'!$K$2:$K$500),0)),"/")</f>
        <v>0</v>
      </c>
      <c r="AF20" s="63" cm="1">
        <f t="array" ref="AF20">IFERROR(INDEX('Offer Statistics'!N$2:N$500,MATCH(1,(CityU!$A20='Offer Statistics'!$B$2:$B$500)*(CityU!$AB$2='Offer Statistics'!$K$2:$K$500),0)),"/")</f>
        <v>0</v>
      </c>
      <c r="AG20" s="63" cm="1">
        <f t="array" ref="AG20">IFERROR(INDEX('Offer Statistics'!O$2:O$500,MATCH(1,(CityU!$A20='Offer Statistics'!$B$2:$B$500)*(CityU!$AB$2='Offer Statistics'!$K$2:$K$500),0)),"/")</f>
        <v>0</v>
      </c>
      <c r="AH20" s="63" cm="1">
        <f t="array" ref="AH20">IFERROR(INDEX('Offer Statistics'!P$2:P$500,MATCH(1,(CityU!$A20='Offer Statistics'!$B$2:$B$500)*(CityU!$AB$2='Offer Statistics'!$K$2:$K$500),0)),"/")</f>
        <v>0</v>
      </c>
      <c r="AI20" s="538"/>
      <c r="AJ20" s="36" cm="1">
        <f t="array" ref="AJ20">IFERROR(INDEX('Offer Statistics'!$I$2:$I$500,MATCH(1,(CityU!$A20='Offer Statistics'!$B$2:$B$500)*(CityU!$AB$2='Offer Statistics'!$C$2:$C$500),0)),"/")</f>
        <v>1708</v>
      </c>
      <c r="AK20" s="63" cm="1">
        <f t="array" ref="AK20">IFERROR(INDEX('Offer Statistics'!D$2:D$500,MATCH(1,(CityU!$A20='Offer Statistics'!$B$2:$B$500)*(CityU!$AB$2='Offer Statistics'!$C$2:$C$500),0)),"/")</f>
        <v>179</v>
      </c>
      <c r="AL20" s="63" cm="1">
        <f t="array" ref="AL20">IFERROR(INDEX('Offer Statistics'!E$2:E$500,MATCH(1,(CityU!$A20='Offer Statistics'!$B$2:$B$500)*(CityU!$AB$2='Offer Statistics'!$C$2:$C$500),0)),"/")</f>
        <v>257</v>
      </c>
      <c r="AM20" s="63" cm="1">
        <f t="array" ref="AM20">IFERROR(INDEX('Offer Statistics'!F$2:F$500,MATCH(1,(CityU!$A20='Offer Statistics'!$B$2:$B$500)*(CityU!$AB$2='Offer Statistics'!$C$2:$C$500),0)),"/")</f>
        <v>394</v>
      </c>
      <c r="AN20" s="63" cm="1">
        <f t="array" ref="AN20">IFERROR(INDEX('Offer Statistics'!G$2:G$500,MATCH(1,(CityU!$A20='Offer Statistics'!$B$2:$B$500)*(CityU!$AB$2='Offer Statistics'!$C$2:$C$500),0)),"/")</f>
        <v>485</v>
      </c>
      <c r="AO20" s="63" cm="1">
        <f t="array" ref="AO20">IFERROR(INDEX('Offer Statistics'!H$2:H$500,MATCH(1,(CityU!$A20='Offer Statistics'!$B$2:$B$500)*(CityU!$AB$2='Offer Statistics'!$C$2:$C$500),0)),"/")</f>
        <v>393</v>
      </c>
      <c r="AP20" s="15"/>
      <c r="AQ20" s="15" t="str">
        <f t="shared" si="0"/>
        <v>JS1044</v>
      </c>
      <c r="AR20" s="4"/>
      <c r="AS20" s="4"/>
      <c r="AT20" s="4"/>
      <c r="AU20" s="4"/>
      <c r="AV20" s="4"/>
      <c r="AW20" s="4"/>
      <c r="AX20" s="4"/>
      <c r="AY20" s="4"/>
      <c r="AZ20" s="4"/>
      <c r="BA20" s="4"/>
      <c r="BB20" s="4"/>
      <c r="BC20" s="4"/>
      <c r="BD20" s="4"/>
      <c r="BE20" s="4"/>
      <c r="BF20" s="4"/>
    </row>
    <row r="21" spans="1:58" s="2" customFormat="1" ht="18" customHeight="1">
      <c r="A21" s="15" t="str">
        <f>'Reference Score Calculation'!B32</f>
        <v>JS1050</v>
      </c>
      <c r="B21" s="4" t="str">
        <f>'Reference Score Calculation'!D32</f>
        <v>能源及環境學院</v>
      </c>
      <c r="C21" s="23" t="str">
        <f>'Reference Score Calculation'!E32</f>
        <v>環球可持續發展科創課程 [主修: 工學士(能源科學及工程學) / 工學士(環境科學及工程學)＋特點：環球視野]</v>
      </c>
      <c r="D21" s="4" t="str">
        <f>'Reference Score Calculation'!S32</f>
        <v>INSPIRE</v>
      </c>
      <c r="E21" s="352" t="str">
        <f>'Reference Score Calculation'!AC32</f>
        <v>Best 5</v>
      </c>
      <c r="F21" s="444" t="str">
        <f>'Reference Score Calculation'!F32</f>
        <v>25年新科目</v>
      </c>
      <c r="G21" s="6" t="str">
        <f>'Reference Score Calculation'!I32</f>
        <v>/</v>
      </c>
      <c r="H21" s="6" t="str">
        <f>'Reference Score Calculation'!J32</f>
        <v>/</v>
      </c>
      <c r="I21" s="45">
        <f>計分版!J55</f>
        <v>3.9000000000000002E-9</v>
      </c>
      <c r="J21" s="237" t="str">
        <f t="shared" si="1"/>
        <v>/</v>
      </c>
      <c r="K21" s="238" t="str">
        <f t="shared" si="2"/>
        <v>/</v>
      </c>
      <c r="L21" s="36">
        <f>'Reference Score Calculation'!U32</f>
        <v>10</v>
      </c>
      <c r="M21" s="84">
        <f>入學要求!Z41</f>
        <v>0</v>
      </c>
      <c r="N21" s="540"/>
      <c r="O21" s="160">
        <f>入學要求!L41</f>
        <v>3</v>
      </c>
      <c r="P21" s="160">
        <f>入學要求!M41</f>
        <v>3</v>
      </c>
      <c r="Q21" s="160">
        <f>入學要求!N41</f>
        <v>2</v>
      </c>
      <c r="R21" s="160">
        <f>入學要求!O41</f>
        <v>1</v>
      </c>
      <c r="S21" s="160">
        <f>入學要求!P41</f>
        <v>3</v>
      </c>
      <c r="T21" s="160">
        <f>入學要求!Q41</f>
        <v>3</v>
      </c>
      <c r="U21" s="236">
        <f>入學要求!S41</f>
        <v>0</v>
      </c>
      <c r="V21" s="236">
        <f>入學要求!T41</f>
        <v>0</v>
      </c>
      <c r="W21" s="236">
        <f>入學要求!U41</f>
        <v>0</v>
      </c>
      <c r="X21" s="236">
        <f>入學要求!V41</f>
        <v>0</v>
      </c>
      <c r="Y21" s="236">
        <f>入學要求!W41</f>
        <v>0</v>
      </c>
      <c r="Z21" s="236">
        <f>入學要求!X41</f>
        <v>0</v>
      </c>
      <c r="AA21" s="44" t="str">
        <f t="shared" si="3"/>
        <v>/</v>
      </c>
      <c r="AB21" s="537"/>
      <c r="AC21" s="36" t="str" cm="1">
        <f t="array" ref="AC21">IFERROR(INDEX('Offer Statistics'!$Q$2:$Q$500,MATCH(1,(CityU!$A21='Offer Statistics'!$B$2:$B$500)*(CityU!$AB$2='Offer Statistics'!$K$2:$K$500),0)),"/")</f>
        <v>/</v>
      </c>
      <c r="AD21" s="63" t="str" cm="1">
        <f t="array" ref="AD21">IFERROR(INDEX('Offer Statistics'!L$2:L$500,MATCH(1,(CityU!$A21='Offer Statistics'!$B$2:$B$500)*(CityU!$AB$2='Offer Statistics'!$K$2:$K$500),0)),"/")</f>
        <v>/</v>
      </c>
      <c r="AE21" s="63" t="str" cm="1">
        <f t="array" ref="AE21">IFERROR(INDEX('Offer Statistics'!M$2:M$500,MATCH(1,(CityU!$A21='Offer Statistics'!$B$2:$B$500)*(CityU!$AB$2='Offer Statistics'!$K$2:$K$500),0)),"/")</f>
        <v>/</v>
      </c>
      <c r="AF21" s="63" t="str" cm="1">
        <f t="array" ref="AF21">IFERROR(INDEX('Offer Statistics'!N$2:N$500,MATCH(1,(CityU!$A21='Offer Statistics'!$B$2:$B$500)*(CityU!$AB$2='Offer Statistics'!$K$2:$K$500),0)),"/")</f>
        <v>/</v>
      </c>
      <c r="AG21" s="63" t="str" cm="1">
        <f t="array" ref="AG21">IFERROR(INDEX('Offer Statistics'!O$2:O$500,MATCH(1,(CityU!$A21='Offer Statistics'!$B$2:$B$500)*(CityU!$AB$2='Offer Statistics'!$K$2:$K$500),0)),"/")</f>
        <v>/</v>
      </c>
      <c r="AH21" s="63" t="str" cm="1">
        <f t="array" ref="AH21">IFERROR(INDEX('Offer Statistics'!P$2:P$500,MATCH(1,(CityU!$A21='Offer Statistics'!$B$2:$B$500)*(CityU!$AB$2='Offer Statistics'!$K$2:$K$500),0)),"/")</f>
        <v>/</v>
      </c>
      <c r="AI21" s="538"/>
      <c r="AJ21" s="36" t="str" cm="1">
        <f t="array" ref="AJ21">IFERROR(INDEX('Offer Statistics'!$I$2:$I$500,MATCH(1,(CityU!$A21='Offer Statistics'!$B$2:$B$500)*(CityU!$AB$2='Offer Statistics'!$C$2:$C$500),0)),"/")</f>
        <v>/</v>
      </c>
      <c r="AK21" s="63" t="str" cm="1">
        <f t="array" ref="AK21">IFERROR(INDEX('Offer Statistics'!D$2:D$500,MATCH(1,(CityU!$A21='Offer Statistics'!$B$2:$B$500)*(CityU!$AB$2='Offer Statistics'!$C$2:$C$500),0)),"/")</f>
        <v>/</v>
      </c>
      <c r="AL21" s="63" t="str" cm="1">
        <f t="array" ref="AL21">IFERROR(INDEX('Offer Statistics'!E$2:E$500,MATCH(1,(CityU!$A21='Offer Statistics'!$B$2:$B$500)*(CityU!$AB$2='Offer Statistics'!$C$2:$C$500),0)),"/")</f>
        <v>/</v>
      </c>
      <c r="AM21" s="63" t="str" cm="1">
        <f t="array" ref="AM21">IFERROR(INDEX('Offer Statistics'!F$2:F$500,MATCH(1,(CityU!$A21='Offer Statistics'!$B$2:$B$500)*(CityU!$AB$2='Offer Statistics'!$C$2:$C$500),0)),"/")</f>
        <v>/</v>
      </c>
      <c r="AN21" s="63" t="str" cm="1">
        <f t="array" ref="AN21">IFERROR(INDEX('Offer Statistics'!G$2:G$500,MATCH(1,(CityU!$A21='Offer Statistics'!$B$2:$B$500)*(CityU!$AB$2='Offer Statistics'!$C$2:$C$500),0)),"/")</f>
        <v>/</v>
      </c>
      <c r="AO21" s="63" t="str" cm="1">
        <f t="array" ref="AO21">IFERROR(INDEX('Offer Statistics'!H$2:H$500,MATCH(1,(CityU!$A21='Offer Statistics'!$B$2:$B$500)*(CityU!$AB$2='Offer Statistics'!$C$2:$C$500),0)),"/")</f>
        <v>/</v>
      </c>
      <c r="AP21" s="15"/>
      <c r="AQ21" s="15" t="str">
        <f t="shared" si="0"/>
        <v>JS1050</v>
      </c>
      <c r="AR21" s="4"/>
      <c r="AS21" s="4"/>
      <c r="AT21" s="4"/>
      <c r="AU21" s="4"/>
      <c r="AV21" s="4"/>
      <c r="AW21" s="4"/>
      <c r="AX21" s="4"/>
      <c r="AY21" s="4"/>
      <c r="AZ21" s="4"/>
      <c r="BA21" s="4"/>
      <c r="BB21" s="4"/>
      <c r="BC21" s="4"/>
      <c r="BD21" s="4"/>
      <c r="BE21" s="4"/>
      <c r="BF21" s="4"/>
    </row>
    <row r="22" spans="1:58" s="2" customFormat="1" ht="18" customHeight="1">
      <c r="A22" s="15" t="str">
        <f>'Reference Score Calculation'!B33</f>
        <v>JS1051</v>
      </c>
      <c r="B22" s="4" t="str">
        <f>'Reference Score Calculation'!D33</f>
        <v>能源及環境學院</v>
      </c>
      <c r="C22" s="23" t="str">
        <f>'Reference Score Calculation'!E33</f>
        <v>能源及環境學 [主修: 工學士(能源科學及工程學) / 工學士(環境科學及工程學)]</v>
      </c>
      <c r="D22" s="4" t="str">
        <f>'Reference Score Calculation'!S33</f>
        <v>SEE</v>
      </c>
      <c r="E22" s="352" t="str">
        <f>'Reference Score Calculation'!AC33</f>
        <v>Best 5</v>
      </c>
      <c r="F22" s="347" t="str">
        <f>'Reference Score Calculation'!F33</f>
        <v>Best 5</v>
      </c>
      <c r="G22" s="6">
        <f>'Reference Score Calculation'!I33</f>
        <v>37.5</v>
      </c>
      <c r="H22" s="6">
        <f>'Reference Score Calculation'!J33</f>
        <v>36.5</v>
      </c>
      <c r="I22" s="45">
        <f>計分版!J56</f>
        <v>3.6E-9</v>
      </c>
      <c r="J22" s="176">
        <f t="shared" si="1"/>
        <v>-37.4999999964</v>
      </c>
      <c r="K22" s="181">
        <f t="shared" si="2"/>
        <v>-10416666665.666666</v>
      </c>
      <c r="L22" s="36">
        <f>'Reference Score Calculation'!U33</f>
        <v>32</v>
      </c>
      <c r="M22" s="84">
        <f>入學要求!Z42</f>
        <v>0</v>
      </c>
      <c r="N22" s="540"/>
      <c r="O22" s="160">
        <f>入學要求!L42</f>
        <v>3</v>
      </c>
      <c r="P22" s="160">
        <f>入學要求!M42</f>
        <v>3</v>
      </c>
      <c r="Q22" s="160">
        <f>入學要求!N42</f>
        <v>2</v>
      </c>
      <c r="R22" s="160">
        <f>入學要求!O42</f>
        <v>1</v>
      </c>
      <c r="S22" s="160">
        <f>入學要求!P42</f>
        <v>3</v>
      </c>
      <c r="T22" s="160">
        <f>入學要求!Q42</f>
        <v>3</v>
      </c>
      <c r="U22" s="236">
        <f>入學要求!S42</f>
        <v>0</v>
      </c>
      <c r="V22" s="236">
        <f>入學要求!T42</f>
        <v>0</v>
      </c>
      <c r="W22" s="236">
        <f>入學要求!U42</f>
        <v>0</v>
      </c>
      <c r="X22" s="236">
        <f>入學要求!V42</f>
        <v>0</v>
      </c>
      <c r="Y22" s="236">
        <f>入學要求!W42</f>
        <v>0</v>
      </c>
      <c r="Z22" s="236">
        <f>入學要求!X42</f>
        <v>0</v>
      </c>
      <c r="AA22" s="44">
        <f t="shared" si="3"/>
        <v>9.49</v>
      </c>
      <c r="AB22" s="537"/>
      <c r="AC22" s="36" cm="1">
        <f t="array" ref="AC22">IFERROR(INDEX('Offer Statistics'!$Q$2:$Q$500,MATCH(1,(CityU!$A22='Offer Statistics'!$B$2:$B$500)*(CityU!$AB$2='Offer Statistics'!$K$2:$K$500),0)),"/")</f>
        <v>54</v>
      </c>
      <c r="AD22" s="63" cm="1">
        <f t="array" ref="AD22">IFERROR(INDEX('Offer Statistics'!L$2:L$500,MATCH(1,(CityU!$A22='Offer Statistics'!$B$2:$B$500)*(CityU!$AB$2='Offer Statistics'!$K$2:$K$500),0)),"/")</f>
        <v>41</v>
      </c>
      <c r="AE22" s="63" cm="1">
        <f t="array" ref="AE22">IFERROR(INDEX('Offer Statistics'!M$2:M$500,MATCH(1,(CityU!$A22='Offer Statistics'!$B$2:$B$500)*(CityU!$AB$2='Offer Statistics'!$K$2:$K$500),0)),"/")</f>
        <v>10</v>
      </c>
      <c r="AF22" s="63" cm="1">
        <f t="array" ref="AF22">IFERROR(INDEX('Offer Statistics'!N$2:N$500,MATCH(1,(CityU!$A22='Offer Statistics'!$B$2:$B$500)*(CityU!$AB$2='Offer Statistics'!$K$2:$K$500),0)),"/")</f>
        <v>2</v>
      </c>
      <c r="AG22" s="63" cm="1">
        <f t="array" ref="AG22">IFERROR(INDEX('Offer Statistics'!O$2:O$500,MATCH(1,(CityU!$A22='Offer Statistics'!$B$2:$B$500)*(CityU!$AB$2='Offer Statistics'!$K$2:$K$500),0)),"/")</f>
        <v>0</v>
      </c>
      <c r="AH22" s="63" cm="1">
        <f t="array" ref="AH22">IFERROR(INDEX('Offer Statistics'!P$2:P$500,MATCH(1,(CityU!$A22='Offer Statistics'!$B$2:$B$500)*(CityU!$AB$2='Offer Statistics'!$K$2:$K$500),0)),"/")</f>
        <v>1</v>
      </c>
      <c r="AI22" s="538"/>
      <c r="AJ22" s="36" cm="1">
        <f t="array" ref="AJ22">IFERROR(INDEX('Offer Statistics'!$I$2:$I$500,MATCH(1,(CityU!$A22='Offer Statistics'!$B$2:$B$500)*(CityU!$AB$2='Offer Statistics'!$C$2:$C$500),0)),"/")</f>
        <v>1819</v>
      </c>
      <c r="AK22" s="63" cm="1">
        <f t="array" ref="AK22">IFERROR(INDEX('Offer Statistics'!D$2:D$500,MATCH(1,(CityU!$A22='Offer Statistics'!$B$2:$B$500)*(CityU!$AB$2='Offer Statistics'!$C$2:$C$500),0)),"/")</f>
        <v>389</v>
      </c>
      <c r="AL22" s="63" cm="1">
        <f t="array" ref="AL22">IFERROR(INDEX('Offer Statistics'!E$2:E$500,MATCH(1,(CityU!$A22='Offer Statistics'!$B$2:$B$500)*(CityU!$AB$2='Offer Statistics'!$C$2:$C$500),0)),"/")</f>
        <v>374</v>
      </c>
      <c r="AM22" s="63" cm="1">
        <f t="array" ref="AM22">IFERROR(INDEX('Offer Statistics'!F$2:F$500,MATCH(1,(CityU!$A22='Offer Statistics'!$B$2:$B$500)*(CityU!$AB$2='Offer Statistics'!$C$2:$C$500),0)),"/")</f>
        <v>366</v>
      </c>
      <c r="AN22" s="63" cm="1">
        <f t="array" ref="AN22">IFERROR(INDEX('Offer Statistics'!G$2:G$500,MATCH(1,(CityU!$A22='Offer Statistics'!$B$2:$B$500)*(CityU!$AB$2='Offer Statistics'!$C$2:$C$500),0)),"/")</f>
        <v>412</v>
      </c>
      <c r="AO22" s="63" cm="1">
        <f t="array" ref="AO22">IFERROR(INDEX('Offer Statistics'!H$2:H$500,MATCH(1,(CityU!$A22='Offer Statistics'!$B$2:$B$500)*(CityU!$AB$2='Offer Statistics'!$C$2:$C$500),0)),"/")</f>
        <v>278</v>
      </c>
      <c r="AP22" s="15"/>
      <c r="AQ22" s="15" t="str">
        <f t="shared" si="0"/>
        <v>JS1051</v>
      </c>
      <c r="AR22" s="4"/>
      <c r="AS22" s="4"/>
      <c r="AT22" s="4"/>
      <c r="AU22" s="4"/>
      <c r="AV22" s="4"/>
      <c r="AW22" s="4"/>
      <c r="AX22" s="4"/>
      <c r="AY22" s="4"/>
      <c r="AZ22" s="4"/>
      <c r="BA22" s="4"/>
      <c r="BB22" s="4"/>
      <c r="BC22" s="4"/>
      <c r="BD22" s="4"/>
      <c r="BE22" s="4"/>
      <c r="BF22" s="4"/>
    </row>
    <row r="23" spans="1:58" s="2" customFormat="1" ht="18" customHeight="1">
      <c r="A23" s="15" t="str">
        <f>'Reference Score Calculation'!B34</f>
        <v>JS1052</v>
      </c>
      <c r="B23" s="4" t="str">
        <f>'Reference Score Calculation'!D34</f>
        <v>能源及環境學院</v>
      </c>
      <c r="C23" s="23" t="str">
        <f>'Reference Score Calculation'!E34</f>
        <v>工學士(環境科學及工程學)與工商管理學士(金融)[雙學位；特點：環境、社會和管治 / 綠色金融 / 環保技術 / 跨學科教育]</v>
      </c>
      <c r="D23" s="4" t="str">
        <f>'Reference Score Calculation'!S34</f>
        <v>BEngESE&amp;BBAFIN</v>
      </c>
      <c r="E23" s="352" t="str">
        <f>'Reference Score Calculation'!AC34</f>
        <v>Best 5</v>
      </c>
      <c r="F23" s="347" t="str">
        <f>'Reference Score Calculation'!F34</f>
        <v>Best 5</v>
      </c>
      <c r="G23" s="6">
        <f>'Reference Score Calculation'!I34</f>
        <v>36</v>
      </c>
      <c r="H23" s="6">
        <f>'Reference Score Calculation'!J34</f>
        <v>35</v>
      </c>
      <c r="I23" s="45">
        <f>計分版!J57</f>
        <v>3.6E-9</v>
      </c>
      <c r="J23" s="176">
        <f t="shared" si="1"/>
        <v>-35.9999999964</v>
      </c>
      <c r="K23" s="181">
        <f t="shared" si="2"/>
        <v>-9999999999</v>
      </c>
      <c r="L23" s="36">
        <f>'Reference Score Calculation'!U34</f>
        <v>10</v>
      </c>
      <c r="M23" s="84">
        <f>入學要求!Z43</f>
        <v>0</v>
      </c>
      <c r="N23" s="540"/>
      <c r="O23" s="160">
        <f>入學要求!L43</f>
        <v>3</v>
      </c>
      <c r="P23" s="160">
        <f>入學要求!M43</f>
        <v>3</v>
      </c>
      <c r="Q23" s="160">
        <f>入學要求!N43</f>
        <v>3</v>
      </c>
      <c r="R23" s="160">
        <f>入學要求!O43</f>
        <v>1</v>
      </c>
      <c r="S23" s="160">
        <f>入學要求!P43</f>
        <v>3</v>
      </c>
      <c r="T23" s="160">
        <f>入學要求!Q43</f>
        <v>3</v>
      </c>
      <c r="U23" s="236">
        <f>入學要求!S43</f>
        <v>0</v>
      </c>
      <c r="V23" s="236">
        <f>入學要求!T43</f>
        <v>0</v>
      </c>
      <c r="W23" s="236">
        <f>入學要求!U43</f>
        <v>0</v>
      </c>
      <c r="X23" s="236">
        <f>入學要求!V43</f>
        <v>0</v>
      </c>
      <c r="Y23" s="236">
        <f>入學要求!W43</f>
        <v>0</v>
      </c>
      <c r="Z23" s="236">
        <f>入學要求!X43</f>
        <v>0</v>
      </c>
      <c r="AA23" s="44">
        <f t="shared" si="3"/>
        <v>16.329999999999998</v>
      </c>
      <c r="AB23" s="537"/>
      <c r="AC23" s="36" cm="1">
        <f t="array" ref="AC23">IFERROR(INDEX('Offer Statistics'!$Q$2:$Q$500,MATCH(1,(CityU!$A23='Offer Statistics'!$B$2:$B$500)*(CityU!$AB$2='Offer Statistics'!$K$2:$K$500),0)),"/")</f>
        <v>11</v>
      </c>
      <c r="AD23" s="63" cm="1">
        <f t="array" ref="AD23">IFERROR(INDEX('Offer Statistics'!L$2:L$500,MATCH(1,(CityU!$A23='Offer Statistics'!$B$2:$B$500)*(CityU!$AB$2='Offer Statistics'!$K$2:$K$500),0)),"/")</f>
        <v>3</v>
      </c>
      <c r="AE23" s="63" cm="1">
        <f t="array" ref="AE23">IFERROR(INDEX('Offer Statistics'!M$2:M$500,MATCH(1,(CityU!$A23='Offer Statistics'!$B$2:$B$500)*(CityU!$AB$2='Offer Statistics'!$K$2:$K$500),0)),"/")</f>
        <v>5</v>
      </c>
      <c r="AF23" s="63" cm="1">
        <f t="array" ref="AF23">IFERROR(INDEX('Offer Statistics'!N$2:N$500,MATCH(1,(CityU!$A23='Offer Statistics'!$B$2:$B$500)*(CityU!$AB$2='Offer Statistics'!$K$2:$K$500),0)),"/")</f>
        <v>0</v>
      </c>
      <c r="AG23" s="63" cm="1">
        <f t="array" ref="AG23">IFERROR(INDEX('Offer Statistics'!O$2:O$500,MATCH(1,(CityU!$A23='Offer Statistics'!$B$2:$B$500)*(CityU!$AB$2='Offer Statistics'!$K$2:$K$500),0)),"/")</f>
        <v>2</v>
      </c>
      <c r="AH23" s="63" cm="1">
        <f t="array" ref="AH23">IFERROR(INDEX('Offer Statistics'!P$2:P$500,MATCH(1,(CityU!$A23='Offer Statistics'!$B$2:$B$500)*(CityU!$AB$2='Offer Statistics'!$K$2:$K$500),0)),"/")</f>
        <v>1</v>
      </c>
      <c r="AI23" s="538"/>
      <c r="AJ23" s="36" cm="1">
        <f t="array" ref="AJ23">IFERROR(INDEX('Offer Statistics'!$I$2:$I$500,MATCH(1,(CityU!$A23='Offer Statistics'!$B$2:$B$500)*(CityU!$AB$2='Offer Statistics'!$C$2:$C$500),0)),"/")</f>
        <v>557</v>
      </c>
      <c r="AK23" s="63" cm="1">
        <f t="array" ref="AK23">IFERROR(INDEX('Offer Statistics'!D$2:D$500,MATCH(1,(CityU!$A23='Offer Statistics'!$B$2:$B$500)*(CityU!$AB$2='Offer Statistics'!$C$2:$C$500),0)),"/")</f>
        <v>49</v>
      </c>
      <c r="AL23" s="63" cm="1">
        <f t="array" ref="AL23">IFERROR(INDEX('Offer Statistics'!E$2:E$500,MATCH(1,(CityU!$A23='Offer Statistics'!$B$2:$B$500)*(CityU!$AB$2='Offer Statistics'!$C$2:$C$500),0)),"/")</f>
        <v>97</v>
      </c>
      <c r="AM23" s="63" cm="1">
        <f t="array" ref="AM23">IFERROR(INDEX('Offer Statistics'!F$2:F$500,MATCH(1,(CityU!$A23='Offer Statistics'!$B$2:$B$500)*(CityU!$AB$2='Offer Statistics'!$C$2:$C$500),0)),"/")</f>
        <v>109</v>
      </c>
      <c r="AN23" s="63" cm="1">
        <f t="array" ref="AN23">IFERROR(INDEX('Offer Statistics'!G$2:G$500,MATCH(1,(CityU!$A23='Offer Statistics'!$B$2:$B$500)*(CityU!$AB$2='Offer Statistics'!$C$2:$C$500),0)),"/")</f>
        <v>145</v>
      </c>
      <c r="AO23" s="63" cm="1">
        <f t="array" ref="AO23">IFERROR(INDEX('Offer Statistics'!H$2:H$500,MATCH(1,(CityU!$A23='Offer Statistics'!$B$2:$B$500)*(CityU!$AB$2='Offer Statistics'!$C$2:$C$500),0)),"/")</f>
        <v>157</v>
      </c>
      <c r="AP23" s="15"/>
      <c r="AQ23" s="15" t="str">
        <f t="shared" si="0"/>
        <v>JS1052</v>
      </c>
      <c r="AR23" s="4"/>
      <c r="AS23" s="4"/>
      <c r="AT23" s="4"/>
      <c r="AU23" s="4"/>
      <c r="AV23" s="4"/>
      <c r="AW23" s="4"/>
      <c r="AX23" s="4"/>
      <c r="AY23" s="4"/>
      <c r="AZ23" s="4"/>
      <c r="BA23" s="4"/>
      <c r="BB23" s="4"/>
      <c r="BC23" s="4"/>
      <c r="BD23" s="4"/>
      <c r="BE23" s="4"/>
      <c r="BF23" s="4"/>
    </row>
    <row r="24" spans="1:58" s="2" customFormat="1" ht="18" customHeight="1">
      <c r="A24" s="15" t="str">
        <f>'Reference Score Calculation'!B35</f>
        <v>JS1053</v>
      </c>
      <c r="B24" s="4" t="str">
        <f>'Reference Score Calculation'!D35</f>
        <v>能源及環境學院</v>
      </c>
      <c r="C24" s="23" t="str">
        <f>'Reference Score Calculation'!E35</f>
        <v>理學士(環境及可持續發展商業) [特點：環境科學 / 商業可持續發展 / 環境、社會和管治]</v>
      </c>
      <c r="D24" s="4" t="str">
        <f>'Reference Score Calculation'!S35</f>
        <v>BScESB</v>
      </c>
      <c r="E24" s="352" t="str">
        <f>'Reference Score Calculation'!AC35</f>
        <v>Best 5</v>
      </c>
      <c r="F24" s="444" t="str">
        <f>'Reference Score Calculation'!F35</f>
        <v>25年新科目</v>
      </c>
      <c r="G24" s="6" t="str">
        <f>'Reference Score Calculation'!I35</f>
        <v>/</v>
      </c>
      <c r="H24" s="6" t="str">
        <f>'Reference Score Calculation'!J35</f>
        <v>/</v>
      </c>
      <c r="I24" s="45">
        <f>計分版!J58</f>
        <v>3.9000000000000002E-9</v>
      </c>
      <c r="J24" s="237" t="str">
        <f t="shared" si="1"/>
        <v>/</v>
      </c>
      <c r="K24" s="238" t="str">
        <f t="shared" si="2"/>
        <v>/</v>
      </c>
      <c r="L24" s="36">
        <f>'Reference Score Calculation'!U35</f>
        <v>10</v>
      </c>
      <c r="M24" s="84">
        <f>入學要求!Z44</f>
        <v>0</v>
      </c>
      <c r="N24" s="540"/>
      <c r="O24" s="160">
        <f>入學要求!L44</f>
        <v>3</v>
      </c>
      <c r="P24" s="160">
        <f>入學要求!M44</f>
        <v>3</v>
      </c>
      <c r="Q24" s="160">
        <f>入學要求!N44</f>
        <v>3</v>
      </c>
      <c r="R24" s="160">
        <f>入學要求!O44</f>
        <v>1</v>
      </c>
      <c r="S24" s="160">
        <f>入學要求!P44</f>
        <v>3</v>
      </c>
      <c r="T24" s="160">
        <f>入學要求!Q44</f>
        <v>3</v>
      </c>
      <c r="U24" s="236">
        <f>入學要求!S44</f>
        <v>0</v>
      </c>
      <c r="V24" s="236">
        <f>入學要求!T44</f>
        <v>0</v>
      </c>
      <c r="W24" s="236">
        <f>入學要求!U44</f>
        <v>0</v>
      </c>
      <c r="X24" s="236">
        <f>入學要求!V44</f>
        <v>0</v>
      </c>
      <c r="Y24" s="236">
        <f>入學要求!W44</f>
        <v>0</v>
      </c>
      <c r="Z24" s="236">
        <f>入學要求!X44</f>
        <v>0</v>
      </c>
      <c r="AA24" s="44" t="str">
        <f t="shared" si="3"/>
        <v>/</v>
      </c>
      <c r="AB24" s="537"/>
      <c r="AC24" s="36" t="str" cm="1">
        <f t="array" ref="AC24">IFERROR(INDEX('Offer Statistics'!$Q$2:$Q$500,MATCH(1,(CityU!$A24='Offer Statistics'!$B$2:$B$500)*(CityU!$AB$2='Offer Statistics'!$K$2:$K$500),0)),"/")</f>
        <v>/</v>
      </c>
      <c r="AD24" s="63" t="str" cm="1">
        <f t="array" ref="AD24">IFERROR(INDEX('Offer Statistics'!L$2:L$500,MATCH(1,(CityU!$A24='Offer Statistics'!$B$2:$B$500)*(CityU!$AB$2='Offer Statistics'!$K$2:$K$500),0)),"/")</f>
        <v>/</v>
      </c>
      <c r="AE24" s="63" t="str" cm="1">
        <f t="array" ref="AE24">IFERROR(INDEX('Offer Statistics'!M$2:M$500,MATCH(1,(CityU!$A24='Offer Statistics'!$B$2:$B$500)*(CityU!$AB$2='Offer Statistics'!$K$2:$K$500),0)),"/")</f>
        <v>/</v>
      </c>
      <c r="AF24" s="63" t="str" cm="1">
        <f t="array" ref="AF24">IFERROR(INDEX('Offer Statistics'!N$2:N$500,MATCH(1,(CityU!$A24='Offer Statistics'!$B$2:$B$500)*(CityU!$AB$2='Offer Statistics'!$K$2:$K$500),0)),"/")</f>
        <v>/</v>
      </c>
      <c r="AG24" s="63" t="str" cm="1">
        <f t="array" ref="AG24">IFERROR(INDEX('Offer Statistics'!O$2:O$500,MATCH(1,(CityU!$A24='Offer Statistics'!$B$2:$B$500)*(CityU!$AB$2='Offer Statistics'!$K$2:$K$500),0)),"/")</f>
        <v>/</v>
      </c>
      <c r="AH24" s="63" t="str" cm="1">
        <f t="array" ref="AH24">IFERROR(INDEX('Offer Statistics'!P$2:P$500,MATCH(1,(CityU!$A24='Offer Statistics'!$B$2:$B$500)*(CityU!$AB$2='Offer Statistics'!$K$2:$K$500),0)),"/")</f>
        <v>/</v>
      </c>
      <c r="AI24" s="538"/>
      <c r="AJ24" s="36" t="str" cm="1">
        <f t="array" ref="AJ24">IFERROR(INDEX('Offer Statistics'!$I$2:$I$500,MATCH(1,(CityU!$A24='Offer Statistics'!$B$2:$B$500)*(CityU!$AB$2='Offer Statistics'!$C$2:$C$500),0)),"/")</f>
        <v>/</v>
      </c>
      <c r="AK24" s="63" t="str" cm="1">
        <f t="array" ref="AK24">IFERROR(INDEX('Offer Statistics'!D$2:D$500,MATCH(1,(CityU!$A24='Offer Statistics'!$B$2:$B$500)*(CityU!$AB$2='Offer Statistics'!$C$2:$C$500),0)),"/")</f>
        <v>/</v>
      </c>
      <c r="AL24" s="63" t="str" cm="1">
        <f t="array" ref="AL24">IFERROR(INDEX('Offer Statistics'!E$2:E$500,MATCH(1,(CityU!$A24='Offer Statistics'!$B$2:$B$500)*(CityU!$AB$2='Offer Statistics'!$C$2:$C$500),0)),"/")</f>
        <v>/</v>
      </c>
      <c r="AM24" s="63" t="str" cm="1">
        <f t="array" ref="AM24">IFERROR(INDEX('Offer Statistics'!F$2:F$500,MATCH(1,(CityU!$A24='Offer Statistics'!$B$2:$B$500)*(CityU!$AB$2='Offer Statistics'!$C$2:$C$500),0)),"/")</f>
        <v>/</v>
      </c>
      <c r="AN24" s="63" t="str" cm="1">
        <f t="array" ref="AN24">IFERROR(INDEX('Offer Statistics'!G$2:G$500,MATCH(1,(CityU!$A24='Offer Statistics'!$B$2:$B$500)*(CityU!$AB$2='Offer Statistics'!$C$2:$C$500),0)),"/")</f>
        <v>/</v>
      </c>
      <c r="AO24" s="63" t="str" cm="1">
        <f t="array" ref="AO24">IFERROR(INDEX('Offer Statistics'!H$2:H$500,MATCH(1,(CityU!$A24='Offer Statistics'!$B$2:$B$500)*(CityU!$AB$2='Offer Statistics'!$C$2:$C$500),0)),"/")</f>
        <v>/</v>
      </c>
      <c r="AP24" s="15"/>
      <c r="AQ24" s="15" t="str">
        <f t="shared" si="0"/>
        <v>JS1053</v>
      </c>
      <c r="AR24" s="4"/>
      <c r="AS24" s="4"/>
      <c r="AT24" s="4"/>
      <c r="AU24" s="4"/>
      <c r="AV24" s="4"/>
      <c r="AW24" s="4"/>
      <c r="AX24" s="4"/>
      <c r="AY24" s="4"/>
      <c r="AZ24" s="4"/>
      <c r="BA24" s="4"/>
      <c r="BB24" s="4"/>
      <c r="BC24" s="4"/>
      <c r="BD24" s="4"/>
      <c r="BE24" s="4"/>
      <c r="BF24" s="4"/>
    </row>
    <row r="25" spans="1:58" s="2" customFormat="1" ht="18" customHeight="1">
      <c r="A25" s="15" t="str">
        <f>'Reference Score Calculation'!B36</f>
        <v>JS1061</v>
      </c>
      <c r="B25" s="4" t="str">
        <f>'Reference Score Calculation'!D36</f>
        <v>法律學院</v>
      </c>
      <c r="C25" s="23" t="str">
        <f>'Reference Score Calculation'!E36</f>
        <v>法律學學士</v>
      </c>
      <c r="D25" s="4" t="str">
        <f>'Reference Score Calculation'!S36</f>
        <v>LLB</v>
      </c>
      <c r="E25" s="352" t="str">
        <f>'Reference Score Calculation'!AC36</f>
        <v>Best 5</v>
      </c>
      <c r="F25" s="334" t="str">
        <f>'Reference Score Calculation'!F36</f>
        <v>Best 5</v>
      </c>
      <c r="G25" s="6">
        <f>'Reference Score Calculation'!I36</f>
        <v>24.5</v>
      </c>
      <c r="H25" s="6">
        <f>'Reference Score Calculation'!J36</f>
        <v>23.5</v>
      </c>
      <c r="I25" s="45">
        <f>計分版!J59</f>
        <v>3.1999999999999997E-9</v>
      </c>
      <c r="J25" s="176">
        <f t="shared" si="1"/>
        <v>-24.4999999968</v>
      </c>
      <c r="K25" s="181">
        <f t="shared" si="2"/>
        <v>-7656249999.000001</v>
      </c>
      <c r="L25" s="36">
        <f>'Reference Score Calculation'!U36</f>
        <v>42</v>
      </c>
      <c r="M25" s="84">
        <f>入學要求!Z45</f>
        <v>0</v>
      </c>
      <c r="N25" s="540"/>
      <c r="O25" s="160">
        <f>入學要求!L45</f>
        <v>3</v>
      </c>
      <c r="P25" s="160">
        <f>入學要求!M45</f>
        <v>5</v>
      </c>
      <c r="Q25" s="160">
        <f>入學要求!N45</f>
        <v>2</v>
      </c>
      <c r="R25" s="160">
        <f>入學要求!O45</f>
        <v>1</v>
      </c>
      <c r="S25" s="160">
        <f>入學要求!P45</f>
        <v>3</v>
      </c>
      <c r="T25" s="160">
        <f>入學要求!Q45</f>
        <v>3</v>
      </c>
      <c r="U25" s="236">
        <f>入學要求!S45</f>
        <v>0</v>
      </c>
      <c r="V25" s="236">
        <f>入學要求!T45</f>
        <v>0</v>
      </c>
      <c r="W25" s="236">
        <f>入學要求!U45</f>
        <v>0</v>
      </c>
      <c r="X25" s="236">
        <f>入學要求!V45</f>
        <v>0</v>
      </c>
      <c r="Y25" s="236">
        <f>入學要求!W45</f>
        <v>0</v>
      </c>
      <c r="Z25" s="236">
        <f>入學要求!X45</f>
        <v>0</v>
      </c>
      <c r="AA25" s="44">
        <f t="shared" si="3"/>
        <v>4.96</v>
      </c>
      <c r="AB25" s="537"/>
      <c r="AC25" s="36" cm="1">
        <f t="array" ref="AC25">IFERROR(INDEX('Offer Statistics'!$Q$2:$Q$500,MATCH(1,(CityU!$A25='Offer Statistics'!$B$2:$B$500)*(CityU!$AB$2='Offer Statistics'!$K$2:$K$500),0)),"/")</f>
        <v>26</v>
      </c>
      <c r="AD25" s="63" cm="1">
        <f t="array" ref="AD25">IFERROR(INDEX('Offer Statistics'!L$2:L$500,MATCH(1,(CityU!$A25='Offer Statistics'!$B$2:$B$500)*(CityU!$AB$2='Offer Statistics'!$K$2:$K$500),0)),"/")</f>
        <v>26</v>
      </c>
      <c r="AE25" s="63" cm="1">
        <f t="array" ref="AE25">IFERROR(INDEX('Offer Statistics'!M$2:M$500,MATCH(1,(CityU!$A25='Offer Statistics'!$B$2:$B$500)*(CityU!$AB$2='Offer Statistics'!$K$2:$K$500),0)),"/")</f>
        <v>0</v>
      </c>
      <c r="AF25" s="63" cm="1">
        <f t="array" ref="AF25">IFERROR(INDEX('Offer Statistics'!N$2:N$500,MATCH(1,(CityU!$A25='Offer Statistics'!$B$2:$B$500)*(CityU!$AB$2='Offer Statistics'!$K$2:$K$500),0)),"/")</f>
        <v>0</v>
      </c>
      <c r="AG25" s="63" cm="1">
        <f t="array" ref="AG25">IFERROR(INDEX('Offer Statistics'!O$2:O$500,MATCH(1,(CityU!$A25='Offer Statistics'!$B$2:$B$500)*(CityU!$AB$2='Offer Statistics'!$K$2:$K$500),0)),"/")</f>
        <v>0</v>
      </c>
      <c r="AH25" s="63" cm="1">
        <f t="array" ref="AH25">IFERROR(INDEX('Offer Statistics'!P$2:P$500,MATCH(1,(CityU!$A25='Offer Statistics'!$B$2:$B$500)*(CityU!$AB$2='Offer Statistics'!$K$2:$K$500),0)),"/")</f>
        <v>0</v>
      </c>
      <c r="AI25" s="538"/>
      <c r="AJ25" s="36" cm="1">
        <f t="array" ref="AJ25">IFERROR(INDEX('Offer Statistics'!$I$2:$I$500,MATCH(1,(CityU!$A25='Offer Statistics'!$B$2:$B$500)*(CityU!$AB$2='Offer Statistics'!$C$2:$C$500),0)),"/")</f>
        <v>957</v>
      </c>
      <c r="AK25" s="63" cm="1">
        <f t="array" ref="AK25">IFERROR(INDEX('Offer Statistics'!D$2:D$500,MATCH(1,(CityU!$A25='Offer Statistics'!$B$2:$B$500)*(CityU!$AB$2='Offer Statistics'!$C$2:$C$500),0)),"/")</f>
        <v>129</v>
      </c>
      <c r="AL25" s="63" cm="1">
        <f t="array" ref="AL25">IFERROR(INDEX('Offer Statistics'!E$2:E$500,MATCH(1,(CityU!$A25='Offer Statistics'!$B$2:$B$500)*(CityU!$AB$2='Offer Statistics'!$C$2:$C$500),0)),"/")</f>
        <v>156</v>
      </c>
      <c r="AM25" s="63" cm="1">
        <f t="array" ref="AM25">IFERROR(INDEX('Offer Statistics'!F$2:F$500,MATCH(1,(CityU!$A25='Offer Statistics'!$B$2:$B$500)*(CityU!$AB$2='Offer Statistics'!$C$2:$C$500),0)),"/")</f>
        <v>183</v>
      </c>
      <c r="AN25" s="63" cm="1">
        <f t="array" ref="AN25">IFERROR(INDEX('Offer Statistics'!G$2:G$500,MATCH(1,(CityU!$A25='Offer Statistics'!$B$2:$B$500)*(CityU!$AB$2='Offer Statistics'!$C$2:$C$500),0)),"/")</f>
        <v>239</v>
      </c>
      <c r="AO25" s="63" cm="1">
        <f t="array" ref="AO25">IFERROR(INDEX('Offer Statistics'!H$2:H$500,MATCH(1,(CityU!$A25='Offer Statistics'!$B$2:$B$500)*(CityU!$AB$2='Offer Statistics'!$C$2:$C$500),0)),"/")</f>
        <v>250</v>
      </c>
      <c r="AP25" s="15"/>
      <c r="AQ25" s="15" t="str">
        <f t="shared" si="0"/>
        <v>JS1061</v>
      </c>
      <c r="AR25" s="4"/>
      <c r="AS25" s="4"/>
      <c r="AT25" s="4"/>
      <c r="AU25" s="4"/>
      <c r="AV25" s="4"/>
      <c r="AW25" s="4"/>
      <c r="AX25" s="4"/>
      <c r="AY25" s="4"/>
      <c r="AZ25" s="4"/>
      <c r="BA25" s="4"/>
      <c r="BB25" s="4"/>
      <c r="BC25" s="4"/>
      <c r="BD25" s="4"/>
      <c r="BE25" s="4"/>
      <c r="BF25" s="4"/>
    </row>
    <row r="26" spans="1:58" s="2" customFormat="1" ht="18" customHeight="1">
      <c r="A26" s="15" t="str">
        <f>'Reference Score Calculation'!B37</f>
        <v>JS1062</v>
      </c>
      <c r="B26" s="4" t="str">
        <f>'Reference Score Calculation'!D37</f>
        <v>法律學院/商學院</v>
      </c>
      <c r="C26" s="23" t="str">
        <f>'Reference Score Calculation'!E37</f>
        <v>法律學學士與工商管理學士(會計) (雙學位)</v>
      </c>
      <c r="D26" s="4" t="str">
        <f>'Reference Score Calculation'!S37</f>
        <v>LLB&amp;BBAAC</v>
      </c>
      <c r="E26" s="352" t="str">
        <f>'Reference Score Calculation'!AC37</f>
        <v>Best 5</v>
      </c>
      <c r="F26" s="347" t="str">
        <f>'Reference Score Calculation'!F37</f>
        <v>Best 5</v>
      </c>
      <c r="G26" s="6">
        <f>'Reference Score Calculation'!I37</f>
        <v>29</v>
      </c>
      <c r="H26" s="6">
        <f>'Reference Score Calculation'!J37</f>
        <v>24.5</v>
      </c>
      <c r="I26" s="45">
        <f>計分版!J60</f>
        <v>3.2999999999999998E-9</v>
      </c>
      <c r="J26" s="176">
        <f t="shared" si="1"/>
        <v>-28.999999996700002</v>
      </c>
      <c r="K26" s="181">
        <f t="shared" si="2"/>
        <v>-8787878786.878788</v>
      </c>
      <c r="L26" s="36">
        <f>'Reference Score Calculation'!U37</f>
        <v>8</v>
      </c>
      <c r="M26" s="84">
        <f>入學要求!Z46</f>
        <v>0</v>
      </c>
      <c r="N26" s="540"/>
      <c r="O26" s="160">
        <f>入學要求!L46</f>
        <v>3</v>
      </c>
      <c r="P26" s="160">
        <f>入學要求!M46</f>
        <v>5</v>
      </c>
      <c r="Q26" s="160">
        <f>入學要求!N46</f>
        <v>3</v>
      </c>
      <c r="R26" s="160">
        <f>入學要求!O46</f>
        <v>1</v>
      </c>
      <c r="S26" s="160">
        <f>入學要求!P46</f>
        <v>3</v>
      </c>
      <c r="T26" s="160">
        <f>入學要求!Q46</f>
        <v>3</v>
      </c>
      <c r="U26" s="236">
        <f>入學要求!S46</f>
        <v>0</v>
      </c>
      <c r="V26" s="236">
        <f>入學要求!T46</f>
        <v>0</v>
      </c>
      <c r="W26" s="236">
        <f>入學要求!U46</f>
        <v>0</v>
      </c>
      <c r="X26" s="236">
        <f>入學要求!V46</f>
        <v>0</v>
      </c>
      <c r="Y26" s="236">
        <f>入學要求!W46</f>
        <v>0</v>
      </c>
      <c r="Z26" s="236">
        <f>入學要求!X46</f>
        <v>0</v>
      </c>
      <c r="AA26" s="44">
        <f t="shared" si="3"/>
        <v>4.75</v>
      </c>
      <c r="AB26" s="537"/>
      <c r="AC26" s="36" cm="1">
        <f t="array" ref="AC26">IFERROR(INDEX('Offer Statistics'!$Q$2:$Q$500,MATCH(1,(CityU!$A26='Offer Statistics'!$B$2:$B$500)*(CityU!$AB$2='Offer Statistics'!$K$2:$K$500),0)),"/")</f>
        <v>5</v>
      </c>
      <c r="AD26" s="63" cm="1">
        <f t="array" ref="AD26">IFERROR(INDEX('Offer Statistics'!L$2:L$500,MATCH(1,(CityU!$A26='Offer Statistics'!$B$2:$B$500)*(CityU!$AB$2='Offer Statistics'!$K$2:$K$500),0)),"/")</f>
        <v>4</v>
      </c>
      <c r="AE26" s="63" cm="1">
        <f t="array" ref="AE26">IFERROR(INDEX('Offer Statistics'!M$2:M$500,MATCH(1,(CityU!$A26='Offer Statistics'!$B$2:$B$500)*(CityU!$AB$2='Offer Statistics'!$K$2:$K$500),0)),"/")</f>
        <v>0</v>
      </c>
      <c r="AF26" s="63" cm="1">
        <f t="array" ref="AF26">IFERROR(INDEX('Offer Statistics'!N$2:N$500,MATCH(1,(CityU!$A26='Offer Statistics'!$B$2:$B$500)*(CityU!$AB$2='Offer Statistics'!$K$2:$K$500),0)),"/")</f>
        <v>0</v>
      </c>
      <c r="AG26" s="63" cm="1">
        <f t="array" ref="AG26">IFERROR(INDEX('Offer Statistics'!O$2:O$500,MATCH(1,(CityU!$A26='Offer Statistics'!$B$2:$B$500)*(CityU!$AB$2='Offer Statistics'!$K$2:$K$500),0)),"/")</f>
        <v>1</v>
      </c>
      <c r="AH26" s="63" cm="1">
        <f t="array" ref="AH26">IFERROR(INDEX('Offer Statistics'!P$2:P$500,MATCH(1,(CityU!$A26='Offer Statistics'!$B$2:$B$500)*(CityU!$AB$2='Offer Statistics'!$K$2:$K$500),0)),"/")</f>
        <v>0</v>
      </c>
      <c r="AI26" s="538"/>
      <c r="AJ26" s="36" cm="1">
        <f t="array" ref="AJ26">IFERROR(INDEX('Offer Statistics'!$I$2:$I$500,MATCH(1,(CityU!$A26='Offer Statistics'!$B$2:$B$500)*(CityU!$AB$2='Offer Statistics'!$C$2:$C$500),0)),"/")</f>
        <v>368</v>
      </c>
      <c r="AK26" s="63" cm="1">
        <f t="array" ref="AK26">IFERROR(INDEX('Offer Statistics'!D$2:D$500,MATCH(1,(CityU!$A26='Offer Statistics'!$B$2:$B$500)*(CityU!$AB$2='Offer Statistics'!$C$2:$C$500),0)),"/")</f>
        <v>19</v>
      </c>
      <c r="AL26" s="63" cm="1">
        <f t="array" ref="AL26">IFERROR(INDEX('Offer Statistics'!E$2:E$500,MATCH(1,(CityU!$A26='Offer Statistics'!$B$2:$B$500)*(CityU!$AB$2='Offer Statistics'!$C$2:$C$500),0)),"/")</f>
        <v>42</v>
      </c>
      <c r="AM26" s="63" cm="1">
        <f t="array" ref="AM26">IFERROR(INDEX('Offer Statistics'!F$2:F$500,MATCH(1,(CityU!$A26='Offer Statistics'!$B$2:$B$500)*(CityU!$AB$2='Offer Statistics'!$C$2:$C$500),0)),"/")</f>
        <v>84</v>
      </c>
      <c r="AN26" s="63" cm="1">
        <f t="array" ref="AN26">IFERROR(INDEX('Offer Statistics'!G$2:G$500,MATCH(1,(CityU!$A26='Offer Statistics'!$B$2:$B$500)*(CityU!$AB$2='Offer Statistics'!$C$2:$C$500),0)),"/")</f>
        <v>103</v>
      </c>
      <c r="AO26" s="63" cm="1">
        <f t="array" ref="AO26">IFERROR(INDEX('Offer Statistics'!H$2:H$500,MATCH(1,(CityU!$A26='Offer Statistics'!$B$2:$B$500)*(CityU!$AB$2='Offer Statistics'!$C$2:$C$500),0)),"/")</f>
        <v>120</v>
      </c>
      <c r="AP26" s="15"/>
      <c r="AQ26" s="15" t="str">
        <f t="shared" si="0"/>
        <v>JS1062</v>
      </c>
      <c r="AR26" s="4"/>
      <c r="AS26" s="4"/>
      <c r="AT26" s="4"/>
      <c r="AU26" s="4"/>
      <c r="AV26" s="4"/>
      <c r="AW26" s="4"/>
      <c r="AX26" s="4"/>
      <c r="AY26" s="4"/>
      <c r="AZ26" s="4"/>
      <c r="BA26" s="4"/>
      <c r="BB26" s="4"/>
      <c r="BC26" s="4"/>
      <c r="BD26" s="4"/>
      <c r="BE26" s="4"/>
      <c r="BF26" s="4"/>
    </row>
    <row r="27" spans="1:58" s="2" customFormat="1" ht="18" customHeight="1">
      <c r="A27" s="15" t="str">
        <f>'Reference Score Calculation'!B38</f>
        <v>JS1070</v>
      </c>
      <c r="B27" s="4" t="str">
        <f>'Reference Score Calculation'!D38</f>
        <v>計算學院</v>
      </c>
      <c r="C27" s="23" t="str">
        <f>'Reference Score Calculation'!E38</f>
        <v>數據賦能: 學習･突破･成就課程(特點: 自由選擇學院專業學科 / 一對一專業導師 / 精英學生實習培訓 / 專業導師指導計劃 / 頂尖海外大學交流)</v>
      </c>
      <c r="D27" s="4" t="str">
        <f>'Reference Score Calculation'!S38</f>
        <v>DELTA</v>
      </c>
      <c r="E27" s="352" t="str">
        <f>'Reference Score Calculation'!AC38</f>
        <v>3C2X</v>
      </c>
      <c r="F27" s="443" t="str">
        <f>'Reference Score Calculation'!F38</f>
        <v>25年新科目</v>
      </c>
      <c r="G27" s="6" t="str">
        <f>'Reference Score Calculation'!I38</f>
        <v>/</v>
      </c>
      <c r="H27" s="6" t="str">
        <f>'Reference Score Calculation'!J38</f>
        <v>/</v>
      </c>
      <c r="I27" s="45">
        <f>計分版!J61</f>
        <v>2.8000000000000003E-9</v>
      </c>
      <c r="J27" s="237" t="str">
        <f t="shared" si="1"/>
        <v>/</v>
      </c>
      <c r="K27" s="238" t="str">
        <f t="shared" si="2"/>
        <v>/</v>
      </c>
      <c r="L27" s="36">
        <f>'Reference Score Calculation'!U38</f>
        <v>15</v>
      </c>
      <c r="M27" s="84">
        <f>入學要求!Z47</f>
        <v>0</v>
      </c>
      <c r="N27" s="540"/>
      <c r="O27" s="160">
        <f>入學要求!L47</f>
        <v>3</v>
      </c>
      <c r="P27" s="160">
        <f>入學要求!M47</f>
        <v>3</v>
      </c>
      <c r="Q27" s="160">
        <f>入學要求!N47</f>
        <v>3</v>
      </c>
      <c r="R27" s="160">
        <f>入學要求!O47</f>
        <v>1</v>
      </c>
      <c r="S27" s="160">
        <f>入學要求!P47</f>
        <v>3</v>
      </c>
      <c r="T27" s="160">
        <f>入學要求!Q47</f>
        <v>3</v>
      </c>
      <c r="U27" s="236">
        <f>入學要求!S47</f>
        <v>0</v>
      </c>
      <c r="V27" s="236">
        <f>入學要求!T47</f>
        <v>0</v>
      </c>
      <c r="W27" s="236">
        <f>入學要求!U47</f>
        <v>0</v>
      </c>
      <c r="X27" s="236">
        <f>入學要求!V47</f>
        <v>0</v>
      </c>
      <c r="Y27" s="236">
        <f>入學要求!W47</f>
        <v>0</v>
      </c>
      <c r="Z27" s="236">
        <f>入學要求!X47</f>
        <v>0</v>
      </c>
      <c r="AA27" s="44" t="str">
        <f t="shared" si="3"/>
        <v>/</v>
      </c>
      <c r="AB27" s="537"/>
      <c r="AC27" s="36" t="str" cm="1">
        <f t="array" ref="AC27">IFERROR(INDEX('Offer Statistics'!$Q$2:$Q$500,MATCH(1,(CityU!$A27='Offer Statistics'!$B$2:$B$500)*(CityU!$AB$2='Offer Statistics'!$K$2:$K$500),0)),"/")</f>
        <v>/</v>
      </c>
      <c r="AD27" s="63" t="str" cm="1">
        <f t="array" ref="AD27">IFERROR(INDEX('Offer Statistics'!L$2:L$500,MATCH(1,(CityU!$A27='Offer Statistics'!$B$2:$B$500)*(CityU!$AB$2='Offer Statistics'!$K$2:$K$500),0)),"/")</f>
        <v>/</v>
      </c>
      <c r="AE27" s="63" t="str" cm="1">
        <f t="array" ref="AE27">IFERROR(INDEX('Offer Statistics'!M$2:M$500,MATCH(1,(CityU!$A27='Offer Statistics'!$B$2:$B$500)*(CityU!$AB$2='Offer Statistics'!$K$2:$K$500),0)),"/")</f>
        <v>/</v>
      </c>
      <c r="AF27" s="63" t="str" cm="1">
        <f t="array" ref="AF27">IFERROR(INDEX('Offer Statistics'!N$2:N$500,MATCH(1,(CityU!$A27='Offer Statistics'!$B$2:$B$500)*(CityU!$AB$2='Offer Statistics'!$K$2:$K$500),0)),"/")</f>
        <v>/</v>
      </c>
      <c r="AG27" s="63" t="str" cm="1">
        <f t="array" ref="AG27">IFERROR(INDEX('Offer Statistics'!O$2:O$500,MATCH(1,(CityU!$A27='Offer Statistics'!$B$2:$B$500)*(CityU!$AB$2='Offer Statistics'!$K$2:$K$500),0)),"/")</f>
        <v>/</v>
      </c>
      <c r="AH27" s="63" t="str" cm="1">
        <f t="array" ref="AH27">IFERROR(INDEX('Offer Statistics'!P$2:P$500,MATCH(1,(CityU!$A27='Offer Statistics'!$B$2:$B$500)*(CityU!$AB$2='Offer Statistics'!$K$2:$K$500),0)),"/")</f>
        <v>/</v>
      </c>
      <c r="AI27" s="538"/>
      <c r="AJ27" s="36" t="str" cm="1">
        <f t="array" ref="AJ27">IFERROR(INDEX('Offer Statistics'!$I$2:$I$500,MATCH(1,(CityU!$A27='Offer Statistics'!$B$2:$B$500)*(CityU!$AB$2='Offer Statistics'!$C$2:$C$500),0)),"/")</f>
        <v>/</v>
      </c>
      <c r="AK27" s="63" t="str" cm="1">
        <f t="array" ref="AK27">IFERROR(INDEX('Offer Statistics'!D$2:D$500,MATCH(1,(CityU!$A27='Offer Statistics'!$B$2:$B$500)*(CityU!$AB$2='Offer Statistics'!$C$2:$C$500),0)),"/")</f>
        <v>/</v>
      </c>
      <c r="AL27" s="63" t="str" cm="1">
        <f t="array" ref="AL27">IFERROR(INDEX('Offer Statistics'!E$2:E$500,MATCH(1,(CityU!$A27='Offer Statistics'!$B$2:$B$500)*(CityU!$AB$2='Offer Statistics'!$C$2:$C$500),0)),"/")</f>
        <v>/</v>
      </c>
      <c r="AM27" s="63" t="str" cm="1">
        <f t="array" ref="AM27">IFERROR(INDEX('Offer Statistics'!F$2:F$500,MATCH(1,(CityU!$A27='Offer Statistics'!$B$2:$B$500)*(CityU!$AB$2='Offer Statistics'!$C$2:$C$500),0)),"/")</f>
        <v>/</v>
      </c>
      <c r="AN27" s="63" t="str" cm="1">
        <f t="array" ref="AN27">IFERROR(INDEX('Offer Statistics'!G$2:G$500,MATCH(1,(CityU!$A27='Offer Statistics'!$B$2:$B$500)*(CityU!$AB$2='Offer Statistics'!$C$2:$C$500),0)),"/")</f>
        <v>/</v>
      </c>
      <c r="AO27" s="63" t="str" cm="1">
        <f t="array" ref="AO27">IFERROR(INDEX('Offer Statistics'!H$2:H$500,MATCH(1,(CityU!$A27='Offer Statistics'!$B$2:$B$500)*(CityU!$AB$2='Offer Statistics'!$C$2:$C$500),0)),"/")</f>
        <v>/</v>
      </c>
      <c r="AP27" s="15"/>
      <c r="AQ27" s="15" t="str">
        <f t="shared" si="0"/>
        <v>JS1070</v>
      </c>
      <c r="AR27" s="4"/>
      <c r="AS27" s="4"/>
      <c r="AT27" s="4"/>
      <c r="AU27" s="4"/>
      <c r="AV27" s="4"/>
      <c r="AW27" s="4"/>
      <c r="AX27" s="4"/>
      <c r="AY27" s="4"/>
      <c r="AZ27" s="4"/>
      <c r="BA27" s="4"/>
      <c r="BB27" s="4"/>
      <c r="BC27" s="4"/>
      <c r="BD27" s="4"/>
      <c r="BE27" s="4"/>
      <c r="BF27" s="4"/>
    </row>
    <row r="28" spans="1:58" s="2" customFormat="1" ht="18" customHeight="1">
      <c r="A28" s="15" t="str">
        <f>'Reference Score Calculation'!B39</f>
        <v>JS1071</v>
      </c>
      <c r="B28" s="4" t="str">
        <f>'Reference Score Calculation'!D39</f>
        <v>計算學院</v>
      </c>
      <c r="C28" s="23" t="str">
        <f>'Reference Score Calculation'!E39</f>
        <v>數據科學 [主修：理學士 (數據科學) / 理學士 (數據與系統工程)]</v>
      </c>
      <c r="D28" s="4" t="str">
        <f>'Reference Score Calculation'!S39</f>
        <v>SDSC</v>
      </c>
      <c r="E28" s="352" t="str">
        <f>'Reference Score Calculation'!AC39</f>
        <v>3C2X</v>
      </c>
      <c r="F28" s="347" t="str">
        <f>'Reference Score Calculation'!F39</f>
        <v>3C2X</v>
      </c>
      <c r="G28" s="6">
        <f>'Reference Score Calculation'!I39</f>
        <v>28</v>
      </c>
      <c r="H28" s="6">
        <f>'Reference Score Calculation'!J39</f>
        <v>27</v>
      </c>
      <c r="I28" s="45">
        <f>計分版!J62</f>
        <v>2.8000000000000003E-9</v>
      </c>
      <c r="J28" s="176">
        <f t="shared" si="1"/>
        <v>-27.9999999972</v>
      </c>
      <c r="K28" s="181">
        <f t="shared" si="2"/>
        <v>-9999999998.9999981</v>
      </c>
      <c r="L28" s="36">
        <f>'Reference Score Calculation'!U39</f>
        <v>20</v>
      </c>
      <c r="M28" s="84">
        <f>入學要求!Z48</f>
        <v>0</v>
      </c>
      <c r="N28" s="540"/>
      <c r="O28" s="160">
        <f>入學要求!L48</f>
        <v>3</v>
      </c>
      <c r="P28" s="160">
        <f>入學要求!M48</f>
        <v>3</v>
      </c>
      <c r="Q28" s="160">
        <f>入學要求!N48</f>
        <v>3</v>
      </c>
      <c r="R28" s="160">
        <f>入學要求!O48</f>
        <v>1</v>
      </c>
      <c r="S28" s="160">
        <f>入學要求!P48</f>
        <v>3</v>
      </c>
      <c r="T28" s="160">
        <f>入學要求!Q48</f>
        <v>3</v>
      </c>
      <c r="U28" s="236">
        <f>入學要求!S48</f>
        <v>0</v>
      </c>
      <c r="V28" s="236">
        <f>入學要求!T48</f>
        <v>0</v>
      </c>
      <c r="W28" s="236">
        <f>入學要求!U48</f>
        <v>0</v>
      </c>
      <c r="X28" s="236">
        <f>入學要求!V48</f>
        <v>0</v>
      </c>
      <c r="Y28" s="236">
        <f>入學要求!W48</f>
        <v>0</v>
      </c>
      <c r="Z28" s="236">
        <f>入學要求!X48</f>
        <v>0</v>
      </c>
      <c r="AA28" s="44">
        <f t="shared" si="3"/>
        <v>14.29</v>
      </c>
      <c r="AB28" s="537"/>
      <c r="AC28" s="36" cm="1">
        <f t="array" ref="AC28">IFERROR(INDEX('Offer Statistics'!$Q$2:$Q$500,MATCH(1,(CityU!$A28='Offer Statistics'!$B$2:$B$500)*(CityU!$AB$2='Offer Statistics'!$K$2:$K$500),0)),"/")</f>
        <v>16</v>
      </c>
      <c r="AD28" s="63" cm="1">
        <f t="array" ref="AD28">IFERROR(INDEX('Offer Statistics'!L$2:L$500,MATCH(1,(CityU!$A28='Offer Statistics'!$B$2:$B$500)*(CityU!$AB$2='Offer Statistics'!$K$2:$K$500),0)),"/")</f>
        <v>14</v>
      </c>
      <c r="AE28" s="63" cm="1">
        <f t="array" ref="AE28">IFERROR(INDEX('Offer Statistics'!M$2:M$500,MATCH(1,(CityU!$A28='Offer Statistics'!$B$2:$B$500)*(CityU!$AB$2='Offer Statistics'!$K$2:$K$500),0)),"/")</f>
        <v>2</v>
      </c>
      <c r="AF28" s="63" cm="1">
        <f t="array" ref="AF28">IFERROR(INDEX('Offer Statistics'!N$2:N$500,MATCH(1,(CityU!$A28='Offer Statistics'!$B$2:$B$500)*(CityU!$AB$2='Offer Statistics'!$K$2:$K$500),0)),"/")</f>
        <v>0</v>
      </c>
      <c r="AG28" s="63" cm="1">
        <f t="array" ref="AG28">IFERROR(INDEX('Offer Statistics'!O$2:O$500,MATCH(1,(CityU!$A28='Offer Statistics'!$B$2:$B$500)*(CityU!$AB$2='Offer Statistics'!$K$2:$K$500),0)),"/")</f>
        <v>0</v>
      </c>
      <c r="AH28" s="63" cm="1">
        <f t="array" ref="AH28">IFERROR(INDEX('Offer Statistics'!P$2:P$500,MATCH(1,(CityU!$A28='Offer Statistics'!$B$2:$B$500)*(CityU!$AB$2='Offer Statistics'!$K$2:$K$500),0)),"/")</f>
        <v>0</v>
      </c>
      <c r="AI28" s="538"/>
      <c r="AJ28" s="36" cm="1">
        <f t="array" ref="AJ28">IFERROR(INDEX('Offer Statistics'!$I$2:$I$500,MATCH(1,(CityU!$A28='Offer Statistics'!$B$2:$B$500)*(CityU!$AB$2='Offer Statistics'!$C$2:$C$500),0)),"/")</f>
        <v>1489</v>
      </c>
      <c r="AK28" s="63" cm="1">
        <f t="array" ref="AK28">IFERROR(INDEX('Offer Statistics'!D$2:D$500,MATCH(1,(CityU!$A28='Offer Statistics'!$B$2:$B$500)*(CityU!$AB$2='Offer Statistics'!$C$2:$C$500),0)),"/")</f>
        <v>200</v>
      </c>
      <c r="AL28" s="63" cm="1">
        <f t="array" ref="AL28">IFERROR(INDEX('Offer Statistics'!E$2:E$500,MATCH(1,(CityU!$A28='Offer Statistics'!$B$2:$B$500)*(CityU!$AB$2='Offer Statistics'!$C$2:$C$500),0)),"/")</f>
        <v>242</v>
      </c>
      <c r="AM28" s="63" cm="1">
        <f t="array" ref="AM28">IFERROR(INDEX('Offer Statistics'!F$2:F$500,MATCH(1,(CityU!$A28='Offer Statistics'!$B$2:$B$500)*(CityU!$AB$2='Offer Statistics'!$C$2:$C$500),0)),"/")</f>
        <v>347</v>
      </c>
      <c r="AN28" s="63" cm="1">
        <f t="array" ref="AN28">IFERROR(INDEX('Offer Statistics'!G$2:G$500,MATCH(1,(CityU!$A28='Offer Statistics'!$B$2:$B$500)*(CityU!$AB$2='Offer Statistics'!$C$2:$C$500),0)),"/")</f>
        <v>397</v>
      </c>
      <c r="AO28" s="63" cm="1">
        <f t="array" ref="AO28">IFERROR(INDEX('Offer Statistics'!H$2:H$500,MATCH(1,(CityU!$A28='Offer Statistics'!$B$2:$B$500)*(CityU!$AB$2='Offer Statistics'!$C$2:$C$500),0)),"/")</f>
        <v>303</v>
      </c>
      <c r="AP28" s="15"/>
      <c r="AQ28" s="15" t="str">
        <f t="shared" si="0"/>
        <v>JS1071</v>
      </c>
      <c r="AR28" s="4"/>
      <c r="AS28" s="4"/>
      <c r="AT28" s="4"/>
      <c r="AU28" s="4"/>
      <c r="AV28" s="4"/>
      <c r="AW28" s="4"/>
      <c r="AX28" s="4"/>
      <c r="AY28" s="4"/>
      <c r="AZ28" s="4"/>
      <c r="BA28" s="4"/>
      <c r="BB28" s="4"/>
      <c r="BC28" s="4"/>
      <c r="BD28" s="4"/>
      <c r="BE28" s="4"/>
      <c r="BF28" s="4"/>
    </row>
    <row r="29" spans="1:58" s="2" customFormat="1" ht="18" customHeight="1">
      <c r="A29" s="15" t="str">
        <f>'Reference Score Calculation'!B40</f>
        <v>JS1072</v>
      </c>
      <c r="B29" s="4" t="str">
        <f>'Reference Score Calculation'!D40</f>
        <v>計算學院</v>
      </c>
      <c r="C29" s="23" t="str">
        <f>'Reference Score Calculation'!E40</f>
        <v>理學士(數據科學) (特點: 數據科學 / 機器學習 / 數據挖掘 / 大數據分析)</v>
      </c>
      <c r="D29" s="4" t="str">
        <f>'Reference Score Calculation'!S40</f>
        <v>BScDSC</v>
      </c>
      <c r="E29" s="352" t="str">
        <f>'Reference Score Calculation'!AC40</f>
        <v>3C2X</v>
      </c>
      <c r="F29" s="347" t="str">
        <f>'Reference Score Calculation'!F40</f>
        <v>3C2X</v>
      </c>
      <c r="G29" s="6">
        <f>'Reference Score Calculation'!I40</f>
        <v>29</v>
      </c>
      <c r="H29" s="6">
        <f>'Reference Score Calculation'!J40</f>
        <v>28</v>
      </c>
      <c r="I29" s="45">
        <f>計分版!J63</f>
        <v>2.8000000000000003E-9</v>
      </c>
      <c r="J29" s="176">
        <f t="shared" si="1"/>
        <v>-28.9999999972</v>
      </c>
      <c r="K29" s="181">
        <f t="shared" si="2"/>
        <v>-10357142856.142857</v>
      </c>
      <c r="L29" s="36">
        <f>'Reference Score Calculation'!U40</f>
        <v>27</v>
      </c>
      <c r="M29" s="84">
        <f>入學要求!Z49</f>
        <v>0</v>
      </c>
      <c r="N29" s="540"/>
      <c r="O29" s="160">
        <f>入學要求!L49</f>
        <v>3</v>
      </c>
      <c r="P29" s="160">
        <f>入學要求!M49</f>
        <v>3</v>
      </c>
      <c r="Q29" s="160">
        <f>入學要求!N49</f>
        <v>3</v>
      </c>
      <c r="R29" s="160">
        <f>入學要求!O49</f>
        <v>1</v>
      </c>
      <c r="S29" s="160">
        <f>入學要求!P49</f>
        <v>3</v>
      </c>
      <c r="T29" s="160">
        <f>入學要求!Q49</f>
        <v>3</v>
      </c>
      <c r="U29" s="236">
        <f>入學要求!S49</f>
        <v>0</v>
      </c>
      <c r="V29" s="236">
        <f>入學要求!T49</f>
        <v>0</v>
      </c>
      <c r="W29" s="236">
        <f>入學要求!U49</f>
        <v>0</v>
      </c>
      <c r="X29" s="236">
        <f>入學要求!V49</f>
        <v>0</v>
      </c>
      <c r="Y29" s="236">
        <f>入學要求!W49</f>
        <v>0</v>
      </c>
      <c r="Z29" s="236">
        <f>入學要求!X49</f>
        <v>0</v>
      </c>
      <c r="AA29" s="44">
        <f t="shared" si="3"/>
        <v>11.47</v>
      </c>
      <c r="AB29" s="537"/>
      <c r="AC29" s="36" cm="1">
        <f t="array" ref="AC29">IFERROR(INDEX('Offer Statistics'!$Q$2:$Q$500,MATCH(1,(CityU!$A29='Offer Statistics'!$B$2:$B$500)*(CityU!$AB$2='Offer Statistics'!$K$2:$K$500),0)),"/")</f>
        <v>18</v>
      </c>
      <c r="AD29" s="63" cm="1">
        <f t="array" ref="AD29">IFERROR(INDEX('Offer Statistics'!L$2:L$500,MATCH(1,(CityU!$A29='Offer Statistics'!$B$2:$B$500)*(CityU!$AB$2='Offer Statistics'!$K$2:$K$500),0)),"/")</f>
        <v>17</v>
      </c>
      <c r="AE29" s="63" cm="1">
        <f t="array" ref="AE29">IFERROR(INDEX('Offer Statistics'!M$2:M$500,MATCH(1,(CityU!$A29='Offer Statistics'!$B$2:$B$500)*(CityU!$AB$2='Offer Statistics'!$K$2:$K$500),0)),"/")</f>
        <v>1</v>
      </c>
      <c r="AF29" s="63" cm="1">
        <f t="array" ref="AF29">IFERROR(INDEX('Offer Statistics'!N$2:N$500,MATCH(1,(CityU!$A29='Offer Statistics'!$B$2:$B$500)*(CityU!$AB$2='Offer Statistics'!$K$2:$K$500),0)),"/")</f>
        <v>0</v>
      </c>
      <c r="AG29" s="63" cm="1">
        <f t="array" ref="AG29">IFERROR(INDEX('Offer Statistics'!O$2:O$500,MATCH(1,(CityU!$A29='Offer Statistics'!$B$2:$B$500)*(CityU!$AB$2='Offer Statistics'!$K$2:$K$500),0)),"/")</f>
        <v>0</v>
      </c>
      <c r="AH29" s="63" cm="1">
        <f t="array" ref="AH29">IFERROR(INDEX('Offer Statistics'!P$2:P$500,MATCH(1,(CityU!$A29='Offer Statistics'!$B$2:$B$500)*(CityU!$AB$2='Offer Statistics'!$K$2:$K$500),0)),"/")</f>
        <v>0</v>
      </c>
      <c r="AI29" s="538"/>
      <c r="AJ29" s="36" cm="1">
        <f t="array" ref="AJ29">IFERROR(INDEX('Offer Statistics'!$I$2:$I$500,MATCH(1,(CityU!$A29='Offer Statistics'!$B$2:$B$500)*(CityU!$AB$2='Offer Statistics'!$C$2:$C$500),0)),"/")</f>
        <v>1890</v>
      </c>
      <c r="AK29" s="63" cm="1">
        <f t="array" ref="AK29">IFERROR(INDEX('Offer Statistics'!D$2:D$500,MATCH(1,(CityU!$A29='Offer Statistics'!$B$2:$B$500)*(CityU!$AB$2='Offer Statistics'!$C$2:$C$500),0)),"/")</f>
        <v>195</v>
      </c>
      <c r="AL29" s="63" cm="1">
        <f t="array" ref="AL29">IFERROR(INDEX('Offer Statistics'!E$2:E$500,MATCH(1,(CityU!$A29='Offer Statistics'!$B$2:$B$500)*(CityU!$AB$2='Offer Statistics'!$C$2:$C$500),0)),"/")</f>
        <v>349</v>
      </c>
      <c r="AM29" s="63" cm="1">
        <f t="array" ref="AM29">IFERROR(INDEX('Offer Statistics'!F$2:F$500,MATCH(1,(CityU!$A29='Offer Statistics'!$B$2:$B$500)*(CityU!$AB$2='Offer Statistics'!$C$2:$C$500),0)),"/")</f>
        <v>501</v>
      </c>
      <c r="AN29" s="63" cm="1">
        <f t="array" ref="AN29">IFERROR(INDEX('Offer Statistics'!G$2:G$500,MATCH(1,(CityU!$A29='Offer Statistics'!$B$2:$B$500)*(CityU!$AB$2='Offer Statistics'!$C$2:$C$500),0)),"/")</f>
        <v>478</v>
      </c>
      <c r="AO29" s="63" cm="1">
        <f t="array" ref="AO29">IFERROR(INDEX('Offer Statistics'!H$2:H$500,MATCH(1,(CityU!$A29='Offer Statistics'!$B$2:$B$500)*(CityU!$AB$2='Offer Statistics'!$C$2:$C$500),0)),"/")</f>
        <v>367</v>
      </c>
      <c r="AP29" s="15"/>
      <c r="AQ29" s="15" t="str">
        <f t="shared" si="0"/>
        <v>JS1072</v>
      </c>
      <c r="AR29" s="4"/>
      <c r="AS29" s="4"/>
      <c r="AT29" s="4"/>
      <c r="AU29" s="4"/>
      <c r="AV29" s="4"/>
      <c r="AW29" s="4"/>
      <c r="AX29" s="4"/>
      <c r="AY29" s="4"/>
      <c r="AZ29" s="4"/>
      <c r="BA29" s="4"/>
      <c r="BB29" s="4"/>
      <c r="BC29" s="4"/>
      <c r="BD29" s="4"/>
      <c r="BE29" s="4"/>
      <c r="BF29" s="4"/>
    </row>
    <row r="30" spans="1:58" s="2" customFormat="1" ht="18" customHeight="1">
      <c r="A30" s="15" t="str">
        <f>'Reference Score Calculation'!B41</f>
        <v>JS1074</v>
      </c>
      <c r="B30" s="4" t="str">
        <f>'Reference Score Calculation'!D41</f>
        <v>計算學院</v>
      </c>
      <c r="C30" s="23" t="str">
        <f>'Reference Score Calculation'!E41</f>
        <v>理學士(數據與系統工程) (特點: 數據科學 / 金融科技 / 工業人工智能 / 智慧城市 / 物聯網)</v>
      </c>
      <c r="D30" s="4" t="str">
        <f>'Reference Score Calculation'!S41</f>
        <v>BScDSE</v>
      </c>
      <c r="E30" s="352" t="str">
        <f>'Reference Score Calculation'!AC41</f>
        <v>3C2X</v>
      </c>
      <c r="F30" s="347" t="str">
        <f>'Reference Score Calculation'!F41</f>
        <v>3C2X</v>
      </c>
      <c r="G30" s="6">
        <f>'Reference Score Calculation'!I41</f>
        <v>27</v>
      </c>
      <c r="H30" s="6">
        <f>'Reference Score Calculation'!J41</f>
        <v>27</v>
      </c>
      <c r="I30" s="45">
        <f>計分版!J64</f>
        <v>2.8000000000000003E-9</v>
      </c>
      <c r="J30" s="176">
        <f t="shared" si="1"/>
        <v>-26.9999999972</v>
      </c>
      <c r="K30" s="181">
        <f t="shared" si="2"/>
        <v>-9642857141.8571415</v>
      </c>
      <c r="L30" s="36">
        <f>'Reference Score Calculation'!U41</f>
        <v>17</v>
      </c>
      <c r="M30" s="84">
        <f>入學要求!Z50</f>
        <v>0</v>
      </c>
      <c r="N30" s="540"/>
      <c r="O30" s="160">
        <f>入學要求!L50</f>
        <v>3</v>
      </c>
      <c r="P30" s="160">
        <f>入學要求!M50</f>
        <v>3</v>
      </c>
      <c r="Q30" s="160">
        <f>入學要求!N50</f>
        <v>3</v>
      </c>
      <c r="R30" s="160">
        <f>入學要求!O50</f>
        <v>1</v>
      </c>
      <c r="S30" s="160">
        <f>入學要求!P50</f>
        <v>3</v>
      </c>
      <c r="T30" s="160">
        <f>入學要求!Q50</f>
        <v>3</v>
      </c>
      <c r="U30" s="236">
        <f>入學要求!S50</f>
        <v>0</v>
      </c>
      <c r="V30" s="236">
        <f>入學要求!T50</f>
        <v>0</v>
      </c>
      <c r="W30" s="236">
        <f>入學要求!U50</f>
        <v>0</v>
      </c>
      <c r="X30" s="236">
        <f>入學要求!V50</f>
        <v>0</v>
      </c>
      <c r="Y30" s="236">
        <f>入學要求!W50</f>
        <v>0</v>
      </c>
      <c r="Z30" s="236">
        <f>入學要求!X50</f>
        <v>0</v>
      </c>
      <c r="AA30" s="44">
        <f t="shared" si="3"/>
        <v>8.31</v>
      </c>
      <c r="AB30" s="537"/>
      <c r="AC30" s="36" cm="1">
        <f t="array" ref="AC30">IFERROR(INDEX('Offer Statistics'!$Q$2:$Q$500,MATCH(1,(CityU!$A30='Offer Statistics'!$B$2:$B$500)*(CityU!$AB$2='Offer Statistics'!$K$2:$K$500),0)),"/")</f>
        <v>16</v>
      </c>
      <c r="AD30" s="63" cm="1">
        <f t="array" ref="AD30">IFERROR(INDEX('Offer Statistics'!L$2:L$500,MATCH(1,(CityU!$A30='Offer Statistics'!$B$2:$B$500)*(CityU!$AB$2='Offer Statistics'!$K$2:$K$500),0)),"/")</f>
        <v>13</v>
      </c>
      <c r="AE30" s="63" cm="1">
        <f t="array" ref="AE30">IFERROR(INDEX('Offer Statistics'!M$2:M$500,MATCH(1,(CityU!$A30='Offer Statistics'!$B$2:$B$500)*(CityU!$AB$2='Offer Statistics'!$K$2:$K$500),0)),"/")</f>
        <v>1</v>
      </c>
      <c r="AF30" s="63" cm="1">
        <f t="array" ref="AF30">IFERROR(INDEX('Offer Statistics'!N$2:N$500,MATCH(1,(CityU!$A30='Offer Statistics'!$B$2:$B$500)*(CityU!$AB$2='Offer Statistics'!$K$2:$K$500),0)),"/")</f>
        <v>1</v>
      </c>
      <c r="AG30" s="63" cm="1">
        <f t="array" ref="AG30">IFERROR(INDEX('Offer Statistics'!O$2:O$500,MATCH(1,(CityU!$A30='Offer Statistics'!$B$2:$B$500)*(CityU!$AB$2='Offer Statistics'!$K$2:$K$500),0)),"/")</f>
        <v>0</v>
      </c>
      <c r="AH30" s="63" cm="1">
        <f t="array" ref="AH30">IFERROR(INDEX('Offer Statistics'!P$2:P$500,MATCH(1,(CityU!$A30='Offer Statistics'!$B$2:$B$500)*(CityU!$AB$2='Offer Statistics'!$K$2:$K$500),0)),"/")</f>
        <v>1</v>
      </c>
      <c r="AI30" s="538"/>
      <c r="AJ30" s="36" cm="1">
        <f t="array" ref="AJ30">IFERROR(INDEX('Offer Statistics'!$I$2:$I$500,MATCH(1,(CityU!$A30='Offer Statistics'!$B$2:$B$500)*(CityU!$AB$2='Offer Statistics'!$C$2:$C$500),0)),"/")</f>
        <v>1545</v>
      </c>
      <c r="AK30" s="63" cm="1">
        <f t="array" ref="AK30">IFERROR(INDEX('Offer Statistics'!D$2:D$500,MATCH(1,(CityU!$A30='Offer Statistics'!$B$2:$B$500)*(CityU!$AB$2='Offer Statistics'!$C$2:$C$500),0)),"/")</f>
        <v>108</v>
      </c>
      <c r="AL30" s="63" cm="1">
        <f t="array" ref="AL30">IFERROR(INDEX('Offer Statistics'!E$2:E$500,MATCH(1,(CityU!$A30='Offer Statistics'!$B$2:$B$500)*(CityU!$AB$2='Offer Statistics'!$C$2:$C$500),0)),"/")</f>
        <v>224</v>
      </c>
      <c r="AM30" s="63" cm="1">
        <f t="array" ref="AM30">IFERROR(INDEX('Offer Statistics'!F$2:F$500,MATCH(1,(CityU!$A30='Offer Statistics'!$B$2:$B$500)*(CityU!$AB$2='Offer Statistics'!$C$2:$C$500),0)),"/")</f>
        <v>379</v>
      </c>
      <c r="AN30" s="63" cm="1">
        <f t="array" ref="AN30">IFERROR(INDEX('Offer Statistics'!G$2:G$500,MATCH(1,(CityU!$A30='Offer Statistics'!$B$2:$B$500)*(CityU!$AB$2='Offer Statistics'!$C$2:$C$500),0)),"/")</f>
        <v>483</v>
      </c>
      <c r="AO30" s="63" cm="1">
        <f t="array" ref="AO30">IFERROR(INDEX('Offer Statistics'!H$2:H$500,MATCH(1,(CityU!$A30='Offer Statistics'!$B$2:$B$500)*(CityU!$AB$2='Offer Statistics'!$C$2:$C$500),0)),"/")</f>
        <v>351</v>
      </c>
      <c r="AP30" s="15"/>
      <c r="AQ30" s="15" t="str">
        <f t="shared" si="0"/>
        <v>JS1074</v>
      </c>
      <c r="AR30" s="4"/>
      <c r="AS30" s="4"/>
      <c r="AT30" s="4"/>
      <c r="AU30" s="4"/>
      <c r="AV30" s="4"/>
      <c r="AW30" s="4"/>
      <c r="AX30" s="4"/>
      <c r="AY30" s="4"/>
      <c r="AZ30" s="4"/>
      <c r="BA30" s="4"/>
      <c r="BB30" s="4"/>
      <c r="BC30" s="4"/>
      <c r="BD30" s="4"/>
      <c r="BE30" s="4"/>
      <c r="BF30" s="4"/>
    </row>
    <row r="31" spans="1:58" s="2" customFormat="1" ht="18" customHeight="1">
      <c r="A31" s="15" t="str">
        <f>'Reference Score Calculation'!B42</f>
        <v>JS1100</v>
      </c>
      <c r="B31" s="4" t="str">
        <f>'Reference Score Calculation'!D42</f>
        <v>人文社會科學院</v>
      </c>
      <c r="C31" s="23" t="str">
        <f>'Reference Score Calculation'!E42</f>
        <v>社會科學學士(心理學) (專修: 康健與關懷管理課程)</v>
      </c>
      <c r="D31" s="4" t="str">
        <f>'Reference Score Calculation'!S42</f>
        <v>WE-CARE</v>
      </c>
      <c r="E31" s="352" t="str">
        <f>'Reference Score Calculation'!AC42</f>
        <v>Best 4</v>
      </c>
      <c r="F31" s="443" t="str">
        <f>'Reference Score Calculation'!F42</f>
        <v>25年新科目</v>
      </c>
      <c r="G31" s="6" t="str">
        <f>'Reference Score Calculation'!I42</f>
        <v>/</v>
      </c>
      <c r="H31" s="6" t="str">
        <f>'Reference Score Calculation'!J42</f>
        <v>/</v>
      </c>
      <c r="I31" s="45">
        <f>計分版!J65</f>
        <v>3.0000000000000004E-9</v>
      </c>
      <c r="J31" s="237" t="str">
        <f t="shared" si="1"/>
        <v>/</v>
      </c>
      <c r="K31" s="238" t="str">
        <f t="shared" si="2"/>
        <v>/</v>
      </c>
      <c r="L31" s="36">
        <f>'Reference Score Calculation'!U42</f>
        <v>10</v>
      </c>
      <c r="M31" s="84">
        <f>入學要求!Z51</f>
        <v>0</v>
      </c>
      <c r="N31" s="540"/>
      <c r="O31" s="160">
        <f>入學要求!L51</f>
        <v>3</v>
      </c>
      <c r="P31" s="160">
        <f>入學要求!M51</f>
        <v>3</v>
      </c>
      <c r="Q31" s="160">
        <f>入學要求!N51</f>
        <v>2</v>
      </c>
      <c r="R31" s="160">
        <f>入學要求!O51</f>
        <v>1</v>
      </c>
      <c r="S31" s="160">
        <f>入學要求!P51</f>
        <v>3</v>
      </c>
      <c r="T31" s="160">
        <f>入學要求!Q51</f>
        <v>3</v>
      </c>
      <c r="U31" s="236">
        <f>入學要求!S51</f>
        <v>0</v>
      </c>
      <c r="V31" s="236">
        <f>入學要求!T51</f>
        <v>0</v>
      </c>
      <c r="W31" s="236">
        <f>入學要求!U51</f>
        <v>0</v>
      </c>
      <c r="X31" s="236">
        <f>入學要求!V51</f>
        <v>0</v>
      </c>
      <c r="Y31" s="236">
        <f>入學要求!W51</f>
        <v>0</v>
      </c>
      <c r="Z31" s="236">
        <f>入學要求!X51</f>
        <v>0</v>
      </c>
      <c r="AA31" s="44" t="str">
        <f t="shared" si="3"/>
        <v>/</v>
      </c>
      <c r="AB31" s="537"/>
      <c r="AC31" s="36" t="str" cm="1">
        <f t="array" ref="AC31">IFERROR(INDEX('Offer Statistics'!$Q$2:$Q$500,MATCH(1,(CityU!$A31='Offer Statistics'!$B$2:$B$500)*(CityU!$AB$2='Offer Statistics'!$K$2:$K$500),0)),"/")</f>
        <v>/</v>
      </c>
      <c r="AD31" s="63" t="str" cm="1">
        <f t="array" ref="AD31">IFERROR(INDEX('Offer Statistics'!L$2:L$500,MATCH(1,(CityU!$A31='Offer Statistics'!$B$2:$B$500)*(CityU!$AB$2='Offer Statistics'!$K$2:$K$500),0)),"/")</f>
        <v>/</v>
      </c>
      <c r="AE31" s="63" t="str" cm="1">
        <f t="array" ref="AE31">IFERROR(INDEX('Offer Statistics'!M$2:M$500,MATCH(1,(CityU!$A31='Offer Statistics'!$B$2:$B$500)*(CityU!$AB$2='Offer Statistics'!$K$2:$K$500),0)),"/")</f>
        <v>/</v>
      </c>
      <c r="AF31" s="63" t="str" cm="1">
        <f t="array" ref="AF31">IFERROR(INDEX('Offer Statistics'!N$2:N$500,MATCH(1,(CityU!$A31='Offer Statistics'!$B$2:$B$500)*(CityU!$AB$2='Offer Statistics'!$K$2:$K$500),0)),"/")</f>
        <v>/</v>
      </c>
      <c r="AG31" s="63" t="str" cm="1">
        <f t="array" ref="AG31">IFERROR(INDEX('Offer Statistics'!O$2:O$500,MATCH(1,(CityU!$A31='Offer Statistics'!$B$2:$B$500)*(CityU!$AB$2='Offer Statistics'!$K$2:$K$500),0)),"/")</f>
        <v>/</v>
      </c>
      <c r="AH31" s="63" t="str" cm="1">
        <f t="array" ref="AH31">IFERROR(INDEX('Offer Statistics'!P$2:P$500,MATCH(1,(CityU!$A31='Offer Statistics'!$B$2:$B$500)*(CityU!$AB$2='Offer Statistics'!$K$2:$K$500),0)),"/")</f>
        <v>/</v>
      </c>
      <c r="AI31" s="538"/>
      <c r="AJ31" s="36" t="str" cm="1">
        <f t="array" ref="AJ31">IFERROR(INDEX('Offer Statistics'!$I$2:$I$500,MATCH(1,(CityU!$A31='Offer Statistics'!$B$2:$B$500)*(CityU!$AB$2='Offer Statistics'!$C$2:$C$500),0)),"/")</f>
        <v>/</v>
      </c>
      <c r="AK31" s="63" t="str" cm="1">
        <f t="array" ref="AK31">IFERROR(INDEX('Offer Statistics'!D$2:D$500,MATCH(1,(CityU!$A31='Offer Statistics'!$B$2:$B$500)*(CityU!$AB$2='Offer Statistics'!$C$2:$C$500),0)),"/")</f>
        <v>/</v>
      </c>
      <c r="AL31" s="63" t="str" cm="1">
        <f t="array" ref="AL31">IFERROR(INDEX('Offer Statistics'!E$2:E$500,MATCH(1,(CityU!$A31='Offer Statistics'!$B$2:$B$500)*(CityU!$AB$2='Offer Statistics'!$C$2:$C$500),0)),"/")</f>
        <v>/</v>
      </c>
      <c r="AM31" s="63" t="str" cm="1">
        <f t="array" ref="AM31">IFERROR(INDEX('Offer Statistics'!F$2:F$500,MATCH(1,(CityU!$A31='Offer Statistics'!$B$2:$B$500)*(CityU!$AB$2='Offer Statistics'!$C$2:$C$500),0)),"/")</f>
        <v>/</v>
      </c>
      <c r="AN31" s="63" t="str" cm="1">
        <f t="array" ref="AN31">IFERROR(INDEX('Offer Statistics'!G$2:G$500,MATCH(1,(CityU!$A31='Offer Statistics'!$B$2:$B$500)*(CityU!$AB$2='Offer Statistics'!$C$2:$C$500),0)),"/")</f>
        <v>/</v>
      </c>
      <c r="AO31" s="63" t="str" cm="1">
        <f t="array" ref="AO31">IFERROR(INDEX('Offer Statistics'!H$2:H$500,MATCH(1,(CityU!$A31='Offer Statistics'!$B$2:$B$500)*(CityU!$AB$2='Offer Statistics'!$C$2:$C$500),0)),"/")</f>
        <v>/</v>
      </c>
      <c r="AP31" s="15"/>
      <c r="AQ31" s="15" t="str">
        <f t="shared" si="0"/>
        <v>JS1100</v>
      </c>
      <c r="AR31" s="4"/>
      <c r="AS31" s="4"/>
      <c r="AT31" s="4"/>
      <c r="AU31" s="4"/>
      <c r="AV31" s="4"/>
      <c r="AW31" s="4"/>
      <c r="AX31" s="4"/>
      <c r="AY31" s="4"/>
      <c r="AZ31" s="4"/>
      <c r="BA31" s="4"/>
      <c r="BB31" s="4"/>
      <c r="BC31" s="4"/>
      <c r="BD31" s="4"/>
      <c r="BE31" s="4"/>
      <c r="BF31" s="4"/>
    </row>
    <row r="32" spans="1:58" s="2" customFormat="1" ht="18" customHeight="1">
      <c r="A32" s="15" t="str">
        <f>'Reference Score Calculation'!B43</f>
        <v>JS1102</v>
      </c>
      <c r="B32" s="4" t="str">
        <f>'Reference Score Calculation'!D43</f>
        <v>人文社會科學院</v>
      </c>
      <c r="C32" s="23" t="str">
        <f>'Reference Score Calculation'!E43</f>
        <v>社會科學學士(國際關係及全球事務) (專修: 亞洲研究 / 國際研究 / 發展研究)</v>
      </c>
      <c r="D32" s="4" t="str">
        <f>'Reference Score Calculation'!S43</f>
        <v>BSocScIRGA</v>
      </c>
      <c r="E32" s="352" t="str">
        <f>'Reference Score Calculation'!AC43</f>
        <v>Best 5</v>
      </c>
      <c r="F32" s="347" t="str">
        <f>'Reference Score Calculation'!F43</f>
        <v>Best 5</v>
      </c>
      <c r="G32" s="6">
        <f>'Reference Score Calculation'!I43</f>
        <v>24</v>
      </c>
      <c r="H32" s="6">
        <f>'Reference Score Calculation'!J43</f>
        <v>23.5</v>
      </c>
      <c r="I32" s="45">
        <f>計分版!J66</f>
        <v>3.2999999999999998E-9</v>
      </c>
      <c r="J32" s="176">
        <f t="shared" si="1"/>
        <v>-23.999999996700002</v>
      </c>
      <c r="K32" s="181">
        <f t="shared" si="2"/>
        <v>-7272727271.7272739</v>
      </c>
      <c r="L32" s="36">
        <f>'Reference Score Calculation'!U43</f>
        <v>20</v>
      </c>
      <c r="M32" s="84">
        <f>入學要求!Z52</f>
        <v>0</v>
      </c>
      <c r="N32" s="540"/>
      <c r="O32" s="160">
        <f>入學要求!L52</f>
        <v>3</v>
      </c>
      <c r="P32" s="160">
        <f>入學要求!M52</f>
        <v>3</v>
      </c>
      <c r="Q32" s="160">
        <f>入學要求!N52</f>
        <v>2</v>
      </c>
      <c r="R32" s="160">
        <f>入學要求!O52</f>
        <v>1</v>
      </c>
      <c r="S32" s="160">
        <f>入學要求!P52</f>
        <v>3</v>
      </c>
      <c r="T32" s="160">
        <f>入學要求!Q52</f>
        <v>3</v>
      </c>
      <c r="U32" s="236">
        <f>入學要求!S52</f>
        <v>0</v>
      </c>
      <c r="V32" s="236">
        <f>入學要求!T52</f>
        <v>0</v>
      </c>
      <c r="W32" s="236">
        <f>入學要求!U52</f>
        <v>0</v>
      </c>
      <c r="X32" s="236">
        <f>入學要求!V52</f>
        <v>0</v>
      </c>
      <c r="Y32" s="236">
        <f>入學要求!W52</f>
        <v>0</v>
      </c>
      <c r="Z32" s="236">
        <f>入學要求!X52</f>
        <v>0</v>
      </c>
      <c r="AA32" s="44">
        <f t="shared" si="3"/>
        <v>21.08</v>
      </c>
      <c r="AB32" s="537"/>
      <c r="AC32" s="36" cm="1">
        <f t="array" ref="AC32">IFERROR(INDEX('Offer Statistics'!$Q$2:$Q$500,MATCH(1,(CityU!$A32='Offer Statistics'!$B$2:$B$500)*(CityU!$AB$2='Offer Statistics'!$K$2:$K$500),0)),"/")</f>
        <v>17</v>
      </c>
      <c r="AD32" s="63" cm="1">
        <f t="array" ref="AD32">IFERROR(INDEX('Offer Statistics'!L$2:L$500,MATCH(1,(CityU!$A32='Offer Statistics'!$B$2:$B$500)*(CityU!$AB$2='Offer Statistics'!$K$2:$K$500),0)),"/")</f>
        <v>13</v>
      </c>
      <c r="AE32" s="63" cm="1">
        <f t="array" ref="AE32">IFERROR(INDEX('Offer Statistics'!M$2:M$500,MATCH(1,(CityU!$A32='Offer Statistics'!$B$2:$B$500)*(CityU!$AB$2='Offer Statistics'!$K$2:$K$500),0)),"/")</f>
        <v>2</v>
      </c>
      <c r="AF32" s="63" cm="1">
        <f t="array" ref="AF32">IFERROR(INDEX('Offer Statistics'!N$2:N$500,MATCH(1,(CityU!$A32='Offer Statistics'!$B$2:$B$500)*(CityU!$AB$2='Offer Statistics'!$K$2:$K$500),0)),"/")</f>
        <v>1</v>
      </c>
      <c r="AG32" s="63" cm="1">
        <f t="array" ref="AG32">IFERROR(INDEX('Offer Statistics'!O$2:O$500,MATCH(1,(CityU!$A32='Offer Statistics'!$B$2:$B$500)*(CityU!$AB$2='Offer Statistics'!$K$2:$K$500),0)),"/")</f>
        <v>1</v>
      </c>
      <c r="AH32" s="63" cm="1">
        <f t="array" ref="AH32">IFERROR(INDEX('Offer Statistics'!P$2:P$500,MATCH(1,(CityU!$A32='Offer Statistics'!$B$2:$B$500)*(CityU!$AB$2='Offer Statistics'!$K$2:$K$500),0)),"/")</f>
        <v>0</v>
      </c>
      <c r="AI32" s="538"/>
      <c r="AJ32" s="36" cm="1">
        <f t="array" ref="AJ32">IFERROR(INDEX('Offer Statistics'!$I$2:$I$500,MATCH(1,(CityU!$A32='Offer Statistics'!$B$2:$B$500)*(CityU!$AB$2='Offer Statistics'!$C$2:$C$500),0)),"/")</f>
        <v>2473</v>
      </c>
      <c r="AK32" s="63" cm="1">
        <f t="array" ref="AK32">IFERROR(INDEX('Offer Statistics'!D$2:D$500,MATCH(1,(CityU!$A32='Offer Statistics'!$B$2:$B$500)*(CityU!$AB$2='Offer Statistics'!$C$2:$C$500),0)),"/")</f>
        <v>274</v>
      </c>
      <c r="AL32" s="63" cm="1">
        <f t="array" ref="AL32">IFERROR(INDEX('Offer Statistics'!E$2:E$500,MATCH(1,(CityU!$A32='Offer Statistics'!$B$2:$B$500)*(CityU!$AB$2='Offer Statistics'!$C$2:$C$500),0)),"/")</f>
        <v>389</v>
      </c>
      <c r="AM32" s="63" cm="1">
        <f t="array" ref="AM32">IFERROR(INDEX('Offer Statistics'!F$2:F$500,MATCH(1,(CityU!$A32='Offer Statistics'!$B$2:$B$500)*(CityU!$AB$2='Offer Statistics'!$C$2:$C$500),0)),"/")</f>
        <v>556</v>
      </c>
      <c r="AN32" s="63" cm="1">
        <f t="array" ref="AN32">IFERROR(INDEX('Offer Statistics'!G$2:G$500,MATCH(1,(CityU!$A32='Offer Statistics'!$B$2:$B$500)*(CityU!$AB$2='Offer Statistics'!$C$2:$C$500),0)),"/")</f>
        <v>738</v>
      </c>
      <c r="AO32" s="63" cm="1">
        <f t="array" ref="AO32">IFERROR(INDEX('Offer Statistics'!H$2:H$500,MATCH(1,(CityU!$A32='Offer Statistics'!$B$2:$B$500)*(CityU!$AB$2='Offer Statistics'!$C$2:$C$500),0)),"/")</f>
        <v>516</v>
      </c>
      <c r="AP32" s="15"/>
      <c r="AQ32" s="15" t="str">
        <f t="shared" si="0"/>
        <v>JS1102</v>
      </c>
      <c r="AR32" s="4"/>
      <c r="AS32" s="4"/>
      <c r="AT32" s="4"/>
      <c r="AU32" s="4"/>
      <c r="AV32" s="4"/>
      <c r="AW32" s="4"/>
      <c r="AX32" s="4"/>
      <c r="AY32" s="4"/>
      <c r="AZ32" s="4"/>
      <c r="BA32" s="4"/>
      <c r="BB32" s="4"/>
      <c r="BC32" s="4"/>
      <c r="BD32" s="4"/>
      <c r="BE32" s="4"/>
      <c r="BF32" s="4"/>
    </row>
    <row r="33" spans="1:58" s="2" customFormat="1" ht="18" customHeight="1">
      <c r="A33" s="15" t="str">
        <f>'Reference Score Calculation'!B44</f>
        <v>JS1103</v>
      </c>
      <c r="B33" s="4" t="str">
        <f>'Reference Score Calculation'!D44</f>
        <v>人文社會科學院</v>
      </c>
      <c r="C33" s="23" t="str">
        <f>'Reference Score Calculation'!E44</f>
        <v>文學士(中文及歷史) (專修: 中文 / 歷史及文化遺產)</v>
      </c>
      <c r="D33" s="4" t="str">
        <f>'Reference Score Calculation'!S44</f>
        <v>BACHIS</v>
      </c>
      <c r="E33" s="352" t="str">
        <f>'Reference Score Calculation'!AC44</f>
        <v>3C2X</v>
      </c>
      <c r="F33" s="347" t="str">
        <f>'Reference Score Calculation'!F44</f>
        <v>3C2X</v>
      </c>
      <c r="G33" s="6">
        <f>'Reference Score Calculation'!I44</f>
        <v>34</v>
      </c>
      <c r="H33" s="6">
        <f>'Reference Score Calculation'!J44</f>
        <v>33</v>
      </c>
      <c r="I33" s="45">
        <f>計分版!J67</f>
        <v>2.6000000000000001E-9</v>
      </c>
      <c r="J33" s="176">
        <f t="shared" si="1"/>
        <v>-33.999999997400003</v>
      </c>
      <c r="K33" s="181">
        <f t="shared" si="2"/>
        <v>-13076923075.923079</v>
      </c>
      <c r="L33" s="36">
        <f>'Reference Score Calculation'!U44</f>
        <v>40</v>
      </c>
      <c r="M33" s="84">
        <f>入學要求!Z53</f>
        <v>0</v>
      </c>
      <c r="N33" s="540"/>
      <c r="O33" s="160">
        <f>入學要求!L53</f>
        <v>3</v>
      </c>
      <c r="P33" s="160">
        <f>入學要求!M53</f>
        <v>3</v>
      </c>
      <c r="Q33" s="160">
        <f>入學要求!N53</f>
        <v>2</v>
      </c>
      <c r="R33" s="160">
        <f>入學要求!O53</f>
        <v>1</v>
      </c>
      <c r="S33" s="160">
        <f>入學要求!P53</f>
        <v>3</v>
      </c>
      <c r="T33" s="160">
        <f>入學要求!Q53</f>
        <v>3</v>
      </c>
      <c r="U33" s="236">
        <f>入學要求!S53</f>
        <v>0</v>
      </c>
      <c r="V33" s="236">
        <f>入學要求!T53</f>
        <v>0</v>
      </c>
      <c r="W33" s="236">
        <f>入學要求!U53</f>
        <v>0</v>
      </c>
      <c r="X33" s="236">
        <f>入學要求!V53</f>
        <v>0</v>
      </c>
      <c r="Y33" s="236">
        <f>入學要求!W53</f>
        <v>0</v>
      </c>
      <c r="Z33" s="236">
        <f>入學要求!X53</f>
        <v>0</v>
      </c>
      <c r="AA33" s="44">
        <f t="shared" si="3"/>
        <v>14.71</v>
      </c>
      <c r="AB33" s="537"/>
      <c r="AC33" s="36" cm="1">
        <f t="array" ref="AC33">IFERROR(INDEX('Offer Statistics'!$Q$2:$Q$500,MATCH(1,(CityU!$A33='Offer Statistics'!$B$2:$B$500)*(CityU!$AB$2='Offer Statistics'!$K$2:$K$500),0)),"/")</f>
        <v>37</v>
      </c>
      <c r="AD33" s="63" cm="1">
        <f t="array" ref="AD33">IFERROR(INDEX('Offer Statistics'!L$2:L$500,MATCH(1,(CityU!$A33='Offer Statistics'!$B$2:$B$500)*(CityU!$AB$2='Offer Statistics'!$K$2:$K$500),0)),"/")</f>
        <v>34</v>
      </c>
      <c r="AE33" s="63" cm="1">
        <f t="array" ref="AE33">IFERROR(INDEX('Offer Statistics'!M$2:M$500,MATCH(1,(CityU!$A33='Offer Statistics'!$B$2:$B$500)*(CityU!$AB$2='Offer Statistics'!$K$2:$K$500),0)),"/")</f>
        <v>2</v>
      </c>
      <c r="AF33" s="63" cm="1">
        <f t="array" ref="AF33">IFERROR(INDEX('Offer Statistics'!N$2:N$500,MATCH(1,(CityU!$A33='Offer Statistics'!$B$2:$B$500)*(CityU!$AB$2='Offer Statistics'!$K$2:$K$500),0)),"/")</f>
        <v>0</v>
      </c>
      <c r="AG33" s="63" cm="1">
        <f t="array" ref="AG33">IFERROR(INDEX('Offer Statistics'!O$2:O$500,MATCH(1,(CityU!$A33='Offer Statistics'!$B$2:$B$500)*(CityU!$AB$2='Offer Statistics'!$K$2:$K$500),0)),"/")</f>
        <v>0</v>
      </c>
      <c r="AH33" s="63" cm="1">
        <f t="array" ref="AH33">IFERROR(INDEX('Offer Statistics'!P$2:P$500,MATCH(1,(CityU!$A33='Offer Statistics'!$B$2:$B$500)*(CityU!$AB$2='Offer Statistics'!$K$2:$K$500),0)),"/")</f>
        <v>1</v>
      </c>
      <c r="AI33" s="538"/>
      <c r="AJ33" s="36" cm="1">
        <f t="array" ref="AJ33">IFERROR(INDEX('Offer Statistics'!$I$2:$I$500,MATCH(1,(CityU!$A33='Offer Statistics'!$B$2:$B$500)*(CityU!$AB$2='Offer Statistics'!$C$2:$C$500),0)),"/")</f>
        <v>2627</v>
      </c>
      <c r="AK33" s="63" cm="1">
        <f t="array" ref="AK33">IFERROR(INDEX('Offer Statistics'!D$2:D$500,MATCH(1,(CityU!$A33='Offer Statistics'!$B$2:$B$500)*(CityU!$AB$2='Offer Statistics'!$C$2:$C$500),0)),"/")</f>
        <v>500</v>
      </c>
      <c r="AL33" s="63" cm="1">
        <f t="array" ref="AL33">IFERROR(INDEX('Offer Statistics'!E$2:E$500,MATCH(1,(CityU!$A33='Offer Statistics'!$B$2:$B$500)*(CityU!$AB$2='Offer Statistics'!$C$2:$C$500),0)),"/")</f>
        <v>543</v>
      </c>
      <c r="AM33" s="63" cm="1">
        <f t="array" ref="AM33">IFERROR(INDEX('Offer Statistics'!F$2:F$500,MATCH(1,(CityU!$A33='Offer Statistics'!$B$2:$B$500)*(CityU!$AB$2='Offer Statistics'!$C$2:$C$500),0)),"/")</f>
        <v>596</v>
      </c>
      <c r="AN33" s="63" cm="1">
        <f t="array" ref="AN33">IFERROR(INDEX('Offer Statistics'!G$2:G$500,MATCH(1,(CityU!$A33='Offer Statistics'!$B$2:$B$500)*(CityU!$AB$2='Offer Statistics'!$C$2:$C$500),0)),"/")</f>
        <v>595</v>
      </c>
      <c r="AO33" s="63" cm="1">
        <f t="array" ref="AO33">IFERROR(INDEX('Offer Statistics'!H$2:H$500,MATCH(1,(CityU!$A33='Offer Statistics'!$B$2:$B$500)*(CityU!$AB$2='Offer Statistics'!$C$2:$C$500),0)),"/")</f>
        <v>393</v>
      </c>
      <c r="AP33" s="15"/>
      <c r="AQ33" s="15" t="str">
        <f t="shared" si="0"/>
        <v>JS1103</v>
      </c>
      <c r="AR33" s="4"/>
      <c r="AS33" s="4"/>
      <c r="AT33" s="4"/>
      <c r="AU33" s="4"/>
      <c r="AV33" s="4"/>
      <c r="AW33" s="4"/>
      <c r="AX33" s="4"/>
      <c r="AY33" s="4"/>
      <c r="AZ33" s="4"/>
      <c r="BA33" s="4"/>
      <c r="BB33" s="4"/>
      <c r="BC33" s="4"/>
      <c r="BD33" s="4"/>
      <c r="BE33" s="4"/>
      <c r="BF33" s="4"/>
    </row>
    <row r="34" spans="1:58" s="2" customFormat="1" ht="18" customHeight="1">
      <c r="A34" s="15" t="str">
        <f>'Reference Score Calculation'!B45</f>
        <v>JS1104</v>
      </c>
      <c r="B34" s="4" t="str">
        <f>'Reference Score Calculation'!D45</f>
        <v>人文社會科學院</v>
      </c>
      <c r="C34" s="23" t="str">
        <f>'Reference Score Calculation'!E45</f>
        <v>文學士(英語語言) (專修: 英語及專業傳意 / 語言及文學)</v>
      </c>
      <c r="D34" s="4" t="str">
        <f>'Reference Score Calculation'!S45</f>
        <v>BAEN</v>
      </c>
      <c r="E34" s="352" t="str">
        <f>'Reference Score Calculation'!AC45</f>
        <v>Best 5</v>
      </c>
      <c r="F34" s="347" t="str">
        <f>'Reference Score Calculation'!F45</f>
        <v>Best 5</v>
      </c>
      <c r="G34" s="6">
        <f>'Reference Score Calculation'!I45</f>
        <v>32.5</v>
      </c>
      <c r="H34" s="6">
        <f>'Reference Score Calculation'!J45</f>
        <v>30.5</v>
      </c>
      <c r="I34" s="45">
        <f>計分版!J68</f>
        <v>3.4999999999999999E-9</v>
      </c>
      <c r="J34" s="176">
        <f t="shared" si="1"/>
        <v>-32.499999996500001</v>
      </c>
      <c r="K34" s="181">
        <f t="shared" si="2"/>
        <v>-9285714284.7142868</v>
      </c>
      <c r="L34" s="36">
        <f>'Reference Score Calculation'!U45</f>
        <v>25</v>
      </c>
      <c r="M34" s="84">
        <f>入學要求!Z54</f>
        <v>0</v>
      </c>
      <c r="N34" s="540"/>
      <c r="O34" s="160">
        <f>入學要求!L54</f>
        <v>3</v>
      </c>
      <c r="P34" s="160">
        <f>入學要求!M54</f>
        <v>3</v>
      </c>
      <c r="Q34" s="160">
        <f>入學要求!N54</f>
        <v>2</v>
      </c>
      <c r="R34" s="160">
        <f>入學要求!O54</f>
        <v>1</v>
      </c>
      <c r="S34" s="160">
        <f>入學要求!P54</f>
        <v>3</v>
      </c>
      <c r="T34" s="160">
        <f>入學要求!Q54</f>
        <v>3</v>
      </c>
      <c r="U34" s="236">
        <f>入學要求!S54</f>
        <v>0</v>
      </c>
      <c r="V34" s="236">
        <f>入學要求!T54</f>
        <v>0</v>
      </c>
      <c r="W34" s="236">
        <f>入學要求!U54</f>
        <v>0</v>
      </c>
      <c r="X34" s="236">
        <f>入學要求!V54</f>
        <v>0</v>
      </c>
      <c r="Y34" s="236">
        <f>入學要求!W54</f>
        <v>0</v>
      </c>
      <c r="Z34" s="236">
        <f>入學要求!X54</f>
        <v>0</v>
      </c>
      <c r="AA34" s="44">
        <f t="shared" si="3"/>
        <v>8.6</v>
      </c>
      <c r="AB34" s="537"/>
      <c r="AC34" s="36" cm="1">
        <f t="array" ref="AC34">IFERROR(INDEX('Offer Statistics'!$Q$2:$Q$500,MATCH(1,(CityU!$A34='Offer Statistics'!$B$2:$B$500)*(CityU!$AB$2='Offer Statistics'!$K$2:$K$500),0)),"/")</f>
        <v>28</v>
      </c>
      <c r="AD34" s="63" cm="1">
        <f t="array" ref="AD34">IFERROR(INDEX('Offer Statistics'!L$2:L$500,MATCH(1,(CityU!$A34='Offer Statistics'!$B$2:$B$500)*(CityU!$AB$2='Offer Statistics'!$K$2:$K$500),0)),"/")</f>
        <v>20</v>
      </c>
      <c r="AE34" s="63" cm="1">
        <f t="array" ref="AE34">IFERROR(INDEX('Offer Statistics'!M$2:M$500,MATCH(1,(CityU!$A34='Offer Statistics'!$B$2:$B$500)*(CityU!$AB$2='Offer Statistics'!$K$2:$K$500),0)),"/")</f>
        <v>6</v>
      </c>
      <c r="AF34" s="63" cm="1">
        <f t="array" ref="AF34">IFERROR(INDEX('Offer Statistics'!N$2:N$500,MATCH(1,(CityU!$A34='Offer Statistics'!$B$2:$B$500)*(CityU!$AB$2='Offer Statistics'!$K$2:$K$500),0)),"/")</f>
        <v>1</v>
      </c>
      <c r="AG34" s="63" cm="1">
        <f t="array" ref="AG34">IFERROR(INDEX('Offer Statistics'!O$2:O$500,MATCH(1,(CityU!$A34='Offer Statistics'!$B$2:$B$500)*(CityU!$AB$2='Offer Statistics'!$K$2:$K$500),0)),"/")</f>
        <v>0</v>
      </c>
      <c r="AH34" s="63" cm="1">
        <f t="array" ref="AH34">IFERROR(INDEX('Offer Statistics'!P$2:P$500,MATCH(1,(CityU!$A34='Offer Statistics'!$B$2:$B$500)*(CityU!$AB$2='Offer Statistics'!$K$2:$K$500),0)),"/")</f>
        <v>1</v>
      </c>
      <c r="AI34" s="538"/>
      <c r="AJ34" s="36" cm="1">
        <f t="array" ref="AJ34">IFERROR(INDEX('Offer Statistics'!$I$2:$I$500,MATCH(1,(CityU!$A34='Offer Statistics'!$B$2:$B$500)*(CityU!$AB$2='Offer Statistics'!$C$2:$C$500),0)),"/")</f>
        <v>1129</v>
      </c>
      <c r="AK34" s="63" cm="1">
        <f t="array" ref="AK34">IFERROR(INDEX('Offer Statistics'!D$2:D$500,MATCH(1,(CityU!$A34='Offer Statistics'!$B$2:$B$500)*(CityU!$AB$2='Offer Statistics'!$C$2:$C$500),0)),"/")</f>
        <v>172</v>
      </c>
      <c r="AL34" s="63" cm="1">
        <f t="array" ref="AL34">IFERROR(INDEX('Offer Statistics'!E$2:E$500,MATCH(1,(CityU!$A34='Offer Statistics'!$B$2:$B$500)*(CityU!$AB$2='Offer Statistics'!$C$2:$C$500),0)),"/")</f>
        <v>243</v>
      </c>
      <c r="AM34" s="63" cm="1">
        <f t="array" ref="AM34">IFERROR(INDEX('Offer Statistics'!F$2:F$500,MATCH(1,(CityU!$A34='Offer Statistics'!$B$2:$B$500)*(CityU!$AB$2='Offer Statistics'!$C$2:$C$500),0)),"/")</f>
        <v>273</v>
      </c>
      <c r="AN34" s="63" cm="1">
        <f t="array" ref="AN34">IFERROR(INDEX('Offer Statistics'!G$2:G$500,MATCH(1,(CityU!$A34='Offer Statistics'!$B$2:$B$500)*(CityU!$AB$2='Offer Statistics'!$C$2:$C$500),0)),"/")</f>
        <v>260</v>
      </c>
      <c r="AO34" s="63" cm="1">
        <f t="array" ref="AO34">IFERROR(INDEX('Offer Statistics'!H$2:H$500,MATCH(1,(CityU!$A34='Offer Statistics'!$B$2:$B$500)*(CityU!$AB$2='Offer Statistics'!$C$2:$C$500),0)),"/")</f>
        <v>181</v>
      </c>
      <c r="AP34" s="15"/>
      <c r="AQ34" s="15" t="str">
        <f t="shared" si="0"/>
        <v>JS1104</v>
      </c>
      <c r="AR34" s="4"/>
      <c r="AS34" s="4"/>
      <c r="AT34" s="4"/>
      <c r="AU34" s="4"/>
      <c r="AV34" s="4"/>
      <c r="AW34" s="4"/>
      <c r="AX34" s="4"/>
      <c r="AY34" s="4"/>
      <c r="AZ34" s="4"/>
      <c r="BA34" s="4"/>
      <c r="BB34" s="4"/>
      <c r="BC34" s="4"/>
      <c r="BD34" s="4"/>
      <c r="BE34" s="4"/>
      <c r="BF34" s="4"/>
    </row>
    <row r="35" spans="1:58" s="2" customFormat="1" ht="18" customHeight="1">
      <c r="A35" s="15" t="str">
        <f>'Reference Score Calculation'!B46</f>
        <v>JS1106</v>
      </c>
      <c r="B35" s="4" t="str">
        <f>'Reference Score Calculation'!D46</f>
        <v>人文社會科學院</v>
      </c>
      <c r="C35" s="23" t="str">
        <f>'Reference Score Calculation'!E46</f>
        <v>媒體與傳播 [主修: 文學士(數碼電視與廣播) / 文學士(媒體與傳播)]</v>
      </c>
      <c r="D35" s="4" t="str">
        <f>'Reference Score Calculation'!S46</f>
        <v>COM</v>
      </c>
      <c r="E35" s="352" t="str">
        <f>'Reference Score Calculation'!AC46</f>
        <v>Best 4</v>
      </c>
      <c r="F35" s="347" t="str">
        <f>'Reference Score Calculation'!F46</f>
        <v>Best 4</v>
      </c>
      <c r="G35" s="6">
        <f>'Reference Score Calculation'!I46</f>
        <v>19.5</v>
      </c>
      <c r="H35" s="6">
        <f>'Reference Score Calculation'!J46</f>
        <v>19</v>
      </c>
      <c r="I35" s="45">
        <f>計分版!J69</f>
        <v>2.6499999999999997E-9</v>
      </c>
      <c r="J35" s="176">
        <f t="shared" si="1"/>
        <v>-19.499999997349999</v>
      </c>
      <c r="K35" s="181">
        <f t="shared" si="2"/>
        <v>-7358490565.0377359</v>
      </c>
      <c r="L35" s="36">
        <f>'Reference Score Calculation'!U46</f>
        <v>45</v>
      </c>
      <c r="M35" s="84">
        <f>入學要求!Z55</f>
        <v>0</v>
      </c>
      <c r="N35" s="540"/>
      <c r="O35" s="160">
        <f>入學要求!L55</f>
        <v>3</v>
      </c>
      <c r="P35" s="160">
        <f>入學要求!M55</f>
        <v>3</v>
      </c>
      <c r="Q35" s="160">
        <f>入學要求!N55</f>
        <v>2</v>
      </c>
      <c r="R35" s="160">
        <f>入學要求!O55</f>
        <v>1</v>
      </c>
      <c r="S35" s="160">
        <f>入學要求!P55</f>
        <v>3</v>
      </c>
      <c r="T35" s="160">
        <f>入學要求!Q55</f>
        <v>3</v>
      </c>
      <c r="U35" s="236">
        <f>入學要求!S55</f>
        <v>0</v>
      </c>
      <c r="V35" s="236">
        <f>入學要求!T55</f>
        <v>0</v>
      </c>
      <c r="W35" s="236">
        <f>入學要求!U55</f>
        <v>0</v>
      </c>
      <c r="X35" s="236">
        <f>入學要求!V55</f>
        <v>0</v>
      </c>
      <c r="Y35" s="236">
        <f>入學要求!W55</f>
        <v>0</v>
      </c>
      <c r="Z35" s="236">
        <f>入學要求!X55</f>
        <v>0</v>
      </c>
      <c r="AA35" s="44">
        <f t="shared" si="3"/>
        <v>14.03</v>
      </c>
      <c r="AB35" s="537"/>
      <c r="AC35" s="36" cm="1">
        <f t="array" ref="AC35">IFERROR(INDEX('Offer Statistics'!$Q$2:$Q$500,MATCH(1,(CityU!$A35='Offer Statistics'!$B$2:$B$500)*(CityU!$AB$2='Offer Statistics'!$K$2:$K$500),0)),"/")</f>
        <v>43</v>
      </c>
      <c r="AD35" s="63" cm="1">
        <f t="array" ref="AD35">IFERROR(INDEX('Offer Statistics'!L$2:L$500,MATCH(1,(CityU!$A35='Offer Statistics'!$B$2:$B$500)*(CityU!$AB$2='Offer Statistics'!$K$2:$K$500),0)),"/")</f>
        <v>36</v>
      </c>
      <c r="AE35" s="63" cm="1">
        <f t="array" ref="AE35">IFERROR(INDEX('Offer Statistics'!M$2:M$500,MATCH(1,(CityU!$A35='Offer Statistics'!$B$2:$B$500)*(CityU!$AB$2='Offer Statistics'!$K$2:$K$500),0)),"/")</f>
        <v>5</v>
      </c>
      <c r="AF35" s="63" cm="1">
        <f t="array" ref="AF35">IFERROR(INDEX('Offer Statistics'!N$2:N$500,MATCH(1,(CityU!$A35='Offer Statistics'!$B$2:$B$500)*(CityU!$AB$2='Offer Statistics'!$K$2:$K$500),0)),"/")</f>
        <v>1</v>
      </c>
      <c r="AG35" s="63" cm="1">
        <f t="array" ref="AG35">IFERROR(INDEX('Offer Statistics'!O$2:O$500,MATCH(1,(CityU!$A35='Offer Statistics'!$B$2:$B$500)*(CityU!$AB$2='Offer Statistics'!$K$2:$K$500),0)),"/")</f>
        <v>1</v>
      </c>
      <c r="AH35" s="63" cm="1">
        <f t="array" ref="AH35">IFERROR(INDEX('Offer Statistics'!P$2:P$500,MATCH(1,(CityU!$A35='Offer Statistics'!$B$2:$B$500)*(CityU!$AB$2='Offer Statistics'!$K$2:$K$500),0)),"/")</f>
        <v>0</v>
      </c>
      <c r="AI35" s="538"/>
      <c r="AJ35" s="36" cm="1">
        <f t="array" ref="AJ35">IFERROR(INDEX('Offer Statistics'!$I$2:$I$500,MATCH(1,(CityU!$A35='Offer Statistics'!$B$2:$B$500)*(CityU!$AB$2='Offer Statistics'!$C$2:$C$500),0)),"/")</f>
        <v>3600</v>
      </c>
      <c r="AK35" s="63" cm="1">
        <f t="array" ref="AK35">IFERROR(INDEX('Offer Statistics'!D$2:D$500,MATCH(1,(CityU!$A35='Offer Statistics'!$B$2:$B$500)*(CityU!$AB$2='Offer Statistics'!$C$2:$C$500),0)),"/")</f>
        <v>505</v>
      </c>
      <c r="AL35" s="63" cm="1">
        <f t="array" ref="AL35">IFERROR(INDEX('Offer Statistics'!E$2:E$500,MATCH(1,(CityU!$A35='Offer Statistics'!$B$2:$B$500)*(CityU!$AB$2='Offer Statistics'!$C$2:$C$500),0)),"/")</f>
        <v>592</v>
      </c>
      <c r="AM35" s="63" cm="1">
        <f t="array" ref="AM35">IFERROR(INDEX('Offer Statistics'!F$2:F$500,MATCH(1,(CityU!$A35='Offer Statistics'!$B$2:$B$500)*(CityU!$AB$2='Offer Statistics'!$C$2:$C$500),0)),"/")</f>
        <v>793</v>
      </c>
      <c r="AN35" s="63" cm="1">
        <f t="array" ref="AN35">IFERROR(INDEX('Offer Statistics'!G$2:G$500,MATCH(1,(CityU!$A35='Offer Statistics'!$B$2:$B$500)*(CityU!$AB$2='Offer Statistics'!$C$2:$C$500),0)),"/")</f>
        <v>964</v>
      </c>
      <c r="AO35" s="63" cm="1">
        <f t="array" ref="AO35">IFERROR(INDEX('Offer Statistics'!H$2:H$500,MATCH(1,(CityU!$A35='Offer Statistics'!$B$2:$B$500)*(CityU!$AB$2='Offer Statistics'!$C$2:$C$500),0)),"/")</f>
        <v>746</v>
      </c>
      <c r="AP35" s="15"/>
      <c r="AQ35" s="15" t="str">
        <f t="shared" si="0"/>
        <v>JS1106</v>
      </c>
      <c r="AR35" s="4"/>
      <c r="AS35" s="4"/>
      <c r="AT35" s="4"/>
      <c r="AU35" s="4"/>
      <c r="AV35" s="4"/>
      <c r="AW35" s="4"/>
      <c r="AX35" s="4"/>
      <c r="AY35" s="4"/>
      <c r="AZ35" s="4"/>
      <c r="BA35" s="4"/>
      <c r="BB35" s="4"/>
      <c r="BC35" s="4"/>
      <c r="BD35" s="4"/>
      <c r="BE35" s="4"/>
      <c r="BF35" s="4"/>
    </row>
    <row r="36" spans="1:58" s="2" customFormat="1" ht="18" customHeight="1">
      <c r="A36" s="15" t="str">
        <f>'Reference Score Calculation'!B47</f>
        <v>JS1108</v>
      </c>
      <c r="B36" s="4" t="str">
        <f>'Reference Score Calculation'!D47</f>
        <v>人文社會科學院</v>
      </c>
      <c r="C36" s="23" t="str">
        <f>'Reference Score Calculation'!E47</f>
        <v>社會科學學士(公共事務與管理) (專修: 公共事務與管冶 / 公共政策與管理)</v>
      </c>
      <c r="D36" s="4" t="str">
        <f>'Reference Score Calculation'!S47</f>
        <v>BSocScPAFM</v>
      </c>
      <c r="E36" s="352" t="str">
        <f>'Reference Score Calculation'!AC47</f>
        <v>3C2X</v>
      </c>
      <c r="F36" s="347" t="str">
        <f>'Reference Score Calculation'!F47</f>
        <v>3C2X</v>
      </c>
      <c r="G36" s="6">
        <f>'Reference Score Calculation'!I47</f>
        <v>22</v>
      </c>
      <c r="H36" s="6">
        <f>'Reference Score Calculation'!J47</f>
        <v>21</v>
      </c>
      <c r="I36" s="45">
        <f>計分版!J70</f>
        <v>2.4E-9</v>
      </c>
      <c r="J36" s="176">
        <f t="shared" si="1"/>
        <v>-21.9999999976</v>
      </c>
      <c r="K36" s="181">
        <f t="shared" si="2"/>
        <v>-9166666665.666666</v>
      </c>
      <c r="L36" s="36">
        <f>'Reference Score Calculation'!U47</f>
        <v>63</v>
      </c>
      <c r="M36" s="84">
        <f>入學要求!Z56</f>
        <v>0</v>
      </c>
      <c r="N36" s="540"/>
      <c r="O36" s="160">
        <f>入學要求!L56</f>
        <v>3</v>
      </c>
      <c r="P36" s="160">
        <f>入學要求!M56</f>
        <v>3</v>
      </c>
      <c r="Q36" s="160">
        <f>入學要求!N56</f>
        <v>2</v>
      </c>
      <c r="R36" s="160">
        <f>入學要求!O56</f>
        <v>1</v>
      </c>
      <c r="S36" s="160">
        <f>入學要求!P56</f>
        <v>3</v>
      </c>
      <c r="T36" s="160">
        <f>入學要求!Q56</f>
        <v>3</v>
      </c>
      <c r="U36" s="236">
        <f>入學要求!S56</f>
        <v>0</v>
      </c>
      <c r="V36" s="236">
        <f>入學要求!T56</f>
        <v>0</v>
      </c>
      <c r="W36" s="236">
        <f>入學要求!U56</f>
        <v>0</v>
      </c>
      <c r="X36" s="236">
        <f>入學要求!V56</f>
        <v>0</v>
      </c>
      <c r="Y36" s="236">
        <f>入學要求!W56</f>
        <v>0</v>
      </c>
      <c r="Z36" s="236">
        <f>入學要求!X56</f>
        <v>0</v>
      </c>
      <c r="AA36" s="44">
        <f t="shared" si="3"/>
        <v>5.65</v>
      </c>
      <c r="AB36" s="537"/>
      <c r="AC36" s="36" cm="1">
        <f t="array" ref="AC36">IFERROR(INDEX('Offer Statistics'!$Q$2:$Q$500,MATCH(1,(CityU!$A36='Offer Statistics'!$B$2:$B$500)*(CityU!$AB$2='Offer Statistics'!$K$2:$K$500),0)),"/")</f>
        <v>59</v>
      </c>
      <c r="AD36" s="63" cm="1">
        <f t="array" ref="AD36">IFERROR(INDEX('Offer Statistics'!L$2:L$500,MATCH(1,(CityU!$A36='Offer Statistics'!$B$2:$B$500)*(CityU!$AB$2='Offer Statistics'!$K$2:$K$500),0)),"/")</f>
        <v>48</v>
      </c>
      <c r="AE36" s="63" cm="1">
        <f t="array" ref="AE36">IFERROR(INDEX('Offer Statistics'!M$2:M$500,MATCH(1,(CityU!$A36='Offer Statistics'!$B$2:$B$500)*(CityU!$AB$2='Offer Statistics'!$K$2:$K$500),0)),"/")</f>
        <v>6</v>
      </c>
      <c r="AF36" s="63" cm="1">
        <f t="array" ref="AF36">IFERROR(INDEX('Offer Statistics'!N$2:N$500,MATCH(1,(CityU!$A36='Offer Statistics'!$B$2:$B$500)*(CityU!$AB$2='Offer Statistics'!$K$2:$K$500),0)),"/")</f>
        <v>2</v>
      </c>
      <c r="AG36" s="63" cm="1">
        <f t="array" ref="AG36">IFERROR(INDEX('Offer Statistics'!O$2:O$500,MATCH(1,(CityU!$A36='Offer Statistics'!$B$2:$B$500)*(CityU!$AB$2='Offer Statistics'!$K$2:$K$500),0)),"/")</f>
        <v>2</v>
      </c>
      <c r="AH36" s="63" cm="1">
        <f t="array" ref="AH36">IFERROR(INDEX('Offer Statistics'!P$2:P$500,MATCH(1,(CityU!$A36='Offer Statistics'!$B$2:$B$500)*(CityU!$AB$2='Offer Statistics'!$K$2:$K$500),0)),"/")</f>
        <v>1</v>
      </c>
      <c r="AI36" s="538"/>
      <c r="AJ36" s="36" cm="1">
        <f t="array" ref="AJ36">IFERROR(INDEX('Offer Statistics'!$I$2:$I$500,MATCH(1,(CityU!$A36='Offer Statistics'!$B$2:$B$500)*(CityU!$AB$2='Offer Statistics'!$C$2:$C$500),0)),"/")</f>
        <v>2277</v>
      </c>
      <c r="AK36" s="63" cm="1">
        <f t="array" ref="AK36">IFERROR(INDEX('Offer Statistics'!D$2:D$500,MATCH(1,(CityU!$A36='Offer Statistics'!$B$2:$B$500)*(CityU!$AB$2='Offer Statistics'!$C$2:$C$500),0)),"/")</f>
        <v>271</v>
      </c>
      <c r="AL36" s="63" cm="1">
        <f t="array" ref="AL36">IFERROR(INDEX('Offer Statistics'!E$2:E$500,MATCH(1,(CityU!$A36='Offer Statistics'!$B$2:$B$500)*(CityU!$AB$2='Offer Statistics'!$C$2:$C$500),0)),"/")</f>
        <v>360</v>
      </c>
      <c r="AM36" s="63" cm="1">
        <f t="array" ref="AM36">IFERROR(INDEX('Offer Statistics'!F$2:F$500,MATCH(1,(CityU!$A36='Offer Statistics'!$B$2:$B$500)*(CityU!$AB$2='Offer Statistics'!$C$2:$C$500),0)),"/")</f>
        <v>493</v>
      </c>
      <c r="AN36" s="63" cm="1">
        <f t="array" ref="AN36">IFERROR(INDEX('Offer Statistics'!G$2:G$500,MATCH(1,(CityU!$A36='Offer Statistics'!$B$2:$B$500)*(CityU!$AB$2='Offer Statistics'!$C$2:$C$500),0)),"/")</f>
        <v>604</v>
      </c>
      <c r="AO36" s="63" cm="1">
        <f t="array" ref="AO36">IFERROR(INDEX('Offer Statistics'!H$2:H$500,MATCH(1,(CityU!$A36='Offer Statistics'!$B$2:$B$500)*(CityU!$AB$2='Offer Statistics'!$C$2:$C$500),0)),"/")</f>
        <v>549</v>
      </c>
      <c r="AP36" s="15"/>
      <c r="AQ36" s="15" t="str">
        <f t="shared" si="0"/>
        <v>JS1108</v>
      </c>
      <c r="AR36" s="4"/>
      <c r="AS36" s="4"/>
      <c r="AT36" s="4"/>
      <c r="AU36" s="4"/>
      <c r="AV36" s="4"/>
      <c r="AW36" s="4"/>
      <c r="AX36" s="4"/>
      <c r="AY36" s="4"/>
      <c r="AZ36" s="4"/>
      <c r="BA36" s="4"/>
      <c r="BB36" s="4"/>
      <c r="BC36" s="4"/>
      <c r="BD36" s="4"/>
      <c r="BE36" s="4"/>
      <c r="BF36" s="4"/>
    </row>
    <row r="37" spans="1:58" s="2" customFormat="1" ht="18" customHeight="1">
      <c r="A37" s="15" t="str">
        <f>'Reference Score Calculation'!B48</f>
        <v>JS1109</v>
      </c>
      <c r="B37" s="4" t="str">
        <f>'Reference Score Calculation'!D48</f>
        <v>人文社會科學院</v>
      </c>
      <c r="C37" s="23" t="str">
        <f>'Reference Score Calculation'!E48</f>
        <v>文學士(語言學及語言應用) (特點: 語言學 / 語言應用 / 語言技術)</v>
      </c>
      <c r="D37" s="4" t="str">
        <f>'Reference Score Calculation'!S48</f>
        <v>BALLA</v>
      </c>
      <c r="E37" s="352" t="str">
        <f>'Reference Score Calculation'!AC48</f>
        <v>3C2X</v>
      </c>
      <c r="F37" s="347" t="str">
        <f>'Reference Score Calculation'!F48</f>
        <v>3C2X</v>
      </c>
      <c r="G37" s="6">
        <f>'Reference Score Calculation'!I48</f>
        <v>30.5</v>
      </c>
      <c r="H37" s="6">
        <f>'Reference Score Calculation'!J48</f>
        <v>29.5</v>
      </c>
      <c r="I37" s="45">
        <f>計分版!J71</f>
        <v>2.7000000000000002E-9</v>
      </c>
      <c r="J37" s="176">
        <f t="shared" si="1"/>
        <v>-30.499999997300002</v>
      </c>
      <c r="K37" s="181">
        <f t="shared" si="2"/>
        <v>-11296296295.296295</v>
      </c>
      <c r="L37" s="36">
        <f>'Reference Score Calculation'!U48</f>
        <v>25</v>
      </c>
      <c r="M37" s="84">
        <f>入學要求!Z57</f>
        <v>0</v>
      </c>
      <c r="N37" s="540"/>
      <c r="O37" s="160">
        <f>入學要求!L57</f>
        <v>3</v>
      </c>
      <c r="P37" s="160">
        <f>入學要求!M57</f>
        <v>3</v>
      </c>
      <c r="Q37" s="160">
        <f>入學要求!N57</f>
        <v>2</v>
      </c>
      <c r="R37" s="160">
        <f>入學要求!O57</f>
        <v>1</v>
      </c>
      <c r="S37" s="160">
        <f>入學要求!P57</f>
        <v>3</v>
      </c>
      <c r="T37" s="160">
        <f>入學要求!Q57</f>
        <v>3</v>
      </c>
      <c r="U37" s="236">
        <f>入學要求!S57</f>
        <v>0</v>
      </c>
      <c r="V37" s="236">
        <f>入學要求!T57</f>
        <v>0</v>
      </c>
      <c r="W37" s="236">
        <f>入學要求!U57</f>
        <v>0</v>
      </c>
      <c r="X37" s="236">
        <f>入學要求!V57</f>
        <v>0</v>
      </c>
      <c r="Y37" s="236">
        <f>入學要求!W57</f>
        <v>0</v>
      </c>
      <c r="Z37" s="236">
        <f>入學要求!X57</f>
        <v>0</v>
      </c>
      <c r="AA37" s="44">
        <f t="shared" si="3"/>
        <v>6.5</v>
      </c>
      <c r="AB37" s="537"/>
      <c r="AC37" s="36" cm="1">
        <f t="array" ref="AC37">IFERROR(INDEX('Offer Statistics'!$Q$2:$Q$500,MATCH(1,(CityU!$A37='Offer Statistics'!$B$2:$B$500)*(CityU!$AB$2='Offer Statistics'!$K$2:$K$500),0)),"/")</f>
        <v>24</v>
      </c>
      <c r="AD37" s="63" cm="1">
        <f t="array" ref="AD37">IFERROR(INDEX('Offer Statistics'!L$2:L$500,MATCH(1,(CityU!$A37='Offer Statistics'!$B$2:$B$500)*(CityU!$AB$2='Offer Statistics'!$K$2:$K$500),0)),"/")</f>
        <v>20</v>
      </c>
      <c r="AE37" s="63" cm="1">
        <f t="array" ref="AE37">IFERROR(INDEX('Offer Statistics'!M$2:M$500,MATCH(1,(CityU!$A37='Offer Statistics'!$B$2:$B$500)*(CityU!$AB$2='Offer Statistics'!$K$2:$K$500),0)),"/")</f>
        <v>3</v>
      </c>
      <c r="AF37" s="63" cm="1">
        <f t="array" ref="AF37">IFERROR(INDEX('Offer Statistics'!N$2:N$500,MATCH(1,(CityU!$A37='Offer Statistics'!$B$2:$B$500)*(CityU!$AB$2='Offer Statistics'!$K$2:$K$500),0)),"/")</f>
        <v>0</v>
      </c>
      <c r="AG37" s="63" cm="1">
        <f t="array" ref="AG37">IFERROR(INDEX('Offer Statistics'!O$2:O$500,MATCH(1,(CityU!$A37='Offer Statistics'!$B$2:$B$500)*(CityU!$AB$2='Offer Statistics'!$K$2:$K$500),0)),"/")</f>
        <v>1</v>
      </c>
      <c r="AH37" s="63" cm="1">
        <f t="array" ref="AH37">IFERROR(INDEX('Offer Statistics'!P$2:P$500,MATCH(1,(CityU!$A37='Offer Statistics'!$B$2:$B$500)*(CityU!$AB$2='Offer Statistics'!$K$2:$K$500),0)),"/")</f>
        <v>0</v>
      </c>
      <c r="AI37" s="538"/>
      <c r="AJ37" s="36" cm="1">
        <f t="array" ref="AJ37">IFERROR(INDEX('Offer Statistics'!$I$2:$I$500,MATCH(1,(CityU!$A37='Offer Statistics'!$B$2:$B$500)*(CityU!$AB$2='Offer Statistics'!$C$2:$C$500),0)),"/")</f>
        <v>1328</v>
      </c>
      <c r="AK37" s="63" cm="1">
        <f t="array" ref="AK37">IFERROR(INDEX('Offer Statistics'!D$2:D$500,MATCH(1,(CityU!$A37='Offer Statistics'!$B$2:$B$500)*(CityU!$AB$2='Offer Statistics'!$C$2:$C$500),0)),"/")</f>
        <v>130</v>
      </c>
      <c r="AL37" s="63" cm="1">
        <f t="array" ref="AL37">IFERROR(INDEX('Offer Statistics'!E$2:E$500,MATCH(1,(CityU!$A37='Offer Statistics'!$B$2:$B$500)*(CityU!$AB$2='Offer Statistics'!$C$2:$C$500),0)),"/")</f>
        <v>194</v>
      </c>
      <c r="AM37" s="63" cm="1">
        <f t="array" ref="AM37">IFERROR(INDEX('Offer Statistics'!F$2:F$500,MATCH(1,(CityU!$A37='Offer Statistics'!$B$2:$B$500)*(CityU!$AB$2='Offer Statistics'!$C$2:$C$500),0)),"/")</f>
        <v>298</v>
      </c>
      <c r="AN37" s="63" cm="1">
        <f t="array" ref="AN37">IFERROR(INDEX('Offer Statistics'!G$2:G$500,MATCH(1,(CityU!$A37='Offer Statistics'!$B$2:$B$500)*(CityU!$AB$2='Offer Statistics'!$C$2:$C$500),0)),"/")</f>
        <v>387</v>
      </c>
      <c r="AO37" s="63" cm="1">
        <f t="array" ref="AO37">IFERROR(INDEX('Offer Statistics'!H$2:H$500,MATCH(1,(CityU!$A37='Offer Statistics'!$B$2:$B$500)*(CityU!$AB$2='Offer Statistics'!$C$2:$C$500),0)),"/")</f>
        <v>319</v>
      </c>
      <c r="AP37" s="15"/>
      <c r="AQ37" s="15" t="str">
        <f t="shared" si="0"/>
        <v>JS1109</v>
      </c>
      <c r="AR37" s="4"/>
      <c r="AS37" s="4"/>
      <c r="AT37" s="4"/>
      <c r="AU37" s="4"/>
      <c r="AV37" s="4"/>
      <c r="AW37" s="4"/>
      <c r="AX37" s="4"/>
      <c r="AY37" s="4"/>
      <c r="AZ37" s="4"/>
      <c r="BA37" s="4"/>
      <c r="BB37" s="4"/>
      <c r="BC37" s="4"/>
      <c r="BD37" s="4"/>
      <c r="BE37" s="4"/>
      <c r="BF37" s="4"/>
    </row>
    <row r="38" spans="1:58" s="2" customFormat="1" ht="18" customHeight="1">
      <c r="A38" s="15" t="str">
        <f>'Reference Score Calculation'!B49</f>
        <v>JS1111</v>
      </c>
      <c r="B38" s="4" t="str">
        <f>'Reference Score Calculation'!D49</f>
        <v>人文社會科學院</v>
      </c>
      <c r="C38" s="23" t="str">
        <f>'Reference Score Calculation'!E49</f>
        <v>社會科學學士(犯罪學及社會學)</v>
      </c>
      <c r="D38" s="4" t="str">
        <f>'Reference Score Calculation'!S49</f>
        <v>BSocScCRSO</v>
      </c>
      <c r="E38" s="352" t="str">
        <f>'Reference Score Calculation'!AC49</f>
        <v>Best 4</v>
      </c>
      <c r="F38" s="347" t="str">
        <f>'Reference Score Calculation'!F49</f>
        <v>Best 4</v>
      </c>
      <c r="G38" s="6">
        <f>'Reference Score Calculation'!I49</f>
        <v>21.5</v>
      </c>
      <c r="H38" s="6">
        <f>'Reference Score Calculation'!J49</f>
        <v>21.5</v>
      </c>
      <c r="I38" s="45">
        <f>計分版!J72</f>
        <v>2.8000000000000003E-9</v>
      </c>
      <c r="J38" s="176">
        <f t="shared" si="1"/>
        <v>-21.4999999972</v>
      </c>
      <c r="K38" s="181">
        <f t="shared" si="2"/>
        <v>-7678571427.5714273</v>
      </c>
      <c r="L38" s="36">
        <f>'Reference Score Calculation'!U49</f>
        <v>21</v>
      </c>
      <c r="M38" s="84">
        <f>入學要求!Z58</f>
        <v>0</v>
      </c>
      <c r="N38" s="540"/>
      <c r="O38" s="160">
        <f>入學要求!L58</f>
        <v>3</v>
      </c>
      <c r="P38" s="160">
        <f>入學要求!M58</f>
        <v>3</v>
      </c>
      <c r="Q38" s="160">
        <f>入學要求!N58</f>
        <v>2</v>
      </c>
      <c r="R38" s="160">
        <f>入學要求!O58</f>
        <v>1</v>
      </c>
      <c r="S38" s="160">
        <f>入學要求!P58</f>
        <v>3</v>
      </c>
      <c r="T38" s="160">
        <f>入學要求!Q58</f>
        <v>3</v>
      </c>
      <c r="U38" s="236">
        <f>入學要求!S58</f>
        <v>0</v>
      </c>
      <c r="V38" s="236">
        <f>入學要求!T58</f>
        <v>0</v>
      </c>
      <c r="W38" s="236">
        <f>入學要求!U58</f>
        <v>0</v>
      </c>
      <c r="X38" s="236">
        <f>入學要求!V58</f>
        <v>0</v>
      </c>
      <c r="Y38" s="236">
        <f>入學要求!W58</f>
        <v>0</v>
      </c>
      <c r="Z38" s="236">
        <f>入學要求!X58</f>
        <v>0</v>
      </c>
      <c r="AA38" s="44">
        <f t="shared" si="3"/>
        <v>15.62</v>
      </c>
      <c r="AB38" s="537"/>
      <c r="AC38" s="36" cm="1">
        <f t="array" ref="AC38">IFERROR(INDEX('Offer Statistics'!$Q$2:$Q$500,MATCH(1,(CityU!$A38='Offer Statistics'!$B$2:$B$500)*(CityU!$AB$2='Offer Statistics'!$K$2:$K$500),0)),"/")</f>
        <v>23</v>
      </c>
      <c r="AD38" s="63" cm="1">
        <f t="array" ref="AD38">IFERROR(INDEX('Offer Statistics'!L$2:L$500,MATCH(1,(CityU!$A38='Offer Statistics'!$B$2:$B$500)*(CityU!$AB$2='Offer Statistics'!$K$2:$K$500),0)),"/")</f>
        <v>21</v>
      </c>
      <c r="AE38" s="63" cm="1">
        <f t="array" ref="AE38">IFERROR(INDEX('Offer Statistics'!M$2:M$500,MATCH(1,(CityU!$A38='Offer Statistics'!$B$2:$B$500)*(CityU!$AB$2='Offer Statistics'!$K$2:$K$500),0)),"/")</f>
        <v>2</v>
      </c>
      <c r="AF38" s="63" cm="1">
        <f t="array" ref="AF38">IFERROR(INDEX('Offer Statistics'!N$2:N$500,MATCH(1,(CityU!$A38='Offer Statistics'!$B$2:$B$500)*(CityU!$AB$2='Offer Statistics'!$K$2:$K$500),0)),"/")</f>
        <v>0</v>
      </c>
      <c r="AG38" s="63" cm="1">
        <f t="array" ref="AG38">IFERROR(INDEX('Offer Statistics'!O$2:O$500,MATCH(1,(CityU!$A38='Offer Statistics'!$B$2:$B$500)*(CityU!$AB$2='Offer Statistics'!$K$2:$K$500),0)),"/")</f>
        <v>0</v>
      </c>
      <c r="AH38" s="63" cm="1">
        <f t="array" ref="AH38">IFERROR(INDEX('Offer Statistics'!P$2:P$500,MATCH(1,(CityU!$A38='Offer Statistics'!$B$2:$B$500)*(CityU!$AB$2='Offer Statistics'!$K$2:$K$500),0)),"/")</f>
        <v>0</v>
      </c>
      <c r="AI38" s="538"/>
      <c r="AJ38" s="36" cm="1">
        <f t="array" ref="AJ38">IFERROR(INDEX('Offer Statistics'!$I$2:$I$500,MATCH(1,(CityU!$A38='Offer Statistics'!$B$2:$B$500)*(CityU!$AB$2='Offer Statistics'!$C$2:$C$500),0)),"/")</f>
        <v>3950</v>
      </c>
      <c r="AK38" s="63" cm="1">
        <f t="array" ref="AK38">IFERROR(INDEX('Offer Statistics'!D$2:D$500,MATCH(1,(CityU!$A38='Offer Statistics'!$B$2:$B$500)*(CityU!$AB$2='Offer Statistics'!$C$2:$C$500),0)),"/")</f>
        <v>328</v>
      </c>
      <c r="AL38" s="63" cm="1">
        <f t="array" ref="AL38">IFERROR(INDEX('Offer Statistics'!E$2:E$500,MATCH(1,(CityU!$A38='Offer Statistics'!$B$2:$B$500)*(CityU!$AB$2='Offer Statistics'!$C$2:$C$500),0)),"/")</f>
        <v>584</v>
      </c>
      <c r="AM38" s="63" cm="1">
        <f t="array" ref="AM38">IFERROR(INDEX('Offer Statistics'!F$2:F$500,MATCH(1,(CityU!$A38='Offer Statistics'!$B$2:$B$500)*(CityU!$AB$2='Offer Statistics'!$C$2:$C$500),0)),"/")</f>
        <v>881</v>
      </c>
      <c r="AN38" s="63" cm="1">
        <f t="array" ref="AN38">IFERROR(INDEX('Offer Statistics'!G$2:G$500,MATCH(1,(CityU!$A38='Offer Statistics'!$B$2:$B$500)*(CityU!$AB$2='Offer Statistics'!$C$2:$C$500),0)),"/")</f>
        <v>1255</v>
      </c>
      <c r="AO38" s="63" cm="1">
        <f t="array" ref="AO38">IFERROR(INDEX('Offer Statistics'!H$2:H$500,MATCH(1,(CityU!$A38='Offer Statistics'!$B$2:$B$500)*(CityU!$AB$2='Offer Statistics'!$C$2:$C$500),0)),"/")</f>
        <v>902</v>
      </c>
      <c r="AP38" s="15"/>
      <c r="AQ38" s="15" t="str">
        <f t="shared" si="0"/>
        <v>JS1111</v>
      </c>
      <c r="AR38" s="4"/>
      <c r="AS38" s="4"/>
      <c r="AT38" s="4"/>
      <c r="AU38" s="4"/>
      <c r="AV38" s="4"/>
      <c r="AW38" s="4"/>
      <c r="AX38" s="4"/>
      <c r="AY38" s="4"/>
      <c r="AZ38" s="4"/>
      <c r="BA38" s="4"/>
      <c r="BB38" s="4"/>
      <c r="BC38" s="4"/>
      <c r="BD38" s="4"/>
      <c r="BE38" s="4"/>
      <c r="BF38" s="4"/>
    </row>
    <row r="39" spans="1:58" s="2" customFormat="1" ht="18" customHeight="1">
      <c r="A39" s="15" t="str">
        <f>'Reference Score Calculation'!B50</f>
        <v>JS1112</v>
      </c>
      <c r="B39" s="4" t="str">
        <f>'Reference Score Calculation'!D50</f>
        <v>人文社會科學院</v>
      </c>
      <c r="C39" s="23" t="str">
        <f>'Reference Score Calculation'!E50</f>
        <v>社會科學學士(心理學)</v>
      </c>
      <c r="D39" s="4" t="str">
        <f>'Reference Score Calculation'!S50</f>
        <v>BSocScPSY</v>
      </c>
      <c r="E39" s="352" t="str">
        <f>'Reference Score Calculation'!AC50</f>
        <v>Best 4</v>
      </c>
      <c r="F39" s="347" t="str">
        <f>'Reference Score Calculation'!F50</f>
        <v>Best 4</v>
      </c>
      <c r="G39" s="6">
        <f>'Reference Score Calculation'!I50</f>
        <v>23.5</v>
      </c>
      <c r="H39" s="6">
        <f>'Reference Score Calculation'!J50</f>
        <v>23</v>
      </c>
      <c r="I39" s="45">
        <f>計分版!J73</f>
        <v>2.8000000000000003E-9</v>
      </c>
      <c r="J39" s="176">
        <f t="shared" si="1"/>
        <v>-23.4999999972</v>
      </c>
      <c r="K39" s="181">
        <f t="shared" si="2"/>
        <v>-8392857141.8571424</v>
      </c>
      <c r="L39" s="36">
        <f>'Reference Score Calculation'!U50</f>
        <v>16</v>
      </c>
      <c r="M39" s="84">
        <f>入學要求!Z59</f>
        <v>0</v>
      </c>
      <c r="N39" s="540"/>
      <c r="O39" s="160">
        <f>入學要求!L59</f>
        <v>3</v>
      </c>
      <c r="P39" s="160">
        <f>入學要求!M59</f>
        <v>3</v>
      </c>
      <c r="Q39" s="160">
        <f>入學要求!N59</f>
        <v>2</v>
      </c>
      <c r="R39" s="160">
        <f>入學要求!O59</f>
        <v>1</v>
      </c>
      <c r="S39" s="160">
        <f>入學要求!P59</f>
        <v>3</v>
      </c>
      <c r="T39" s="160">
        <f>入學要求!Q59</f>
        <v>3</v>
      </c>
      <c r="U39" s="236">
        <f>入學要求!S59</f>
        <v>0</v>
      </c>
      <c r="V39" s="236">
        <f>入學要求!T59</f>
        <v>0</v>
      </c>
      <c r="W39" s="236">
        <f>入學要求!U59</f>
        <v>0</v>
      </c>
      <c r="X39" s="236">
        <f>入學要求!V59</f>
        <v>0</v>
      </c>
      <c r="Y39" s="236">
        <f>入學要求!W59</f>
        <v>0</v>
      </c>
      <c r="Z39" s="236">
        <f>入學要求!X59</f>
        <v>0</v>
      </c>
      <c r="AA39" s="44">
        <f t="shared" si="3"/>
        <v>11.81</v>
      </c>
      <c r="AB39" s="537"/>
      <c r="AC39" s="36" cm="1">
        <f t="array" ref="AC39">IFERROR(INDEX('Offer Statistics'!$Q$2:$Q$500,MATCH(1,(CityU!$A39='Offer Statistics'!$B$2:$B$500)*(CityU!$AB$2='Offer Statistics'!$K$2:$K$500),0)),"/")</f>
        <v>31</v>
      </c>
      <c r="AD39" s="63" cm="1">
        <f t="array" ref="AD39">IFERROR(INDEX('Offer Statistics'!L$2:L$500,MATCH(1,(CityU!$A39='Offer Statistics'!$B$2:$B$500)*(CityU!$AB$2='Offer Statistics'!$K$2:$K$500),0)),"/")</f>
        <v>27</v>
      </c>
      <c r="AE39" s="63" cm="1">
        <f t="array" ref="AE39">IFERROR(INDEX('Offer Statistics'!M$2:M$500,MATCH(1,(CityU!$A39='Offer Statistics'!$B$2:$B$500)*(CityU!$AB$2='Offer Statistics'!$K$2:$K$500),0)),"/")</f>
        <v>1</v>
      </c>
      <c r="AF39" s="63" cm="1">
        <f t="array" ref="AF39">IFERROR(INDEX('Offer Statistics'!N$2:N$500,MATCH(1,(CityU!$A39='Offer Statistics'!$B$2:$B$500)*(CityU!$AB$2='Offer Statistics'!$K$2:$K$500),0)),"/")</f>
        <v>2</v>
      </c>
      <c r="AG39" s="63" cm="1">
        <f t="array" ref="AG39">IFERROR(INDEX('Offer Statistics'!O$2:O$500,MATCH(1,(CityU!$A39='Offer Statistics'!$B$2:$B$500)*(CityU!$AB$2='Offer Statistics'!$K$2:$K$500),0)),"/")</f>
        <v>0</v>
      </c>
      <c r="AH39" s="63" cm="1">
        <f t="array" ref="AH39">IFERROR(INDEX('Offer Statistics'!P$2:P$500,MATCH(1,(CityU!$A39='Offer Statistics'!$B$2:$B$500)*(CityU!$AB$2='Offer Statistics'!$K$2:$K$500),0)),"/")</f>
        <v>1</v>
      </c>
      <c r="AI39" s="538"/>
      <c r="AJ39" s="36" cm="1">
        <f t="array" ref="AJ39">IFERROR(INDEX('Offer Statistics'!$I$2:$I$500,MATCH(1,(CityU!$A39='Offer Statistics'!$B$2:$B$500)*(CityU!$AB$2='Offer Statistics'!$C$2:$C$500),0)),"/")</f>
        <v>4176</v>
      </c>
      <c r="AK39" s="63" cm="1">
        <f t="array" ref="AK39">IFERROR(INDEX('Offer Statistics'!D$2:D$500,MATCH(1,(CityU!$A39='Offer Statistics'!$B$2:$B$500)*(CityU!$AB$2='Offer Statistics'!$C$2:$C$500),0)),"/")</f>
        <v>319</v>
      </c>
      <c r="AL39" s="63" cm="1">
        <f t="array" ref="AL39">IFERROR(INDEX('Offer Statistics'!E$2:E$500,MATCH(1,(CityU!$A39='Offer Statistics'!$B$2:$B$500)*(CityU!$AB$2='Offer Statistics'!$C$2:$C$500),0)),"/")</f>
        <v>528</v>
      </c>
      <c r="AM39" s="63" cm="1">
        <f t="array" ref="AM39">IFERROR(INDEX('Offer Statistics'!F$2:F$500,MATCH(1,(CityU!$A39='Offer Statistics'!$B$2:$B$500)*(CityU!$AB$2='Offer Statistics'!$C$2:$C$500),0)),"/")</f>
        <v>879</v>
      </c>
      <c r="AN39" s="63" cm="1">
        <f t="array" ref="AN39">IFERROR(INDEX('Offer Statistics'!G$2:G$500,MATCH(1,(CityU!$A39='Offer Statistics'!$B$2:$B$500)*(CityU!$AB$2='Offer Statistics'!$C$2:$C$500),0)),"/")</f>
        <v>1348</v>
      </c>
      <c r="AO39" s="63" cm="1">
        <f t="array" ref="AO39">IFERROR(INDEX('Offer Statistics'!H$2:H$500,MATCH(1,(CityU!$A39='Offer Statistics'!$B$2:$B$500)*(CityU!$AB$2='Offer Statistics'!$C$2:$C$500),0)),"/")</f>
        <v>1102</v>
      </c>
      <c r="AP39" s="15"/>
      <c r="AQ39" s="15" t="str">
        <f t="shared" si="0"/>
        <v>JS1112</v>
      </c>
      <c r="AR39" s="4"/>
      <c r="AS39" s="4"/>
      <c r="AT39" s="4"/>
      <c r="AU39" s="4"/>
      <c r="AV39" s="4"/>
      <c r="AW39" s="4"/>
      <c r="AX39" s="4"/>
      <c r="AY39" s="4"/>
      <c r="AZ39" s="4"/>
      <c r="BA39" s="4"/>
      <c r="BB39" s="4"/>
      <c r="BC39" s="4"/>
      <c r="BD39" s="4"/>
      <c r="BE39" s="4"/>
      <c r="BF39" s="4"/>
    </row>
    <row r="40" spans="1:58" s="2" customFormat="1" ht="18" customHeight="1">
      <c r="A40" s="15" t="str">
        <f>'Reference Score Calculation'!B51</f>
        <v>JS1113</v>
      </c>
      <c r="B40" s="4" t="str">
        <f>'Reference Score Calculation'!D51</f>
        <v>人文社會科學院</v>
      </c>
      <c r="C40" s="23" t="str">
        <f>'Reference Score Calculation'!E51</f>
        <v>社會科學學士(社會工作)</v>
      </c>
      <c r="D40" s="4" t="str">
        <f>'Reference Score Calculation'!S51</f>
        <v>BSocScSW</v>
      </c>
      <c r="E40" s="352" t="str">
        <f>'Reference Score Calculation'!AC51</f>
        <v>Best 4</v>
      </c>
      <c r="F40" s="347" t="str">
        <f>'Reference Score Calculation'!F51</f>
        <v>Best 4</v>
      </c>
      <c r="G40" s="6">
        <f>'Reference Score Calculation'!I51</f>
        <v>22.5</v>
      </c>
      <c r="H40" s="6">
        <f>'Reference Score Calculation'!J51</f>
        <v>21.5</v>
      </c>
      <c r="I40" s="45">
        <f>計分版!J74</f>
        <v>2.8000000000000003E-9</v>
      </c>
      <c r="J40" s="176">
        <f t="shared" si="1"/>
        <v>-22.4999999972</v>
      </c>
      <c r="K40" s="181">
        <f t="shared" si="2"/>
        <v>-8035714284.7142849</v>
      </c>
      <c r="L40" s="36">
        <f>'Reference Score Calculation'!U51</f>
        <v>54</v>
      </c>
      <c r="M40" s="84">
        <f>入學要求!Z60</f>
        <v>0</v>
      </c>
      <c r="N40" s="540"/>
      <c r="O40" s="160">
        <f>入學要求!L60</f>
        <v>3</v>
      </c>
      <c r="P40" s="160">
        <f>入學要求!M60</f>
        <v>3</v>
      </c>
      <c r="Q40" s="160">
        <f>入學要求!N60</f>
        <v>2</v>
      </c>
      <c r="R40" s="160">
        <f>入學要求!O60</f>
        <v>1</v>
      </c>
      <c r="S40" s="160">
        <f>入學要求!P60</f>
        <v>3</v>
      </c>
      <c r="T40" s="160">
        <f>入學要求!Q60</f>
        <v>3</v>
      </c>
      <c r="U40" s="236">
        <f>入學要求!S60</f>
        <v>0</v>
      </c>
      <c r="V40" s="236">
        <f>入學要求!T60</f>
        <v>0</v>
      </c>
      <c r="W40" s="236">
        <f>入學要求!U60</f>
        <v>0</v>
      </c>
      <c r="X40" s="236">
        <f>入學要求!V60</f>
        <v>0</v>
      </c>
      <c r="Y40" s="236">
        <f>入學要求!W60</f>
        <v>0</v>
      </c>
      <c r="Z40" s="236">
        <f>入學要求!X60</f>
        <v>0</v>
      </c>
      <c r="AA40" s="44">
        <f t="shared" si="3"/>
        <v>26.25</v>
      </c>
      <c r="AB40" s="537"/>
      <c r="AC40" s="36" cm="1">
        <f t="array" ref="AC40">IFERROR(INDEX('Offer Statistics'!$Q$2:$Q$500,MATCH(1,(CityU!$A40='Offer Statistics'!$B$2:$B$500)*(CityU!$AB$2='Offer Statistics'!$K$2:$K$500),0)),"/")</f>
        <v>24</v>
      </c>
      <c r="AD40" s="63" cm="1">
        <f t="array" ref="AD40">IFERROR(INDEX('Offer Statistics'!L$2:L$500,MATCH(1,(CityU!$A40='Offer Statistics'!$B$2:$B$500)*(CityU!$AB$2='Offer Statistics'!$K$2:$K$500),0)),"/")</f>
        <v>24</v>
      </c>
      <c r="AE40" s="63" cm="1">
        <f t="array" ref="AE40">IFERROR(INDEX('Offer Statistics'!M$2:M$500,MATCH(1,(CityU!$A40='Offer Statistics'!$B$2:$B$500)*(CityU!$AB$2='Offer Statistics'!$K$2:$K$500),0)),"/")</f>
        <v>0</v>
      </c>
      <c r="AF40" s="63" cm="1">
        <f t="array" ref="AF40">IFERROR(INDEX('Offer Statistics'!N$2:N$500,MATCH(1,(CityU!$A40='Offer Statistics'!$B$2:$B$500)*(CityU!$AB$2='Offer Statistics'!$K$2:$K$500),0)),"/")</f>
        <v>0</v>
      </c>
      <c r="AG40" s="63" cm="1">
        <f t="array" ref="AG40">IFERROR(INDEX('Offer Statistics'!O$2:O$500,MATCH(1,(CityU!$A40='Offer Statistics'!$B$2:$B$500)*(CityU!$AB$2='Offer Statistics'!$K$2:$K$500),0)),"/")</f>
        <v>0</v>
      </c>
      <c r="AH40" s="63" cm="1">
        <f t="array" ref="AH40">IFERROR(INDEX('Offer Statistics'!P$2:P$500,MATCH(1,(CityU!$A40='Offer Statistics'!$B$2:$B$500)*(CityU!$AB$2='Offer Statistics'!$K$2:$K$500),0)),"/")</f>
        <v>0</v>
      </c>
      <c r="AI40" s="538"/>
      <c r="AJ40" s="36" cm="1">
        <f t="array" ref="AJ40">IFERROR(INDEX('Offer Statistics'!$I$2:$I$500,MATCH(1,(CityU!$A40='Offer Statistics'!$B$2:$B$500)*(CityU!$AB$2='Offer Statistics'!$C$2:$C$500),0)),"/")</f>
        <v>4004</v>
      </c>
      <c r="AK40" s="63" cm="1">
        <f t="array" ref="AK40">IFERROR(INDEX('Offer Statistics'!D$2:D$500,MATCH(1,(CityU!$A40='Offer Statistics'!$B$2:$B$500)*(CityU!$AB$2='Offer Statistics'!$C$2:$C$500),0)),"/")</f>
        <v>630</v>
      </c>
      <c r="AL40" s="63" cm="1">
        <f t="array" ref="AL40">IFERROR(INDEX('Offer Statistics'!E$2:E$500,MATCH(1,(CityU!$A40='Offer Statistics'!$B$2:$B$500)*(CityU!$AB$2='Offer Statistics'!$C$2:$C$500),0)),"/")</f>
        <v>537</v>
      </c>
      <c r="AM40" s="63" cm="1">
        <f t="array" ref="AM40">IFERROR(INDEX('Offer Statistics'!F$2:F$500,MATCH(1,(CityU!$A40='Offer Statistics'!$B$2:$B$500)*(CityU!$AB$2='Offer Statistics'!$C$2:$C$500),0)),"/")</f>
        <v>825</v>
      </c>
      <c r="AN40" s="63" cm="1">
        <f t="array" ref="AN40">IFERROR(INDEX('Offer Statistics'!G$2:G$500,MATCH(1,(CityU!$A40='Offer Statistics'!$B$2:$B$500)*(CityU!$AB$2='Offer Statistics'!$C$2:$C$500),0)),"/")</f>
        <v>1116</v>
      </c>
      <c r="AO40" s="63" cm="1">
        <f t="array" ref="AO40">IFERROR(INDEX('Offer Statistics'!H$2:H$500,MATCH(1,(CityU!$A40='Offer Statistics'!$B$2:$B$500)*(CityU!$AB$2='Offer Statistics'!$C$2:$C$500),0)),"/")</f>
        <v>896</v>
      </c>
      <c r="AP40" s="15"/>
      <c r="AQ40" s="15" t="str">
        <f t="shared" si="0"/>
        <v>JS1113</v>
      </c>
      <c r="AR40" s="4"/>
      <c r="AS40" s="4"/>
      <c r="AT40" s="4"/>
      <c r="AU40" s="4"/>
      <c r="AV40" s="4"/>
      <c r="AW40" s="4"/>
      <c r="AX40" s="4"/>
      <c r="AY40" s="4"/>
      <c r="AZ40" s="4"/>
      <c r="BA40" s="4"/>
      <c r="BB40" s="4"/>
      <c r="BC40" s="4"/>
      <c r="BD40" s="4"/>
      <c r="BE40" s="4"/>
      <c r="BF40" s="4"/>
    </row>
    <row r="41" spans="1:58" s="2" customFormat="1" ht="18" customHeight="1">
      <c r="A41" s="15" t="str">
        <f>'Reference Score Calculation'!B52</f>
        <v>JS1123</v>
      </c>
      <c r="B41" s="4" t="str">
        <f>'Reference Score Calculation'!D52</f>
        <v>人文社會科學院</v>
      </c>
      <c r="C41" s="23" t="str">
        <f>'Reference Score Calculation'!E52</f>
        <v>社會科學學士(犯罪學)與法律學學士</v>
      </c>
      <c r="D41" s="4" t="str">
        <f>'Reference Score Calculation'!S52</f>
        <v>BSocScCR&amp;LLB</v>
      </c>
      <c r="E41" s="352" t="str">
        <f>'Reference Score Calculation'!AC52</f>
        <v>Best 5</v>
      </c>
      <c r="F41" s="334" t="str">
        <f>'Reference Score Calculation'!F52</f>
        <v>Best 5</v>
      </c>
      <c r="G41" s="6">
        <f>'Reference Score Calculation'!I52</f>
        <v>22</v>
      </c>
      <c r="H41" s="6">
        <f>'Reference Score Calculation'!J52</f>
        <v>20.5</v>
      </c>
      <c r="I41" s="45">
        <f>計分版!J75</f>
        <v>3.1999999999999997E-9</v>
      </c>
      <c r="J41" s="176">
        <f t="shared" si="1"/>
        <v>-21.9999999968</v>
      </c>
      <c r="K41" s="181">
        <f t="shared" si="2"/>
        <v>-6874999999.000001</v>
      </c>
      <c r="L41" s="36">
        <f>'Reference Score Calculation'!U52</f>
        <v>10</v>
      </c>
      <c r="M41" s="84">
        <f>入學要求!Z61</f>
        <v>0</v>
      </c>
      <c r="N41" s="540"/>
      <c r="O41" s="160">
        <f>入學要求!L61</f>
        <v>3</v>
      </c>
      <c r="P41" s="160">
        <f>入學要求!M61</f>
        <v>5</v>
      </c>
      <c r="Q41" s="160">
        <f>入學要求!N61</f>
        <v>2</v>
      </c>
      <c r="R41" s="160">
        <f>入學要求!O61</f>
        <v>1</v>
      </c>
      <c r="S41" s="160">
        <f>入學要求!P61</f>
        <v>3</v>
      </c>
      <c r="T41" s="160">
        <f>入學要求!Q61</f>
        <v>3</v>
      </c>
      <c r="U41" s="236">
        <f>入學要求!S61</f>
        <v>0</v>
      </c>
      <c r="V41" s="236">
        <f>入學要求!T61</f>
        <v>0</v>
      </c>
      <c r="W41" s="236">
        <f>入學要求!U61</f>
        <v>0</v>
      </c>
      <c r="X41" s="236">
        <f>入學要求!V61</f>
        <v>0</v>
      </c>
      <c r="Y41" s="236">
        <f>入學要求!W61</f>
        <v>0</v>
      </c>
      <c r="Z41" s="236">
        <f>入學要求!X61</f>
        <v>0</v>
      </c>
      <c r="AA41" s="44">
        <f t="shared" si="3"/>
        <v>10.11</v>
      </c>
      <c r="AB41" s="537"/>
      <c r="AC41" s="36" cm="1">
        <f t="array" ref="AC41">IFERROR(INDEX('Offer Statistics'!$Q$2:$Q$500,MATCH(1,(CityU!$A41='Offer Statistics'!$B$2:$B$500)*(CityU!$AB$2='Offer Statistics'!$K$2:$K$500),0)),"/")</f>
        <v>11</v>
      </c>
      <c r="AD41" s="63" cm="1">
        <f t="array" ref="AD41">IFERROR(INDEX('Offer Statistics'!L$2:L$500,MATCH(1,(CityU!$A41='Offer Statistics'!$B$2:$B$500)*(CityU!$AB$2='Offer Statistics'!$K$2:$K$500),0)),"/")</f>
        <v>9</v>
      </c>
      <c r="AE41" s="63" cm="1">
        <f t="array" ref="AE41">IFERROR(INDEX('Offer Statistics'!M$2:M$500,MATCH(1,(CityU!$A41='Offer Statistics'!$B$2:$B$500)*(CityU!$AB$2='Offer Statistics'!$K$2:$K$500),0)),"/")</f>
        <v>2</v>
      </c>
      <c r="AF41" s="63" cm="1">
        <f t="array" ref="AF41">IFERROR(INDEX('Offer Statistics'!N$2:N$500,MATCH(1,(CityU!$A41='Offer Statistics'!$B$2:$B$500)*(CityU!$AB$2='Offer Statistics'!$K$2:$K$500),0)),"/")</f>
        <v>0</v>
      </c>
      <c r="AG41" s="63" cm="1">
        <f t="array" ref="AG41">IFERROR(INDEX('Offer Statistics'!O$2:O$500,MATCH(1,(CityU!$A41='Offer Statistics'!$B$2:$B$500)*(CityU!$AB$2='Offer Statistics'!$K$2:$K$500),0)),"/")</f>
        <v>0</v>
      </c>
      <c r="AH41" s="63" cm="1">
        <f t="array" ref="AH41">IFERROR(INDEX('Offer Statistics'!P$2:P$500,MATCH(1,(CityU!$A41='Offer Statistics'!$B$2:$B$500)*(CityU!$AB$2='Offer Statistics'!$K$2:$K$500),0)),"/")</f>
        <v>0</v>
      </c>
      <c r="AI41" s="538"/>
      <c r="AJ41" s="36" cm="1">
        <f t="array" ref="AJ41">IFERROR(INDEX('Offer Statistics'!$I$2:$I$500,MATCH(1,(CityU!$A41='Offer Statistics'!$B$2:$B$500)*(CityU!$AB$2='Offer Statistics'!$C$2:$C$500),0)),"/")</f>
        <v>1264</v>
      </c>
      <c r="AK41" s="63" cm="1">
        <f t="array" ref="AK41">IFERROR(INDEX('Offer Statistics'!D$2:D$500,MATCH(1,(CityU!$A41='Offer Statistics'!$B$2:$B$500)*(CityU!$AB$2='Offer Statistics'!$C$2:$C$500),0)),"/")</f>
        <v>91</v>
      </c>
      <c r="AL41" s="63" cm="1">
        <f t="array" ref="AL41">IFERROR(INDEX('Offer Statistics'!E$2:E$500,MATCH(1,(CityU!$A41='Offer Statistics'!$B$2:$B$500)*(CityU!$AB$2='Offer Statistics'!$C$2:$C$500),0)),"/")</f>
        <v>174</v>
      </c>
      <c r="AM41" s="63" cm="1">
        <f t="array" ref="AM41">IFERROR(INDEX('Offer Statistics'!F$2:F$500,MATCH(1,(CityU!$A41='Offer Statistics'!$B$2:$B$500)*(CityU!$AB$2='Offer Statistics'!$C$2:$C$500),0)),"/")</f>
        <v>253</v>
      </c>
      <c r="AN41" s="63" cm="1">
        <f t="array" ref="AN41">IFERROR(INDEX('Offer Statistics'!G$2:G$500,MATCH(1,(CityU!$A41='Offer Statistics'!$B$2:$B$500)*(CityU!$AB$2='Offer Statistics'!$C$2:$C$500),0)),"/")</f>
        <v>368</v>
      </c>
      <c r="AO41" s="63" cm="1">
        <f t="array" ref="AO41">IFERROR(INDEX('Offer Statistics'!H$2:H$500,MATCH(1,(CityU!$A41='Offer Statistics'!$B$2:$B$500)*(CityU!$AB$2='Offer Statistics'!$C$2:$C$500),0)),"/")</f>
        <v>378</v>
      </c>
      <c r="AP41" s="15"/>
      <c r="AQ41" s="15" t="str">
        <f t="shared" si="0"/>
        <v>JS1123</v>
      </c>
      <c r="AR41" s="4"/>
      <c r="AS41" s="4"/>
      <c r="AT41" s="4"/>
      <c r="AU41" s="4"/>
      <c r="AV41" s="4"/>
      <c r="AW41" s="4"/>
      <c r="AX41" s="4"/>
      <c r="AY41" s="4"/>
      <c r="AZ41" s="4"/>
      <c r="BA41" s="4"/>
      <c r="BB41" s="4"/>
      <c r="BC41" s="4"/>
      <c r="BD41" s="4"/>
      <c r="BE41" s="4"/>
      <c r="BF41" s="4"/>
    </row>
    <row r="42" spans="1:58" s="2" customFormat="1" ht="18" customHeight="1">
      <c r="A42" s="15" t="str">
        <f>'Reference Score Calculation'!B53</f>
        <v>JS1200</v>
      </c>
      <c r="B42" s="4" t="str">
        <f>'Reference Score Calculation'!D53</f>
        <v>理學院</v>
      </c>
      <c r="C42" s="23" t="str">
        <f>'Reference Score Calculation'!E53</f>
        <v>環球精研與科創課程</v>
      </c>
      <c r="D42" s="4" t="str">
        <f>'Reference Score Calculation'!S53</f>
        <v>GREAT</v>
      </c>
      <c r="E42" s="352" t="str">
        <f>'Reference Score Calculation'!AC53</f>
        <v>Best 4</v>
      </c>
      <c r="F42" s="347" t="str">
        <f>'Reference Score Calculation'!F53</f>
        <v>Best 4</v>
      </c>
      <c r="G42" s="6">
        <f>'Reference Score Calculation'!I53</f>
        <v>33</v>
      </c>
      <c r="H42" s="6">
        <f>'Reference Score Calculation'!J53</f>
        <v>33</v>
      </c>
      <c r="I42" s="45">
        <f>計分版!J76</f>
        <v>3.7E-9</v>
      </c>
      <c r="J42" s="176">
        <f t="shared" si="1"/>
        <v>-32.999999996299998</v>
      </c>
      <c r="K42" s="181">
        <f t="shared" si="2"/>
        <v>-8918918917.9189186</v>
      </c>
      <c r="L42" s="36">
        <f>'Reference Score Calculation'!U53</f>
        <v>15</v>
      </c>
      <c r="M42" s="84">
        <f>入學要求!Z62</f>
        <v>0</v>
      </c>
      <c r="N42" s="540"/>
      <c r="O42" s="160">
        <f>入學要求!L62</f>
        <v>3</v>
      </c>
      <c r="P42" s="160">
        <f>入學要求!M62</f>
        <v>3</v>
      </c>
      <c r="Q42" s="160">
        <f>入學要求!N62</f>
        <v>2</v>
      </c>
      <c r="R42" s="160">
        <f>入學要求!O62</f>
        <v>1</v>
      </c>
      <c r="S42" s="160">
        <f>入學要求!P62</f>
        <v>3</v>
      </c>
      <c r="T42" s="160">
        <f>入學要求!Q62</f>
        <v>3</v>
      </c>
      <c r="U42" s="236">
        <f>入學要求!S62</f>
        <v>0</v>
      </c>
      <c r="V42" s="236">
        <f>入學要求!T62</f>
        <v>0</v>
      </c>
      <c r="W42" s="236">
        <f>入學要求!U62</f>
        <v>0</v>
      </c>
      <c r="X42" s="236">
        <f>入學要求!V62</f>
        <v>0</v>
      </c>
      <c r="Y42" s="236">
        <f>入學要求!W62</f>
        <v>0</v>
      </c>
      <c r="Z42" s="236">
        <f>入學要求!X62</f>
        <v>0</v>
      </c>
      <c r="AA42" s="44">
        <f t="shared" si="3"/>
        <v>10</v>
      </c>
      <c r="AB42" s="537"/>
      <c r="AC42" s="36" cm="1">
        <f t="array" ref="AC42">IFERROR(INDEX('Offer Statistics'!$Q$2:$Q$500,MATCH(1,(CityU!$A42='Offer Statistics'!$B$2:$B$500)*(CityU!$AB$2='Offer Statistics'!$K$2:$K$500),0)),"/")</f>
        <v>4</v>
      </c>
      <c r="AD42" s="63" cm="1">
        <f t="array" ref="AD42">IFERROR(INDEX('Offer Statistics'!L$2:L$500,MATCH(1,(CityU!$A42='Offer Statistics'!$B$2:$B$500)*(CityU!$AB$2='Offer Statistics'!$K$2:$K$500),0)),"/")</f>
        <v>2</v>
      </c>
      <c r="AE42" s="63" cm="1">
        <f t="array" ref="AE42">IFERROR(INDEX('Offer Statistics'!M$2:M$500,MATCH(1,(CityU!$A42='Offer Statistics'!$B$2:$B$500)*(CityU!$AB$2='Offer Statistics'!$K$2:$K$500),0)),"/")</f>
        <v>1</v>
      </c>
      <c r="AF42" s="63" cm="1">
        <f t="array" ref="AF42">IFERROR(INDEX('Offer Statistics'!N$2:N$500,MATCH(1,(CityU!$A42='Offer Statistics'!$B$2:$B$500)*(CityU!$AB$2='Offer Statistics'!$K$2:$K$500),0)),"/")</f>
        <v>0</v>
      </c>
      <c r="AG42" s="63" cm="1">
        <f t="array" ref="AG42">IFERROR(INDEX('Offer Statistics'!O$2:O$500,MATCH(1,(CityU!$A42='Offer Statistics'!$B$2:$B$500)*(CityU!$AB$2='Offer Statistics'!$K$2:$K$500),0)),"/")</f>
        <v>1</v>
      </c>
      <c r="AH42" s="63" cm="1">
        <f t="array" ref="AH42">IFERROR(INDEX('Offer Statistics'!P$2:P$500,MATCH(1,(CityU!$A42='Offer Statistics'!$B$2:$B$500)*(CityU!$AB$2='Offer Statistics'!$K$2:$K$500),0)),"/")</f>
        <v>0</v>
      </c>
      <c r="AI42" s="538"/>
      <c r="AJ42" s="36" cm="1">
        <f t="array" ref="AJ42">IFERROR(INDEX('Offer Statistics'!$I$2:$I$500,MATCH(1,(CityU!$A42='Offer Statistics'!$B$2:$B$500)*(CityU!$AB$2='Offer Statistics'!$C$2:$C$500),0)),"/")</f>
        <v>204</v>
      </c>
      <c r="AK42" s="63" cm="1">
        <f t="array" ref="AK42">IFERROR(INDEX('Offer Statistics'!D$2:D$500,MATCH(1,(CityU!$A42='Offer Statistics'!$B$2:$B$500)*(CityU!$AB$2='Offer Statistics'!$C$2:$C$500),0)),"/")</f>
        <v>20</v>
      </c>
      <c r="AL42" s="63" cm="1">
        <f t="array" ref="AL42">IFERROR(INDEX('Offer Statistics'!E$2:E$500,MATCH(1,(CityU!$A42='Offer Statistics'!$B$2:$B$500)*(CityU!$AB$2='Offer Statistics'!$C$2:$C$500),0)),"/")</f>
        <v>31</v>
      </c>
      <c r="AM42" s="63" cm="1">
        <f t="array" ref="AM42">IFERROR(INDEX('Offer Statistics'!F$2:F$500,MATCH(1,(CityU!$A42='Offer Statistics'!$B$2:$B$500)*(CityU!$AB$2='Offer Statistics'!$C$2:$C$500),0)),"/")</f>
        <v>34</v>
      </c>
      <c r="AN42" s="63" cm="1">
        <f t="array" ref="AN42">IFERROR(INDEX('Offer Statistics'!G$2:G$500,MATCH(1,(CityU!$A42='Offer Statistics'!$B$2:$B$500)*(CityU!$AB$2='Offer Statistics'!$C$2:$C$500),0)),"/")</f>
        <v>62</v>
      </c>
      <c r="AO42" s="63" cm="1">
        <f t="array" ref="AO42">IFERROR(INDEX('Offer Statistics'!H$2:H$500,MATCH(1,(CityU!$A42='Offer Statistics'!$B$2:$B$500)*(CityU!$AB$2='Offer Statistics'!$C$2:$C$500),0)),"/")</f>
        <v>57</v>
      </c>
      <c r="AP42" s="15"/>
      <c r="AQ42" s="15" t="str">
        <f t="shared" si="0"/>
        <v>JS1200</v>
      </c>
      <c r="AR42" s="4"/>
      <c r="AS42" s="4"/>
      <c r="AT42" s="4"/>
      <c r="AU42" s="4"/>
      <c r="AV42" s="4"/>
      <c r="AW42" s="4"/>
      <c r="AX42" s="4"/>
      <c r="AY42" s="4"/>
      <c r="AZ42" s="4"/>
      <c r="BA42" s="4"/>
      <c r="BB42" s="4"/>
      <c r="BC42" s="4"/>
      <c r="BD42" s="4"/>
      <c r="BE42" s="4"/>
      <c r="BF42" s="4"/>
    </row>
    <row r="43" spans="1:58" s="2" customFormat="1" ht="18" customHeight="1">
      <c r="A43" s="15" t="str">
        <f>'Reference Score Calculation'!B54</f>
        <v>JS1201</v>
      </c>
      <c r="B43" s="4" t="str">
        <f>'Reference Score Calculation'!D54</f>
        <v>工學院</v>
      </c>
      <c r="C43" s="23" t="str">
        <f>'Reference Score Calculation'!E54</f>
        <v>建築學及土木工程學系 [選項: 工學士(建築工程)、工學士(土木工程)、理學士(建築學及測量學)]</v>
      </c>
      <c r="D43" s="4" t="str">
        <f>'Reference Score Calculation'!S54</f>
        <v>ACE</v>
      </c>
      <c r="E43" s="352" t="str">
        <f>'Reference Score Calculation'!AC54</f>
        <v>Best 5</v>
      </c>
      <c r="F43" s="347" t="str">
        <f>'Reference Score Calculation'!F54</f>
        <v>Best 5</v>
      </c>
      <c r="G43" s="6">
        <f>'Reference Score Calculation'!I54</f>
        <v>42</v>
      </c>
      <c r="H43" s="6">
        <f>'Reference Score Calculation'!J54</f>
        <v>40</v>
      </c>
      <c r="I43" s="45">
        <f>計分版!J77</f>
        <v>4.2000000000000004E-9</v>
      </c>
      <c r="J43" s="176">
        <f t="shared" si="1"/>
        <v>-41.999999995800003</v>
      </c>
      <c r="K43" s="181">
        <f t="shared" si="2"/>
        <v>-9999999999</v>
      </c>
      <c r="L43" s="36">
        <f>'Reference Score Calculation'!U54</f>
        <v>87</v>
      </c>
      <c r="M43" s="84">
        <f>入學要求!Z63</f>
        <v>0</v>
      </c>
      <c r="N43" s="540"/>
      <c r="O43" s="160">
        <f>入學要求!L63</f>
        <v>3</v>
      </c>
      <c r="P43" s="160">
        <f>入學要求!M63</f>
        <v>3</v>
      </c>
      <c r="Q43" s="160">
        <f>入學要求!N63</f>
        <v>3</v>
      </c>
      <c r="R43" s="160">
        <f>入學要求!O63</f>
        <v>1</v>
      </c>
      <c r="S43" s="160">
        <f>入學要求!P63</f>
        <v>3</v>
      </c>
      <c r="T43" s="160">
        <f>入學要求!Q63</f>
        <v>3</v>
      </c>
      <c r="U43" s="236">
        <f>入學要求!S63</f>
        <v>0</v>
      </c>
      <c r="V43" s="236">
        <f>入學要求!T63</f>
        <v>0</v>
      </c>
      <c r="W43" s="236">
        <f>入學要求!U63</f>
        <v>0</v>
      </c>
      <c r="X43" s="236">
        <f>入學要求!V63</f>
        <v>0</v>
      </c>
      <c r="Y43" s="236">
        <f>入學要求!W63</f>
        <v>0</v>
      </c>
      <c r="Z43" s="236">
        <f>入學要求!X63</f>
        <v>0</v>
      </c>
      <c r="AA43" s="44">
        <f t="shared" si="3"/>
        <v>5.17</v>
      </c>
      <c r="AB43" s="537"/>
      <c r="AC43" s="36" cm="1">
        <f t="array" ref="AC43">IFERROR(INDEX('Offer Statistics'!$Q$2:$Q$500,MATCH(1,(CityU!$A43='Offer Statistics'!$B$2:$B$500)*(CityU!$AB$2='Offer Statistics'!$K$2:$K$500),0)),"/")</f>
        <v>98</v>
      </c>
      <c r="AD43" s="63" cm="1">
        <f t="array" ref="AD43">IFERROR(INDEX('Offer Statistics'!L$2:L$500,MATCH(1,(CityU!$A43='Offer Statistics'!$B$2:$B$500)*(CityU!$AB$2='Offer Statistics'!$K$2:$K$500),0)),"/")</f>
        <v>98</v>
      </c>
      <c r="AE43" s="63" cm="1">
        <f t="array" ref="AE43">IFERROR(INDEX('Offer Statistics'!M$2:M$500,MATCH(1,(CityU!$A43='Offer Statistics'!$B$2:$B$500)*(CityU!$AB$2='Offer Statistics'!$K$2:$K$500),0)),"/")</f>
        <v>0</v>
      </c>
      <c r="AF43" s="63" cm="1">
        <f t="array" ref="AF43">IFERROR(INDEX('Offer Statistics'!N$2:N$500,MATCH(1,(CityU!$A43='Offer Statistics'!$B$2:$B$500)*(CityU!$AB$2='Offer Statistics'!$K$2:$K$500),0)),"/")</f>
        <v>0</v>
      </c>
      <c r="AG43" s="63" cm="1">
        <f t="array" ref="AG43">IFERROR(INDEX('Offer Statistics'!O$2:O$500,MATCH(1,(CityU!$A43='Offer Statistics'!$B$2:$B$500)*(CityU!$AB$2='Offer Statistics'!$K$2:$K$500),0)),"/")</f>
        <v>0</v>
      </c>
      <c r="AH43" s="63" cm="1">
        <f t="array" ref="AH43">IFERROR(INDEX('Offer Statistics'!P$2:P$500,MATCH(1,(CityU!$A43='Offer Statistics'!$B$2:$B$500)*(CityU!$AB$2='Offer Statistics'!$K$2:$K$500),0)),"/")</f>
        <v>0</v>
      </c>
      <c r="AI43" s="538"/>
      <c r="AJ43" s="36" cm="1">
        <f t="array" ref="AJ43">IFERROR(INDEX('Offer Statistics'!$I$2:$I$500,MATCH(1,(CityU!$A43='Offer Statistics'!$B$2:$B$500)*(CityU!$AB$2='Offer Statistics'!$C$2:$C$500),0)),"/")</f>
        <v>2405</v>
      </c>
      <c r="AK43" s="63" cm="1">
        <f t="array" ref="AK43">IFERROR(INDEX('Offer Statistics'!D$2:D$500,MATCH(1,(CityU!$A43='Offer Statistics'!$B$2:$B$500)*(CityU!$AB$2='Offer Statistics'!$C$2:$C$500),0)),"/")</f>
        <v>507</v>
      </c>
      <c r="AL43" s="63" cm="1">
        <f t="array" ref="AL43">IFERROR(INDEX('Offer Statistics'!E$2:E$500,MATCH(1,(CityU!$A43='Offer Statistics'!$B$2:$B$500)*(CityU!$AB$2='Offer Statistics'!$C$2:$C$500),0)),"/")</f>
        <v>492</v>
      </c>
      <c r="AM43" s="63" cm="1">
        <f t="array" ref="AM43">IFERROR(INDEX('Offer Statistics'!F$2:F$500,MATCH(1,(CityU!$A43='Offer Statistics'!$B$2:$B$500)*(CityU!$AB$2='Offer Statistics'!$C$2:$C$500),0)),"/")</f>
        <v>504</v>
      </c>
      <c r="AN43" s="63" cm="1">
        <f t="array" ref="AN43">IFERROR(INDEX('Offer Statistics'!G$2:G$500,MATCH(1,(CityU!$A43='Offer Statistics'!$B$2:$B$500)*(CityU!$AB$2='Offer Statistics'!$C$2:$C$500),0)),"/")</f>
        <v>527</v>
      </c>
      <c r="AO43" s="63" cm="1">
        <f t="array" ref="AO43">IFERROR(INDEX('Offer Statistics'!H$2:H$500,MATCH(1,(CityU!$A43='Offer Statistics'!$B$2:$B$500)*(CityU!$AB$2='Offer Statistics'!$C$2:$C$500),0)),"/")</f>
        <v>375</v>
      </c>
      <c r="AP43" s="15"/>
      <c r="AQ43" s="15" t="str">
        <f t="shared" si="0"/>
        <v>JS1201</v>
      </c>
      <c r="AR43" s="4"/>
      <c r="AS43" s="4"/>
      <c r="AT43" s="4"/>
      <c r="AU43" s="4"/>
      <c r="AV43" s="4"/>
      <c r="AW43" s="4"/>
      <c r="AX43" s="4"/>
      <c r="AY43" s="4"/>
      <c r="AZ43" s="4"/>
      <c r="BA43" s="4"/>
      <c r="BB43" s="4"/>
      <c r="BC43" s="4"/>
      <c r="BD43" s="4"/>
      <c r="BE43" s="4"/>
      <c r="BF43" s="4"/>
    </row>
    <row r="44" spans="1:58" s="2" customFormat="1" ht="18" customHeight="1">
      <c r="A44" s="15" t="str">
        <f>'Reference Score Calculation'!B55</f>
        <v>JS1202</v>
      </c>
      <c r="B44" s="4" t="str">
        <f>'Reference Score Calculation'!D55</f>
        <v>理學院</v>
      </c>
      <c r="C44" s="23" t="str">
        <f>'Reference Score Calculation'!E55</f>
        <v>理學士(化學)</v>
      </c>
      <c r="D44" s="4" t="str">
        <f>'Reference Score Calculation'!S55</f>
        <v>BScCHEM</v>
      </c>
      <c r="E44" s="352" t="str">
        <f>'Reference Score Calculation'!AC55</f>
        <v>Best 4</v>
      </c>
      <c r="F44" s="347" t="str">
        <f>'Reference Score Calculation'!F55</f>
        <v>Best 4</v>
      </c>
      <c r="G44" s="6">
        <f>'Reference Score Calculation'!I55</f>
        <v>26</v>
      </c>
      <c r="H44" s="6">
        <f>'Reference Score Calculation'!J55</f>
        <v>25.5</v>
      </c>
      <c r="I44" s="45">
        <f>計分版!J78</f>
        <v>3.0000000000000004E-9</v>
      </c>
      <c r="J44" s="176">
        <f t="shared" si="1"/>
        <v>-25.999999997</v>
      </c>
      <c r="K44" s="181">
        <f t="shared" si="2"/>
        <v>-8666666665.666666</v>
      </c>
      <c r="L44" s="36">
        <f>'Reference Score Calculation'!U55</f>
        <v>44</v>
      </c>
      <c r="M44" s="84">
        <f>入學要求!Z64</f>
        <v>0</v>
      </c>
      <c r="N44" s="540"/>
      <c r="O44" s="160">
        <f>入學要求!L64</f>
        <v>3</v>
      </c>
      <c r="P44" s="160">
        <f>入學要求!M64</f>
        <v>3</v>
      </c>
      <c r="Q44" s="160">
        <f>入學要求!N64</f>
        <v>2</v>
      </c>
      <c r="R44" s="160">
        <f>入學要求!O64</f>
        <v>1</v>
      </c>
      <c r="S44" s="160">
        <f>入學要求!P64</f>
        <v>3</v>
      </c>
      <c r="T44" s="160">
        <f>入學要求!Q64</f>
        <v>3</v>
      </c>
      <c r="U44" s="236">
        <f>入學要求!S64</f>
        <v>0</v>
      </c>
      <c r="V44" s="236">
        <f>入學要求!T64</f>
        <v>0</v>
      </c>
      <c r="W44" s="236">
        <f>入學要求!U64</f>
        <v>0</v>
      </c>
      <c r="X44" s="236">
        <f>入學要求!V64</f>
        <v>0</v>
      </c>
      <c r="Y44" s="236">
        <f>入學要求!W64</f>
        <v>0</v>
      </c>
      <c r="Z44" s="236">
        <f>入學要求!X64</f>
        <v>0</v>
      </c>
      <c r="AA44" s="44">
        <f t="shared" si="3"/>
        <v>7.73</v>
      </c>
      <c r="AB44" s="537"/>
      <c r="AC44" s="36" cm="1">
        <f t="array" ref="AC44">IFERROR(INDEX('Offer Statistics'!$Q$2:$Q$500,MATCH(1,(CityU!$A44='Offer Statistics'!$B$2:$B$500)*(CityU!$AB$2='Offer Statistics'!$K$2:$K$500),0)),"/")</f>
        <v>48</v>
      </c>
      <c r="AD44" s="63" cm="1">
        <f t="array" ref="AD44">IFERROR(INDEX('Offer Statistics'!L$2:L$500,MATCH(1,(CityU!$A44='Offer Statistics'!$B$2:$B$500)*(CityU!$AB$2='Offer Statistics'!$K$2:$K$500),0)),"/")</f>
        <v>40</v>
      </c>
      <c r="AE44" s="63" cm="1">
        <f t="array" ref="AE44">IFERROR(INDEX('Offer Statistics'!M$2:M$500,MATCH(1,(CityU!$A44='Offer Statistics'!$B$2:$B$500)*(CityU!$AB$2='Offer Statistics'!$K$2:$K$500),0)),"/")</f>
        <v>7</v>
      </c>
      <c r="AF44" s="63" cm="1">
        <f t="array" ref="AF44">IFERROR(INDEX('Offer Statistics'!N$2:N$500,MATCH(1,(CityU!$A44='Offer Statistics'!$B$2:$B$500)*(CityU!$AB$2='Offer Statistics'!$K$2:$K$500),0)),"/")</f>
        <v>1</v>
      </c>
      <c r="AG44" s="63" cm="1">
        <f t="array" ref="AG44">IFERROR(INDEX('Offer Statistics'!O$2:O$500,MATCH(1,(CityU!$A44='Offer Statistics'!$B$2:$B$500)*(CityU!$AB$2='Offer Statistics'!$K$2:$K$500),0)),"/")</f>
        <v>0</v>
      </c>
      <c r="AH44" s="63" cm="1">
        <f t="array" ref="AH44">IFERROR(INDEX('Offer Statistics'!P$2:P$500,MATCH(1,(CityU!$A44='Offer Statistics'!$B$2:$B$500)*(CityU!$AB$2='Offer Statistics'!$K$2:$K$500),0)),"/")</f>
        <v>0</v>
      </c>
      <c r="AI44" s="538"/>
      <c r="AJ44" s="36" cm="1">
        <f t="array" ref="AJ44">IFERROR(INDEX('Offer Statistics'!$I$2:$I$500,MATCH(1,(CityU!$A44='Offer Statistics'!$B$2:$B$500)*(CityU!$AB$2='Offer Statistics'!$C$2:$C$500),0)),"/")</f>
        <v>2028</v>
      </c>
      <c r="AK44" s="63" cm="1">
        <f t="array" ref="AK44">IFERROR(INDEX('Offer Statistics'!D$2:D$500,MATCH(1,(CityU!$A44='Offer Statistics'!$B$2:$B$500)*(CityU!$AB$2='Offer Statistics'!$C$2:$C$500),0)),"/")</f>
        <v>309</v>
      </c>
      <c r="AL44" s="63" cm="1">
        <f t="array" ref="AL44">IFERROR(INDEX('Offer Statistics'!E$2:E$500,MATCH(1,(CityU!$A44='Offer Statistics'!$B$2:$B$500)*(CityU!$AB$2='Offer Statistics'!$C$2:$C$500),0)),"/")</f>
        <v>434</v>
      </c>
      <c r="AM44" s="63" cm="1">
        <f t="array" ref="AM44">IFERROR(INDEX('Offer Statistics'!F$2:F$500,MATCH(1,(CityU!$A44='Offer Statistics'!$B$2:$B$500)*(CityU!$AB$2='Offer Statistics'!$C$2:$C$500),0)),"/")</f>
        <v>501</v>
      </c>
      <c r="AN44" s="63" cm="1">
        <f t="array" ref="AN44">IFERROR(INDEX('Offer Statistics'!G$2:G$500,MATCH(1,(CityU!$A44='Offer Statistics'!$B$2:$B$500)*(CityU!$AB$2='Offer Statistics'!$C$2:$C$500),0)),"/")</f>
        <v>459</v>
      </c>
      <c r="AO44" s="63" cm="1">
        <f t="array" ref="AO44">IFERROR(INDEX('Offer Statistics'!H$2:H$500,MATCH(1,(CityU!$A44='Offer Statistics'!$B$2:$B$500)*(CityU!$AB$2='Offer Statistics'!$C$2:$C$500),0)),"/")</f>
        <v>325</v>
      </c>
      <c r="AP44" s="15"/>
      <c r="AQ44" s="15" t="str">
        <f t="shared" si="0"/>
        <v>JS1202</v>
      </c>
      <c r="AR44" s="4"/>
      <c r="AS44" s="4"/>
      <c r="AT44" s="4"/>
      <c r="AU44" s="4"/>
      <c r="AV44" s="4"/>
      <c r="AW44" s="4"/>
      <c r="AX44" s="4"/>
      <c r="AY44" s="4"/>
      <c r="AZ44" s="4"/>
      <c r="BA44" s="4"/>
      <c r="BB44" s="4"/>
      <c r="BC44" s="4"/>
      <c r="BD44" s="4"/>
      <c r="BE44" s="4"/>
      <c r="BF44" s="4"/>
    </row>
    <row r="45" spans="1:58" s="2" customFormat="1" ht="18" customHeight="1">
      <c r="A45" s="15" t="str">
        <f>'Reference Score Calculation'!B56</f>
        <v>JS1204</v>
      </c>
      <c r="B45" s="4" t="str">
        <f>'Reference Score Calculation'!D56</f>
        <v>計算學院</v>
      </c>
      <c r="C45" s="23" t="str">
        <f>'Reference Score Calculation'!E56</f>
        <v>理學士(電腦科學)</v>
      </c>
      <c r="D45" s="4" t="str">
        <f>'Reference Score Calculation'!S56</f>
        <v>BScCSC</v>
      </c>
      <c r="E45" s="352" t="str">
        <f>'Reference Score Calculation'!AC56</f>
        <v>Best 5</v>
      </c>
      <c r="F45" s="334" t="str">
        <f>'Reference Score Calculation'!F56</f>
        <v>Best 5</v>
      </c>
      <c r="G45" s="6">
        <f>'Reference Score Calculation'!I56</f>
        <v>20.5</v>
      </c>
      <c r="H45" s="6">
        <f>'Reference Score Calculation'!J56</f>
        <v>19.5</v>
      </c>
      <c r="I45" s="45">
        <f>計分版!J79</f>
        <v>3.4999999999999999E-9</v>
      </c>
      <c r="J45" s="176">
        <f t="shared" si="1"/>
        <v>-20.499999996500001</v>
      </c>
      <c r="K45" s="181">
        <f t="shared" si="2"/>
        <v>-5857142856.1428576</v>
      </c>
      <c r="L45" s="36">
        <f>'Reference Score Calculation'!U56</f>
        <v>87</v>
      </c>
      <c r="M45" s="84">
        <f>入學要求!Z65</f>
        <v>0</v>
      </c>
      <c r="N45" s="540"/>
      <c r="O45" s="160">
        <f>入學要求!L65</f>
        <v>3</v>
      </c>
      <c r="P45" s="160">
        <f>入學要求!M65</f>
        <v>3</v>
      </c>
      <c r="Q45" s="160">
        <f>入學要求!N65</f>
        <v>3</v>
      </c>
      <c r="R45" s="160">
        <f>入學要求!O65</f>
        <v>1</v>
      </c>
      <c r="S45" s="160">
        <f>入學要求!P65</f>
        <v>3</v>
      </c>
      <c r="T45" s="160">
        <f>入學要求!Q65</f>
        <v>3</v>
      </c>
      <c r="U45" s="236">
        <f>入學要求!S65</f>
        <v>0</v>
      </c>
      <c r="V45" s="236">
        <f>入學要求!T65</f>
        <v>0</v>
      </c>
      <c r="W45" s="236">
        <f>入學要求!U65</f>
        <v>0</v>
      </c>
      <c r="X45" s="236">
        <f>入學要求!V65</f>
        <v>0</v>
      </c>
      <c r="Y45" s="236">
        <f>入學要求!W65</f>
        <v>0</v>
      </c>
      <c r="Z45" s="236">
        <f>入學要求!X65</f>
        <v>0</v>
      </c>
      <c r="AA45" s="44">
        <f t="shared" si="3"/>
        <v>11.31</v>
      </c>
      <c r="AB45" s="537"/>
      <c r="AC45" s="36" cm="1">
        <f t="array" ref="AC45">IFERROR(INDEX('Offer Statistics'!$Q$2:$Q$500,MATCH(1,(CityU!$A45='Offer Statistics'!$B$2:$B$500)*(CityU!$AB$2='Offer Statistics'!$K$2:$K$500),0)),"/")</f>
        <v>85</v>
      </c>
      <c r="AD45" s="63" cm="1">
        <f t="array" ref="AD45">IFERROR(INDEX('Offer Statistics'!L$2:L$500,MATCH(1,(CityU!$A45='Offer Statistics'!$B$2:$B$500)*(CityU!$AB$2='Offer Statistics'!$K$2:$K$500),0)),"/")</f>
        <v>78</v>
      </c>
      <c r="AE45" s="63" cm="1">
        <f t="array" ref="AE45">IFERROR(INDEX('Offer Statistics'!M$2:M$500,MATCH(1,(CityU!$A45='Offer Statistics'!$B$2:$B$500)*(CityU!$AB$2='Offer Statistics'!$K$2:$K$500),0)),"/")</f>
        <v>7</v>
      </c>
      <c r="AF45" s="63" cm="1">
        <f t="array" ref="AF45">IFERROR(INDEX('Offer Statistics'!N$2:N$500,MATCH(1,(CityU!$A45='Offer Statistics'!$B$2:$B$500)*(CityU!$AB$2='Offer Statistics'!$K$2:$K$500),0)),"/")</f>
        <v>0</v>
      </c>
      <c r="AG45" s="63" cm="1">
        <f t="array" ref="AG45">IFERROR(INDEX('Offer Statistics'!O$2:O$500,MATCH(1,(CityU!$A45='Offer Statistics'!$B$2:$B$500)*(CityU!$AB$2='Offer Statistics'!$K$2:$K$500),0)),"/")</f>
        <v>0</v>
      </c>
      <c r="AH45" s="63" cm="1">
        <f t="array" ref="AH45">IFERROR(INDEX('Offer Statistics'!P$2:P$500,MATCH(1,(CityU!$A45='Offer Statistics'!$B$2:$B$500)*(CityU!$AB$2='Offer Statistics'!$K$2:$K$500),0)),"/")</f>
        <v>0</v>
      </c>
      <c r="AI45" s="538"/>
      <c r="AJ45" s="36" cm="1">
        <f t="array" ref="AJ45">IFERROR(INDEX('Offer Statistics'!$I$2:$I$500,MATCH(1,(CityU!$A45='Offer Statistics'!$B$2:$B$500)*(CityU!$AB$2='Offer Statistics'!$C$2:$C$500),0)),"/")</f>
        <v>3765</v>
      </c>
      <c r="AK45" s="63" cm="1">
        <f t="array" ref="AK45">IFERROR(INDEX('Offer Statistics'!D$2:D$500,MATCH(1,(CityU!$A45='Offer Statistics'!$B$2:$B$500)*(CityU!$AB$2='Offer Statistics'!$C$2:$C$500),0)),"/")</f>
        <v>882</v>
      </c>
      <c r="AL45" s="63" cm="1">
        <f t="array" ref="AL45">IFERROR(INDEX('Offer Statistics'!E$2:E$500,MATCH(1,(CityU!$A45='Offer Statistics'!$B$2:$B$500)*(CityU!$AB$2='Offer Statistics'!$C$2:$C$500),0)),"/")</f>
        <v>795</v>
      </c>
      <c r="AM45" s="63" cm="1">
        <f t="array" ref="AM45">IFERROR(INDEX('Offer Statistics'!F$2:F$500,MATCH(1,(CityU!$A45='Offer Statistics'!$B$2:$B$500)*(CityU!$AB$2='Offer Statistics'!$C$2:$C$500),0)),"/")</f>
        <v>806</v>
      </c>
      <c r="AN45" s="63" cm="1">
        <f t="array" ref="AN45">IFERROR(INDEX('Offer Statistics'!G$2:G$500,MATCH(1,(CityU!$A45='Offer Statistics'!$B$2:$B$500)*(CityU!$AB$2='Offer Statistics'!$C$2:$C$500),0)),"/")</f>
        <v>797</v>
      </c>
      <c r="AO45" s="63" cm="1">
        <f t="array" ref="AO45">IFERROR(INDEX('Offer Statistics'!H$2:H$500,MATCH(1,(CityU!$A45='Offer Statistics'!$B$2:$B$500)*(CityU!$AB$2='Offer Statistics'!$C$2:$C$500),0)),"/")</f>
        <v>485</v>
      </c>
      <c r="AP45" s="15"/>
      <c r="AQ45" s="15" t="str">
        <f t="shared" si="0"/>
        <v>JS1204</v>
      </c>
      <c r="AR45" s="4"/>
      <c r="AS45" s="4"/>
      <c r="AT45" s="4"/>
      <c r="AU45" s="4"/>
      <c r="AV45" s="4"/>
      <c r="AW45" s="4"/>
      <c r="AX45" s="4"/>
      <c r="AY45" s="4"/>
      <c r="AZ45" s="4"/>
      <c r="BA45" s="4"/>
      <c r="BB45" s="4"/>
      <c r="BC45" s="4"/>
      <c r="BD45" s="4"/>
      <c r="BE45" s="4"/>
      <c r="BF45" s="4"/>
    </row>
    <row r="46" spans="1:58" s="2" customFormat="1" ht="18" customHeight="1">
      <c r="A46" s="15" t="str">
        <f>'Reference Score Calculation'!B57</f>
        <v>JS1205</v>
      </c>
      <c r="B46" s="4" t="str">
        <f>'Reference Score Calculation'!D57</f>
        <v>工學院</v>
      </c>
      <c r="C46" s="23" t="str">
        <f>'Reference Score Calculation'!E57</f>
        <v>電機工程學系 [選項: 工學士(電子計算機及數據工程學)、工學士(電子及電機工程學)、工學士(資訊工程學)、工學士(微電子工程學)]</v>
      </c>
      <c r="D46" s="4" t="str">
        <f>'Reference Score Calculation'!S57</f>
        <v>EE</v>
      </c>
      <c r="E46" s="352" t="str">
        <f>'Reference Score Calculation'!AC57</f>
        <v>Best 5</v>
      </c>
      <c r="F46" s="347" t="str">
        <f>'Reference Score Calculation'!F57</f>
        <v>Best 5</v>
      </c>
      <c r="G46" s="6">
        <f>'Reference Score Calculation'!I57</f>
        <v>34.5</v>
      </c>
      <c r="H46" s="6">
        <f>'Reference Score Calculation'!J57</f>
        <v>34</v>
      </c>
      <c r="I46" s="45">
        <f>計分版!J80</f>
        <v>3.7E-9</v>
      </c>
      <c r="J46" s="176">
        <f t="shared" si="1"/>
        <v>-34.499999996299998</v>
      </c>
      <c r="K46" s="181">
        <f t="shared" si="2"/>
        <v>-9324324323.3243237</v>
      </c>
      <c r="L46" s="36">
        <f>'Reference Score Calculation'!U57</f>
        <v>163</v>
      </c>
      <c r="M46" s="84">
        <f>入學要求!Z66</f>
        <v>0</v>
      </c>
      <c r="N46" s="540"/>
      <c r="O46" s="160">
        <f>入學要求!L66</f>
        <v>3</v>
      </c>
      <c r="P46" s="160">
        <f>入學要求!M66</f>
        <v>3</v>
      </c>
      <c r="Q46" s="160">
        <f>入學要求!N66</f>
        <v>3</v>
      </c>
      <c r="R46" s="160">
        <f>入學要求!O66</f>
        <v>1</v>
      </c>
      <c r="S46" s="160">
        <f>入學要求!P66</f>
        <v>3</v>
      </c>
      <c r="T46" s="160">
        <f>入學要求!Q66</f>
        <v>3</v>
      </c>
      <c r="U46" s="236">
        <f>入學要求!S66</f>
        <v>0</v>
      </c>
      <c r="V46" s="236">
        <f>入學要求!T66</f>
        <v>0</v>
      </c>
      <c r="W46" s="236">
        <f>入學要求!U66</f>
        <v>0</v>
      </c>
      <c r="X46" s="236">
        <f>入學要求!V66</f>
        <v>0</v>
      </c>
      <c r="Y46" s="236">
        <f>入學要求!W66</f>
        <v>0</v>
      </c>
      <c r="Z46" s="236">
        <f>入學要求!X66</f>
        <v>0</v>
      </c>
      <c r="AA46" s="44">
        <f t="shared" si="3"/>
        <v>7.75</v>
      </c>
      <c r="AB46" s="537"/>
      <c r="AC46" s="36" cm="1">
        <f t="array" ref="AC46">IFERROR(INDEX('Offer Statistics'!$Q$2:$Q$500,MATCH(1,(CityU!$A46='Offer Statistics'!$B$2:$B$500)*(CityU!$AB$2='Offer Statistics'!$K$2:$K$500),0)),"/")</f>
        <v>126</v>
      </c>
      <c r="AD46" s="63" cm="1">
        <f t="array" ref="AD46">IFERROR(INDEX('Offer Statistics'!L$2:L$500,MATCH(1,(CityU!$A46='Offer Statistics'!$B$2:$B$500)*(CityU!$AB$2='Offer Statistics'!$K$2:$K$500),0)),"/")</f>
        <v>114</v>
      </c>
      <c r="AE46" s="63" cm="1">
        <f t="array" ref="AE46">IFERROR(INDEX('Offer Statistics'!M$2:M$500,MATCH(1,(CityU!$A46='Offer Statistics'!$B$2:$B$500)*(CityU!$AB$2='Offer Statistics'!$K$2:$K$500),0)),"/")</f>
        <v>10</v>
      </c>
      <c r="AF46" s="63" cm="1">
        <f t="array" ref="AF46">IFERROR(INDEX('Offer Statistics'!N$2:N$500,MATCH(1,(CityU!$A46='Offer Statistics'!$B$2:$B$500)*(CityU!$AB$2='Offer Statistics'!$K$2:$K$500),0)),"/")</f>
        <v>2</v>
      </c>
      <c r="AG46" s="63" cm="1">
        <f t="array" ref="AG46">IFERROR(INDEX('Offer Statistics'!O$2:O$500,MATCH(1,(CityU!$A46='Offer Statistics'!$B$2:$B$500)*(CityU!$AB$2='Offer Statistics'!$K$2:$K$500),0)),"/")</f>
        <v>0</v>
      </c>
      <c r="AH46" s="63" cm="1">
        <f t="array" ref="AH46">IFERROR(INDEX('Offer Statistics'!P$2:P$500,MATCH(1,(CityU!$A46='Offer Statistics'!$B$2:$B$500)*(CityU!$AB$2='Offer Statistics'!$K$2:$K$500),0)),"/")</f>
        <v>0</v>
      </c>
      <c r="AI46" s="538"/>
      <c r="AJ46" s="36" cm="1">
        <f t="array" ref="AJ46">IFERROR(INDEX('Offer Statistics'!$I$2:$I$500,MATCH(1,(CityU!$A46='Offer Statistics'!$B$2:$B$500)*(CityU!$AB$2='Offer Statistics'!$C$2:$C$500),0)),"/")</f>
        <v>3138</v>
      </c>
      <c r="AK46" s="63" cm="1">
        <f t="array" ref="AK46">IFERROR(INDEX('Offer Statistics'!D$2:D$500,MATCH(1,(CityU!$A46='Offer Statistics'!$B$2:$B$500)*(CityU!$AB$2='Offer Statistics'!$C$2:$C$500),0)),"/")</f>
        <v>884</v>
      </c>
      <c r="AL46" s="63" cm="1">
        <f t="array" ref="AL46">IFERROR(INDEX('Offer Statistics'!E$2:E$500,MATCH(1,(CityU!$A46='Offer Statistics'!$B$2:$B$500)*(CityU!$AB$2='Offer Statistics'!$C$2:$C$500),0)),"/")</f>
        <v>649</v>
      </c>
      <c r="AM46" s="63" cm="1">
        <f t="array" ref="AM46">IFERROR(INDEX('Offer Statistics'!F$2:F$500,MATCH(1,(CityU!$A46='Offer Statistics'!$B$2:$B$500)*(CityU!$AB$2='Offer Statistics'!$C$2:$C$500),0)),"/")</f>
        <v>580</v>
      </c>
      <c r="AN46" s="63" cm="1">
        <f t="array" ref="AN46">IFERROR(INDEX('Offer Statistics'!G$2:G$500,MATCH(1,(CityU!$A46='Offer Statistics'!$B$2:$B$500)*(CityU!$AB$2='Offer Statistics'!$C$2:$C$500),0)),"/")</f>
        <v>614</v>
      </c>
      <c r="AO46" s="63" cm="1">
        <f t="array" ref="AO46">IFERROR(INDEX('Offer Statistics'!H$2:H$500,MATCH(1,(CityU!$A46='Offer Statistics'!$B$2:$B$500)*(CityU!$AB$2='Offer Statistics'!$C$2:$C$500),0)),"/")</f>
        <v>411</v>
      </c>
      <c r="AP46" s="15"/>
      <c r="AQ46" s="15" t="str">
        <f t="shared" si="0"/>
        <v>JS1205</v>
      </c>
      <c r="AR46" s="4"/>
      <c r="AS46" s="4"/>
      <c r="AT46" s="4"/>
      <c r="AU46" s="4"/>
      <c r="AV46" s="4"/>
      <c r="AW46" s="4"/>
      <c r="AX46" s="4"/>
      <c r="AY46" s="4"/>
      <c r="AZ46" s="4"/>
      <c r="BA46" s="4"/>
      <c r="BB46" s="4"/>
      <c r="BC46" s="4"/>
      <c r="BD46" s="4"/>
      <c r="BE46" s="4"/>
      <c r="BF46" s="4"/>
    </row>
    <row r="47" spans="1:58" s="2" customFormat="1" ht="18" customHeight="1">
      <c r="A47" s="15" t="str">
        <f>'Reference Score Calculation'!B58</f>
        <v>JS1206</v>
      </c>
      <c r="B47" s="4" t="str">
        <f>'Reference Score Calculation'!D58</f>
        <v>理學院</v>
      </c>
      <c r="C47" s="23" t="str">
        <f>'Reference Score Calculation'!E58</f>
        <v>理學士(計算數學)</v>
      </c>
      <c r="D47" s="4" t="str">
        <f>'Reference Score Calculation'!S58</f>
        <v>BScCM</v>
      </c>
      <c r="E47" s="352" t="str">
        <f>'Reference Score Calculation'!AC58</f>
        <v>Best 4</v>
      </c>
      <c r="F47" s="347" t="str">
        <f>'Reference Score Calculation'!F58</f>
        <v>Best 4</v>
      </c>
      <c r="G47" s="6">
        <f>'Reference Score Calculation'!I58</f>
        <v>34</v>
      </c>
      <c r="H47" s="6">
        <f>'Reference Score Calculation'!J58</f>
        <v>32.5</v>
      </c>
      <c r="I47" s="45">
        <f>計分版!J81</f>
        <v>3.4500000000000003E-9</v>
      </c>
      <c r="J47" s="176">
        <f t="shared" si="1"/>
        <v>-33.999999996550002</v>
      </c>
      <c r="K47" s="181">
        <f t="shared" si="2"/>
        <v>-9855072462.768116</v>
      </c>
      <c r="L47" s="36">
        <f>'Reference Score Calculation'!U58</f>
        <v>36</v>
      </c>
      <c r="M47" s="84">
        <f>入學要求!Z67</f>
        <v>0</v>
      </c>
      <c r="N47" s="540"/>
      <c r="O47" s="160">
        <f>入學要求!L67</f>
        <v>3</v>
      </c>
      <c r="P47" s="160">
        <f>入學要求!M67</f>
        <v>3</v>
      </c>
      <c r="Q47" s="160">
        <f>入學要求!N67</f>
        <v>3</v>
      </c>
      <c r="R47" s="160">
        <f>入學要求!O67</f>
        <v>1</v>
      </c>
      <c r="S47" s="160">
        <f>入學要求!P67</f>
        <v>3</v>
      </c>
      <c r="T47" s="160">
        <f>入學要求!Q67</f>
        <v>3</v>
      </c>
      <c r="U47" s="236">
        <f>入學要求!S67</f>
        <v>0</v>
      </c>
      <c r="V47" s="236">
        <f>入學要求!T67</f>
        <v>0</v>
      </c>
      <c r="W47" s="236">
        <f>入學要求!U67</f>
        <v>0</v>
      </c>
      <c r="X47" s="236">
        <f>入學要求!V67</f>
        <v>0</v>
      </c>
      <c r="Y47" s="236">
        <f>入學要求!W67</f>
        <v>0</v>
      </c>
      <c r="Z47" s="236">
        <f>入學要求!X67</f>
        <v>0</v>
      </c>
      <c r="AA47" s="44">
        <f t="shared" si="3"/>
        <v>17.760000000000002</v>
      </c>
      <c r="AB47" s="537"/>
      <c r="AC47" s="36" cm="1">
        <f t="array" ref="AC47">IFERROR(INDEX('Offer Statistics'!$Q$2:$Q$500,MATCH(1,(CityU!$A47='Offer Statistics'!$B$2:$B$500)*(CityU!$AB$2='Offer Statistics'!$K$2:$K$500),0)),"/")</f>
        <v>27</v>
      </c>
      <c r="AD47" s="63" cm="1">
        <f t="array" ref="AD47">IFERROR(INDEX('Offer Statistics'!L$2:L$500,MATCH(1,(CityU!$A47='Offer Statistics'!$B$2:$B$500)*(CityU!$AB$2='Offer Statistics'!$K$2:$K$500),0)),"/")</f>
        <v>21</v>
      </c>
      <c r="AE47" s="63" cm="1">
        <f t="array" ref="AE47">IFERROR(INDEX('Offer Statistics'!M$2:M$500,MATCH(1,(CityU!$A47='Offer Statistics'!$B$2:$B$500)*(CityU!$AB$2='Offer Statistics'!$K$2:$K$500),0)),"/")</f>
        <v>4</v>
      </c>
      <c r="AF47" s="63" cm="1">
        <f t="array" ref="AF47">IFERROR(INDEX('Offer Statistics'!N$2:N$500,MATCH(1,(CityU!$A47='Offer Statistics'!$B$2:$B$500)*(CityU!$AB$2='Offer Statistics'!$K$2:$K$500),0)),"/")</f>
        <v>1</v>
      </c>
      <c r="AG47" s="63" cm="1">
        <f t="array" ref="AG47">IFERROR(INDEX('Offer Statistics'!O$2:O$500,MATCH(1,(CityU!$A47='Offer Statistics'!$B$2:$B$500)*(CityU!$AB$2='Offer Statistics'!$K$2:$K$500),0)),"/")</f>
        <v>0</v>
      </c>
      <c r="AH47" s="63" cm="1">
        <f t="array" ref="AH47">IFERROR(INDEX('Offer Statistics'!P$2:P$500,MATCH(1,(CityU!$A47='Offer Statistics'!$B$2:$B$500)*(CityU!$AB$2='Offer Statistics'!$K$2:$K$500),0)),"/")</f>
        <v>1</v>
      </c>
      <c r="AI47" s="538"/>
      <c r="AJ47" s="36" cm="1">
        <f t="array" ref="AJ47">IFERROR(INDEX('Offer Statistics'!$I$2:$I$500,MATCH(1,(CityU!$A47='Offer Statistics'!$B$2:$B$500)*(CityU!$AB$2='Offer Statistics'!$C$2:$C$500),0)),"/")</f>
        <v>1736</v>
      </c>
      <c r="AK47" s="63" cm="1">
        <f t="array" ref="AK47">IFERROR(INDEX('Offer Statistics'!D$2:D$500,MATCH(1,(CityU!$A47='Offer Statistics'!$B$2:$B$500)*(CityU!$AB$2='Offer Statistics'!$C$2:$C$500),0)),"/")</f>
        <v>373</v>
      </c>
      <c r="AL47" s="63" cm="1">
        <f t="array" ref="AL47">IFERROR(INDEX('Offer Statistics'!E$2:E$500,MATCH(1,(CityU!$A47='Offer Statistics'!$B$2:$B$500)*(CityU!$AB$2='Offer Statistics'!$C$2:$C$500),0)),"/")</f>
        <v>344</v>
      </c>
      <c r="AM47" s="63" cm="1">
        <f t="array" ref="AM47">IFERROR(INDEX('Offer Statistics'!F$2:F$500,MATCH(1,(CityU!$A47='Offer Statistics'!$B$2:$B$500)*(CityU!$AB$2='Offer Statistics'!$C$2:$C$500),0)),"/")</f>
        <v>332</v>
      </c>
      <c r="AN47" s="63" cm="1">
        <f t="array" ref="AN47">IFERROR(INDEX('Offer Statistics'!G$2:G$500,MATCH(1,(CityU!$A47='Offer Statistics'!$B$2:$B$500)*(CityU!$AB$2='Offer Statistics'!$C$2:$C$500),0)),"/")</f>
        <v>387</v>
      </c>
      <c r="AO47" s="63" cm="1">
        <f t="array" ref="AO47">IFERROR(INDEX('Offer Statistics'!H$2:H$500,MATCH(1,(CityU!$A47='Offer Statistics'!$B$2:$B$500)*(CityU!$AB$2='Offer Statistics'!$C$2:$C$500),0)),"/")</f>
        <v>300</v>
      </c>
      <c r="AP47" s="15"/>
      <c r="AQ47" s="15" t="str">
        <f t="shared" si="0"/>
        <v>JS1206</v>
      </c>
      <c r="AR47" s="4"/>
      <c r="AS47" s="4"/>
      <c r="AT47" s="4"/>
      <c r="AU47" s="4"/>
      <c r="AV47" s="4"/>
      <c r="AW47" s="4"/>
      <c r="AX47" s="4"/>
      <c r="AY47" s="4"/>
      <c r="AZ47" s="4"/>
      <c r="BA47" s="4"/>
      <c r="BB47" s="4"/>
      <c r="BC47" s="4"/>
      <c r="BD47" s="4"/>
      <c r="BE47" s="4"/>
      <c r="BF47" s="4"/>
    </row>
    <row r="48" spans="1:58" s="2" customFormat="1" ht="18" customHeight="1">
      <c r="A48" s="15" t="str">
        <f>'Reference Score Calculation'!B59</f>
        <v>JS1207</v>
      </c>
      <c r="B48" s="4" t="str">
        <f>'Reference Score Calculation'!D59</f>
        <v>工學院</v>
      </c>
      <c r="C48" s="23" t="str">
        <f>'Reference Score Calculation'!E59</f>
        <v>機械工程學系 [選項: 工學士(航空航天工程)、工學士(機械工程)、工學士(核子及風險工程)]</v>
      </c>
      <c r="D48" s="4" t="str">
        <f>'Reference Score Calculation'!S59</f>
        <v>MNE</v>
      </c>
      <c r="E48" s="352" t="str">
        <f>'Reference Score Calculation'!AC59</f>
        <v>Best 5</v>
      </c>
      <c r="F48" s="347" t="str">
        <f>'Reference Score Calculation'!F59</f>
        <v>Best 5</v>
      </c>
      <c r="G48" s="6">
        <f>'Reference Score Calculation'!I59</f>
        <v>31</v>
      </c>
      <c r="H48" s="6">
        <f>'Reference Score Calculation'!J59</f>
        <v>30.5</v>
      </c>
      <c r="I48" s="45">
        <f>計分版!J82</f>
        <v>3.7500000000000005E-9</v>
      </c>
      <c r="J48" s="176">
        <f t="shared" si="1"/>
        <v>-30.999999996250001</v>
      </c>
      <c r="K48" s="181">
        <f t="shared" si="2"/>
        <v>-8266666665.666666</v>
      </c>
      <c r="L48" s="36">
        <f>'Reference Score Calculation'!U59</f>
        <v>87</v>
      </c>
      <c r="M48" s="84">
        <f>入學要求!Z68</f>
        <v>0</v>
      </c>
      <c r="N48" s="540"/>
      <c r="O48" s="160">
        <f>入學要求!L68</f>
        <v>3</v>
      </c>
      <c r="P48" s="160">
        <f>入學要求!M68</f>
        <v>3</v>
      </c>
      <c r="Q48" s="160">
        <f>入學要求!N68</f>
        <v>2</v>
      </c>
      <c r="R48" s="160">
        <f>入學要求!O68</f>
        <v>1</v>
      </c>
      <c r="S48" s="160">
        <f>入學要求!P68</f>
        <v>3</v>
      </c>
      <c r="T48" s="160">
        <f>入學要求!Q68</f>
        <v>3</v>
      </c>
      <c r="U48" s="236">
        <f>入學要求!S68</f>
        <v>0</v>
      </c>
      <c r="V48" s="236">
        <f>入學要求!T68</f>
        <v>0</v>
      </c>
      <c r="W48" s="236">
        <f>入學要求!U68</f>
        <v>0</v>
      </c>
      <c r="X48" s="236">
        <f>入學要求!V68</f>
        <v>0</v>
      </c>
      <c r="Y48" s="236">
        <f>入學要求!W68</f>
        <v>0</v>
      </c>
      <c r="Z48" s="236">
        <f>入學要求!X68</f>
        <v>0</v>
      </c>
      <c r="AA48" s="44">
        <f t="shared" si="3"/>
        <v>8.36</v>
      </c>
      <c r="AB48" s="537"/>
      <c r="AC48" s="36" cm="1">
        <f t="array" ref="AC48">IFERROR(INDEX('Offer Statistics'!$Q$2:$Q$500,MATCH(1,(CityU!$A48='Offer Statistics'!$B$2:$B$500)*(CityU!$AB$2='Offer Statistics'!$K$2:$K$500),0)),"/")</f>
        <v>109</v>
      </c>
      <c r="AD48" s="63" cm="1">
        <f t="array" ref="AD48">IFERROR(INDEX('Offer Statistics'!L$2:L$500,MATCH(1,(CityU!$A48='Offer Statistics'!$B$2:$B$500)*(CityU!$AB$2='Offer Statistics'!$K$2:$K$500),0)),"/")</f>
        <v>85</v>
      </c>
      <c r="AE48" s="63" cm="1">
        <f t="array" ref="AE48">IFERROR(INDEX('Offer Statistics'!M$2:M$500,MATCH(1,(CityU!$A48='Offer Statistics'!$B$2:$B$500)*(CityU!$AB$2='Offer Statistics'!$K$2:$K$500),0)),"/")</f>
        <v>16</v>
      </c>
      <c r="AF48" s="63" cm="1">
        <f t="array" ref="AF48">IFERROR(INDEX('Offer Statistics'!N$2:N$500,MATCH(1,(CityU!$A48='Offer Statistics'!$B$2:$B$500)*(CityU!$AB$2='Offer Statistics'!$K$2:$K$500),0)),"/")</f>
        <v>6</v>
      </c>
      <c r="AG48" s="63" cm="1">
        <f t="array" ref="AG48">IFERROR(INDEX('Offer Statistics'!O$2:O$500,MATCH(1,(CityU!$A48='Offer Statistics'!$B$2:$B$500)*(CityU!$AB$2='Offer Statistics'!$K$2:$K$500),0)),"/")</f>
        <v>0</v>
      </c>
      <c r="AH48" s="63" cm="1">
        <f t="array" ref="AH48">IFERROR(INDEX('Offer Statistics'!P$2:P$500,MATCH(1,(CityU!$A48='Offer Statistics'!$B$2:$B$500)*(CityU!$AB$2='Offer Statistics'!$K$2:$K$500),0)),"/")</f>
        <v>2</v>
      </c>
      <c r="AI48" s="538"/>
      <c r="AJ48" s="36" cm="1">
        <f t="array" ref="AJ48">IFERROR(INDEX('Offer Statistics'!$I$2:$I$500,MATCH(1,(CityU!$A48='Offer Statistics'!$B$2:$B$500)*(CityU!$AB$2='Offer Statistics'!$C$2:$C$500),0)),"/")</f>
        <v>2653</v>
      </c>
      <c r="AK48" s="63" cm="1">
        <f t="array" ref="AK48">IFERROR(INDEX('Offer Statistics'!D$2:D$500,MATCH(1,(CityU!$A48='Offer Statistics'!$B$2:$B$500)*(CityU!$AB$2='Offer Statistics'!$C$2:$C$500),0)),"/")</f>
        <v>711</v>
      </c>
      <c r="AL48" s="63" cm="1">
        <f t="array" ref="AL48">IFERROR(INDEX('Offer Statistics'!E$2:E$500,MATCH(1,(CityU!$A48='Offer Statistics'!$B$2:$B$500)*(CityU!$AB$2='Offer Statistics'!$C$2:$C$500),0)),"/")</f>
        <v>531</v>
      </c>
      <c r="AM48" s="63" cm="1">
        <f t="array" ref="AM48">IFERROR(INDEX('Offer Statistics'!F$2:F$500,MATCH(1,(CityU!$A48='Offer Statistics'!$B$2:$B$500)*(CityU!$AB$2='Offer Statistics'!$C$2:$C$500),0)),"/")</f>
        <v>544</v>
      </c>
      <c r="AN48" s="63" cm="1">
        <f t="array" ref="AN48">IFERROR(INDEX('Offer Statistics'!G$2:G$500,MATCH(1,(CityU!$A48='Offer Statistics'!$B$2:$B$500)*(CityU!$AB$2='Offer Statistics'!$C$2:$C$500),0)),"/")</f>
        <v>497</v>
      </c>
      <c r="AO48" s="63" cm="1">
        <f t="array" ref="AO48">IFERROR(INDEX('Offer Statistics'!H$2:H$500,MATCH(1,(CityU!$A48='Offer Statistics'!$B$2:$B$500)*(CityU!$AB$2='Offer Statistics'!$C$2:$C$500),0)),"/")</f>
        <v>370</v>
      </c>
      <c r="AP48" s="15"/>
      <c r="AQ48" s="15" t="str">
        <f t="shared" si="0"/>
        <v>JS1207</v>
      </c>
      <c r="AR48" s="4"/>
      <c r="AS48" s="4"/>
      <c r="AT48" s="4"/>
      <c r="AU48" s="4"/>
      <c r="AV48" s="4"/>
      <c r="AW48" s="4"/>
      <c r="AX48" s="4"/>
      <c r="AY48" s="4"/>
      <c r="AZ48" s="4"/>
      <c r="BA48" s="4"/>
      <c r="BB48" s="4"/>
      <c r="BC48" s="4"/>
      <c r="BD48" s="4"/>
      <c r="BE48" s="4"/>
      <c r="BF48" s="4"/>
    </row>
    <row r="49" spans="1:58" s="2" customFormat="1" ht="18" customHeight="1">
      <c r="A49" s="15" t="str">
        <f>'Reference Score Calculation'!B60</f>
        <v>JS1208</v>
      </c>
      <c r="B49" s="4" t="str">
        <f>'Reference Score Calculation'!D60</f>
        <v>理學院</v>
      </c>
      <c r="C49" s="23" t="str">
        <f>'Reference Score Calculation'!E60</f>
        <v>理學士(物理學)</v>
      </c>
      <c r="D49" s="4" t="str">
        <f>'Reference Score Calculation'!S60</f>
        <v>BScPHY</v>
      </c>
      <c r="E49" s="352" t="str">
        <f>'Reference Score Calculation'!AC60</f>
        <v>Best 4</v>
      </c>
      <c r="F49" s="347" t="str">
        <f>'Reference Score Calculation'!F60</f>
        <v>Best 4</v>
      </c>
      <c r="G49" s="6">
        <f>'Reference Score Calculation'!I60</f>
        <v>25.5</v>
      </c>
      <c r="H49" s="6">
        <f>'Reference Score Calculation'!J60</f>
        <v>25</v>
      </c>
      <c r="I49" s="45">
        <f>計分版!J83</f>
        <v>2.8250000000000005E-9</v>
      </c>
      <c r="J49" s="176">
        <f t="shared" si="1"/>
        <v>-25.499999997174999</v>
      </c>
      <c r="K49" s="181">
        <f t="shared" si="2"/>
        <v>-9026548671.56637</v>
      </c>
      <c r="L49" s="36">
        <f>'Reference Score Calculation'!U60</f>
        <v>20</v>
      </c>
      <c r="M49" s="84">
        <f>入學要求!Z69</f>
        <v>0</v>
      </c>
      <c r="N49" s="540"/>
      <c r="O49" s="160">
        <f>入學要求!L69</f>
        <v>3</v>
      </c>
      <c r="P49" s="160">
        <f>入學要求!M69</f>
        <v>3</v>
      </c>
      <c r="Q49" s="160">
        <f>入學要求!N69</f>
        <v>2</v>
      </c>
      <c r="R49" s="160">
        <f>入學要求!O69</f>
        <v>1</v>
      </c>
      <c r="S49" s="160">
        <f>入學要求!P69</f>
        <v>3</v>
      </c>
      <c r="T49" s="160">
        <f>入學要求!Q69</f>
        <v>3</v>
      </c>
      <c r="U49" s="236">
        <f>入學要求!S69</f>
        <v>0</v>
      </c>
      <c r="V49" s="236">
        <f>入學要求!T69</f>
        <v>0</v>
      </c>
      <c r="W49" s="236">
        <f>入學要求!U69</f>
        <v>0</v>
      </c>
      <c r="X49" s="236">
        <f>入學要求!V69</f>
        <v>0</v>
      </c>
      <c r="Y49" s="236">
        <f>入學要求!W69</f>
        <v>0</v>
      </c>
      <c r="Z49" s="236">
        <f>入學要求!X69</f>
        <v>0</v>
      </c>
      <c r="AA49" s="44">
        <f t="shared" si="3"/>
        <v>16.46</v>
      </c>
      <c r="AB49" s="537"/>
      <c r="AC49" s="36" cm="1">
        <f t="array" ref="AC49">IFERROR(INDEX('Offer Statistics'!$Q$2:$Q$500,MATCH(1,(CityU!$A49='Offer Statistics'!$B$2:$B$500)*(CityU!$AB$2='Offer Statistics'!$K$2:$K$500),0)),"/")</f>
        <v>19</v>
      </c>
      <c r="AD49" s="63" cm="1">
        <f t="array" ref="AD49">IFERROR(INDEX('Offer Statistics'!L$2:L$500,MATCH(1,(CityU!$A49='Offer Statistics'!$B$2:$B$500)*(CityU!$AB$2='Offer Statistics'!$K$2:$K$500),0)),"/")</f>
        <v>13</v>
      </c>
      <c r="AE49" s="63" cm="1">
        <f t="array" ref="AE49">IFERROR(INDEX('Offer Statistics'!M$2:M$500,MATCH(1,(CityU!$A49='Offer Statistics'!$B$2:$B$500)*(CityU!$AB$2='Offer Statistics'!$K$2:$K$500),0)),"/")</f>
        <v>3</v>
      </c>
      <c r="AF49" s="63" cm="1">
        <f t="array" ref="AF49">IFERROR(INDEX('Offer Statistics'!N$2:N$500,MATCH(1,(CityU!$A49='Offer Statistics'!$B$2:$B$500)*(CityU!$AB$2='Offer Statistics'!$K$2:$K$500),0)),"/")</f>
        <v>1</v>
      </c>
      <c r="AG49" s="63" cm="1">
        <f t="array" ref="AG49">IFERROR(INDEX('Offer Statistics'!O$2:O$500,MATCH(1,(CityU!$A49='Offer Statistics'!$B$2:$B$500)*(CityU!$AB$2='Offer Statistics'!$K$2:$K$500),0)),"/")</f>
        <v>2</v>
      </c>
      <c r="AH49" s="63" cm="1">
        <f t="array" ref="AH49">IFERROR(INDEX('Offer Statistics'!P$2:P$500,MATCH(1,(CityU!$A49='Offer Statistics'!$B$2:$B$500)*(CityU!$AB$2='Offer Statistics'!$K$2:$K$500),0)),"/")</f>
        <v>0</v>
      </c>
      <c r="AI49" s="538"/>
      <c r="AJ49" s="36" cm="1">
        <f t="array" ref="AJ49">IFERROR(INDEX('Offer Statistics'!$I$2:$I$500,MATCH(1,(CityU!$A49='Offer Statistics'!$B$2:$B$500)*(CityU!$AB$2='Offer Statistics'!$C$2:$C$500),0)),"/")</f>
        <v>1491</v>
      </c>
      <c r="AK49" s="63" cm="1">
        <f t="array" ref="AK49">IFERROR(INDEX('Offer Statistics'!D$2:D$500,MATCH(1,(CityU!$A49='Offer Statistics'!$B$2:$B$500)*(CityU!$AB$2='Offer Statistics'!$C$2:$C$500),0)),"/")</f>
        <v>214</v>
      </c>
      <c r="AL49" s="63" cm="1">
        <f t="array" ref="AL49">IFERROR(INDEX('Offer Statistics'!E$2:E$500,MATCH(1,(CityU!$A49='Offer Statistics'!$B$2:$B$500)*(CityU!$AB$2='Offer Statistics'!$C$2:$C$500),0)),"/")</f>
        <v>286</v>
      </c>
      <c r="AM49" s="63" cm="1">
        <f t="array" ref="AM49">IFERROR(INDEX('Offer Statistics'!F$2:F$500,MATCH(1,(CityU!$A49='Offer Statistics'!$B$2:$B$500)*(CityU!$AB$2='Offer Statistics'!$C$2:$C$500),0)),"/")</f>
        <v>346</v>
      </c>
      <c r="AN49" s="63" cm="1">
        <f t="array" ref="AN49">IFERROR(INDEX('Offer Statistics'!G$2:G$500,MATCH(1,(CityU!$A49='Offer Statistics'!$B$2:$B$500)*(CityU!$AB$2='Offer Statistics'!$C$2:$C$500),0)),"/")</f>
        <v>354</v>
      </c>
      <c r="AO49" s="63" cm="1">
        <f t="array" ref="AO49">IFERROR(INDEX('Offer Statistics'!H$2:H$500,MATCH(1,(CityU!$A49='Offer Statistics'!$B$2:$B$500)*(CityU!$AB$2='Offer Statistics'!$C$2:$C$500),0)),"/")</f>
        <v>291</v>
      </c>
      <c r="AP49" s="15"/>
      <c r="AQ49" s="15" t="str">
        <f t="shared" si="0"/>
        <v>JS1208</v>
      </c>
      <c r="AR49" s="4"/>
      <c r="AS49" s="4"/>
      <c r="AT49" s="4"/>
      <c r="AU49" s="4"/>
      <c r="AV49" s="4"/>
      <c r="AW49" s="4"/>
      <c r="AX49" s="4"/>
      <c r="AY49" s="4"/>
      <c r="AZ49" s="4"/>
      <c r="BA49" s="4"/>
      <c r="BB49" s="4"/>
      <c r="BC49" s="4"/>
      <c r="BD49" s="4"/>
      <c r="BE49" s="4"/>
      <c r="BF49" s="4"/>
    </row>
    <row r="50" spans="1:58" s="2" customFormat="1" ht="18" customHeight="1">
      <c r="A50" s="15" t="str">
        <f>'Reference Score Calculation'!B61</f>
        <v>JS1210</v>
      </c>
      <c r="B50" s="4" t="str">
        <f>'Reference Score Calculation'!D61</f>
        <v>工學院</v>
      </c>
      <c r="C50" s="23" t="str">
        <f>'Reference Score Calculation'!E61</f>
        <v>工學士(材料科學及工程)</v>
      </c>
      <c r="D50" s="4" t="str">
        <f>'Reference Score Calculation'!S61</f>
        <v>BEngMASE</v>
      </c>
      <c r="E50" s="352" t="str">
        <f>'Reference Score Calculation'!AC61</f>
        <v>Best 5</v>
      </c>
      <c r="F50" s="347" t="str">
        <f>'Reference Score Calculation'!F61</f>
        <v>Best 5</v>
      </c>
      <c r="G50" s="6">
        <f>'Reference Score Calculation'!I61</f>
        <v>29.5</v>
      </c>
      <c r="H50" s="6">
        <f>'Reference Score Calculation'!J61</f>
        <v>29</v>
      </c>
      <c r="I50" s="45">
        <f>計分版!J84</f>
        <v>3.7500000000000005E-9</v>
      </c>
      <c r="J50" s="176">
        <f t="shared" si="1"/>
        <v>-29.499999996250001</v>
      </c>
      <c r="K50" s="181">
        <f t="shared" si="2"/>
        <v>-7866666665.666666</v>
      </c>
      <c r="L50" s="36">
        <f>'Reference Score Calculation'!U61</f>
        <v>24</v>
      </c>
      <c r="M50" s="84">
        <f>入學要求!Z70</f>
        <v>0</v>
      </c>
      <c r="N50" s="540"/>
      <c r="O50" s="160">
        <f>入學要求!L70</f>
        <v>3</v>
      </c>
      <c r="P50" s="160">
        <f>入學要求!M70</f>
        <v>3</v>
      </c>
      <c r="Q50" s="160">
        <f>入學要求!N70</f>
        <v>2</v>
      </c>
      <c r="R50" s="160">
        <f>入學要求!O70</f>
        <v>1</v>
      </c>
      <c r="S50" s="160">
        <f>入學要求!P70</f>
        <v>3</v>
      </c>
      <c r="T50" s="160">
        <f>入學要求!Q70</f>
        <v>3</v>
      </c>
      <c r="U50" s="236">
        <f>入學要求!S70</f>
        <v>0</v>
      </c>
      <c r="V50" s="236">
        <f>入學要求!T70</f>
        <v>0</v>
      </c>
      <c r="W50" s="236">
        <f>入學要求!U70</f>
        <v>0</v>
      </c>
      <c r="X50" s="236">
        <f>入學要求!V70</f>
        <v>0</v>
      </c>
      <c r="Y50" s="236">
        <f>入學要求!W70</f>
        <v>0</v>
      </c>
      <c r="Z50" s="236">
        <f>入學要求!X70</f>
        <v>0</v>
      </c>
      <c r="AA50" s="44">
        <f t="shared" si="3"/>
        <v>10.59</v>
      </c>
      <c r="AB50" s="537"/>
      <c r="AC50" s="36" cm="1">
        <f t="array" ref="AC50">IFERROR(INDEX('Offer Statistics'!$Q$2:$Q$500,MATCH(1,(CityU!$A50='Offer Statistics'!$B$2:$B$500)*(CityU!$AB$2='Offer Statistics'!$K$2:$K$500),0)),"/")</f>
        <v>31</v>
      </c>
      <c r="AD50" s="63" cm="1">
        <f t="array" ref="AD50">IFERROR(INDEX('Offer Statistics'!L$2:L$500,MATCH(1,(CityU!$A50='Offer Statistics'!$B$2:$B$500)*(CityU!$AB$2='Offer Statistics'!$K$2:$K$500),0)),"/")</f>
        <v>17</v>
      </c>
      <c r="AE50" s="63" cm="1">
        <f t="array" ref="AE50">IFERROR(INDEX('Offer Statistics'!M$2:M$500,MATCH(1,(CityU!$A50='Offer Statistics'!$B$2:$B$500)*(CityU!$AB$2='Offer Statistics'!$K$2:$K$500),0)),"/")</f>
        <v>10</v>
      </c>
      <c r="AF50" s="63" cm="1">
        <f t="array" ref="AF50">IFERROR(INDEX('Offer Statistics'!N$2:N$500,MATCH(1,(CityU!$A50='Offer Statistics'!$B$2:$B$500)*(CityU!$AB$2='Offer Statistics'!$K$2:$K$500),0)),"/")</f>
        <v>3</v>
      </c>
      <c r="AG50" s="63" cm="1">
        <f t="array" ref="AG50">IFERROR(INDEX('Offer Statistics'!O$2:O$500,MATCH(1,(CityU!$A50='Offer Statistics'!$B$2:$B$500)*(CityU!$AB$2='Offer Statistics'!$K$2:$K$500),0)),"/")</f>
        <v>0</v>
      </c>
      <c r="AH50" s="63" cm="1">
        <f t="array" ref="AH50">IFERROR(INDEX('Offer Statistics'!P$2:P$500,MATCH(1,(CityU!$A50='Offer Statistics'!$B$2:$B$500)*(CityU!$AB$2='Offer Statistics'!$K$2:$K$500),0)),"/")</f>
        <v>1</v>
      </c>
      <c r="AI50" s="538"/>
      <c r="AJ50" s="36" cm="1">
        <f t="array" ref="AJ50">IFERROR(INDEX('Offer Statistics'!$I$2:$I$500,MATCH(1,(CityU!$A50='Offer Statistics'!$B$2:$B$500)*(CityU!$AB$2='Offer Statistics'!$C$2:$C$500),0)),"/")</f>
        <v>1365</v>
      </c>
      <c r="AK50" s="63" cm="1">
        <f t="array" ref="AK50">IFERROR(INDEX('Offer Statistics'!D$2:D$500,MATCH(1,(CityU!$A50='Offer Statistics'!$B$2:$B$500)*(CityU!$AB$2='Offer Statistics'!$C$2:$C$500),0)),"/")</f>
        <v>180</v>
      </c>
      <c r="AL50" s="63" cm="1">
        <f t="array" ref="AL50">IFERROR(INDEX('Offer Statistics'!E$2:E$500,MATCH(1,(CityU!$A50='Offer Statistics'!$B$2:$B$500)*(CityU!$AB$2='Offer Statistics'!$C$2:$C$500),0)),"/")</f>
        <v>244</v>
      </c>
      <c r="AM50" s="63" cm="1">
        <f t="array" ref="AM50">IFERROR(INDEX('Offer Statistics'!F$2:F$500,MATCH(1,(CityU!$A50='Offer Statistics'!$B$2:$B$500)*(CityU!$AB$2='Offer Statistics'!$C$2:$C$500),0)),"/")</f>
        <v>315</v>
      </c>
      <c r="AN50" s="63" cm="1">
        <f t="array" ref="AN50">IFERROR(INDEX('Offer Statistics'!G$2:G$500,MATCH(1,(CityU!$A50='Offer Statistics'!$B$2:$B$500)*(CityU!$AB$2='Offer Statistics'!$C$2:$C$500),0)),"/")</f>
        <v>341</v>
      </c>
      <c r="AO50" s="63" cm="1">
        <f t="array" ref="AO50">IFERROR(INDEX('Offer Statistics'!H$2:H$500,MATCH(1,(CityU!$A50='Offer Statistics'!$B$2:$B$500)*(CityU!$AB$2='Offer Statistics'!$C$2:$C$500),0)),"/")</f>
        <v>285</v>
      </c>
      <c r="AP50" s="15"/>
      <c r="AQ50" s="15" t="str">
        <f t="shared" si="0"/>
        <v>JS1210</v>
      </c>
      <c r="AR50" s="4"/>
      <c r="AS50" s="4"/>
      <c r="AT50" s="4"/>
      <c r="AU50" s="4"/>
      <c r="AV50" s="4"/>
      <c r="AW50" s="4"/>
      <c r="AX50" s="4"/>
      <c r="AY50" s="4"/>
      <c r="AZ50" s="4"/>
      <c r="BA50" s="4"/>
      <c r="BB50" s="4"/>
      <c r="BC50" s="4"/>
      <c r="BD50" s="4"/>
      <c r="BE50" s="4"/>
      <c r="BF50" s="4"/>
    </row>
    <row r="51" spans="1:58" s="2" customFormat="1" ht="18" customHeight="1">
      <c r="A51" s="15" t="str">
        <f>'Reference Score Calculation'!B62</f>
        <v>JS1211</v>
      </c>
      <c r="B51" s="4" t="str">
        <f>'Reference Score Calculation'!D62</f>
        <v>工學院</v>
      </c>
      <c r="C51" s="23" t="str">
        <f>'Reference Score Calculation'!E62</f>
        <v>工學士(生物醫學工程)</v>
      </c>
      <c r="D51" s="4" t="str">
        <f>'Reference Score Calculation'!S62</f>
        <v>BEngBME</v>
      </c>
      <c r="E51" s="352" t="str">
        <f>'Reference Score Calculation'!AC62</f>
        <v>Best 5</v>
      </c>
      <c r="F51" s="347" t="str">
        <f>'Reference Score Calculation'!F62</f>
        <v>Best 5</v>
      </c>
      <c r="G51" s="6">
        <f>'Reference Score Calculation'!I62</f>
        <v>36</v>
      </c>
      <c r="H51" s="6">
        <f>'Reference Score Calculation'!J62</f>
        <v>35</v>
      </c>
      <c r="I51" s="45">
        <f>計分版!J85</f>
        <v>4.0000000000000002E-9</v>
      </c>
      <c r="J51" s="176">
        <f t="shared" si="1"/>
        <v>-35.999999996</v>
      </c>
      <c r="K51" s="181">
        <f t="shared" si="2"/>
        <v>-8999999999</v>
      </c>
      <c r="L51" s="36">
        <f>'Reference Score Calculation'!U62</f>
        <v>44</v>
      </c>
      <c r="M51" s="84">
        <f>入學要求!Z71</f>
        <v>0</v>
      </c>
      <c r="N51" s="540"/>
      <c r="O51" s="160">
        <f>入學要求!L71</f>
        <v>3</v>
      </c>
      <c r="P51" s="160">
        <f>入學要求!M71</f>
        <v>3</v>
      </c>
      <c r="Q51" s="160">
        <f>入學要求!N71</f>
        <v>2</v>
      </c>
      <c r="R51" s="160">
        <f>入學要求!O71</f>
        <v>1</v>
      </c>
      <c r="S51" s="160">
        <f>入學要求!P71</f>
        <v>3</v>
      </c>
      <c r="T51" s="160">
        <f>入學要求!Q71</f>
        <v>3</v>
      </c>
      <c r="U51" s="236">
        <f>入學要求!S71</f>
        <v>0</v>
      </c>
      <c r="V51" s="236">
        <f>入學要求!T71</f>
        <v>0</v>
      </c>
      <c r="W51" s="236">
        <f>入學要求!U71</f>
        <v>0</v>
      </c>
      <c r="X51" s="236">
        <f>入學要求!V71</f>
        <v>0</v>
      </c>
      <c r="Y51" s="236">
        <f>入學要求!W71</f>
        <v>0</v>
      </c>
      <c r="Z51" s="236">
        <f>入學要求!X71</f>
        <v>0</v>
      </c>
      <c r="AA51" s="44">
        <f t="shared" si="3"/>
        <v>7.11</v>
      </c>
      <c r="AB51" s="537"/>
      <c r="AC51" s="36" cm="1">
        <f t="array" ref="AC51">IFERROR(INDEX('Offer Statistics'!$Q$2:$Q$500,MATCH(1,(CityU!$A51='Offer Statistics'!$B$2:$B$500)*(CityU!$AB$2='Offer Statistics'!$K$2:$K$500),0)),"/")</f>
        <v>57</v>
      </c>
      <c r="AD51" s="63" cm="1">
        <f t="array" ref="AD51">IFERROR(INDEX('Offer Statistics'!L$2:L$500,MATCH(1,(CityU!$A51='Offer Statistics'!$B$2:$B$500)*(CityU!$AB$2='Offer Statistics'!$K$2:$K$500),0)),"/")</f>
        <v>47</v>
      </c>
      <c r="AE51" s="63" cm="1">
        <f t="array" ref="AE51">IFERROR(INDEX('Offer Statistics'!M$2:M$500,MATCH(1,(CityU!$A51='Offer Statistics'!$B$2:$B$500)*(CityU!$AB$2='Offer Statistics'!$K$2:$K$500),0)),"/")</f>
        <v>7</v>
      </c>
      <c r="AF51" s="63" cm="1">
        <f t="array" ref="AF51">IFERROR(INDEX('Offer Statistics'!N$2:N$500,MATCH(1,(CityU!$A51='Offer Statistics'!$B$2:$B$500)*(CityU!$AB$2='Offer Statistics'!$K$2:$K$500),0)),"/")</f>
        <v>3</v>
      </c>
      <c r="AG51" s="63" cm="1">
        <f t="array" ref="AG51">IFERROR(INDEX('Offer Statistics'!O$2:O$500,MATCH(1,(CityU!$A51='Offer Statistics'!$B$2:$B$500)*(CityU!$AB$2='Offer Statistics'!$K$2:$K$500),0)),"/")</f>
        <v>0</v>
      </c>
      <c r="AH51" s="63" cm="1">
        <f t="array" ref="AH51">IFERROR(INDEX('Offer Statistics'!P$2:P$500,MATCH(1,(CityU!$A51='Offer Statistics'!$B$2:$B$500)*(CityU!$AB$2='Offer Statistics'!$K$2:$K$500),0)),"/")</f>
        <v>0</v>
      </c>
      <c r="AI51" s="538"/>
      <c r="AJ51" s="36" cm="1">
        <f t="array" ref="AJ51">IFERROR(INDEX('Offer Statistics'!$I$2:$I$500,MATCH(1,(CityU!$A51='Offer Statistics'!$B$2:$B$500)*(CityU!$AB$2='Offer Statistics'!$C$2:$C$500),0)),"/")</f>
        <v>2321</v>
      </c>
      <c r="AK51" s="63" cm="1">
        <f t="array" ref="AK51">IFERROR(INDEX('Offer Statistics'!D$2:D$500,MATCH(1,(CityU!$A51='Offer Statistics'!$B$2:$B$500)*(CityU!$AB$2='Offer Statistics'!$C$2:$C$500),0)),"/")</f>
        <v>334</v>
      </c>
      <c r="AL51" s="63" cm="1">
        <f t="array" ref="AL51">IFERROR(INDEX('Offer Statistics'!E$2:E$500,MATCH(1,(CityU!$A51='Offer Statistics'!$B$2:$B$500)*(CityU!$AB$2='Offer Statistics'!$C$2:$C$500),0)),"/")</f>
        <v>434</v>
      </c>
      <c r="AM51" s="63" cm="1">
        <f t="array" ref="AM51">IFERROR(INDEX('Offer Statistics'!F$2:F$500,MATCH(1,(CityU!$A51='Offer Statistics'!$B$2:$B$500)*(CityU!$AB$2='Offer Statistics'!$C$2:$C$500),0)),"/")</f>
        <v>514</v>
      </c>
      <c r="AN51" s="63" cm="1">
        <f t="array" ref="AN51">IFERROR(INDEX('Offer Statistics'!G$2:G$500,MATCH(1,(CityU!$A51='Offer Statistics'!$B$2:$B$500)*(CityU!$AB$2='Offer Statistics'!$C$2:$C$500),0)),"/")</f>
        <v>597</v>
      </c>
      <c r="AO51" s="63" cm="1">
        <f t="array" ref="AO51">IFERROR(INDEX('Offer Statistics'!H$2:H$500,MATCH(1,(CityU!$A51='Offer Statistics'!$B$2:$B$500)*(CityU!$AB$2='Offer Statistics'!$C$2:$C$500),0)),"/")</f>
        <v>442</v>
      </c>
      <c r="AP51" s="15"/>
      <c r="AQ51" s="15" t="str">
        <f t="shared" si="0"/>
        <v>JS1211</v>
      </c>
      <c r="AR51" s="4"/>
      <c r="AS51" s="4"/>
      <c r="AT51" s="4"/>
      <c r="AU51" s="4"/>
      <c r="AV51" s="4"/>
      <c r="AW51" s="4"/>
      <c r="AX51" s="4"/>
      <c r="AY51" s="4"/>
      <c r="AZ51" s="4"/>
      <c r="BA51" s="4"/>
      <c r="BB51" s="4"/>
      <c r="BC51" s="4"/>
      <c r="BD51" s="4"/>
      <c r="BE51" s="4"/>
      <c r="BF51" s="4"/>
    </row>
    <row r="52" spans="1:58" s="2" customFormat="1" ht="18" customHeight="1">
      <c r="A52" s="15" t="str">
        <f>'Reference Score Calculation'!B63</f>
        <v>JS1216</v>
      </c>
      <c r="B52" s="4" t="str">
        <f>'Reference Score Calculation'!D63</f>
        <v>工學院</v>
      </c>
      <c r="C52" s="23" t="str">
        <f>'Reference Score Calculation'!E63</f>
        <v>工學士(智能製造工程學)</v>
      </c>
      <c r="D52" s="4" t="str">
        <f>'Reference Score Calculation'!S63</f>
        <v>ITME</v>
      </c>
      <c r="E52" s="352" t="str">
        <f>'Reference Score Calculation'!AC63</f>
        <v>Best 5</v>
      </c>
      <c r="F52" s="347" t="str">
        <f>'Reference Score Calculation'!F63</f>
        <v>Best 5</v>
      </c>
      <c r="G52" s="6">
        <f>'Reference Score Calculation'!I63</f>
        <v>35</v>
      </c>
      <c r="H52" s="6">
        <f>'Reference Score Calculation'!J63</f>
        <v>33.5</v>
      </c>
      <c r="I52" s="45">
        <f>計分版!J86</f>
        <v>3.7E-9</v>
      </c>
      <c r="J52" s="176">
        <f t="shared" si="1"/>
        <v>-34.999999996299998</v>
      </c>
      <c r="K52" s="181">
        <f t="shared" si="2"/>
        <v>-9459459458.4594593</v>
      </c>
      <c r="L52" s="36">
        <f>'Reference Score Calculation'!U63</f>
        <v>24</v>
      </c>
      <c r="M52" s="84">
        <f>入學要求!Z72</f>
        <v>0</v>
      </c>
      <c r="N52" s="540"/>
      <c r="O52" s="160">
        <f>入學要求!L72</f>
        <v>3</v>
      </c>
      <c r="P52" s="160">
        <f>入學要求!M72</f>
        <v>3</v>
      </c>
      <c r="Q52" s="160">
        <f>入學要求!N72</f>
        <v>2</v>
      </c>
      <c r="R52" s="160">
        <f>入學要求!O72</f>
        <v>1</v>
      </c>
      <c r="S52" s="160">
        <f>入學要求!P72</f>
        <v>3</v>
      </c>
      <c r="T52" s="160">
        <f>入學要求!Q72</f>
        <v>3</v>
      </c>
      <c r="U52" s="236">
        <f>入學要求!S72</f>
        <v>0</v>
      </c>
      <c r="V52" s="236">
        <f>入學要求!T72</f>
        <v>0</v>
      </c>
      <c r="W52" s="236">
        <f>入學要求!U72</f>
        <v>0</v>
      </c>
      <c r="X52" s="236">
        <f>入學要求!V72</f>
        <v>0</v>
      </c>
      <c r="Y52" s="236">
        <f>入學要求!W72</f>
        <v>0</v>
      </c>
      <c r="Z52" s="236">
        <f>入學要求!X72</f>
        <v>0</v>
      </c>
      <c r="AA52" s="44">
        <f t="shared" si="3"/>
        <v>9.15</v>
      </c>
      <c r="AB52" s="537"/>
      <c r="AC52" s="36" cm="1">
        <f t="array" ref="AC52">IFERROR(INDEX('Offer Statistics'!$Q$2:$Q$500,MATCH(1,(CityU!$A52='Offer Statistics'!$B$2:$B$500)*(CityU!$AB$2='Offer Statistics'!$K$2:$K$500),0)),"/")</f>
        <v>21</v>
      </c>
      <c r="AD52" s="63" cm="1">
        <f t="array" ref="AD52">IFERROR(INDEX('Offer Statistics'!L$2:L$500,MATCH(1,(CityU!$A52='Offer Statistics'!$B$2:$B$500)*(CityU!$AB$2='Offer Statistics'!$K$2:$K$500),0)),"/")</f>
        <v>20</v>
      </c>
      <c r="AE52" s="63" cm="1">
        <f t="array" ref="AE52">IFERROR(INDEX('Offer Statistics'!M$2:M$500,MATCH(1,(CityU!$A52='Offer Statistics'!$B$2:$B$500)*(CityU!$AB$2='Offer Statistics'!$K$2:$K$500),0)),"/")</f>
        <v>1</v>
      </c>
      <c r="AF52" s="63" cm="1">
        <f t="array" ref="AF52">IFERROR(INDEX('Offer Statistics'!N$2:N$500,MATCH(1,(CityU!$A52='Offer Statistics'!$B$2:$B$500)*(CityU!$AB$2='Offer Statistics'!$K$2:$K$500),0)),"/")</f>
        <v>0</v>
      </c>
      <c r="AG52" s="63" cm="1">
        <f t="array" ref="AG52">IFERROR(INDEX('Offer Statistics'!O$2:O$500,MATCH(1,(CityU!$A52='Offer Statistics'!$B$2:$B$500)*(CityU!$AB$2='Offer Statistics'!$K$2:$K$500),0)),"/")</f>
        <v>0</v>
      </c>
      <c r="AH52" s="63" cm="1">
        <f t="array" ref="AH52">IFERROR(INDEX('Offer Statistics'!P$2:P$500,MATCH(1,(CityU!$A52='Offer Statistics'!$B$2:$B$500)*(CityU!$AB$2='Offer Statistics'!$K$2:$K$500),0)),"/")</f>
        <v>0</v>
      </c>
      <c r="AI52" s="538"/>
      <c r="AJ52" s="36" cm="1">
        <f t="array" ref="AJ52">IFERROR(INDEX('Offer Statistics'!$I$2:$I$500,MATCH(1,(CityU!$A52='Offer Statistics'!$B$2:$B$500)*(CityU!$AB$2='Offer Statistics'!$C$2:$C$500),0)),"/")</f>
        <v>1282</v>
      </c>
      <c r="AK52" s="63" cm="1">
        <f t="array" ref="AK52">IFERROR(INDEX('Offer Statistics'!D$2:D$500,MATCH(1,(CityU!$A52='Offer Statistics'!$B$2:$B$500)*(CityU!$AB$2='Offer Statistics'!$C$2:$C$500),0)),"/")</f>
        <v>183</v>
      </c>
      <c r="AL52" s="63" cm="1">
        <f t="array" ref="AL52">IFERROR(INDEX('Offer Statistics'!E$2:E$500,MATCH(1,(CityU!$A52='Offer Statistics'!$B$2:$B$500)*(CityU!$AB$2='Offer Statistics'!$C$2:$C$500),0)),"/")</f>
        <v>221</v>
      </c>
      <c r="AM52" s="63" cm="1">
        <f t="array" ref="AM52">IFERROR(INDEX('Offer Statistics'!F$2:F$500,MATCH(1,(CityU!$A52='Offer Statistics'!$B$2:$B$500)*(CityU!$AB$2='Offer Statistics'!$C$2:$C$500),0)),"/")</f>
        <v>273</v>
      </c>
      <c r="AN52" s="63" cm="1">
        <f t="array" ref="AN52">IFERROR(INDEX('Offer Statistics'!G$2:G$500,MATCH(1,(CityU!$A52='Offer Statistics'!$B$2:$B$500)*(CityU!$AB$2='Offer Statistics'!$C$2:$C$500),0)),"/")</f>
        <v>316</v>
      </c>
      <c r="AO52" s="63" cm="1">
        <f t="array" ref="AO52">IFERROR(INDEX('Offer Statistics'!H$2:H$500,MATCH(1,(CityU!$A52='Offer Statistics'!$B$2:$B$500)*(CityU!$AB$2='Offer Statistics'!$C$2:$C$500),0)),"/")</f>
        <v>289</v>
      </c>
      <c r="AP52" s="15"/>
      <c r="AQ52" s="15" t="str">
        <f t="shared" si="0"/>
        <v>JS1216</v>
      </c>
      <c r="AR52" s="4"/>
      <c r="AS52" s="4"/>
      <c r="AT52" s="4"/>
      <c r="AU52" s="4"/>
      <c r="AV52" s="4"/>
      <c r="AW52" s="4"/>
      <c r="AX52" s="4"/>
      <c r="AY52" s="4"/>
      <c r="AZ52" s="4"/>
      <c r="BA52" s="4"/>
      <c r="BB52" s="4"/>
      <c r="BC52" s="4"/>
      <c r="BD52" s="4"/>
      <c r="BE52" s="4"/>
      <c r="BF52" s="4"/>
    </row>
    <row r="53" spans="1:58" s="2" customFormat="1" ht="18" customHeight="1">
      <c r="A53" s="15" t="str">
        <f>'Reference Score Calculation'!B64</f>
        <v>JS1217</v>
      </c>
      <c r="B53" s="4" t="str">
        <f>'Reference Score Calculation'!D64</f>
        <v>工學院</v>
      </c>
      <c r="C53" s="23" t="str">
        <f>'Reference Score Calculation'!E64</f>
        <v>工學院(選項: 工學院任何一個主修及工程創業副修)</v>
      </c>
      <c r="D53" s="4" t="str">
        <f>'Reference Score Calculation'!S64</f>
        <v>CENG</v>
      </c>
      <c r="E53" s="352" t="str">
        <f>'Reference Score Calculation'!AC64</f>
        <v>Best 5</v>
      </c>
      <c r="F53" s="347" t="str">
        <f>'Reference Score Calculation'!F64</f>
        <v>Best 5</v>
      </c>
      <c r="G53" s="6">
        <f>'Reference Score Calculation'!I64</f>
        <v>36</v>
      </c>
      <c r="H53" s="6">
        <f>'Reference Score Calculation'!J64</f>
        <v>36</v>
      </c>
      <c r="I53" s="45">
        <f>計分版!J87</f>
        <v>3.8000000000000001E-9</v>
      </c>
      <c r="J53" s="176">
        <f t="shared" si="1"/>
        <v>-35.999999996200003</v>
      </c>
      <c r="K53" s="181">
        <f t="shared" si="2"/>
        <v>-9473684209.5263157</v>
      </c>
      <c r="L53" s="36">
        <f>'Reference Score Calculation'!U64</f>
        <v>15</v>
      </c>
      <c r="M53" s="84">
        <f>入學要求!Z73</f>
        <v>0</v>
      </c>
      <c r="N53" s="540"/>
      <c r="O53" s="160">
        <f>入學要求!L73</f>
        <v>3</v>
      </c>
      <c r="P53" s="160">
        <f>入學要求!M73</f>
        <v>3</v>
      </c>
      <c r="Q53" s="160">
        <f>入學要求!N73</f>
        <v>3</v>
      </c>
      <c r="R53" s="160">
        <f>入學要求!O73</f>
        <v>1</v>
      </c>
      <c r="S53" s="160">
        <f>入學要求!P73</f>
        <v>3</v>
      </c>
      <c r="T53" s="160">
        <f>入學要求!Q73</f>
        <v>3</v>
      </c>
      <c r="U53" s="236">
        <f>入學要求!S73</f>
        <v>0</v>
      </c>
      <c r="V53" s="236">
        <f>入學要求!T73</f>
        <v>0</v>
      </c>
      <c r="W53" s="236">
        <f>入學要求!U73</f>
        <v>0</v>
      </c>
      <c r="X53" s="236">
        <f>入學要求!V73</f>
        <v>0</v>
      </c>
      <c r="Y53" s="236">
        <f>入學要求!W73</f>
        <v>0</v>
      </c>
      <c r="Z53" s="236">
        <f>入學要求!X73</f>
        <v>0</v>
      </c>
      <c r="AA53" s="44">
        <f t="shared" si="3"/>
        <v>3.83</v>
      </c>
      <c r="AB53" s="537"/>
      <c r="AC53" s="36" cm="1">
        <f t="array" ref="AC53">IFERROR(INDEX('Offer Statistics'!$Q$2:$Q$500,MATCH(1,(CityU!$A53='Offer Statistics'!$B$2:$B$500)*(CityU!$AB$2='Offer Statistics'!$K$2:$K$500),0)),"/")</f>
        <v>12</v>
      </c>
      <c r="AD53" s="63" cm="1">
        <f t="array" ref="AD53">IFERROR(INDEX('Offer Statistics'!L$2:L$500,MATCH(1,(CityU!$A53='Offer Statistics'!$B$2:$B$500)*(CityU!$AB$2='Offer Statistics'!$K$2:$K$500),0)),"/")</f>
        <v>6</v>
      </c>
      <c r="AE53" s="63" cm="1">
        <f t="array" ref="AE53">IFERROR(INDEX('Offer Statistics'!M$2:M$500,MATCH(1,(CityU!$A53='Offer Statistics'!$B$2:$B$500)*(CityU!$AB$2='Offer Statistics'!$K$2:$K$500),0)),"/")</f>
        <v>4</v>
      </c>
      <c r="AF53" s="63" cm="1">
        <f t="array" ref="AF53">IFERROR(INDEX('Offer Statistics'!N$2:N$500,MATCH(1,(CityU!$A53='Offer Statistics'!$B$2:$B$500)*(CityU!$AB$2='Offer Statistics'!$K$2:$K$500),0)),"/")</f>
        <v>0</v>
      </c>
      <c r="AG53" s="63" cm="1">
        <f t="array" ref="AG53">IFERROR(INDEX('Offer Statistics'!O$2:O$500,MATCH(1,(CityU!$A53='Offer Statistics'!$B$2:$B$500)*(CityU!$AB$2='Offer Statistics'!$K$2:$K$500),0)),"/")</f>
        <v>1</v>
      </c>
      <c r="AH53" s="63" cm="1">
        <f t="array" ref="AH53">IFERROR(INDEX('Offer Statistics'!P$2:P$500,MATCH(1,(CityU!$A53='Offer Statistics'!$B$2:$B$500)*(CityU!$AB$2='Offer Statistics'!$K$2:$K$500),0)),"/")</f>
        <v>1</v>
      </c>
      <c r="AI53" s="538"/>
      <c r="AJ53" s="36" cm="1">
        <f t="array" ref="AJ53">IFERROR(INDEX('Offer Statistics'!$I$2:$I$500,MATCH(1,(CityU!$A53='Offer Statistics'!$B$2:$B$500)*(CityU!$AB$2='Offer Statistics'!$C$2:$C$500),0)),"/")</f>
        <v>407</v>
      </c>
      <c r="AK53" s="63" cm="1">
        <f t="array" ref="AK53">IFERROR(INDEX('Offer Statistics'!D$2:D$500,MATCH(1,(CityU!$A53='Offer Statistics'!$B$2:$B$500)*(CityU!$AB$2='Offer Statistics'!$C$2:$C$500),0)),"/")</f>
        <v>23</v>
      </c>
      <c r="AL53" s="63" cm="1">
        <f t="array" ref="AL53">IFERROR(INDEX('Offer Statistics'!E$2:E$500,MATCH(1,(CityU!$A53='Offer Statistics'!$B$2:$B$500)*(CityU!$AB$2='Offer Statistics'!$C$2:$C$500),0)),"/")</f>
        <v>67</v>
      </c>
      <c r="AM53" s="63" cm="1">
        <f t="array" ref="AM53">IFERROR(INDEX('Offer Statistics'!F$2:F$500,MATCH(1,(CityU!$A53='Offer Statistics'!$B$2:$B$500)*(CityU!$AB$2='Offer Statistics'!$C$2:$C$500),0)),"/")</f>
        <v>83</v>
      </c>
      <c r="AN53" s="63" cm="1">
        <f t="array" ref="AN53">IFERROR(INDEX('Offer Statistics'!G$2:G$500,MATCH(1,(CityU!$A53='Offer Statistics'!$B$2:$B$500)*(CityU!$AB$2='Offer Statistics'!$C$2:$C$500),0)),"/")</f>
        <v>114</v>
      </c>
      <c r="AO53" s="63" cm="1">
        <f t="array" ref="AO53">IFERROR(INDEX('Offer Statistics'!H$2:H$500,MATCH(1,(CityU!$A53='Offer Statistics'!$B$2:$B$500)*(CityU!$AB$2='Offer Statistics'!$C$2:$C$500),0)),"/")</f>
        <v>120</v>
      </c>
      <c r="AP53" s="15"/>
      <c r="AQ53" s="15" t="str">
        <f t="shared" si="0"/>
        <v>JS1217</v>
      </c>
      <c r="AR53" s="4"/>
      <c r="AS53" s="4"/>
      <c r="AT53" s="4"/>
      <c r="AU53" s="4"/>
      <c r="AV53" s="4"/>
      <c r="AW53" s="4"/>
      <c r="AX53" s="4"/>
      <c r="AY53" s="4"/>
      <c r="AZ53" s="4"/>
      <c r="BA53" s="4"/>
      <c r="BB53" s="4"/>
      <c r="BC53" s="4"/>
      <c r="BD53" s="4"/>
      <c r="BE53" s="4"/>
      <c r="BF53" s="4"/>
    </row>
    <row r="54" spans="1:58" s="2" customFormat="1" ht="18" customHeight="1">
      <c r="A54" s="15" t="str">
        <f>'Reference Score Calculation'!B65</f>
        <v>JS1218</v>
      </c>
      <c r="B54" s="4" t="str">
        <f>'Reference Score Calculation'!D65</f>
        <v>計算學院</v>
      </c>
      <c r="C54" s="23" t="str">
        <f>'Reference Score Calculation'!E65</f>
        <v>理學士 (網絡安全) (特點: 系統安全 / 軟件安全 / 密碼學 / 隱私增強技術 / 網絡風險管理)</v>
      </c>
      <c r="D54" s="4" t="str">
        <f>'Reference Score Calculation'!S65</f>
        <v>BScCBS</v>
      </c>
      <c r="E54" s="352" t="str">
        <f>'Reference Score Calculation'!AC65</f>
        <v>Best 5</v>
      </c>
      <c r="F54" s="443" t="str">
        <f>'Reference Score Calculation'!F65</f>
        <v>25年新科目</v>
      </c>
      <c r="G54" s="6" t="str">
        <f>'Reference Score Calculation'!I65</f>
        <v>/</v>
      </c>
      <c r="H54" s="6" t="str">
        <f>'Reference Score Calculation'!J65</f>
        <v>/</v>
      </c>
      <c r="I54" s="45">
        <f>計分版!J88</f>
        <v>3.4999999999999999E-9</v>
      </c>
      <c r="J54" s="237" t="str">
        <f t="shared" si="1"/>
        <v>/</v>
      </c>
      <c r="K54" s="238" t="str">
        <f t="shared" si="2"/>
        <v>/</v>
      </c>
      <c r="L54" s="36">
        <f>'Reference Score Calculation'!U65</f>
        <v>28</v>
      </c>
      <c r="M54" s="84">
        <f>入學要求!Z74</f>
        <v>0</v>
      </c>
      <c r="N54" s="540"/>
      <c r="O54" s="160">
        <f>入學要求!L74</f>
        <v>3</v>
      </c>
      <c r="P54" s="160">
        <f>入學要求!M74</f>
        <v>3</v>
      </c>
      <c r="Q54" s="160">
        <f>入學要求!N74</f>
        <v>3</v>
      </c>
      <c r="R54" s="160">
        <f>入學要求!O74</f>
        <v>1</v>
      </c>
      <c r="S54" s="160">
        <f>入學要求!P74</f>
        <v>3</v>
      </c>
      <c r="T54" s="160">
        <f>入學要求!Q74</f>
        <v>3</v>
      </c>
      <c r="U54" s="236">
        <f>入學要求!S74</f>
        <v>0</v>
      </c>
      <c r="V54" s="236">
        <f>入學要求!T74</f>
        <v>0</v>
      </c>
      <c r="W54" s="236">
        <f>入學要求!U74</f>
        <v>0</v>
      </c>
      <c r="X54" s="236">
        <f>入學要求!V74</f>
        <v>0</v>
      </c>
      <c r="Y54" s="236">
        <f>入學要求!W74</f>
        <v>0</v>
      </c>
      <c r="Z54" s="236">
        <f>入學要求!X74</f>
        <v>0</v>
      </c>
      <c r="AA54" s="44" t="str">
        <f t="shared" si="3"/>
        <v>/</v>
      </c>
      <c r="AB54" s="537"/>
      <c r="AC54" s="36" t="str" cm="1">
        <f t="array" ref="AC54">IFERROR(INDEX('Offer Statistics'!$Q$2:$Q$500,MATCH(1,(CityU!$A54='Offer Statistics'!$B$2:$B$500)*(CityU!$AB$2='Offer Statistics'!$K$2:$K$500),0)),"/")</f>
        <v>/</v>
      </c>
      <c r="AD54" s="63" t="str" cm="1">
        <f t="array" ref="AD54">IFERROR(INDEX('Offer Statistics'!L$2:L$500,MATCH(1,(CityU!$A54='Offer Statistics'!$B$2:$B$500)*(CityU!$AB$2='Offer Statistics'!$K$2:$K$500),0)),"/")</f>
        <v>/</v>
      </c>
      <c r="AE54" s="63" t="str" cm="1">
        <f t="array" ref="AE54">IFERROR(INDEX('Offer Statistics'!M$2:M$500,MATCH(1,(CityU!$A54='Offer Statistics'!$B$2:$B$500)*(CityU!$AB$2='Offer Statistics'!$K$2:$K$500),0)),"/")</f>
        <v>/</v>
      </c>
      <c r="AF54" s="63" t="str" cm="1">
        <f t="array" ref="AF54">IFERROR(INDEX('Offer Statistics'!N$2:N$500,MATCH(1,(CityU!$A54='Offer Statistics'!$B$2:$B$500)*(CityU!$AB$2='Offer Statistics'!$K$2:$K$500),0)),"/")</f>
        <v>/</v>
      </c>
      <c r="AG54" s="63" t="str" cm="1">
        <f t="array" ref="AG54">IFERROR(INDEX('Offer Statistics'!O$2:O$500,MATCH(1,(CityU!$A54='Offer Statistics'!$B$2:$B$500)*(CityU!$AB$2='Offer Statistics'!$K$2:$K$500),0)),"/")</f>
        <v>/</v>
      </c>
      <c r="AH54" s="63" t="str" cm="1">
        <f t="array" ref="AH54">IFERROR(INDEX('Offer Statistics'!P$2:P$500,MATCH(1,(CityU!$A54='Offer Statistics'!$B$2:$B$500)*(CityU!$AB$2='Offer Statistics'!$K$2:$K$500),0)),"/")</f>
        <v>/</v>
      </c>
      <c r="AI54" s="538"/>
      <c r="AJ54" s="36" t="str" cm="1">
        <f t="array" ref="AJ54">IFERROR(INDEX('Offer Statistics'!$I$2:$I$500,MATCH(1,(CityU!$A54='Offer Statistics'!$B$2:$B$500)*(CityU!$AB$2='Offer Statistics'!$C$2:$C$500),0)),"/")</f>
        <v>/</v>
      </c>
      <c r="AK54" s="63" t="str" cm="1">
        <f t="array" ref="AK54">IFERROR(INDEX('Offer Statistics'!D$2:D$500,MATCH(1,(CityU!$A54='Offer Statistics'!$B$2:$B$500)*(CityU!$AB$2='Offer Statistics'!$C$2:$C$500),0)),"/")</f>
        <v>/</v>
      </c>
      <c r="AL54" s="63" t="str" cm="1">
        <f t="array" ref="AL54">IFERROR(INDEX('Offer Statistics'!E$2:E$500,MATCH(1,(CityU!$A54='Offer Statistics'!$B$2:$B$500)*(CityU!$AB$2='Offer Statistics'!$C$2:$C$500),0)),"/")</f>
        <v>/</v>
      </c>
      <c r="AM54" s="63" t="str" cm="1">
        <f t="array" ref="AM54">IFERROR(INDEX('Offer Statistics'!F$2:F$500,MATCH(1,(CityU!$A54='Offer Statistics'!$B$2:$B$500)*(CityU!$AB$2='Offer Statistics'!$C$2:$C$500),0)),"/")</f>
        <v>/</v>
      </c>
      <c r="AN54" s="63" t="str" cm="1">
        <f t="array" ref="AN54">IFERROR(INDEX('Offer Statistics'!G$2:G$500,MATCH(1,(CityU!$A54='Offer Statistics'!$B$2:$B$500)*(CityU!$AB$2='Offer Statistics'!$C$2:$C$500),0)),"/")</f>
        <v>/</v>
      </c>
      <c r="AO54" s="63" t="str" cm="1">
        <f t="array" ref="AO54">IFERROR(INDEX('Offer Statistics'!H$2:H$500,MATCH(1,(CityU!$A54='Offer Statistics'!$B$2:$B$500)*(CityU!$AB$2='Offer Statistics'!$C$2:$C$500),0)),"/")</f>
        <v>/</v>
      </c>
      <c r="AQ54" s="15" t="str">
        <f t="shared" si="0"/>
        <v>JS1218</v>
      </c>
      <c r="AR54" s="4"/>
      <c r="AS54" s="4"/>
      <c r="AT54" s="4"/>
      <c r="AU54" s="4"/>
      <c r="AV54" s="4"/>
      <c r="AW54" s="4"/>
      <c r="AX54" s="4"/>
      <c r="AY54" s="4"/>
      <c r="AZ54" s="4"/>
      <c r="BA54" s="4"/>
      <c r="BB54" s="4"/>
      <c r="BC54" s="4"/>
      <c r="BD54" s="4"/>
      <c r="BE54" s="4"/>
      <c r="BF54" s="4"/>
    </row>
    <row r="55" spans="1:58" s="2" customFormat="1" ht="18" customHeight="1">
      <c r="A55" s="15" t="str">
        <f>'Reference Score Calculation'!B66</f>
        <v>JS1219</v>
      </c>
      <c r="B55" s="4" t="str">
        <f>'Reference Score Calculation'!D66</f>
        <v>工學院</v>
      </c>
      <c r="C55" s="23" t="str">
        <f>'Reference Score Calculation'!E66</f>
        <v>工學士(創新與企業工程學) (特點: 工程學 / 科技 / 創新 / 企業 / 創業)</v>
      </c>
      <c r="D55" s="4" t="str">
        <f>'Reference Score Calculation'!S66</f>
        <v>BEngIEEG</v>
      </c>
      <c r="E55" s="352" t="str">
        <f>'Reference Score Calculation'!AC66</f>
        <v>Best 5</v>
      </c>
      <c r="F55" s="443" t="str">
        <f>'Reference Score Calculation'!F66</f>
        <v>25年新科目</v>
      </c>
      <c r="G55" s="6" t="str">
        <f>'Reference Score Calculation'!I66</f>
        <v>/</v>
      </c>
      <c r="H55" s="6" t="str">
        <f>'Reference Score Calculation'!J66</f>
        <v>/</v>
      </c>
      <c r="I55" s="45">
        <f>計分版!J89</f>
        <v>3.3999999999999998E-9</v>
      </c>
      <c r="J55" s="237" t="str">
        <f t="shared" si="1"/>
        <v>/</v>
      </c>
      <c r="K55" s="238" t="str">
        <f t="shared" si="2"/>
        <v>/</v>
      </c>
      <c r="L55" s="36">
        <f>'Reference Score Calculation'!U66</f>
        <v>16</v>
      </c>
      <c r="M55" s="84">
        <f>入學要求!Z75</f>
        <v>0</v>
      </c>
      <c r="N55" s="540"/>
      <c r="O55" s="160">
        <f>入學要求!L75</f>
        <v>3</v>
      </c>
      <c r="P55" s="160">
        <f>入學要求!M75</f>
        <v>3</v>
      </c>
      <c r="Q55" s="160">
        <f>入學要求!N75</f>
        <v>2</v>
      </c>
      <c r="R55" s="160">
        <f>入學要求!O75</f>
        <v>1</v>
      </c>
      <c r="S55" s="160">
        <f>入學要求!P75</f>
        <v>3</v>
      </c>
      <c r="T55" s="160">
        <f>入學要求!Q75</f>
        <v>3</v>
      </c>
      <c r="U55" s="236">
        <f>入學要求!S75</f>
        <v>0</v>
      </c>
      <c r="V55" s="236">
        <f>入學要求!T75</f>
        <v>0</v>
      </c>
      <c r="W55" s="236">
        <f>入學要求!U75</f>
        <v>0</v>
      </c>
      <c r="X55" s="236">
        <f>入學要求!V75</f>
        <v>0</v>
      </c>
      <c r="Y55" s="236">
        <f>入學要求!W75</f>
        <v>0</v>
      </c>
      <c r="Z55" s="236">
        <f>入學要求!X75</f>
        <v>0</v>
      </c>
      <c r="AA55" s="44" t="str">
        <f t="shared" si="3"/>
        <v>/</v>
      </c>
      <c r="AB55" s="537"/>
      <c r="AC55" s="36" t="str" cm="1">
        <f t="array" ref="AC55">IFERROR(INDEX('Offer Statistics'!$Q$2:$Q$500,MATCH(1,(CityU!$A55='Offer Statistics'!$B$2:$B$500)*(CityU!$AB$2='Offer Statistics'!$K$2:$K$500),0)),"/")</f>
        <v>/</v>
      </c>
      <c r="AD55" s="63" t="str" cm="1">
        <f t="array" ref="AD55">IFERROR(INDEX('Offer Statistics'!L$2:L$500,MATCH(1,(CityU!$A55='Offer Statistics'!$B$2:$B$500)*(CityU!$AB$2='Offer Statistics'!$K$2:$K$500),0)),"/")</f>
        <v>/</v>
      </c>
      <c r="AE55" s="63" t="str" cm="1">
        <f t="array" ref="AE55">IFERROR(INDEX('Offer Statistics'!M$2:M$500,MATCH(1,(CityU!$A55='Offer Statistics'!$B$2:$B$500)*(CityU!$AB$2='Offer Statistics'!$K$2:$K$500),0)),"/")</f>
        <v>/</v>
      </c>
      <c r="AF55" s="63" t="str" cm="1">
        <f t="array" ref="AF55">IFERROR(INDEX('Offer Statistics'!N$2:N$500,MATCH(1,(CityU!$A55='Offer Statistics'!$B$2:$B$500)*(CityU!$AB$2='Offer Statistics'!$K$2:$K$500),0)),"/")</f>
        <v>/</v>
      </c>
      <c r="AG55" s="63" t="str" cm="1">
        <f t="array" ref="AG55">IFERROR(INDEX('Offer Statistics'!O$2:O$500,MATCH(1,(CityU!$A55='Offer Statistics'!$B$2:$B$500)*(CityU!$AB$2='Offer Statistics'!$K$2:$K$500),0)),"/")</f>
        <v>/</v>
      </c>
      <c r="AH55" s="63" t="str" cm="1">
        <f t="array" ref="AH55">IFERROR(INDEX('Offer Statistics'!P$2:P$500,MATCH(1,(CityU!$A55='Offer Statistics'!$B$2:$B$500)*(CityU!$AB$2='Offer Statistics'!$K$2:$K$500),0)),"/")</f>
        <v>/</v>
      </c>
      <c r="AI55" s="538"/>
      <c r="AJ55" s="36" t="str" cm="1">
        <f t="array" ref="AJ55">IFERROR(INDEX('Offer Statistics'!$I$2:$I$500,MATCH(1,(CityU!$A55='Offer Statistics'!$B$2:$B$500)*(CityU!$AB$2='Offer Statistics'!$C$2:$C$500),0)),"/")</f>
        <v>/</v>
      </c>
      <c r="AK55" s="63" t="str" cm="1">
        <f t="array" ref="AK55">IFERROR(INDEX('Offer Statistics'!D$2:D$500,MATCH(1,(CityU!$A55='Offer Statistics'!$B$2:$B$500)*(CityU!$AB$2='Offer Statistics'!$C$2:$C$500),0)),"/")</f>
        <v>/</v>
      </c>
      <c r="AL55" s="63" t="str" cm="1">
        <f t="array" ref="AL55">IFERROR(INDEX('Offer Statistics'!E$2:E$500,MATCH(1,(CityU!$A55='Offer Statistics'!$B$2:$B$500)*(CityU!$AB$2='Offer Statistics'!$C$2:$C$500),0)),"/")</f>
        <v>/</v>
      </c>
      <c r="AM55" s="63" t="str" cm="1">
        <f t="array" ref="AM55">IFERROR(INDEX('Offer Statistics'!F$2:F$500,MATCH(1,(CityU!$A55='Offer Statistics'!$B$2:$B$500)*(CityU!$AB$2='Offer Statistics'!$C$2:$C$500),0)),"/")</f>
        <v>/</v>
      </c>
      <c r="AN55" s="63" t="str" cm="1">
        <f t="array" ref="AN55">IFERROR(INDEX('Offer Statistics'!G$2:G$500,MATCH(1,(CityU!$A55='Offer Statistics'!$B$2:$B$500)*(CityU!$AB$2='Offer Statistics'!$C$2:$C$500),0)),"/")</f>
        <v>/</v>
      </c>
      <c r="AO55" s="63" t="str" cm="1">
        <f t="array" ref="AO55">IFERROR(INDEX('Offer Statistics'!H$2:H$500,MATCH(1,(CityU!$A55='Offer Statistics'!$B$2:$B$500)*(CityU!$AB$2='Offer Statistics'!$C$2:$C$500),0)),"/")</f>
        <v>/</v>
      </c>
      <c r="AP55" s="15"/>
      <c r="AQ55" s="15" t="str">
        <f t="shared" si="0"/>
        <v>JS1219</v>
      </c>
      <c r="AR55" s="4"/>
      <c r="AS55" s="4"/>
      <c r="AT55" s="4"/>
      <c r="AU55" s="4"/>
      <c r="AV55" s="4"/>
      <c r="AW55" s="4"/>
      <c r="AX55" s="4"/>
      <c r="AY55" s="4"/>
      <c r="AZ55" s="4"/>
      <c r="BA55" s="4"/>
      <c r="BB55" s="4"/>
      <c r="BC55" s="4"/>
      <c r="BD55" s="4"/>
      <c r="BE55" s="4"/>
      <c r="BF55" s="4"/>
    </row>
    <row r="56" spans="1:58" s="2" customFormat="1" ht="18" customHeight="1">
      <c r="A56" s="15" t="str">
        <f>'Reference Score Calculation'!B67</f>
        <v>JS1221</v>
      </c>
      <c r="B56" s="4" t="str">
        <f>'Reference Score Calculation'!D67</f>
        <v>理學院</v>
      </c>
      <c r="C56" s="23" t="str">
        <f>'Reference Score Calculation'!E67</f>
        <v>理學士(電腦科學)與理學士(計算金融及金融科技)</v>
      </c>
      <c r="D56" s="4" t="str">
        <f>'Reference Score Calculation'!S67</f>
        <v>BScCS&amp;BScCFFT</v>
      </c>
      <c r="E56" s="352" t="str">
        <f>'Reference Score Calculation'!AC67</f>
        <v>Best 5</v>
      </c>
      <c r="F56" s="334" t="str">
        <f>'Reference Score Calculation'!F67</f>
        <v>Best 5</v>
      </c>
      <c r="G56" s="6">
        <f>'Reference Score Calculation'!I67</f>
        <v>21</v>
      </c>
      <c r="H56" s="6">
        <f>'Reference Score Calculation'!J67</f>
        <v>20</v>
      </c>
      <c r="I56" s="45">
        <f>計分版!J90</f>
        <v>3.4999999999999999E-9</v>
      </c>
      <c r="J56" s="176">
        <f t="shared" si="1"/>
        <v>-20.999999996500001</v>
      </c>
      <c r="K56" s="181">
        <f t="shared" si="2"/>
        <v>-5999999999.000001</v>
      </c>
      <c r="L56" s="36">
        <f>'Reference Score Calculation'!U67</f>
        <v>10</v>
      </c>
      <c r="M56" s="84">
        <f>入學要求!Z76</f>
        <v>0</v>
      </c>
      <c r="N56" s="540"/>
      <c r="O56" s="160">
        <f>入學要求!L76</f>
        <v>3</v>
      </c>
      <c r="P56" s="160">
        <f>入學要求!M76</f>
        <v>3</v>
      </c>
      <c r="Q56" s="160">
        <f>入學要求!N76</f>
        <v>4</v>
      </c>
      <c r="R56" s="160">
        <f>入學要求!O76</f>
        <v>1</v>
      </c>
      <c r="S56" s="160">
        <f>入學要求!P76</f>
        <v>3</v>
      </c>
      <c r="T56" s="160">
        <f>入學要求!Q76</f>
        <v>3</v>
      </c>
      <c r="U56" s="236">
        <f>入學要求!S76</f>
        <v>0</v>
      </c>
      <c r="V56" s="236">
        <f>入學要求!T76</f>
        <v>0</v>
      </c>
      <c r="W56" s="236">
        <f>入學要求!U76</f>
        <v>0</v>
      </c>
      <c r="X56" s="236">
        <f>入學要求!V76</f>
        <v>0</v>
      </c>
      <c r="Y56" s="236">
        <f>入學要求!W76</f>
        <v>0</v>
      </c>
      <c r="Z56" s="236">
        <f>入學要求!X76</f>
        <v>0</v>
      </c>
      <c r="AA56" s="44">
        <f t="shared" si="3"/>
        <v>8.91</v>
      </c>
      <c r="AB56" s="537"/>
      <c r="AC56" s="36" cm="1">
        <f t="array" ref="AC56">IFERROR(INDEX('Offer Statistics'!$Q$2:$Q$500,MATCH(1,(CityU!$A56='Offer Statistics'!$B$2:$B$500)*(CityU!$AB$2='Offer Statistics'!$K$2:$K$500),0)),"/")</f>
        <v>11</v>
      </c>
      <c r="AD56" s="63" cm="1">
        <f t="array" ref="AD56">IFERROR(INDEX('Offer Statistics'!L$2:L$500,MATCH(1,(CityU!$A56='Offer Statistics'!$B$2:$B$500)*(CityU!$AB$2='Offer Statistics'!$K$2:$K$500),0)),"/")</f>
        <v>11</v>
      </c>
      <c r="AE56" s="63" cm="1">
        <f t="array" ref="AE56">IFERROR(INDEX('Offer Statistics'!M$2:M$500,MATCH(1,(CityU!$A56='Offer Statistics'!$B$2:$B$500)*(CityU!$AB$2='Offer Statistics'!$K$2:$K$500),0)),"/")</f>
        <v>0</v>
      </c>
      <c r="AF56" s="63" cm="1">
        <f t="array" ref="AF56">IFERROR(INDEX('Offer Statistics'!N$2:N$500,MATCH(1,(CityU!$A56='Offer Statistics'!$B$2:$B$500)*(CityU!$AB$2='Offer Statistics'!$K$2:$K$500),0)),"/")</f>
        <v>0</v>
      </c>
      <c r="AG56" s="63" cm="1">
        <f t="array" ref="AG56">IFERROR(INDEX('Offer Statistics'!O$2:O$500,MATCH(1,(CityU!$A56='Offer Statistics'!$B$2:$B$500)*(CityU!$AB$2='Offer Statistics'!$K$2:$K$500),0)),"/")</f>
        <v>0</v>
      </c>
      <c r="AH56" s="63" cm="1">
        <f t="array" ref="AH56">IFERROR(INDEX('Offer Statistics'!P$2:P$500,MATCH(1,(CityU!$A56='Offer Statistics'!$B$2:$B$500)*(CityU!$AB$2='Offer Statistics'!$K$2:$K$500),0)),"/")</f>
        <v>0</v>
      </c>
      <c r="AI56" s="538"/>
      <c r="AJ56" s="36" cm="1">
        <f t="array" ref="AJ56">IFERROR(INDEX('Offer Statistics'!$I$2:$I$500,MATCH(1,(CityU!$A56='Offer Statistics'!$B$2:$B$500)*(CityU!$AB$2='Offer Statistics'!$C$2:$C$500),0)),"/")</f>
        <v>1383</v>
      </c>
      <c r="AK56" s="63" cm="1">
        <f t="array" ref="AK56">IFERROR(INDEX('Offer Statistics'!D$2:D$500,MATCH(1,(CityU!$A56='Offer Statistics'!$B$2:$B$500)*(CityU!$AB$2='Offer Statistics'!$C$2:$C$500),0)),"/")</f>
        <v>98</v>
      </c>
      <c r="AL56" s="63" cm="1">
        <f t="array" ref="AL56">IFERROR(INDEX('Offer Statistics'!E$2:E$500,MATCH(1,(CityU!$A56='Offer Statistics'!$B$2:$B$500)*(CityU!$AB$2='Offer Statistics'!$C$2:$C$500),0)),"/")</f>
        <v>202</v>
      </c>
      <c r="AM56" s="63" cm="1">
        <f t="array" ref="AM56">IFERROR(INDEX('Offer Statistics'!F$2:F$500,MATCH(1,(CityU!$A56='Offer Statistics'!$B$2:$B$500)*(CityU!$AB$2='Offer Statistics'!$C$2:$C$500),0)),"/")</f>
        <v>341</v>
      </c>
      <c r="AN56" s="63" cm="1">
        <f t="array" ref="AN56">IFERROR(INDEX('Offer Statistics'!G$2:G$500,MATCH(1,(CityU!$A56='Offer Statistics'!$B$2:$B$500)*(CityU!$AB$2='Offer Statistics'!$C$2:$C$500),0)),"/")</f>
        <v>422</v>
      </c>
      <c r="AO56" s="63" cm="1">
        <f t="array" ref="AO56">IFERROR(INDEX('Offer Statistics'!H$2:H$500,MATCH(1,(CityU!$A56='Offer Statistics'!$B$2:$B$500)*(CityU!$AB$2='Offer Statistics'!$C$2:$C$500),0)),"/")</f>
        <v>320</v>
      </c>
      <c r="AP56" s="15"/>
      <c r="AQ56" s="15" t="str">
        <f t="shared" si="0"/>
        <v>JS1221</v>
      </c>
      <c r="AR56" s="4"/>
      <c r="AS56" s="4"/>
      <c r="AT56" s="4"/>
      <c r="AU56" s="4"/>
      <c r="AV56" s="4"/>
      <c r="AW56" s="4"/>
      <c r="AX56" s="4"/>
      <c r="AY56" s="4"/>
      <c r="AZ56" s="4"/>
      <c r="BA56" s="4"/>
      <c r="BB56" s="4"/>
      <c r="BC56" s="4"/>
      <c r="BD56" s="4"/>
      <c r="BE56" s="4"/>
      <c r="BF56" s="4"/>
    </row>
    <row r="57" spans="1:58" s="2" customFormat="1" ht="18" customHeight="1">
      <c r="A57" s="15" t="str">
        <f>'Reference Score Calculation'!B68</f>
        <v>JS1801</v>
      </c>
      <c r="B57" s="4" t="str">
        <f>'Reference Score Calculation'!D68</f>
        <v>賽馬會動物醫學及生命科學院</v>
      </c>
      <c r="C57" s="23" t="str">
        <f>'Reference Score Calculation'!E68</f>
        <v>獸醫學學士</v>
      </c>
      <c r="D57" s="4" t="str">
        <f>'Reference Score Calculation'!S68</f>
        <v>BVM</v>
      </c>
      <c r="E57" s="352" t="str">
        <f>'Reference Score Calculation'!AC68</f>
        <v>Best 5</v>
      </c>
      <c r="F57" s="334" t="str">
        <f>'Reference Score Calculation'!F68</f>
        <v>Best 5</v>
      </c>
      <c r="G57" s="6">
        <f>'Reference Score Calculation'!I68</f>
        <v>33.5</v>
      </c>
      <c r="H57" s="6">
        <f>'Reference Score Calculation'!J68</f>
        <v>32</v>
      </c>
      <c r="I57" s="45">
        <f>計分版!J91</f>
        <v>2.9000000000000003E-9</v>
      </c>
      <c r="J57" s="176">
        <f t="shared" si="1"/>
        <v>-33.499999997099998</v>
      </c>
      <c r="K57" s="181">
        <f t="shared" si="2"/>
        <v>-11551724136.931032</v>
      </c>
      <c r="L57" s="36">
        <f>'Reference Score Calculation'!U68</f>
        <v>30</v>
      </c>
      <c r="M57" s="84">
        <f>入學要求!Z77</f>
        <v>0</v>
      </c>
      <c r="N57" s="540"/>
      <c r="O57" s="160">
        <f>入學要求!L77</f>
        <v>3</v>
      </c>
      <c r="P57" s="160">
        <f>入學要求!M77</f>
        <v>5</v>
      </c>
      <c r="Q57" s="160">
        <f>入學要求!N77</f>
        <v>3</v>
      </c>
      <c r="R57" s="160">
        <f>入學要求!O77</f>
        <v>1</v>
      </c>
      <c r="S57" s="160">
        <f>入學要求!P77</f>
        <v>3</v>
      </c>
      <c r="T57" s="160">
        <f>入學要求!Q77</f>
        <v>3</v>
      </c>
      <c r="U57" s="236">
        <f>入學要求!S77</f>
        <v>0</v>
      </c>
      <c r="V57" s="236">
        <f>入學要求!T77</f>
        <v>0</v>
      </c>
      <c r="W57" s="236">
        <f>入學要求!U77</f>
        <v>0</v>
      </c>
      <c r="X57" s="236">
        <f>入學要求!V77</f>
        <v>0</v>
      </c>
      <c r="Y57" s="236">
        <f>入學要求!W77</f>
        <v>0</v>
      </c>
      <c r="Z57" s="236">
        <f>入學要求!X77</f>
        <v>0</v>
      </c>
      <c r="AA57" s="44">
        <f t="shared" si="3"/>
        <v>8.24</v>
      </c>
      <c r="AB57" s="537"/>
      <c r="AC57" s="36" cm="1">
        <f t="array" ref="AC57">IFERROR(INDEX('Offer Statistics'!$Q$2:$Q$500,MATCH(1,(CityU!$A57='Offer Statistics'!$B$2:$B$500)*(CityU!$AB$2='Offer Statistics'!$K$2:$K$500),0)),"/")</f>
        <v>21</v>
      </c>
      <c r="AD57" s="63" cm="1">
        <f t="array" ref="AD57">IFERROR(INDEX('Offer Statistics'!L$2:L$500,MATCH(1,(CityU!$A57='Offer Statistics'!$B$2:$B$500)*(CityU!$AB$2='Offer Statistics'!$K$2:$K$500),0)),"/")</f>
        <v>21</v>
      </c>
      <c r="AE57" s="63" cm="1">
        <f t="array" ref="AE57">IFERROR(INDEX('Offer Statistics'!M$2:M$500,MATCH(1,(CityU!$A57='Offer Statistics'!$B$2:$B$500)*(CityU!$AB$2='Offer Statistics'!$K$2:$K$500),0)),"/")</f>
        <v>0</v>
      </c>
      <c r="AF57" s="63" cm="1">
        <f t="array" ref="AF57">IFERROR(INDEX('Offer Statistics'!N$2:N$500,MATCH(1,(CityU!$A57='Offer Statistics'!$B$2:$B$500)*(CityU!$AB$2='Offer Statistics'!$K$2:$K$500),0)),"/")</f>
        <v>0</v>
      </c>
      <c r="AG57" s="63" cm="1">
        <f t="array" ref="AG57">IFERROR(INDEX('Offer Statistics'!O$2:O$500,MATCH(1,(CityU!$A57='Offer Statistics'!$B$2:$B$500)*(CityU!$AB$2='Offer Statistics'!$K$2:$K$500),0)),"/")</f>
        <v>0</v>
      </c>
      <c r="AH57" s="63" cm="1">
        <f t="array" ref="AH57">IFERROR(INDEX('Offer Statistics'!P$2:P$500,MATCH(1,(CityU!$A57='Offer Statistics'!$B$2:$B$500)*(CityU!$AB$2='Offer Statistics'!$K$2:$K$500),0)),"/")</f>
        <v>0</v>
      </c>
      <c r="AI57" s="538"/>
      <c r="AJ57" s="36" cm="1">
        <f t="array" ref="AJ57">IFERROR(INDEX('Offer Statistics'!$I$2:$I$500,MATCH(1,(CityU!$A57='Offer Statistics'!$B$2:$B$500)*(CityU!$AB$2='Offer Statistics'!$C$2:$C$500),0)),"/")</f>
        <v>997</v>
      </c>
      <c r="AK57" s="63" cm="1">
        <f t="array" ref="AK57">IFERROR(INDEX('Offer Statistics'!D$2:D$500,MATCH(1,(CityU!$A57='Offer Statistics'!$B$2:$B$500)*(CityU!$AB$2='Offer Statistics'!$C$2:$C$500),0)),"/")</f>
        <v>173</v>
      </c>
      <c r="AL57" s="63" cm="1">
        <f t="array" ref="AL57">IFERROR(INDEX('Offer Statistics'!E$2:E$500,MATCH(1,(CityU!$A57='Offer Statistics'!$B$2:$B$500)*(CityU!$AB$2='Offer Statistics'!$C$2:$C$500),0)),"/")</f>
        <v>89</v>
      </c>
      <c r="AM57" s="63" cm="1">
        <f t="array" ref="AM57">IFERROR(INDEX('Offer Statistics'!F$2:F$500,MATCH(1,(CityU!$A57='Offer Statistics'!$B$2:$B$500)*(CityU!$AB$2='Offer Statistics'!$C$2:$C$500),0)),"/")</f>
        <v>157</v>
      </c>
      <c r="AN57" s="63" cm="1">
        <f t="array" ref="AN57">IFERROR(INDEX('Offer Statistics'!G$2:G$500,MATCH(1,(CityU!$A57='Offer Statistics'!$B$2:$B$500)*(CityU!$AB$2='Offer Statistics'!$C$2:$C$500),0)),"/")</f>
        <v>246</v>
      </c>
      <c r="AO57" s="63" cm="1">
        <f t="array" ref="AO57">IFERROR(INDEX('Offer Statistics'!H$2:H$500,MATCH(1,(CityU!$A57='Offer Statistics'!$B$2:$B$500)*(CityU!$AB$2='Offer Statistics'!$C$2:$C$500),0)),"/")</f>
        <v>332</v>
      </c>
      <c r="AP57" s="15"/>
      <c r="AQ57" s="15" t="str">
        <f t="shared" si="0"/>
        <v>JS1801</v>
      </c>
      <c r="AR57" s="4"/>
      <c r="AS57" s="4"/>
      <c r="AT57" s="4"/>
      <c r="AU57" s="4"/>
      <c r="AV57" s="4"/>
      <c r="AW57" s="4"/>
      <c r="AX57" s="4"/>
      <c r="AY57" s="4"/>
      <c r="AZ57" s="4"/>
      <c r="BA57" s="4"/>
      <c r="BB57" s="4"/>
      <c r="BC57" s="4"/>
      <c r="BD57" s="4"/>
      <c r="BE57" s="4"/>
      <c r="BF57" s="4"/>
    </row>
    <row r="58" spans="1:58" s="2" customFormat="1" ht="18" customHeight="1">
      <c r="A58" s="15" t="str">
        <f>'Reference Score Calculation'!B69</f>
        <v>JS1805</v>
      </c>
      <c r="B58" s="4" t="str">
        <f>'Reference Score Calculation'!D69</f>
        <v>賽馬會動物醫學及生命科學院</v>
      </c>
      <c r="C58" s="23" t="str">
        <f>'Reference Score Calculation'!E69</f>
        <v>生物醫學系 [選項: 理學士(生物科學)、理學士(生物醫學)]</v>
      </c>
      <c r="D58" s="4" t="str">
        <f>'Reference Score Calculation'!S69</f>
        <v>BMS</v>
      </c>
      <c r="E58" s="352" t="str">
        <f>'Reference Score Calculation'!AC69</f>
        <v>3C2X</v>
      </c>
      <c r="F58" s="347" t="str">
        <f>'Reference Score Calculation'!F69</f>
        <v>3C2X</v>
      </c>
      <c r="G58" s="6">
        <f>'Reference Score Calculation'!I69</f>
        <v>35.5</v>
      </c>
      <c r="H58" s="6">
        <f>'Reference Score Calculation'!J69</f>
        <v>34</v>
      </c>
      <c r="I58" s="45">
        <f>計分版!J92</f>
        <v>2.6499999999999997E-9</v>
      </c>
      <c r="J58" s="176">
        <f t="shared" si="1"/>
        <v>-35.499999997350002</v>
      </c>
      <c r="K58" s="181">
        <f t="shared" si="2"/>
        <v>-13396226414.094341</v>
      </c>
      <c r="L58" s="36">
        <f>'Reference Score Calculation'!U69</f>
        <v>20</v>
      </c>
      <c r="M58" s="84">
        <f>入學要求!Z78</f>
        <v>0</v>
      </c>
      <c r="N58" s="540"/>
      <c r="O58" s="160">
        <f>入學要求!L78</f>
        <v>3</v>
      </c>
      <c r="P58" s="160">
        <f>入學要求!M78</f>
        <v>3</v>
      </c>
      <c r="Q58" s="160">
        <f>入學要求!N78</f>
        <v>3</v>
      </c>
      <c r="R58" s="160">
        <f>入學要求!O78</f>
        <v>1</v>
      </c>
      <c r="S58" s="160">
        <f>入學要求!P78</f>
        <v>3</v>
      </c>
      <c r="T58" s="160">
        <f>入學要求!Q78</f>
        <v>3</v>
      </c>
      <c r="U58" s="236">
        <f>入學要求!S78</f>
        <v>0</v>
      </c>
      <c r="V58" s="236">
        <f>入學要求!T78</f>
        <v>0</v>
      </c>
      <c r="W58" s="236">
        <f>入學要求!U78</f>
        <v>0</v>
      </c>
      <c r="X58" s="236">
        <f>入學要求!V78</f>
        <v>0</v>
      </c>
      <c r="Y58" s="236">
        <f>入學要求!W78</f>
        <v>0</v>
      </c>
      <c r="Z58" s="236">
        <f>入學要求!X78</f>
        <v>0</v>
      </c>
      <c r="AA58" s="44">
        <f t="shared" si="3"/>
        <v>6.53</v>
      </c>
      <c r="AB58" s="537"/>
      <c r="AC58" s="36" cm="1">
        <f t="array" ref="AC58">IFERROR(INDEX('Offer Statistics'!$Q$2:$Q$500,MATCH(1,(CityU!$A58='Offer Statistics'!$B$2:$B$500)*(CityU!$AB$2='Offer Statistics'!$K$2:$K$500),0)),"/")</f>
        <v>23</v>
      </c>
      <c r="AD58" s="63" cm="1">
        <f t="array" ref="AD58">IFERROR(INDEX('Offer Statistics'!L$2:L$500,MATCH(1,(CityU!$A58='Offer Statistics'!$B$2:$B$500)*(CityU!$AB$2='Offer Statistics'!$K$2:$K$500),0)),"/")</f>
        <v>19</v>
      </c>
      <c r="AE58" s="63" cm="1">
        <f t="array" ref="AE58">IFERROR(INDEX('Offer Statistics'!M$2:M$500,MATCH(1,(CityU!$A58='Offer Statistics'!$B$2:$B$500)*(CityU!$AB$2='Offer Statistics'!$K$2:$K$500),0)),"/")</f>
        <v>2</v>
      </c>
      <c r="AF58" s="63" cm="1">
        <f t="array" ref="AF58">IFERROR(INDEX('Offer Statistics'!N$2:N$500,MATCH(1,(CityU!$A58='Offer Statistics'!$B$2:$B$500)*(CityU!$AB$2='Offer Statistics'!$K$2:$K$500),0)),"/")</f>
        <v>2</v>
      </c>
      <c r="AG58" s="63" cm="1">
        <f t="array" ref="AG58">IFERROR(INDEX('Offer Statistics'!O$2:O$500,MATCH(1,(CityU!$A58='Offer Statistics'!$B$2:$B$500)*(CityU!$AB$2='Offer Statistics'!$K$2:$K$500),0)),"/")</f>
        <v>0</v>
      </c>
      <c r="AH58" s="63" cm="1">
        <f t="array" ref="AH58">IFERROR(INDEX('Offer Statistics'!P$2:P$500,MATCH(1,(CityU!$A58='Offer Statistics'!$B$2:$B$500)*(CityU!$AB$2='Offer Statistics'!$K$2:$K$500),0)),"/")</f>
        <v>0</v>
      </c>
      <c r="AI58" s="538"/>
      <c r="AJ58" s="36" cm="1">
        <f t="array" ref="AJ58">IFERROR(INDEX('Offer Statistics'!$I$2:$I$500,MATCH(1,(CityU!$A58='Offer Statistics'!$B$2:$B$500)*(CityU!$AB$2='Offer Statistics'!$C$2:$C$500),0)),"/")</f>
        <v>1698</v>
      </c>
      <c r="AK58" s="63" cm="1">
        <f t="array" ref="AK58">IFERROR(INDEX('Offer Statistics'!D$2:D$500,MATCH(1,(CityU!$A58='Offer Statistics'!$B$2:$B$500)*(CityU!$AB$2='Offer Statistics'!$C$2:$C$500),0)),"/")</f>
        <v>124</v>
      </c>
      <c r="AL58" s="63" cm="1">
        <f t="array" ref="AL58">IFERROR(INDEX('Offer Statistics'!E$2:E$500,MATCH(1,(CityU!$A58='Offer Statistics'!$B$2:$B$500)*(CityU!$AB$2='Offer Statistics'!$C$2:$C$500),0)),"/")</f>
        <v>267</v>
      </c>
      <c r="AM58" s="63" cm="1">
        <f t="array" ref="AM58">IFERROR(INDEX('Offer Statistics'!F$2:F$500,MATCH(1,(CityU!$A58='Offer Statistics'!$B$2:$B$500)*(CityU!$AB$2='Offer Statistics'!$C$2:$C$500),0)),"/")</f>
        <v>413</v>
      </c>
      <c r="AN58" s="63" cm="1">
        <f t="array" ref="AN58">IFERROR(INDEX('Offer Statistics'!G$2:G$500,MATCH(1,(CityU!$A58='Offer Statistics'!$B$2:$B$500)*(CityU!$AB$2='Offer Statistics'!$C$2:$C$500),0)),"/")</f>
        <v>541</v>
      </c>
      <c r="AO58" s="63" cm="1">
        <f t="array" ref="AO58">IFERROR(INDEX('Offer Statistics'!H$2:H$500,MATCH(1,(CityU!$A58='Offer Statistics'!$B$2:$B$500)*(CityU!$AB$2='Offer Statistics'!$C$2:$C$500),0)),"/")</f>
        <v>353</v>
      </c>
      <c r="AP58" s="15"/>
      <c r="AQ58" s="15" t="str">
        <f t="shared" si="0"/>
        <v>JS1805</v>
      </c>
      <c r="AR58" s="4"/>
      <c r="AS58" s="4"/>
      <c r="AT58" s="4"/>
      <c r="AU58" s="4"/>
      <c r="AV58" s="4"/>
      <c r="AW58" s="4"/>
      <c r="AX58" s="4"/>
      <c r="AY58" s="4"/>
      <c r="AZ58" s="4"/>
      <c r="BA58" s="4"/>
      <c r="BB58" s="4"/>
      <c r="BC58" s="4"/>
      <c r="BD58" s="4"/>
      <c r="BE58" s="4"/>
      <c r="BF58" s="4"/>
    </row>
    <row r="59" spans="1:58" s="2" customFormat="1" ht="18" customHeight="1">
      <c r="A59" s="15" t="str">
        <f>'Reference Score Calculation'!B70</f>
        <v>JS1806</v>
      </c>
      <c r="B59" s="4" t="str">
        <f>'Reference Score Calculation'!D70</f>
        <v>賽馬會動物醫學及生命科學院</v>
      </c>
      <c r="C59" s="23" t="str">
        <f>'Reference Score Calculation'!E70</f>
        <v>理學士(生物科學)</v>
      </c>
      <c r="D59" s="4" t="str">
        <f>'Reference Score Calculation'!S70</f>
        <v>BScBISI</v>
      </c>
      <c r="E59" s="352" t="str">
        <f>'Reference Score Calculation'!AC70</f>
        <v>3C2X</v>
      </c>
      <c r="F59" s="347" t="str">
        <f>'Reference Score Calculation'!F70</f>
        <v>3C2X</v>
      </c>
      <c r="G59" s="6">
        <f>'Reference Score Calculation'!I70</f>
        <v>33.5</v>
      </c>
      <c r="H59" s="6">
        <f>'Reference Score Calculation'!J70</f>
        <v>33</v>
      </c>
      <c r="I59" s="45">
        <f>計分版!J93</f>
        <v>2.6499999999999997E-9</v>
      </c>
      <c r="J59" s="176">
        <f t="shared" si="1"/>
        <v>-33.499999997350002</v>
      </c>
      <c r="K59" s="181">
        <f t="shared" si="2"/>
        <v>-12641509432.962267</v>
      </c>
      <c r="L59" s="36">
        <f>'Reference Score Calculation'!U70</f>
        <v>30</v>
      </c>
      <c r="M59" s="84">
        <f>入學要求!Z79</f>
        <v>0</v>
      </c>
      <c r="N59" s="540"/>
      <c r="O59" s="160">
        <f>入學要求!L79</f>
        <v>3</v>
      </c>
      <c r="P59" s="160">
        <f>入學要求!M79</f>
        <v>3</v>
      </c>
      <c r="Q59" s="160">
        <f>入學要求!N79</f>
        <v>3</v>
      </c>
      <c r="R59" s="160">
        <f>入學要求!O79</f>
        <v>1</v>
      </c>
      <c r="S59" s="160">
        <f>入學要求!P79</f>
        <v>3</v>
      </c>
      <c r="T59" s="160">
        <f>入學要求!Q79</f>
        <v>3</v>
      </c>
      <c r="U59" s="236">
        <f>入學要求!S79</f>
        <v>0</v>
      </c>
      <c r="V59" s="236">
        <f>入學要求!T79</f>
        <v>0</v>
      </c>
      <c r="W59" s="236">
        <f>入學要求!U79</f>
        <v>0</v>
      </c>
      <c r="X59" s="236">
        <f>入學要求!V79</f>
        <v>0</v>
      </c>
      <c r="Y59" s="236">
        <f>入學要求!W79</f>
        <v>0</v>
      </c>
      <c r="Z59" s="236">
        <f>入學要求!X79</f>
        <v>0</v>
      </c>
      <c r="AA59" s="44">
        <f t="shared" si="3"/>
        <v>8.42</v>
      </c>
      <c r="AB59" s="537"/>
      <c r="AC59" s="36" cm="1">
        <f t="array" ref="AC59">IFERROR(INDEX('Offer Statistics'!$Q$2:$Q$500,MATCH(1,(CityU!$A59='Offer Statistics'!$B$2:$B$500)*(CityU!$AB$2='Offer Statistics'!$K$2:$K$500),0)),"/")</f>
        <v>29</v>
      </c>
      <c r="AD59" s="63" cm="1">
        <f t="array" ref="AD59">IFERROR(INDEX('Offer Statistics'!L$2:L$500,MATCH(1,(CityU!$A59='Offer Statistics'!$B$2:$B$500)*(CityU!$AB$2='Offer Statistics'!$K$2:$K$500),0)),"/")</f>
        <v>24</v>
      </c>
      <c r="AE59" s="63" cm="1">
        <f t="array" ref="AE59">IFERROR(INDEX('Offer Statistics'!M$2:M$500,MATCH(1,(CityU!$A59='Offer Statistics'!$B$2:$B$500)*(CityU!$AB$2='Offer Statistics'!$K$2:$K$500),0)),"/")</f>
        <v>3</v>
      </c>
      <c r="AF59" s="63" cm="1">
        <f t="array" ref="AF59">IFERROR(INDEX('Offer Statistics'!N$2:N$500,MATCH(1,(CityU!$A59='Offer Statistics'!$B$2:$B$500)*(CityU!$AB$2='Offer Statistics'!$K$2:$K$500),0)),"/")</f>
        <v>1</v>
      </c>
      <c r="AG59" s="63" cm="1">
        <f t="array" ref="AG59">IFERROR(INDEX('Offer Statistics'!O$2:O$500,MATCH(1,(CityU!$A59='Offer Statistics'!$B$2:$B$500)*(CityU!$AB$2='Offer Statistics'!$K$2:$K$500),0)),"/")</f>
        <v>0</v>
      </c>
      <c r="AH59" s="63" cm="1">
        <f t="array" ref="AH59">IFERROR(INDEX('Offer Statistics'!P$2:P$500,MATCH(1,(CityU!$A59='Offer Statistics'!$B$2:$B$500)*(CityU!$AB$2='Offer Statistics'!$K$2:$K$500),0)),"/")</f>
        <v>1</v>
      </c>
      <c r="AI59" s="538"/>
      <c r="AJ59" s="36" cm="1">
        <f t="array" ref="AJ59">IFERROR(INDEX('Offer Statistics'!$I$2:$I$500,MATCH(1,(CityU!$A59='Offer Statistics'!$B$2:$B$500)*(CityU!$AB$2='Offer Statistics'!$C$2:$C$500),0)),"/")</f>
        <v>2129</v>
      </c>
      <c r="AK59" s="63" cm="1">
        <f t="array" ref="AK59">IFERROR(INDEX('Offer Statistics'!D$2:D$500,MATCH(1,(CityU!$A59='Offer Statistics'!$B$2:$B$500)*(CityU!$AB$2='Offer Statistics'!$C$2:$C$500),0)),"/")</f>
        <v>202</v>
      </c>
      <c r="AL59" s="63" cm="1">
        <f t="array" ref="AL59">IFERROR(INDEX('Offer Statistics'!E$2:E$500,MATCH(1,(CityU!$A59='Offer Statistics'!$B$2:$B$500)*(CityU!$AB$2='Offer Statistics'!$C$2:$C$500),0)),"/")</f>
        <v>386</v>
      </c>
      <c r="AM59" s="63" cm="1">
        <f t="array" ref="AM59">IFERROR(INDEX('Offer Statistics'!F$2:F$500,MATCH(1,(CityU!$A59='Offer Statistics'!$B$2:$B$500)*(CityU!$AB$2='Offer Statistics'!$C$2:$C$500),0)),"/")</f>
        <v>564</v>
      </c>
      <c r="AN59" s="63" cm="1">
        <f t="array" ref="AN59">IFERROR(INDEX('Offer Statistics'!G$2:G$500,MATCH(1,(CityU!$A59='Offer Statistics'!$B$2:$B$500)*(CityU!$AB$2='Offer Statistics'!$C$2:$C$500),0)),"/")</f>
        <v>570</v>
      </c>
      <c r="AO59" s="63" cm="1">
        <f t="array" ref="AO59">IFERROR(INDEX('Offer Statistics'!H$2:H$500,MATCH(1,(CityU!$A59='Offer Statistics'!$B$2:$B$500)*(CityU!$AB$2='Offer Statistics'!$C$2:$C$500),0)),"/")</f>
        <v>407</v>
      </c>
      <c r="AP59" s="15"/>
      <c r="AQ59" s="15" t="str">
        <f t="shared" si="0"/>
        <v>JS1806</v>
      </c>
      <c r="AR59" s="4"/>
      <c r="AS59" s="4"/>
      <c r="AT59" s="4"/>
      <c r="AU59" s="4"/>
      <c r="AV59" s="4"/>
      <c r="AW59" s="4"/>
      <c r="AX59" s="4"/>
      <c r="AY59" s="4"/>
      <c r="AZ59" s="4"/>
      <c r="BA59" s="4"/>
      <c r="BB59" s="4"/>
      <c r="BC59" s="4"/>
      <c r="BD59" s="4"/>
      <c r="BE59" s="4"/>
      <c r="BF59" s="4"/>
    </row>
    <row r="60" spans="1:58" s="2" customFormat="1" ht="18" customHeight="1">
      <c r="A60" s="15" t="str">
        <f>'Reference Score Calculation'!B71</f>
        <v>JS1807</v>
      </c>
      <c r="B60" s="4" t="str">
        <f>'Reference Score Calculation'!D71</f>
        <v>賽馬會動物醫學及生命科學院</v>
      </c>
      <c r="C60" s="23" t="str">
        <f>'Reference Score Calculation'!E71</f>
        <v>理學士(生物醫學)</v>
      </c>
      <c r="D60" s="4" t="str">
        <f>'Reference Score Calculation'!S71</f>
        <v>BScBMS</v>
      </c>
      <c r="E60" s="352" t="str">
        <f>'Reference Score Calculation'!AC71</f>
        <v>3C2X</v>
      </c>
      <c r="F60" s="347" t="str">
        <f>'Reference Score Calculation'!F71</f>
        <v>3C2X</v>
      </c>
      <c r="G60" s="6">
        <f>'Reference Score Calculation'!I71</f>
        <v>42</v>
      </c>
      <c r="H60" s="6">
        <f>'Reference Score Calculation'!J71</f>
        <v>40</v>
      </c>
      <c r="I60" s="45">
        <f>計分版!J94</f>
        <v>2.6499999999999997E-9</v>
      </c>
      <c r="J60" s="176">
        <f t="shared" si="1"/>
        <v>-41.999999997350002</v>
      </c>
      <c r="K60" s="181">
        <f t="shared" si="2"/>
        <v>-15849056602.773588</v>
      </c>
      <c r="L60" s="36">
        <f>'Reference Score Calculation'!U71</f>
        <v>30</v>
      </c>
      <c r="M60" s="84">
        <f>入學要求!Z80</f>
        <v>0</v>
      </c>
      <c r="N60" s="540"/>
      <c r="O60" s="160">
        <f>入學要求!L80</f>
        <v>3</v>
      </c>
      <c r="P60" s="160">
        <f>入學要求!M80</f>
        <v>3</v>
      </c>
      <c r="Q60" s="160">
        <f>入學要求!N80</f>
        <v>3</v>
      </c>
      <c r="R60" s="160">
        <f>入學要求!O80</f>
        <v>1</v>
      </c>
      <c r="S60" s="160">
        <f>入學要求!P80</f>
        <v>3</v>
      </c>
      <c r="T60" s="160">
        <f>入學要求!Q80</f>
        <v>3</v>
      </c>
      <c r="U60" s="236">
        <f>入學要求!S80</f>
        <v>0</v>
      </c>
      <c r="V60" s="236">
        <f>入學要求!T80</f>
        <v>0</v>
      </c>
      <c r="W60" s="236">
        <f>入學要求!U80</f>
        <v>0</v>
      </c>
      <c r="X60" s="236">
        <f>入學要求!V80</f>
        <v>0</v>
      </c>
      <c r="Y60" s="236">
        <f>入學要求!W80</f>
        <v>0</v>
      </c>
      <c r="Z60" s="236">
        <f>入學要求!X80</f>
        <v>0</v>
      </c>
      <c r="AA60" s="44">
        <f t="shared" si="3"/>
        <v>5</v>
      </c>
      <c r="AB60" s="537"/>
      <c r="AC60" s="36" cm="1">
        <f t="array" ref="AC60">IFERROR(INDEX('Offer Statistics'!$Q$2:$Q$500,MATCH(1,(CityU!$A60='Offer Statistics'!$B$2:$B$500)*(CityU!$AB$2='Offer Statistics'!$K$2:$K$500),0)),"/")</f>
        <v>29</v>
      </c>
      <c r="AD60" s="63" cm="1">
        <f t="array" ref="AD60">IFERROR(INDEX('Offer Statistics'!L$2:L$500,MATCH(1,(CityU!$A60='Offer Statistics'!$B$2:$B$500)*(CityU!$AB$2='Offer Statistics'!$K$2:$K$500),0)),"/")</f>
        <v>26</v>
      </c>
      <c r="AE60" s="63" cm="1">
        <f t="array" ref="AE60">IFERROR(INDEX('Offer Statistics'!M$2:M$500,MATCH(1,(CityU!$A60='Offer Statistics'!$B$2:$B$500)*(CityU!$AB$2='Offer Statistics'!$K$2:$K$500),0)),"/")</f>
        <v>2</v>
      </c>
      <c r="AF60" s="63" cm="1">
        <f t="array" ref="AF60">IFERROR(INDEX('Offer Statistics'!N$2:N$500,MATCH(1,(CityU!$A60='Offer Statistics'!$B$2:$B$500)*(CityU!$AB$2='Offer Statistics'!$K$2:$K$500),0)),"/")</f>
        <v>0</v>
      </c>
      <c r="AG60" s="63" cm="1">
        <f t="array" ref="AG60">IFERROR(INDEX('Offer Statistics'!O$2:O$500,MATCH(1,(CityU!$A60='Offer Statistics'!$B$2:$B$500)*(CityU!$AB$2='Offer Statistics'!$K$2:$K$500),0)),"/")</f>
        <v>0</v>
      </c>
      <c r="AH60" s="63" cm="1">
        <f t="array" ref="AH60">IFERROR(INDEX('Offer Statistics'!P$2:P$500,MATCH(1,(CityU!$A60='Offer Statistics'!$B$2:$B$500)*(CityU!$AB$2='Offer Statistics'!$K$2:$K$500),0)),"/")</f>
        <v>1</v>
      </c>
      <c r="AI60" s="538"/>
      <c r="AJ60" s="36" cm="1">
        <f t="array" ref="AJ60">IFERROR(INDEX('Offer Statistics'!$I$2:$I$500,MATCH(1,(CityU!$A60='Offer Statistics'!$B$2:$B$500)*(CityU!$AB$2='Offer Statistics'!$C$2:$C$500),0)),"/")</f>
        <v>1834</v>
      </c>
      <c r="AK60" s="63" cm="1">
        <f t="array" ref="AK60">IFERROR(INDEX('Offer Statistics'!D$2:D$500,MATCH(1,(CityU!$A60='Offer Statistics'!$B$2:$B$500)*(CityU!$AB$2='Offer Statistics'!$C$2:$C$500),0)),"/")</f>
        <v>130</v>
      </c>
      <c r="AL60" s="63" cm="1">
        <f t="array" ref="AL60">IFERROR(INDEX('Offer Statistics'!E$2:E$500,MATCH(1,(CityU!$A60='Offer Statistics'!$B$2:$B$500)*(CityU!$AB$2='Offer Statistics'!$C$2:$C$500),0)),"/")</f>
        <v>271</v>
      </c>
      <c r="AM60" s="63" cm="1">
        <f t="array" ref="AM60">IFERROR(INDEX('Offer Statistics'!F$2:F$500,MATCH(1,(CityU!$A60='Offer Statistics'!$B$2:$B$500)*(CityU!$AB$2='Offer Statistics'!$C$2:$C$500),0)),"/")</f>
        <v>459</v>
      </c>
      <c r="AN60" s="63" cm="1">
        <f t="array" ref="AN60">IFERROR(INDEX('Offer Statistics'!G$2:G$500,MATCH(1,(CityU!$A60='Offer Statistics'!$B$2:$B$500)*(CityU!$AB$2='Offer Statistics'!$C$2:$C$500),0)),"/")</f>
        <v>548</v>
      </c>
      <c r="AO60" s="63" cm="1">
        <f t="array" ref="AO60">IFERROR(INDEX('Offer Statistics'!H$2:H$500,MATCH(1,(CityU!$A60='Offer Statistics'!$B$2:$B$500)*(CityU!$AB$2='Offer Statistics'!$C$2:$C$500),0)),"/")</f>
        <v>426</v>
      </c>
      <c r="AP60" s="15"/>
      <c r="AQ60" s="15" t="str">
        <f t="shared" si="0"/>
        <v>JS1807</v>
      </c>
      <c r="AR60" s="4"/>
      <c r="AS60" s="4"/>
      <c r="AT60" s="4"/>
      <c r="AU60" s="4"/>
      <c r="AV60" s="4"/>
      <c r="AW60" s="4"/>
      <c r="AX60" s="4"/>
      <c r="AY60" s="4"/>
      <c r="AZ60" s="4"/>
      <c r="BA60" s="4"/>
      <c r="BB60" s="4"/>
      <c r="BC60" s="4"/>
      <c r="BD60" s="4"/>
      <c r="BE60" s="4"/>
      <c r="BF60" s="4"/>
    </row>
    <row r="61" spans="1:58" s="2" customFormat="1" ht="18" customHeight="1">
      <c r="A61" s="15"/>
      <c r="B61" s="4"/>
      <c r="C61" s="23"/>
      <c r="D61" s="4"/>
      <c r="E61" s="15"/>
      <c r="F61" s="15"/>
      <c r="G61" s="4"/>
      <c r="H61" s="4"/>
      <c r="I61" s="15"/>
      <c r="J61" s="4"/>
      <c r="K61" s="4"/>
      <c r="L61" s="36"/>
      <c r="M61" s="15"/>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row>
    <row r="62" spans="1:58" ht="18" customHeight="1">
      <c r="A62" s="23" t="s">
        <v>2454</v>
      </c>
      <c r="F62" s="23"/>
      <c r="G62" s="23"/>
      <c r="H62" s="23"/>
      <c r="I62" s="23"/>
      <c r="J62" s="23"/>
      <c r="K62" s="23"/>
      <c r="L62" s="83"/>
      <c r="M62" s="23"/>
      <c r="N62" s="23"/>
    </row>
    <row r="63" spans="1:58" ht="18" customHeight="1">
      <c r="A63" s="445" t="s">
        <v>2968</v>
      </c>
      <c r="B63" s="9"/>
      <c r="C63" s="445"/>
      <c r="D63" s="9"/>
      <c r="E63" s="27"/>
      <c r="F63" s="445"/>
      <c r="G63" s="23"/>
      <c r="H63" s="23"/>
      <c r="I63" s="23"/>
      <c r="J63" s="23"/>
      <c r="K63" s="23"/>
      <c r="L63" s="83"/>
      <c r="M63" s="23"/>
      <c r="N63" s="23"/>
    </row>
    <row r="64" spans="1:58" ht="18" customHeight="1">
      <c r="A64" s="445" t="s">
        <v>2969</v>
      </c>
      <c r="B64" s="9"/>
      <c r="C64" s="445"/>
      <c r="D64" s="9"/>
      <c r="E64" s="27"/>
      <c r="F64" s="445"/>
      <c r="G64" s="23"/>
      <c r="H64" s="23"/>
      <c r="I64" s="23"/>
      <c r="J64" s="23"/>
      <c r="K64" s="23"/>
      <c r="L64" s="83"/>
      <c r="M64" s="23"/>
      <c r="N64" s="23"/>
    </row>
    <row r="65" spans="1:44" ht="18" customHeight="1">
      <c r="A65" s="445"/>
      <c r="B65" s="9"/>
      <c r="C65" s="445"/>
      <c r="D65" s="9"/>
      <c r="E65" s="27"/>
      <c r="F65" s="445"/>
      <c r="G65" s="23"/>
      <c r="H65" s="23"/>
      <c r="I65" s="23"/>
      <c r="J65" s="23"/>
      <c r="K65" s="23"/>
      <c r="L65" s="83"/>
      <c r="M65" s="23"/>
      <c r="N65" s="23"/>
    </row>
    <row r="66" spans="1:44" ht="18" customHeight="1">
      <c r="A66" s="23"/>
      <c r="AD66" s="15"/>
    </row>
    <row r="67" spans="1:44" ht="18" customHeight="1">
      <c r="A67" s="23" t="s">
        <v>2962</v>
      </c>
      <c r="C67" s="4"/>
      <c r="F67" s="36"/>
      <c r="G67" s="15"/>
      <c r="H67" s="15"/>
      <c r="J67" s="15"/>
      <c r="K67" s="22"/>
      <c r="L67" s="23"/>
      <c r="P67" s="15"/>
      <c r="Q67" s="15"/>
      <c r="R67" s="15"/>
      <c r="S67" s="15"/>
      <c r="T67" s="15"/>
      <c r="AB67" s="15"/>
      <c r="AC67" s="15"/>
      <c r="AE67" s="15"/>
      <c r="AF67" s="15"/>
      <c r="AG67" s="15"/>
      <c r="AH67" s="15"/>
      <c r="AI67" s="15"/>
      <c r="AJ67" s="15"/>
      <c r="AK67" s="15"/>
      <c r="AL67" s="15"/>
      <c r="AM67" s="15"/>
      <c r="AN67" s="15"/>
      <c r="AO67" s="15"/>
      <c r="AP67" s="15"/>
      <c r="AR67" s="15"/>
    </row>
    <row r="68" spans="1:44" ht="18" customHeight="1">
      <c r="A68" s="254" t="s">
        <v>2457</v>
      </c>
    </row>
    <row r="69" spans="1:44" ht="18" customHeight="1">
      <c r="A69" s="254"/>
    </row>
    <row r="70" spans="1:44" ht="18" customHeight="1">
      <c r="A70" s="83" t="s">
        <v>127</v>
      </c>
    </row>
    <row r="71" spans="1:44" ht="18" customHeight="1">
      <c r="A71" s="23" t="s">
        <v>128</v>
      </c>
    </row>
    <row r="72" spans="1:44" ht="18" customHeight="1">
      <c r="A72" s="23"/>
    </row>
    <row r="73" spans="1:44" ht="18" customHeight="1">
      <c r="A73" s="23" t="s">
        <v>2455</v>
      </c>
    </row>
    <row r="74" spans="1:44" ht="18" customHeight="1">
      <c r="A74" s="23"/>
    </row>
    <row r="75" spans="1:44" ht="18" customHeight="1">
      <c r="A75" s="83" t="s">
        <v>129</v>
      </c>
    </row>
    <row r="76" spans="1:44" ht="18" customHeight="1">
      <c r="A76" s="509" t="s">
        <v>3282</v>
      </c>
      <c r="B76" s="440"/>
      <c r="C76" s="441"/>
      <c r="D76" s="440"/>
      <c r="E76" s="442"/>
    </row>
    <row r="77" spans="1:44" ht="18" customHeight="1">
      <c r="A77" s="510" t="s">
        <v>130</v>
      </c>
      <c r="B77" s="440"/>
      <c r="C77" s="441"/>
      <c r="D77" s="440"/>
      <c r="E77" s="442"/>
    </row>
    <row r="78" spans="1:44" ht="18" customHeight="1">
      <c r="A78" s="510" t="s">
        <v>131</v>
      </c>
      <c r="B78" s="440"/>
      <c r="C78" s="441"/>
      <c r="D78" s="440"/>
      <c r="E78" s="442"/>
    </row>
    <row r="79" spans="1:44" ht="18" customHeight="1">
      <c r="A79" s="510" t="s">
        <v>132</v>
      </c>
      <c r="B79" s="440"/>
      <c r="C79" s="441"/>
      <c r="D79" s="440"/>
      <c r="E79" s="442"/>
    </row>
    <row r="80" spans="1:44" ht="18" customHeight="1">
      <c r="A80" s="510" t="s">
        <v>133</v>
      </c>
      <c r="B80" s="440"/>
      <c r="C80" s="441"/>
      <c r="D80" s="440"/>
      <c r="E80" s="442"/>
    </row>
    <row r="81" spans="1:1" ht="18" customHeight="1">
      <c r="A81" s="445"/>
    </row>
    <row r="82" spans="1:1" ht="16.5" hidden="1" customHeight="1"/>
    <row r="83" spans="1:1" ht="16.5" hidden="1" customHeight="1"/>
    <row r="84" spans="1:1" ht="16.5" hidden="1" customHeight="1"/>
    <row r="85" spans="1:1" ht="16.5" hidden="1" customHeight="1"/>
    <row r="86" spans="1:1" ht="16.5" hidden="1" customHeight="1"/>
    <row r="87" spans="1:1" ht="16.5" hidden="1" customHeight="1"/>
  </sheetData>
  <sheetProtection sheet="1" sort="0" autoFilter="0" pivotTables="0"/>
  <mergeCells count="4">
    <mergeCell ref="AB2:AB60"/>
    <mergeCell ref="AI2:AI60"/>
    <mergeCell ref="J1:K1"/>
    <mergeCell ref="N2:N60"/>
  </mergeCells>
  <phoneticPr fontId="3" type="noConversion"/>
  <conditionalFormatting sqref="A2:F60">
    <cfRule type="expression" dxfId="234" priority="1">
      <formula>MOD(ROW(),2)=0</formula>
    </cfRule>
  </conditionalFormatting>
  <conditionalFormatting sqref="G2:G60">
    <cfRule type="expression" dxfId="233" priority="147">
      <formula>$J$1="差距(Median)"</formula>
    </cfRule>
  </conditionalFormatting>
  <conditionalFormatting sqref="G2:AQ2 G3:M60 O3:AA60 AC3:AH60 AJ3:AO60 AQ3:AQ60">
    <cfRule type="expression" dxfId="232" priority="18730">
      <formula>MOD(ROW(),2)=0</formula>
    </cfRule>
  </conditionalFormatting>
  <conditionalFormatting sqref="H2:H60">
    <cfRule type="expression" dxfId="231" priority="146">
      <formula>$J$1="差距(LQ)"</formula>
    </cfRule>
  </conditionalFormatting>
  <conditionalFormatting sqref="J2:K60">
    <cfRule type="cellIs" dxfId="230" priority="160" operator="equal">
      <formula>"/"</formula>
    </cfRule>
    <cfRule type="cellIs" dxfId="229" priority="161" operator="lessThan">
      <formula>0</formula>
    </cfRule>
    <cfRule type="cellIs" dxfId="228" priority="162" operator="greaterThan">
      <formula>0</formula>
    </cfRule>
  </conditionalFormatting>
  <conditionalFormatting sqref="M2:M60">
    <cfRule type="cellIs" dxfId="227" priority="30" operator="equal">
      <formula>2</formula>
    </cfRule>
    <cfRule type="cellIs" dxfId="226" priority="144" operator="equal">
      <formula>1</formula>
    </cfRule>
    <cfRule type="cellIs" dxfId="225" priority="145" operator="equal">
      <formula>0</formula>
    </cfRule>
  </conditionalFormatting>
  <conditionalFormatting sqref="O2:T60">
    <cfRule type="expression" dxfId="224" priority="10">
      <formula>U2=0</formula>
    </cfRule>
    <cfRule type="expression" dxfId="223" priority="11">
      <formula>U2=2</formula>
    </cfRule>
    <cfRule type="expression" dxfId="222" priority="12">
      <formula>U2=1</formula>
    </cfRule>
  </conditionalFormatting>
  <conditionalFormatting sqref="AI2">
    <cfRule type="expression" dxfId="221" priority="26">
      <formula>TRUE</formula>
    </cfRule>
  </conditionalFormatting>
  <conditionalFormatting sqref="AP2:AP53 AP55:AP60 AB2">
    <cfRule type="expression" dxfId="220" priority="28">
      <formula>TRUE</formula>
    </cfRule>
  </conditionalFormatting>
  <conditionalFormatting sqref="AP3:AP53 AP55:AP60">
    <cfRule type="expression" dxfId="219" priority="2">
      <formula>MOD(ROW(),2)=0</formula>
    </cfRule>
  </conditionalFormatting>
  <hyperlinks>
    <hyperlink ref="A76" r:id="rId1" xr:uid="{00000000-0004-0000-0500-000000000000}"/>
    <hyperlink ref="A77" r:id="rId2" xr:uid="{00000000-0004-0000-0500-000001000000}"/>
    <hyperlink ref="A78" r:id="rId3" xr:uid="{00000000-0004-0000-0500-000002000000}"/>
    <hyperlink ref="A79" r:id="rId4" xr:uid="{00000000-0004-0000-0500-000003000000}"/>
    <hyperlink ref="A80" r:id="rId5" xr:uid="{00000000-0004-0000-0500-000004000000}"/>
  </hyperlinks>
  <pageMargins left="0.7" right="0.7" top="0.75" bottom="0.75" header="0.3" footer="0.3"/>
  <pageSetup paperSize="9" orientation="portrait" horizontalDpi="300" verticalDpi="300" r:id="rId6"/>
  <drawing r:id="rId7"/>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選單!$K$2:$K$3</xm:f>
          </x14:formula1>
          <xm:sqref>J1:K1</xm:sqref>
        </x14:dataValidation>
        <x14:dataValidation type="list" allowBlank="1" showInputMessage="1" showErrorMessage="1" xr:uid="{B66C72CC-A89C-498A-B888-C280675CE016}">
          <x14:formula1>
            <xm:f>選單!$J$1:$J$7</xm:f>
          </x14:formula1>
          <xm:sqref>AB2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6">
    <tabColor theme="4" tint="-0.249977111117893"/>
    <pageSetUpPr autoPageBreaks="0"/>
  </sheetPr>
  <dimension ref="A1:BF68"/>
  <sheetViews>
    <sheetView zoomScaleNormal="100" workbookViewId="0">
      <selection activeCell="B1" sqref="B1"/>
    </sheetView>
  </sheetViews>
  <sheetFormatPr defaultColWidth="0" defaultRowHeight="0" customHeight="1" zeroHeight="1"/>
  <cols>
    <col min="1" max="1" width="7.69921875" style="4" customWidth="1"/>
    <col min="2" max="2" width="9.19921875" style="4" customWidth="1"/>
    <col min="3" max="3" width="25.69921875" style="4" customWidth="1"/>
    <col min="4" max="4" width="9.19921875" style="4" customWidth="1"/>
    <col min="5" max="5" width="11.69921875" style="4" customWidth="1"/>
    <col min="6" max="6" width="11.19921875" style="15" customWidth="1"/>
    <col min="7" max="8" width="7.69921875" style="4" customWidth="1"/>
    <col min="9" max="9" width="11.19921875" style="15" customWidth="1"/>
    <col min="10" max="12" width="7.69921875" style="4" customWidth="1"/>
    <col min="13" max="13" width="4.69921875" style="36" customWidth="1"/>
    <col min="14" max="14" width="4.69921875" style="15" customWidth="1"/>
    <col min="15" max="15" width="15.19921875" style="15" customWidth="1"/>
    <col min="16" max="21" width="2.19921875" style="4" customWidth="1"/>
    <col min="22" max="27" width="2.19921875" style="15" hidden="1" customWidth="1"/>
    <col min="28" max="28" width="11.19921875" style="15" customWidth="1"/>
    <col min="29" max="29" width="8.69921875" style="4" customWidth="1"/>
    <col min="30" max="35" width="6.19921875" style="4" customWidth="1"/>
    <col min="36" max="36" width="8.69921875" style="4" customWidth="1"/>
    <col min="37" max="42" width="6.19921875" style="4" customWidth="1"/>
    <col min="43" max="43" width="3.19921875" style="4" customWidth="1"/>
    <col min="44" max="44" width="8.19921875" style="4" customWidth="1"/>
    <col min="45" max="58" width="0" style="4" hidden="1" customWidth="1"/>
    <col min="59" max="16384" width="8.69921875" style="4" hidden="1"/>
  </cols>
  <sheetData>
    <row r="1" spans="1:44" s="41" customFormat="1" ht="18" customHeight="1">
      <c r="A1" s="41" t="s">
        <v>134</v>
      </c>
      <c r="B1" s="41" t="s">
        <v>105</v>
      </c>
      <c r="C1" s="41" t="s">
        <v>106</v>
      </c>
      <c r="E1" s="41" t="s">
        <v>2973</v>
      </c>
      <c r="F1" s="42" t="s">
        <v>2319</v>
      </c>
      <c r="G1" s="42" t="s">
        <v>102</v>
      </c>
      <c r="H1" s="42" t="s">
        <v>100</v>
      </c>
      <c r="I1" s="42" t="s">
        <v>2972</v>
      </c>
      <c r="J1" s="42" t="s">
        <v>108</v>
      </c>
      <c r="K1" s="541" t="s">
        <v>2974</v>
      </c>
      <c r="L1" s="541"/>
      <c r="M1" s="42" t="s">
        <v>36</v>
      </c>
      <c r="N1" s="42" t="s">
        <v>110</v>
      </c>
      <c r="O1" s="42"/>
      <c r="P1" s="42" t="s">
        <v>111</v>
      </c>
      <c r="Q1" s="42" t="s">
        <v>112</v>
      </c>
      <c r="R1" s="42" t="s">
        <v>113</v>
      </c>
      <c r="S1" s="42" t="s">
        <v>2251</v>
      </c>
      <c r="T1" s="42" t="s">
        <v>115</v>
      </c>
      <c r="U1" s="42" t="s">
        <v>116</v>
      </c>
      <c r="V1" s="42"/>
      <c r="W1" s="42"/>
      <c r="X1" s="42"/>
      <c r="Y1" s="42"/>
      <c r="Z1" s="42"/>
      <c r="AA1" s="42"/>
      <c r="AB1" s="42" t="s">
        <v>117</v>
      </c>
      <c r="AC1" s="42" t="s">
        <v>118</v>
      </c>
      <c r="AD1" s="42" t="s">
        <v>135</v>
      </c>
      <c r="AE1" s="42" t="s">
        <v>120</v>
      </c>
      <c r="AF1" s="42" t="s">
        <v>121</v>
      </c>
      <c r="AG1" s="42" t="s">
        <v>122</v>
      </c>
      <c r="AH1" s="42" t="s">
        <v>123</v>
      </c>
      <c r="AI1" s="42" t="s">
        <v>124</v>
      </c>
      <c r="AJ1" s="42" t="s">
        <v>136</v>
      </c>
      <c r="AK1" s="42" t="s">
        <v>135</v>
      </c>
      <c r="AL1" s="42" t="s">
        <v>120</v>
      </c>
      <c r="AM1" s="42" t="s">
        <v>121</v>
      </c>
      <c r="AN1" s="42" t="s">
        <v>122</v>
      </c>
      <c r="AO1" s="42" t="s">
        <v>123</v>
      </c>
      <c r="AP1" s="42" t="s">
        <v>124</v>
      </c>
      <c r="AR1" s="42"/>
    </row>
    <row r="2" spans="1:44" ht="18" customHeight="1">
      <c r="A2" s="4" t="str">
        <f>'Reference Score Calculation'!B74</f>
        <v>JS2020</v>
      </c>
      <c r="B2" s="4" t="str">
        <f>'Reference Score Calculation'!D74</f>
        <v>文學院</v>
      </c>
      <c r="C2" s="4" t="str">
        <f>'Reference Score Calculation'!E74</f>
        <v>文學士(榮譽) (中國語言文學 / 創意及專業寫作 / 英國語言文學 / 人文學 / 翻譯學)</v>
      </c>
      <c r="D2" s="4" t="str">
        <f>'Reference Score Calculation'!S74</f>
        <v>BA</v>
      </c>
      <c r="E2" s="352" t="str">
        <f>'Reference Score Calculation'!AC74</f>
        <v>Best 5</v>
      </c>
      <c r="F2" s="449" t="str">
        <f>'Reference Score Calculation'!F74</f>
        <v>Best 5</v>
      </c>
      <c r="G2" s="6">
        <f>'Reference Score Calculation'!I74</f>
        <v>21.000000000200004</v>
      </c>
      <c r="H2" s="6">
        <f>'Reference Score Calculation'!J74</f>
        <v>20.000000000250001</v>
      </c>
      <c r="I2" s="449">
        <f>'Reference Score Calculation'!G74</f>
        <v>21.04</v>
      </c>
      <c r="J2" s="45">
        <f>計分版!J97</f>
        <v>3.4999999999999999E-9</v>
      </c>
      <c r="K2" s="25">
        <f t="shared" ref="K2:K23" si="0">IFERROR(IF(K$1="差距(Median)",J2-G2,IF(K$1="差距(LQ)",J2-H2,IF(K$1="差距(Mean)",J2-I2))),"/")</f>
        <v>-21.039999996500001</v>
      </c>
      <c r="L2" s="26">
        <f t="shared" ref="L2:L23" si="1">IFERROR(IF(K$1="差距(Median)",(J2-G2)/J2,IF(K$1="差距(LQ)",(J2-H2)/J2,IF(K$1="差距(Mean)",(J2-I2)/J2))),"/")</f>
        <v>-6011428570.4285717</v>
      </c>
      <c r="M2" s="36">
        <f>'Reference Score Calculation'!U74</f>
        <v>87</v>
      </c>
      <c r="N2" s="84">
        <f>入學要求!Z83</f>
        <v>0</v>
      </c>
      <c r="O2" s="542" t="s">
        <v>2104</v>
      </c>
      <c r="P2" s="242">
        <f>入學要求!L83</f>
        <v>3</v>
      </c>
      <c r="Q2" s="242">
        <f>入學要求!M83</f>
        <v>3</v>
      </c>
      <c r="R2" s="242">
        <f>入學要求!N83</f>
        <v>2</v>
      </c>
      <c r="S2" s="242">
        <f>入學要求!O83</f>
        <v>1</v>
      </c>
      <c r="T2" s="242">
        <f>入學要求!P83</f>
        <v>3</v>
      </c>
      <c r="U2" s="242">
        <f>入學要求!Q83</f>
        <v>3</v>
      </c>
      <c r="V2" s="236">
        <f>入學要求!S83</f>
        <v>0</v>
      </c>
      <c r="W2" s="236">
        <f>入學要求!T83</f>
        <v>0</v>
      </c>
      <c r="X2" s="236">
        <f>入學要求!U83</f>
        <v>0</v>
      </c>
      <c r="Y2" s="236">
        <f>入學要求!V83</f>
        <v>0</v>
      </c>
      <c r="Z2" s="236">
        <f>入學要求!W83</f>
        <v>0</v>
      </c>
      <c r="AA2" s="236">
        <f>入學要求!X83</f>
        <v>0</v>
      </c>
      <c r="AB2" s="375">
        <f>IFERROR(ROUND(AL2/AE2,2),"/")</f>
        <v>5.52</v>
      </c>
      <c r="AC2" s="537" t="s">
        <v>2253</v>
      </c>
      <c r="AD2" s="36" cm="1">
        <f t="array" ref="AD2">IFERROR(INDEX('Offer Statistics'!$AI$2:$AI$400,MATCH(1,($A2='Offer Statistics'!$T$2:$T$400)*($AC$2='Offer Statistics'!$AC$2:$AC$400),0)),"/")</f>
        <v>106</v>
      </c>
      <c r="AE2" s="63" cm="1">
        <f t="array" ref="AE2">IFERROR(INDEX('Offer Statistics'!AD$2:AD$400,MATCH(1,($A2='Offer Statistics'!$T$2:$T$400)*($AC$2='Offer Statistics'!$AC$2:$AC$400),0)),"/")</f>
        <v>102</v>
      </c>
      <c r="AF2" s="63" cm="1">
        <f t="array" ref="AF2">IFERROR(INDEX('Offer Statistics'!AE$2:AE$400,MATCH(1,($A2='Offer Statistics'!$T$2:$T$400)*($AC$2='Offer Statistics'!$AC$2:$AC$400),0)),"/")</f>
        <v>4</v>
      </c>
      <c r="AG2" s="63" cm="1">
        <f t="array" ref="AG2">IFERROR(INDEX('Offer Statistics'!AF$2:AF$400,MATCH(1,($A2='Offer Statistics'!$T$2:$T$400)*($AC$2='Offer Statistics'!$AC$2:$AC$400),0)),"/")</f>
        <v>0</v>
      </c>
      <c r="AH2" s="63" cm="1">
        <f t="array" ref="AH2">IFERROR(INDEX('Offer Statistics'!AG$2:AG$400,MATCH(1,($A2='Offer Statistics'!$T$2:$T$400)*($AC$2='Offer Statistics'!$AC$2:$AC$400),0)),"/")</f>
        <v>0</v>
      </c>
      <c r="AI2" s="63" cm="1">
        <f t="array" ref="AI2">IFERROR(INDEX('Offer Statistics'!AH$2:AH$400,MATCH(1,($A2='Offer Statistics'!$T$2:$T$400)*($AC$2='Offer Statistics'!$AC$2:$AC$400),0)),"/")</f>
        <v>0</v>
      </c>
      <c r="AJ2" s="538" t="str">
        <f>AC2</f>
        <v>2024年</v>
      </c>
      <c r="AK2" s="36" cm="1">
        <f t="array" ref="AK2">IFERROR(INDEX('Offer Statistics'!$AA$2:$AA$400,MATCH(1,($A2='Offer Statistics'!$T$2:$T$400)*($AC$2='Offer Statistics'!$U$2:$U$400),0)),"/")</f>
        <v>3435</v>
      </c>
      <c r="AL2" s="63" cm="1">
        <f t="array" ref="AL2">IFERROR(INDEX('Offer Statistics'!V$2:V$400,MATCH(1,($A2='Offer Statistics'!$T$2:$T$400)*($AC$2='Offer Statistics'!$U$2:$U$400),0)),"/")</f>
        <v>563</v>
      </c>
      <c r="AM2" s="63" cm="1">
        <f t="array" ref="AM2">IFERROR(INDEX('Offer Statistics'!W$2:W$400,MATCH(1,($A2='Offer Statistics'!$T$2:$T$400)*($AC$2='Offer Statistics'!$U$2:$U$400),0)),"/")</f>
        <v>612</v>
      </c>
      <c r="AN2" s="63" cm="1">
        <f t="array" ref="AN2">IFERROR(INDEX('Offer Statistics'!X$2:X$400,MATCH(1,($A2='Offer Statistics'!$T$2:$T$400)*($AC$2='Offer Statistics'!$U$2:$U$400),0)),"/")</f>
        <v>791</v>
      </c>
      <c r="AO2" s="63" cm="1">
        <f t="array" ref="AO2">IFERROR(INDEX('Offer Statistics'!Y$2:Y$400,MATCH(1,($A2='Offer Statistics'!$T$2:$T$400)*($AC$2='Offer Statistics'!$U$2:$U$400),0)),"/")</f>
        <v>870</v>
      </c>
      <c r="AP2" s="63" cm="1">
        <f t="array" ref="AP2">IFERROR(INDEX('Offer Statistics'!Z$2:Z$400,MATCH(1,($A2='Offer Statistics'!$T$2:$T$400)*($AC$2='Offer Statistics'!$U$2:$U$400),0)),"/")</f>
        <v>599</v>
      </c>
      <c r="AR2" s="15" t="str">
        <f>A2</f>
        <v>JS2020</v>
      </c>
    </row>
    <row r="3" spans="1:44" s="43" customFormat="1" ht="18" customHeight="1">
      <c r="A3" s="4" t="str">
        <f>'Reference Score Calculation'!B75</f>
        <v>JS2025</v>
      </c>
      <c r="B3" s="4" t="str">
        <f>'Reference Score Calculation'!D75</f>
        <v>文學院</v>
      </c>
      <c r="C3" s="4" t="str">
        <f>'Reference Score Calculation'!E75</f>
        <v>宗教、哲學及倫理文學士(榮譽)</v>
      </c>
      <c r="D3" s="4" t="str">
        <f>'Reference Score Calculation'!S75</f>
        <v>BA(RPE)</v>
      </c>
      <c r="E3" s="352" t="str">
        <f>'Reference Score Calculation'!AC75</f>
        <v>Best 5</v>
      </c>
      <c r="F3" s="449" t="str">
        <f>'Reference Score Calculation'!F75</f>
        <v>Best 5</v>
      </c>
      <c r="G3" s="6">
        <f>'Reference Score Calculation'!I75</f>
        <v>20.000000000250001</v>
      </c>
      <c r="H3" s="6">
        <f>'Reference Score Calculation'!J75</f>
        <v>19.000000000250001</v>
      </c>
      <c r="I3" s="449">
        <f>'Reference Score Calculation'!G75</f>
        <v>19.5</v>
      </c>
      <c r="J3" s="45">
        <f>計分版!J98</f>
        <v>3.4999999999999999E-9</v>
      </c>
      <c r="K3" s="25">
        <f t="shared" si="0"/>
        <v>-19.499999996500001</v>
      </c>
      <c r="L3" s="26">
        <f t="shared" si="1"/>
        <v>-5571428570.4285717</v>
      </c>
      <c r="M3" s="36">
        <f>'Reference Score Calculation'!U75</f>
        <v>11</v>
      </c>
      <c r="N3" s="84">
        <f>入學要求!Z84</f>
        <v>0</v>
      </c>
      <c r="O3" s="542"/>
      <c r="P3" s="242">
        <f>入學要求!L84</f>
        <v>3</v>
      </c>
      <c r="Q3" s="242">
        <f>入學要求!M84</f>
        <v>3</v>
      </c>
      <c r="R3" s="242">
        <f>入學要求!N84</f>
        <v>2</v>
      </c>
      <c r="S3" s="242">
        <f>入學要求!O84</f>
        <v>1</v>
      </c>
      <c r="T3" s="242">
        <f>入學要求!P84</f>
        <v>3</v>
      </c>
      <c r="U3" s="242">
        <f>入學要求!Q84</f>
        <v>3</v>
      </c>
      <c r="V3" s="236">
        <f>入學要求!S84</f>
        <v>0</v>
      </c>
      <c r="W3" s="236">
        <f>入學要求!T84</f>
        <v>0</v>
      </c>
      <c r="X3" s="236">
        <f>入學要求!U84</f>
        <v>0</v>
      </c>
      <c r="Y3" s="236">
        <f>入學要求!V84</f>
        <v>0</v>
      </c>
      <c r="Z3" s="236">
        <f>入學要求!W84</f>
        <v>0</v>
      </c>
      <c r="AA3" s="236">
        <f>入學要求!X84</f>
        <v>0</v>
      </c>
      <c r="AB3" s="375">
        <f t="shared" ref="AB3:AB22" si="2">IFERROR(ROUND(AL3/AE3,2),"/")</f>
        <v>17.440000000000001</v>
      </c>
      <c r="AC3" s="537"/>
      <c r="AD3" s="36" cm="1">
        <f t="array" ref="AD3">IFERROR(INDEX('Offer Statistics'!$AI$2:$AI$400,MATCH(1,($A3='Offer Statistics'!$T$2:$T$400)*($AC$2='Offer Statistics'!$AC$2:$AC$400),0)),"/")</f>
        <v>17</v>
      </c>
      <c r="AE3" s="63" cm="1">
        <f t="array" ref="AE3">IFERROR(INDEX('Offer Statistics'!AD$2:AD$400,MATCH(1,($A3='Offer Statistics'!$T$2:$T$400)*($AC$2='Offer Statistics'!$AC$2:$AC$400),0)),"/")</f>
        <v>9</v>
      </c>
      <c r="AF3" s="63" cm="1">
        <f t="array" ref="AF3">IFERROR(INDEX('Offer Statistics'!AE$2:AE$400,MATCH(1,($A3='Offer Statistics'!$T$2:$T$400)*($AC$2='Offer Statistics'!$AC$2:$AC$400),0)),"/")</f>
        <v>8</v>
      </c>
      <c r="AG3" s="63" cm="1">
        <f t="array" ref="AG3">IFERROR(INDEX('Offer Statistics'!AF$2:AF$400,MATCH(1,($A3='Offer Statistics'!$T$2:$T$400)*($AC$2='Offer Statistics'!$AC$2:$AC$400),0)),"/")</f>
        <v>0</v>
      </c>
      <c r="AH3" s="63" cm="1">
        <f t="array" ref="AH3">IFERROR(INDEX('Offer Statistics'!AG$2:AG$400,MATCH(1,($A3='Offer Statistics'!$T$2:$T$400)*($AC$2='Offer Statistics'!$AC$2:$AC$400),0)),"/")</f>
        <v>0</v>
      </c>
      <c r="AI3" s="63" cm="1">
        <f t="array" ref="AI3">IFERROR(INDEX('Offer Statistics'!AH$2:AH$400,MATCH(1,($A3='Offer Statistics'!$T$2:$T$400)*($AC$2='Offer Statistics'!$AC$2:$AC$400),0)),"/")</f>
        <v>0</v>
      </c>
      <c r="AJ3" s="538"/>
      <c r="AK3" s="36" cm="1">
        <f t="array" ref="AK3">IFERROR(INDEX('Offer Statistics'!$AA$2:$AA$400,MATCH(1,($A3='Offer Statistics'!$T$2:$T$400)*($AC$2='Offer Statistics'!$U$2:$U$400),0)),"/")</f>
        <v>1285</v>
      </c>
      <c r="AL3" s="63" cm="1">
        <f t="array" ref="AL3">IFERROR(INDEX('Offer Statistics'!V$2:V$400,MATCH(1,($A3='Offer Statistics'!$T$2:$T$400)*($AC$2='Offer Statistics'!$U$2:$U$400),0)),"/")</f>
        <v>157</v>
      </c>
      <c r="AM3" s="63" cm="1">
        <f t="array" ref="AM3">IFERROR(INDEX('Offer Statistics'!W$2:W$400,MATCH(1,($A3='Offer Statistics'!$T$2:$T$400)*($AC$2='Offer Statistics'!$U$2:$U$400),0)),"/")</f>
        <v>179</v>
      </c>
      <c r="AN3" s="63" cm="1">
        <f t="array" ref="AN3">IFERROR(INDEX('Offer Statistics'!X$2:X$400,MATCH(1,($A3='Offer Statistics'!$T$2:$T$400)*($AC$2='Offer Statistics'!$U$2:$U$400),0)),"/")</f>
        <v>266</v>
      </c>
      <c r="AO3" s="63" cm="1">
        <f t="array" ref="AO3">IFERROR(INDEX('Offer Statistics'!Y$2:Y$400,MATCH(1,($A3='Offer Statistics'!$T$2:$T$400)*($AC$2='Offer Statistics'!$U$2:$U$400),0)),"/")</f>
        <v>347</v>
      </c>
      <c r="AP3" s="63" cm="1">
        <f t="array" ref="AP3">IFERROR(INDEX('Offer Statistics'!Z$2:Z$400,MATCH(1,($A3='Offer Statistics'!$T$2:$T$400)*($AC$2='Offer Statistics'!$U$2:$U$400),0)),"/")</f>
        <v>336</v>
      </c>
      <c r="AQ3" s="4"/>
      <c r="AR3" s="15" t="str">
        <f t="shared" ref="AR3:AR16" si="3">A3</f>
        <v>JS2025</v>
      </c>
    </row>
    <row r="4" spans="1:44" ht="18" customHeight="1">
      <c r="A4" s="4" t="str">
        <f>'Reference Score Calculation'!B76</f>
        <v>JS2060</v>
      </c>
      <c r="B4" s="4" t="str">
        <f>'Reference Score Calculation'!D76</f>
        <v>文學院</v>
      </c>
      <c r="C4" s="4" t="str">
        <f>'Reference Score Calculation'!E76</f>
        <v>文學士(榮譽) / 音樂學士(榮譽) (音樂 / 創意產業)</v>
      </c>
      <c r="D4" s="4" t="str">
        <f>'Reference Score Calculation'!S76</f>
        <v>BA/BMUS(MUSIC/CI)</v>
      </c>
      <c r="E4" s="352" t="str">
        <f>'Reference Score Calculation'!AC76</f>
        <v>Best 5</v>
      </c>
      <c r="F4" s="449" t="str">
        <f>'Reference Score Calculation'!F76</f>
        <v>Best 5</v>
      </c>
      <c r="G4" s="6">
        <f>'Reference Score Calculation'!I76</f>
        <v>19.000000000250001</v>
      </c>
      <c r="H4" s="6">
        <f>'Reference Score Calculation'!J76</f>
        <v>19.000000000200004</v>
      </c>
      <c r="I4" s="449">
        <f>'Reference Score Calculation'!G76</f>
        <v>19.87</v>
      </c>
      <c r="J4" s="45">
        <f>計分版!J99</f>
        <v>3.4999999999999999E-9</v>
      </c>
      <c r="K4" s="25">
        <f t="shared" si="0"/>
        <v>-19.869999996500002</v>
      </c>
      <c r="L4" s="26">
        <f t="shared" si="1"/>
        <v>-5677142856.1428576</v>
      </c>
      <c r="M4" s="36">
        <f>'Reference Score Calculation'!U76</f>
        <v>38</v>
      </c>
      <c r="N4" s="84">
        <f>入學要求!Z85</f>
        <v>0</v>
      </c>
      <c r="O4" s="542"/>
      <c r="P4" s="242">
        <f>入學要求!L85</f>
        <v>3</v>
      </c>
      <c r="Q4" s="242">
        <f>入學要求!M85</f>
        <v>3</v>
      </c>
      <c r="R4" s="242">
        <f>入學要求!N85</f>
        <v>2</v>
      </c>
      <c r="S4" s="242">
        <f>入學要求!O85</f>
        <v>1</v>
      </c>
      <c r="T4" s="242">
        <f>入學要求!P85</f>
        <v>3</v>
      </c>
      <c r="U4" s="242">
        <f>入學要求!Q85</f>
        <v>3</v>
      </c>
      <c r="V4" s="236">
        <f>入學要求!S85</f>
        <v>0</v>
      </c>
      <c r="W4" s="236">
        <f>入學要求!T85</f>
        <v>0</v>
      </c>
      <c r="X4" s="236">
        <f>入學要求!U85</f>
        <v>0</v>
      </c>
      <c r="Y4" s="236">
        <f>入學要求!V85</f>
        <v>0</v>
      </c>
      <c r="Z4" s="236">
        <f>入學要求!W85</f>
        <v>0</v>
      </c>
      <c r="AA4" s="236">
        <f>入學要求!X85</f>
        <v>0</v>
      </c>
      <c r="AB4" s="375">
        <f t="shared" si="2"/>
        <v>8.9600000000000009</v>
      </c>
      <c r="AC4" s="537"/>
      <c r="AD4" s="36" cm="1">
        <f t="array" ref="AD4">IFERROR(INDEX('Offer Statistics'!$AI$2:$AI$400,MATCH(1,($A4='Offer Statistics'!$T$2:$T$400)*($AC$2='Offer Statistics'!$AC$2:$AC$400),0)),"/")</f>
        <v>28</v>
      </c>
      <c r="AE4" s="63" cm="1">
        <f t="array" ref="AE4">IFERROR(INDEX('Offer Statistics'!AD$2:AD$400,MATCH(1,($A4='Offer Statistics'!$T$2:$T$400)*($AC$2='Offer Statistics'!$AC$2:$AC$400),0)),"/")</f>
        <v>28</v>
      </c>
      <c r="AF4" s="63" cm="1">
        <f t="array" ref="AF4">IFERROR(INDEX('Offer Statistics'!AE$2:AE$400,MATCH(1,($A4='Offer Statistics'!$T$2:$T$400)*($AC$2='Offer Statistics'!$AC$2:$AC$400),0)),"/")</f>
        <v>0</v>
      </c>
      <c r="AG4" s="63" cm="1">
        <f t="array" ref="AG4">IFERROR(INDEX('Offer Statistics'!AF$2:AF$400,MATCH(1,($A4='Offer Statistics'!$T$2:$T$400)*($AC$2='Offer Statistics'!$AC$2:$AC$400),0)),"/")</f>
        <v>0</v>
      </c>
      <c r="AH4" s="63" cm="1">
        <f t="array" ref="AH4">IFERROR(INDEX('Offer Statistics'!AG$2:AG$400,MATCH(1,($A4='Offer Statistics'!$T$2:$T$400)*($AC$2='Offer Statistics'!$AC$2:$AC$400),0)),"/")</f>
        <v>0</v>
      </c>
      <c r="AI4" s="63" cm="1">
        <f t="array" ref="AI4">IFERROR(INDEX('Offer Statistics'!AH$2:AH$400,MATCH(1,($A4='Offer Statistics'!$T$2:$T$400)*($AC$2='Offer Statistics'!$AC$2:$AC$400),0)),"/")</f>
        <v>0</v>
      </c>
      <c r="AJ4" s="538"/>
      <c r="AK4" s="36" cm="1">
        <f t="array" ref="AK4">IFERROR(INDEX('Offer Statistics'!$AA$2:$AA$400,MATCH(1,($A4='Offer Statistics'!$T$2:$T$400)*($AC$2='Offer Statistics'!$U$2:$U$400),0)),"/")</f>
        <v>971</v>
      </c>
      <c r="AL4" s="63" cm="1">
        <f t="array" ref="AL4">IFERROR(INDEX('Offer Statistics'!V$2:V$400,MATCH(1,($A4='Offer Statistics'!$T$2:$T$400)*($AC$2='Offer Statistics'!$U$2:$U$400),0)),"/")</f>
        <v>251</v>
      </c>
      <c r="AM4" s="63" cm="1">
        <f t="array" ref="AM4">IFERROR(INDEX('Offer Statistics'!W$2:W$400,MATCH(1,($A4='Offer Statistics'!$T$2:$T$400)*($AC$2='Offer Statistics'!$U$2:$U$400),0)),"/")</f>
        <v>122</v>
      </c>
      <c r="AN4" s="63" cm="1">
        <f t="array" ref="AN4">IFERROR(INDEX('Offer Statistics'!X$2:X$400,MATCH(1,($A4='Offer Statistics'!$T$2:$T$400)*($AC$2='Offer Statistics'!$U$2:$U$400),0)),"/")</f>
        <v>168</v>
      </c>
      <c r="AO4" s="63" cm="1">
        <f t="array" ref="AO4">IFERROR(INDEX('Offer Statistics'!Y$2:Y$400,MATCH(1,($A4='Offer Statistics'!$T$2:$T$400)*($AC$2='Offer Statistics'!$U$2:$U$400),0)),"/")</f>
        <v>233</v>
      </c>
      <c r="AP4" s="63" cm="1">
        <f t="array" ref="AP4">IFERROR(INDEX('Offer Statistics'!Z$2:Z$400,MATCH(1,($A4='Offer Statistics'!$T$2:$T$400)*($AC$2='Offer Statistics'!$U$2:$U$400),0)),"/")</f>
        <v>197</v>
      </c>
      <c r="AR4" s="15" t="str">
        <f t="shared" si="3"/>
        <v>JS2060</v>
      </c>
    </row>
    <row r="5" spans="1:44" s="43" customFormat="1" ht="18" customHeight="1">
      <c r="A5" s="4" t="str">
        <f>'Reference Score Calculation'!B77</f>
        <v>JS2110</v>
      </c>
      <c r="B5" s="4" t="str">
        <f>'Reference Score Calculation'!D77</f>
        <v>商學院</v>
      </c>
      <c r="C5" s="4" t="str">
        <f>'Reference Score Calculation'!E77</f>
        <v>工商管理學士(榮譽) - 會計學專修</v>
      </c>
      <c r="D5" s="4" t="str">
        <f>'Reference Score Calculation'!S77</f>
        <v>BBA(ACCT)</v>
      </c>
      <c r="E5" s="352" t="str">
        <f>'Reference Score Calculation'!AC77</f>
        <v>Best 5</v>
      </c>
      <c r="F5" s="450" t="str">
        <f>'Reference Score Calculation'!F77</f>
        <v>Best 5</v>
      </c>
      <c r="G5" s="6">
        <f>'Reference Score Calculation'!I77</f>
        <v>21.000000000210001</v>
      </c>
      <c r="H5" s="6">
        <f>'Reference Score Calculation'!J77</f>
        <v>20.500000000239996</v>
      </c>
      <c r="I5" s="449">
        <f>'Reference Score Calculation'!G77</f>
        <v>21.06</v>
      </c>
      <c r="J5" s="45">
        <f>計分版!J100</f>
        <v>3.4999999999999999E-9</v>
      </c>
      <c r="K5" s="25">
        <f t="shared" si="0"/>
        <v>-21.0599999965</v>
      </c>
      <c r="L5" s="26">
        <f t="shared" si="1"/>
        <v>-6017142856.1428576</v>
      </c>
      <c r="M5" s="36">
        <f>'Reference Score Calculation'!U77</f>
        <v>49</v>
      </c>
      <c r="N5" s="84">
        <f>入學要求!Z86</f>
        <v>0</v>
      </c>
      <c r="O5" s="542"/>
      <c r="P5" s="242">
        <f>入學要求!L86</f>
        <v>3</v>
      </c>
      <c r="Q5" s="242">
        <f>入學要求!M86</f>
        <v>3</v>
      </c>
      <c r="R5" s="242">
        <f>入學要求!N86</f>
        <v>2</v>
      </c>
      <c r="S5" s="242">
        <f>入學要求!O86</f>
        <v>1</v>
      </c>
      <c r="T5" s="242">
        <f>入學要求!P86</f>
        <v>3</v>
      </c>
      <c r="U5" s="242">
        <f>入學要求!Q86</f>
        <v>3</v>
      </c>
      <c r="V5" s="236">
        <f>入學要求!S86</f>
        <v>0</v>
      </c>
      <c r="W5" s="236">
        <f>入學要求!T86</f>
        <v>0</v>
      </c>
      <c r="X5" s="236">
        <f>入學要求!U86</f>
        <v>0</v>
      </c>
      <c r="Y5" s="236">
        <f>入學要求!V86</f>
        <v>0</v>
      </c>
      <c r="Z5" s="236">
        <f>入學要求!W86</f>
        <v>0</v>
      </c>
      <c r="AA5" s="236">
        <f>入學要求!X86</f>
        <v>0</v>
      </c>
      <c r="AB5" s="375">
        <f t="shared" si="2"/>
        <v>12.83</v>
      </c>
      <c r="AC5" s="537"/>
      <c r="AD5" s="36" cm="1">
        <f t="array" ref="AD5">IFERROR(INDEX('Offer Statistics'!$AI$2:$AI$400,MATCH(1,($A5='Offer Statistics'!$T$2:$T$400)*($AC$2='Offer Statistics'!$AC$2:$AC$400),0)),"/")</f>
        <v>46</v>
      </c>
      <c r="AE5" s="63" cm="1">
        <f t="array" ref="AE5">IFERROR(INDEX('Offer Statistics'!AD$2:AD$400,MATCH(1,($A5='Offer Statistics'!$T$2:$T$400)*($AC$2='Offer Statistics'!$AC$2:$AC$400),0)),"/")</f>
        <v>40</v>
      </c>
      <c r="AF5" s="63" cm="1">
        <f t="array" ref="AF5">IFERROR(INDEX('Offer Statistics'!AE$2:AE$400,MATCH(1,($A5='Offer Statistics'!$T$2:$T$400)*($AC$2='Offer Statistics'!$AC$2:$AC$400),0)),"/")</f>
        <v>3</v>
      </c>
      <c r="AG5" s="63" cm="1">
        <f t="array" ref="AG5">IFERROR(INDEX('Offer Statistics'!AF$2:AF$400,MATCH(1,($A5='Offer Statistics'!$T$2:$T$400)*($AC$2='Offer Statistics'!$AC$2:$AC$400),0)),"/")</f>
        <v>2</v>
      </c>
      <c r="AH5" s="63" cm="1">
        <f t="array" ref="AH5">IFERROR(INDEX('Offer Statistics'!AG$2:AG$400,MATCH(1,($A5='Offer Statistics'!$T$2:$T$400)*($AC$2='Offer Statistics'!$AC$2:$AC$400),0)),"/")</f>
        <v>1</v>
      </c>
      <c r="AI5" s="63" cm="1">
        <f t="array" ref="AI5">IFERROR(INDEX('Offer Statistics'!AH$2:AH$400,MATCH(1,($A5='Offer Statistics'!$T$2:$T$400)*($AC$2='Offer Statistics'!$AC$2:$AC$400),0)),"/")</f>
        <v>0</v>
      </c>
      <c r="AJ5" s="538"/>
      <c r="AK5" s="36" cm="1">
        <f t="array" ref="AK5">IFERROR(INDEX('Offer Statistics'!$AA$2:$AA$400,MATCH(1,($A5='Offer Statistics'!$T$2:$T$400)*($AC$2='Offer Statistics'!$U$2:$U$400),0)),"/")</f>
        <v>3068</v>
      </c>
      <c r="AL5" s="63" cm="1">
        <f t="array" ref="AL5">IFERROR(INDEX('Offer Statistics'!V$2:V$400,MATCH(1,($A5='Offer Statistics'!$T$2:$T$400)*($AC$2='Offer Statistics'!$U$2:$U$400),0)),"/")</f>
        <v>513</v>
      </c>
      <c r="AM5" s="63" cm="1">
        <f t="array" ref="AM5">IFERROR(INDEX('Offer Statistics'!W$2:W$400,MATCH(1,($A5='Offer Statistics'!$T$2:$T$400)*($AC$2='Offer Statistics'!$U$2:$U$400),0)),"/")</f>
        <v>620</v>
      </c>
      <c r="AN5" s="63" cm="1">
        <f t="array" ref="AN5">IFERROR(INDEX('Offer Statistics'!X$2:X$400,MATCH(1,($A5='Offer Statistics'!$T$2:$T$400)*($AC$2='Offer Statistics'!$U$2:$U$400),0)),"/")</f>
        <v>657</v>
      </c>
      <c r="AO5" s="63" cm="1">
        <f t="array" ref="AO5">IFERROR(INDEX('Offer Statistics'!Y$2:Y$400,MATCH(1,($A5='Offer Statistics'!$T$2:$T$400)*($AC$2='Offer Statistics'!$U$2:$U$400),0)),"/")</f>
        <v>758</v>
      </c>
      <c r="AP5" s="63" cm="1">
        <f t="array" ref="AP5">IFERROR(INDEX('Offer Statistics'!Z$2:Z$400,MATCH(1,($A5='Offer Statistics'!$T$2:$T$400)*($AC$2='Offer Statistics'!$U$2:$U$400),0)),"/")</f>
        <v>520</v>
      </c>
      <c r="AQ5" s="4"/>
      <c r="AR5" s="15" t="str">
        <f t="shared" si="3"/>
        <v>JS2110</v>
      </c>
    </row>
    <row r="6" spans="1:44" ht="18" customHeight="1">
      <c r="A6" s="4" t="str">
        <f>'Reference Score Calculation'!B78</f>
        <v>JS2120</v>
      </c>
      <c r="B6" s="4" t="str">
        <f>'Reference Score Calculation'!D78</f>
        <v>商學院</v>
      </c>
      <c r="C6" s="4" t="str">
        <f>'Reference Score Calculation'!E78</f>
        <v>工商管理學士(榮譽)</v>
      </c>
      <c r="D6" s="4" t="str">
        <f>'Reference Score Calculation'!S78</f>
        <v>BBA</v>
      </c>
      <c r="E6" s="352" t="str">
        <f>'Reference Score Calculation'!AC78</f>
        <v>Best 5</v>
      </c>
      <c r="F6" s="450" t="str">
        <f>'Reference Score Calculation'!F78</f>
        <v>Best 5</v>
      </c>
      <c r="G6" s="6">
        <f>'Reference Score Calculation'!I78</f>
        <v>21.000000000210001</v>
      </c>
      <c r="H6" s="6">
        <f>'Reference Score Calculation'!J78</f>
        <v>21.000000000210001</v>
      </c>
      <c r="I6" s="449">
        <f>'Reference Score Calculation'!G78</f>
        <v>21.12</v>
      </c>
      <c r="J6" s="45">
        <f>計分版!J101</f>
        <v>3.4999999999999999E-9</v>
      </c>
      <c r="K6" s="25">
        <f t="shared" si="0"/>
        <v>-21.119999996500002</v>
      </c>
      <c r="L6" s="26">
        <f t="shared" si="1"/>
        <v>-6034285713.2857151</v>
      </c>
      <c r="M6" s="36">
        <f>'Reference Score Calculation'!U78</f>
        <v>185</v>
      </c>
      <c r="N6" s="84">
        <f>入學要求!Z87</f>
        <v>0</v>
      </c>
      <c r="O6" s="542"/>
      <c r="P6" s="242">
        <f>入學要求!L87</f>
        <v>3</v>
      </c>
      <c r="Q6" s="242">
        <f>入學要求!M87</f>
        <v>3</v>
      </c>
      <c r="R6" s="242">
        <f>入學要求!N87</f>
        <v>2</v>
      </c>
      <c r="S6" s="242">
        <f>入學要求!O87</f>
        <v>1</v>
      </c>
      <c r="T6" s="242">
        <f>入學要求!P87</f>
        <v>3</v>
      </c>
      <c r="U6" s="242">
        <f>入學要求!Q87</f>
        <v>3</v>
      </c>
      <c r="V6" s="236">
        <f>入學要求!S87</f>
        <v>0</v>
      </c>
      <c r="W6" s="236">
        <f>入學要求!T87</f>
        <v>0</v>
      </c>
      <c r="X6" s="236">
        <f>入學要求!U87</f>
        <v>0</v>
      </c>
      <c r="Y6" s="236">
        <f>入學要求!V87</f>
        <v>0</v>
      </c>
      <c r="Z6" s="236">
        <f>入學要求!W87</f>
        <v>0</v>
      </c>
      <c r="AA6" s="236">
        <f>入學要求!X87</f>
        <v>0</v>
      </c>
      <c r="AB6" s="375">
        <f t="shared" si="2"/>
        <v>12.25</v>
      </c>
      <c r="AC6" s="537"/>
      <c r="AD6" s="36" cm="1">
        <f t="array" ref="AD6">IFERROR(INDEX('Offer Statistics'!$AI$2:$AI$400,MATCH(1,($A6='Offer Statistics'!$T$2:$T$400)*($AC$2='Offer Statistics'!$AC$2:$AC$400),0)),"/")</f>
        <v>157</v>
      </c>
      <c r="AE6" s="63" cm="1">
        <f t="array" ref="AE6">IFERROR(INDEX('Offer Statistics'!AD$2:AD$400,MATCH(1,($A6='Offer Statistics'!$T$2:$T$400)*($AC$2='Offer Statistics'!$AC$2:$AC$400),0)),"/")</f>
        <v>124</v>
      </c>
      <c r="AF6" s="63" cm="1">
        <f t="array" ref="AF6">IFERROR(INDEX('Offer Statistics'!AE$2:AE$400,MATCH(1,($A6='Offer Statistics'!$T$2:$T$400)*($AC$2='Offer Statistics'!$AC$2:$AC$400),0)),"/")</f>
        <v>26</v>
      </c>
      <c r="AG6" s="63" cm="1">
        <f t="array" ref="AG6">IFERROR(INDEX('Offer Statistics'!AF$2:AF$400,MATCH(1,($A6='Offer Statistics'!$T$2:$T$400)*($AC$2='Offer Statistics'!$AC$2:$AC$400),0)),"/")</f>
        <v>3</v>
      </c>
      <c r="AH6" s="63" cm="1">
        <f t="array" ref="AH6">IFERROR(INDEX('Offer Statistics'!AG$2:AG$400,MATCH(1,($A6='Offer Statistics'!$T$2:$T$400)*($AC$2='Offer Statistics'!$AC$2:$AC$400),0)),"/")</f>
        <v>2</v>
      </c>
      <c r="AI6" s="63" cm="1">
        <f t="array" ref="AI6">IFERROR(INDEX('Offer Statistics'!AH$2:AH$400,MATCH(1,($A6='Offer Statistics'!$T$2:$T$400)*($AC$2='Offer Statistics'!$AC$2:$AC$400),0)),"/")</f>
        <v>2</v>
      </c>
      <c r="AJ6" s="538"/>
      <c r="AK6" s="36" cm="1">
        <f t="array" ref="AK6">IFERROR(INDEX('Offer Statistics'!$AA$2:$AA$400,MATCH(1,($A6='Offer Statistics'!$T$2:$T$400)*($AC$2='Offer Statistics'!$U$2:$U$400),0)),"/")</f>
        <v>6461</v>
      </c>
      <c r="AL6" s="63" cm="1">
        <f t="array" ref="AL6">IFERROR(INDEX('Offer Statistics'!V$2:V$400,MATCH(1,($A6='Offer Statistics'!$T$2:$T$400)*($AC$2='Offer Statistics'!$U$2:$U$400),0)),"/")</f>
        <v>1519</v>
      </c>
      <c r="AM6" s="63" cm="1">
        <f t="array" ref="AM6">IFERROR(INDEX('Offer Statistics'!W$2:W$400,MATCH(1,($A6='Offer Statistics'!$T$2:$T$400)*($AC$2='Offer Statistics'!$U$2:$U$400),0)),"/")</f>
        <v>1268</v>
      </c>
      <c r="AN6" s="63" cm="1">
        <f t="array" ref="AN6">IFERROR(INDEX('Offer Statistics'!X$2:X$400,MATCH(1,($A6='Offer Statistics'!$T$2:$T$400)*($AC$2='Offer Statistics'!$U$2:$U$400),0)),"/")</f>
        <v>1284</v>
      </c>
      <c r="AO6" s="63" cm="1">
        <f t="array" ref="AO6">IFERROR(INDEX('Offer Statistics'!Y$2:Y$400,MATCH(1,($A6='Offer Statistics'!$T$2:$T$400)*($AC$2='Offer Statistics'!$U$2:$U$400),0)),"/")</f>
        <v>1430</v>
      </c>
      <c r="AP6" s="63" cm="1">
        <f t="array" ref="AP6">IFERROR(INDEX('Offer Statistics'!Z$2:Z$400,MATCH(1,($A6='Offer Statistics'!$T$2:$T$400)*($AC$2='Offer Statistics'!$U$2:$U$400),0)),"/")</f>
        <v>960</v>
      </c>
      <c r="AR6" s="15" t="str">
        <f t="shared" si="3"/>
        <v>JS2120</v>
      </c>
    </row>
    <row r="7" spans="1:44" s="43" customFormat="1" ht="18" customHeight="1">
      <c r="A7" s="4" t="str">
        <f>'Reference Score Calculation'!B79</f>
        <v>JS2310</v>
      </c>
      <c r="B7" s="4" t="str">
        <f>'Reference Score Calculation'!D79</f>
        <v>傳理學院</v>
      </c>
      <c r="C7" s="4" t="str">
        <f>'Reference Score Calculation'!E79</f>
        <v>傳理學學士(榮譽) (新聞與數碼媒體 / 公關及廣告)</v>
      </c>
      <c r="D7" s="4" t="str">
        <f>'Reference Score Calculation'!S79</f>
        <v>BCOMM</v>
      </c>
      <c r="E7" s="352" t="str">
        <f>'Reference Score Calculation'!AC79</f>
        <v>Best 5</v>
      </c>
      <c r="F7" s="450" t="str">
        <f>'Reference Score Calculation'!F79</f>
        <v>Best 5</v>
      </c>
      <c r="G7" s="6">
        <f>'Reference Score Calculation'!I79</f>
        <v>22.750000000215003</v>
      </c>
      <c r="H7" s="6">
        <f>'Reference Score Calculation'!J79</f>
        <v>22.000000000255003</v>
      </c>
      <c r="I7" s="449">
        <f>'Reference Score Calculation'!G79</f>
        <v>22.81</v>
      </c>
      <c r="J7" s="45">
        <f>計分版!J102</f>
        <v>3.4999999999999999E-9</v>
      </c>
      <c r="K7" s="25">
        <f t="shared" si="0"/>
        <v>-22.8099999965</v>
      </c>
      <c r="L7" s="26">
        <f t="shared" si="1"/>
        <v>-6517142856.1428576</v>
      </c>
      <c r="M7" s="36">
        <f>'Reference Score Calculation'!U79</f>
        <v>70</v>
      </c>
      <c r="N7" s="84">
        <f>入學要求!Z88</f>
        <v>0</v>
      </c>
      <c r="O7" s="542"/>
      <c r="P7" s="242">
        <f>入學要求!L88</f>
        <v>3</v>
      </c>
      <c r="Q7" s="242">
        <f>入學要求!M88</f>
        <v>3</v>
      </c>
      <c r="R7" s="242">
        <f>入學要求!N88</f>
        <v>2</v>
      </c>
      <c r="S7" s="242">
        <f>入學要求!O88</f>
        <v>1</v>
      </c>
      <c r="T7" s="242">
        <f>入學要求!P88</f>
        <v>3</v>
      </c>
      <c r="U7" s="242">
        <f>入學要求!Q88</f>
        <v>3</v>
      </c>
      <c r="V7" s="236">
        <f>入學要求!S88</f>
        <v>0</v>
      </c>
      <c r="W7" s="236">
        <f>入學要求!T88</f>
        <v>0</v>
      </c>
      <c r="X7" s="236">
        <f>入學要求!U88</f>
        <v>0</v>
      </c>
      <c r="Y7" s="236">
        <f>入學要求!V88</f>
        <v>0</v>
      </c>
      <c r="Z7" s="236">
        <f>入學要求!W88</f>
        <v>0</v>
      </c>
      <c r="AA7" s="236">
        <f>入學要求!X88</f>
        <v>0</v>
      </c>
      <c r="AB7" s="375">
        <f t="shared" si="2"/>
        <v>8.44</v>
      </c>
      <c r="AC7" s="537"/>
      <c r="AD7" s="36" cm="1">
        <f t="array" ref="AD7">IFERROR(INDEX('Offer Statistics'!$AI$2:$AI$400,MATCH(1,($A7='Offer Statistics'!$T$2:$T$400)*($AC$2='Offer Statistics'!$AC$2:$AC$400),0)),"/")</f>
        <v>74</v>
      </c>
      <c r="AE7" s="63" cm="1">
        <f t="array" ref="AE7">IFERROR(INDEX('Offer Statistics'!AD$2:AD$400,MATCH(1,($A7='Offer Statistics'!$T$2:$T$400)*($AC$2='Offer Statistics'!$AC$2:$AC$400),0)),"/")</f>
        <v>66</v>
      </c>
      <c r="AF7" s="63" cm="1">
        <f t="array" ref="AF7">IFERROR(INDEX('Offer Statistics'!AE$2:AE$400,MATCH(1,($A7='Offer Statistics'!$T$2:$T$400)*($AC$2='Offer Statistics'!$AC$2:$AC$400),0)),"/")</f>
        <v>4</v>
      </c>
      <c r="AG7" s="63" cm="1">
        <f t="array" ref="AG7">IFERROR(INDEX('Offer Statistics'!AF$2:AF$400,MATCH(1,($A7='Offer Statistics'!$T$2:$T$400)*($AC$2='Offer Statistics'!$AC$2:$AC$400),0)),"/")</f>
        <v>1</v>
      </c>
      <c r="AH7" s="63" cm="1">
        <f t="array" ref="AH7">IFERROR(INDEX('Offer Statistics'!AG$2:AG$400,MATCH(1,($A7='Offer Statistics'!$T$2:$T$400)*($AC$2='Offer Statistics'!$AC$2:$AC$400),0)),"/")</f>
        <v>3</v>
      </c>
      <c r="AI7" s="63" cm="1">
        <f t="array" ref="AI7">IFERROR(INDEX('Offer Statistics'!AH$2:AH$400,MATCH(1,($A7='Offer Statistics'!$T$2:$T$400)*($AC$2='Offer Statistics'!$AC$2:$AC$400),0)),"/")</f>
        <v>0</v>
      </c>
      <c r="AJ7" s="538"/>
      <c r="AK7" s="36" cm="1">
        <f t="array" ref="AK7">IFERROR(INDEX('Offer Statistics'!$AA$2:$AA$400,MATCH(1,($A7='Offer Statistics'!$T$2:$T$400)*($AC$2='Offer Statistics'!$U$2:$U$400),0)),"/")</f>
        <v>3891</v>
      </c>
      <c r="AL7" s="63" cm="1">
        <f t="array" ref="AL7">IFERROR(INDEX('Offer Statistics'!V$2:V$400,MATCH(1,($A7='Offer Statistics'!$T$2:$T$400)*($AC$2='Offer Statistics'!$U$2:$U$400),0)),"/")</f>
        <v>557</v>
      </c>
      <c r="AM7" s="63" cm="1">
        <f t="array" ref="AM7">IFERROR(INDEX('Offer Statistics'!W$2:W$400,MATCH(1,($A7='Offer Statistics'!$T$2:$T$400)*($AC$2='Offer Statistics'!$U$2:$U$400),0)),"/")</f>
        <v>599</v>
      </c>
      <c r="AN7" s="63" cm="1">
        <f t="array" ref="AN7">IFERROR(INDEX('Offer Statistics'!X$2:X$400,MATCH(1,($A7='Offer Statistics'!$T$2:$T$400)*($AC$2='Offer Statistics'!$U$2:$U$400),0)),"/")</f>
        <v>871</v>
      </c>
      <c r="AO7" s="63" cm="1">
        <f t="array" ref="AO7">IFERROR(INDEX('Offer Statistics'!Y$2:Y$400,MATCH(1,($A7='Offer Statistics'!$T$2:$T$400)*($AC$2='Offer Statistics'!$U$2:$U$400),0)),"/")</f>
        <v>1032</v>
      </c>
      <c r="AP7" s="63" cm="1">
        <f t="array" ref="AP7">IFERROR(INDEX('Offer Statistics'!Z$2:Z$400,MATCH(1,($A7='Offer Statistics'!$T$2:$T$400)*($AC$2='Offer Statistics'!$U$2:$U$400),0)),"/")</f>
        <v>832</v>
      </c>
      <c r="AQ7" s="4"/>
      <c r="AR7" s="15" t="str">
        <f t="shared" si="3"/>
        <v>JS2310</v>
      </c>
    </row>
    <row r="8" spans="1:44" s="43" customFormat="1" ht="18" customHeight="1">
      <c r="A8" s="4" t="str">
        <f>'Reference Score Calculation'!B80</f>
        <v>JS2330</v>
      </c>
      <c r="B8" s="4" t="str">
        <f>'Reference Score Calculation'!D80</f>
        <v>傳理學院</v>
      </c>
      <c r="C8" s="4" t="str">
        <f>'Reference Score Calculation'!E80</f>
        <v>電影電視文學士(榮譽)</v>
      </c>
      <c r="D8" s="4" t="str">
        <f>'Reference Score Calculation'!S80</f>
        <v>BCOMM(FTV)</v>
      </c>
      <c r="E8" s="352" t="str">
        <f>'Reference Score Calculation'!AC80</f>
        <v>Best 5</v>
      </c>
      <c r="F8" s="450" t="str">
        <f>'Reference Score Calculation'!F80</f>
        <v>Best 5</v>
      </c>
      <c r="G8" s="6">
        <f>'Reference Score Calculation'!I80</f>
        <v>23.500000000215003</v>
      </c>
      <c r="H8" s="6">
        <f>'Reference Score Calculation'!J80</f>
        <v>23.000000000215003</v>
      </c>
      <c r="I8" s="449">
        <f>'Reference Score Calculation'!G80</f>
        <v>22.93</v>
      </c>
      <c r="J8" s="45">
        <f>計分版!J103</f>
        <v>3.4999999999999999E-9</v>
      </c>
      <c r="K8" s="25">
        <f t="shared" si="0"/>
        <v>-22.929999996500001</v>
      </c>
      <c r="L8" s="26">
        <f t="shared" si="1"/>
        <v>-6551428570.4285717</v>
      </c>
      <c r="M8" s="36">
        <f>'Reference Score Calculation'!U80</f>
        <v>18</v>
      </c>
      <c r="N8" s="84">
        <f>入學要求!Z89</f>
        <v>0</v>
      </c>
      <c r="O8" s="542"/>
      <c r="P8" s="242">
        <f>入學要求!L89</f>
        <v>3</v>
      </c>
      <c r="Q8" s="242">
        <f>入學要求!M89</f>
        <v>3</v>
      </c>
      <c r="R8" s="242">
        <f>入學要求!N89</f>
        <v>2</v>
      </c>
      <c r="S8" s="242">
        <f>入學要求!O89</f>
        <v>1</v>
      </c>
      <c r="T8" s="242">
        <f>入學要求!P89</f>
        <v>3</v>
      </c>
      <c r="U8" s="242">
        <f>入學要求!Q89</f>
        <v>3</v>
      </c>
      <c r="V8" s="236">
        <f>入學要求!S89</f>
        <v>0</v>
      </c>
      <c r="W8" s="236">
        <f>入學要求!T89</f>
        <v>0</v>
      </c>
      <c r="X8" s="236">
        <f>入學要求!U89</f>
        <v>0</v>
      </c>
      <c r="Y8" s="236">
        <f>入學要求!V89</f>
        <v>0</v>
      </c>
      <c r="Z8" s="236">
        <f>入學要求!W89</f>
        <v>0</v>
      </c>
      <c r="AA8" s="236">
        <f>入學要求!X89</f>
        <v>0</v>
      </c>
      <c r="AB8" s="375">
        <f t="shared" si="2"/>
        <v>22.76</v>
      </c>
      <c r="AC8" s="537"/>
      <c r="AD8" s="36" cm="1">
        <f t="array" ref="AD8">IFERROR(INDEX('Offer Statistics'!$AI$2:$AI$400,MATCH(1,($A8='Offer Statistics'!$T$2:$T$400)*($AC$2='Offer Statistics'!$AC$2:$AC$400),0)),"/")</f>
        <v>17</v>
      </c>
      <c r="AE8" s="63" cm="1">
        <f t="array" ref="AE8">IFERROR(INDEX('Offer Statistics'!AD$2:AD$400,MATCH(1,($A8='Offer Statistics'!$T$2:$T$400)*($AC$2='Offer Statistics'!$AC$2:$AC$400),0)),"/")</f>
        <v>17</v>
      </c>
      <c r="AF8" s="63" cm="1">
        <f t="array" ref="AF8">IFERROR(INDEX('Offer Statistics'!AE$2:AE$400,MATCH(1,($A8='Offer Statistics'!$T$2:$T$400)*($AC$2='Offer Statistics'!$AC$2:$AC$400),0)),"/")</f>
        <v>0</v>
      </c>
      <c r="AG8" s="63" cm="1">
        <f t="array" ref="AG8">IFERROR(INDEX('Offer Statistics'!AF$2:AF$400,MATCH(1,($A8='Offer Statistics'!$T$2:$T$400)*($AC$2='Offer Statistics'!$AC$2:$AC$400),0)),"/")</f>
        <v>0</v>
      </c>
      <c r="AH8" s="63" cm="1">
        <f t="array" ref="AH8">IFERROR(INDEX('Offer Statistics'!AG$2:AG$400,MATCH(1,($A8='Offer Statistics'!$T$2:$T$400)*($AC$2='Offer Statistics'!$AC$2:$AC$400),0)),"/")</f>
        <v>0</v>
      </c>
      <c r="AI8" s="63" cm="1">
        <f t="array" ref="AI8">IFERROR(INDEX('Offer Statistics'!AH$2:AH$400,MATCH(1,($A8='Offer Statistics'!$T$2:$T$400)*($AC$2='Offer Statistics'!$AC$2:$AC$400),0)),"/")</f>
        <v>0</v>
      </c>
      <c r="AJ8" s="538"/>
      <c r="AK8" s="36" cm="1">
        <f t="array" ref="AK8">IFERROR(INDEX('Offer Statistics'!$AA$2:$AA$400,MATCH(1,($A8='Offer Statistics'!$T$2:$T$400)*($AC$2='Offer Statistics'!$U$2:$U$400),0)),"/")</f>
        <v>2580</v>
      </c>
      <c r="AL8" s="63" cm="1">
        <f t="array" ref="AL8">IFERROR(INDEX('Offer Statistics'!V$2:V$400,MATCH(1,($A8='Offer Statistics'!$T$2:$T$400)*($AC$2='Offer Statistics'!$U$2:$U$400),0)),"/")</f>
        <v>387</v>
      </c>
      <c r="AM8" s="63" cm="1">
        <f t="array" ref="AM8">IFERROR(INDEX('Offer Statistics'!W$2:W$400,MATCH(1,($A8='Offer Statistics'!$T$2:$T$400)*($AC$2='Offer Statistics'!$U$2:$U$400),0)),"/")</f>
        <v>339</v>
      </c>
      <c r="AN8" s="63" cm="1">
        <f t="array" ref="AN8">IFERROR(INDEX('Offer Statistics'!X$2:X$400,MATCH(1,($A8='Offer Statistics'!$T$2:$T$400)*($AC$2='Offer Statistics'!$U$2:$U$400),0)),"/")</f>
        <v>604</v>
      </c>
      <c r="AO8" s="63" cm="1">
        <f t="array" ref="AO8">IFERROR(INDEX('Offer Statistics'!Y$2:Y$400,MATCH(1,($A8='Offer Statistics'!$T$2:$T$400)*($AC$2='Offer Statistics'!$U$2:$U$400),0)),"/")</f>
        <v>682</v>
      </c>
      <c r="AP8" s="63" cm="1">
        <f t="array" ref="AP8">IFERROR(INDEX('Offer Statistics'!Z$2:Z$400,MATCH(1,($A8='Offer Statistics'!$T$2:$T$400)*($AC$2='Offer Statistics'!$U$2:$U$400),0)),"/")</f>
        <v>568</v>
      </c>
      <c r="AQ8" s="4"/>
      <c r="AR8" s="15" t="str">
        <f t="shared" si="3"/>
        <v>JS2330</v>
      </c>
    </row>
    <row r="9" spans="1:44" ht="18" customHeight="1">
      <c r="A9" s="4" t="str">
        <f>'Reference Score Calculation'!B81</f>
        <v>JS2340</v>
      </c>
      <c r="B9" s="4" t="str">
        <f>'Reference Score Calculation'!D81</f>
        <v>傳理學院</v>
      </c>
      <c r="C9" s="4" t="str">
        <f>'Reference Score Calculation'!E81</f>
        <v>環球螢幕演技藝術學士(榮譽)</v>
      </c>
      <c r="D9" s="4" t="str">
        <f>'Reference Score Calculation'!S81</f>
        <v>BFA(AGS)</v>
      </c>
      <c r="E9" s="352" t="str">
        <f>'Reference Score Calculation'!AC81</f>
        <v>Best 5</v>
      </c>
      <c r="F9" s="449" t="str">
        <f>'Reference Score Calculation'!F81</f>
        <v>Best 5</v>
      </c>
      <c r="G9" s="6">
        <f>'Reference Score Calculation'!I81</f>
        <v>17.000000000250001</v>
      </c>
      <c r="H9" s="6">
        <f>'Reference Score Calculation'!J81</f>
        <v>17.000000000200004</v>
      </c>
      <c r="I9" s="449">
        <f>'Reference Score Calculation'!G81</f>
        <v>16.75</v>
      </c>
      <c r="J9" s="45">
        <f>計分版!J104</f>
        <v>3.4999999999999999E-9</v>
      </c>
      <c r="K9" s="25">
        <f t="shared" si="0"/>
        <v>-16.749999996500001</v>
      </c>
      <c r="L9" s="26">
        <f t="shared" si="1"/>
        <v>-4785714284.7142859</v>
      </c>
      <c r="M9" s="36">
        <f>'Reference Score Calculation'!U81</f>
        <v>8</v>
      </c>
      <c r="N9" s="84">
        <f>入學要求!Z90</f>
        <v>0</v>
      </c>
      <c r="O9" s="542"/>
      <c r="P9" s="242">
        <f>入學要求!L90</f>
        <v>3</v>
      </c>
      <c r="Q9" s="242">
        <f>入學要求!M90</f>
        <v>3</v>
      </c>
      <c r="R9" s="242">
        <f>入學要求!N90</f>
        <v>2</v>
      </c>
      <c r="S9" s="242">
        <f>入學要求!O90</f>
        <v>1</v>
      </c>
      <c r="T9" s="242">
        <f>入學要求!P90</f>
        <v>3</v>
      </c>
      <c r="U9" s="242">
        <f>入學要求!Q90</f>
        <v>3</v>
      </c>
      <c r="V9" s="236">
        <f>入學要求!S90</f>
        <v>0</v>
      </c>
      <c r="W9" s="236">
        <f>入學要求!T90</f>
        <v>0</v>
      </c>
      <c r="X9" s="236">
        <f>入學要求!U90</f>
        <v>0</v>
      </c>
      <c r="Y9" s="236">
        <f>入學要求!V90</f>
        <v>0</v>
      </c>
      <c r="Z9" s="236">
        <f>入學要求!W90</f>
        <v>0</v>
      </c>
      <c r="AA9" s="236">
        <f>入學要求!X90</f>
        <v>0</v>
      </c>
      <c r="AB9" s="375">
        <f t="shared" si="2"/>
        <v>22</v>
      </c>
      <c r="AC9" s="537"/>
      <c r="AD9" s="36" cm="1">
        <f t="array" ref="AD9">IFERROR(INDEX('Offer Statistics'!$AI$2:$AI$400,MATCH(1,($A9='Offer Statistics'!$T$2:$T$400)*($AC$2='Offer Statistics'!$AC$2:$AC$400),0)),"/")</f>
        <v>8</v>
      </c>
      <c r="AE9" s="63" cm="1">
        <f t="array" ref="AE9">IFERROR(INDEX('Offer Statistics'!AD$2:AD$400,MATCH(1,($A9='Offer Statistics'!$T$2:$T$400)*($AC$2='Offer Statistics'!$AC$2:$AC$400),0)),"/")</f>
        <v>8</v>
      </c>
      <c r="AF9" s="63" cm="1">
        <f t="array" ref="AF9">IFERROR(INDEX('Offer Statistics'!AE$2:AE$400,MATCH(1,($A9='Offer Statistics'!$T$2:$T$400)*($AC$2='Offer Statistics'!$AC$2:$AC$400),0)),"/")</f>
        <v>0</v>
      </c>
      <c r="AG9" s="63" cm="1">
        <f t="array" ref="AG9">IFERROR(INDEX('Offer Statistics'!AF$2:AF$400,MATCH(1,($A9='Offer Statistics'!$T$2:$T$400)*($AC$2='Offer Statistics'!$AC$2:$AC$400),0)),"/")</f>
        <v>0</v>
      </c>
      <c r="AH9" s="63" cm="1">
        <f t="array" ref="AH9">IFERROR(INDEX('Offer Statistics'!AG$2:AG$400,MATCH(1,($A9='Offer Statistics'!$T$2:$T$400)*($AC$2='Offer Statistics'!$AC$2:$AC$400),0)),"/")</f>
        <v>0</v>
      </c>
      <c r="AI9" s="63" cm="1">
        <f t="array" ref="AI9">IFERROR(INDEX('Offer Statistics'!AH$2:AH$400,MATCH(1,($A9='Offer Statistics'!$T$2:$T$400)*($AC$2='Offer Statistics'!$AC$2:$AC$400),0)),"/")</f>
        <v>0</v>
      </c>
      <c r="AJ9" s="538"/>
      <c r="AK9" s="36" cm="1">
        <f t="array" ref="AK9">IFERROR(INDEX('Offer Statistics'!$AA$2:$AA$400,MATCH(1,($A9='Offer Statistics'!$T$2:$T$400)*($AC$2='Offer Statistics'!$U$2:$U$400),0)),"/")</f>
        <v>1063</v>
      </c>
      <c r="AL9" s="63" cm="1">
        <f t="array" ref="AL9">IFERROR(INDEX('Offer Statistics'!V$2:V$400,MATCH(1,($A9='Offer Statistics'!$T$2:$T$400)*($AC$2='Offer Statistics'!$U$2:$U$400),0)),"/")</f>
        <v>176</v>
      </c>
      <c r="AM9" s="63" cm="1">
        <f t="array" ref="AM9">IFERROR(INDEX('Offer Statistics'!W$2:W$400,MATCH(1,($A9='Offer Statistics'!$T$2:$T$400)*($AC$2='Offer Statistics'!$U$2:$U$400),0)),"/")</f>
        <v>122</v>
      </c>
      <c r="AN9" s="63" cm="1">
        <f t="array" ref="AN9">IFERROR(INDEX('Offer Statistics'!X$2:X$400,MATCH(1,($A9='Offer Statistics'!$T$2:$T$400)*($AC$2='Offer Statistics'!$U$2:$U$400),0)),"/")</f>
        <v>240</v>
      </c>
      <c r="AO9" s="63" cm="1">
        <f t="array" ref="AO9">IFERROR(INDEX('Offer Statistics'!Y$2:Y$400,MATCH(1,($A9='Offer Statistics'!$T$2:$T$400)*($AC$2='Offer Statistics'!$U$2:$U$400),0)),"/")</f>
        <v>282</v>
      </c>
      <c r="AP9" s="63" cm="1">
        <f t="array" ref="AP9">IFERROR(INDEX('Offer Statistics'!Z$2:Z$400,MATCH(1,($A9='Offer Statistics'!$T$2:$T$400)*($AC$2='Offer Statistics'!$U$2:$U$400),0)),"/")</f>
        <v>243</v>
      </c>
      <c r="AR9" s="15" t="str">
        <f t="shared" si="3"/>
        <v>JS2340</v>
      </c>
    </row>
    <row r="10" spans="1:44" s="43" customFormat="1" ht="18" customHeight="1">
      <c r="A10" s="4" t="str">
        <f>'Reference Score Calculation'!B82</f>
        <v>JS2370</v>
      </c>
      <c r="B10" s="4" t="str">
        <f>'Reference Score Calculation'!D82</f>
        <v>傳理學院</v>
      </c>
      <c r="C10" s="4" t="str">
        <f>'Reference Score Calculation'!E82</f>
        <v>傳理學學士(榮譽) - 遊戲設計與動畫主修</v>
      </c>
      <c r="D10" s="4" t="str">
        <f>'Reference Score Calculation'!S82</f>
        <v>BCOMM(GDA)</v>
      </c>
      <c r="E10" s="352" t="str">
        <f>'Reference Score Calculation'!AC82</f>
        <v>Best 5</v>
      </c>
      <c r="F10" s="450" t="str">
        <f>'Reference Score Calculation'!F82</f>
        <v>Best 5</v>
      </c>
      <c r="G10" s="6">
        <f>'Reference Score Calculation'!I82</f>
        <v>22.400000000271998</v>
      </c>
      <c r="H10" s="6">
        <f>'Reference Score Calculation'!J82</f>
        <v>20.750000000271999</v>
      </c>
      <c r="I10" s="449">
        <f>'Reference Score Calculation'!G82</f>
        <v>21.9</v>
      </c>
      <c r="J10" s="45">
        <f>計分版!J105</f>
        <v>3.4999999999999999E-9</v>
      </c>
      <c r="K10" s="25">
        <f t="shared" si="0"/>
        <v>-21.8999999965</v>
      </c>
      <c r="L10" s="26">
        <f t="shared" si="1"/>
        <v>-6257142856.1428576</v>
      </c>
      <c r="M10" s="36">
        <f>'Reference Score Calculation'!U82</f>
        <v>20</v>
      </c>
      <c r="N10" s="84">
        <f>入學要求!Z91</f>
        <v>0</v>
      </c>
      <c r="O10" s="542"/>
      <c r="P10" s="242">
        <f>入學要求!L91</f>
        <v>3</v>
      </c>
      <c r="Q10" s="242">
        <f>入學要求!M91</f>
        <v>3</v>
      </c>
      <c r="R10" s="242">
        <f>入學要求!N91</f>
        <v>2</v>
      </c>
      <c r="S10" s="242">
        <f>入學要求!O91</f>
        <v>1</v>
      </c>
      <c r="T10" s="242">
        <f>入學要求!P91</f>
        <v>3</v>
      </c>
      <c r="U10" s="242">
        <f>入學要求!Q91</f>
        <v>3</v>
      </c>
      <c r="V10" s="236">
        <f>入學要求!S91</f>
        <v>0</v>
      </c>
      <c r="W10" s="236">
        <f>入學要求!T91</f>
        <v>0</v>
      </c>
      <c r="X10" s="236">
        <f>入學要求!U91</f>
        <v>0</v>
      </c>
      <c r="Y10" s="236">
        <f>入學要求!V91</f>
        <v>0</v>
      </c>
      <c r="Z10" s="236">
        <f>入學要求!W91</f>
        <v>0</v>
      </c>
      <c r="AA10" s="236">
        <f>入學要求!X91</f>
        <v>0</v>
      </c>
      <c r="AB10" s="375">
        <f t="shared" si="2"/>
        <v>34.380000000000003</v>
      </c>
      <c r="AC10" s="537"/>
      <c r="AD10" s="36" cm="1">
        <f t="array" ref="AD10">IFERROR(INDEX('Offer Statistics'!$AI$2:$AI$400,MATCH(1,($A10='Offer Statistics'!$T$2:$T$400)*($AC$2='Offer Statistics'!$AC$2:$AC$400),0)),"/")</f>
        <v>16</v>
      </c>
      <c r="AE10" s="63" cm="1">
        <f t="array" ref="AE10">IFERROR(INDEX('Offer Statistics'!AD$2:AD$400,MATCH(1,($A10='Offer Statistics'!$T$2:$T$400)*($AC$2='Offer Statistics'!$AC$2:$AC$400),0)),"/")</f>
        <v>16</v>
      </c>
      <c r="AF10" s="63" cm="1">
        <f t="array" ref="AF10">IFERROR(INDEX('Offer Statistics'!AE$2:AE$400,MATCH(1,($A10='Offer Statistics'!$T$2:$T$400)*($AC$2='Offer Statistics'!$AC$2:$AC$400),0)),"/")</f>
        <v>0</v>
      </c>
      <c r="AG10" s="63" cm="1">
        <f t="array" ref="AG10">IFERROR(INDEX('Offer Statistics'!AF$2:AF$400,MATCH(1,($A10='Offer Statistics'!$T$2:$T$400)*($AC$2='Offer Statistics'!$AC$2:$AC$400),0)),"/")</f>
        <v>0</v>
      </c>
      <c r="AH10" s="63" cm="1">
        <f t="array" ref="AH10">IFERROR(INDEX('Offer Statistics'!AG$2:AG$400,MATCH(1,($A10='Offer Statistics'!$T$2:$T$400)*($AC$2='Offer Statistics'!$AC$2:$AC$400),0)),"/")</f>
        <v>0</v>
      </c>
      <c r="AI10" s="63" cm="1">
        <f t="array" ref="AI10">IFERROR(INDEX('Offer Statistics'!AH$2:AH$400,MATCH(1,($A10='Offer Statistics'!$T$2:$T$400)*($AC$2='Offer Statistics'!$AC$2:$AC$400),0)),"/")</f>
        <v>0</v>
      </c>
      <c r="AJ10" s="538"/>
      <c r="AK10" s="36" cm="1">
        <f t="array" ref="AK10">IFERROR(INDEX('Offer Statistics'!$AA$2:$AA$400,MATCH(1,($A10='Offer Statistics'!$T$2:$T$400)*($AC$2='Offer Statistics'!$U$2:$U$400),0)),"/")</f>
        <v>2910</v>
      </c>
      <c r="AL10" s="63" cm="1">
        <f t="array" ref="AL10">IFERROR(INDEX('Offer Statistics'!V$2:V$400,MATCH(1,($A10='Offer Statistics'!$T$2:$T$400)*($AC$2='Offer Statistics'!$U$2:$U$400),0)),"/")</f>
        <v>550</v>
      </c>
      <c r="AM10" s="63" cm="1">
        <f t="array" ref="AM10">IFERROR(INDEX('Offer Statistics'!W$2:W$400,MATCH(1,($A10='Offer Statistics'!$T$2:$T$400)*($AC$2='Offer Statistics'!$U$2:$U$400),0)),"/")</f>
        <v>456</v>
      </c>
      <c r="AN10" s="63" cm="1">
        <f t="array" ref="AN10">IFERROR(INDEX('Offer Statistics'!X$2:X$400,MATCH(1,($A10='Offer Statistics'!$T$2:$T$400)*($AC$2='Offer Statistics'!$U$2:$U$400),0)),"/")</f>
        <v>626</v>
      </c>
      <c r="AO10" s="63" cm="1">
        <f t="array" ref="AO10">IFERROR(INDEX('Offer Statistics'!Y$2:Y$400,MATCH(1,($A10='Offer Statistics'!$T$2:$T$400)*($AC$2='Offer Statistics'!$U$2:$U$400),0)),"/")</f>
        <v>738</v>
      </c>
      <c r="AP10" s="63" cm="1">
        <f t="array" ref="AP10">IFERROR(INDEX('Offer Statistics'!Z$2:Z$400,MATCH(1,($A10='Offer Statistics'!$T$2:$T$400)*($AC$2='Offer Statistics'!$U$2:$U$400),0)),"/")</f>
        <v>540</v>
      </c>
      <c r="AQ10" s="4"/>
      <c r="AR10" s="15" t="str">
        <f t="shared" si="3"/>
        <v>JS2370</v>
      </c>
    </row>
    <row r="11" spans="1:44" ht="18" customHeight="1">
      <c r="A11" s="4" t="str">
        <f>'Reference Score Calculation'!B83</f>
        <v>JS2410</v>
      </c>
      <c r="B11" s="4" t="str">
        <f>'Reference Score Calculation'!D83</f>
        <v>中醫藥學院</v>
      </c>
      <c r="C11" s="4" t="str">
        <f>'Reference Score Calculation'!E83</f>
        <v>中醫學學士及生物醫學理學士(榮譽)</v>
      </c>
      <c r="D11" s="4" t="str">
        <f>'Reference Score Calculation'!S83</f>
        <v>BCM&amp;BSc(BIOMED)</v>
      </c>
      <c r="E11" s="352" t="str">
        <f>'Reference Score Calculation'!AC83</f>
        <v>Best 5</v>
      </c>
      <c r="F11" s="450" t="str">
        <f>'Reference Score Calculation'!F83</f>
        <v>Best 5</v>
      </c>
      <c r="G11" s="6">
        <f>'Reference Score Calculation'!I83</f>
        <v>31.500000000317502</v>
      </c>
      <c r="H11" s="6">
        <f>'Reference Score Calculation'!J83</f>
        <v>31.000000000317502</v>
      </c>
      <c r="I11" s="449">
        <f>'Reference Score Calculation'!G83</f>
        <v>31.4</v>
      </c>
      <c r="J11" s="45">
        <f>計分版!J106</f>
        <v>3.4999999999999999E-9</v>
      </c>
      <c r="K11" s="25">
        <f t="shared" si="0"/>
        <v>-31.3999999965</v>
      </c>
      <c r="L11" s="26">
        <f t="shared" si="1"/>
        <v>-8971428570.4285717</v>
      </c>
      <c r="M11" s="36">
        <f>'Reference Score Calculation'!U83</f>
        <v>37</v>
      </c>
      <c r="N11" s="84">
        <f>入學要求!Z92</f>
        <v>0</v>
      </c>
      <c r="O11" s="542"/>
      <c r="P11" s="242">
        <f>入學要求!L92</f>
        <v>3</v>
      </c>
      <c r="Q11" s="242">
        <f>入學要求!M92</f>
        <v>3</v>
      </c>
      <c r="R11" s="242">
        <f>入學要求!N92</f>
        <v>2</v>
      </c>
      <c r="S11" s="242">
        <f>入學要求!O92</f>
        <v>1</v>
      </c>
      <c r="T11" s="242">
        <f>入學要求!P92</f>
        <v>3</v>
      </c>
      <c r="U11" s="242">
        <f>入學要求!Q92</f>
        <v>3</v>
      </c>
      <c r="V11" s="236">
        <f>入學要求!S92</f>
        <v>0</v>
      </c>
      <c r="W11" s="236">
        <f>入學要求!T92</f>
        <v>0</v>
      </c>
      <c r="X11" s="236">
        <f>入學要求!U92</f>
        <v>0</v>
      </c>
      <c r="Y11" s="236">
        <f>入學要求!V92</f>
        <v>0</v>
      </c>
      <c r="Z11" s="236">
        <f>入學要求!W92</f>
        <v>0</v>
      </c>
      <c r="AA11" s="236">
        <f>入學要求!X92</f>
        <v>0</v>
      </c>
      <c r="AB11" s="375">
        <f t="shared" si="2"/>
        <v>7.59</v>
      </c>
      <c r="AC11" s="537"/>
      <c r="AD11" s="36" cm="1">
        <f t="array" ref="AD11">IFERROR(INDEX('Offer Statistics'!$AI$2:$AI$400,MATCH(1,($A11='Offer Statistics'!$T$2:$T$400)*($AC$2='Offer Statistics'!$AC$2:$AC$400),0)),"/")</f>
        <v>46</v>
      </c>
      <c r="AE11" s="63" cm="1">
        <f t="array" ref="AE11">IFERROR(INDEX('Offer Statistics'!AD$2:AD$400,MATCH(1,($A11='Offer Statistics'!$T$2:$T$400)*($AC$2='Offer Statistics'!$AC$2:$AC$400),0)),"/")</f>
        <v>46</v>
      </c>
      <c r="AF11" s="63" cm="1">
        <f t="array" ref="AF11">IFERROR(INDEX('Offer Statistics'!AE$2:AE$400,MATCH(1,($A11='Offer Statistics'!$T$2:$T$400)*($AC$2='Offer Statistics'!$AC$2:$AC$400),0)),"/")</f>
        <v>0</v>
      </c>
      <c r="AG11" s="63" cm="1">
        <f t="array" ref="AG11">IFERROR(INDEX('Offer Statistics'!AF$2:AF$400,MATCH(1,($A11='Offer Statistics'!$T$2:$T$400)*($AC$2='Offer Statistics'!$AC$2:$AC$400),0)),"/")</f>
        <v>0</v>
      </c>
      <c r="AH11" s="63" cm="1">
        <f t="array" ref="AH11">IFERROR(INDEX('Offer Statistics'!AG$2:AG$400,MATCH(1,($A11='Offer Statistics'!$T$2:$T$400)*($AC$2='Offer Statistics'!$AC$2:$AC$400),0)),"/")</f>
        <v>0</v>
      </c>
      <c r="AI11" s="63" cm="1">
        <f t="array" ref="AI11">IFERROR(INDEX('Offer Statistics'!AH$2:AH$400,MATCH(1,($A11='Offer Statistics'!$T$2:$T$400)*($AC$2='Offer Statistics'!$AC$2:$AC$400),0)),"/")</f>
        <v>0</v>
      </c>
      <c r="AJ11" s="538"/>
      <c r="AK11" s="36" cm="1">
        <f t="array" ref="AK11">IFERROR(INDEX('Offer Statistics'!$AA$2:$AA$400,MATCH(1,($A11='Offer Statistics'!$T$2:$T$400)*($AC$2='Offer Statistics'!$U$2:$U$400),0)),"/")</f>
        <v>1916</v>
      </c>
      <c r="AL11" s="63" cm="1">
        <f t="array" ref="AL11">IFERROR(INDEX('Offer Statistics'!V$2:V$400,MATCH(1,($A11='Offer Statistics'!$T$2:$T$400)*($AC$2='Offer Statistics'!$U$2:$U$400),0)),"/")</f>
        <v>349</v>
      </c>
      <c r="AM11" s="63" cm="1">
        <f t="array" ref="AM11">IFERROR(INDEX('Offer Statistics'!W$2:W$400,MATCH(1,($A11='Offer Statistics'!$T$2:$T$400)*($AC$2='Offer Statistics'!$U$2:$U$400),0)),"/")</f>
        <v>249</v>
      </c>
      <c r="AN11" s="63" cm="1">
        <f t="array" ref="AN11">IFERROR(INDEX('Offer Statistics'!X$2:X$400,MATCH(1,($A11='Offer Statistics'!$T$2:$T$400)*($AC$2='Offer Statistics'!$U$2:$U$400),0)),"/")</f>
        <v>399</v>
      </c>
      <c r="AO11" s="63" cm="1">
        <f t="array" ref="AO11">IFERROR(INDEX('Offer Statistics'!Y$2:Y$400,MATCH(1,($A11='Offer Statistics'!$T$2:$T$400)*($AC$2='Offer Statistics'!$U$2:$U$400),0)),"/")</f>
        <v>478</v>
      </c>
      <c r="AP11" s="63" cm="1">
        <f t="array" ref="AP11">IFERROR(INDEX('Offer Statistics'!Z$2:Z$400,MATCH(1,($A11='Offer Statistics'!$T$2:$T$400)*($AC$2='Offer Statistics'!$U$2:$U$400),0)),"/")</f>
        <v>441</v>
      </c>
      <c r="AR11" s="15" t="str">
        <f t="shared" si="3"/>
        <v>JS2410</v>
      </c>
    </row>
    <row r="12" spans="1:44" s="43" customFormat="1" ht="18" customHeight="1">
      <c r="A12" s="4" t="str">
        <f>'Reference Score Calculation'!B84</f>
        <v>JS2420</v>
      </c>
      <c r="B12" s="4" t="str">
        <f>'Reference Score Calculation'!D84</f>
        <v>中醫藥學院</v>
      </c>
      <c r="C12" s="4" t="str">
        <f>'Reference Score Calculation'!E84</f>
        <v>中藥學學士(榮譽)</v>
      </c>
      <c r="D12" s="4" t="str">
        <f>'Reference Score Calculation'!S84</f>
        <v>BPharm</v>
      </c>
      <c r="E12" s="352" t="str">
        <f>'Reference Score Calculation'!AC84</f>
        <v>Best 5</v>
      </c>
      <c r="F12" s="450" t="str">
        <f>'Reference Score Calculation'!F84</f>
        <v>Best 5</v>
      </c>
      <c r="G12" s="6">
        <f>'Reference Score Calculation'!I84</f>
        <v>24.500000000295</v>
      </c>
      <c r="H12" s="6">
        <f>'Reference Score Calculation'!J84</f>
        <v>23.5000000002475</v>
      </c>
      <c r="I12" s="449">
        <f>'Reference Score Calculation'!G84</f>
        <v>25.01</v>
      </c>
      <c r="J12" s="45">
        <f>計分版!J107</f>
        <v>3.4999999999999999E-9</v>
      </c>
      <c r="K12" s="25">
        <f t="shared" si="0"/>
        <v>-25.009999996500003</v>
      </c>
      <c r="L12" s="26">
        <f t="shared" si="1"/>
        <v>-7145714284.7142868</v>
      </c>
      <c r="M12" s="36">
        <f>'Reference Score Calculation'!U84</f>
        <v>23</v>
      </c>
      <c r="N12" s="84">
        <f>入學要求!Z93</f>
        <v>0</v>
      </c>
      <c r="O12" s="542"/>
      <c r="P12" s="242">
        <f>入學要求!L93</f>
        <v>3</v>
      </c>
      <c r="Q12" s="242">
        <f>入學要求!M93</f>
        <v>3</v>
      </c>
      <c r="R12" s="242">
        <f>入學要求!N93</f>
        <v>2</v>
      </c>
      <c r="S12" s="242">
        <f>入學要求!O93</f>
        <v>1</v>
      </c>
      <c r="T12" s="242">
        <f>入學要求!P93</f>
        <v>3</v>
      </c>
      <c r="U12" s="242">
        <f>入學要求!Q93</f>
        <v>3</v>
      </c>
      <c r="V12" s="236">
        <f>入學要求!S93</f>
        <v>0</v>
      </c>
      <c r="W12" s="236">
        <f>入學要求!T93</f>
        <v>0</v>
      </c>
      <c r="X12" s="236">
        <f>入學要求!U93</f>
        <v>0</v>
      </c>
      <c r="Y12" s="236">
        <f>入學要求!V93</f>
        <v>0</v>
      </c>
      <c r="Z12" s="236">
        <f>入學要求!W93</f>
        <v>0</v>
      </c>
      <c r="AA12" s="236">
        <f>入學要求!X93</f>
        <v>0</v>
      </c>
      <c r="AB12" s="375">
        <f t="shared" si="2"/>
        <v>11.69</v>
      </c>
      <c r="AC12" s="537"/>
      <c r="AD12" s="36" cm="1">
        <f t="array" ref="AD12">IFERROR(INDEX('Offer Statistics'!$AI$2:$AI$400,MATCH(1,($A12='Offer Statistics'!$T$2:$T$400)*($AC$2='Offer Statistics'!$AC$2:$AC$400),0)),"/")</f>
        <v>29</v>
      </c>
      <c r="AE12" s="63" cm="1">
        <f t="array" ref="AE12">IFERROR(INDEX('Offer Statistics'!AD$2:AD$400,MATCH(1,($A12='Offer Statistics'!$T$2:$T$400)*($AC$2='Offer Statistics'!$AC$2:$AC$400),0)),"/")</f>
        <v>29</v>
      </c>
      <c r="AF12" s="63" cm="1">
        <f t="array" ref="AF12">IFERROR(INDEX('Offer Statistics'!AE$2:AE$400,MATCH(1,($A12='Offer Statistics'!$T$2:$T$400)*($AC$2='Offer Statistics'!$AC$2:$AC$400),0)),"/")</f>
        <v>0</v>
      </c>
      <c r="AG12" s="63" cm="1">
        <f t="array" ref="AG12">IFERROR(INDEX('Offer Statistics'!AF$2:AF$400,MATCH(1,($A12='Offer Statistics'!$T$2:$T$400)*($AC$2='Offer Statistics'!$AC$2:$AC$400),0)),"/")</f>
        <v>0</v>
      </c>
      <c r="AH12" s="63" cm="1">
        <f t="array" ref="AH12">IFERROR(INDEX('Offer Statistics'!AG$2:AG$400,MATCH(1,($A12='Offer Statistics'!$T$2:$T$400)*($AC$2='Offer Statistics'!$AC$2:$AC$400),0)),"/")</f>
        <v>0</v>
      </c>
      <c r="AI12" s="63" cm="1">
        <f t="array" ref="AI12">IFERROR(INDEX('Offer Statistics'!AH$2:AH$400,MATCH(1,($A12='Offer Statistics'!$T$2:$T$400)*($AC$2='Offer Statistics'!$AC$2:$AC$400),0)),"/")</f>
        <v>0</v>
      </c>
      <c r="AJ12" s="538"/>
      <c r="AK12" s="36" cm="1">
        <f t="array" ref="AK12">IFERROR(INDEX('Offer Statistics'!$AA$2:$AA$400,MATCH(1,($A12='Offer Statistics'!$T$2:$T$400)*($AC$2='Offer Statistics'!$U$2:$U$400),0)),"/")</f>
        <v>2406</v>
      </c>
      <c r="AL12" s="63" cm="1">
        <f t="array" ref="AL12">IFERROR(INDEX('Offer Statistics'!V$2:V$400,MATCH(1,($A12='Offer Statistics'!$T$2:$T$400)*($AC$2='Offer Statistics'!$U$2:$U$400),0)),"/")</f>
        <v>339</v>
      </c>
      <c r="AM12" s="63" cm="1">
        <f t="array" ref="AM12">IFERROR(INDEX('Offer Statistics'!W$2:W$400,MATCH(1,($A12='Offer Statistics'!$T$2:$T$400)*($AC$2='Offer Statistics'!$U$2:$U$400),0)),"/")</f>
        <v>402</v>
      </c>
      <c r="AN12" s="63" cm="1">
        <f t="array" ref="AN12">IFERROR(INDEX('Offer Statistics'!X$2:X$400,MATCH(1,($A12='Offer Statistics'!$T$2:$T$400)*($AC$2='Offer Statistics'!$U$2:$U$400),0)),"/")</f>
        <v>545</v>
      </c>
      <c r="AO12" s="63" cm="1">
        <f t="array" ref="AO12">IFERROR(INDEX('Offer Statistics'!Y$2:Y$400,MATCH(1,($A12='Offer Statistics'!$T$2:$T$400)*($AC$2='Offer Statistics'!$U$2:$U$400),0)),"/")</f>
        <v>604</v>
      </c>
      <c r="AP12" s="63" cm="1">
        <f t="array" ref="AP12">IFERROR(INDEX('Offer Statistics'!Z$2:Z$400,MATCH(1,($A12='Offer Statistics'!$T$2:$T$400)*($AC$2='Offer Statistics'!$U$2:$U$400),0)),"/")</f>
        <v>516</v>
      </c>
      <c r="AQ12" s="4"/>
      <c r="AR12" s="15" t="str">
        <f t="shared" si="3"/>
        <v>JS2420</v>
      </c>
    </row>
    <row r="13" spans="1:44" ht="18" customHeight="1">
      <c r="A13" s="4" t="str">
        <f>'Reference Score Calculation'!B85</f>
        <v>JS2510</v>
      </c>
      <c r="B13" s="4" t="str">
        <f>'Reference Score Calculation'!D85</f>
        <v>理學院</v>
      </c>
      <c r="C13" s="4" t="str">
        <f>'Reference Score Calculation'!E85</f>
        <v>理學士(榮譽)</v>
      </c>
      <c r="D13" s="4" t="str">
        <f>'Reference Score Calculation'!S85</f>
        <v>BSc</v>
      </c>
      <c r="E13" s="352" t="str">
        <f>'Reference Score Calculation'!AC85</f>
        <v>Best 5</v>
      </c>
      <c r="F13" s="449" t="str">
        <f>'Reference Score Calculation'!F85</f>
        <v>Best 5</v>
      </c>
      <c r="G13" s="6">
        <f>'Reference Score Calculation'!I85</f>
        <v>19.000000000200004</v>
      </c>
      <c r="H13" s="6">
        <f>'Reference Score Calculation'!J85</f>
        <v>18.00000000028</v>
      </c>
      <c r="I13" s="449">
        <f>'Reference Score Calculation'!G85</f>
        <v>19.100000000000001</v>
      </c>
      <c r="J13" s="45">
        <f>計分版!J108</f>
        <v>3.4999999999999999E-9</v>
      </c>
      <c r="K13" s="25">
        <f t="shared" si="0"/>
        <v>-19.099999996500003</v>
      </c>
      <c r="L13" s="26">
        <f t="shared" si="1"/>
        <v>-5457142856.1428585</v>
      </c>
      <c r="M13" s="36">
        <f>'Reference Score Calculation'!U85</f>
        <v>197</v>
      </c>
      <c r="N13" s="84">
        <f>入學要求!Z94</f>
        <v>0</v>
      </c>
      <c r="O13" s="542"/>
      <c r="P13" s="242">
        <f>入學要求!L94</f>
        <v>3</v>
      </c>
      <c r="Q13" s="242">
        <f>入學要求!M94</f>
        <v>3</v>
      </c>
      <c r="R13" s="242">
        <f>入學要求!N94</f>
        <v>2</v>
      </c>
      <c r="S13" s="242">
        <f>入學要求!O94</f>
        <v>1</v>
      </c>
      <c r="T13" s="242">
        <f>入學要求!P94</f>
        <v>3</v>
      </c>
      <c r="U13" s="242">
        <f>入學要求!Q94</f>
        <v>3</v>
      </c>
      <c r="V13" s="236">
        <f>入學要求!S94</f>
        <v>0</v>
      </c>
      <c r="W13" s="236">
        <f>入學要求!T94</f>
        <v>0</v>
      </c>
      <c r="X13" s="236">
        <f>入學要求!U94</f>
        <v>0</v>
      </c>
      <c r="Y13" s="236">
        <f>入學要求!V94</f>
        <v>0</v>
      </c>
      <c r="Z13" s="236">
        <f>入學要求!W94</f>
        <v>0</v>
      </c>
      <c r="AA13" s="236">
        <f>入學要求!X94</f>
        <v>0</v>
      </c>
      <c r="AB13" s="375">
        <f t="shared" si="2"/>
        <v>10.71</v>
      </c>
      <c r="AC13" s="537"/>
      <c r="AD13" s="36" cm="1">
        <f t="array" ref="AD13">IFERROR(INDEX('Offer Statistics'!$AI$2:$AI$400,MATCH(1,($A13='Offer Statistics'!$T$2:$T$400)*($AC$2='Offer Statistics'!$AC$2:$AC$400),0)),"/")</f>
        <v>198</v>
      </c>
      <c r="AE13" s="63" cm="1">
        <f t="array" ref="AE13">IFERROR(INDEX('Offer Statistics'!AD$2:AD$400,MATCH(1,($A13='Offer Statistics'!$T$2:$T$400)*($AC$2='Offer Statistics'!$AC$2:$AC$400),0)),"/")</f>
        <v>121</v>
      </c>
      <c r="AF13" s="63" cm="1">
        <f t="array" ref="AF13">IFERROR(INDEX('Offer Statistics'!AE$2:AE$400,MATCH(1,($A13='Offer Statistics'!$T$2:$T$400)*($AC$2='Offer Statistics'!$AC$2:$AC$400),0)),"/")</f>
        <v>61</v>
      </c>
      <c r="AG13" s="63" cm="1">
        <f t="array" ref="AG13">IFERROR(INDEX('Offer Statistics'!AF$2:AF$400,MATCH(1,($A13='Offer Statistics'!$T$2:$T$400)*($AC$2='Offer Statistics'!$AC$2:$AC$400),0)),"/")</f>
        <v>12</v>
      </c>
      <c r="AH13" s="63" cm="1">
        <f t="array" ref="AH13">IFERROR(INDEX('Offer Statistics'!AG$2:AG$400,MATCH(1,($A13='Offer Statistics'!$T$2:$T$400)*($AC$2='Offer Statistics'!$AC$2:$AC$400),0)),"/")</f>
        <v>3</v>
      </c>
      <c r="AI13" s="63" cm="1">
        <f t="array" ref="AI13">IFERROR(INDEX('Offer Statistics'!AH$2:AH$400,MATCH(1,($A13='Offer Statistics'!$T$2:$T$400)*($AC$2='Offer Statistics'!$AC$2:$AC$400),0)),"/")</f>
        <v>1</v>
      </c>
      <c r="AJ13" s="538"/>
      <c r="AK13" s="36" cm="1">
        <f t="array" ref="AK13">IFERROR(INDEX('Offer Statistics'!$AA$2:$AA$400,MATCH(1,($A13='Offer Statistics'!$T$2:$T$400)*($AC$2='Offer Statistics'!$U$2:$U$400),0)),"/")</f>
        <v>5785</v>
      </c>
      <c r="AL13" s="63" cm="1">
        <f t="array" ref="AL13">IFERROR(INDEX('Offer Statistics'!V$2:V$400,MATCH(1,($A13='Offer Statistics'!$T$2:$T$400)*($AC$2='Offer Statistics'!$U$2:$U$400),0)),"/")</f>
        <v>1296</v>
      </c>
      <c r="AM13" s="63" cm="1">
        <f t="array" ref="AM13">IFERROR(INDEX('Offer Statistics'!W$2:W$400,MATCH(1,($A13='Offer Statistics'!$T$2:$T$400)*($AC$2='Offer Statistics'!$U$2:$U$400),0)),"/")</f>
        <v>1343</v>
      </c>
      <c r="AN13" s="63" cm="1">
        <f t="array" ref="AN13">IFERROR(INDEX('Offer Statistics'!X$2:X$400,MATCH(1,($A13='Offer Statistics'!$T$2:$T$400)*($AC$2='Offer Statistics'!$U$2:$U$400),0)),"/")</f>
        <v>1136</v>
      </c>
      <c r="AO13" s="63" cm="1">
        <f t="array" ref="AO13">IFERROR(INDEX('Offer Statistics'!Y$2:Y$400,MATCH(1,($A13='Offer Statistics'!$T$2:$T$400)*($AC$2='Offer Statistics'!$U$2:$U$400),0)),"/")</f>
        <v>1145</v>
      </c>
      <c r="AP13" s="63" cm="1">
        <f t="array" ref="AP13">IFERROR(INDEX('Offer Statistics'!Z$2:Z$400,MATCH(1,($A13='Offer Statistics'!$T$2:$T$400)*($AC$2='Offer Statistics'!$U$2:$U$400),0)),"/")</f>
        <v>865</v>
      </c>
      <c r="AR13" s="15" t="str">
        <f t="shared" si="3"/>
        <v>JS2510</v>
      </c>
    </row>
    <row r="14" spans="1:44" s="43" customFormat="1" ht="18" customHeight="1">
      <c r="A14" s="4" t="str">
        <f>'Reference Score Calculation'!B86</f>
        <v>JS2610</v>
      </c>
      <c r="B14" s="4" t="str">
        <f>'Reference Score Calculation'!D86</f>
        <v>社會科學院</v>
      </c>
      <c r="C14" s="4" t="str">
        <f>'Reference Score Calculation'!E86</f>
        <v>文學士(榮譽) / 社會科學學士(榮譽) (歐洲研究 [法文/德文] / 地理 / 全球及中國研究 / 政治及國際關係學 / 歷史 / 社會學)</v>
      </c>
      <c r="D14" s="4" t="str">
        <f>'Reference Score Calculation'!S86</f>
        <v>BA/BSocSc</v>
      </c>
      <c r="E14" s="352" t="str">
        <f>'Reference Score Calculation'!AC86</f>
        <v>Best 5</v>
      </c>
      <c r="F14" s="450" t="str">
        <f>'Reference Score Calculation'!F86</f>
        <v>Best 5</v>
      </c>
      <c r="G14" s="6">
        <f>'Reference Score Calculation'!I86</f>
        <v>24.000000000219998</v>
      </c>
      <c r="H14" s="6">
        <f>'Reference Score Calculation'!J86</f>
        <v>23.000000000219998</v>
      </c>
      <c r="I14" s="449">
        <f>'Reference Score Calculation'!G86</f>
        <v>24.11</v>
      </c>
      <c r="J14" s="45">
        <f>計分版!J109</f>
        <v>3.4999999999999999E-9</v>
      </c>
      <c r="K14" s="25">
        <f t="shared" si="0"/>
        <v>-24.109999996500001</v>
      </c>
      <c r="L14" s="26">
        <f t="shared" si="1"/>
        <v>-6888571427.5714293</v>
      </c>
      <c r="M14" s="36">
        <f>'Reference Score Calculation'!U86</f>
        <v>122</v>
      </c>
      <c r="N14" s="84">
        <f>入學要求!Z95</f>
        <v>0</v>
      </c>
      <c r="O14" s="542"/>
      <c r="P14" s="242">
        <f>入學要求!L95</f>
        <v>3</v>
      </c>
      <c r="Q14" s="242">
        <f>入學要求!M95</f>
        <v>3</v>
      </c>
      <c r="R14" s="242">
        <f>入學要求!N95</f>
        <v>2</v>
      </c>
      <c r="S14" s="242">
        <f>入學要求!O95</f>
        <v>1</v>
      </c>
      <c r="T14" s="242">
        <f>入學要求!P95</f>
        <v>3</v>
      </c>
      <c r="U14" s="242">
        <f>入學要求!Q95</f>
        <v>3</v>
      </c>
      <c r="V14" s="236">
        <f>入學要求!S95</f>
        <v>0</v>
      </c>
      <c r="W14" s="236">
        <f>入學要求!T95</f>
        <v>0</v>
      </c>
      <c r="X14" s="236">
        <f>入學要求!U95</f>
        <v>0</v>
      </c>
      <c r="Y14" s="236">
        <f>入學要求!V95</f>
        <v>0</v>
      </c>
      <c r="Z14" s="236">
        <f>入學要求!W95</f>
        <v>0</v>
      </c>
      <c r="AA14" s="236">
        <f>入學要求!X95</f>
        <v>0</v>
      </c>
      <c r="AB14" s="375">
        <f t="shared" si="2"/>
        <v>6.81</v>
      </c>
      <c r="AC14" s="537"/>
      <c r="AD14" s="36" cm="1">
        <f t="array" ref="AD14">IFERROR(INDEX('Offer Statistics'!$AI$2:$AI$400,MATCH(1,($A14='Offer Statistics'!$T$2:$T$400)*($AC$2='Offer Statistics'!$AC$2:$AC$400),0)),"/")</f>
        <v>155</v>
      </c>
      <c r="AE14" s="63" cm="1">
        <f t="array" ref="AE14">IFERROR(INDEX('Offer Statistics'!AD$2:AD$400,MATCH(1,($A14='Offer Statistics'!$T$2:$T$400)*($AC$2='Offer Statistics'!$AC$2:$AC$400),0)),"/")</f>
        <v>146</v>
      </c>
      <c r="AF14" s="63" cm="1">
        <f t="array" ref="AF14">IFERROR(INDEX('Offer Statistics'!AE$2:AE$400,MATCH(1,($A14='Offer Statistics'!$T$2:$T$400)*($AC$2='Offer Statistics'!$AC$2:$AC$400),0)),"/")</f>
        <v>7</v>
      </c>
      <c r="AG14" s="63" cm="1">
        <f t="array" ref="AG14">IFERROR(INDEX('Offer Statistics'!AF$2:AF$400,MATCH(1,($A14='Offer Statistics'!$T$2:$T$400)*($AC$2='Offer Statistics'!$AC$2:$AC$400),0)),"/")</f>
        <v>1</v>
      </c>
      <c r="AH14" s="63" cm="1">
        <f t="array" ref="AH14">IFERROR(INDEX('Offer Statistics'!AG$2:AG$400,MATCH(1,($A14='Offer Statistics'!$T$2:$T$400)*($AC$2='Offer Statistics'!$AC$2:$AC$400),0)),"/")</f>
        <v>0</v>
      </c>
      <c r="AI14" s="63" cm="1">
        <f t="array" ref="AI14">IFERROR(INDEX('Offer Statistics'!AH$2:AH$400,MATCH(1,($A14='Offer Statistics'!$T$2:$T$400)*($AC$2='Offer Statistics'!$AC$2:$AC$400),0)),"/")</f>
        <v>1</v>
      </c>
      <c r="AJ14" s="538"/>
      <c r="AK14" s="36" cm="1">
        <f t="array" ref="AK14">IFERROR(INDEX('Offer Statistics'!$AA$2:$AA$400,MATCH(1,($A14='Offer Statistics'!$T$2:$T$400)*($AC$2='Offer Statistics'!$U$2:$U$400),0)),"/")</f>
        <v>4255</v>
      </c>
      <c r="AL14" s="63" cm="1">
        <f t="array" ref="AL14">IFERROR(INDEX('Offer Statistics'!V$2:V$400,MATCH(1,($A14='Offer Statistics'!$T$2:$T$400)*($AC$2='Offer Statistics'!$U$2:$U$400),0)),"/")</f>
        <v>994</v>
      </c>
      <c r="AM14" s="63" cm="1">
        <f t="array" ref="AM14">IFERROR(INDEX('Offer Statistics'!W$2:W$400,MATCH(1,($A14='Offer Statistics'!$T$2:$T$400)*($AC$2='Offer Statistics'!$U$2:$U$400),0)),"/")</f>
        <v>768</v>
      </c>
      <c r="AN14" s="63" cm="1">
        <f t="array" ref="AN14">IFERROR(INDEX('Offer Statistics'!X$2:X$400,MATCH(1,($A14='Offer Statistics'!$T$2:$T$400)*($AC$2='Offer Statistics'!$U$2:$U$400),0)),"/")</f>
        <v>932</v>
      </c>
      <c r="AO14" s="63" cm="1">
        <f t="array" ref="AO14">IFERROR(INDEX('Offer Statistics'!Y$2:Y$400,MATCH(1,($A14='Offer Statistics'!$T$2:$T$400)*($AC$2='Offer Statistics'!$U$2:$U$400),0)),"/")</f>
        <v>902</v>
      </c>
      <c r="AP14" s="63" cm="1">
        <f t="array" ref="AP14">IFERROR(INDEX('Offer Statistics'!Z$2:Z$400,MATCH(1,($A14='Offer Statistics'!$T$2:$T$400)*($AC$2='Offer Statistics'!$U$2:$U$400),0)),"/")</f>
        <v>659</v>
      </c>
      <c r="AQ14" s="4"/>
      <c r="AR14" s="15" t="str">
        <f t="shared" si="3"/>
        <v>JS2610</v>
      </c>
    </row>
    <row r="15" spans="1:44" ht="18" customHeight="1">
      <c r="A15" s="4" t="str">
        <f>'Reference Score Calculation'!B87</f>
        <v>JS2620</v>
      </c>
      <c r="B15" s="4" t="str">
        <f>'Reference Score Calculation'!D87</f>
        <v>社會科學院</v>
      </c>
      <c r="C15" s="4" t="str">
        <f>'Reference Score Calculation'!E87</f>
        <v>體育及康樂管理文學士(榮譽)</v>
      </c>
      <c r="D15" s="4" t="str">
        <f>'Reference Score Calculation'!S87</f>
        <v>BA(PERM)</v>
      </c>
      <c r="E15" s="352" t="str">
        <f>'Reference Score Calculation'!AC87</f>
        <v>Best 5</v>
      </c>
      <c r="F15" s="449" t="str">
        <f>'Reference Score Calculation'!F87</f>
        <v>Best 5</v>
      </c>
      <c r="G15" s="6">
        <f>'Reference Score Calculation'!I87</f>
        <v>21.000000000200004</v>
      </c>
      <c r="H15" s="6">
        <f>'Reference Score Calculation'!J87</f>
        <v>20.000000000200004</v>
      </c>
      <c r="I15" s="449">
        <f>'Reference Score Calculation'!G87</f>
        <v>21.12</v>
      </c>
      <c r="J15" s="45">
        <f>計分版!J110</f>
        <v>3.4999999999999999E-9</v>
      </c>
      <c r="K15" s="25">
        <f t="shared" si="0"/>
        <v>-21.119999996500002</v>
      </c>
      <c r="L15" s="26">
        <f t="shared" si="1"/>
        <v>-6034285713.2857151</v>
      </c>
      <c r="M15" s="36">
        <f>'Reference Score Calculation'!U87</f>
        <v>35</v>
      </c>
      <c r="N15" s="84">
        <f>入學要求!Z96</f>
        <v>0</v>
      </c>
      <c r="O15" s="542"/>
      <c r="P15" s="242">
        <f>入學要求!L96</f>
        <v>3</v>
      </c>
      <c r="Q15" s="242">
        <f>入學要求!M96</f>
        <v>3</v>
      </c>
      <c r="R15" s="242">
        <f>入學要求!N96</f>
        <v>2</v>
      </c>
      <c r="S15" s="242">
        <f>入學要求!O96</f>
        <v>1</v>
      </c>
      <c r="T15" s="242">
        <f>入學要求!P96</f>
        <v>3</v>
      </c>
      <c r="U15" s="242">
        <f>入學要求!Q96</f>
        <v>3</v>
      </c>
      <c r="V15" s="236">
        <f>入學要求!S96</f>
        <v>0</v>
      </c>
      <c r="W15" s="236">
        <f>入學要求!T96</f>
        <v>0</v>
      </c>
      <c r="X15" s="236">
        <f>入學要求!U96</f>
        <v>0</v>
      </c>
      <c r="Y15" s="236">
        <f>入學要求!V96</f>
        <v>0</v>
      </c>
      <c r="Z15" s="236">
        <f>入學要求!W96</f>
        <v>0</v>
      </c>
      <c r="AA15" s="236">
        <f>入學要求!X96</f>
        <v>0</v>
      </c>
      <c r="AB15" s="375">
        <f t="shared" si="2"/>
        <v>44.47</v>
      </c>
      <c r="AC15" s="537"/>
      <c r="AD15" s="36" cm="1">
        <f t="array" ref="AD15">IFERROR(INDEX('Offer Statistics'!$AI$2:$AI$400,MATCH(1,($A15='Offer Statistics'!$T$2:$T$400)*($AC$2='Offer Statistics'!$AC$2:$AC$400),0)),"/")</f>
        <v>17</v>
      </c>
      <c r="AE15" s="63" cm="1">
        <f t="array" ref="AE15">IFERROR(INDEX('Offer Statistics'!AD$2:AD$400,MATCH(1,($A15='Offer Statistics'!$T$2:$T$400)*($AC$2='Offer Statistics'!$AC$2:$AC$400),0)),"/")</f>
        <v>15</v>
      </c>
      <c r="AF15" s="63" cm="1">
        <f t="array" ref="AF15">IFERROR(INDEX('Offer Statistics'!AE$2:AE$400,MATCH(1,($A15='Offer Statistics'!$T$2:$T$400)*($AC$2='Offer Statistics'!$AC$2:$AC$400),0)),"/")</f>
        <v>0</v>
      </c>
      <c r="AG15" s="63" cm="1">
        <f t="array" ref="AG15">IFERROR(INDEX('Offer Statistics'!AF$2:AF$400,MATCH(1,($A15='Offer Statistics'!$T$2:$T$400)*($AC$2='Offer Statistics'!$AC$2:$AC$400),0)),"/")</f>
        <v>1</v>
      </c>
      <c r="AH15" s="63" cm="1">
        <f t="array" ref="AH15">IFERROR(INDEX('Offer Statistics'!AG$2:AG$400,MATCH(1,($A15='Offer Statistics'!$T$2:$T$400)*($AC$2='Offer Statistics'!$AC$2:$AC$400),0)),"/")</f>
        <v>0</v>
      </c>
      <c r="AI15" s="63" cm="1">
        <f t="array" ref="AI15">IFERROR(INDEX('Offer Statistics'!AH$2:AH$400,MATCH(1,($A15='Offer Statistics'!$T$2:$T$400)*($AC$2='Offer Statistics'!$AC$2:$AC$400),0)),"/")</f>
        <v>1</v>
      </c>
      <c r="AJ15" s="538"/>
      <c r="AK15" s="36" cm="1">
        <f t="array" ref="AK15">IFERROR(INDEX('Offer Statistics'!$AA$2:$AA$400,MATCH(1,($A15='Offer Statistics'!$T$2:$T$400)*($AC$2='Offer Statistics'!$U$2:$U$400),0)),"/")</f>
        <v>2460</v>
      </c>
      <c r="AL15" s="63" cm="1">
        <f t="array" ref="AL15">IFERROR(INDEX('Offer Statistics'!V$2:V$400,MATCH(1,($A15='Offer Statistics'!$T$2:$T$400)*($AC$2='Offer Statistics'!$U$2:$U$400),0)),"/")</f>
        <v>667</v>
      </c>
      <c r="AM15" s="63" cm="1">
        <f t="array" ref="AM15">IFERROR(INDEX('Offer Statistics'!W$2:W$400,MATCH(1,($A15='Offer Statistics'!$T$2:$T$400)*($AC$2='Offer Statistics'!$U$2:$U$400),0)),"/")</f>
        <v>468</v>
      </c>
      <c r="AN15" s="63" cm="1">
        <f t="array" ref="AN15">IFERROR(INDEX('Offer Statistics'!X$2:X$400,MATCH(1,($A15='Offer Statistics'!$T$2:$T$400)*($AC$2='Offer Statistics'!$U$2:$U$400),0)),"/")</f>
        <v>478</v>
      </c>
      <c r="AO15" s="63" cm="1">
        <f t="array" ref="AO15">IFERROR(INDEX('Offer Statistics'!Y$2:Y$400,MATCH(1,($A15='Offer Statistics'!$T$2:$T$400)*($AC$2='Offer Statistics'!$U$2:$U$400),0)),"/")</f>
        <v>466</v>
      </c>
      <c r="AP15" s="63" cm="1">
        <f t="array" ref="AP15">IFERROR(INDEX('Offer Statistics'!Z$2:Z$400,MATCH(1,($A15='Offer Statistics'!$T$2:$T$400)*($AC$2='Offer Statistics'!$U$2:$U$400),0)),"/")</f>
        <v>381</v>
      </c>
      <c r="AR15" s="15" t="str">
        <f t="shared" si="3"/>
        <v>JS2620</v>
      </c>
    </row>
    <row r="16" spans="1:44" ht="18" customHeight="1">
      <c r="A16" s="4" t="str">
        <f>'Reference Score Calculation'!B88</f>
        <v>JS2660</v>
      </c>
      <c r="B16" s="4" t="str">
        <f>'Reference Score Calculation'!D88</f>
        <v>社會科學院</v>
      </c>
      <c r="C16" s="4" t="str">
        <f>'Reference Score Calculation'!E88</f>
        <v>社會工作學士(榮譽)</v>
      </c>
      <c r="D16" s="4" t="str">
        <f>'Reference Score Calculation'!S88</f>
        <v>BSW</v>
      </c>
      <c r="E16" s="352" t="str">
        <f>'Reference Score Calculation'!AC88</f>
        <v>Best 5</v>
      </c>
      <c r="F16" s="450" t="str">
        <f>'Reference Score Calculation'!F88</f>
        <v>Best 5</v>
      </c>
      <c r="G16" s="6">
        <f>'Reference Score Calculation'!I88</f>
        <v>25.400000000226001</v>
      </c>
      <c r="H16" s="6">
        <f>'Reference Score Calculation'!J88</f>
        <v>25.000000000219998</v>
      </c>
      <c r="I16" s="449">
        <f>'Reference Score Calculation'!G88</f>
        <v>25.17</v>
      </c>
      <c r="J16" s="45">
        <f>計分版!J111</f>
        <v>3.4999999999999999E-9</v>
      </c>
      <c r="K16" s="25">
        <f t="shared" si="0"/>
        <v>-25.169999996500003</v>
      </c>
      <c r="L16" s="26">
        <f t="shared" si="1"/>
        <v>-7191428570.4285727</v>
      </c>
      <c r="M16" s="36">
        <f>'Reference Score Calculation'!U88</f>
        <v>30</v>
      </c>
      <c r="N16" s="84">
        <f>入學要求!Z97</f>
        <v>0</v>
      </c>
      <c r="O16" s="542"/>
      <c r="P16" s="242">
        <f>入學要求!L97</f>
        <v>3</v>
      </c>
      <c r="Q16" s="242">
        <f>入學要求!M97</f>
        <v>3</v>
      </c>
      <c r="R16" s="242">
        <f>入學要求!N97</f>
        <v>2</v>
      </c>
      <c r="S16" s="242">
        <f>入學要求!O97</f>
        <v>1</v>
      </c>
      <c r="T16" s="242">
        <f>入學要求!P97</f>
        <v>3</v>
      </c>
      <c r="U16" s="242">
        <f>入學要求!Q97</f>
        <v>3</v>
      </c>
      <c r="V16" s="236">
        <f>入學要求!S97</f>
        <v>0</v>
      </c>
      <c r="W16" s="236">
        <f>入學要求!T97</f>
        <v>0</v>
      </c>
      <c r="X16" s="236">
        <f>入學要求!U97</f>
        <v>0</v>
      </c>
      <c r="Y16" s="236">
        <f>入學要求!V97</f>
        <v>0</v>
      </c>
      <c r="Z16" s="236">
        <f>入學要求!W97</f>
        <v>0</v>
      </c>
      <c r="AA16" s="236">
        <f>入學要求!X97</f>
        <v>0</v>
      </c>
      <c r="AB16" s="375">
        <f t="shared" si="2"/>
        <v>26.31</v>
      </c>
      <c r="AC16" s="537"/>
      <c r="AD16" s="36" cm="1">
        <f t="array" ref="AD16">IFERROR(INDEX('Offer Statistics'!$AI$2:$AI$400,MATCH(1,($A16='Offer Statistics'!$T$2:$T$400)*($AC$2='Offer Statistics'!$AC$2:$AC$400),0)),"/")</f>
        <v>29</v>
      </c>
      <c r="AE16" s="63" cm="1">
        <f t="array" ref="AE16">IFERROR(INDEX('Offer Statistics'!AD$2:AD$400,MATCH(1,($A16='Offer Statistics'!$T$2:$T$400)*($AC$2='Offer Statistics'!$AC$2:$AC$400),0)),"/")</f>
        <v>29</v>
      </c>
      <c r="AF16" s="63" cm="1">
        <f t="array" ref="AF16">IFERROR(INDEX('Offer Statistics'!AE$2:AE$400,MATCH(1,($A16='Offer Statistics'!$T$2:$T$400)*($AC$2='Offer Statistics'!$AC$2:$AC$400),0)),"/")</f>
        <v>0</v>
      </c>
      <c r="AG16" s="63" cm="1">
        <f t="array" ref="AG16">IFERROR(INDEX('Offer Statistics'!AF$2:AF$400,MATCH(1,($A16='Offer Statistics'!$T$2:$T$400)*($AC$2='Offer Statistics'!$AC$2:$AC$400),0)),"/")</f>
        <v>0</v>
      </c>
      <c r="AH16" s="63" cm="1">
        <f t="array" ref="AH16">IFERROR(INDEX('Offer Statistics'!AG$2:AG$400,MATCH(1,($A16='Offer Statistics'!$T$2:$T$400)*($AC$2='Offer Statistics'!$AC$2:$AC$400),0)),"/")</f>
        <v>0</v>
      </c>
      <c r="AI16" s="63" cm="1">
        <f t="array" ref="AI16">IFERROR(INDEX('Offer Statistics'!AH$2:AH$400,MATCH(1,($A16='Offer Statistics'!$T$2:$T$400)*($AC$2='Offer Statistics'!$AC$2:$AC$400),0)),"/")</f>
        <v>0</v>
      </c>
      <c r="AJ16" s="538"/>
      <c r="AK16" s="36" cm="1">
        <f t="array" ref="AK16">IFERROR(INDEX('Offer Statistics'!$AA$2:$AA$400,MATCH(1,($A16='Offer Statistics'!$T$2:$T$400)*($AC$2='Offer Statistics'!$U$2:$U$400),0)),"/")</f>
        <v>4806</v>
      </c>
      <c r="AL16" s="63" cm="1">
        <f t="array" ref="AL16">IFERROR(INDEX('Offer Statistics'!V$2:V$400,MATCH(1,($A16='Offer Statistics'!$T$2:$T$400)*($AC$2='Offer Statistics'!$U$2:$U$400),0)),"/")</f>
        <v>763</v>
      </c>
      <c r="AM16" s="63" cm="1">
        <f t="array" ref="AM16">IFERROR(INDEX('Offer Statistics'!W$2:W$400,MATCH(1,($A16='Offer Statistics'!$T$2:$T$400)*($AC$2='Offer Statistics'!$U$2:$U$400),0)),"/")</f>
        <v>739</v>
      </c>
      <c r="AN16" s="63" cm="1">
        <f t="array" ref="AN16">IFERROR(INDEX('Offer Statistics'!X$2:X$400,MATCH(1,($A16='Offer Statistics'!$T$2:$T$400)*($AC$2='Offer Statistics'!$U$2:$U$400),0)),"/")</f>
        <v>968</v>
      </c>
      <c r="AO16" s="63" cm="1">
        <f t="array" ref="AO16">IFERROR(INDEX('Offer Statistics'!Y$2:Y$400,MATCH(1,($A16='Offer Statistics'!$T$2:$T$400)*($AC$2='Offer Statistics'!$U$2:$U$400),0)),"/")</f>
        <v>1288</v>
      </c>
      <c r="AP16" s="63" cm="1">
        <f t="array" ref="AP16">IFERROR(INDEX('Offer Statistics'!Z$2:Z$400,MATCH(1,($A16='Offer Statistics'!$T$2:$T$400)*($AC$2='Offer Statistics'!$U$2:$U$400),0)),"/")</f>
        <v>1048</v>
      </c>
      <c r="AR16" s="15" t="str">
        <f t="shared" si="3"/>
        <v>JS2660</v>
      </c>
    </row>
    <row r="17" spans="1:45" s="43" customFormat="1" ht="18" customHeight="1">
      <c r="A17" s="4" t="str">
        <f>'Reference Score Calculation'!B89</f>
        <v>JS2810</v>
      </c>
      <c r="B17" s="4" t="str">
        <f>'Reference Score Calculation'!D89</f>
        <v>視覺藝術院</v>
      </c>
      <c r="C17" s="4" t="str">
        <f>'Reference Score Calculation'!E89</f>
        <v>視覺藝術文學士(榮譽)</v>
      </c>
      <c r="D17" s="4" t="str">
        <f>'Reference Score Calculation'!S89</f>
        <v>BA(VA)</v>
      </c>
      <c r="E17" s="352" t="str">
        <f>'Reference Score Calculation'!AC89</f>
        <v>Best 5</v>
      </c>
      <c r="F17" s="449" t="str">
        <f>'Reference Score Calculation'!F89</f>
        <v>Best 5</v>
      </c>
      <c r="G17" s="6">
        <f>'Reference Score Calculation'!I89</f>
        <v>21.000000000200004</v>
      </c>
      <c r="H17" s="6">
        <f>'Reference Score Calculation'!J89</f>
        <v>18.000000000200004</v>
      </c>
      <c r="I17" s="449">
        <f>'Reference Score Calculation'!G89</f>
        <v>19.559999999999999</v>
      </c>
      <c r="J17" s="45">
        <f>計分版!J112</f>
        <v>3.4999999999999999E-9</v>
      </c>
      <c r="K17" s="25">
        <f t="shared" si="0"/>
        <v>-19.5599999965</v>
      </c>
      <c r="L17" s="26">
        <f t="shared" si="1"/>
        <v>-5588571427.5714293</v>
      </c>
      <c r="M17" s="36">
        <f>'Reference Score Calculation'!U89</f>
        <v>35</v>
      </c>
      <c r="N17" s="84">
        <f>入學要求!Z98</f>
        <v>0</v>
      </c>
      <c r="O17" s="542"/>
      <c r="P17" s="242">
        <f>入學要求!L98</f>
        <v>3</v>
      </c>
      <c r="Q17" s="242">
        <f>入學要求!M98</f>
        <v>3</v>
      </c>
      <c r="R17" s="242">
        <f>入學要求!N98</f>
        <v>2</v>
      </c>
      <c r="S17" s="242">
        <f>入學要求!O98</f>
        <v>1</v>
      </c>
      <c r="T17" s="242">
        <f>入學要求!P98</f>
        <v>3</v>
      </c>
      <c r="U17" s="242">
        <f>入學要求!Q98</f>
        <v>3</v>
      </c>
      <c r="V17" s="236">
        <f>入學要求!S98</f>
        <v>0</v>
      </c>
      <c r="W17" s="236">
        <f>入學要求!T98</f>
        <v>0</v>
      </c>
      <c r="X17" s="236">
        <f>入學要求!U98</f>
        <v>0</v>
      </c>
      <c r="Y17" s="236">
        <f>入學要求!V98</f>
        <v>0</v>
      </c>
      <c r="Z17" s="236">
        <f>入學要求!W98</f>
        <v>0</v>
      </c>
      <c r="AA17" s="236">
        <f>入學要求!X98</f>
        <v>0</v>
      </c>
      <c r="AB17" s="375">
        <f t="shared" si="2"/>
        <v>16.350000000000001</v>
      </c>
      <c r="AC17" s="537"/>
      <c r="AD17" s="36" cm="1">
        <f t="array" ref="AD17">IFERROR(INDEX('Offer Statistics'!$AI$2:$AI$400,MATCH(1,($A17='Offer Statistics'!$T$2:$T$400)*($AC$2='Offer Statistics'!$AC$2:$AC$400),0)),"/")</f>
        <v>37</v>
      </c>
      <c r="AE17" s="63" cm="1">
        <f t="array" ref="AE17">IFERROR(INDEX('Offer Statistics'!AD$2:AD$400,MATCH(1,($A17='Offer Statistics'!$T$2:$T$400)*($AC$2='Offer Statistics'!$AC$2:$AC$400),0)),"/")</f>
        <v>37</v>
      </c>
      <c r="AF17" s="63" cm="1">
        <f t="array" ref="AF17">IFERROR(INDEX('Offer Statistics'!AE$2:AE$400,MATCH(1,($A17='Offer Statistics'!$T$2:$T$400)*($AC$2='Offer Statistics'!$AC$2:$AC$400),0)),"/")</f>
        <v>0</v>
      </c>
      <c r="AG17" s="63" cm="1">
        <f t="array" ref="AG17">IFERROR(INDEX('Offer Statistics'!AF$2:AF$400,MATCH(1,($A17='Offer Statistics'!$T$2:$T$400)*($AC$2='Offer Statistics'!$AC$2:$AC$400),0)),"/")</f>
        <v>0</v>
      </c>
      <c r="AH17" s="63" cm="1">
        <f t="array" ref="AH17">IFERROR(INDEX('Offer Statistics'!AG$2:AG$400,MATCH(1,($A17='Offer Statistics'!$T$2:$T$400)*($AC$2='Offer Statistics'!$AC$2:$AC$400),0)),"/")</f>
        <v>0</v>
      </c>
      <c r="AI17" s="63" cm="1">
        <f t="array" ref="AI17">IFERROR(INDEX('Offer Statistics'!AH$2:AH$400,MATCH(1,($A17='Offer Statistics'!$T$2:$T$400)*($AC$2='Offer Statistics'!$AC$2:$AC$400),0)),"/")</f>
        <v>0</v>
      </c>
      <c r="AJ17" s="538"/>
      <c r="AK17" s="36" cm="1">
        <f t="array" ref="AK17">IFERROR(INDEX('Offer Statistics'!$AA$2:$AA$400,MATCH(1,($A17='Offer Statistics'!$T$2:$T$400)*($AC$2='Offer Statistics'!$U$2:$U$400),0)),"/")</f>
        <v>2141</v>
      </c>
      <c r="AL17" s="63" cm="1">
        <f t="array" ref="AL17">IFERROR(INDEX('Offer Statistics'!V$2:V$400,MATCH(1,($A17='Offer Statistics'!$T$2:$T$400)*($AC$2='Offer Statistics'!$U$2:$U$400),0)),"/")</f>
        <v>605</v>
      </c>
      <c r="AM17" s="63" cm="1">
        <f t="array" ref="AM17">IFERROR(INDEX('Offer Statistics'!W$2:W$400,MATCH(1,($A17='Offer Statistics'!$T$2:$T$400)*($AC$2='Offer Statistics'!$U$2:$U$400),0)),"/")</f>
        <v>424</v>
      </c>
      <c r="AN17" s="63" cm="1">
        <f t="array" ref="AN17">IFERROR(INDEX('Offer Statistics'!X$2:X$400,MATCH(1,($A17='Offer Statistics'!$T$2:$T$400)*($AC$2='Offer Statistics'!$U$2:$U$400),0)),"/")</f>
        <v>423</v>
      </c>
      <c r="AO17" s="63" cm="1">
        <f t="array" ref="AO17">IFERROR(INDEX('Offer Statistics'!Y$2:Y$400,MATCH(1,($A17='Offer Statistics'!$T$2:$T$400)*($AC$2='Offer Statistics'!$U$2:$U$400),0)),"/")</f>
        <v>423</v>
      </c>
      <c r="AP17" s="63" cm="1">
        <f t="array" ref="AP17">IFERROR(INDEX('Offer Statistics'!Z$2:Z$400,MATCH(1,($A17='Offer Statistics'!$T$2:$T$400)*($AC$2='Offer Statistics'!$U$2:$U$400),0)),"/")</f>
        <v>266</v>
      </c>
      <c r="AQ17" s="4"/>
      <c r="AR17" s="15" t="str">
        <f t="shared" ref="AR17:AR22" si="4">A17</f>
        <v>JS2810</v>
      </c>
    </row>
    <row r="18" spans="1:45" s="43" customFormat="1" ht="18" customHeight="1">
      <c r="A18" s="4" t="str">
        <f>'Reference Score Calculation'!B90</f>
        <v>JS2910</v>
      </c>
      <c r="B18" s="4" t="str">
        <f>'Reference Score Calculation'!D90</f>
        <v>跨學院課程</v>
      </c>
      <c r="C18" s="4" t="str">
        <f>'Reference Score Calculation'!E90</f>
        <v>商業計算及數據分析理學士(榮譽)</v>
      </c>
      <c r="D18" s="4" t="str">
        <f>'Reference Score Calculation'!S90</f>
        <v>BSc(BCDA)</v>
      </c>
      <c r="E18" s="352" t="str">
        <f>'Reference Score Calculation'!AC90</f>
        <v>Best 5</v>
      </c>
      <c r="F18" s="449" t="str">
        <f>'Reference Score Calculation'!F90</f>
        <v>Best 5</v>
      </c>
      <c r="G18" s="6">
        <f>'Reference Score Calculation'!I90</f>
        <v>19.000000000250001</v>
      </c>
      <c r="H18" s="6">
        <f>'Reference Score Calculation'!J90</f>
        <v>19.000000000200004</v>
      </c>
      <c r="I18" s="449">
        <f>'Reference Score Calculation'!G90</f>
        <v>19.57</v>
      </c>
      <c r="J18" s="45">
        <f>計分版!J113</f>
        <v>3.4999999999999999E-9</v>
      </c>
      <c r="K18" s="25">
        <f t="shared" si="0"/>
        <v>-19.569999996500002</v>
      </c>
      <c r="L18" s="26">
        <f t="shared" si="1"/>
        <v>-5591428570.4285717</v>
      </c>
      <c r="M18" s="36">
        <f>'Reference Score Calculation'!U90</f>
        <v>15</v>
      </c>
      <c r="N18" s="84">
        <f>入學要求!Z99</f>
        <v>0</v>
      </c>
      <c r="O18" s="542"/>
      <c r="P18" s="242">
        <f>入學要求!L99</f>
        <v>3</v>
      </c>
      <c r="Q18" s="242">
        <f>入學要求!M99</f>
        <v>3</v>
      </c>
      <c r="R18" s="242">
        <f>入學要求!N99</f>
        <v>2</v>
      </c>
      <c r="S18" s="242">
        <f>入學要求!O99</f>
        <v>1</v>
      </c>
      <c r="T18" s="242">
        <f>入學要求!P99</f>
        <v>3</v>
      </c>
      <c r="U18" s="242">
        <f>入學要求!Q99</f>
        <v>3</v>
      </c>
      <c r="V18" s="236">
        <f>入學要求!S99</f>
        <v>0</v>
      </c>
      <c r="W18" s="236">
        <f>入學要求!T99</f>
        <v>0</v>
      </c>
      <c r="X18" s="236">
        <f>入學要求!U99</f>
        <v>0</v>
      </c>
      <c r="Y18" s="236">
        <f>入學要求!V99</f>
        <v>0</v>
      </c>
      <c r="Z18" s="236">
        <f>入學要求!W99</f>
        <v>0</v>
      </c>
      <c r="AA18" s="236">
        <f>入學要求!X99</f>
        <v>0</v>
      </c>
      <c r="AB18" s="375">
        <f t="shared" si="2"/>
        <v>48.33</v>
      </c>
      <c r="AC18" s="537"/>
      <c r="AD18" s="36" cm="1">
        <f t="array" ref="AD18">IFERROR(INDEX('Offer Statistics'!$AI$2:$AI$400,MATCH(1,($A18='Offer Statistics'!$T$2:$T$400)*($AC$2='Offer Statistics'!$AC$2:$AC$400),0)),"/")</f>
        <v>15</v>
      </c>
      <c r="AE18" s="63" cm="1">
        <f t="array" ref="AE18">IFERROR(INDEX('Offer Statistics'!AD$2:AD$400,MATCH(1,($A18='Offer Statistics'!$T$2:$T$400)*($AC$2='Offer Statistics'!$AC$2:$AC$400),0)),"/")</f>
        <v>3</v>
      </c>
      <c r="AF18" s="63" cm="1">
        <f t="array" ref="AF18">IFERROR(INDEX('Offer Statistics'!AE$2:AE$400,MATCH(1,($A18='Offer Statistics'!$T$2:$T$400)*($AC$2='Offer Statistics'!$AC$2:$AC$400),0)),"/")</f>
        <v>8</v>
      </c>
      <c r="AG18" s="63" cm="1">
        <f t="array" ref="AG18">IFERROR(INDEX('Offer Statistics'!AF$2:AF$400,MATCH(1,($A18='Offer Statistics'!$T$2:$T$400)*($AC$2='Offer Statistics'!$AC$2:$AC$400),0)),"/")</f>
        <v>3</v>
      </c>
      <c r="AH18" s="63" cm="1">
        <f t="array" ref="AH18">IFERROR(INDEX('Offer Statistics'!AG$2:AG$400,MATCH(1,($A18='Offer Statistics'!$T$2:$T$400)*($AC$2='Offer Statistics'!$AC$2:$AC$400),0)),"/")</f>
        <v>0</v>
      </c>
      <c r="AI18" s="63" cm="1">
        <f t="array" ref="AI18">IFERROR(INDEX('Offer Statistics'!AH$2:AH$400,MATCH(1,($A18='Offer Statistics'!$T$2:$T$400)*($AC$2='Offer Statistics'!$AC$2:$AC$400),0)),"/")</f>
        <v>1</v>
      </c>
      <c r="AJ18" s="538"/>
      <c r="AK18" s="36" cm="1">
        <f t="array" ref="AK18">IFERROR(INDEX('Offer Statistics'!$AA$2:$AA$400,MATCH(1,($A18='Offer Statistics'!$T$2:$T$400)*($AC$2='Offer Statistics'!$U$2:$U$400),0)),"/")</f>
        <v>2197</v>
      </c>
      <c r="AL18" s="63" cm="1">
        <f t="array" ref="AL18">IFERROR(INDEX('Offer Statistics'!V$2:V$400,MATCH(1,($A18='Offer Statistics'!$T$2:$T$400)*($AC$2='Offer Statistics'!$U$2:$U$400),0)),"/")</f>
        <v>145</v>
      </c>
      <c r="AM18" s="63" cm="1">
        <f t="array" ref="AM18">IFERROR(INDEX('Offer Statistics'!W$2:W$400,MATCH(1,($A18='Offer Statistics'!$T$2:$T$400)*($AC$2='Offer Statistics'!$U$2:$U$400),0)),"/")</f>
        <v>337</v>
      </c>
      <c r="AN18" s="63" cm="1">
        <f t="array" ref="AN18">IFERROR(INDEX('Offer Statistics'!X$2:X$400,MATCH(1,($A18='Offer Statistics'!$T$2:$T$400)*($AC$2='Offer Statistics'!$U$2:$U$400),0)),"/")</f>
        <v>452</v>
      </c>
      <c r="AO18" s="63" cm="1">
        <f t="array" ref="AO18">IFERROR(INDEX('Offer Statistics'!Y$2:Y$400,MATCH(1,($A18='Offer Statistics'!$T$2:$T$400)*($AC$2='Offer Statistics'!$U$2:$U$400),0)),"/")</f>
        <v>705</v>
      </c>
      <c r="AP18" s="63" cm="1">
        <f t="array" ref="AP18">IFERROR(INDEX('Offer Statistics'!Z$2:Z$400,MATCH(1,($A18='Offer Statistics'!$T$2:$T$400)*($AC$2='Offer Statistics'!$U$2:$U$400),0)),"/")</f>
        <v>558</v>
      </c>
      <c r="AQ18" s="4"/>
      <c r="AR18" s="15" t="str">
        <f t="shared" si="4"/>
        <v>JS2910</v>
      </c>
    </row>
    <row r="19" spans="1:45" s="43" customFormat="1" ht="18" customHeight="1">
      <c r="A19" s="4" t="str">
        <f>'Reference Score Calculation'!B91</f>
        <v>JS2920</v>
      </c>
      <c r="B19" s="4" t="str">
        <f>'Reference Score Calculation'!D91</f>
        <v>跨學院課程</v>
      </c>
      <c r="C19" s="4" t="str">
        <f>'Reference Score Calculation'!E91</f>
        <v>藝術及科技文理學士(榮譽)</v>
      </c>
      <c r="D19" s="4" t="str">
        <f>'Reference Score Calculation'!S91</f>
        <v>BASc(ARTT)</v>
      </c>
      <c r="E19" s="352" t="str">
        <f>'Reference Score Calculation'!AC91</f>
        <v>Best 5</v>
      </c>
      <c r="F19" s="450" t="str">
        <f>'Reference Score Calculation'!F91</f>
        <v>Best 5</v>
      </c>
      <c r="G19" s="6">
        <f>'Reference Score Calculation'!I91</f>
        <v>19.800000000205998</v>
      </c>
      <c r="H19" s="6">
        <f>'Reference Score Calculation'!J91</f>
        <v>19.800000000236</v>
      </c>
      <c r="I19" s="449">
        <f>'Reference Score Calculation'!G91</f>
        <v>18.29</v>
      </c>
      <c r="J19" s="45">
        <f>計分版!J114</f>
        <v>3.4999999999999999E-9</v>
      </c>
      <c r="K19" s="25">
        <f t="shared" si="0"/>
        <v>-18.289999996500001</v>
      </c>
      <c r="L19" s="26">
        <f t="shared" si="1"/>
        <v>-5225714284.7142859</v>
      </c>
      <c r="M19" s="36">
        <f>'Reference Score Calculation'!U91</f>
        <v>40</v>
      </c>
      <c r="N19" s="84">
        <f>入學要求!Z100</f>
        <v>0</v>
      </c>
      <c r="O19" s="542"/>
      <c r="P19" s="242">
        <f>入學要求!L100</f>
        <v>3</v>
      </c>
      <c r="Q19" s="242">
        <f>入學要求!M100</f>
        <v>3</v>
      </c>
      <c r="R19" s="242">
        <f>入學要求!N100</f>
        <v>2</v>
      </c>
      <c r="S19" s="242">
        <f>入學要求!O100</f>
        <v>1</v>
      </c>
      <c r="T19" s="242">
        <f>入學要求!P100</f>
        <v>3</v>
      </c>
      <c r="U19" s="242">
        <f>入學要求!Q100</f>
        <v>3</v>
      </c>
      <c r="V19" s="236">
        <f>入學要求!S100</f>
        <v>0</v>
      </c>
      <c r="W19" s="236">
        <f>入學要求!T100</f>
        <v>0</v>
      </c>
      <c r="X19" s="236">
        <f>入學要求!U100</f>
        <v>0</v>
      </c>
      <c r="Y19" s="236">
        <f>入學要求!V100</f>
        <v>0</v>
      </c>
      <c r="Z19" s="236">
        <f>入學要求!W100</f>
        <v>0</v>
      </c>
      <c r="AA19" s="236">
        <f>入學要求!X100</f>
        <v>0</v>
      </c>
      <c r="AB19" s="375">
        <f t="shared" si="2"/>
        <v>9.06</v>
      </c>
      <c r="AC19" s="537"/>
      <c r="AD19" s="36" cm="1">
        <f t="array" ref="AD19">IFERROR(INDEX('Offer Statistics'!$AI$2:$AI$400,MATCH(1,($A19='Offer Statistics'!$T$2:$T$400)*($AC$2='Offer Statistics'!$AC$2:$AC$400),0)),"/")</f>
        <v>35</v>
      </c>
      <c r="AE19" s="63" cm="1">
        <f t="array" ref="AE19">IFERROR(INDEX('Offer Statistics'!AD$2:AD$400,MATCH(1,($A19='Offer Statistics'!$T$2:$T$400)*($AC$2='Offer Statistics'!$AC$2:$AC$400),0)),"/")</f>
        <v>35</v>
      </c>
      <c r="AF19" s="63" cm="1">
        <f t="array" ref="AF19">IFERROR(INDEX('Offer Statistics'!AE$2:AE$400,MATCH(1,($A19='Offer Statistics'!$T$2:$T$400)*($AC$2='Offer Statistics'!$AC$2:$AC$400),0)),"/")</f>
        <v>0</v>
      </c>
      <c r="AG19" s="63" cm="1">
        <f t="array" ref="AG19">IFERROR(INDEX('Offer Statistics'!AF$2:AF$400,MATCH(1,($A19='Offer Statistics'!$T$2:$T$400)*($AC$2='Offer Statistics'!$AC$2:$AC$400),0)),"/")</f>
        <v>0</v>
      </c>
      <c r="AH19" s="63" cm="1">
        <f t="array" ref="AH19">IFERROR(INDEX('Offer Statistics'!AG$2:AG$400,MATCH(1,($A19='Offer Statistics'!$T$2:$T$400)*($AC$2='Offer Statistics'!$AC$2:$AC$400),0)),"/")</f>
        <v>0</v>
      </c>
      <c r="AI19" s="63" cm="1">
        <f t="array" ref="AI19">IFERROR(INDEX('Offer Statistics'!AH$2:AH$400,MATCH(1,($A19='Offer Statistics'!$T$2:$T$400)*($AC$2='Offer Statistics'!$AC$2:$AC$400),0)),"/")</f>
        <v>0</v>
      </c>
      <c r="AJ19" s="538"/>
      <c r="AK19" s="36" cm="1">
        <f t="array" ref="AK19">IFERROR(INDEX('Offer Statistics'!$AA$2:$AA$400,MATCH(1,($A19='Offer Statistics'!$T$2:$T$400)*($AC$2='Offer Statistics'!$U$2:$U$400),0)),"/")</f>
        <v>1883</v>
      </c>
      <c r="AL19" s="63" cm="1">
        <f t="array" ref="AL19">IFERROR(INDEX('Offer Statistics'!V$2:V$400,MATCH(1,($A19='Offer Statistics'!$T$2:$T$400)*($AC$2='Offer Statistics'!$U$2:$U$400),0)),"/")</f>
        <v>317</v>
      </c>
      <c r="AM19" s="63" cm="1">
        <f t="array" ref="AM19">IFERROR(INDEX('Offer Statistics'!W$2:W$400,MATCH(1,($A19='Offer Statistics'!$T$2:$T$400)*($AC$2='Offer Statistics'!$U$2:$U$400),0)),"/")</f>
        <v>325</v>
      </c>
      <c r="AN19" s="63" cm="1">
        <f t="array" ref="AN19">IFERROR(INDEX('Offer Statistics'!X$2:X$400,MATCH(1,($A19='Offer Statistics'!$T$2:$T$400)*($AC$2='Offer Statistics'!$U$2:$U$400),0)),"/")</f>
        <v>396</v>
      </c>
      <c r="AO19" s="63" cm="1">
        <f t="array" ref="AO19">IFERROR(INDEX('Offer Statistics'!Y$2:Y$400,MATCH(1,($A19='Offer Statistics'!$T$2:$T$400)*($AC$2='Offer Statistics'!$U$2:$U$400),0)),"/")</f>
        <v>482</v>
      </c>
      <c r="AP19" s="63" cm="1">
        <f t="array" ref="AP19">IFERROR(INDEX('Offer Statistics'!Z$2:Z$400,MATCH(1,($A19='Offer Statistics'!$T$2:$T$400)*($AC$2='Offer Statistics'!$U$2:$U$400),0)),"/")</f>
        <v>363</v>
      </c>
      <c r="AQ19" s="4"/>
      <c r="AR19" s="15" t="str">
        <f t="shared" si="4"/>
        <v>JS2920</v>
      </c>
    </row>
    <row r="20" spans="1:45" s="43" customFormat="1" ht="18" customHeight="1">
      <c r="A20" s="4" t="str">
        <f>'Reference Score Calculation'!B92</f>
        <v>JS2930</v>
      </c>
      <c r="B20" s="4" t="str">
        <f>'Reference Score Calculation'!D92</f>
        <v>跨學院課程</v>
      </c>
      <c r="C20" s="4" t="str">
        <f>'Reference Score Calculation'!E92</f>
        <v>工商管理文學士(榮譽)(全球娛樂)</v>
      </c>
      <c r="D20" s="4" t="str">
        <f>'Reference Score Calculation'!S92</f>
        <v>BA(BUSADMIN-GE)</v>
      </c>
      <c r="E20" s="352" t="str">
        <f>'Reference Score Calculation'!AC92</f>
        <v>Best 5</v>
      </c>
      <c r="F20" s="449" t="str">
        <f>'Reference Score Calculation'!F92</f>
        <v>Best 5</v>
      </c>
      <c r="G20" s="6">
        <f>'Reference Score Calculation'!I92</f>
        <v>19.000000000200004</v>
      </c>
      <c r="H20" s="6">
        <f>'Reference Score Calculation'!J92</f>
        <v>18.00000000024</v>
      </c>
      <c r="I20" s="449">
        <f>'Reference Score Calculation'!G92</f>
        <v>18.829999999999998</v>
      </c>
      <c r="J20" s="45">
        <f>計分版!J115</f>
        <v>3.4999999999999999E-9</v>
      </c>
      <c r="K20" s="25">
        <f t="shared" si="0"/>
        <v>-18.8299999965</v>
      </c>
      <c r="L20" s="26">
        <f t="shared" si="1"/>
        <v>-5379999999</v>
      </c>
      <c r="M20" s="36">
        <f>'Reference Score Calculation'!U92</f>
        <v>25</v>
      </c>
      <c r="N20" s="84">
        <f>入學要求!Z101</f>
        <v>0</v>
      </c>
      <c r="O20" s="542"/>
      <c r="P20" s="242">
        <f>入學要求!L101</f>
        <v>3</v>
      </c>
      <c r="Q20" s="242">
        <f>入學要求!M101</f>
        <v>3</v>
      </c>
      <c r="R20" s="242">
        <f>入學要求!N101</f>
        <v>2</v>
      </c>
      <c r="S20" s="242">
        <f>入學要求!O101</f>
        <v>1</v>
      </c>
      <c r="T20" s="242">
        <f>入學要求!P101</f>
        <v>3</v>
      </c>
      <c r="U20" s="242">
        <f>入學要求!Q101</f>
        <v>3</v>
      </c>
      <c r="V20" s="236">
        <f>入學要求!S101</f>
        <v>0</v>
      </c>
      <c r="W20" s="236">
        <f>入學要求!T101</f>
        <v>0</v>
      </c>
      <c r="X20" s="236">
        <f>入學要求!U101</f>
        <v>0</v>
      </c>
      <c r="Y20" s="236">
        <f>入學要求!V101</f>
        <v>0</v>
      </c>
      <c r="Z20" s="236">
        <f>入學要求!W101</f>
        <v>0</v>
      </c>
      <c r="AA20" s="236">
        <f>入學要求!X101</f>
        <v>0</v>
      </c>
      <c r="AB20" s="375">
        <f t="shared" si="2"/>
        <v>27.58</v>
      </c>
      <c r="AC20" s="537"/>
      <c r="AD20" s="36" cm="1">
        <f t="array" ref="AD20">IFERROR(INDEX('Offer Statistics'!$AI$2:$AI$400,MATCH(1,($A20='Offer Statistics'!$T$2:$T$400)*($AC$2='Offer Statistics'!$AC$2:$AC$400),0)),"/")</f>
        <v>12</v>
      </c>
      <c r="AE20" s="63" cm="1">
        <f t="array" ref="AE20">IFERROR(INDEX('Offer Statistics'!AD$2:AD$400,MATCH(1,($A20='Offer Statistics'!$T$2:$T$400)*($AC$2='Offer Statistics'!$AC$2:$AC$400),0)),"/")</f>
        <v>12</v>
      </c>
      <c r="AF20" s="63" cm="1">
        <f t="array" ref="AF20">IFERROR(INDEX('Offer Statistics'!AE$2:AE$400,MATCH(1,($A20='Offer Statistics'!$T$2:$T$400)*($AC$2='Offer Statistics'!$AC$2:$AC$400),0)),"/")</f>
        <v>0</v>
      </c>
      <c r="AG20" s="63" cm="1">
        <f t="array" ref="AG20">IFERROR(INDEX('Offer Statistics'!AF$2:AF$400,MATCH(1,($A20='Offer Statistics'!$T$2:$T$400)*($AC$2='Offer Statistics'!$AC$2:$AC$400),0)),"/")</f>
        <v>0</v>
      </c>
      <c r="AH20" s="63" cm="1">
        <f t="array" ref="AH20">IFERROR(INDEX('Offer Statistics'!AG$2:AG$400,MATCH(1,($A20='Offer Statistics'!$T$2:$T$400)*($AC$2='Offer Statistics'!$AC$2:$AC$400),0)),"/")</f>
        <v>0</v>
      </c>
      <c r="AI20" s="63" cm="1">
        <f t="array" ref="AI20">IFERROR(INDEX('Offer Statistics'!AH$2:AH$400,MATCH(1,($A20='Offer Statistics'!$T$2:$T$400)*($AC$2='Offer Statistics'!$AC$2:$AC$400),0)),"/")</f>
        <v>0</v>
      </c>
      <c r="AJ20" s="538"/>
      <c r="AK20" s="36" cm="1">
        <f t="array" ref="AK20">IFERROR(INDEX('Offer Statistics'!$AA$2:$AA$400,MATCH(1,($A20='Offer Statistics'!$T$2:$T$400)*($AC$2='Offer Statistics'!$U$2:$U$400),0)),"/")</f>
        <v>2391</v>
      </c>
      <c r="AL20" s="63" cm="1">
        <f t="array" ref="AL20">IFERROR(INDEX('Offer Statistics'!V$2:V$400,MATCH(1,($A20='Offer Statistics'!$T$2:$T$400)*($AC$2='Offer Statistics'!$U$2:$U$400),0)),"/")</f>
        <v>331</v>
      </c>
      <c r="AM20" s="63" cm="1">
        <f t="array" ref="AM20">IFERROR(INDEX('Offer Statistics'!W$2:W$400,MATCH(1,($A20='Offer Statistics'!$T$2:$T$400)*($AC$2='Offer Statistics'!$U$2:$U$400),0)),"/")</f>
        <v>360</v>
      </c>
      <c r="AN20" s="63" cm="1">
        <f t="array" ref="AN20">IFERROR(INDEX('Offer Statistics'!X$2:X$400,MATCH(1,($A20='Offer Statistics'!$T$2:$T$400)*($AC$2='Offer Statistics'!$U$2:$U$400),0)),"/")</f>
        <v>498</v>
      </c>
      <c r="AO20" s="63" cm="1">
        <f t="array" ref="AO20">IFERROR(INDEX('Offer Statistics'!Y$2:Y$400,MATCH(1,($A20='Offer Statistics'!$T$2:$T$400)*($AC$2='Offer Statistics'!$U$2:$U$400),0)),"/")</f>
        <v>643</v>
      </c>
      <c r="AP20" s="63" cm="1">
        <f t="array" ref="AP20">IFERROR(INDEX('Offer Statistics'!Z$2:Z$400,MATCH(1,($A20='Offer Statistics'!$T$2:$T$400)*($AC$2='Offer Statistics'!$U$2:$U$400),0)),"/")</f>
        <v>559</v>
      </c>
      <c r="AQ20" s="4"/>
      <c r="AR20" s="15" t="str">
        <f t="shared" si="4"/>
        <v>JS2930</v>
      </c>
    </row>
    <row r="21" spans="1:45" s="43" customFormat="1" ht="18" customHeight="1">
      <c r="A21" s="4" t="str">
        <f>'Reference Score Calculation'!B93</f>
        <v>JS2940</v>
      </c>
      <c r="B21" s="4" t="str">
        <f>'Reference Score Calculation'!D93</f>
        <v>跨學院課程</v>
      </c>
      <c r="C21" s="4" t="str">
        <f>'Reference Score Calculation'!E93</f>
        <v>創新醫療及社會健康社會科學學士(榮譽) / 理學士(榮譽)</v>
      </c>
      <c r="D21" s="4" t="str">
        <f>'Reference Score Calculation'!S93</f>
        <v>BSocSc/BSc(HSWB)</v>
      </c>
      <c r="E21" s="352" t="str">
        <f>'Reference Score Calculation'!AC93</f>
        <v>Best 5</v>
      </c>
      <c r="F21" s="451" t="str">
        <f>'Reference Score Calculation'!F93</f>
        <v>Best 5</v>
      </c>
      <c r="G21" s="6">
        <f>'Reference Score Calculation'!I93</f>
        <v>19.000000000200004</v>
      </c>
      <c r="H21" s="6">
        <f>'Reference Score Calculation'!J93</f>
        <v>19.000000000200004</v>
      </c>
      <c r="I21" s="449">
        <f>'Reference Score Calculation'!G93</f>
        <v>19.329999999999998</v>
      </c>
      <c r="J21" s="45">
        <f>計分版!J116</f>
        <v>3.4999999999999999E-9</v>
      </c>
      <c r="K21" s="25">
        <f t="shared" si="0"/>
        <v>-19.3299999965</v>
      </c>
      <c r="L21" s="26">
        <f t="shared" si="1"/>
        <v>-5522857141.8571434</v>
      </c>
      <c r="M21" s="36">
        <f>'Reference Score Calculation'!U93</f>
        <v>35</v>
      </c>
      <c r="N21" s="84">
        <f>入學要求!Z102</f>
        <v>0</v>
      </c>
      <c r="O21" s="542"/>
      <c r="P21" s="242">
        <f>入學要求!L102</f>
        <v>3</v>
      </c>
      <c r="Q21" s="242">
        <f>入學要求!M102</f>
        <v>3</v>
      </c>
      <c r="R21" s="242">
        <f>入學要求!N102</f>
        <v>2</v>
      </c>
      <c r="S21" s="242">
        <f>入學要求!O102</f>
        <v>1</v>
      </c>
      <c r="T21" s="242">
        <f>入學要求!P102</f>
        <v>3</v>
      </c>
      <c r="U21" s="242">
        <f>入學要求!Q102</f>
        <v>3</v>
      </c>
      <c r="V21" s="236">
        <f>入學要求!S102</f>
        <v>0</v>
      </c>
      <c r="W21" s="236">
        <f>入學要求!T102</f>
        <v>0</v>
      </c>
      <c r="X21" s="236">
        <f>入學要求!U102</f>
        <v>0</v>
      </c>
      <c r="Y21" s="236">
        <f>入學要求!V102</f>
        <v>0</v>
      </c>
      <c r="Z21" s="236">
        <f>入學要求!W102</f>
        <v>0</v>
      </c>
      <c r="AA21" s="236">
        <f>入學要求!X102</f>
        <v>0</v>
      </c>
      <c r="AB21" s="375">
        <f t="shared" si="2"/>
        <v>11.07</v>
      </c>
      <c r="AC21" s="537"/>
      <c r="AD21" s="36" cm="1">
        <f t="array" ref="AD21">IFERROR(INDEX('Offer Statistics'!$AI$2:$AI$400,MATCH(1,($A21='Offer Statistics'!$T$2:$T$400)*($AC$2='Offer Statistics'!$AC$2:$AC$400),0)),"/")</f>
        <v>42</v>
      </c>
      <c r="AE21" s="63" cm="1">
        <f t="array" ref="AE21">IFERROR(INDEX('Offer Statistics'!AD$2:AD$400,MATCH(1,($A21='Offer Statistics'!$T$2:$T$400)*($AC$2='Offer Statistics'!$AC$2:$AC$400),0)),"/")</f>
        <v>30</v>
      </c>
      <c r="AF21" s="63" cm="1">
        <f t="array" ref="AF21">IFERROR(INDEX('Offer Statistics'!AE$2:AE$400,MATCH(1,($A21='Offer Statistics'!$T$2:$T$400)*($AC$2='Offer Statistics'!$AC$2:$AC$400),0)),"/")</f>
        <v>12</v>
      </c>
      <c r="AG21" s="63" cm="1">
        <f t="array" ref="AG21">IFERROR(INDEX('Offer Statistics'!AF$2:AF$400,MATCH(1,($A21='Offer Statistics'!$T$2:$T$400)*($AC$2='Offer Statistics'!$AC$2:$AC$400),0)),"/")</f>
        <v>0</v>
      </c>
      <c r="AH21" s="63" cm="1">
        <f t="array" ref="AH21">IFERROR(INDEX('Offer Statistics'!AG$2:AG$400,MATCH(1,($A21='Offer Statistics'!$T$2:$T$400)*($AC$2='Offer Statistics'!$AC$2:$AC$400),0)),"/")</f>
        <v>0</v>
      </c>
      <c r="AI21" s="63" cm="1">
        <f t="array" ref="AI21">IFERROR(INDEX('Offer Statistics'!AH$2:AH$400,MATCH(1,($A21='Offer Statistics'!$T$2:$T$400)*($AC$2='Offer Statistics'!$AC$2:$AC$400),0)),"/")</f>
        <v>0</v>
      </c>
      <c r="AJ21" s="538"/>
      <c r="AK21" s="36" cm="1">
        <f t="array" ref="AK21">IFERROR(INDEX('Offer Statistics'!$AA$2:$AA$400,MATCH(1,($A21='Offer Statistics'!$T$2:$T$400)*($AC$2='Offer Statistics'!$U$2:$U$400),0)),"/")</f>
        <v>3116</v>
      </c>
      <c r="AL21" s="63" cm="1">
        <f t="array" ref="AL21">IFERROR(INDEX('Offer Statistics'!V$2:V$400,MATCH(1,($A21='Offer Statistics'!$T$2:$T$400)*($AC$2='Offer Statistics'!$U$2:$U$400),0)),"/")</f>
        <v>332</v>
      </c>
      <c r="AM21" s="63" cm="1">
        <f t="array" ref="AM21">IFERROR(INDEX('Offer Statistics'!W$2:W$400,MATCH(1,($A21='Offer Statistics'!$T$2:$T$400)*($AC$2='Offer Statistics'!$U$2:$U$400),0)),"/")</f>
        <v>430</v>
      </c>
      <c r="AN21" s="63" cm="1">
        <f t="array" ref="AN21">IFERROR(INDEX('Offer Statistics'!X$2:X$400,MATCH(1,($A21='Offer Statistics'!$T$2:$T$400)*($AC$2='Offer Statistics'!$U$2:$U$400),0)),"/")</f>
        <v>684</v>
      </c>
      <c r="AO21" s="63" cm="1">
        <f t="array" ref="AO21">IFERROR(INDEX('Offer Statistics'!Y$2:Y$400,MATCH(1,($A21='Offer Statistics'!$T$2:$T$400)*($AC$2='Offer Statistics'!$U$2:$U$400),0)),"/")</f>
        <v>880</v>
      </c>
      <c r="AP21" s="63" cm="1">
        <f t="array" ref="AP21">IFERROR(INDEX('Offer Statistics'!Z$2:Z$400,MATCH(1,($A21='Offer Statistics'!$T$2:$T$400)*($AC$2='Offer Statistics'!$U$2:$U$400),0)),"/")</f>
        <v>790</v>
      </c>
      <c r="AQ21" s="4"/>
      <c r="AR21" s="15" t="str">
        <f t="shared" si="4"/>
        <v>JS2940</v>
      </c>
    </row>
    <row r="22" spans="1:45" s="43" customFormat="1" ht="18" customHeight="1">
      <c r="A22" s="4" t="str">
        <f>'Reference Score Calculation'!B94</f>
        <v>JS2950</v>
      </c>
      <c r="B22" s="4" t="str">
        <f>'Reference Score Calculation'!D94</f>
        <v>跨學院課程</v>
      </c>
      <c r="C22" s="4" t="str">
        <f>'Reference Score Calculation'!E94</f>
        <v>文理及科技學士(榮譽)自訂主修</v>
      </c>
      <c r="D22" s="4" t="str">
        <f>'Reference Score Calculation'!S94</f>
        <v>BAScT</v>
      </c>
      <c r="E22" s="352" t="str">
        <f>'Reference Score Calculation'!AC94</f>
        <v>Best 5</v>
      </c>
      <c r="F22" s="449" t="str">
        <f>'Reference Score Calculation'!F94</f>
        <v>Best 5</v>
      </c>
      <c r="G22" s="6">
        <f>'Reference Score Calculation'!I94</f>
        <v>19.000000000200004</v>
      </c>
      <c r="H22" s="6">
        <f>'Reference Score Calculation'!J94</f>
        <v>18.000000000250001</v>
      </c>
      <c r="I22" s="449">
        <f>'Reference Score Calculation'!G94</f>
        <v>18.07</v>
      </c>
      <c r="J22" s="45">
        <f>計分版!J117</f>
        <v>3.4999999999999999E-9</v>
      </c>
      <c r="K22" s="25">
        <f t="shared" si="0"/>
        <v>-18.069999996500002</v>
      </c>
      <c r="L22" s="26">
        <f t="shared" si="1"/>
        <v>-5162857141.8571434</v>
      </c>
      <c r="M22" s="36">
        <f>'Reference Score Calculation'!U94</f>
        <v>15</v>
      </c>
      <c r="N22" s="84">
        <f>入學要求!Z103</f>
        <v>0</v>
      </c>
      <c r="O22" s="542"/>
      <c r="P22" s="242">
        <f>入學要求!L103</f>
        <v>3</v>
      </c>
      <c r="Q22" s="242">
        <f>入學要求!M103</f>
        <v>3</v>
      </c>
      <c r="R22" s="242">
        <f>入學要求!N103</f>
        <v>2</v>
      </c>
      <c r="S22" s="242">
        <f>入學要求!O103</f>
        <v>1</v>
      </c>
      <c r="T22" s="242">
        <f>入學要求!P103</f>
        <v>3</v>
      </c>
      <c r="U22" s="242">
        <f>入學要求!Q103</f>
        <v>3</v>
      </c>
      <c r="V22" s="236">
        <f>入學要求!S103</f>
        <v>0</v>
      </c>
      <c r="W22" s="236">
        <f>入學要求!T103</f>
        <v>0</v>
      </c>
      <c r="X22" s="236">
        <f>入學要求!U103</f>
        <v>0</v>
      </c>
      <c r="Y22" s="236">
        <f>入學要求!V103</f>
        <v>0</v>
      </c>
      <c r="Z22" s="236">
        <f>入學要求!W103</f>
        <v>0</v>
      </c>
      <c r="AA22" s="236">
        <f>入學要求!X103</f>
        <v>0</v>
      </c>
      <c r="AB22" s="375">
        <f t="shared" si="2"/>
        <v>5.36</v>
      </c>
      <c r="AC22" s="537"/>
      <c r="AD22" s="36" cm="1">
        <f t="array" ref="AD22">IFERROR(INDEX('Offer Statistics'!$AI$2:$AI$400,MATCH(1,($A22='Offer Statistics'!$T$2:$T$400)*($AC$2='Offer Statistics'!$AC$2:$AC$400),0)),"/")</f>
        <v>15</v>
      </c>
      <c r="AE22" s="63" cm="1">
        <f t="array" ref="AE22">IFERROR(INDEX('Offer Statistics'!AD$2:AD$400,MATCH(1,($A22='Offer Statistics'!$T$2:$T$400)*($AC$2='Offer Statistics'!$AC$2:$AC$400),0)),"/")</f>
        <v>11</v>
      </c>
      <c r="AF22" s="63" cm="1">
        <f t="array" ref="AF22">IFERROR(INDEX('Offer Statistics'!AE$2:AE$400,MATCH(1,($A22='Offer Statistics'!$T$2:$T$400)*($AC$2='Offer Statistics'!$AC$2:$AC$400),0)),"/")</f>
        <v>4</v>
      </c>
      <c r="AG22" s="63" cm="1">
        <f t="array" ref="AG22">IFERROR(INDEX('Offer Statistics'!AF$2:AF$400,MATCH(1,($A22='Offer Statistics'!$T$2:$T$400)*($AC$2='Offer Statistics'!$AC$2:$AC$400),0)),"/")</f>
        <v>0</v>
      </c>
      <c r="AH22" s="63" cm="1">
        <f t="array" ref="AH22">IFERROR(INDEX('Offer Statistics'!AG$2:AG$400,MATCH(1,($A22='Offer Statistics'!$T$2:$T$400)*($AC$2='Offer Statistics'!$AC$2:$AC$400),0)),"/")</f>
        <v>0</v>
      </c>
      <c r="AI22" s="63" cm="1">
        <f t="array" ref="AI22">IFERROR(INDEX('Offer Statistics'!AH$2:AH$400,MATCH(1,($A22='Offer Statistics'!$T$2:$T$400)*($AC$2='Offer Statistics'!$AC$2:$AC$400),0)),"/")</f>
        <v>0</v>
      </c>
      <c r="AJ22" s="538"/>
      <c r="AK22" s="36" cm="1">
        <f t="array" ref="AK22">IFERROR(INDEX('Offer Statistics'!$AA$2:$AA$400,MATCH(1,($A22='Offer Statistics'!$T$2:$T$400)*($AC$2='Offer Statistics'!$U$2:$U$400),0)),"/")</f>
        <v>760</v>
      </c>
      <c r="AL22" s="63" cm="1">
        <f t="array" ref="AL22">IFERROR(INDEX('Offer Statistics'!V$2:V$400,MATCH(1,($A22='Offer Statistics'!$T$2:$T$400)*($AC$2='Offer Statistics'!$U$2:$U$400),0)),"/")</f>
        <v>59</v>
      </c>
      <c r="AM22" s="63" cm="1">
        <f t="array" ref="AM22">IFERROR(INDEX('Offer Statistics'!W$2:W$400,MATCH(1,($A22='Offer Statistics'!$T$2:$T$400)*($AC$2='Offer Statistics'!$U$2:$U$400),0)),"/")</f>
        <v>84</v>
      </c>
      <c r="AN22" s="63" cm="1">
        <f t="array" ref="AN22">IFERROR(INDEX('Offer Statistics'!X$2:X$400,MATCH(1,($A22='Offer Statistics'!$T$2:$T$400)*($AC$2='Offer Statistics'!$U$2:$U$400),0)),"/")</f>
        <v>147</v>
      </c>
      <c r="AO22" s="63" cm="1">
        <f t="array" ref="AO22">IFERROR(INDEX('Offer Statistics'!Y$2:Y$400,MATCH(1,($A22='Offer Statistics'!$T$2:$T$400)*($AC$2='Offer Statistics'!$U$2:$U$400),0)),"/")</f>
        <v>222</v>
      </c>
      <c r="AP22" s="63" cm="1">
        <f t="array" ref="AP22">IFERROR(INDEX('Offer Statistics'!Z$2:Z$400,MATCH(1,($A22='Offer Statistics'!$T$2:$T$400)*($AC$2='Offer Statistics'!$U$2:$U$400),0)),"/")</f>
        <v>248</v>
      </c>
      <c r="AQ22" s="4"/>
      <c r="AR22" s="15" t="str">
        <f t="shared" si="4"/>
        <v>JS2950</v>
      </c>
    </row>
    <row r="23" spans="1:45" s="43" customFormat="1" ht="18" customHeight="1">
      <c r="A23" s="4" t="str">
        <f>'Reference Score Calculation'!B95</f>
        <v>JS2960</v>
      </c>
      <c r="B23" s="4" t="str">
        <f>'Reference Score Calculation'!D95</f>
        <v>跨學院課程</v>
      </c>
      <c r="C23" s="4" t="str">
        <f>'Reference Score Calculation'!E95</f>
        <v>數位未來與人文學科文理學士(榮譽)</v>
      </c>
      <c r="D23" s="4" t="str">
        <f>'Reference Score Calculation'!S95</f>
        <v>BASc(DIFH)</v>
      </c>
      <c r="E23" s="352" t="str">
        <f>'Reference Score Calculation'!AC95</f>
        <v>Best 5</v>
      </c>
      <c r="F23" s="449" t="str">
        <f>'Reference Score Calculation'!F95</f>
        <v>25年新科目</v>
      </c>
      <c r="G23" s="6" t="str">
        <f>'Reference Score Calculation'!I95</f>
        <v>/</v>
      </c>
      <c r="H23" s="6" t="str">
        <f>'Reference Score Calculation'!J95</f>
        <v>/</v>
      </c>
      <c r="I23" s="449" t="str">
        <f>'Reference Score Calculation'!G95</f>
        <v>/</v>
      </c>
      <c r="J23" s="45">
        <f>計分版!J118</f>
        <v>3.4999999999999999E-9</v>
      </c>
      <c r="K23" s="7" t="str">
        <f t="shared" si="0"/>
        <v>/</v>
      </c>
      <c r="L23" s="8" t="str">
        <f t="shared" si="1"/>
        <v>/</v>
      </c>
      <c r="M23" s="36">
        <f>'Reference Score Calculation'!U95</f>
        <v>40</v>
      </c>
      <c r="N23" s="84">
        <f>入學要求!Z104</f>
        <v>0</v>
      </c>
      <c r="O23" s="542"/>
      <c r="P23" s="242">
        <f>入學要求!L104</f>
        <v>3</v>
      </c>
      <c r="Q23" s="242">
        <f>入學要求!M104</f>
        <v>3</v>
      </c>
      <c r="R23" s="242">
        <f>入學要求!N104</f>
        <v>2</v>
      </c>
      <c r="S23" s="242">
        <f>入學要求!O104</f>
        <v>1</v>
      </c>
      <c r="T23" s="242">
        <f>入學要求!P104</f>
        <v>3</v>
      </c>
      <c r="U23" s="242">
        <f>入學要求!Q104</f>
        <v>3</v>
      </c>
      <c r="V23" s="236">
        <f>入學要求!S104</f>
        <v>0</v>
      </c>
      <c r="W23" s="236">
        <f>入學要求!T104</f>
        <v>0</v>
      </c>
      <c r="X23" s="236">
        <f>入學要求!U104</f>
        <v>0</v>
      </c>
      <c r="Y23" s="236">
        <f>入學要求!V104</f>
        <v>0</v>
      </c>
      <c r="Z23" s="236">
        <f>入學要求!W104</f>
        <v>0</v>
      </c>
      <c r="AA23" s="236">
        <f>入學要求!X104</f>
        <v>0</v>
      </c>
      <c r="AB23" s="375" t="str">
        <f>IFERROR(ROUND(AL23/AE23,2),"/")</f>
        <v>/</v>
      </c>
      <c r="AC23" s="537"/>
      <c r="AD23" s="36" t="str" cm="1">
        <f t="array" ref="AD23">IFERROR(INDEX('Offer Statistics'!$AI$2:$AI$400,MATCH(1,($A23='Offer Statistics'!$T$2:$T$400)*($AC$2='Offer Statistics'!$AC$2:$AC$400),0)),"/")</f>
        <v>/</v>
      </c>
      <c r="AE23" s="63" t="str" cm="1">
        <f t="array" ref="AE23">IFERROR(INDEX('Offer Statistics'!AD$2:AD$400,MATCH(1,($A23='Offer Statistics'!$T$2:$T$400)*($AC$2='Offer Statistics'!$AC$2:$AC$400),0)),"/")</f>
        <v>/</v>
      </c>
      <c r="AF23" s="63" t="str" cm="1">
        <f t="array" ref="AF23">IFERROR(INDEX('Offer Statistics'!AE$2:AE$400,MATCH(1,($A23='Offer Statistics'!$T$2:$T$400)*($AC$2='Offer Statistics'!$AC$2:$AC$400),0)),"/")</f>
        <v>/</v>
      </c>
      <c r="AG23" s="63" t="str" cm="1">
        <f t="array" ref="AG23">IFERROR(INDEX('Offer Statistics'!AF$2:AF$400,MATCH(1,($A23='Offer Statistics'!$T$2:$T$400)*($AC$2='Offer Statistics'!$AC$2:$AC$400),0)),"/")</f>
        <v>/</v>
      </c>
      <c r="AH23" s="63" t="str" cm="1">
        <f t="array" ref="AH23">IFERROR(INDEX('Offer Statistics'!AG$2:AG$400,MATCH(1,($A23='Offer Statistics'!$T$2:$T$400)*($AC$2='Offer Statistics'!$AC$2:$AC$400),0)),"/")</f>
        <v>/</v>
      </c>
      <c r="AI23" s="63" t="str" cm="1">
        <f t="array" ref="AI23">IFERROR(INDEX('Offer Statistics'!AH$2:AH$400,MATCH(1,($A23='Offer Statistics'!$T$2:$T$400)*($AC$2='Offer Statistics'!$AC$2:$AC$400),0)),"/")</f>
        <v>/</v>
      </c>
      <c r="AJ23" s="538"/>
      <c r="AK23" s="36" t="str" cm="1">
        <f t="array" ref="AK23">IFERROR(INDEX('Offer Statistics'!$AA$2:$AA$400,MATCH(1,($A23='Offer Statistics'!$T$2:$T$400)*($AC$2='Offer Statistics'!$U$2:$U$400),0)),"/")</f>
        <v>/</v>
      </c>
      <c r="AL23" s="63" t="str" cm="1">
        <f t="array" ref="AL23">IFERROR(INDEX('Offer Statistics'!V$2:V$400,MATCH(1,($A23='Offer Statistics'!$T$2:$T$400)*($AC$2='Offer Statistics'!$U$2:$U$400),0)),"/")</f>
        <v>/</v>
      </c>
      <c r="AM23" s="63" t="str" cm="1">
        <f t="array" ref="AM23">IFERROR(INDEX('Offer Statistics'!W$2:W$400,MATCH(1,($A23='Offer Statistics'!$T$2:$T$400)*($AC$2='Offer Statistics'!$U$2:$U$400),0)),"/")</f>
        <v>/</v>
      </c>
      <c r="AN23" s="63" t="str" cm="1">
        <f t="array" ref="AN23">IFERROR(INDEX('Offer Statistics'!X$2:X$400,MATCH(1,($A23='Offer Statistics'!$T$2:$T$400)*($AC$2='Offer Statistics'!$U$2:$U$400),0)),"/")</f>
        <v>/</v>
      </c>
      <c r="AO23" s="63" t="str" cm="1">
        <f t="array" ref="AO23">IFERROR(INDEX('Offer Statistics'!Y$2:Y$400,MATCH(1,($A23='Offer Statistics'!$T$2:$T$400)*($AC$2='Offer Statistics'!$U$2:$U$400),0)),"/")</f>
        <v>/</v>
      </c>
      <c r="AP23" s="63" t="str" cm="1">
        <f t="array" ref="AP23">IFERROR(INDEX('Offer Statistics'!Z$2:Z$400,MATCH(1,($A23='Offer Statistics'!$T$2:$T$400)*($AC$2='Offer Statistics'!$U$2:$U$400),0)),"/")</f>
        <v>/</v>
      </c>
      <c r="AQ23" s="4"/>
      <c r="AR23" s="15" t="str">
        <f>A23</f>
        <v>JS2960</v>
      </c>
    </row>
    <row r="24" spans="1:45" ht="18" customHeight="1"/>
    <row r="25" spans="1:45" s="440" customFormat="1" ht="18" customHeight="1">
      <c r="A25" s="481" t="s">
        <v>3283</v>
      </c>
      <c r="F25" s="442"/>
      <c r="I25" s="442"/>
      <c r="M25" s="452"/>
      <c r="N25" s="442"/>
      <c r="O25" s="442"/>
      <c r="V25" s="442"/>
      <c r="W25" s="442"/>
      <c r="X25" s="442"/>
      <c r="Y25" s="442"/>
      <c r="Z25" s="442"/>
      <c r="AA25" s="442"/>
      <c r="AB25" s="442"/>
    </row>
    <row r="26" spans="1:45" s="440" customFormat="1" ht="18" customHeight="1">
      <c r="A26" s="481" t="s">
        <v>3133</v>
      </c>
      <c r="F26" s="442"/>
      <c r="I26" s="442"/>
      <c r="M26" s="452"/>
      <c r="N26" s="442"/>
      <c r="O26" s="442"/>
      <c r="V26" s="442"/>
      <c r="W26" s="442"/>
      <c r="X26" s="442"/>
      <c r="Y26" s="442"/>
      <c r="Z26" s="442"/>
      <c r="AA26" s="442"/>
      <c r="AB26" s="442"/>
    </row>
    <row r="27" spans="1:45" ht="18" customHeight="1"/>
    <row r="28" spans="1:45" ht="18" customHeight="1">
      <c r="A28" s="23" t="s">
        <v>2962</v>
      </c>
      <c r="F28" s="36"/>
      <c r="G28" s="15"/>
      <c r="H28" s="15"/>
      <c r="I28" s="36"/>
      <c r="J28" s="15"/>
      <c r="K28" s="15"/>
      <c r="L28" s="22"/>
      <c r="M28" s="23"/>
      <c r="O28" s="4"/>
      <c r="P28" s="15"/>
      <c r="Q28" s="15"/>
      <c r="R28" s="15"/>
      <c r="S28" s="15"/>
      <c r="T28" s="15"/>
      <c r="U28" s="15"/>
      <c r="V28" s="4"/>
      <c r="W28" s="4"/>
      <c r="X28" s="4"/>
      <c r="Y28" s="4"/>
      <c r="Z28" s="4"/>
      <c r="AA28" s="4"/>
      <c r="AB28" s="4"/>
      <c r="AC28" s="15"/>
      <c r="AE28" s="15"/>
      <c r="AF28" s="15"/>
      <c r="AG28" s="15"/>
      <c r="AH28" s="15"/>
      <c r="AI28" s="15"/>
      <c r="AJ28" s="15"/>
      <c r="AK28" s="15"/>
      <c r="AL28" s="15"/>
      <c r="AM28" s="15"/>
      <c r="AN28" s="15"/>
      <c r="AO28" s="15"/>
      <c r="AP28" s="15"/>
      <c r="AQ28" s="15"/>
      <c r="AS28" s="15"/>
    </row>
    <row r="29" spans="1:45" ht="18" customHeight="1">
      <c r="A29" s="254" t="s">
        <v>2457</v>
      </c>
    </row>
    <row r="30" spans="1:45" ht="18" customHeight="1">
      <c r="A30" s="254"/>
    </row>
    <row r="31" spans="1:45" ht="18" customHeight="1">
      <c r="A31" s="3" t="s">
        <v>127</v>
      </c>
    </row>
    <row r="32" spans="1:45" ht="18" customHeight="1">
      <c r="A32" s="4" t="s">
        <v>137</v>
      </c>
    </row>
    <row r="33" spans="1:11" ht="18" customHeight="1"/>
    <row r="34" spans="1:11" ht="18" customHeight="1">
      <c r="A34" s="4" t="s">
        <v>3284</v>
      </c>
    </row>
    <row r="35" spans="1:11" ht="18" customHeight="1">
      <c r="A35" s="4" t="s">
        <v>138</v>
      </c>
    </row>
    <row r="36" spans="1:11" ht="18" customHeight="1"/>
    <row r="37" spans="1:11" ht="18" customHeight="1">
      <c r="A37" s="9" t="s">
        <v>139</v>
      </c>
      <c r="B37" s="9"/>
      <c r="C37" s="9"/>
      <c r="D37" s="9"/>
      <c r="E37" s="9"/>
      <c r="F37" s="27"/>
      <c r="G37" s="9"/>
      <c r="H37" s="9"/>
      <c r="I37" s="27"/>
      <c r="J37" s="9"/>
      <c r="K37" s="9"/>
    </row>
    <row r="38" spans="1:11" ht="18" customHeight="1">
      <c r="A38" s="9"/>
      <c r="B38" s="9" t="s">
        <v>2320</v>
      </c>
      <c r="C38" s="9"/>
      <c r="D38" s="9"/>
      <c r="E38" s="9"/>
      <c r="F38" s="27"/>
      <c r="G38" s="9"/>
      <c r="H38" s="9"/>
      <c r="I38" s="27"/>
      <c r="J38" s="9"/>
      <c r="K38" s="9"/>
    </row>
    <row r="39" spans="1:11" ht="18" customHeight="1">
      <c r="A39" s="9"/>
      <c r="B39" s="9" t="s">
        <v>140</v>
      </c>
      <c r="C39" s="9"/>
      <c r="D39" s="9"/>
      <c r="E39" s="9"/>
      <c r="F39" s="27"/>
      <c r="G39" s="9"/>
      <c r="H39" s="9"/>
      <c r="I39" s="27"/>
      <c r="J39" s="9"/>
      <c r="K39" s="9"/>
    </row>
    <row r="40" spans="1:11" ht="18" customHeight="1">
      <c r="A40" s="9"/>
      <c r="B40" s="9" t="s">
        <v>141</v>
      </c>
      <c r="C40" s="9"/>
      <c r="D40" s="9"/>
      <c r="E40" s="9"/>
      <c r="F40" s="27"/>
      <c r="G40" s="9"/>
      <c r="H40" s="9"/>
      <c r="I40" s="27"/>
      <c r="J40" s="9"/>
      <c r="K40" s="9"/>
    </row>
    <row r="41" spans="1:11" ht="18" customHeight="1">
      <c r="A41" s="9"/>
      <c r="B41" s="9" t="s">
        <v>142</v>
      </c>
      <c r="C41" s="9"/>
      <c r="D41" s="9"/>
      <c r="E41" s="9"/>
      <c r="F41" s="27"/>
      <c r="G41" s="9"/>
      <c r="H41" s="9"/>
      <c r="I41" s="27"/>
      <c r="J41" s="9"/>
      <c r="K41" s="9"/>
    </row>
    <row r="42" spans="1:11" ht="18" customHeight="1"/>
    <row r="43" spans="1:11" ht="18" customHeight="1">
      <c r="A43" s="4" t="s">
        <v>3285</v>
      </c>
    </row>
    <row r="44" spans="1:11" ht="18" customHeight="1"/>
    <row r="45" spans="1:11" ht="18" customHeight="1">
      <c r="A45" s="3"/>
    </row>
    <row r="46" spans="1:11" ht="18" customHeight="1">
      <c r="A46" s="3" t="s">
        <v>129</v>
      </c>
    </row>
    <row r="47" spans="1:11" ht="18" customHeight="1">
      <c r="A47" s="46" t="s">
        <v>143</v>
      </c>
    </row>
    <row r="48" spans="1:11" ht="18" customHeight="1">
      <c r="A48" s="47" t="s">
        <v>144</v>
      </c>
    </row>
    <row r="49" spans="1:44" ht="18" customHeight="1">
      <c r="A49" s="46"/>
    </row>
    <row r="50" spans="1:44" ht="18" customHeight="1">
      <c r="A50" s="46"/>
    </row>
    <row r="51" spans="1:44" ht="18" hidden="1" customHeight="1">
      <c r="A51" s="3"/>
    </row>
    <row r="52" spans="1:44" ht="18" hidden="1" customHeight="1">
      <c r="A52" s="3"/>
    </row>
    <row r="53" spans="1:44" ht="18" hidden="1" customHeight="1">
      <c r="A53" s="3"/>
    </row>
    <row r="54" spans="1:44" ht="18" hidden="1" customHeight="1"/>
    <row r="55" spans="1:44" ht="18" hidden="1" customHeight="1"/>
    <row r="56" spans="1:44" ht="18" hidden="1" customHeight="1"/>
    <row r="57" spans="1:44" ht="18" hidden="1" customHeight="1"/>
    <row r="58" spans="1:44" ht="18" hidden="1" customHeight="1"/>
    <row r="59" spans="1:44" ht="18" hidden="1" customHeight="1"/>
    <row r="60" spans="1:44" ht="0" hidden="1" customHeight="1">
      <c r="AC60" s="3"/>
      <c r="AD60" s="36" t="b">
        <f>IF($U$2="2018年",'Offer Statistics'!#REF!,IF($U$2="2019年",'Offer Statistics'!#REF!,IF($U$2="2020年",'Offer Statistics'!#REF!)))</f>
        <v>0</v>
      </c>
      <c r="AE60" s="15" t="b">
        <f>IF($U$2="2018年",'Offer Statistics'!M50,IF($U$2="2019年",'Offer Statistics'!M100,IF($U$2="2020年",'Offer Statistics'!M151)))</f>
        <v>0</v>
      </c>
      <c r="AF60" s="15" t="b">
        <f>IF($U$2="2018年",'Offer Statistics'!N50,IF($U$2="2019年",'Offer Statistics'!N100,IF($U$2="2020年",'Offer Statistics'!N151)))</f>
        <v>0</v>
      </c>
      <c r="AG60" s="15" t="b">
        <f>IF($U$2="2018年",'Offer Statistics'!O50,IF($U$2="2019年",'Offer Statistics'!O100,IF($U$2="2020年",'Offer Statistics'!O151)))</f>
        <v>0</v>
      </c>
      <c r="AH60" s="15" t="b">
        <f>IF($U$2="2018年",'Offer Statistics'!P50,IF($U$2="2019年",'Offer Statistics'!P100,IF($U$2="2020年",'Offer Statistics'!P151)))</f>
        <v>0</v>
      </c>
      <c r="AI60" s="60" t="b">
        <f>IF($U$2="2018年",'Offer Statistics'!Q50,IF($U$2="2019年",'Offer Statistics'!Q100,IF($U$2="2020年",'Offer Statistics'!Q151)))</f>
        <v>0</v>
      </c>
      <c r="AJ60" s="3"/>
      <c r="AK60" s="36" t="e">
        <f>IF(#REF!="2018年",'Offer Statistics'!S50,IF(#REF!="2019年",'Offer Statistics'!S100,IF(#REF!="2020年",'Offer Statistics'!S150)))</f>
        <v>#REF!</v>
      </c>
      <c r="AL60" s="15" t="e">
        <f>IF(#REF!="2018年",'Offer Statistics'!E50,IF(#REF!="2019年",'Offer Statistics'!E100,IF(#REF!="2020年",'Offer Statistics'!E151)))</f>
        <v>#REF!</v>
      </c>
      <c r="AM60" s="15" t="e">
        <f>IF(#REF!="2018年",'Offer Statistics'!F50,IF(#REF!="2019年",'Offer Statistics'!F100,IF(#REF!="2020年",'Offer Statistics'!F151)))</f>
        <v>#REF!</v>
      </c>
      <c r="AN60" s="15" t="e">
        <f>IF(#REF!="2018年",'Offer Statistics'!G50,IF(#REF!="2019年",'Offer Statistics'!G100,IF(#REF!="2020年",'Offer Statistics'!G151)))</f>
        <v>#REF!</v>
      </c>
      <c r="AO60" s="15" t="e">
        <f>IF(#REF!="2018年",'Offer Statistics'!H50,IF(#REF!="2019年",'Offer Statistics'!H100,IF(#REF!="2020年",'Offer Statistics'!H151)))</f>
        <v>#REF!</v>
      </c>
      <c r="AP60" s="60" t="e">
        <f>IF(#REF!="2018年",'Offer Statistics'!I50,IF(#REF!="2019年",'Offer Statistics'!I100,IF(#REF!="2020年",'Offer Statistics'!I151)))</f>
        <v>#REF!</v>
      </c>
      <c r="AQ60" s="15"/>
      <c r="AR60" s="15" t="s">
        <v>145</v>
      </c>
    </row>
    <row r="65" spans="1:21" ht="16.5" hidden="1" customHeight="1">
      <c r="F65" s="36"/>
      <c r="G65" s="15"/>
      <c r="H65" s="15"/>
      <c r="I65" s="36"/>
      <c r="J65" s="15"/>
      <c r="K65" s="22"/>
      <c r="L65" s="23"/>
      <c r="P65" s="15"/>
      <c r="Q65" s="15"/>
      <c r="R65" s="15"/>
      <c r="S65" s="15"/>
      <c r="T65" s="15"/>
      <c r="U65" s="15"/>
    </row>
    <row r="66" spans="1:21" ht="16.5" hidden="1" customHeight="1">
      <c r="F66" s="36"/>
      <c r="G66" s="15"/>
      <c r="H66" s="15"/>
      <c r="I66" s="36"/>
      <c r="J66" s="15"/>
      <c r="K66" s="22"/>
      <c r="L66" s="23"/>
      <c r="P66" s="15"/>
      <c r="Q66" s="15"/>
      <c r="R66" s="15"/>
      <c r="S66" s="15"/>
      <c r="T66" s="15"/>
      <c r="U66" s="15"/>
    </row>
    <row r="67" spans="1:21" ht="0" hidden="1" customHeight="1">
      <c r="A67" s="3"/>
    </row>
    <row r="68" spans="1:21" ht="0" hidden="1" customHeight="1">
      <c r="A68" s="3"/>
    </row>
  </sheetData>
  <sheetProtection sheet="1" sort="0" autoFilter="0" pivotTables="0"/>
  <mergeCells count="4">
    <mergeCell ref="AC2:AC23"/>
    <mergeCell ref="AJ2:AJ23"/>
    <mergeCell ref="K1:L1"/>
    <mergeCell ref="O2:O23"/>
  </mergeCells>
  <phoneticPr fontId="3" type="noConversion"/>
  <conditionalFormatting sqref="A2:AR2 A3:N23 AK3:AR23 P3:AB23 AD3:AI23">
    <cfRule type="expression" dxfId="218" priority="21641">
      <formula>MOD(ROW(),2)=0</formula>
    </cfRule>
  </conditionalFormatting>
  <conditionalFormatting sqref="G2:G23">
    <cfRule type="expression" dxfId="217" priority="17">
      <formula>$K$1="差距(Median)"</formula>
    </cfRule>
  </conditionalFormatting>
  <conditionalFormatting sqref="H2:I23">
    <cfRule type="expression" dxfId="216" priority="16">
      <formula>$K$1="差距(LQ)"</formula>
    </cfRule>
  </conditionalFormatting>
  <conditionalFormatting sqref="I2:I23">
    <cfRule type="expression" dxfId="215" priority="1">
      <formula>$K$1="差距(Mean)"</formula>
    </cfRule>
  </conditionalFormatting>
  <conditionalFormatting sqref="K2:L23">
    <cfRule type="cellIs" dxfId="214" priority="30" operator="equal">
      <formula>"/"</formula>
    </cfRule>
    <cfRule type="cellIs" dxfId="213" priority="33" operator="lessThan">
      <formula>0</formula>
    </cfRule>
    <cfRule type="cellIs" dxfId="212" priority="34" operator="greaterThan">
      <formula>0</formula>
    </cfRule>
  </conditionalFormatting>
  <conditionalFormatting sqref="N2:N23">
    <cfRule type="cellIs" dxfId="211" priority="27" operator="equal">
      <formula>2</formula>
    </cfRule>
    <cfRule type="cellIs" dxfId="210" priority="28" operator="equal">
      <formula>1</formula>
    </cfRule>
    <cfRule type="cellIs" dxfId="209" priority="29" operator="equal">
      <formula>0</formula>
    </cfRule>
  </conditionalFormatting>
  <conditionalFormatting sqref="P2:U23">
    <cfRule type="expression" dxfId="208" priority="2">
      <formula>V2=0</formula>
    </cfRule>
    <cfRule type="expression" dxfId="207" priority="3">
      <formula>V2=2</formula>
    </cfRule>
    <cfRule type="expression" dxfId="206" priority="4">
      <formula>V2=1</formula>
    </cfRule>
  </conditionalFormatting>
  <conditionalFormatting sqref="AC2 AJ2">
    <cfRule type="expression" dxfId="205" priority="10">
      <formula>TRUE</formula>
    </cfRule>
  </conditionalFormatting>
  <conditionalFormatting sqref="AJ60:AK60">
    <cfRule type="expression" dxfId="204" priority="12">
      <formula>TRUE</formula>
    </cfRule>
  </conditionalFormatting>
  <conditionalFormatting sqref="AQ2:AQ23 AC60:AD60">
    <cfRule type="expression" dxfId="203" priority="14">
      <formula>TRUE</formula>
    </cfRule>
  </conditionalFormatting>
  <conditionalFormatting sqref="AQ60">
    <cfRule type="expression" dxfId="202" priority="11">
      <formula>TRUE</formula>
    </cfRule>
  </conditionalFormatting>
  <hyperlinks>
    <hyperlink ref="A47" r:id="rId1" xr:uid="{00000000-0004-0000-0600-000000000000}"/>
    <hyperlink ref="A48" r:id="rId2" xr:uid="{00000000-0004-0000-0600-000001000000}"/>
  </hyperlinks>
  <pageMargins left="0.7" right="0.7" top="0.75" bottom="0.75" header="0.3" footer="0.3"/>
  <pageSetup paperSize="9" orientation="portrait" r:id="rId3"/>
  <drawing r:id="rId4"/>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選單!$K$2:$K$4</xm:f>
          </x14:formula1>
          <xm:sqref>K1:L1</xm:sqref>
        </x14:dataValidation>
        <x14:dataValidation type="list" allowBlank="1" showInputMessage="1" showErrorMessage="1" xr:uid="{00000000-0002-0000-0600-000001000000}">
          <x14:formula1>
            <xm:f>選單!$J$5:$J$7</xm:f>
          </x14:formula1>
          <xm:sqref>AC60:AD60</xm:sqref>
        </x14:dataValidation>
        <x14:dataValidation type="list" allowBlank="1" showInputMessage="1" showErrorMessage="1" xr:uid="{9FFF8D94-EBA7-48A8-8AC8-1D82AB220AC1}">
          <x14:formula1>
            <xm:f>選單!$J$1:$J$77</xm:f>
          </x14:formula1>
          <xm:sqref>AC2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7">
    <tabColor rgb="FFA04310"/>
  </sheetPr>
  <dimension ref="A1:BC65"/>
  <sheetViews>
    <sheetView workbookViewId="0">
      <selection activeCell="J8" sqref="J8"/>
    </sheetView>
  </sheetViews>
  <sheetFormatPr defaultColWidth="0" defaultRowHeight="15.6" zeroHeight="1"/>
  <cols>
    <col min="1" max="1" width="7.19921875" style="13" customWidth="1"/>
    <col min="2" max="2" width="6.69921875" style="13" customWidth="1"/>
    <col min="3" max="3" width="20.09765625" style="13" customWidth="1"/>
    <col min="4" max="4" width="6.19921875" style="13" customWidth="1"/>
    <col min="5" max="5" width="14.19921875" style="13" customWidth="1"/>
    <col min="6" max="6" width="13.19921875" style="20" customWidth="1"/>
    <col min="7" max="9" width="7.19921875" style="13" customWidth="1"/>
    <col min="10" max="10" width="7.19921875" style="20" customWidth="1"/>
    <col min="11" max="11" width="8.69921875" style="13" customWidth="1"/>
    <col min="12" max="12" width="7.69921875" style="13" customWidth="1"/>
    <col min="13" max="13" width="4.69921875" style="13" customWidth="1"/>
    <col min="14" max="14" width="4.69921875" style="20" customWidth="1"/>
    <col min="15" max="15" width="14.69921875" style="20" customWidth="1"/>
    <col min="16" max="21" width="2.19921875" style="13" customWidth="1"/>
    <col min="22" max="27" width="2.19921875" style="20" hidden="1" customWidth="1"/>
    <col min="28" max="28" width="11.19921875" style="20" customWidth="1"/>
    <col min="29" max="29" width="8.69921875" style="13" customWidth="1"/>
    <col min="30" max="35" width="6.19921875" style="13" customWidth="1"/>
    <col min="36" max="36" width="8.69921875" style="13" customWidth="1"/>
    <col min="37" max="42" width="6.19921875" style="13" customWidth="1"/>
    <col min="43" max="43" width="3.19921875" style="13" customWidth="1"/>
    <col min="44" max="44" width="8.19921875" style="13" customWidth="1"/>
    <col min="45" max="45" width="10.69921875" style="13" hidden="1" customWidth="1"/>
    <col min="46" max="50" width="0" style="13" hidden="1" customWidth="1"/>
    <col min="51" max="51" width="10.69921875" style="13" hidden="1" customWidth="1"/>
    <col min="52" max="55" width="0" style="13" hidden="1" customWidth="1"/>
    <col min="56" max="16384" width="10.69921875" style="13" hidden="1"/>
  </cols>
  <sheetData>
    <row r="1" spans="1:44" s="67" customFormat="1" ht="18" customHeight="1">
      <c r="A1" s="30" t="s">
        <v>104</v>
      </c>
      <c r="B1" s="30" t="s">
        <v>105</v>
      </c>
      <c r="C1" s="30" t="s">
        <v>106</v>
      </c>
      <c r="D1" s="30"/>
      <c r="E1" s="62" t="s">
        <v>2319</v>
      </c>
      <c r="F1" s="62" t="s">
        <v>2277</v>
      </c>
      <c r="G1" s="62" t="s">
        <v>102</v>
      </c>
      <c r="H1" s="62" t="s">
        <v>100</v>
      </c>
      <c r="I1" s="62" t="s">
        <v>2972</v>
      </c>
      <c r="J1" s="62" t="s">
        <v>108</v>
      </c>
      <c r="K1" s="543" t="s">
        <v>109</v>
      </c>
      <c r="L1" s="543"/>
      <c r="M1" s="62" t="s">
        <v>36</v>
      </c>
      <c r="N1" s="62" t="s">
        <v>110</v>
      </c>
      <c r="O1" s="62"/>
      <c r="P1" s="62" t="s">
        <v>111</v>
      </c>
      <c r="Q1" s="62" t="s">
        <v>112</v>
      </c>
      <c r="R1" s="62" t="s">
        <v>113</v>
      </c>
      <c r="S1" s="62" t="s">
        <v>2251</v>
      </c>
      <c r="T1" s="62" t="s">
        <v>115</v>
      </c>
      <c r="U1" s="62" t="s">
        <v>116</v>
      </c>
      <c r="V1" s="62"/>
      <c r="W1" s="62"/>
      <c r="X1" s="62"/>
      <c r="Y1" s="62"/>
      <c r="Z1" s="62"/>
      <c r="AA1" s="62"/>
      <c r="AB1" s="62" t="s">
        <v>117</v>
      </c>
      <c r="AC1" s="62" t="s">
        <v>118</v>
      </c>
      <c r="AD1" s="62" t="s">
        <v>135</v>
      </c>
      <c r="AE1" s="62" t="s">
        <v>120</v>
      </c>
      <c r="AF1" s="62" t="s">
        <v>121</v>
      </c>
      <c r="AG1" s="62" t="s">
        <v>122</v>
      </c>
      <c r="AH1" s="62" t="s">
        <v>123</v>
      </c>
      <c r="AI1" s="62" t="s">
        <v>124</v>
      </c>
      <c r="AJ1" s="62" t="s">
        <v>136</v>
      </c>
      <c r="AK1" s="62" t="s">
        <v>135</v>
      </c>
      <c r="AL1" s="62" t="s">
        <v>120</v>
      </c>
      <c r="AM1" s="62" t="s">
        <v>121</v>
      </c>
      <c r="AN1" s="62" t="s">
        <v>122</v>
      </c>
      <c r="AO1" s="62" t="s">
        <v>123</v>
      </c>
      <c r="AP1" s="62" t="s">
        <v>124</v>
      </c>
      <c r="AR1" s="62"/>
    </row>
    <row r="2" spans="1:44" ht="18" customHeight="1">
      <c r="A2" s="4" t="str">
        <f>'Reference Score Calculation'!B98</f>
        <v>JS3000</v>
      </c>
      <c r="B2" s="4" t="str">
        <f>'Reference Score Calculation'!D98</f>
        <v>跨學院課程</v>
      </c>
      <c r="C2" s="4" t="str">
        <f>'Reference Score Calculation'!E98</f>
        <v>跨學科組合學士課程</v>
      </c>
      <c r="D2" s="4" t="str">
        <f>'Reference Score Calculation'!S98</f>
        <v>INTERDISCIP STUDIES</v>
      </c>
      <c r="E2" s="352" t="str">
        <f>'Reference Score Calculation'!AC98</f>
        <v>Best 5</v>
      </c>
      <c r="F2" s="373" t="str">
        <f>'Reference Score Calculation'!F98</f>
        <v>25年新科目</v>
      </c>
      <c r="G2" s="239" t="str">
        <f>'Reference Score Calculation'!I98</f>
        <v>/</v>
      </c>
      <c r="H2" s="239" t="str">
        <f>'Reference Score Calculation'!J98</f>
        <v>/</v>
      </c>
      <c r="I2" s="239" t="str">
        <f>'Reference Score Calculation'!G98</f>
        <v>/</v>
      </c>
      <c r="J2" s="240">
        <f>計分版!J121</f>
        <v>7.6999999999999995E-9</v>
      </c>
      <c r="K2" s="7" t="str">
        <f>IFERROR(IF(K$1="差距(Median)",J2-G2,IF(K$1="差距(LQ)",J2-H2,IF(K$1="差距(Mean)",J2-I2))),"/")</f>
        <v>/</v>
      </c>
      <c r="L2" s="458" t="str">
        <f>IFERROR(IF(K$1="差距(Median)",(J2-G2)/J2,IF(K$1="差距(LQ)",(J2-H2)/J2,IF(K$1="差距(Mean)",(J2-I2)/J2))),"/")</f>
        <v>/</v>
      </c>
      <c r="M2" s="36">
        <f>'Reference Score Calculation'!U98</f>
        <v>30</v>
      </c>
      <c r="N2" s="241">
        <f>入學要求!Z107</f>
        <v>0</v>
      </c>
      <c r="O2" s="544" t="s">
        <v>2104</v>
      </c>
      <c r="P2" s="243">
        <f>入學要求!L107</f>
        <v>3</v>
      </c>
      <c r="Q2" s="243">
        <f>入學要求!M107</f>
        <v>3</v>
      </c>
      <c r="R2" s="243">
        <f>入學要求!N107</f>
        <v>2</v>
      </c>
      <c r="S2" s="243">
        <f>入學要求!O107</f>
        <v>1</v>
      </c>
      <c r="T2" s="243">
        <f>入學要求!P107</f>
        <v>3</v>
      </c>
      <c r="U2" s="243">
        <f>入學要求!Q107</f>
        <v>3</v>
      </c>
      <c r="V2" s="236">
        <f>入學要求!S107</f>
        <v>0</v>
      </c>
      <c r="W2" s="236">
        <f>入學要求!T107</f>
        <v>0</v>
      </c>
      <c r="X2" s="236">
        <f>入學要求!U107</f>
        <v>0</v>
      </c>
      <c r="Y2" s="236">
        <f>入學要求!V107</f>
        <v>0</v>
      </c>
      <c r="Z2" s="236">
        <f>入學要求!W107</f>
        <v>0</v>
      </c>
      <c r="AA2" s="236">
        <f>入學要求!X107</f>
        <v>0</v>
      </c>
      <c r="AB2" s="374" t="str">
        <f>IFERROR(ROUND(AL2/AE2,2),"/")</f>
        <v>/</v>
      </c>
      <c r="AC2" s="537" t="s">
        <v>2253</v>
      </c>
      <c r="AD2" s="36" t="str" cm="1">
        <f t="array" ref="AD2">IFERROR(INDEX('Offer Statistics'!$AZ$2:$AZ$400,MATCH(1,($A2='Offer Statistics'!$AK$2:$AK$400)*($AC$2='Offer Statistics'!$AL$2:$AL$400),0)),"/")</f>
        <v>/</v>
      </c>
      <c r="AE2" s="63" t="str" cm="1">
        <f t="array" ref="AE2">IFERROR(INDEX('Offer Statistics'!AU$2:AU$400,MATCH(1,($A2='Offer Statistics'!$AK$2:$AK$400)*($AC$2='Offer Statistics'!$AL$2:$AL$400),0)),"/")</f>
        <v>/</v>
      </c>
      <c r="AF2" s="63" t="str" cm="1">
        <f t="array" ref="AF2">IFERROR(INDEX('Offer Statistics'!AV$2:AV$400,MATCH(1,($A2='Offer Statistics'!$AK$2:$AK$400)*($AC$2='Offer Statistics'!$AL$2:$AL$400),0)),"/")</f>
        <v>/</v>
      </c>
      <c r="AG2" s="63" t="str" cm="1">
        <f t="array" ref="AG2">IFERROR(INDEX('Offer Statistics'!AW$2:AW$400,MATCH(1,($A2='Offer Statistics'!$AK$2:$AK$400)*($AC$2='Offer Statistics'!$AL$2:$AL$400),0)),"/")</f>
        <v>/</v>
      </c>
      <c r="AH2" s="63" t="str" cm="1">
        <f t="array" ref="AH2">IFERROR(INDEX('Offer Statistics'!AX$2:AX$400,MATCH(1,($A2='Offer Statistics'!$AK$2:$AK$400)*($AC$2='Offer Statistics'!$AL$2:$AL$400),0)),"/")</f>
        <v>/</v>
      </c>
      <c r="AI2" s="63" t="str" cm="1">
        <f t="array" ref="AI2">IFERROR(INDEX('Offer Statistics'!AY$2:AY$400,MATCH(1,($A2='Offer Statistics'!$AK$2:$AK$400)*($AC$2='Offer Statistics'!$AL$2:$AL$400),0)),"/")</f>
        <v>/</v>
      </c>
      <c r="AJ2" s="538" t="str">
        <f>AC2</f>
        <v>2024年</v>
      </c>
      <c r="AK2" s="36" t="str" cm="1">
        <f t="array" ref="AK2">IFERROR(INDEX('Offer Statistics'!$AR$2:$AR$400,MATCH(1,($A2='Offer Statistics'!$AK$2:$AK$400)*($AC$2='Offer Statistics'!$AL$2:$AL$400),0)),"/")</f>
        <v>/</v>
      </c>
      <c r="AL2" s="63" t="str" cm="1">
        <f t="array" ref="AL2">IFERROR(INDEX('Offer Statistics'!AM$2:AM$400,MATCH(1,($A2='Offer Statistics'!$AK$2:$AK$400)*($AC$2='Offer Statistics'!$AL$2:$AL$400),0)),"/")</f>
        <v>/</v>
      </c>
      <c r="AM2" s="63" t="str" cm="1">
        <f t="array" ref="AM2">IFERROR(INDEX('Offer Statistics'!AN$2:AN$400,MATCH(1,($A2='Offer Statistics'!$AK$2:$AK$400)*($AC$2='Offer Statistics'!$AL$2:$AL$400),0)),"/")</f>
        <v>/</v>
      </c>
      <c r="AN2" s="63" t="str" cm="1">
        <f t="array" ref="AN2">IFERROR(INDEX('Offer Statistics'!AO$2:AO$400,MATCH(1,($A2='Offer Statistics'!$AK$2:$AK$400)*($AC$2='Offer Statistics'!$AL$2:$AL$400),0)),"/")</f>
        <v>/</v>
      </c>
      <c r="AO2" s="63" t="str" cm="1">
        <f t="array" ref="AO2">IFERROR(INDEX('Offer Statistics'!AP$2:AP$400,MATCH(1,($A2='Offer Statistics'!$AK$2:$AK$400)*($AC$2='Offer Statistics'!$AL$2:$AL$400),0)),"/")</f>
        <v>/</v>
      </c>
      <c r="AP2" s="63" t="str" cm="1">
        <f t="array" ref="AP2">IFERROR(INDEX('Offer Statistics'!AQ$2:AQ$400,MATCH(1,($A2='Offer Statistics'!$AK$2:$AK$400)*($AC$2='Offer Statistics'!$AL$2:$AL$400),0)),"/")</f>
        <v>/</v>
      </c>
      <c r="AQ2" s="15"/>
      <c r="AR2" s="15" t="str">
        <f>A2</f>
        <v>JS3000</v>
      </c>
    </row>
    <row r="3" spans="1:44" ht="18" customHeight="1">
      <c r="A3" s="4" t="str">
        <f>'Reference Score Calculation'!B99</f>
        <v>JS3003</v>
      </c>
      <c r="B3" s="4" t="str">
        <f>'Reference Score Calculation'!D99</f>
        <v>工商管理學院</v>
      </c>
      <c r="C3" s="4" t="str">
        <f>'Reference Score Calculation'!E99</f>
        <v>工商管理組合學士課程</v>
      </c>
      <c r="D3" s="4" t="str">
        <f>'Reference Score Calculation'!S99</f>
        <v>BUSINESS ADMIN</v>
      </c>
      <c r="E3" s="352" t="str">
        <f>'Reference Score Calculation'!AC99</f>
        <v>Best 5</v>
      </c>
      <c r="F3" s="373" t="str">
        <f>'Reference Score Calculation'!F99</f>
        <v>25年新科目</v>
      </c>
      <c r="G3" s="239" t="str">
        <f>'Reference Score Calculation'!I99</f>
        <v>/</v>
      </c>
      <c r="H3" s="239" t="str">
        <f>'Reference Score Calculation'!J99</f>
        <v>/</v>
      </c>
      <c r="I3" s="239" t="str">
        <f>'Reference Score Calculation'!G99</f>
        <v>/</v>
      </c>
      <c r="J3" s="240">
        <f>計分版!J122</f>
        <v>9.1999999999999997E-9</v>
      </c>
      <c r="K3" s="7" t="str">
        <f t="shared" ref="K3:K46" si="0">IFERROR(IF(K$1="差距(Median)",J3-G3,IF(K$1="差距(LQ)",J3-H3,IF(K$1="差距(Mean)",J3-I3))),"/")</f>
        <v>/</v>
      </c>
      <c r="L3" s="458" t="str">
        <f t="shared" ref="L3:L46" si="1">IFERROR(IF(K$1="差距(Median)",(J3-G3)/J3,IF(K$1="差距(LQ)",(J3-H3)/J3,IF(K$1="差距(Mean)",(J3-I3)/J3))),"/")</f>
        <v>/</v>
      </c>
      <c r="M3" s="36">
        <f>'Reference Score Calculation'!U99</f>
        <v>19</v>
      </c>
      <c r="N3" s="241">
        <f>入學要求!Z108</f>
        <v>0</v>
      </c>
      <c r="O3" s="544"/>
      <c r="P3" s="243">
        <f>入學要求!L108</f>
        <v>3</v>
      </c>
      <c r="Q3" s="243">
        <f>入學要求!M108</f>
        <v>3</v>
      </c>
      <c r="R3" s="243">
        <f>入學要求!N108</f>
        <v>2</v>
      </c>
      <c r="S3" s="243">
        <f>入學要求!O108</f>
        <v>1</v>
      </c>
      <c r="T3" s="243">
        <f>入學要求!P108</f>
        <v>3</v>
      </c>
      <c r="U3" s="243">
        <f>入學要求!Q108</f>
        <v>3</v>
      </c>
      <c r="V3" s="236">
        <f>入學要求!S108</f>
        <v>0</v>
      </c>
      <c r="W3" s="236">
        <f>入學要求!T108</f>
        <v>0</v>
      </c>
      <c r="X3" s="236">
        <f>入學要求!U108</f>
        <v>0</v>
      </c>
      <c r="Y3" s="236">
        <f>入學要求!V108</f>
        <v>0</v>
      </c>
      <c r="Z3" s="236">
        <f>入學要求!W108</f>
        <v>0</v>
      </c>
      <c r="AA3" s="236">
        <f>入學要求!X108</f>
        <v>0</v>
      </c>
      <c r="AB3" s="374" t="str">
        <f t="shared" ref="AB3:AB46" si="2">IFERROR(ROUND(AL3/AE3,2),"/")</f>
        <v>/</v>
      </c>
      <c r="AC3" s="537"/>
      <c r="AD3" s="36" t="str" cm="1">
        <f t="array" ref="AD3">IFERROR(INDEX('Offer Statistics'!$AZ$2:$AZ$400,MATCH(1,($A3='Offer Statistics'!$AK$2:$AK$400)*($AC$2='Offer Statistics'!$AL$2:$AL$400),0)),"/")</f>
        <v>/</v>
      </c>
      <c r="AE3" s="63" t="str" cm="1">
        <f t="array" ref="AE3">IFERROR(INDEX('Offer Statistics'!AU$2:AU$400,MATCH(1,($A3='Offer Statistics'!$AK$2:$AK$400)*($AC$2='Offer Statistics'!$AL$2:$AL$400),0)),"/")</f>
        <v>/</v>
      </c>
      <c r="AF3" s="63" t="str" cm="1">
        <f t="array" ref="AF3">IFERROR(INDEX('Offer Statistics'!AV$2:AV$400,MATCH(1,($A3='Offer Statistics'!$AK$2:$AK$400)*($AC$2='Offer Statistics'!$AL$2:$AL$400),0)),"/")</f>
        <v>/</v>
      </c>
      <c r="AG3" s="63" t="str" cm="1">
        <f t="array" ref="AG3">IFERROR(INDEX('Offer Statistics'!AW$2:AW$400,MATCH(1,($A3='Offer Statistics'!$AK$2:$AK$400)*($AC$2='Offer Statistics'!$AL$2:$AL$400),0)),"/")</f>
        <v>/</v>
      </c>
      <c r="AH3" s="63" t="str" cm="1">
        <f t="array" ref="AH3">IFERROR(INDEX('Offer Statistics'!AX$2:AX$400,MATCH(1,($A3='Offer Statistics'!$AK$2:$AK$400)*($AC$2='Offer Statistics'!$AL$2:$AL$400),0)),"/")</f>
        <v>/</v>
      </c>
      <c r="AI3" s="63" t="str" cm="1">
        <f t="array" ref="AI3">IFERROR(INDEX('Offer Statistics'!AY$2:AY$400,MATCH(1,($A3='Offer Statistics'!$AK$2:$AK$400)*($AC$2='Offer Statistics'!$AL$2:$AL$400),0)),"/")</f>
        <v>/</v>
      </c>
      <c r="AJ3" s="538"/>
      <c r="AK3" s="36" t="str" cm="1">
        <f t="array" ref="AK3">IFERROR(INDEX('Offer Statistics'!$AR$2:$AR$400,MATCH(1,($A3='Offer Statistics'!$AK$2:$AK$400)*($AC$2='Offer Statistics'!$AL$2:$AL$400),0)),"/")</f>
        <v>/</v>
      </c>
      <c r="AL3" s="63" t="str" cm="1">
        <f t="array" ref="AL3">IFERROR(INDEX('Offer Statistics'!AM$2:AM$400,MATCH(1,($A3='Offer Statistics'!$AK$2:$AK$400)*($AC$2='Offer Statistics'!$AL$2:$AL$400),0)),"/")</f>
        <v>/</v>
      </c>
      <c r="AM3" s="63" t="str" cm="1">
        <f t="array" ref="AM3">IFERROR(INDEX('Offer Statistics'!AN$2:AN$400,MATCH(1,($A3='Offer Statistics'!$AK$2:$AK$400)*($AC$2='Offer Statistics'!$AL$2:$AL$400),0)),"/")</f>
        <v>/</v>
      </c>
      <c r="AN3" s="63" t="str" cm="1">
        <f t="array" ref="AN3">IFERROR(INDEX('Offer Statistics'!AO$2:AO$400,MATCH(1,($A3='Offer Statistics'!$AK$2:$AK$400)*($AC$2='Offer Statistics'!$AL$2:$AL$400),0)),"/")</f>
        <v>/</v>
      </c>
      <c r="AO3" s="63" t="str" cm="1">
        <f t="array" ref="AO3">IFERROR(INDEX('Offer Statistics'!AP$2:AP$400,MATCH(1,($A3='Offer Statistics'!$AK$2:$AK$400)*($AC$2='Offer Statistics'!$AL$2:$AL$400),0)),"/")</f>
        <v>/</v>
      </c>
      <c r="AP3" s="63" t="str" cm="1">
        <f t="array" ref="AP3">IFERROR(INDEX('Offer Statistics'!AQ$2:AQ$400,MATCH(1,($A3='Offer Statistics'!$AK$2:$AK$400)*($AC$2='Offer Statistics'!$AL$2:$AL$400),0)),"/")</f>
        <v>/</v>
      </c>
      <c r="AQ3" s="15"/>
      <c r="AR3" s="15" t="str">
        <f t="shared" ref="AR3:AR46" si="3">A3</f>
        <v>JS3003</v>
      </c>
    </row>
    <row r="4" spans="1:44" s="151" customFormat="1" ht="18" customHeight="1">
      <c r="A4" s="4" t="str">
        <f>'Reference Score Calculation'!B100</f>
        <v>JS3004</v>
      </c>
      <c r="B4" s="4" t="str">
        <f>'Reference Score Calculation'!D100</f>
        <v>建築及環境學院</v>
      </c>
      <c r="C4" s="4" t="str">
        <f>'Reference Score Calculation'!E100</f>
        <v>建設及環境組合學士課程</v>
      </c>
      <c r="D4" s="4" t="str">
        <f>'Reference Score Calculation'!S100</f>
        <v>CONSTRUCT &amp; ENVIR</v>
      </c>
      <c r="E4" s="352" t="str">
        <f>'Reference Score Calculation'!AC100</f>
        <v>Best 5</v>
      </c>
      <c r="F4" s="373" t="str">
        <f>'Reference Score Calculation'!F100</f>
        <v>25年新科目</v>
      </c>
      <c r="G4" s="239" t="str">
        <f>'Reference Score Calculation'!I100</f>
        <v>/</v>
      </c>
      <c r="H4" s="239" t="str">
        <f>'Reference Score Calculation'!J100</f>
        <v>/</v>
      </c>
      <c r="I4" s="239" t="str">
        <f>'Reference Score Calculation'!G100</f>
        <v>/</v>
      </c>
      <c r="J4" s="240">
        <f>計分版!J123</f>
        <v>1.07E-8</v>
      </c>
      <c r="K4" s="7" t="str">
        <f t="shared" si="0"/>
        <v>/</v>
      </c>
      <c r="L4" s="458" t="str">
        <f t="shared" si="1"/>
        <v>/</v>
      </c>
      <c r="M4" s="36">
        <f>'Reference Score Calculation'!U100</f>
        <v>33</v>
      </c>
      <c r="N4" s="241">
        <f>入學要求!Z109</f>
        <v>0</v>
      </c>
      <c r="O4" s="544"/>
      <c r="P4" s="243">
        <f>入學要求!L109</f>
        <v>3</v>
      </c>
      <c r="Q4" s="243">
        <f>入學要求!M109</f>
        <v>3</v>
      </c>
      <c r="R4" s="243">
        <f>入學要求!N109</f>
        <v>2</v>
      </c>
      <c r="S4" s="243">
        <f>入學要求!O109</f>
        <v>1</v>
      </c>
      <c r="T4" s="243">
        <f>入學要求!P109</f>
        <v>3</v>
      </c>
      <c r="U4" s="243">
        <f>入學要求!Q109</f>
        <v>3</v>
      </c>
      <c r="V4" s="236">
        <f>入學要求!S109</f>
        <v>0</v>
      </c>
      <c r="W4" s="236">
        <f>入學要求!T109</f>
        <v>0</v>
      </c>
      <c r="X4" s="236">
        <f>入學要求!U109</f>
        <v>0</v>
      </c>
      <c r="Y4" s="236">
        <f>入學要求!V109</f>
        <v>0</v>
      </c>
      <c r="Z4" s="236">
        <f>入學要求!W109</f>
        <v>0</v>
      </c>
      <c r="AA4" s="236">
        <f>入學要求!X109</f>
        <v>0</v>
      </c>
      <c r="AB4" s="374" t="str">
        <f t="shared" si="2"/>
        <v>/</v>
      </c>
      <c r="AC4" s="537"/>
      <c r="AD4" s="36" t="str" cm="1">
        <f t="array" ref="AD4">IFERROR(INDEX('Offer Statistics'!$AZ$2:$AZ$400,MATCH(1,($A4='Offer Statistics'!$AK$2:$AK$400)*($AC$2='Offer Statistics'!$AL$2:$AL$400),0)),"/")</f>
        <v>/</v>
      </c>
      <c r="AE4" s="63" t="str" cm="1">
        <f t="array" ref="AE4">IFERROR(INDEX('Offer Statistics'!AU$2:AU$400,MATCH(1,($A4='Offer Statistics'!$AK$2:$AK$400)*($AC$2='Offer Statistics'!$AL$2:$AL$400),0)),"/")</f>
        <v>/</v>
      </c>
      <c r="AF4" s="63" t="str" cm="1">
        <f t="array" ref="AF4">IFERROR(INDEX('Offer Statistics'!AV$2:AV$400,MATCH(1,($A4='Offer Statistics'!$AK$2:$AK$400)*($AC$2='Offer Statistics'!$AL$2:$AL$400),0)),"/")</f>
        <v>/</v>
      </c>
      <c r="AG4" s="63" t="str" cm="1">
        <f t="array" ref="AG4">IFERROR(INDEX('Offer Statistics'!AW$2:AW$400,MATCH(1,($A4='Offer Statistics'!$AK$2:$AK$400)*($AC$2='Offer Statistics'!$AL$2:$AL$400),0)),"/")</f>
        <v>/</v>
      </c>
      <c r="AH4" s="63" t="str" cm="1">
        <f t="array" ref="AH4">IFERROR(INDEX('Offer Statistics'!AX$2:AX$400,MATCH(1,($A4='Offer Statistics'!$AK$2:$AK$400)*($AC$2='Offer Statistics'!$AL$2:$AL$400),0)),"/")</f>
        <v>/</v>
      </c>
      <c r="AI4" s="63" t="str" cm="1">
        <f t="array" ref="AI4">IFERROR(INDEX('Offer Statistics'!AY$2:AY$400,MATCH(1,($A4='Offer Statistics'!$AK$2:$AK$400)*($AC$2='Offer Statistics'!$AL$2:$AL$400),0)),"/")</f>
        <v>/</v>
      </c>
      <c r="AJ4" s="538"/>
      <c r="AK4" s="36" t="str" cm="1">
        <f t="array" ref="AK4">IFERROR(INDEX('Offer Statistics'!$AR$2:$AR$400,MATCH(1,($A4='Offer Statistics'!$AK$2:$AK$400)*($AC$2='Offer Statistics'!$AL$2:$AL$400),0)),"/")</f>
        <v>/</v>
      </c>
      <c r="AL4" s="63" t="str" cm="1">
        <f t="array" ref="AL4">IFERROR(INDEX('Offer Statistics'!AM$2:AM$400,MATCH(1,($A4='Offer Statistics'!$AK$2:$AK$400)*($AC$2='Offer Statistics'!$AL$2:$AL$400),0)),"/")</f>
        <v>/</v>
      </c>
      <c r="AM4" s="63" t="str" cm="1">
        <f t="array" ref="AM4">IFERROR(INDEX('Offer Statistics'!AN$2:AN$400,MATCH(1,($A4='Offer Statistics'!$AK$2:$AK$400)*($AC$2='Offer Statistics'!$AL$2:$AL$400),0)),"/")</f>
        <v>/</v>
      </c>
      <c r="AN4" s="63" t="str" cm="1">
        <f t="array" ref="AN4">IFERROR(INDEX('Offer Statistics'!AO$2:AO$400,MATCH(1,($A4='Offer Statistics'!$AK$2:$AK$400)*($AC$2='Offer Statistics'!$AL$2:$AL$400),0)),"/")</f>
        <v>/</v>
      </c>
      <c r="AO4" s="63" t="str" cm="1">
        <f t="array" ref="AO4">IFERROR(INDEX('Offer Statistics'!AP$2:AP$400,MATCH(1,($A4='Offer Statistics'!$AK$2:$AK$400)*($AC$2='Offer Statistics'!$AL$2:$AL$400),0)),"/")</f>
        <v>/</v>
      </c>
      <c r="AP4" s="63" t="str" cm="1">
        <f t="array" ref="AP4">IFERROR(INDEX('Offer Statistics'!AQ$2:AQ$400,MATCH(1,($A4='Offer Statistics'!$AK$2:$AK$400)*($AC$2='Offer Statistics'!$AL$2:$AL$400),0)),"/")</f>
        <v>/</v>
      </c>
      <c r="AQ4" s="15"/>
      <c r="AR4" s="15" t="str">
        <f t="shared" si="3"/>
        <v>JS3004</v>
      </c>
    </row>
    <row r="5" spans="1:44" s="152" customFormat="1" ht="18" customHeight="1">
      <c r="A5" s="4" t="str">
        <f>'Reference Score Calculation'!B101</f>
        <v>JS3005</v>
      </c>
      <c r="B5" s="4" t="str">
        <f>'Reference Score Calculation'!D101</f>
        <v>工程學院</v>
      </c>
      <c r="C5" s="4" t="str">
        <f>'Reference Score Calculation'!E101</f>
        <v>工程學科組合學士課程</v>
      </c>
      <c r="D5" s="4" t="str">
        <f>'Reference Score Calculation'!S101</f>
        <v>ENGINEERING</v>
      </c>
      <c r="E5" s="352" t="str">
        <f>'Reference Score Calculation'!AC101</f>
        <v>Best 5</v>
      </c>
      <c r="F5" s="373" t="str">
        <f>'Reference Score Calculation'!F101</f>
        <v>25年新科目</v>
      </c>
      <c r="G5" s="239" t="str">
        <f>'Reference Score Calculation'!I101</f>
        <v>/</v>
      </c>
      <c r="H5" s="239" t="str">
        <f>'Reference Score Calculation'!J101</f>
        <v>/</v>
      </c>
      <c r="I5" s="239" t="str">
        <f>'Reference Score Calculation'!G101</f>
        <v>/</v>
      </c>
      <c r="J5" s="240">
        <f>計分版!J124</f>
        <v>1.07E-8</v>
      </c>
      <c r="K5" s="7" t="str">
        <f t="shared" si="0"/>
        <v>/</v>
      </c>
      <c r="L5" s="458" t="str">
        <f t="shared" si="1"/>
        <v>/</v>
      </c>
      <c r="M5" s="36">
        <f>'Reference Score Calculation'!U101</f>
        <v>35</v>
      </c>
      <c r="N5" s="241">
        <f>入學要求!Z110</f>
        <v>0</v>
      </c>
      <c r="O5" s="544"/>
      <c r="P5" s="243">
        <f>入學要求!L110</f>
        <v>3</v>
      </c>
      <c r="Q5" s="243">
        <f>入學要求!M110</f>
        <v>3</v>
      </c>
      <c r="R5" s="243">
        <f>入學要求!N110</f>
        <v>2</v>
      </c>
      <c r="S5" s="243">
        <f>入學要求!O110</f>
        <v>1</v>
      </c>
      <c r="T5" s="243">
        <f>入學要求!P110</f>
        <v>3</v>
      </c>
      <c r="U5" s="243">
        <f>入學要求!Q110</f>
        <v>3</v>
      </c>
      <c r="V5" s="236">
        <f>入學要求!S110</f>
        <v>0</v>
      </c>
      <c r="W5" s="236">
        <f>入學要求!T110</f>
        <v>0</v>
      </c>
      <c r="X5" s="236">
        <f>入學要求!U110</f>
        <v>0</v>
      </c>
      <c r="Y5" s="236">
        <f>入學要求!V110</f>
        <v>0</v>
      </c>
      <c r="Z5" s="236">
        <f>入學要求!W110</f>
        <v>0</v>
      </c>
      <c r="AA5" s="236">
        <f>入學要求!X110</f>
        <v>0</v>
      </c>
      <c r="AB5" s="374" t="str">
        <f t="shared" si="2"/>
        <v>/</v>
      </c>
      <c r="AC5" s="537"/>
      <c r="AD5" s="36" t="str" cm="1">
        <f t="array" ref="AD5">IFERROR(INDEX('Offer Statistics'!$AZ$2:$AZ$400,MATCH(1,($A5='Offer Statistics'!$AK$2:$AK$400)*($AC$2='Offer Statistics'!$AL$2:$AL$400),0)),"/")</f>
        <v>/</v>
      </c>
      <c r="AE5" s="63" t="str" cm="1">
        <f t="array" ref="AE5">IFERROR(INDEX('Offer Statistics'!AU$2:AU$400,MATCH(1,($A5='Offer Statistics'!$AK$2:$AK$400)*($AC$2='Offer Statistics'!$AL$2:$AL$400),0)),"/")</f>
        <v>/</v>
      </c>
      <c r="AF5" s="63" t="str" cm="1">
        <f t="array" ref="AF5">IFERROR(INDEX('Offer Statistics'!AV$2:AV$400,MATCH(1,($A5='Offer Statistics'!$AK$2:$AK$400)*($AC$2='Offer Statistics'!$AL$2:$AL$400),0)),"/")</f>
        <v>/</v>
      </c>
      <c r="AG5" s="63" t="str" cm="1">
        <f t="array" ref="AG5">IFERROR(INDEX('Offer Statistics'!AW$2:AW$400,MATCH(1,($A5='Offer Statistics'!$AK$2:$AK$400)*($AC$2='Offer Statistics'!$AL$2:$AL$400),0)),"/")</f>
        <v>/</v>
      </c>
      <c r="AH5" s="63" t="str" cm="1">
        <f t="array" ref="AH5">IFERROR(INDEX('Offer Statistics'!AX$2:AX$400,MATCH(1,($A5='Offer Statistics'!$AK$2:$AK$400)*($AC$2='Offer Statistics'!$AL$2:$AL$400),0)),"/")</f>
        <v>/</v>
      </c>
      <c r="AI5" s="63" t="str" cm="1">
        <f t="array" ref="AI5">IFERROR(INDEX('Offer Statistics'!AY$2:AY$400,MATCH(1,($A5='Offer Statistics'!$AK$2:$AK$400)*($AC$2='Offer Statistics'!$AL$2:$AL$400),0)),"/")</f>
        <v>/</v>
      </c>
      <c r="AJ5" s="538"/>
      <c r="AK5" s="36" t="str" cm="1">
        <f t="array" ref="AK5">IFERROR(INDEX('Offer Statistics'!$AR$2:$AR$400,MATCH(1,($A5='Offer Statistics'!$AK$2:$AK$400)*($AC$2='Offer Statistics'!$AL$2:$AL$400),0)),"/")</f>
        <v>/</v>
      </c>
      <c r="AL5" s="63" t="str" cm="1">
        <f t="array" ref="AL5">IFERROR(INDEX('Offer Statistics'!AM$2:AM$400,MATCH(1,($A5='Offer Statistics'!$AK$2:$AK$400)*($AC$2='Offer Statistics'!$AL$2:$AL$400),0)),"/")</f>
        <v>/</v>
      </c>
      <c r="AM5" s="63" t="str" cm="1">
        <f t="array" ref="AM5">IFERROR(INDEX('Offer Statistics'!AN$2:AN$400,MATCH(1,($A5='Offer Statistics'!$AK$2:$AK$400)*($AC$2='Offer Statistics'!$AL$2:$AL$400),0)),"/")</f>
        <v>/</v>
      </c>
      <c r="AN5" s="63" t="str" cm="1">
        <f t="array" ref="AN5">IFERROR(INDEX('Offer Statistics'!AO$2:AO$400,MATCH(1,($A5='Offer Statistics'!$AK$2:$AK$400)*($AC$2='Offer Statistics'!$AL$2:$AL$400),0)),"/")</f>
        <v>/</v>
      </c>
      <c r="AO5" s="63" t="str" cm="1">
        <f t="array" ref="AO5">IFERROR(INDEX('Offer Statistics'!AP$2:AP$400,MATCH(1,($A5='Offer Statistics'!$AK$2:$AK$400)*($AC$2='Offer Statistics'!$AL$2:$AL$400),0)),"/")</f>
        <v>/</v>
      </c>
      <c r="AP5" s="63" t="str" cm="1">
        <f t="array" ref="AP5">IFERROR(INDEX('Offer Statistics'!AQ$2:AQ$400,MATCH(1,($A5='Offer Statistics'!$AK$2:$AK$400)*($AC$2='Offer Statistics'!$AL$2:$AL$400),0)),"/")</f>
        <v>/</v>
      </c>
      <c r="AQ5" s="15"/>
      <c r="AR5" s="15" t="str">
        <f t="shared" si="3"/>
        <v>JS3005</v>
      </c>
    </row>
    <row r="6" spans="1:44" s="152" customFormat="1" ht="18" customHeight="1">
      <c r="A6" s="4" t="str">
        <f>'Reference Score Calculation'!B102</f>
        <v>JS3006</v>
      </c>
      <c r="B6" s="4" t="str">
        <f>'Reference Score Calculation'!D102</f>
        <v>工程學院</v>
      </c>
      <c r="C6" s="4" t="str">
        <f>'Reference Score Calculation'!E102</f>
        <v>計算機及數學科學組合學士課程</v>
      </c>
      <c r="D6" s="4" t="str">
        <f>'Reference Score Calculation'!S102</f>
        <v>COMP &amp; MATH SCI</v>
      </c>
      <c r="E6" s="352" t="str">
        <f>'Reference Score Calculation'!AC102</f>
        <v>Best 5</v>
      </c>
      <c r="F6" s="373" t="str">
        <f>'Reference Score Calculation'!F102</f>
        <v>25年新科目</v>
      </c>
      <c r="G6" s="239" t="str">
        <f>'Reference Score Calculation'!I102</f>
        <v>/</v>
      </c>
      <c r="H6" s="239" t="str">
        <f>'Reference Score Calculation'!J102</f>
        <v>/</v>
      </c>
      <c r="I6" s="239" t="str">
        <f>'Reference Score Calculation'!G102</f>
        <v>/</v>
      </c>
      <c r="J6" s="240">
        <f>計分版!J125</f>
        <v>1.07E-8</v>
      </c>
      <c r="K6" s="7" t="str">
        <f t="shared" si="0"/>
        <v>/</v>
      </c>
      <c r="L6" s="458" t="str">
        <f t="shared" si="1"/>
        <v>/</v>
      </c>
      <c r="M6" s="36">
        <f>'Reference Score Calculation'!U102</f>
        <v>14</v>
      </c>
      <c r="N6" s="241">
        <f>入學要求!Z111</f>
        <v>0</v>
      </c>
      <c r="O6" s="544"/>
      <c r="P6" s="243">
        <f>入學要求!L111</f>
        <v>3</v>
      </c>
      <c r="Q6" s="243">
        <f>入學要求!M111</f>
        <v>3</v>
      </c>
      <c r="R6" s="243">
        <f>入學要求!N111</f>
        <v>2</v>
      </c>
      <c r="S6" s="243">
        <f>入學要求!O111</f>
        <v>1</v>
      </c>
      <c r="T6" s="243">
        <f>入學要求!P111</f>
        <v>3</v>
      </c>
      <c r="U6" s="243">
        <f>入學要求!Q111</f>
        <v>3</v>
      </c>
      <c r="V6" s="236">
        <f>入學要求!S111</f>
        <v>0</v>
      </c>
      <c r="W6" s="236">
        <f>入學要求!T111</f>
        <v>0</v>
      </c>
      <c r="X6" s="236">
        <f>入學要求!U111</f>
        <v>0</v>
      </c>
      <c r="Y6" s="236">
        <f>入學要求!V111</f>
        <v>0</v>
      </c>
      <c r="Z6" s="236">
        <f>入學要求!W111</f>
        <v>0</v>
      </c>
      <c r="AA6" s="236">
        <f>入學要求!X111</f>
        <v>0</v>
      </c>
      <c r="AB6" s="374" t="str">
        <f t="shared" si="2"/>
        <v>/</v>
      </c>
      <c r="AC6" s="537"/>
      <c r="AD6" s="36" t="str" cm="1">
        <f t="array" ref="AD6">IFERROR(INDEX('Offer Statistics'!$AZ$2:$AZ$400,MATCH(1,($A6='Offer Statistics'!$AK$2:$AK$400)*($AC$2='Offer Statistics'!$AL$2:$AL$400),0)),"/")</f>
        <v>/</v>
      </c>
      <c r="AE6" s="63" t="str" cm="1">
        <f t="array" ref="AE6">IFERROR(INDEX('Offer Statistics'!AU$2:AU$400,MATCH(1,($A6='Offer Statistics'!$AK$2:$AK$400)*($AC$2='Offer Statistics'!$AL$2:$AL$400),0)),"/")</f>
        <v>/</v>
      </c>
      <c r="AF6" s="63" t="str" cm="1">
        <f t="array" ref="AF6">IFERROR(INDEX('Offer Statistics'!AV$2:AV$400,MATCH(1,($A6='Offer Statistics'!$AK$2:$AK$400)*($AC$2='Offer Statistics'!$AL$2:$AL$400),0)),"/")</f>
        <v>/</v>
      </c>
      <c r="AG6" s="63" t="str" cm="1">
        <f t="array" ref="AG6">IFERROR(INDEX('Offer Statistics'!AW$2:AW$400,MATCH(1,($A6='Offer Statistics'!$AK$2:$AK$400)*($AC$2='Offer Statistics'!$AL$2:$AL$400),0)),"/")</f>
        <v>/</v>
      </c>
      <c r="AH6" s="63" t="str" cm="1">
        <f t="array" ref="AH6">IFERROR(INDEX('Offer Statistics'!AX$2:AX$400,MATCH(1,($A6='Offer Statistics'!$AK$2:$AK$400)*($AC$2='Offer Statistics'!$AL$2:$AL$400),0)),"/")</f>
        <v>/</v>
      </c>
      <c r="AI6" s="63" t="str" cm="1">
        <f t="array" ref="AI6">IFERROR(INDEX('Offer Statistics'!AY$2:AY$400,MATCH(1,($A6='Offer Statistics'!$AK$2:$AK$400)*($AC$2='Offer Statistics'!$AL$2:$AL$400),0)),"/")</f>
        <v>/</v>
      </c>
      <c r="AJ6" s="538"/>
      <c r="AK6" s="36" t="str" cm="1">
        <f t="array" ref="AK6">IFERROR(INDEX('Offer Statistics'!$AR$2:$AR$400,MATCH(1,($A6='Offer Statistics'!$AK$2:$AK$400)*($AC$2='Offer Statistics'!$AL$2:$AL$400),0)),"/")</f>
        <v>/</v>
      </c>
      <c r="AL6" s="63" t="str" cm="1">
        <f t="array" ref="AL6">IFERROR(INDEX('Offer Statistics'!AM$2:AM$400,MATCH(1,($A6='Offer Statistics'!$AK$2:$AK$400)*($AC$2='Offer Statistics'!$AL$2:$AL$400),0)),"/")</f>
        <v>/</v>
      </c>
      <c r="AM6" s="63" t="str" cm="1">
        <f t="array" ref="AM6">IFERROR(INDEX('Offer Statistics'!AN$2:AN$400,MATCH(1,($A6='Offer Statistics'!$AK$2:$AK$400)*($AC$2='Offer Statistics'!$AL$2:$AL$400),0)),"/")</f>
        <v>/</v>
      </c>
      <c r="AN6" s="63" t="str" cm="1">
        <f t="array" ref="AN6">IFERROR(INDEX('Offer Statistics'!AO$2:AO$400,MATCH(1,($A6='Offer Statistics'!$AK$2:$AK$400)*($AC$2='Offer Statistics'!$AL$2:$AL$400),0)),"/")</f>
        <v>/</v>
      </c>
      <c r="AO6" s="63" t="str" cm="1">
        <f t="array" ref="AO6">IFERROR(INDEX('Offer Statistics'!AP$2:AP$400,MATCH(1,($A6='Offer Statistics'!$AK$2:$AK$400)*($AC$2='Offer Statistics'!$AL$2:$AL$400),0)),"/")</f>
        <v>/</v>
      </c>
      <c r="AP6" s="63" t="str" cm="1">
        <f t="array" ref="AP6">IFERROR(INDEX('Offer Statistics'!AQ$2:AQ$400,MATCH(1,($A6='Offer Statistics'!$AK$2:$AK$400)*($AC$2='Offer Statistics'!$AL$2:$AL$400),0)),"/")</f>
        <v>/</v>
      </c>
      <c r="AQ6" s="15"/>
      <c r="AR6" s="15" t="str">
        <f t="shared" si="3"/>
        <v>JS3006</v>
      </c>
    </row>
    <row r="7" spans="1:44" ht="18" customHeight="1">
      <c r="A7" s="4" t="str">
        <f>'Reference Score Calculation'!B103</f>
        <v>JS3007</v>
      </c>
      <c r="B7" s="4" t="str">
        <f>'Reference Score Calculation'!D103</f>
        <v>人文學院</v>
      </c>
      <c r="C7" s="4" t="str">
        <f>'Reference Score Calculation'!E103</f>
        <v>人文學科組合學士課程</v>
      </c>
      <c r="D7" s="4" t="str">
        <f>'Reference Score Calculation'!S103</f>
        <v>HUMANITIES</v>
      </c>
      <c r="E7" s="352" t="str">
        <f>'Reference Score Calculation'!AC103</f>
        <v>Best 5</v>
      </c>
      <c r="F7" s="373" t="str">
        <f>'Reference Score Calculation'!F103</f>
        <v>25年新科目</v>
      </c>
      <c r="G7" s="239" t="str">
        <f>'Reference Score Calculation'!I103</f>
        <v>/</v>
      </c>
      <c r="H7" s="239" t="str">
        <f>'Reference Score Calculation'!J103</f>
        <v>/</v>
      </c>
      <c r="I7" s="239" t="str">
        <f>'Reference Score Calculation'!G103</f>
        <v>/</v>
      </c>
      <c r="J7" s="240">
        <f>計分版!J126</f>
        <v>8.6000000000000009E-9</v>
      </c>
      <c r="K7" s="7" t="str">
        <f t="shared" si="0"/>
        <v>/</v>
      </c>
      <c r="L7" s="458" t="str">
        <f t="shared" si="1"/>
        <v>/</v>
      </c>
      <c r="M7" s="36">
        <f>'Reference Score Calculation'!U103</f>
        <v>13</v>
      </c>
      <c r="N7" s="241">
        <f>入學要求!Z112</f>
        <v>0</v>
      </c>
      <c r="O7" s="544"/>
      <c r="P7" s="243">
        <f>入學要求!L112</f>
        <v>3</v>
      </c>
      <c r="Q7" s="243">
        <f>入學要求!M112</f>
        <v>3</v>
      </c>
      <c r="R7" s="243">
        <f>入學要求!N112</f>
        <v>2</v>
      </c>
      <c r="S7" s="243">
        <f>入學要求!O112</f>
        <v>1</v>
      </c>
      <c r="T7" s="243">
        <f>入學要求!P112</f>
        <v>3</v>
      </c>
      <c r="U7" s="243">
        <f>入學要求!Q112</f>
        <v>3</v>
      </c>
      <c r="V7" s="236">
        <f>入學要求!S112</f>
        <v>0</v>
      </c>
      <c r="W7" s="236">
        <f>入學要求!T112</f>
        <v>0</v>
      </c>
      <c r="X7" s="236">
        <f>入學要求!U112</f>
        <v>0</v>
      </c>
      <c r="Y7" s="236">
        <f>入學要求!V112</f>
        <v>0</v>
      </c>
      <c r="Z7" s="236">
        <f>入學要求!W112</f>
        <v>0</v>
      </c>
      <c r="AA7" s="236">
        <f>入學要求!X112</f>
        <v>0</v>
      </c>
      <c r="AB7" s="374" t="str">
        <f t="shared" si="2"/>
        <v>/</v>
      </c>
      <c r="AC7" s="537"/>
      <c r="AD7" s="36" t="str" cm="1">
        <f t="array" ref="AD7">IFERROR(INDEX('Offer Statistics'!$AZ$2:$AZ$400,MATCH(1,($A7='Offer Statistics'!$AK$2:$AK$400)*($AC$2='Offer Statistics'!$AL$2:$AL$400),0)),"/")</f>
        <v>/</v>
      </c>
      <c r="AE7" s="63" t="str" cm="1">
        <f t="array" ref="AE7">IFERROR(INDEX('Offer Statistics'!AU$2:AU$400,MATCH(1,($A7='Offer Statistics'!$AK$2:$AK$400)*($AC$2='Offer Statistics'!$AL$2:$AL$400),0)),"/")</f>
        <v>/</v>
      </c>
      <c r="AF7" s="63" t="str" cm="1">
        <f t="array" ref="AF7">IFERROR(INDEX('Offer Statistics'!AV$2:AV$400,MATCH(1,($A7='Offer Statistics'!$AK$2:$AK$400)*($AC$2='Offer Statistics'!$AL$2:$AL$400),0)),"/")</f>
        <v>/</v>
      </c>
      <c r="AG7" s="63" t="str" cm="1">
        <f t="array" ref="AG7">IFERROR(INDEX('Offer Statistics'!AW$2:AW$400,MATCH(1,($A7='Offer Statistics'!$AK$2:$AK$400)*($AC$2='Offer Statistics'!$AL$2:$AL$400),0)),"/")</f>
        <v>/</v>
      </c>
      <c r="AH7" s="63" t="str" cm="1">
        <f t="array" ref="AH7">IFERROR(INDEX('Offer Statistics'!AX$2:AX$400,MATCH(1,($A7='Offer Statistics'!$AK$2:$AK$400)*($AC$2='Offer Statistics'!$AL$2:$AL$400),0)),"/")</f>
        <v>/</v>
      </c>
      <c r="AI7" s="63" t="str" cm="1">
        <f t="array" ref="AI7">IFERROR(INDEX('Offer Statistics'!AY$2:AY$400,MATCH(1,($A7='Offer Statistics'!$AK$2:$AK$400)*($AC$2='Offer Statistics'!$AL$2:$AL$400),0)),"/")</f>
        <v>/</v>
      </c>
      <c r="AJ7" s="538"/>
      <c r="AK7" s="36" t="str" cm="1">
        <f t="array" ref="AK7">IFERROR(INDEX('Offer Statistics'!$AR$2:$AR$400,MATCH(1,($A7='Offer Statistics'!$AK$2:$AK$400)*($AC$2='Offer Statistics'!$AL$2:$AL$400),0)),"/")</f>
        <v>/</v>
      </c>
      <c r="AL7" s="63" t="str" cm="1">
        <f t="array" ref="AL7">IFERROR(INDEX('Offer Statistics'!AM$2:AM$400,MATCH(1,($A7='Offer Statistics'!$AK$2:$AK$400)*($AC$2='Offer Statistics'!$AL$2:$AL$400),0)),"/")</f>
        <v>/</v>
      </c>
      <c r="AM7" s="63" t="str" cm="1">
        <f t="array" ref="AM7">IFERROR(INDEX('Offer Statistics'!AN$2:AN$400,MATCH(1,($A7='Offer Statistics'!$AK$2:$AK$400)*($AC$2='Offer Statistics'!$AL$2:$AL$400),0)),"/")</f>
        <v>/</v>
      </c>
      <c r="AN7" s="63" t="str" cm="1">
        <f t="array" ref="AN7">IFERROR(INDEX('Offer Statistics'!AO$2:AO$400,MATCH(1,($A7='Offer Statistics'!$AK$2:$AK$400)*($AC$2='Offer Statistics'!$AL$2:$AL$400),0)),"/")</f>
        <v>/</v>
      </c>
      <c r="AO7" s="63" t="str" cm="1">
        <f t="array" ref="AO7">IFERROR(INDEX('Offer Statistics'!AP$2:AP$400,MATCH(1,($A7='Offer Statistics'!$AK$2:$AK$400)*($AC$2='Offer Statistics'!$AL$2:$AL$400),0)),"/")</f>
        <v>/</v>
      </c>
      <c r="AP7" s="63" t="str" cm="1">
        <f t="array" ref="AP7">IFERROR(INDEX('Offer Statistics'!AQ$2:AQ$400,MATCH(1,($A7='Offer Statistics'!$AK$2:$AK$400)*($AC$2='Offer Statistics'!$AL$2:$AL$400),0)),"/")</f>
        <v>/</v>
      </c>
      <c r="AQ7" s="15"/>
      <c r="AR7" s="15" t="str">
        <f t="shared" si="3"/>
        <v>JS3007</v>
      </c>
    </row>
    <row r="8" spans="1:44" ht="18" customHeight="1">
      <c r="A8" s="4" t="str">
        <f>'Reference Score Calculation'!B104</f>
        <v>JS3008</v>
      </c>
      <c r="B8" s="4" t="str">
        <f>'Reference Score Calculation'!D104</f>
        <v>理學院</v>
      </c>
      <c r="C8" s="4" t="str">
        <f>'Reference Score Calculation'!E104</f>
        <v>理學組合學士課程</v>
      </c>
      <c r="D8" s="4" t="str">
        <f>'Reference Score Calculation'!S104</f>
        <v>SCIENCE</v>
      </c>
      <c r="E8" s="352" t="str">
        <f>'Reference Score Calculation'!AC104</f>
        <v>Best 5</v>
      </c>
      <c r="F8" s="373" t="str">
        <f>'Reference Score Calculation'!F104</f>
        <v>25年新科目</v>
      </c>
      <c r="G8" s="239" t="str">
        <f>'Reference Score Calculation'!I104</f>
        <v>/</v>
      </c>
      <c r="H8" s="239" t="str">
        <f>'Reference Score Calculation'!J104</f>
        <v>/</v>
      </c>
      <c r="I8" s="239" t="str">
        <f>'Reference Score Calculation'!G104</f>
        <v>/</v>
      </c>
      <c r="J8" s="240">
        <f>計分版!J127</f>
        <v>1.07E-8</v>
      </c>
      <c r="K8" s="7" t="str">
        <f t="shared" si="0"/>
        <v>/</v>
      </c>
      <c r="L8" s="458" t="str">
        <f t="shared" si="1"/>
        <v>/</v>
      </c>
      <c r="M8" s="36">
        <f>'Reference Score Calculation'!U104</f>
        <v>15</v>
      </c>
      <c r="N8" s="241">
        <f>入學要求!Z113</f>
        <v>0</v>
      </c>
      <c r="O8" s="544"/>
      <c r="P8" s="243">
        <f>入學要求!L113</f>
        <v>3</v>
      </c>
      <c r="Q8" s="243">
        <f>入學要求!M113</f>
        <v>3</v>
      </c>
      <c r="R8" s="243">
        <f>入學要求!N113</f>
        <v>2</v>
      </c>
      <c r="S8" s="243">
        <f>入學要求!O113</f>
        <v>1</v>
      </c>
      <c r="T8" s="243">
        <f>入學要求!P113</f>
        <v>3</v>
      </c>
      <c r="U8" s="243">
        <f>入學要求!Q113</f>
        <v>3</v>
      </c>
      <c r="V8" s="236">
        <f>入學要求!S113</f>
        <v>0</v>
      </c>
      <c r="W8" s="236">
        <f>入學要求!T113</f>
        <v>0</v>
      </c>
      <c r="X8" s="236">
        <f>入學要求!U113</f>
        <v>0</v>
      </c>
      <c r="Y8" s="236">
        <f>入學要求!V113</f>
        <v>0</v>
      </c>
      <c r="Z8" s="236">
        <f>入學要求!W113</f>
        <v>0</v>
      </c>
      <c r="AA8" s="236">
        <f>入學要求!X113</f>
        <v>0</v>
      </c>
      <c r="AB8" s="374" t="str">
        <f t="shared" si="2"/>
        <v>/</v>
      </c>
      <c r="AC8" s="537"/>
      <c r="AD8" s="36" t="str" cm="1">
        <f t="array" ref="AD8">IFERROR(INDEX('Offer Statistics'!$AZ$2:$AZ$400,MATCH(1,($A8='Offer Statistics'!$AK$2:$AK$400)*($AC$2='Offer Statistics'!$AL$2:$AL$400),0)),"/")</f>
        <v>/</v>
      </c>
      <c r="AE8" s="63" t="str" cm="1">
        <f t="array" ref="AE8">IFERROR(INDEX('Offer Statistics'!AU$2:AU$400,MATCH(1,($A8='Offer Statistics'!$AK$2:$AK$400)*($AC$2='Offer Statistics'!$AL$2:$AL$400),0)),"/")</f>
        <v>/</v>
      </c>
      <c r="AF8" s="63" t="str" cm="1">
        <f t="array" ref="AF8">IFERROR(INDEX('Offer Statistics'!AV$2:AV$400,MATCH(1,($A8='Offer Statistics'!$AK$2:$AK$400)*($AC$2='Offer Statistics'!$AL$2:$AL$400),0)),"/")</f>
        <v>/</v>
      </c>
      <c r="AG8" s="63" t="str" cm="1">
        <f t="array" ref="AG8">IFERROR(INDEX('Offer Statistics'!AW$2:AW$400,MATCH(1,($A8='Offer Statistics'!$AK$2:$AK$400)*($AC$2='Offer Statistics'!$AL$2:$AL$400),0)),"/")</f>
        <v>/</v>
      </c>
      <c r="AH8" s="63" t="str" cm="1">
        <f t="array" ref="AH8">IFERROR(INDEX('Offer Statistics'!AX$2:AX$400,MATCH(1,($A8='Offer Statistics'!$AK$2:$AK$400)*($AC$2='Offer Statistics'!$AL$2:$AL$400),0)),"/")</f>
        <v>/</v>
      </c>
      <c r="AI8" s="63" t="str" cm="1">
        <f t="array" ref="AI8">IFERROR(INDEX('Offer Statistics'!AY$2:AY$400,MATCH(1,($A8='Offer Statistics'!$AK$2:$AK$400)*($AC$2='Offer Statistics'!$AL$2:$AL$400),0)),"/")</f>
        <v>/</v>
      </c>
      <c r="AJ8" s="538"/>
      <c r="AK8" s="36" t="str" cm="1">
        <f t="array" ref="AK8">IFERROR(INDEX('Offer Statistics'!$AR$2:$AR$400,MATCH(1,($A8='Offer Statistics'!$AK$2:$AK$400)*($AC$2='Offer Statistics'!$AL$2:$AL$400),0)),"/")</f>
        <v>/</v>
      </c>
      <c r="AL8" s="63" t="str" cm="1">
        <f t="array" ref="AL8">IFERROR(INDEX('Offer Statistics'!AM$2:AM$400,MATCH(1,($A8='Offer Statistics'!$AK$2:$AK$400)*($AC$2='Offer Statistics'!$AL$2:$AL$400),0)),"/")</f>
        <v>/</v>
      </c>
      <c r="AM8" s="63" t="str" cm="1">
        <f t="array" ref="AM8">IFERROR(INDEX('Offer Statistics'!AN$2:AN$400,MATCH(1,($A8='Offer Statistics'!$AK$2:$AK$400)*($AC$2='Offer Statistics'!$AL$2:$AL$400),0)),"/")</f>
        <v>/</v>
      </c>
      <c r="AN8" s="63" t="str" cm="1">
        <f t="array" ref="AN8">IFERROR(INDEX('Offer Statistics'!AO$2:AO$400,MATCH(1,($A8='Offer Statistics'!$AK$2:$AK$400)*($AC$2='Offer Statistics'!$AL$2:$AL$400),0)),"/")</f>
        <v>/</v>
      </c>
      <c r="AO8" s="63" t="str" cm="1">
        <f t="array" ref="AO8">IFERROR(INDEX('Offer Statistics'!AP$2:AP$400,MATCH(1,($A8='Offer Statistics'!$AK$2:$AK$400)*($AC$2='Offer Statistics'!$AL$2:$AL$400),0)),"/")</f>
        <v>/</v>
      </c>
      <c r="AP8" s="63" t="str" cm="1">
        <f t="array" ref="AP8">IFERROR(INDEX('Offer Statistics'!AQ$2:AQ$400,MATCH(1,($A8='Offer Statistics'!$AK$2:$AK$400)*($AC$2='Offer Statistics'!$AL$2:$AL$400),0)),"/")</f>
        <v>/</v>
      </c>
      <c r="AQ8" s="15"/>
      <c r="AR8" s="15" t="str">
        <f t="shared" si="3"/>
        <v>JS3008</v>
      </c>
    </row>
    <row r="9" spans="1:44" s="151" customFormat="1" ht="18" customHeight="1">
      <c r="A9" s="4" t="str">
        <f>'Reference Score Calculation'!B105</f>
        <v>JS3011</v>
      </c>
      <c r="B9" s="4" t="str">
        <f>'Reference Score Calculation'!D105</f>
        <v>理學院</v>
      </c>
      <c r="C9" s="4" t="str">
        <f>'Reference Score Calculation'!E105</f>
        <v>生物科技及化學科技(榮譽)理學士組合課程</v>
      </c>
      <c r="D9" s="4" t="str">
        <f>'Reference Score Calculation'!S105</f>
        <v>BIOTECH &amp; CHEM TECH</v>
      </c>
      <c r="E9" s="352" t="str">
        <f>'Reference Score Calculation'!AC105</f>
        <v>Best 5</v>
      </c>
      <c r="F9" s="373" t="str">
        <f>'Reference Score Calculation'!F105</f>
        <v>Best 5</v>
      </c>
      <c r="G9" s="239">
        <f>'Reference Score Calculation'!I105</f>
        <v>196</v>
      </c>
      <c r="H9" s="239">
        <f>'Reference Score Calculation'!J105</f>
        <v>190</v>
      </c>
      <c r="I9" s="239">
        <f>'Reference Score Calculation'!G105</f>
        <v>200.6</v>
      </c>
      <c r="J9" s="240">
        <f>計分版!J128</f>
        <v>9.1999999999999997E-9</v>
      </c>
      <c r="K9" s="25">
        <f t="shared" si="0"/>
        <v>-195.99999999080001</v>
      </c>
      <c r="L9" s="150">
        <f t="shared" si="1"/>
        <v>-21304347825.08696</v>
      </c>
      <c r="M9" s="36">
        <f>'Reference Score Calculation'!U105</f>
        <v>55</v>
      </c>
      <c r="N9" s="241">
        <f>入學要求!Z114</f>
        <v>0</v>
      </c>
      <c r="O9" s="544"/>
      <c r="P9" s="243">
        <f>入學要求!L114</f>
        <v>3</v>
      </c>
      <c r="Q9" s="243">
        <f>入學要求!M114</f>
        <v>3</v>
      </c>
      <c r="R9" s="243">
        <f>入學要求!N114</f>
        <v>2</v>
      </c>
      <c r="S9" s="243">
        <f>入學要求!O114</f>
        <v>1</v>
      </c>
      <c r="T9" s="243">
        <f>入學要求!P114</f>
        <v>3</v>
      </c>
      <c r="U9" s="243">
        <f>入學要求!Q114</f>
        <v>3</v>
      </c>
      <c r="V9" s="236">
        <f>入學要求!S114</f>
        <v>0</v>
      </c>
      <c r="W9" s="236">
        <f>入學要求!T114</f>
        <v>0</v>
      </c>
      <c r="X9" s="236">
        <f>入學要求!U114</f>
        <v>0</v>
      </c>
      <c r="Y9" s="236">
        <f>入學要求!V114</f>
        <v>0</v>
      </c>
      <c r="Z9" s="236">
        <f>入學要求!W114</f>
        <v>0</v>
      </c>
      <c r="AA9" s="236">
        <f>入學要求!X114</f>
        <v>0</v>
      </c>
      <c r="AB9" s="374">
        <f t="shared" si="2"/>
        <v>5.86</v>
      </c>
      <c r="AC9" s="537"/>
      <c r="AD9" s="36" cm="1">
        <f t="array" ref="AD9">IFERROR(INDEX('Offer Statistics'!$AZ$2:$AZ$400,MATCH(1,($A9='Offer Statistics'!$AK$2:$AK$400)*($AC$2='Offer Statistics'!$AL$2:$AL$400),0)),"/")</f>
        <v>53</v>
      </c>
      <c r="AE9" s="63" cm="1">
        <f t="array" ref="AE9">IFERROR(INDEX('Offer Statistics'!AU$2:AU$400,MATCH(1,($A9='Offer Statistics'!$AK$2:$AK$400)*($AC$2='Offer Statistics'!$AL$2:$AL$400),0)),"/")</f>
        <v>43</v>
      </c>
      <c r="AF9" s="63" cm="1">
        <f t="array" ref="AF9">IFERROR(INDEX('Offer Statistics'!AV$2:AV$400,MATCH(1,($A9='Offer Statistics'!$AK$2:$AK$400)*($AC$2='Offer Statistics'!$AL$2:$AL$400),0)),"/")</f>
        <v>6</v>
      </c>
      <c r="AG9" s="63" cm="1">
        <f t="array" ref="AG9">IFERROR(INDEX('Offer Statistics'!AW$2:AW$400,MATCH(1,($A9='Offer Statistics'!$AK$2:$AK$400)*($AC$2='Offer Statistics'!$AL$2:$AL$400),0)),"/")</f>
        <v>3</v>
      </c>
      <c r="AH9" s="63" cm="1">
        <f t="array" ref="AH9">IFERROR(INDEX('Offer Statistics'!AX$2:AX$400,MATCH(1,($A9='Offer Statistics'!$AK$2:$AK$400)*($AC$2='Offer Statistics'!$AL$2:$AL$400),0)),"/")</f>
        <v>1</v>
      </c>
      <c r="AI9" s="63" cm="1">
        <f t="array" ref="AI9">IFERROR(INDEX('Offer Statistics'!AY$2:AY$400,MATCH(1,($A9='Offer Statistics'!$AK$2:$AK$400)*($AC$2='Offer Statistics'!$AL$2:$AL$400),0)),"/")</f>
        <v>0</v>
      </c>
      <c r="AJ9" s="538"/>
      <c r="AK9" s="36" cm="1">
        <f t="array" ref="AK9">IFERROR(INDEX('Offer Statistics'!$AR$2:$AR$400,MATCH(1,($A9='Offer Statistics'!$AK$2:$AK$400)*($AC$2='Offer Statistics'!$AL$2:$AL$400),0)),"/")</f>
        <v>2334</v>
      </c>
      <c r="AL9" s="63" cm="1">
        <f t="array" ref="AL9">IFERROR(INDEX('Offer Statistics'!AM$2:AM$400,MATCH(1,($A9='Offer Statistics'!$AK$2:$AK$400)*($AC$2='Offer Statistics'!$AL$2:$AL$400),0)),"/")</f>
        <v>252</v>
      </c>
      <c r="AM9" s="63" cm="1">
        <f t="array" ref="AM9">IFERROR(INDEX('Offer Statistics'!AN$2:AN$400,MATCH(1,($A9='Offer Statistics'!$AK$2:$AK$400)*($AC$2='Offer Statistics'!$AL$2:$AL$400),0)),"/")</f>
        <v>394</v>
      </c>
      <c r="AN9" s="63" cm="1">
        <f t="array" ref="AN9">IFERROR(INDEX('Offer Statistics'!AO$2:AO$400,MATCH(1,($A9='Offer Statistics'!$AK$2:$AK$400)*($AC$2='Offer Statistics'!$AL$2:$AL$400),0)),"/")</f>
        <v>574</v>
      </c>
      <c r="AO9" s="63" cm="1">
        <f t="array" ref="AO9">IFERROR(INDEX('Offer Statistics'!AP$2:AP$400,MATCH(1,($A9='Offer Statistics'!$AK$2:$AK$400)*($AC$2='Offer Statistics'!$AL$2:$AL$400),0)),"/")</f>
        <v>649</v>
      </c>
      <c r="AP9" s="63" cm="1">
        <f t="array" ref="AP9">IFERROR(INDEX('Offer Statistics'!AQ$2:AQ$400,MATCH(1,($A9='Offer Statistics'!$AK$2:$AK$400)*($AC$2='Offer Statistics'!$AL$2:$AL$400),0)),"/")</f>
        <v>465</v>
      </c>
      <c r="AQ9" s="15"/>
      <c r="AR9" s="15" t="str">
        <f t="shared" si="3"/>
        <v>JS3011</v>
      </c>
    </row>
    <row r="10" spans="1:44" ht="18" customHeight="1">
      <c r="A10" s="4" t="str">
        <f>'Reference Score Calculation'!B106</f>
        <v>JS3030</v>
      </c>
      <c r="B10" s="4" t="str">
        <f>'Reference Score Calculation'!D106</f>
        <v>理學院</v>
      </c>
      <c r="C10" s="4" t="str">
        <f>'Reference Score Calculation'!E106</f>
        <v>物理學(榮譽)理學士副主修人工智能及數據分析 / 創新及創業</v>
      </c>
      <c r="D10" s="4" t="str">
        <f>'Reference Score Calculation'!S106</f>
        <v>PHYSICS</v>
      </c>
      <c r="E10" s="352" t="str">
        <f>'Reference Score Calculation'!AC106</f>
        <v>Best 5</v>
      </c>
      <c r="F10" s="373" t="str">
        <f>'Reference Score Calculation'!F106</f>
        <v>Best 5</v>
      </c>
      <c r="G10" s="239">
        <f>'Reference Score Calculation'!I106</f>
        <v>208</v>
      </c>
      <c r="H10" s="239">
        <f>'Reference Score Calculation'!J106</f>
        <v>190</v>
      </c>
      <c r="I10" s="239">
        <f>'Reference Score Calculation'!G106</f>
        <v>205.3</v>
      </c>
      <c r="J10" s="240">
        <f>計分版!J129</f>
        <v>1.07E-8</v>
      </c>
      <c r="K10" s="25">
        <f t="shared" si="0"/>
        <v>-207.99999998929999</v>
      </c>
      <c r="L10" s="150">
        <f t="shared" si="1"/>
        <v>-19439252335.448597</v>
      </c>
      <c r="M10" s="36">
        <f>'Reference Score Calculation'!U106</f>
        <v>23</v>
      </c>
      <c r="N10" s="241">
        <f>入學要求!Z115</f>
        <v>0</v>
      </c>
      <c r="O10" s="544"/>
      <c r="P10" s="243">
        <f>入學要求!L115</f>
        <v>3</v>
      </c>
      <c r="Q10" s="243">
        <f>入學要求!M115</f>
        <v>3</v>
      </c>
      <c r="R10" s="243">
        <f>入學要求!N115</f>
        <v>2</v>
      </c>
      <c r="S10" s="243">
        <f>入學要求!O115</f>
        <v>1</v>
      </c>
      <c r="T10" s="243">
        <f>入學要求!P115</f>
        <v>3</v>
      </c>
      <c r="U10" s="243">
        <f>入學要求!Q115</f>
        <v>3</v>
      </c>
      <c r="V10" s="236">
        <f>入學要求!S115</f>
        <v>0</v>
      </c>
      <c r="W10" s="236">
        <f>入學要求!T115</f>
        <v>0</v>
      </c>
      <c r="X10" s="236">
        <f>入學要求!U115</f>
        <v>0</v>
      </c>
      <c r="Y10" s="236">
        <f>入學要求!V115</f>
        <v>0</v>
      </c>
      <c r="Z10" s="236">
        <f>入學要求!W115</f>
        <v>0</v>
      </c>
      <c r="AA10" s="236">
        <f>入學要求!X115</f>
        <v>0</v>
      </c>
      <c r="AB10" s="374">
        <f t="shared" si="2"/>
        <v>10.47</v>
      </c>
      <c r="AC10" s="537"/>
      <c r="AD10" s="36" cm="1">
        <f t="array" ref="AD10">IFERROR(INDEX('Offer Statistics'!$AZ$2:$AZ$400,MATCH(1,($A10='Offer Statistics'!$AK$2:$AK$400)*($AC$2='Offer Statistics'!$AL$2:$AL$400),0)),"/")</f>
        <v>22</v>
      </c>
      <c r="AE10" s="63" cm="1">
        <f t="array" ref="AE10">IFERROR(INDEX('Offer Statistics'!AU$2:AU$400,MATCH(1,($A10='Offer Statistics'!$AK$2:$AK$400)*($AC$2='Offer Statistics'!$AL$2:$AL$400),0)),"/")</f>
        <v>17</v>
      </c>
      <c r="AF10" s="63" cm="1">
        <f t="array" ref="AF10">IFERROR(INDEX('Offer Statistics'!AV$2:AV$400,MATCH(1,($A10='Offer Statistics'!$AK$2:$AK$400)*($AC$2='Offer Statistics'!$AL$2:$AL$400),0)),"/")</f>
        <v>5</v>
      </c>
      <c r="AG10" s="63" cm="1">
        <f t="array" ref="AG10">IFERROR(INDEX('Offer Statistics'!AW$2:AW$400,MATCH(1,($A10='Offer Statistics'!$AK$2:$AK$400)*($AC$2='Offer Statistics'!$AL$2:$AL$400),0)),"/")</f>
        <v>0</v>
      </c>
      <c r="AH10" s="63" cm="1">
        <f t="array" ref="AH10">IFERROR(INDEX('Offer Statistics'!AX$2:AX$400,MATCH(1,($A10='Offer Statistics'!$AK$2:$AK$400)*($AC$2='Offer Statistics'!$AL$2:$AL$400),0)),"/")</f>
        <v>0</v>
      </c>
      <c r="AI10" s="63" cm="1">
        <f t="array" ref="AI10">IFERROR(INDEX('Offer Statistics'!AY$2:AY$400,MATCH(1,($A10='Offer Statistics'!$AK$2:$AK$400)*($AC$2='Offer Statistics'!$AL$2:$AL$400),0)),"/")</f>
        <v>0</v>
      </c>
      <c r="AJ10" s="538"/>
      <c r="AK10" s="36" cm="1">
        <f t="array" ref="AK10">IFERROR(INDEX('Offer Statistics'!$AR$2:$AR$400,MATCH(1,($A10='Offer Statistics'!$AK$2:$AK$400)*($AC$2='Offer Statistics'!$AL$2:$AL$400),0)),"/")</f>
        <v>1802</v>
      </c>
      <c r="AL10" s="63" cm="1">
        <f t="array" ref="AL10">IFERROR(INDEX('Offer Statistics'!AM$2:AM$400,MATCH(1,($A10='Offer Statistics'!$AK$2:$AK$400)*($AC$2='Offer Statistics'!$AL$2:$AL$400),0)),"/")</f>
        <v>178</v>
      </c>
      <c r="AM10" s="63" cm="1">
        <f t="array" ref="AM10">IFERROR(INDEX('Offer Statistics'!AN$2:AN$400,MATCH(1,($A10='Offer Statistics'!$AK$2:$AK$400)*($AC$2='Offer Statistics'!$AL$2:$AL$400),0)),"/")</f>
        <v>280</v>
      </c>
      <c r="AN10" s="63" cm="1">
        <f t="array" ref="AN10">IFERROR(INDEX('Offer Statistics'!AO$2:AO$400,MATCH(1,($A10='Offer Statistics'!$AK$2:$AK$400)*($AC$2='Offer Statistics'!$AL$2:$AL$400),0)),"/")</f>
        <v>436</v>
      </c>
      <c r="AO10" s="63" cm="1">
        <f t="array" ref="AO10">IFERROR(INDEX('Offer Statistics'!AP$2:AP$400,MATCH(1,($A10='Offer Statistics'!$AK$2:$AK$400)*($AC$2='Offer Statistics'!$AL$2:$AL$400),0)),"/")</f>
        <v>533</v>
      </c>
      <c r="AP10" s="63" cm="1">
        <f t="array" ref="AP10">IFERROR(INDEX('Offer Statistics'!AQ$2:AQ$400,MATCH(1,($A10='Offer Statistics'!$AK$2:$AK$400)*($AC$2='Offer Statistics'!$AL$2:$AL$400),0)),"/")</f>
        <v>375</v>
      </c>
      <c r="AQ10" s="15"/>
      <c r="AR10" s="15" t="str">
        <f t="shared" si="3"/>
        <v>JS3030</v>
      </c>
    </row>
    <row r="11" spans="1:44" ht="18" customHeight="1">
      <c r="A11" s="4" t="str">
        <f>'Reference Score Calculation'!B107</f>
        <v>JS3050</v>
      </c>
      <c r="B11" s="4" t="str">
        <f>'Reference Score Calculation'!D107</f>
        <v>時裝及紡織學院</v>
      </c>
      <c r="C11" s="4" t="str">
        <f>'Reference Score Calculation'!E107</f>
        <v>時裝(榮譽)文學士組合課程 (時裝設計 / 針織時裝設計 / 內衣及運動服裝 / 時裝商務 / 時裝創新及科技)</v>
      </c>
      <c r="D11" s="4" t="str">
        <f>'Reference Score Calculation'!S107</f>
        <v>FASHION</v>
      </c>
      <c r="E11" s="352" t="str">
        <f>'Reference Score Calculation'!AC107</f>
        <v>Best 5</v>
      </c>
      <c r="F11" s="373" t="str">
        <f>'Reference Score Calculation'!F107</f>
        <v>Best 5</v>
      </c>
      <c r="G11" s="239">
        <f>'Reference Score Calculation'!I107</f>
        <v>160.5</v>
      </c>
      <c r="H11" s="239">
        <f>'Reference Score Calculation'!J107</f>
        <v>146</v>
      </c>
      <c r="I11" s="239">
        <f>'Reference Score Calculation'!G107</f>
        <v>164.6</v>
      </c>
      <c r="J11" s="240">
        <f>計分版!J130</f>
        <v>7.6999999999999995E-9</v>
      </c>
      <c r="K11" s="25">
        <f t="shared" si="0"/>
        <v>-160.49999999229999</v>
      </c>
      <c r="L11" s="150">
        <f t="shared" si="1"/>
        <v>-20844155843.155846</v>
      </c>
      <c r="M11" s="36">
        <f>'Reference Score Calculation'!U107</f>
        <v>101</v>
      </c>
      <c r="N11" s="241">
        <f>入學要求!Z116</f>
        <v>0</v>
      </c>
      <c r="O11" s="544"/>
      <c r="P11" s="243">
        <f>入學要求!L116</f>
        <v>3</v>
      </c>
      <c r="Q11" s="243">
        <f>入學要求!M116</f>
        <v>3</v>
      </c>
      <c r="R11" s="243">
        <f>入學要求!N116</f>
        <v>2</v>
      </c>
      <c r="S11" s="243">
        <f>入學要求!O116</f>
        <v>1</v>
      </c>
      <c r="T11" s="243">
        <f>入學要求!P116</f>
        <v>3</v>
      </c>
      <c r="U11" s="243">
        <f>入學要求!Q116</f>
        <v>3</v>
      </c>
      <c r="V11" s="236">
        <f>入學要求!S116</f>
        <v>0</v>
      </c>
      <c r="W11" s="236">
        <f>入學要求!T116</f>
        <v>0</v>
      </c>
      <c r="X11" s="236">
        <f>入學要求!U116</f>
        <v>0</v>
      </c>
      <c r="Y11" s="236">
        <f>入學要求!V116</f>
        <v>0</v>
      </c>
      <c r="Z11" s="236">
        <f>入學要求!W116</f>
        <v>0</v>
      </c>
      <c r="AA11" s="236">
        <f>入學要求!X116</f>
        <v>0</v>
      </c>
      <c r="AB11" s="374">
        <f t="shared" si="2"/>
        <v>10.87</v>
      </c>
      <c r="AC11" s="537"/>
      <c r="AD11" s="36" cm="1">
        <f t="array" ref="AD11">IFERROR(INDEX('Offer Statistics'!$AZ$2:$AZ$400,MATCH(1,($A11='Offer Statistics'!$AK$2:$AK$400)*($AC$2='Offer Statistics'!$AL$2:$AL$400),0)),"/")</f>
        <v>82</v>
      </c>
      <c r="AE11" s="63" cm="1">
        <f t="array" ref="AE11">IFERROR(INDEX('Offer Statistics'!AU$2:AU$400,MATCH(1,($A11='Offer Statistics'!$AK$2:$AK$400)*($AC$2='Offer Statistics'!$AL$2:$AL$400),0)),"/")</f>
        <v>77</v>
      </c>
      <c r="AF11" s="63" cm="1">
        <f t="array" ref="AF11">IFERROR(INDEX('Offer Statistics'!AV$2:AV$400,MATCH(1,($A11='Offer Statistics'!$AK$2:$AK$400)*($AC$2='Offer Statistics'!$AL$2:$AL$400),0)),"/")</f>
        <v>4</v>
      </c>
      <c r="AG11" s="63" cm="1">
        <f t="array" ref="AG11">IFERROR(INDEX('Offer Statistics'!AW$2:AW$400,MATCH(1,($A11='Offer Statistics'!$AK$2:$AK$400)*($AC$2='Offer Statistics'!$AL$2:$AL$400),0)),"/")</f>
        <v>0</v>
      </c>
      <c r="AH11" s="63" cm="1">
        <f t="array" ref="AH11">IFERROR(INDEX('Offer Statistics'!AX$2:AX$400,MATCH(1,($A11='Offer Statistics'!$AK$2:$AK$400)*($AC$2='Offer Statistics'!$AL$2:$AL$400),0)),"/")</f>
        <v>1</v>
      </c>
      <c r="AI11" s="63" cm="1">
        <f t="array" ref="AI11">IFERROR(INDEX('Offer Statistics'!AY$2:AY$400,MATCH(1,($A11='Offer Statistics'!$AK$2:$AK$400)*($AC$2='Offer Statistics'!$AL$2:$AL$400),0)),"/")</f>
        <v>0</v>
      </c>
      <c r="AJ11" s="538"/>
      <c r="AK11" s="36" cm="1">
        <f t="array" ref="AK11">IFERROR(INDEX('Offer Statistics'!$AR$2:$AR$400,MATCH(1,($A11='Offer Statistics'!$AK$2:$AK$400)*($AC$2='Offer Statistics'!$AL$2:$AL$400),0)),"/")</f>
        <v>2841</v>
      </c>
      <c r="AL11" s="63" cm="1">
        <f t="array" ref="AL11">IFERROR(INDEX('Offer Statistics'!AM$2:AM$400,MATCH(1,($A11='Offer Statistics'!$AK$2:$AK$400)*($AC$2='Offer Statistics'!$AL$2:$AL$400),0)),"/")</f>
        <v>837</v>
      </c>
      <c r="AM11" s="63" cm="1">
        <f t="array" ref="AM11">IFERROR(INDEX('Offer Statistics'!AN$2:AN$400,MATCH(1,($A11='Offer Statistics'!$AK$2:$AK$400)*($AC$2='Offer Statistics'!$AL$2:$AL$400),0)),"/")</f>
        <v>445</v>
      </c>
      <c r="AN11" s="63" cm="1">
        <f t="array" ref="AN11">IFERROR(INDEX('Offer Statistics'!AO$2:AO$400,MATCH(1,($A11='Offer Statistics'!$AK$2:$AK$400)*($AC$2='Offer Statistics'!$AL$2:$AL$400),0)),"/")</f>
        <v>519</v>
      </c>
      <c r="AO11" s="63" cm="1">
        <f t="array" ref="AO11">IFERROR(INDEX('Offer Statistics'!AP$2:AP$400,MATCH(1,($A11='Offer Statistics'!$AK$2:$AK$400)*($AC$2='Offer Statistics'!$AL$2:$AL$400),0)),"/")</f>
        <v>552</v>
      </c>
      <c r="AP11" s="63" cm="1">
        <f t="array" ref="AP11">IFERROR(INDEX('Offer Statistics'!AQ$2:AQ$400,MATCH(1,($A11='Offer Statistics'!$AK$2:$AK$400)*($AC$2='Offer Statistics'!$AL$2:$AL$400),0)),"/")</f>
        <v>488</v>
      </c>
      <c r="AQ11" s="15"/>
      <c r="AR11" s="15" t="str">
        <f t="shared" si="3"/>
        <v>JS3050</v>
      </c>
    </row>
    <row r="12" spans="1:44" ht="18" customHeight="1">
      <c r="A12" s="4" t="str">
        <f>'Reference Score Calculation'!B108</f>
        <v>JS3060</v>
      </c>
      <c r="B12" s="4" t="str">
        <f>'Reference Score Calculation'!D108</f>
        <v>工商管理學院</v>
      </c>
      <c r="C12" s="4" t="str">
        <f>'Reference Score Calculation'!E108</f>
        <v>會計及金融(榮譽)工商管理學士組合課程 (會計學 / 會計及金融 / 數碼金融及投資學)</v>
      </c>
      <c r="D12" s="4" t="str">
        <f>'Reference Score Calculation'!S108</f>
        <v>ACCT &amp; FINANCE</v>
      </c>
      <c r="E12" s="352" t="str">
        <f>'Reference Score Calculation'!AC108</f>
        <v>Best 5</v>
      </c>
      <c r="F12" s="373" t="str">
        <f>'Reference Score Calculation'!F108</f>
        <v>Best 5</v>
      </c>
      <c r="G12" s="239">
        <f>'Reference Score Calculation'!I108</f>
        <v>178</v>
      </c>
      <c r="H12" s="239">
        <f>'Reference Score Calculation'!J108</f>
        <v>172</v>
      </c>
      <c r="I12" s="239">
        <f>'Reference Score Calculation'!G108</f>
        <v>178.3</v>
      </c>
      <c r="J12" s="240">
        <f>計分版!J131</f>
        <v>9.1999999999999997E-9</v>
      </c>
      <c r="K12" s="25">
        <f t="shared" si="0"/>
        <v>-177.99999999080001</v>
      </c>
      <c r="L12" s="150">
        <f t="shared" si="1"/>
        <v>-19347826085.956524</v>
      </c>
      <c r="M12" s="36">
        <f>'Reference Score Calculation'!U108</f>
        <v>78</v>
      </c>
      <c r="N12" s="241">
        <f>入學要求!Z117</f>
        <v>0</v>
      </c>
      <c r="O12" s="544"/>
      <c r="P12" s="243">
        <f>入學要求!L117</f>
        <v>3</v>
      </c>
      <c r="Q12" s="243">
        <f>入學要求!M117</f>
        <v>3</v>
      </c>
      <c r="R12" s="243">
        <f>入學要求!N117</f>
        <v>2</v>
      </c>
      <c r="S12" s="243">
        <f>入學要求!O117</f>
        <v>1</v>
      </c>
      <c r="T12" s="243">
        <f>入學要求!P117</f>
        <v>3</v>
      </c>
      <c r="U12" s="243">
        <f>入學要求!Q117</f>
        <v>3</v>
      </c>
      <c r="V12" s="236">
        <f>入學要求!S117</f>
        <v>0</v>
      </c>
      <c r="W12" s="236">
        <f>入學要求!T117</f>
        <v>0</v>
      </c>
      <c r="X12" s="236">
        <f>入學要求!U117</f>
        <v>0</v>
      </c>
      <c r="Y12" s="236">
        <f>入學要求!V117</f>
        <v>0</v>
      </c>
      <c r="Z12" s="236">
        <f>入學要求!W117</f>
        <v>0</v>
      </c>
      <c r="AA12" s="236">
        <f>入學要求!X117</f>
        <v>0</v>
      </c>
      <c r="AB12" s="374">
        <f t="shared" si="2"/>
        <v>6.26</v>
      </c>
      <c r="AC12" s="537"/>
      <c r="AD12" s="36" cm="1">
        <f t="array" ref="AD12">IFERROR(INDEX('Offer Statistics'!$AZ$2:$AZ$400,MATCH(1,($A12='Offer Statistics'!$AK$2:$AK$400)*($AC$2='Offer Statistics'!$AL$2:$AL$400),0)),"/")</f>
        <v>108</v>
      </c>
      <c r="AE12" s="63" cm="1">
        <f t="array" ref="AE12">IFERROR(INDEX('Offer Statistics'!AU$2:AU$400,MATCH(1,($A12='Offer Statistics'!$AK$2:$AK$400)*($AC$2='Offer Statistics'!$AL$2:$AL$400),0)),"/")</f>
        <v>99</v>
      </c>
      <c r="AF12" s="63" cm="1">
        <f t="array" ref="AF12">IFERROR(INDEX('Offer Statistics'!AV$2:AV$400,MATCH(1,($A12='Offer Statistics'!$AK$2:$AK$400)*($AC$2='Offer Statistics'!$AL$2:$AL$400),0)),"/")</f>
        <v>3</v>
      </c>
      <c r="AG12" s="63" cm="1">
        <f t="array" ref="AG12">IFERROR(INDEX('Offer Statistics'!AW$2:AW$400,MATCH(1,($A12='Offer Statistics'!$AK$2:$AK$400)*($AC$2='Offer Statistics'!$AL$2:$AL$400),0)),"/")</f>
        <v>2</v>
      </c>
      <c r="AH12" s="63" cm="1">
        <f t="array" ref="AH12">IFERROR(INDEX('Offer Statistics'!AX$2:AX$400,MATCH(1,($A12='Offer Statistics'!$AK$2:$AK$400)*($AC$2='Offer Statistics'!$AL$2:$AL$400),0)),"/")</f>
        <v>3</v>
      </c>
      <c r="AI12" s="63" cm="1">
        <f t="array" ref="AI12">IFERROR(INDEX('Offer Statistics'!AY$2:AY$400,MATCH(1,($A12='Offer Statistics'!$AK$2:$AK$400)*($AC$2='Offer Statistics'!$AL$2:$AL$400),0)),"/")</f>
        <v>1</v>
      </c>
      <c r="AJ12" s="538"/>
      <c r="AK12" s="36" cm="1">
        <f t="array" ref="AK12">IFERROR(INDEX('Offer Statistics'!$AR$2:$AR$400,MATCH(1,($A12='Offer Statistics'!$AK$2:$AK$400)*($AC$2='Offer Statistics'!$AL$2:$AL$400),0)),"/")</f>
        <v>3990</v>
      </c>
      <c r="AL12" s="63" cm="1">
        <f t="array" ref="AL12">IFERROR(INDEX('Offer Statistics'!AM$2:AM$400,MATCH(1,($A12='Offer Statistics'!$AK$2:$AK$400)*($AC$2='Offer Statistics'!$AL$2:$AL$400),0)),"/")</f>
        <v>620</v>
      </c>
      <c r="AM12" s="63" cm="1">
        <f t="array" ref="AM12">IFERROR(INDEX('Offer Statistics'!AN$2:AN$400,MATCH(1,($A12='Offer Statistics'!$AK$2:$AK$400)*($AC$2='Offer Statistics'!$AL$2:$AL$400),0)),"/")</f>
        <v>711</v>
      </c>
      <c r="AN12" s="63" cm="1">
        <f t="array" ref="AN12">IFERROR(INDEX('Offer Statistics'!AO$2:AO$400,MATCH(1,($A12='Offer Statistics'!$AK$2:$AK$400)*($AC$2='Offer Statistics'!$AL$2:$AL$400),0)),"/")</f>
        <v>913</v>
      </c>
      <c r="AO12" s="63" cm="1">
        <f t="array" ref="AO12">IFERROR(INDEX('Offer Statistics'!AP$2:AP$400,MATCH(1,($A12='Offer Statistics'!$AK$2:$AK$400)*($AC$2='Offer Statistics'!$AL$2:$AL$400),0)),"/")</f>
        <v>1021</v>
      </c>
      <c r="AP12" s="63" cm="1">
        <f t="array" ref="AP12">IFERROR(INDEX('Offer Statistics'!AQ$2:AQ$400,MATCH(1,($A12='Offer Statistics'!$AK$2:$AK$400)*($AC$2='Offer Statistics'!$AL$2:$AL$400),0)),"/")</f>
        <v>725</v>
      </c>
      <c r="AQ12" s="15"/>
      <c r="AR12" s="15" t="str">
        <f t="shared" si="3"/>
        <v>JS3060</v>
      </c>
    </row>
    <row r="13" spans="1:44" ht="18" customHeight="1">
      <c r="A13" s="4" t="str">
        <f>'Reference Score Calculation'!B109</f>
        <v>JS3070</v>
      </c>
      <c r="B13" s="4" t="str">
        <f>'Reference Score Calculation'!D109</f>
        <v>工商管理學院</v>
      </c>
      <c r="C13" s="4" t="str">
        <f>'Reference Score Calculation'!E109</f>
        <v>環球商業及物流、航空、航運及供應鏈管理(榮譽)工商管理學士組合課程</v>
      </c>
      <c r="D13" s="4" t="str">
        <f>'Reference Score Calculation'!S109</f>
        <v>GBL,AVIAT,MARI &amp; SC MGT</v>
      </c>
      <c r="E13" s="352" t="str">
        <f>'Reference Score Calculation'!AC109</f>
        <v>Best 5</v>
      </c>
      <c r="F13" s="373" t="str">
        <f>'Reference Score Calculation'!F109</f>
        <v>Best 5</v>
      </c>
      <c r="G13" s="239">
        <f>'Reference Score Calculation'!I109</f>
        <v>168</v>
      </c>
      <c r="H13" s="239">
        <f>'Reference Score Calculation'!J109</f>
        <v>164.5</v>
      </c>
      <c r="I13" s="239">
        <f>'Reference Score Calculation'!G109</f>
        <v>169.3</v>
      </c>
      <c r="J13" s="240">
        <f>計分版!J132</f>
        <v>9.1999999999999997E-9</v>
      </c>
      <c r="K13" s="25">
        <f t="shared" si="0"/>
        <v>-167.99999999080001</v>
      </c>
      <c r="L13" s="150">
        <f t="shared" si="1"/>
        <v>-18260869564.217392</v>
      </c>
      <c r="M13" s="36">
        <f>'Reference Score Calculation'!U109</f>
        <v>43</v>
      </c>
      <c r="N13" s="241">
        <f>入學要求!Z118</f>
        <v>0</v>
      </c>
      <c r="O13" s="544"/>
      <c r="P13" s="243">
        <f>入學要求!L118</f>
        <v>3</v>
      </c>
      <c r="Q13" s="243">
        <f>入學要求!M118</f>
        <v>3</v>
      </c>
      <c r="R13" s="243">
        <f>入學要求!N118</f>
        <v>2</v>
      </c>
      <c r="S13" s="243">
        <f>入學要求!O118</f>
        <v>1</v>
      </c>
      <c r="T13" s="243">
        <f>入學要求!P118</f>
        <v>3</v>
      </c>
      <c r="U13" s="243">
        <f>入學要求!Q118</f>
        <v>3</v>
      </c>
      <c r="V13" s="236">
        <f>入學要求!S118</f>
        <v>0</v>
      </c>
      <c r="W13" s="236">
        <f>入學要求!T118</f>
        <v>0</v>
      </c>
      <c r="X13" s="236">
        <f>入學要求!U118</f>
        <v>0</v>
      </c>
      <c r="Y13" s="236">
        <f>入學要求!V118</f>
        <v>0</v>
      </c>
      <c r="Z13" s="236">
        <f>入學要求!W118</f>
        <v>0</v>
      </c>
      <c r="AA13" s="236">
        <f>入學要求!X118</f>
        <v>0</v>
      </c>
      <c r="AB13" s="374">
        <f t="shared" si="2"/>
        <v>12.26</v>
      </c>
      <c r="AC13" s="537"/>
      <c r="AD13" s="36" cm="1">
        <f t="array" ref="AD13">IFERROR(INDEX('Offer Statistics'!$AZ$2:$AZ$400,MATCH(1,($A13='Offer Statistics'!$AK$2:$AK$400)*($AC$2='Offer Statistics'!$AL$2:$AL$400),0)),"/")</f>
        <v>46</v>
      </c>
      <c r="AE13" s="63" cm="1">
        <f t="array" ref="AE13">IFERROR(INDEX('Offer Statistics'!AU$2:AU$400,MATCH(1,($A13='Offer Statistics'!$AK$2:$AK$400)*($AC$2='Offer Statistics'!$AL$2:$AL$400),0)),"/")</f>
        <v>42</v>
      </c>
      <c r="AF13" s="63" cm="1">
        <f t="array" ref="AF13">IFERROR(INDEX('Offer Statistics'!AV$2:AV$400,MATCH(1,($A13='Offer Statistics'!$AK$2:$AK$400)*($AC$2='Offer Statistics'!$AL$2:$AL$400),0)),"/")</f>
        <v>3</v>
      </c>
      <c r="AG13" s="63" cm="1">
        <f t="array" ref="AG13">IFERROR(INDEX('Offer Statistics'!AW$2:AW$400,MATCH(1,($A13='Offer Statistics'!$AK$2:$AK$400)*($AC$2='Offer Statistics'!$AL$2:$AL$400),0)),"/")</f>
        <v>1</v>
      </c>
      <c r="AH13" s="63" cm="1">
        <f t="array" ref="AH13">IFERROR(INDEX('Offer Statistics'!AX$2:AX$400,MATCH(1,($A13='Offer Statistics'!$AK$2:$AK$400)*($AC$2='Offer Statistics'!$AL$2:$AL$400),0)),"/")</f>
        <v>0</v>
      </c>
      <c r="AI13" s="63" cm="1">
        <f t="array" ref="AI13">IFERROR(INDEX('Offer Statistics'!AY$2:AY$400,MATCH(1,($A13='Offer Statistics'!$AK$2:$AK$400)*($AC$2='Offer Statistics'!$AL$2:$AL$400),0)),"/")</f>
        <v>0</v>
      </c>
      <c r="AJ13" s="538"/>
      <c r="AK13" s="36" cm="1">
        <f t="array" ref="AK13">IFERROR(INDEX('Offer Statistics'!$AR$2:$AR$400,MATCH(1,($A13='Offer Statistics'!$AK$2:$AK$400)*($AC$2='Offer Statistics'!$AL$2:$AL$400),0)),"/")</f>
        <v>3189</v>
      </c>
      <c r="AL13" s="63" cm="1">
        <f t="array" ref="AL13">IFERROR(INDEX('Offer Statistics'!AM$2:AM$400,MATCH(1,($A13='Offer Statistics'!$AK$2:$AK$400)*($AC$2='Offer Statistics'!$AL$2:$AL$400),0)),"/")</f>
        <v>515</v>
      </c>
      <c r="AM13" s="63" cm="1">
        <f t="array" ref="AM13">IFERROR(INDEX('Offer Statistics'!AN$2:AN$400,MATCH(1,($A13='Offer Statistics'!$AK$2:$AK$400)*($AC$2='Offer Statistics'!$AL$2:$AL$400),0)),"/")</f>
        <v>544</v>
      </c>
      <c r="AN13" s="63" cm="1">
        <f t="array" ref="AN13">IFERROR(INDEX('Offer Statistics'!AO$2:AO$400,MATCH(1,($A13='Offer Statistics'!$AK$2:$AK$400)*($AC$2='Offer Statistics'!$AL$2:$AL$400),0)),"/")</f>
        <v>699</v>
      </c>
      <c r="AO13" s="63" cm="1">
        <f t="array" ref="AO13">IFERROR(INDEX('Offer Statistics'!AP$2:AP$400,MATCH(1,($A13='Offer Statistics'!$AK$2:$AK$400)*($AC$2='Offer Statistics'!$AL$2:$AL$400),0)),"/")</f>
        <v>783</v>
      </c>
      <c r="AP13" s="63" cm="1">
        <f t="array" ref="AP13">IFERROR(INDEX('Offer Statistics'!AQ$2:AQ$400,MATCH(1,($A13='Offer Statistics'!$AK$2:$AK$400)*($AC$2='Offer Statistics'!$AL$2:$AL$400),0)),"/")</f>
        <v>648</v>
      </c>
      <c r="AQ13" s="15"/>
      <c r="AR13" s="15" t="str">
        <f t="shared" si="3"/>
        <v>JS3070</v>
      </c>
    </row>
    <row r="14" spans="1:44" ht="18" customHeight="1">
      <c r="A14" s="4" t="str">
        <f>'Reference Score Calculation'!B110</f>
        <v>JS3080</v>
      </c>
      <c r="B14" s="4" t="str">
        <f>'Reference Score Calculation'!D110</f>
        <v>工商管理學院</v>
      </c>
      <c r="C14" s="4" t="str">
        <f>'Reference Score Calculation'!E110</f>
        <v>管理及市場學(榮譽)工商管理學士組合課程 (管理學 / 市場學)</v>
      </c>
      <c r="D14" s="4" t="str">
        <f>'Reference Score Calculation'!S110</f>
        <v>MGT &amp; MARKETING</v>
      </c>
      <c r="E14" s="352" t="str">
        <f>'Reference Score Calculation'!AC110</f>
        <v>Best 5</v>
      </c>
      <c r="F14" s="373" t="str">
        <f>'Reference Score Calculation'!F110</f>
        <v>Best 5</v>
      </c>
      <c r="G14" s="239">
        <f>'Reference Score Calculation'!I110</f>
        <v>174.5</v>
      </c>
      <c r="H14" s="239">
        <f>'Reference Score Calculation'!J110</f>
        <v>169</v>
      </c>
      <c r="I14" s="239">
        <f>'Reference Score Calculation'!G110</f>
        <v>175.2</v>
      </c>
      <c r="J14" s="240">
        <f>計分版!J133</f>
        <v>9.1999999999999997E-9</v>
      </c>
      <c r="K14" s="25">
        <f t="shared" si="0"/>
        <v>-174.49999999080001</v>
      </c>
      <c r="L14" s="150">
        <f t="shared" si="1"/>
        <v>-18967391303.347828</v>
      </c>
      <c r="M14" s="36">
        <f>'Reference Score Calculation'!U110</f>
        <v>48</v>
      </c>
      <c r="N14" s="241">
        <f>入學要求!Z119</f>
        <v>0</v>
      </c>
      <c r="O14" s="544"/>
      <c r="P14" s="243">
        <f>入學要求!L119</f>
        <v>3</v>
      </c>
      <c r="Q14" s="243">
        <f>入學要求!M119</f>
        <v>3</v>
      </c>
      <c r="R14" s="243">
        <f>入學要求!N119</f>
        <v>2</v>
      </c>
      <c r="S14" s="243">
        <f>入學要求!O119</f>
        <v>1</v>
      </c>
      <c r="T14" s="243">
        <f>入學要求!P119</f>
        <v>3</v>
      </c>
      <c r="U14" s="243">
        <f>入學要求!Q119</f>
        <v>3</v>
      </c>
      <c r="V14" s="236">
        <f>入學要求!S119</f>
        <v>0</v>
      </c>
      <c r="W14" s="236">
        <f>入學要求!T119</f>
        <v>0</v>
      </c>
      <c r="X14" s="236">
        <f>入學要求!U119</f>
        <v>0</v>
      </c>
      <c r="Y14" s="236">
        <f>入學要求!V119</f>
        <v>0</v>
      </c>
      <c r="Z14" s="236">
        <f>入學要求!W119</f>
        <v>0</v>
      </c>
      <c r="AA14" s="236">
        <f>入學要求!X119</f>
        <v>0</v>
      </c>
      <c r="AB14" s="374">
        <f t="shared" si="2"/>
        <v>11.25</v>
      </c>
      <c r="AC14" s="537"/>
      <c r="AD14" s="36" cm="1">
        <f t="array" ref="AD14">IFERROR(INDEX('Offer Statistics'!$AZ$2:$AZ$400,MATCH(1,($A14='Offer Statistics'!$AK$2:$AK$400)*($AC$2='Offer Statistics'!$AL$2:$AL$400),0)),"/")</f>
        <v>65</v>
      </c>
      <c r="AE14" s="63" cm="1">
        <f t="array" ref="AE14">IFERROR(INDEX('Offer Statistics'!AU$2:AU$400,MATCH(1,($A14='Offer Statistics'!$AK$2:$AK$400)*($AC$2='Offer Statistics'!$AL$2:$AL$400),0)),"/")</f>
        <v>59</v>
      </c>
      <c r="AF14" s="63" cm="1">
        <f t="array" ref="AF14">IFERROR(INDEX('Offer Statistics'!AV$2:AV$400,MATCH(1,($A14='Offer Statistics'!$AK$2:$AK$400)*($AC$2='Offer Statistics'!$AL$2:$AL$400),0)),"/")</f>
        <v>4</v>
      </c>
      <c r="AG14" s="63" cm="1">
        <f t="array" ref="AG14">IFERROR(INDEX('Offer Statistics'!AW$2:AW$400,MATCH(1,($A14='Offer Statistics'!$AK$2:$AK$400)*($AC$2='Offer Statistics'!$AL$2:$AL$400),0)),"/")</f>
        <v>1</v>
      </c>
      <c r="AH14" s="63" cm="1">
        <f t="array" ref="AH14">IFERROR(INDEX('Offer Statistics'!AX$2:AX$400,MATCH(1,($A14='Offer Statistics'!$AK$2:$AK$400)*($AC$2='Offer Statistics'!$AL$2:$AL$400),0)),"/")</f>
        <v>1</v>
      </c>
      <c r="AI14" s="63" cm="1">
        <f t="array" ref="AI14">IFERROR(INDEX('Offer Statistics'!AY$2:AY$400,MATCH(1,($A14='Offer Statistics'!$AK$2:$AK$400)*($AC$2='Offer Statistics'!$AL$2:$AL$400),0)),"/")</f>
        <v>0</v>
      </c>
      <c r="AJ14" s="538"/>
      <c r="AK14" s="36" cm="1">
        <f t="array" ref="AK14">IFERROR(INDEX('Offer Statistics'!$AR$2:$AR$400,MATCH(1,($A14='Offer Statistics'!$AK$2:$AK$400)*($AC$2='Offer Statistics'!$AL$2:$AL$400),0)),"/")</f>
        <v>5027</v>
      </c>
      <c r="AL14" s="63" cm="1">
        <f t="array" ref="AL14">IFERROR(INDEX('Offer Statistics'!AM$2:AM$400,MATCH(1,($A14='Offer Statistics'!$AK$2:$AK$400)*($AC$2='Offer Statistics'!$AL$2:$AL$400),0)),"/")</f>
        <v>664</v>
      </c>
      <c r="AM14" s="63" cm="1">
        <f t="array" ref="AM14">IFERROR(INDEX('Offer Statistics'!AN$2:AN$400,MATCH(1,($A14='Offer Statistics'!$AK$2:$AK$400)*($AC$2='Offer Statistics'!$AL$2:$AL$400),0)),"/")</f>
        <v>873</v>
      </c>
      <c r="AN14" s="63" cm="1">
        <f t="array" ref="AN14">IFERROR(INDEX('Offer Statistics'!AO$2:AO$400,MATCH(1,($A14='Offer Statistics'!$AK$2:$AK$400)*($AC$2='Offer Statistics'!$AL$2:$AL$400),0)),"/")</f>
        <v>1187</v>
      </c>
      <c r="AO14" s="63" cm="1">
        <f t="array" ref="AO14">IFERROR(INDEX('Offer Statistics'!AP$2:AP$400,MATCH(1,($A14='Offer Statistics'!$AK$2:$AK$400)*($AC$2='Offer Statistics'!$AL$2:$AL$400),0)),"/")</f>
        <v>1322</v>
      </c>
      <c r="AP14" s="63" cm="1">
        <f t="array" ref="AP14">IFERROR(INDEX('Offer Statistics'!AQ$2:AQ$400,MATCH(1,($A14='Offer Statistics'!$AK$2:$AK$400)*($AC$2='Offer Statistics'!$AL$2:$AL$400),0)),"/")</f>
        <v>981</v>
      </c>
      <c r="AQ14" s="15"/>
      <c r="AR14" s="15" t="str">
        <f t="shared" si="3"/>
        <v>JS3080</v>
      </c>
    </row>
    <row r="15" spans="1:44" ht="18" customHeight="1">
      <c r="A15" s="4" t="str">
        <f>'Reference Score Calculation'!B111</f>
        <v>JS3130</v>
      </c>
      <c r="B15" s="4" t="str">
        <f>'Reference Score Calculation'!D111</f>
        <v>建築及環境學院</v>
      </c>
      <c r="C15" s="4" t="str">
        <f>'Reference Score Calculation'!E111</f>
        <v>空間數據科學及智慧城市(榮譽)理學士組合課程 (土地測量及地理資訊學 / 城市信息學及智慧城市)</v>
      </c>
      <c r="D15" s="4" t="str">
        <f>'Reference Score Calculation'!S111</f>
        <v>SPAT DATA &amp; SMART CITIES</v>
      </c>
      <c r="E15" s="352" t="str">
        <f>'Reference Score Calculation'!AC111</f>
        <v>Best 5</v>
      </c>
      <c r="F15" s="373" t="str">
        <f>'Reference Score Calculation'!F111</f>
        <v>Best 5</v>
      </c>
      <c r="G15" s="239">
        <f>'Reference Score Calculation'!I111</f>
        <v>199.5</v>
      </c>
      <c r="H15" s="239">
        <f>'Reference Score Calculation'!J111</f>
        <v>191</v>
      </c>
      <c r="I15" s="239">
        <f>'Reference Score Calculation'!G111</f>
        <v>199.5</v>
      </c>
      <c r="J15" s="240">
        <f>計分版!J134</f>
        <v>1.07E-8</v>
      </c>
      <c r="K15" s="25">
        <f t="shared" si="0"/>
        <v>-199.49999998929999</v>
      </c>
      <c r="L15" s="150">
        <f t="shared" si="1"/>
        <v>-18644859812.08411</v>
      </c>
      <c r="M15" s="36">
        <f>'Reference Score Calculation'!U111</f>
        <v>35</v>
      </c>
      <c r="N15" s="241">
        <f>入學要求!Z120</f>
        <v>0</v>
      </c>
      <c r="O15" s="544"/>
      <c r="P15" s="243">
        <f>入學要求!L120</f>
        <v>3</v>
      </c>
      <c r="Q15" s="243">
        <f>入學要求!M120</f>
        <v>3</v>
      </c>
      <c r="R15" s="243">
        <f>入學要求!N120</f>
        <v>2</v>
      </c>
      <c r="S15" s="243">
        <f>入學要求!O120</f>
        <v>1</v>
      </c>
      <c r="T15" s="243">
        <f>入學要求!P120</f>
        <v>3</v>
      </c>
      <c r="U15" s="243">
        <f>入學要求!Q120</f>
        <v>3</v>
      </c>
      <c r="V15" s="236">
        <f>入學要求!S120</f>
        <v>0</v>
      </c>
      <c r="W15" s="236">
        <f>入學要求!T120</f>
        <v>0</v>
      </c>
      <c r="X15" s="236">
        <f>入學要求!U120</f>
        <v>0</v>
      </c>
      <c r="Y15" s="236">
        <f>入學要求!V120</f>
        <v>0</v>
      </c>
      <c r="Z15" s="236">
        <f>入學要求!W120</f>
        <v>0</v>
      </c>
      <c r="AA15" s="236">
        <f>入學要求!X120</f>
        <v>0</v>
      </c>
      <c r="AB15" s="374">
        <f t="shared" si="2"/>
        <v>6.65</v>
      </c>
      <c r="AC15" s="537"/>
      <c r="AD15" s="36" cm="1">
        <f t="array" ref="AD15">IFERROR(INDEX('Offer Statistics'!$AZ$2:$AZ$400,MATCH(1,($A15='Offer Statistics'!$AK$2:$AK$400)*($AC$2='Offer Statistics'!$AL$2:$AL$400),0)),"/")</f>
        <v>26</v>
      </c>
      <c r="AE15" s="63" cm="1">
        <f t="array" ref="AE15">IFERROR(INDEX('Offer Statistics'!AU$2:AU$400,MATCH(1,($A15='Offer Statistics'!$AK$2:$AK$400)*($AC$2='Offer Statistics'!$AL$2:$AL$400),0)),"/")</f>
        <v>26</v>
      </c>
      <c r="AF15" s="63" cm="1">
        <f t="array" ref="AF15">IFERROR(INDEX('Offer Statistics'!AV$2:AV$400,MATCH(1,($A15='Offer Statistics'!$AK$2:$AK$400)*($AC$2='Offer Statistics'!$AL$2:$AL$400),0)),"/")</f>
        <v>0</v>
      </c>
      <c r="AG15" s="63" cm="1">
        <f t="array" ref="AG15">IFERROR(INDEX('Offer Statistics'!AW$2:AW$400,MATCH(1,($A15='Offer Statistics'!$AK$2:$AK$400)*($AC$2='Offer Statistics'!$AL$2:$AL$400),0)),"/")</f>
        <v>0</v>
      </c>
      <c r="AH15" s="63" cm="1">
        <f t="array" ref="AH15">IFERROR(INDEX('Offer Statistics'!AX$2:AX$400,MATCH(1,($A15='Offer Statistics'!$AK$2:$AK$400)*($AC$2='Offer Statistics'!$AL$2:$AL$400),0)),"/")</f>
        <v>0</v>
      </c>
      <c r="AI15" s="63" cm="1">
        <f t="array" ref="AI15">IFERROR(INDEX('Offer Statistics'!AY$2:AY$400,MATCH(1,($A15='Offer Statistics'!$AK$2:$AK$400)*($AC$2='Offer Statistics'!$AL$2:$AL$400),0)),"/")</f>
        <v>0</v>
      </c>
      <c r="AJ15" s="538"/>
      <c r="AK15" s="36" cm="1">
        <f t="array" ref="AK15">IFERROR(INDEX('Offer Statistics'!$AR$2:$AR$400,MATCH(1,($A15='Offer Statistics'!$AK$2:$AK$400)*($AC$2='Offer Statistics'!$AL$2:$AL$400),0)),"/")</f>
        <v>1458</v>
      </c>
      <c r="AL15" s="63" cm="1">
        <f t="array" ref="AL15">IFERROR(INDEX('Offer Statistics'!AM$2:AM$400,MATCH(1,($A15='Offer Statistics'!$AK$2:$AK$400)*($AC$2='Offer Statistics'!$AL$2:$AL$400),0)),"/")</f>
        <v>173</v>
      </c>
      <c r="AM15" s="63" cm="1">
        <f t="array" ref="AM15">IFERROR(INDEX('Offer Statistics'!AN$2:AN$400,MATCH(1,($A15='Offer Statistics'!$AK$2:$AK$400)*($AC$2='Offer Statistics'!$AL$2:$AL$400),0)),"/")</f>
        <v>220</v>
      </c>
      <c r="AN15" s="63" cm="1">
        <f t="array" ref="AN15">IFERROR(INDEX('Offer Statistics'!AO$2:AO$400,MATCH(1,($A15='Offer Statistics'!$AK$2:$AK$400)*($AC$2='Offer Statistics'!$AL$2:$AL$400),0)),"/")</f>
        <v>316</v>
      </c>
      <c r="AO15" s="63" cm="1">
        <f t="array" ref="AO15">IFERROR(INDEX('Offer Statistics'!AP$2:AP$400,MATCH(1,($A15='Offer Statistics'!$AK$2:$AK$400)*($AC$2='Offer Statistics'!$AL$2:$AL$400),0)),"/")</f>
        <v>417</v>
      </c>
      <c r="AP15" s="63" cm="1">
        <f t="array" ref="AP15">IFERROR(INDEX('Offer Statistics'!AQ$2:AQ$400,MATCH(1,($A15='Offer Statistics'!$AK$2:$AK$400)*($AC$2='Offer Statistics'!$AL$2:$AL$400),0)),"/")</f>
        <v>332</v>
      </c>
      <c r="AQ15" s="15"/>
      <c r="AR15" s="15" t="str">
        <f t="shared" si="3"/>
        <v>JS3130</v>
      </c>
    </row>
    <row r="16" spans="1:44" ht="18" customHeight="1">
      <c r="A16" s="4" t="str">
        <f>'Reference Score Calculation'!B112</f>
        <v>JS3140</v>
      </c>
      <c r="B16" s="4" t="str">
        <f>'Reference Score Calculation'!D112</f>
        <v>工程學院</v>
      </c>
      <c r="C16" s="4" t="str">
        <f>'Reference Score Calculation'!E112</f>
        <v>航空工程學(榮譽)工學士組合課程 (航空工程學 / 民航工程學)</v>
      </c>
      <c r="D16" s="4" t="str">
        <f>'Reference Score Calculation'!S112</f>
        <v>AVIATION ENGG</v>
      </c>
      <c r="E16" s="352" t="str">
        <f>'Reference Score Calculation'!AC112</f>
        <v>Best 5</v>
      </c>
      <c r="F16" s="373" t="str">
        <f>'Reference Score Calculation'!F112</f>
        <v>Best 5</v>
      </c>
      <c r="G16" s="239">
        <f>'Reference Score Calculation'!I112</f>
        <v>195</v>
      </c>
      <c r="H16" s="239">
        <f>'Reference Score Calculation'!J112</f>
        <v>184</v>
      </c>
      <c r="I16" s="239">
        <f>'Reference Score Calculation'!G112</f>
        <v>203.3</v>
      </c>
      <c r="J16" s="240">
        <f>計分版!J135</f>
        <v>1.07E-8</v>
      </c>
      <c r="K16" s="25">
        <f t="shared" si="0"/>
        <v>-194.99999998929999</v>
      </c>
      <c r="L16" s="150">
        <f t="shared" si="1"/>
        <v>-18224299064.420559</v>
      </c>
      <c r="M16" s="36">
        <f>'Reference Score Calculation'!U112</f>
        <v>49</v>
      </c>
      <c r="N16" s="241">
        <f>入學要求!Z121</f>
        <v>0</v>
      </c>
      <c r="O16" s="544"/>
      <c r="P16" s="243">
        <f>入學要求!L121</f>
        <v>3</v>
      </c>
      <c r="Q16" s="243">
        <f>入學要求!M121</f>
        <v>3</v>
      </c>
      <c r="R16" s="243">
        <f>入學要求!N121</f>
        <v>2</v>
      </c>
      <c r="S16" s="243">
        <f>入學要求!O121</f>
        <v>1</v>
      </c>
      <c r="T16" s="243">
        <f>入學要求!P121</f>
        <v>3</v>
      </c>
      <c r="U16" s="243">
        <f>入學要求!Q121</f>
        <v>3</v>
      </c>
      <c r="V16" s="236">
        <f>入學要求!S121</f>
        <v>0</v>
      </c>
      <c r="W16" s="236">
        <f>入學要求!T121</f>
        <v>0</v>
      </c>
      <c r="X16" s="236">
        <f>入學要求!U121</f>
        <v>0</v>
      </c>
      <c r="Y16" s="236">
        <f>入學要求!V121</f>
        <v>0</v>
      </c>
      <c r="Z16" s="236">
        <f>入學要求!W121</f>
        <v>0</v>
      </c>
      <c r="AA16" s="236">
        <f>入學要求!X121</f>
        <v>0</v>
      </c>
      <c r="AB16" s="374">
        <f t="shared" si="2"/>
        <v>10.92</v>
      </c>
      <c r="AC16" s="537"/>
      <c r="AD16" s="36" cm="1">
        <f t="array" ref="AD16">IFERROR(INDEX('Offer Statistics'!$AZ$2:$AZ$400,MATCH(1,($A16='Offer Statistics'!$AK$2:$AK$400)*($AC$2='Offer Statistics'!$AL$2:$AL$400),0)),"/")</f>
        <v>48</v>
      </c>
      <c r="AE16" s="63" cm="1">
        <f t="array" ref="AE16">IFERROR(INDEX('Offer Statistics'!AU$2:AU$400,MATCH(1,($A16='Offer Statistics'!$AK$2:$AK$400)*($AC$2='Offer Statistics'!$AL$2:$AL$400),0)),"/")</f>
        <v>39</v>
      </c>
      <c r="AF16" s="63" cm="1">
        <f t="array" ref="AF16">IFERROR(INDEX('Offer Statistics'!AV$2:AV$400,MATCH(1,($A16='Offer Statistics'!$AK$2:$AK$400)*($AC$2='Offer Statistics'!$AL$2:$AL$400),0)),"/")</f>
        <v>5</v>
      </c>
      <c r="AG16" s="63" cm="1">
        <f t="array" ref="AG16">IFERROR(INDEX('Offer Statistics'!AW$2:AW$400,MATCH(1,($A16='Offer Statistics'!$AK$2:$AK$400)*($AC$2='Offer Statistics'!$AL$2:$AL$400),0)),"/")</f>
        <v>1</v>
      </c>
      <c r="AH16" s="63" cm="1">
        <f t="array" ref="AH16">IFERROR(INDEX('Offer Statistics'!AX$2:AX$400,MATCH(1,($A16='Offer Statistics'!$AK$2:$AK$400)*($AC$2='Offer Statistics'!$AL$2:$AL$400),0)),"/")</f>
        <v>1</v>
      </c>
      <c r="AI16" s="63" cm="1">
        <f t="array" ref="AI16">IFERROR(INDEX('Offer Statistics'!AY$2:AY$400,MATCH(1,($A16='Offer Statistics'!$AK$2:$AK$400)*($AC$2='Offer Statistics'!$AL$2:$AL$400),0)),"/")</f>
        <v>2</v>
      </c>
      <c r="AJ16" s="538"/>
      <c r="AK16" s="36" cm="1">
        <f t="array" ref="AK16">IFERROR(INDEX('Offer Statistics'!$AR$2:$AR$400,MATCH(1,($A16='Offer Statistics'!$AK$2:$AK$400)*($AC$2='Offer Statistics'!$AL$2:$AL$400),0)),"/")</f>
        <v>2671</v>
      </c>
      <c r="AL16" s="63" cm="1">
        <f t="array" ref="AL16">IFERROR(INDEX('Offer Statistics'!AM$2:AM$400,MATCH(1,($A16='Offer Statistics'!$AK$2:$AK$400)*($AC$2='Offer Statistics'!$AL$2:$AL$400),0)),"/")</f>
        <v>426</v>
      </c>
      <c r="AM16" s="63" cm="1">
        <f t="array" ref="AM16">IFERROR(INDEX('Offer Statistics'!AN$2:AN$400,MATCH(1,($A16='Offer Statistics'!$AK$2:$AK$400)*($AC$2='Offer Statistics'!$AL$2:$AL$400),0)),"/")</f>
        <v>440</v>
      </c>
      <c r="AN16" s="63" cm="1">
        <f t="array" ref="AN16">IFERROR(INDEX('Offer Statistics'!AO$2:AO$400,MATCH(1,($A16='Offer Statistics'!$AK$2:$AK$400)*($AC$2='Offer Statistics'!$AL$2:$AL$400),0)),"/")</f>
        <v>592</v>
      </c>
      <c r="AO16" s="63" cm="1">
        <f t="array" ref="AO16">IFERROR(INDEX('Offer Statistics'!AP$2:AP$400,MATCH(1,($A16='Offer Statistics'!$AK$2:$AK$400)*($AC$2='Offer Statistics'!$AL$2:$AL$400),0)),"/")</f>
        <v>710</v>
      </c>
      <c r="AP16" s="63" cm="1">
        <f t="array" ref="AP16">IFERROR(INDEX('Offer Statistics'!AQ$2:AQ$400,MATCH(1,($A16='Offer Statistics'!$AK$2:$AK$400)*($AC$2='Offer Statistics'!$AL$2:$AL$400),0)),"/")</f>
        <v>503</v>
      </c>
      <c r="AQ16" s="15"/>
      <c r="AR16" s="15" t="str">
        <f t="shared" si="3"/>
        <v>JS3140</v>
      </c>
    </row>
    <row r="17" spans="1:44" s="151" customFormat="1" ht="18" customHeight="1">
      <c r="A17" s="4" t="str">
        <f>'Reference Score Calculation'!B113</f>
        <v>JS3150</v>
      </c>
      <c r="B17" s="4" t="str">
        <f>'Reference Score Calculation'!D113</f>
        <v>工程學院</v>
      </c>
      <c r="C17" s="4" t="str">
        <f>'Reference Score Calculation'!E113</f>
        <v>生物醫學工程(榮譽)理學士組合課程</v>
      </c>
      <c r="D17" s="4" t="str">
        <f>'Reference Score Calculation'!S113</f>
        <v>BIOMEDICAL ENGG</v>
      </c>
      <c r="E17" s="352" t="str">
        <f>'Reference Score Calculation'!AC113</f>
        <v>Best 5</v>
      </c>
      <c r="F17" s="373" t="str">
        <f>'Reference Score Calculation'!F113</f>
        <v>Best 5</v>
      </c>
      <c r="G17" s="239">
        <f>'Reference Score Calculation'!I113</f>
        <v>208</v>
      </c>
      <c r="H17" s="239">
        <f>'Reference Score Calculation'!J113</f>
        <v>178</v>
      </c>
      <c r="I17" s="239">
        <f>'Reference Score Calculation'!G113</f>
        <v>211</v>
      </c>
      <c r="J17" s="240">
        <f>計分版!J136</f>
        <v>1.0100000000000001E-8</v>
      </c>
      <c r="K17" s="25">
        <f t="shared" si="0"/>
        <v>-207.9999999899</v>
      </c>
      <c r="L17" s="150">
        <f t="shared" si="1"/>
        <v>-20594059404.940594</v>
      </c>
      <c r="M17" s="36">
        <f>'Reference Score Calculation'!U113</f>
        <v>22</v>
      </c>
      <c r="N17" s="241">
        <f>入學要求!Z122</f>
        <v>0</v>
      </c>
      <c r="O17" s="544"/>
      <c r="P17" s="243">
        <f>入學要求!L122</f>
        <v>3</v>
      </c>
      <c r="Q17" s="243">
        <f>入學要求!M122</f>
        <v>3</v>
      </c>
      <c r="R17" s="243">
        <f>入學要求!N122</f>
        <v>2</v>
      </c>
      <c r="S17" s="243">
        <f>入學要求!O122</f>
        <v>1</v>
      </c>
      <c r="T17" s="243">
        <f>入學要求!P122</f>
        <v>3</v>
      </c>
      <c r="U17" s="243">
        <f>入學要求!Q122</f>
        <v>3</v>
      </c>
      <c r="V17" s="236">
        <f>入學要求!S122</f>
        <v>0</v>
      </c>
      <c r="W17" s="236">
        <f>入學要求!T122</f>
        <v>0</v>
      </c>
      <c r="X17" s="236">
        <f>入學要求!U122</f>
        <v>0</v>
      </c>
      <c r="Y17" s="236">
        <f>入學要求!V122</f>
        <v>0</v>
      </c>
      <c r="Z17" s="236">
        <f>入學要求!W122</f>
        <v>0</v>
      </c>
      <c r="AA17" s="236">
        <f>入學要求!X122</f>
        <v>0</v>
      </c>
      <c r="AB17" s="374">
        <f t="shared" si="2"/>
        <v>3.86</v>
      </c>
      <c r="AC17" s="537"/>
      <c r="AD17" s="36" cm="1">
        <f t="array" ref="AD17">IFERROR(INDEX('Offer Statistics'!$AZ$2:$AZ$400,MATCH(1,($A17='Offer Statistics'!$AK$2:$AK$400)*($AC$2='Offer Statistics'!$AL$2:$AL$400),0)),"/")</f>
        <v>42</v>
      </c>
      <c r="AE17" s="63" cm="1">
        <f t="array" ref="AE17">IFERROR(INDEX('Offer Statistics'!AU$2:AU$400,MATCH(1,($A17='Offer Statistics'!$AK$2:$AK$400)*($AC$2='Offer Statistics'!$AL$2:$AL$400),0)),"/")</f>
        <v>28</v>
      </c>
      <c r="AF17" s="63" cm="1">
        <f t="array" ref="AF17">IFERROR(INDEX('Offer Statistics'!AV$2:AV$400,MATCH(1,($A17='Offer Statistics'!$AK$2:$AK$400)*($AC$2='Offer Statistics'!$AL$2:$AL$400),0)),"/")</f>
        <v>2</v>
      </c>
      <c r="AG17" s="63" cm="1">
        <f t="array" ref="AG17">IFERROR(INDEX('Offer Statistics'!AW$2:AW$400,MATCH(1,($A17='Offer Statistics'!$AK$2:$AK$400)*($AC$2='Offer Statistics'!$AL$2:$AL$400),0)),"/")</f>
        <v>7</v>
      </c>
      <c r="AH17" s="63" cm="1">
        <f t="array" ref="AH17">IFERROR(INDEX('Offer Statistics'!AX$2:AX$400,MATCH(1,($A17='Offer Statistics'!$AK$2:$AK$400)*($AC$2='Offer Statistics'!$AL$2:$AL$400),0)),"/")</f>
        <v>4</v>
      </c>
      <c r="AI17" s="63" cm="1">
        <f t="array" ref="AI17">IFERROR(INDEX('Offer Statistics'!AY$2:AY$400,MATCH(1,($A17='Offer Statistics'!$AK$2:$AK$400)*($AC$2='Offer Statistics'!$AL$2:$AL$400),0)),"/")</f>
        <v>1</v>
      </c>
      <c r="AJ17" s="538"/>
      <c r="AK17" s="36" cm="1">
        <f t="array" ref="AK17">IFERROR(INDEX('Offer Statistics'!$AR$2:$AR$400,MATCH(1,($A17='Offer Statistics'!$AK$2:$AK$400)*($AC$2='Offer Statistics'!$AL$2:$AL$400),0)),"/")</f>
        <v>2150</v>
      </c>
      <c r="AL17" s="63" cm="1">
        <f t="array" ref="AL17">IFERROR(INDEX('Offer Statistics'!AM$2:AM$400,MATCH(1,($A17='Offer Statistics'!$AK$2:$AK$400)*($AC$2='Offer Statistics'!$AL$2:$AL$400),0)),"/")</f>
        <v>108</v>
      </c>
      <c r="AM17" s="63" cm="1">
        <f t="array" ref="AM17">IFERROR(INDEX('Offer Statistics'!AN$2:AN$400,MATCH(1,($A17='Offer Statistics'!$AK$2:$AK$400)*($AC$2='Offer Statistics'!$AL$2:$AL$400),0)),"/")</f>
        <v>236</v>
      </c>
      <c r="AN17" s="63" cm="1">
        <f t="array" ref="AN17">IFERROR(INDEX('Offer Statistics'!AO$2:AO$400,MATCH(1,($A17='Offer Statistics'!$AK$2:$AK$400)*($AC$2='Offer Statistics'!$AL$2:$AL$400),0)),"/")</f>
        <v>522</v>
      </c>
      <c r="AO17" s="63" cm="1">
        <f t="array" ref="AO17">IFERROR(INDEX('Offer Statistics'!AP$2:AP$400,MATCH(1,($A17='Offer Statistics'!$AK$2:$AK$400)*($AC$2='Offer Statistics'!$AL$2:$AL$400),0)),"/")</f>
        <v>716</v>
      </c>
      <c r="AP17" s="63" cm="1">
        <f t="array" ref="AP17">IFERROR(INDEX('Offer Statistics'!AQ$2:AQ$400,MATCH(1,($A17='Offer Statistics'!$AK$2:$AK$400)*($AC$2='Offer Statistics'!$AL$2:$AL$400),0)),"/")</f>
        <v>568</v>
      </c>
      <c r="AQ17" s="15"/>
      <c r="AR17" s="15" t="str">
        <f t="shared" si="3"/>
        <v>JS3150</v>
      </c>
    </row>
    <row r="18" spans="1:44" ht="18" customHeight="1">
      <c r="A18" s="4" t="str">
        <f>'Reference Score Calculation'!B114</f>
        <v>JS3170</v>
      </c>
      <c r="B18" s="4" t="str">
        <f>'Reference Score Calculation'!D114</f>
        <v>工程學院</v>
      </c>
      <c r="C18" s="4" t="str">
        <f>'Reference Score Calculation'!E114</f>
        <v>電機工程學(榮譽)工學士組合課程 (電機工程學 / 運輸系統工程學)</v>
      </c>
      <c r="D18" s="4" t="str">
        <f>'Reference Score Calculation'!S114</f>
        <v>ELECTRICAL ENGG</v>
      </c>
      <c r="E18" s="352" t="str">
        <f>'Reference Score Calculation'!AC114</f>
        <v>Best 5</v>
      </c>
      <c r="F18" s="373" t="str">
        <f>'Reference Score Calculation'!F114</f>
        <v>Best 5</v>
      </c>
      <c r="G18" s="239">
        <f>'Reference Score Calculation'!I114</f>
        <v>195</v>
      </c>
      <c r="H18" s="239">
        <f>'Reference Score Calculation'!J114</f>
        <v>191</v>
      </c>
      <c r="I18" s="239">
        <f>'Reference Score Calculation'!G114</f>
        <v>201.7</v>
      </c>
      <c r="J18" s="240">
        <f>計分版!J137</f>
        <v>1.07E-8</v>
      </c>
      <c r="K18" s="25">
        <f t="shared" si="0"/>
        <v>-194.99999998929999</v>
      </c>
      <c r="L18" s="150">
        <f t="shared" si="1"/>
        <v>-18224299064.420559</v>
      </c>
      <c r="M18" s="36">
        <f>'Reference Score Calculation'!U114</f>
        <v>49</v>
      </c>
      <c r="N18" s="241">
        <f>入學要求!Z123</f>
        <v>0</v>
      </c>
      <c r="O18" s="544"/>
      <c r="P18" s="243">
        <f>入學要求!L123</f>
        <v>3</v>
      </c>
      <c r="Q18" s="243">
        <f>入學要求!M123</f>
        <v>3</v>
      </c>
      <c r="R18" s="243">
        <f>入學要求!N123</f>
        <v>2</v>
      </c>
      <c r="S18" s="243">
        <f>入學要求!O123</f>
        <v>1</v>
      </c>
      <c r="T18" s="243">
        <f>入學要求!P123</f>
        <v>3</v>
      </c>
      <c r="U18" s="243">
        <f>入學要求!Q123</f>
        <v>3</v>
      </c>
      <c r="V18" s="236">
        <f>入學要求!S123</f>
        <v>0</v>
      </c>
      <c r="W18" s="236">
        <f>入學要求!T123</f>
        <v>0</v>
      </c>
      <c r="X18" s="236">
        <f>入學要求!U123</f>
        <v>0</v>
      </c>
      <c r="Y18" s="236">
        <f>入學要求!V123</f>
        <v>0</v>
      </c>
      <c r="Z18" s="236">
        <f>入學要求!W123</f>
        <v>0</v>
      </c>
      <c r="AA18" s="236">
        <f>入學要求!X123</f>
        <v>0</v>
      </c>
      <c r="AB18" s="374">
        <f t="shared" si="2"/>
        <v>10.29</v>
      </c>
      <c r="AC18" s="537"/>
      <c r="AD18" s="36" cm="1">
        <f t="array" ref="AD18">IFERROR(INDEX('Offer Statistics'!$AZ$2:$AZ$400,MATCH(1,($A18='Offer Statistics'!$AK$2:$AK$400)*($AC$2='Offer Statistics'!$AL$2:$AL$400),0)),"/")</f>
        <v>52</v>
      </c>
      <c r="AE18" s="63" cm="1">
        <f t="array" ref="AE18">IFERROR(INDEX('Offer Statistics'!AU$2:AU$400,MATCH(1,($A18='Offer Statistics'!$AK$2:$AK$400)*($AC$2='Offer Statistics'!$AL$2:$AL$400),0)),"/")</f>
        <v>48</v>
      </c>
      <c r="AF18" s="63" cm="1">
        <f t="array" ref="AF18">IFERROR(INDEX('Offer Statistics'!AV$2:AV$400,MATCH(1,($A18='Offer Statistics'!$AK$2:$AK$400)*($AC$2='Offer Statistics'!$AL$2:$AL$400),0)),"/")</f>
        <v>2</v>
      </c>
      <c r="AG18" s="63" cm="1">
        <f t="array" ref="AG18">IFERROR(INDEX('Offer Statistics'!AW$2:AW$400,MATCH(1,($A18='Offer Statistics'!$AK$2:$AK$400)*($AC$2='Offer Statistics'!$AL$2:$AL$400),0)),"/")</f>
        <v>1</v>
      </c>
      <c r="AH18" s="63" cm="1">
        <f t="array" ref="AH18">IFERROR(INDEX('Offer Statistics'!AX$2:AX$400,MATCH(1,($A18='Offer Statistics'!$AK$2:$AK$400)*($AC$2='Offer Statistics'!$AL$2:$AL$400),0)),"/")</f>
        <v>1</v>
      </c>
      <c r="AI18" s="63" cm="1">
        <f t="array" ref="AI18">IFERROR(INDEX('Offer Statistics'!AY$2:AY$400,MATCH(1,($A18='Offer Statistics'!$AK$2:$AK$400)*($AC$2='Offer Statistics'!$AL$2:$AL$400),0)),"/")</f>
        <v>0</v>
      </c>
      <c r="AJ18" s="538"/>
      <c r="AK18" s="36" cm="1">
        <f t="array" ref="AK18">IFERROR(INDEX('Offer Statistics'!$AR$2:$AR$400,MATCH(1,($A18='Offer Statistics'!$AK$2:$AK$400)*($AC$2='Offer Statistics'!$AL$2:$AL$400),0)),"/")</f>
        <v>2940</v>
      </c>
      <c r="AL18" s="63" cm="1">
        <f t="array" ref="AL18">IFERROR(INDEX('Offer Statistics'!AM$2:AM$400,MATCH(1,($A18='Offer Statistics'!$AK$2:$AK$400)*($AC$2='Offer Statistics'!$AL$2:$AL$400),0)),"/")</f>
        <v>494</v>
      </c>
      <c r="AM18" s="63" cm="1">
        <f t="array" ref="AM18">IFERROR(INDEX('Offer Statistics'!AN$2:AN$400,MATCH(1,($A18='Offer Statistics'!$AK$2:$AK$400)*($AC$2='Offer Statistics'!$AL$2:$AL$400),0)),"/")</f>
        <v>537</v>
      </c>
      <c r="AN18" s="63" cm="1">
        <f t="array" ref="AN18">IFERROR(INDEX('Offer Statistics'!AO$2:AO$400,MATCH(1,($A18='Offer Statistics'!$AK$2:$AK$400)*($AC$2='Offer Statistics'!$AL$2:$AL$400),0)),"/")</f>
        <v>743</v>
      </c>
      <c r="AO18" s="63" cm="1">
        <f t="array" ref="AO18">IFERROR(INDEX('Offer Statistics'!AP$2:AP$400,MATCH(1,($A18='Offer Statistics'!$AK$2:$AK$400)*($AC$2='Offer Statistics'!$AL$2:$AL$400),0)),"/")</f>
        <v>686</v>
      </c>
      <c r="AP18" s="63" cm="1">
        <f t="array" ref="AP18">IFERROR(INDEX('Offer Statistics'!AQ$2:AQ$400,MATCH(1,($A18='Offer Statistics'!$AK$2:$AK$400)*($AC$2='Offer Statistics'!$AL$2:$AL$400),0)),"/")</f>
        <v>480</v>
      </c>
      <c r="AQ18" s="15"/>
      <c r="AR18" s="15" t="str">
        <f t="shared" si="3"/>
        <v>JS3170</v>
      </c>
    </row>
    <row r="19" spans="1:44" s="151" customFormat="1" ht="18" customHeight="1">
      <c r="A19" s="4" t="str">
        <f>'Reference Score Calculation'!B115</f>
        <v>JS3180</v>
      </c>
      <c r="B19" s="4" t="str">
        <f>'Reference Score Calculation'!D115</f>
        <v>工程學院</v>
      </c>
      <c r="C19" s="4" t="str">
        <f>'Reference Score Calculation'!E115</f>
        <v>資訊及人工智能工程學(榮譽)工學士/理學士組合課程 (物聯網 / 人工智能 / 資訊安全)</v>
      </c>
      <c r="D19" s="4" t="str">
        <f>'Reference Score Calculation'!S115</f>
        <v>INFO &amp; AI ENGG</v>
      </c>
      <c r="E19" s="352" t="str">
        <f>'Reference Score Calculation'!AC115</f>
        <v>Best 5</v>
      </c>
      <c r="F19" s="373" t="str">
        <f>'Reference Score Calculation'!F115</f>
        <v>Best 5</v>
      </c>
      <c r="G19" s="239">
        <f>'Reference Score Calculation'!I115</f>
        <v>201</v>
      </c>
      <c r="H19" s="239">
        <f>'Reference Score Calculation'!J115</f>
        <v>195</v>
      </c>
      <c r="I19" s="239">
        <f>'Reference Score Calculation'!G115</f>
        <v>207.7</v>
      </c>
      <c r="J19" s="240">
        <f>計分版!J138</f>
        <v>1.07E-8</v>
      </c>
      <c r="K19" s="25">
        <f t="shared" si="0"/>
        <v>-200.99999998929999</v>
      </c>
      <c r="L19" s="150">
        <f t="shared" si="1"/>
        <v>-18785046727.971962</v>
      </c>
      <c r="M19" s="36">
        <f>'Reference Score Calculation'!U115</f>
        <v>56</v>
      </c>
      <c r="N19" s="241">
        <f>入學要求!Z124</f>
        <v>0</v>
      </c>
      <c r="O19" s="544"/>
      <c r="P19" s="243">
        <f>入學要求!L124</f>
        <v>3</v>
      </c>
      <c r="Q19" s="243">
        <f>入學要求!M124</f>
        <v>3</v>
      </c>
      <c r="R19" s="243">
        <f>入學要求!N124</f>
        <v>2</v>
      </c>
      <c r="S19" s="243">
        <f>入學要求!O124</f>
        <v>1</v>
      </c>
      <c r="T19" s="243">
        <f>入學要求!P124</f>
        <v>3</v>
      </c>
      <c r="U19" s="243">
        <f>入學要求!Q124</f>
        <v>3</v>
      </c>
      <c r="V19" s="236">
        <f>入學要求!S124</f>
        <v>0</v>
      </c>
      <c r="W19" s="236">
        <f>入學要求!T124</f>
        <v>0</v>
      </c>
      <c r="X19" s="236">
        <f>入學要求!U124</f>
        <v>0</v>
      </c>
      <c r="Y19" s="236">
        <f>入學要求!V124</f>
        <v>0</v>
      </c>
      <c r="Z19" s="236">
        <f>入學要求!W124</f>
        <v>0</v>
      </c>
      <c r="AA19" s="236">
        <f>入學要求!X124</f>
        <v>0</v>
      </c>
      <c r="AB19" s="374">
        <f t="shared" si="2"/>
        <v>14.48</v>
      </c>
      <c r="AC19" s="537"/>
      <c r="AD19" s="36" cm="1">
        <f t="array" ref="AD19">IFERROR(INDEX('Offer Statistics'!$AZ$2:$AZ$400,MATCH(1,($A19='Offer Statistics'!$AK$2:$AK$400)*($AC$2='Offer Statistics'!$AL$2:$AL$400),0)),"/")</f>
        <v>50</v>
      </c>
      <c r="AE19" s="63" cm="1">
        <f t="array" ref="AE19">IFERROR(INDEX('Offer Statistics'!AU$2:AU$400,MATCH(1,($A19='Offer Statistics'!$AK$2:$AK$400)*($AC$2='Offer Statistics'!$AL$2:$AL$400),0)),"/")</f>
        <v>42</v>
      </c>
      <c r="AF19" s="63" cm="1">
        <f t="array" ref="AF19">IFERROR(INDEX('Offer Statistics'!AV$2:AV$400,MATCH(1,($A19='Offer Statistics'!$AK$2:$AK$400)*($AC$2='Offer Statistics'!$AL$2:$AL$400),0)),"/")</f>
        <v>5</v>
      </c>
      <c r="AG19" s="63" cm="1">
        <f t="array" ref="AG19">IFERROR(INDEX('Offer Statistics'!AW$2:AW$400,MATCH(1,($A19='Offer Statistics'!$AK$2:$AK$400)*($AC$2='Offer Statistics'!$AL$2:$AL$400),0)),"/")</f>
        <v>2</v>
      </c>
      <c r="AH19" s="63" cm="1">
        <f t="array" ref="AH19">IFERROR(INDEX('Offer Statistics'!AX$2:AX$400,MATCH(1,($A19='Offer Statistics'!$AK$2:$AK$400)*($AC$2='Offer Statistics'!$AL$2:$AL$400),0)),"/")</f>
        <v>1</v>
      </c>
      <c r="AI19" s="63" cm="1">
        <f t="array" ref="AI19">IFERROR(INDEX('Offer Statistics'!AY$2:AY$400,MATCH(1,($A19='Offer Statistics'!$AK$2:$AK$400)*($AC$2='Offer Statistics'!$AL$2:$AL$400),0)),"/")</f>
        <v>0</v>
      </c>
      <c r="AJ19" s="538"/>
      <c r="AK19" s="36" cm="1">
        <f t="array" ref="AK19">IFERROR(INDEX('Offer Statistics'!$AR$2:$AR$400,MATCH(1,($A19='Offer Statistics'!$AK$2:$AK$400)*($AC$2='Offer Statistics'!$AL$2:$AL$400),0)),"/")</f>
        <v>3363</v>
      </c>
      <c r="AL19" s="63" cm="1">
        <f t="array" ref="AL19">IFERROR(INDEX('Offer Statistics'!AM$2:AM$400,MATCH(1,($A19='Offer Statistics'!$AK$2:$AK$400)*($AC$2='Offer Statistics'!$AL$2:$AL$400),0)),"/")</f>
        <v>608</v>
      </c>
      <c r="AM19" s="63" cm="1">
        <f t="array" ref="AM19">IFERROR(INDEX('Offer Statistics'!AN$2:AN$400,MATCH(1,($A19='Offer Statistics'!$AK$2:$AK$400)*($AC$2='Offer Statistics'!$AL$2:$AL$400),0)),"/")</f>
        <v>618</v>
      </c>
      <c r="AN19" s="63" cm="1">
        <f t="array" ref="AN19">IFERROR(INDEX('Offer Statistics'!AO$2:AO$400,MATCH(1,($A19='Offer Statistics'!$AK$2:$AK$400)*($AC$2='Offer Statistics'!$AL$2:$AL$400),0)),"/")</f>
        <v>754</v>
      </c>
      <c r="AO19" s="63" cm="1">
        <f t="array" ref="AO19">IFERROR(INDEX('Offer Statistics'!AP$2:AP$400,MATCH(1,($A19='Offer Statistics'!$AK$2:$AK$400)*($AC$2='Offer Statistics'!$AL$2:$AL$400),0)),"/")</f>
        <v>859</v>
      </c>
      <c r="AP19" s="63" cm="1">
        <f t="array" ref="AP19">IFERROR(INDEX('Offer Statistics'!AQ$2:AQ$400,MATCH(1,($A19='Offer Statistics'!$AK$2:$AK$400)*($AC$2='Offer Statistics'!$AL$2:$AL$400),0)),"/")</f>
        <v>524</v>
      </c>
      <c r="AQ19" s="15"/>
      <c r="AR19" s="15" t="str">
        <f t="shared" si="3"/>
        <v>JS3180</v>
      </c>
    </row>
    <row r="20" spans="1:44" ht="18" customHeight="1">
      <c r="A20" s="4" t="str">
        <f>'Reference Score Calculation'!B116</f>
        <v>JS3211</v>
      </c>
      <c r="B20" s="4" t="str">
        <f>'Reference Score Calculation'!D116</f>
        <v>建築及環境學院</v>
      </c>
      <c r="C20" s="4" t="str">
        <f>'Reference Score Calculation'!E116</f>
        <v>建築科學及工程學(榮譽)工學士</v>
      </c>
      <c r="D20" s="4" t="str">
        <f>'Reference Score Calculation'!S116</f>
        <v>BLDG SCI &amp; ENGG</v>
      </c>
      <c r="E20" s="352" t="str">
        <f>'Reference Score Calculation'!AC116</f>
        <v>Best 5</v>
      </c>
      <c r="F20" s="373" t="str">
        <f>'Reference Score Calculation'!F116</f>
        <v>Best 5</v>
      </c>
      <c r="G20" s="239">
        <f>'Reference Score Calculation'!I116</f>
        <v>176.5</v>
      </c>
      <c r="H20" s="239">
        <f>'Reference Score Calculation'!J116</f>
        <v>175</v>
      </c>
      <c r="I20" s="239">
        <f>'Reference Score Calculation'!G116</f>
        <v>180.9</v>
      </c>
      <c r="J20" s="240">
        <f>計分版!J139</f>
        <v>9.1999999999999997E-9</v>
      </c>
      <c r="K20" s="25">
        <f t="shared" si="0"/>
        <v>-176.49999999080001</v>
      </c>
      <c r="L20" s="150">
        <f t="shared" si="1"/>
        <v>-19184782607.695652</v>
      </c>
      <c r="M20" s="36">
        <f>'Reference Score Calculation'!U116</f>
        <v>38</v>
      </c>
      <c r="N20" s="241">
        <f>入學要求!Z125</f>
        <v>0</v>
      </c>
      <c r="O20" s="544"/>
      <c r="P20" s="243">
        <f>入學要求!L125</f>
        <v>3</v>
      </c>
      <c r="Q20" s="243">
        <f>入學要求!M125</f>
        <v>3</v>
      </c>
      <c r="R20" s="243">
        <f>入學要求!N125</f>
        <v>2</v>
      </c>
      <c r="S20" s="243">
        <f>入學要求!O125</f>
        <v>1</v>
      </c>
      <c r="T20" s="243">
        <f>入學要求!P125</f>
        <v>3</v>
      </c>
      <c r="U20" s="243">
        <f>入學要求!Q125</f>
        <v>3</v>
      </c>
      <c r="V20" s="236">
        <f>入學要求!S125</f>
        <v>0</v>
      </c>
      <c r="W20" s="236">
        <f>入學要求!T125</f>
        <v>0</v>
      </c>
      <c r="X20" s="236">
        <f>入學要求!U125</f>
        <v>0</v>
      </c>
      <c r="Y20" s="236">
        <f>入學要求!V125</f>
        <v>0</v>
      </c>
      <c r="Z20" s="236">
        <f>入學要求!W125</f>
        <v>0</v>
      </c>
      <c r="AA20" s="236">
        <f>入學要求!X125</f>
        <v>0</v>
      </c>
      <c r="AB20" s="374" t="str">
        <f t="shared" si="2"/>
        <v>/</v>
      </c>
      <c r="AC20" s="537"/>
      <c r="AD20" s="36" t="str" cm="1">
        <f t="array" ref="AD20">IFERROR(INDEX('Offer Statistics'!$AZ$2:$AZ$400,MATCH(1,($A20='Offer Statistics'!$AK$2:$AK$400)*($AC$2='Offer Statistics'!$AL$2:$AL$400),0)),"/")</f>
        <v>/</v>
      </c>
      <c r="AE20" s="63" t="str" cm="1">
        <f t="array" ref="AE20">IFERROR(INDEX('Offer Statistics'!AU$2:AU$400,MATCH(1,($A20='Offer Statistics'!$AK$2:$AK$400)*($AC$2='Offer Statistics'!$AL$2:$AL$400),0)),"/")</f>
        <v>/</v>
      </c>
      <c r="AF20" s="63" t="str" cm="1">
        <f t="array" ref="AF20">IFERROR(INDEX('Offer Statistics'!AV$2:AV$400,MATCH(1,($A20='Offer Statistics'!$AK$2:$AK$400)*($AC$2='Offer Statistics'!$AL$2:$AL$400),0)),"/")</f>
        <v>/</v>
      </c>
      <c r="AG20" s="63" t="str" cm="1">
        <f t="array" ref="AG20">IFERROR(INDEX('Offer Statistics'!AW$2:AW$400,MATCH(1,($A20='Offer Statistics'!$AK$2:$AK$400)*($AC$2='Offer Statistics'!$AL$2:$AL$400),0)),"/")</f>
        <v>/</v>
      </c>
      <c r="AH20" s="63" t="str" cm="1">
        <f t="array" ref="AH20">IFERROR(INDEX('Offer Statistics'!AX$2:AX$400,MATCH(1,($A20='Offer Statistics'!$AK$2:$AK$400)*($AC$2='Offer Statistics'!$AL$2:$AL$400),0)),"/")</f>
        <v>/</v>
      </c>
      <c r="AI20" s="63" t="str" cm="1">
        <f t="array" ref="AI20">IFERROR(INDEX('Offer Statistics'!AY$2:AY$400,MATCH(1,($A20='Offer Statistics'!$AK$2:$AK$400)*($AC$2='Offer Statistics'!$AL$2:$AL$400),0)),"/")</f>
        <v>/</v>
      </c>
      <c r="AJ20" s="538"/>
      <c r="AK20" s="36" t="str" cm="1">
        <f t="array" ref="AK20">IFERROR(INDEX('Offer Statistics'!$AR$2:$AR$400,MATCH(1,($A20='Offer Statistics'!$AK$2:$AK$400)*($AC$2='Offer Statistics'!$AL$2:$AL$400),0)),"/")</f>
        <v>/</v>
      </c>
      <c r="AL20" s="63" t="str" cm="1">
        <f t="array" ref="AL20">IFERROR(INDEX('Offer Statistics'!AM$2:AM$400,MATCH(1,($A20='Offer Statistics'!$AK$2:$AK$400)*($AC$2='Offer Statistics'!$AL$2:$AL$400),0)),"/")</f>
        <v>/</v>
      </c>
      <c r="AM20" s="63" t="str" cm="1">
        <f t="array" ref="AM20">IFERROR(INDEX('Offer Statistics'!AN$2:AN$400,MATCH(1,($A20='Offer Statistics'!$AK$2:$AK$400)*($AC$2='Offer Statistics'!$AL$2:$AL$400),0)),"/")</f>
        <v>/</v>
      </c>
      <c r="AN20" s="63" t="str" cm="1">
        <f t="array" ref="AN20">IFERROR(INDEX('Offer Statistics'!AO$2:AO$400,MATCH(1,($A20='Offer Statistics'!$AK$2:$AK$400)*($AC$2='Offer Statistics'!$AL$2:$AL$400),0)),"/")</f>
        <v>/</v>
      </c>
      <c r="AO20" s="63" t="str" cm="1">
        <f t="array" ref="AO20">IFERROR(INDEX('Offer Statistics'!AP$2:AP$400,MATCH(1,($A20='Offer Statistics'!$AK$2:$AK$400)*($AC$2='Offer Statistics'!$AL$2:$AL$400),0)),"/")</f>
        <v>/</v>
      </c>
      <c r="AP20" s="63" t="str" cm="1">
        <f t="array" ref="AP20">IFERROR(INDEX('Offer Statistics'!AQ$2:AQ$400,MATCH(1,($A20='Offer Statistics'!$AK$2:$AK$400)*($AC$2='Offer Statistics'!$AL$2:$AL$400),0)),"/")</f>
        <v>/</v>
      </c>
      <c r="AQ20" s="15"/>
      <c r="AR20" s="15" t="str">
        <f t="shared" si="3"/>
        <v>JS3211</v>
      </c>
    </row>
    <row r="21" spans="1:44" ht="18" customHeight="1">
      <c r="A21" s="4" t="str">
        <f>'Reference Score Calculation'!B117</f>
        <v>JS3214</v>
      </c>
      <c r="B21" s="4" t="str">
        <f>'Reference Score Calculation'!D117</f>
        <v>建築及環境學院</v>
      </c>
      <c r="C21" s="4" t="str">
        <f>'Reference Score Calculation'!E117</f>
        <v>建築學(榮譽)理學士</v>
      </c>
      <c r="D21" s="4" t="str">
        <f>'Reference Score Calculation'!S117</f>
        <v>ARCHIT STUDIES</v>
      </c>
      <c r="E21" s="352" t="str">
        <f>'Reference Score Calculation'!AC117</f>
        <v>Best 5</v>
      </c>
      <c r="F21" s="373" t="str">
        <f>'Reference Score Calculation'!F117</f>
        <v>25年新科目</v>
      </c>
      <c r="G21" s="239" t="str">
        <f>'Reference Score Calculation'!I117</f>
        <v>/</v>
      </c>
      <c r="H21" s="239" t="str">
        <f>'Reference Score Calculation'!J117</f>
        <v>/</v>
      </c>
      <c r="I21" s="239" t="str">
        <f>'Reference Score Calculation'!G117</f>
        <v>/</v>
      </c>
      <c r="J21" s="240">
        <f>計分版!J140</f>
        <v>8.2999999999999999E-9</v>
      </c>
      <c r="K21" s="7" t="str">
        <f t="shared" si="0"/>
        <v>/</v>
      </c>
      <c r="L21" s="458" t="str">
        <f t="shared" si="1"/>
        <v>/</v>
      </c>
      <c r="M21" s="36">
        <f>'Reference Score Calculation'!U117</f>
        <v>27</v>
      </c>
      <c r="N21" s="241">
        <f>入學要求!Z126</f>
        <v>0</v>
      </c>
      <c r="O21" s="544"/>
      <c r="P21" s="243">
        <f>入學要求!L126</f>
        <v>3</v>
      </c>
      <c r="Q21" s="243">
        <f>入學要求!M126</f>
        <v>3</v>
      </c>
      <c r="R21" s="243">
        <f>入學要求!N126</f>
        <v>2</v>
      </c>
      <c r="S21" s="243">
        <f>入學要求!O126</f>
        <v>1</v>
      </c>
      <c r="T21" s="243">
        <f>入學要求!P126</f>
        <v>3</v>
      </c>
      <c r="U21" s="243">
        <f>入學要求!Q126</f>
        <v>3</v>
      </c>
      <c r="V21" s="236">
        <f>入學要求!S126</f>
        <v>0</v>
      </c>
      <c r="W21" s="236">
        <f>入學要求!T126</f>
        <v>0</v>
      </c>
      <c r="X21" s="236">
        <f>入學要求!U126</f>
        <v>0</v>
      </c>
      <c r="Y21" s="236">
        <f>入學要求!V126</f>
        <v>0</v>
      </c>
      <c r="Z21" s="236">
        <f>入學要求!W126</f>
        <v>0</v>
      </c>
      <c r="AA21" s="236">
        <f>入學要求!X126</f>
        <v>0</v>
      </c>
      <c r="AB21" s="374" t="str">
        <f t="shared" si="2"/>
        <v>/</v>
      </c>
      <c r="AC21" s="537"/>
      <c r="AD21" s="36" t="str" cm="1">
        <f t="array" ref="AD21">IFERROR(INDEX('Offer Statistics'!$AZ$2:$AZ$400,MATCH(1,($A21='Offer Statistics'!$AK$2:$AK$400)*($AC$2='Offer Statistics'!$AL$2:$AL$400),0)),"/")</f>
        <v>/</v>
      </c>
      <c r="AE21" s="63" t="str" cm="1">
        <f t="array" ref="AE21">IFERROR(INDEX('Offer Statistics'!AU$2:AU$400,MATCH(1,($A21='Offer Statistics'!$AK$2:$AK$400)*($AC$2='Offer Statistics'!$AL$2:$AL$400),0)),"/")</f>
        <v>/</v>
      </c>
      <c r="AF21" s="63" t="str" cm="1">
        <f t="array" ref="AF21">IFERROR(INDEX('Offer Statistics'!AV$2:AV$400,MATCH(1,($A21='Offer Statistics'!$AK$2:$AK$400)*($AC$2='Offer Statistics'!$AL$2:$AL$400),0)),"/")</f>
        <v>/</v>
      </c>
      <c r="AG21" s="63" t="str" cm="1">
        <f t="array" ref="AG21">IFERROR(INDEX('Offer Statistics'!AW$2:AW$400,MATCH(1,($A21='Offer Statistics'!$AK$2:$AK$400)*($AC$2='Offer Statistics'!$AL$2:$AL$400),0)),"/")</f>
        <v>/</v>
      </c>
      <c r="AH21" s="63" t="str" cm="1">
        <f t="array" ref="AH21">IFERROR(INDEX('Offer Statistics'!AX$2:AX$400,MATCH(1,($A21='Offer Statistics'!$AK$2:$AK$400)*($AC$2='Offer Statistics'!$AL$2:$AL$400),0)),"/")</f>
        <v>/</v>
      </c>
      <c r="AI21" s="63" t="str" cm="1">
        <f t="array" ref="AI21">IFERROR(INDEX('Offer Statistics'!AY$2:AY$400,MATCH(1,($A21='Offer Statistics'!$AK$2:$AK$400)*($AC$2='Offer Statistics'!$AL$2:$AL$400),0)),"/")</f>
        <v>/</v>
      </c>
      <c r="AJ21" s="538"/>
      <c r="AK21" s="36" t="str" cm="1">
        <f t="array" ref="AK21">IFERROR(INDEX('Offer Statistics'!$AR$2:$AR$400,MATCH(1,($A21='Offer Statistics'!$AK$2:$AK$400)*($AC$2='Offer Statistics'!$AL$2:$AL$400),0)),"/")</f>
        <v>/</v>
      </c>
      <c r="AL21" s="63" t="str" cm="1">
        <f t="array" ref="AL21">IFERROR(INDEX('Offer Statistics'!AM$2:AM$400,MATCH(1,($A21='Offer Statistics'!$AK$2:$AK$400)*($AC$2='Offer Statistics'!$AL$2:$AL$400),0)),"/")</f>
        <v>/</v>
      </c>
      <c r="AM21" s="63" t="str" cm="1">
        <f t="array" ref="AM21">IFERROR(INDEX('Offer Statistics'!AN$2:AN$400,MATCH(1,($A21='Offer Statistics'!$AK$2:$AK$400)*($AC$2='Offer Statistics'!$AL$2:$AL$400),0)),"/")</f>
        <v>/</v>
      </c>
      <c r="AN21" s="63" t="str" cm="1">
        <f t="array" ref="AN21">IFERROR(INDEX('Offer Statistics'!AO$2:AO$400,MATCH(1,($A21='Offer Statistics'!$AK$2:$AK$400)*($AC$2='Offer Statistics'!$AL$2:$AL$400),0)),"/")</f>
        <v>/</v>
      </c>
      <c r="AO21" s="63" t="str" cm="1">
        <f t="array" ref="AO21">IFERROR(INDEX('Offer Statistics'!AP$2:AP$400,MATCH(1,($A21='Offer Statistics'!$AK$2:$AK$400)*($AC$2='Offer Statistics'!$AL$2:$AL$400),0)),"/")</f>
        <v>/</v>
      </c>
      <c r="AP21" s="63" t="str" cm="1">
        <f t="array" ref="AP21">IFERROR(INDEX('Offer Statistics'!AQ$2:AQ$400,MATCH(1,($A21='Offer Statistics'!$AK$2:$AK$400)*($AC$2='Offer Statistics'!$AL$2:$AL$400),0)),"/")</f>
        <v>/</v>
      </c>
      <c r="AQ21" s="15"/>
      <c r="AR21" s="15" t="str">
        <f t="shared" si="3"/>
        <v>JS3214</v>
      </c>
    </row>
    <row r="22" spans="1:44" s="151" customFormat="1" ht="18" customHeight="1">
      <c r="A22" s="4" t="str">
        <f>'Reference Score Calculation'!B118</f>
        <v>JS3220</v>
      </c>
      <c r="B22" s="4" t="str">
        <f>'Reference Score Calculation'!D118</f>
        <v>工程學院</v>
      </c>
      <c r="C22" s="4" t="str">
        <f>'Reference Score Calculation'!E118</f>
        <v>應用數學及金融分析(榮譽)理學士組合課程 (應用數學 / 投資科學及金融分析 / 量化金融及金融科技)</v>
      </c>
      <c r="D22" s="4" t="str">
        <f>'Reference Score Calculation'!S118</f>
        <v>APP MATHS &amp; FIN ANA</v>
      </c>
      <c r="E22" s="352" t="str">
        <f>'Reference Score Calculation'!AC118</f>
        <v>Best 5</v>
      </c>
      <c r="F22" s="373" t="str">
        <f>'Reference Score Calculation'!F118</f>
        <v>Best 5</v>
      </c>
      <c r="G22" s="239">
        <f>'Reference Score Calculation'!I118</f>
        <v>179</v>
      </c>
      <c r="H22" s="239">
        <f>'Reference Score Calculation'!J118</f>
        <v>172.5</v>
      </c>
      <c r="I22" s="239">
        <f>'Reference Score Calculation'!G118</f>
        <v>180.8</v>
      </c>
      <c r="J22" s="240">
        <f>計分版!J141</f>
        <v>9.1999999999999997E-9</v>
      </c>
      <c r="K22" s="25">
        <f t="shared" si="0"/>
        <v>-178.99999999080001</v>
      </c>
      <c r="L22" s="150">
        <f t="shared" si="1"/>
        <v>-19456521738.130436</v>
      </c>
      <c r="M22" s="36">
        <f>'Reference Score Calculation'!U118</f>
        <v>19</v>
      </c>
      <c r="N22" s="241">
        <f>入學要求!Z127</f>
        <v>0</v>
      </c>
      <c r="O22" s="544"/>
      <c r="P22" s="243">
        <f>入學要求!L127</f>
        <v>3</v>
      </c>
      <c r="Q22" s="243">
        <f>入學要求!M127</f>
        <v>3</v>
      </c>
      <c r="R22" s="243">
        <f>入學要求!N127</f>
        <v>2</v>
      </c>
      <c r="S22" s="243">
        <f>入學要求!O127</f>
        <v>1</v>
      </c>
      <c r="T22" s="243">
        <f>入學要求!P127</f>
        <v>3</v>
      </c>
      <c r="U22" s="243">
        <f>入學要求!Q127</f>
        <v>3</v>
      </c>
      <c r="V22" s="236">
        <f>入學要求!S127</f>
        <v>0</v>
      </c>
      <c r="W22" s="236">
        <f>入學要求!T127</f>
        <v>0</v>
      </c>
      <c r="X22" s="236">
        <f>入學要求!U127</f>
        <v>0</v>
      </c>
      <c r="Y22" s="236">
        <f>入學要求!V127</f>
        <v>0</v>
      </c>
      <c r="Z22" s="236">
        <f>入學要求!W127</f>
        <v>0</v>
      </c>
      <c r="AA22" s="236">
        <f>入學要求!X127</f>
        <v>0</v>
      </c>
      <c r="AB22" s="374" t="str">
        <f t="shared" si="2"/>
        <v>/</v>
      </c>
      <c r="AC22" s="537"/>
      <c r="AD22" s="36" t="str" cm="1">
        <f t="array" ref="AD22">IFERROR(INDEX('Offer Statistics'!$AZ$2:$AZ$400,MATCH(1,($A22='Offer Statistics'!$AK$2:$AK$400)*($AC$2='Offer Statistics'!$AL$2:$AL$400),0)),"/")</f>
        <v>/</v>
      </c>
      <c r="AE22" s="63" t="str" cm="1">
        <f t="array" ref="AE22">IFERROR(INDEX('Offer Statistics'!AU$2:AU$400,MATCH(1,($A22='Offer Statistics'!$AK$2:$AK$400)*($AC$2='Offer Statistics'!$AL$2:$AL$400),0)),"/")</f>
        <v>/</v>
      </c>
      <c r="AF22" s="63" t="str" cm="1">
        <f t="array" ref="AF22">IFERROR(INDEX('Offer Statistics'!AV$2:AV$400,MATCH(1,($A22='Offer Statistics'!$AK$2:$AK$400)*($AC$2='Offer Statistics'!$AL$2:$AL$400),0)),"/")</f>
        <v>/</v>
      </c>
      <c r="AG22" s="63" t="str" cm="1">
        <f t="array" ref="AG22">IFERROR(INDEX('Offer Statistics'!AW$2:AW$400,MATCH(1,($A22='Offer Statistics'!$AK$2:$AK$400)*($AC$2='Offer Statistics'!$AL$2:$AL$400),0)),"/")</f>
        <v>/</v>
      </c>
      <c r="AH22" s="63" t="str" cm="1">
        <f t="array" ref="AH22">IFERROR(INDEX('Offer Statistics'!AX$2:AX$400,MATCH(1,($A22='Offer Statistics'!$AK$2:$AK$400)*($AC$2='Offer Statistics'!$AL$2:$AL$400),0)),"/")</f>
        <v>/</v>
      </c>
      <c r="AI22" s="63" t="str" cm="1">
        <f t="array" ref="AI22">IFERROR(INDEX('Offer Statistics'!AY$2:AY$400,MATCH(1,($A22='Offer Statistics'!$AK$2:$AK$400)*($AC$2='Offer Statistics'!$AL$2:$AL$400),0)),"/")</f>
        <v>/</v>
      </c>
      <c r="AJ22" s="538"/>
      <c r="AK22" s="36" t="str" cm="1">
        <f t="array" ref="AK22">IFERROR(INDEX('Offer Statistics'!$AR$2:$AR$400,MATCH(1,($A22='Offer Statistics'!$AK$2:$AK$400)*($AC$2='Offer Statistics'!$AL$2:$AL$400),0)),"/")</f>
        <v>/</v>
      </c>
      <c r="AL22" s="63" t="str" cm="1">
        <f t="array" ref="AL22">IFERROR(INDEX('Offer Statistics'!AM$2:AM$400,MATCH(1,($A22='Offer Statistics'!$AK$2:$AK$400)*($AC$2='Offer Statistics'!$AL$2:$AL$400),0)),"/")</f>
        <v>/</v>
      </c>
      <c r="AM22" s="63" t="str" cm="1">
        <f t="array" ref="AM22">IFERROR(INDEX('Offer Statistics'!AN$2:AN$400,MATCH(1,($A22='Offer Statistics'!$AK$2:$AK$400)*($AC$2='Offer Statistics'!$AL$2:$AL$400),0)),"/")</f>
        <v>/</v>
      </c>
      <c r="AN22" s="63" t="str" cm="1">
        <f t="array" ref="AN22">IFERROR(INDEX('Offer Statistics'!AO$2:AO$400,MATCH(1,($A22='Offer Statistics'!$AK$2:$AK$400)*($AC$2='Offer Statistics'!$AL$2:$AL$400),0)),"/")</f>
        <v>/</v>
      </c>
      <c r="AO22" s="63" t="str" cm="1">
        <f t="array" ref="AO22">IFERROR(INDEX('Offer Statistics'!AP$2:AP$400,MATCH(1,($A22='Offer Statistics'!$AK$2:$AK$400)*($AC$2='Offer Statistics'!$AL$2:$AL$400),0)),"/")</f>
        <v>/</v>
      </c>
      <c r="AP22" s="63" t="str" cm="1">
        <f t="array" ref="AP22">IFERROR(INDEX('Offer Statistics'!AQ$2:AQ$400,MATCH(1,($A22='Offer Statistics'!$AK$2:$AK$400)*($AC$2='Offer Statistics'!$AL$2:$AL$400),0)),"/")</f>
        <v>/</v>
      </c>
      <c r="AQ22" s="15"/>
      <c r="AR22" s="15" t="str">
        <f t="shared" si="3"/>
        <v>JS3220</v>
      </c>
    </row>
    <row r="23" spans="1:44" s="151" customFormat="1" ht="18" customHeight="1">
      <c r="A23" s="4" t="str">
        <f>'Reference Score Calculation'!B119</f>
        <v>JS3223</v>
      </c>
      <c r="B23" s="4" t="str">
        <f>'Reference Score Calculation'!D119</f>
        <v>工程學院</v>
      </c>
      <c r="C23" s="4" t="str">
        <f>'Reference Score Calculation'!E119</f>
        <v>數據科學及人工智能(榮譽)理學士組合課程 (數據科學及分析 / 金融科技及人工智能)</v>
      </c>
      <c r="D23" s="4" t="str">
        <f>'Reference Score Calculation'!S119</f>
        <v>DATA SCI &amp; AI</v>
      </c>
      <c r="E23" s="352" t="str">
        <f>'Reference Score Calculation'!AC119</f>
        <v>Best 5</v>
      </c>
      <c r="F23" s="373" t="str">
        <f>'Reference Score Calculation'!F119</f>
        <v>Best 5</v>
      </c>
      <c r="G23" s="239">
        <f>'Reference Score Calculation'!I119</f>
        <v>179</v>
      </c>
      <c r="H23" s="239">
        <f>'Reference Score Calculation'!J119</f>
        <v>172.5</v>
      </c>
      <c r="I23" s="239">
        <f>'Reference Score Calculation'!G119</f>
        <v>180.8</v>
      </c>
      <c r="J23" s="240">
        <f>計分版!J142</f>
        <v>9.1999999999999997E-9</v>
      </c>
      <c r="K23" s="25">
        <f t="shared" si="0"/>
        <v>-178.99999999080001</v>
      </c>
      <c r="L23" s="150">
        <f t="shared" si="1"/>
        <v>-19456521738.130436</v>
      </c>
      <c r="M23" s="36">
        <f>'Reference Score Calculation'!U119</f>
        <v>32</v>
      </c>
      <c r="N23" s="241">
        <f>入學要求!Z128</f>
        <v>0</v>
      </c>
      <c r="O23" s="544"/>
      <c r="P23" s="243">
        <f>入學要求!L128</f>
        <v>3</v>
      </c>
      <c r="Q23" s="243">
        <f>入學要求!M128</f>
        <v>3</v>
      </c>
      <c r="R23" s="243">
        <f>入學要求!N128</f>
        <v>2</v>
      </c>
      <c r="S23" s="243">
        <f>入學要求!O128</f>
        <v>1</v>
      </c>
      <c r="T23" s="243">
        <f>入學要求!P128</f>
        <v>3</v>
      </c>
      <c r="U23" s="243">
        <f>入學要求!Q128</f>
        <v>3</v>
      </c>
      <c r="V23" s="236">
        <f>入學要求!S128</f>
        <v>0</v>
      </c>
      <c r="W23" s="236">
        <f>入學要求!T128</f>
        <v>0</v>
      </c>
      <c r="X23" s="236">
        <f>入學要求!U128</f>
        <v>0</v>
      </c>
      <c r="Y23" s="236">
        <f>入學要求!V128</f>
        <v>0</v>
      </c>
      <c r="Z23" s="236">
        <f>入學要求!W128</f>
        <v>0</v>
      </c>
      <c r="AA23" s="236">
        <f>入學要求!X128</f>
        <v>0</v>
      </c>
      <c r="AB23" s="374" t="str">
        <f t="shared" si="2"/>
        <v>/</v>
      </c>
      <c r="AC23" s="537"/>
      <c r="AD23" s="36" t="str" cm="1">
        <f t="array" ref="AD23">IFERROR(INDEX('Offer Statistics'!$AZ$2:$AZ$400,MATCH(1,($A23='Offer Statistics'!$AK$2:$AK$400)*($AC$2='Offer Statistics'!$AL$2:$AL$400),0)),"/")</f>
        <v>/</v>
      </c>
      <c r="AE23" s="63" t="str" cm="1">
        <f t="array" ref="AE23">IFERROR(INDEX('Offer Statistics'!AU$2:AU$400,MATCH(1,($A23='Offer Statistics'!$AK$2:$AK$400)*($AC$2='Offer Statistics'!$AL$2:$AL$400),0)),"/")</f>
        <v>/</v>
      </c>
      <c r="AF23" s="63" t="str" cm="1">
        <f t="array" ref="AF23">IFERROR(INDEX('Offer Statistics'!AV$2:AV$400,MATCH(1,($A23='Offer Statistics'!$AK$2:$AK$400)*($AC$2='Offer Statistics'!$AL$2:$AL$400),0)),"/")</f>
        <v>/</v>
      </c>
      <c r="AG23" s="63" t="str" cm="1">
        <f t="array" ref="AG23">IFERROR(INDEX('Offer Statistics'!AW$2:AW$400,MATCH(1,($A23='Offer Statistics'!$AK$2:$AK$400)*($AC$2='Offer Statistics'!$AL$2:$AL$400),0)),"/")</f>
        <v>/</v>
      </c>
      <c r="AH23" s="63" t="str" cm="1">
        <f t="array" ref="AH23">IFERROR(INDEX('Offer Statistics'!AX$2:AX$400,MATCH(1,($A23='Offer Statistics'!$AK$2:$AK$400)*($AC$2='Offer Statistics'!$AL$2:$AL$400),0)),"/")</f>
        <v>/</v>
      </c>
      <c r="AI23" s="63" t="str" cm="1">
        <f t="array" ref="AI23">IFERROR(INDEX('Offer Statistics'!AY$2:AY$400,MATCH(1,($A23='Offer Statistics'!$AK$2:$AK$400)*($AC$2='Offer Statistics'!$AL$2:$AL$400),0)),"/")</f>
        <v>/</v>
      </c>
      <c r="AJ23" s="538"/>
      <c r="AK23" s="36" t="str" cm="1">
        <f t="array" ref="AK23">IFERROR(INDEX('Offer Statistics'!$AR$2:$AR$400,MATCH(1,($A23='Offer Statistics'!$AK$2:$AK$400)*($AC$2='Offer Statistics'!$AL$2:$AL$400),0)),"/")</f>
        <v>/</v>
      </c>
      <c r="AL23" s="63" t="str" cm="1">
        <f t="array" ref="AL23">IFERROR(INDEX('Offer Statistics'!AM$2:AM$400,MATCH(1,($A23='Offer Statistics'!$AK$2:$AK$400)*($AC$2='Offer Statistics'!$AL$2:$AL$400),0)),"/")</f>
        <v>/</v>
      </c>
      <c r="AM23" s="63" t="str" cm="1">
        <f t="array" ref="AM23">IFERROR(INDEX('Offer Statistics'!AN$2:AN$400,MATCH(1,($A23='Offer Statistics'!$AK$2:$AK$400)*($AC$2='Offer Statistics'!$AL$2:$AL$400),0)),"/")</f>
        <v>/</v>
      </c>
      <c r="AN23" s="63" t="str" cm="1">
        <f t="array" ref="AN23">IFERROR(INDEX('Offer Statistics'!AO$2:AO$400,MATCH(1,($A23='Offer Statistics'!$AK$2:$AK$400)*($AC$2='Offer Statistics'!$AL$2:$AL$400),0)),"/")</f>
        <v>/</v>
      </c>
      <c r="AO23" s="63" t="str" cm="1">
        <f t="array" ref="AO23">IFERROR(INDEX('Offer Statistics'!AP$2:AP$400,MATCH(1,($A23='Offer Statistics'!$AK$2:$AK$400)*($AC$2='Offer Statistics'!$AL$2:$AL$400),0)),"/")</f>
        <v>/</v>
      </c>
      <c r="AP23" s="63" t="str" cm="1">
        <f t="array" ref="AP23">IFERROR(INDEX('Offer Statistics'!AQ$2:AQ$400,MATCH(1,($A23='Offer Statistics'!$AK$2:$AK$400)*($AC$2='Offer Statistics'!$AL$2:$AL$400),0)),"/")</f>
        <v>/</v>
      </c>
      <c r="AQ23" s="15"/>
      <c r="AR23" s="15" t="str">
        <f t="shared" si="3"/>
        <v>JS3223</v>
      </c>
    </row>
    <row r="24" spans="1:44" ht="18" customHeight="1">
      <c r="A24" s="4" t="str">
        <f>'Reference Score Calculation'!B120</f>
        <v>JS3236</v>
      </c>
      <c r="B24" s="4" t="str">
        <f>'Reference Score Calculation'!D120</f>
        <v>工程學院</v>
      </c>
      <c r="C24" s="4" t="str">
        <f>'Reference Score Calculation'!E120</f>
        <v>產品創新及智能製造(榮譽)工學士組合課程 (產品創新兼市場學 / 智能製造)</v>
      </c>
      <c r="D24" s="4" t="str">
        <f>'Reference Score Calculation'!S120</f>
        <v>PROD INNO &amp; SMART MFG</v>
      </c>
      <c r="E24" s="352" t="str">
        <f>'Reference Score Calculation'!AC120</f>
        <v>Best 5</v>
      </c>
      <c r="F24" s="373" t="str">
        <f>'Reference Score Calculation'!F120</f>
        <v>Best 5</v>
      </c>
      <c r="G24" s="239">
        <f>'Reference Score Calculation'!I120</f>
        <v>148</v>
      </c>
      <c r="H24" s="239">
        <f>'Reference Score Calculation'!J120</f>
        <v>143.5</v>
      </c>
      <c r="I24" s="239">
        <f>'Reference Score Calculation'!G120</f>
        <v>148.30000000000001</v>
      </c>
      <c r="J24" s="240">
        <f>計分版!J143</f>
        <v>8.2000000000000006E-9</v>
      </c>
      <c r="K24" s="25">
        <f t="shared" si="0"/>
        <v>-147.9999999918</v>
      </c>
      <c r="L24" s="150">
        <f t="shared" si="1"/>
        <v>-18048780486.804874</v>
      </c>
      <c r="M24" s="36">
        <f>'Reference Score Calculation'!U120</f>
        <v>46</v>
      </c>
      <c r="N24" s="241">
        <f>入學要求!Z129</f>
        <v>0</v>
      </c>
      <c r="O24" s="544"/>
      <c r="P24" s="243">
        <f>入學要求!L129</f>
        <v>3</v>
      </c>
      <c r="Q24" s="243">
        <f>入學要求!M129</f>
        <v>3</v>
      </c>
      <c r="R24" s="243">
        <f>入學要求!N129</f>
        <v>2</v>
      </c>
      <c r="S24" s="243">
        <f>入學要求!O129</f>
        <v>1</v>
      </c>
      <c r="T24" s="243">
        <f>入學要求!P129</f>
        <v>3</v>
      </c>
      <c r="U24" s="243">
        <f>入學要求!Q129</f>
        <v>3</v>
      </c>
      <c r="V24" s="236">
        <f>入學要求!S129</f>
        <v>0</v>
      </c>
      <c r="W24" s="236">
        <f>入學要求!T129</f>
        <v>0</v>
      </c>
      <c r="X24" s="236">
        <f>入學要求!U129</f>
        <v>0</v>
      </c>
      <c r="Y24" s="236">
        <f>入學要求!V129</f>
        <v>0</v>
      </c>
      <c r="Z24" s="236">
        <f>入學要求!W129</f>
        <v>0</v>
      </c>
      <c r="AA24" s="236">
        <f>入學要求!X129</f>
        <v>0</v>
      </c>
      <c r="AB24" s="374" t="str">
        <f t="shared" si="2"/>
        <v>/</v>
      </c>
      <c r="AC24" s="537"/>
      <c r="AD24" s="36" t="str" cm="1">
        <f t="array" ref="AD24">IFERROR(INDEX('Offer Statistics'!$AZ$2:$AZ$400,MATCH(1,($A24='Offer Statistics'!$AK$2:$AK$400)*($AC$2='Offer Statistics'!$AL$2:$AL$400),0)),"/")</f>
        <v>/</v>
      </c>
      <c r="AE24" s="63" t="str" cm="1">
        <f t="array" ref="AE24">IFERROR(INDEX('Offer Statistics'!AU$2:AU$400,MATCH(1,($A24='Offer Statistics'!$AK$2:$AK$400)*($AC$2='Offer Statistics'!$AL$2:$AL$400),0)),"/")</f>
        <v>/</v>
      </c>
      <c r="AF24" s="63" t="str" cm="1">
        <f t="array" ref="AF24">IFERROR(INDEX('Offer Statistics'!AV$2:AV$400,MATCH(1,($A24='Offer Statistics'!$AK$2:$AK$400)*($AC$2='Offer Statistics'!$AL$2:$AL$400),0)),"/")</f>
        <v>/</v>
      </c>
      <c r="AG24" s="63" t="str" cm="1">
        <f t="array" ref="AG24">IFERROR(INDEX('Offer Statistics'!AW$2:AW$400,MATCH(1,($A24='Offer Statistics'!$AK$2:$AK$400)*($AC$2='Offer Statistics'!$AL$2:$AL$400),0)),"/")</f>
        <v>/</v>
      </c>
      <c r="AH24" s="63" t="str" cm="1">
        <f t="array" ref="AH24">IFERROR(INDEX('Offer Statistics'!AX$2:AX$400,MATCH(1,($A24='Offer Statistics'!$AK$2:$AK$400)*($AC$2='Offer Statistics'!$AL$2:$AL$400),0)),"/")</f>
        <v>/</v>
      </c>
      <c r="AI24" s="63" t="str" cm="1">
        <f t="array" ref="AI24">IFERROR(INDEX('Offer Statistics'!AY$2:AY$400,MATCH(1,($A24='Offer Statistics'!$AK$2:$AK$400)*($AC$2='Offer Statistics'!$AL$2:$AL$400),0)),"/")</f>
        <v>/</v>
      </c>
      <c r="AJ24" s="538"/>
      <c r="AK24" s="36" t="str" cm="1">
        <f t="array" ref="AK24">IFERROR(INDEX('Offer Statistics'!$AR$2:$AR$400,MATCH(1,($A24='Offer Statistics'!$AK$2:$AK$400)*($AC$2='Offer Statistics'!$AL$2:$AL$400),0)),"/")</f>
        <v>/</v>
      </c>
      <c r="AL24" s="63" t="str" cm="1">
        <f t="array" ref="AL24">IFERROR(INDEX('Offer Statistics'!AM$2:AM$400,MATCH(1,($A24='Offer Statistics'!$AK$2:$AK$400)*($AC$2='Offer Statistics'!$AL$2:$AL$400),0)),"/")</f>
        <v>/</v>
      </c>
      <c r="AM24" s="63" t="str" cm="1">
        <f t="array" ref="AM24">IFERROR(INDEX('Offer Statistics'!AN$2:AN$400,MATCH(1,($A24='Offer Statistics'!$AK$2:$AK$400)*($AC$2='Offer Statistics'!$AL$2:$AL$400),0)),"/")</f>
        <v>/</v>
      </c>
      <c r="AN24" s="63" t="str" cm="1">
        <f t="array" ref="AN24">IFERROR(INDEX('Offer Statistics'!AO$2:AO$400,MATCH(1,($A24='Offer Statistics'!$AK$2:$AK$400)*($AC$2='Offer Statistics'!$AL$2:$AL$400),0)),"/")</f>
        <v>/</v>
      </c>
      <c r="AO24" s="63" t="str" cm="1">
        <f t="array" ref="AO24">IFERROR(INDEX('Offer Statistics'!AP$2:AP$400,MATCH(1,($A24='Offer Statistics'!$AK$2:$AK$400)*($AC$2='Offer Statistics'!$AL$2:$AL$400),0)),"/")</f>
        <v>/</v>
      </c>
      <c r="AP24" s="63" t="str" cm="1">
        <f t="array" ref="AP24">IFERROR(INDEX('Offer Statistics'!AQ$2:AQ$400,MATCH(1,($A24='Offer Statistics'!$AK$2:$AK$400)*($AC$2='Offer Statistics'!$AL$2:$AL$400),0)),"/")</f>
        <v>/</v>
      </c>
      <c r="AQ24" s="15"/>
      <c r="AR24" s="15" t="str">
        <f t="shared" si="3"/>
        <v>JS3236</v>
      </c>
    </row>
    <row r="25" spans="1:44" ht="18" customHeight="1">
      <c r="A25" s="4" t="str">
        <f>'Reference Score Calculation'!B121</f>
        <v>JS3237</v>
      </c>
      <c r="B25" s="4" t="str">
        <f>'Reference Score Calculation'!D121</f>
        <v>工程學院</v>
      </c>
      <c r="C25" s="4" t="str">
        <f>'Reference Score Calculation'!E121</f>
        <v>智能供應鏈及工程管理(榮譽)理學士組合課程 (智能供應鏈 / 工程管理兼數據分析)</v>
      </c>
      <c r="D25" s="4" t="str">
        <f>'Reference Score Calculation'!S121</f>
        <v>INTELLI S C &amp; ENGG MGT</v>
      </c>
      <c r="E25" s="352" t="str">
        <f>'Reference Score Calculation'!AC121</f>
        <v>Best 5</v>
      </c>
      <c r="F25" s="373" t="str">
        <f>'Reference Score Calculation'!F121</f>
        <v>Best 5</v>
      </c>
      <c r="G25" s="239">
        <f>'Reference Score Calculation'!I121</f>
        <v>146</v>
      </c>
      <c r="H25" s="239">
        <f>'Reference Score Calculation'!J121</f>
        <v>143</v>
      </c>
      <c r="I25" s="239">
        <f>'Reference Score Calculation'!G121</f>
        <v>146.4</v>
      </c>
      <c r="J25" s="240">
        <f>計分版!J144</f>
        <v>8.2000000000000006E-9</v>
      </c>
      <c r="K25" s="25">
        <f t="shared" si="0"/>
        <v>-145.9999999918</v>
      </c>
      <c r="L25" s="150">
        <f t="shared" si="1"/>
        <v>-17804878047.780487</v>
      </c>
      <c r="M25" s="36">
        <f>'Reference Score Calculation'!U121</f>
        <v>43</v>
      </c>
      <c r="N25" s="241">
        <f>入學要求!Z130</f>
        <v>0</v>
      </c>
      <c r="O25" s="544"/>
      <c r="P25" s="243">
        <f>入學要求!L130</f>
        <v>3</v>
      </c>
      <c r="Q25" s="243">
        <f>入學要求!M130</f>
        <v>3</v>
      </c>
      <c r="R25" s="243">
        <f>入學要求!N130</f>
        <v>2</v>
      </c>
      <c r="S25" s="243">
        <f>入學要求!O130</f>
        <v>1</v>
      </c>
      <c r="T25" s="243">
        <f>入學要求!P130</f>
        <v>3</v>
      </c>
      <c r="U25" s="243">
        <f>入學要求!Q130</f>
        <v>3</v>
      </c>
      <c r="V25" s="236">
        <f>入學要求!S130</f>
        <v>0</v>
      </c>
      <c r="W25" s="236">
        <f>入學要求!T130</f>
        <v>0</v>
      </c>
      <c r="X25" s="236">
        <f>入學要求!U130</f>
        <v>0</v>
      </c>
      <c r="Y25" s="236">
        <f>入學要求!V130</f>
        <v>0</v>
      </c>
      <c r="Z25" s="236">
        <f>入學要求!W130</f>
        <v>0</v>
      </c>
      <c r="AA25" s="236">
        <f>入學要求!X130</f>
        <v>0</v>
      </c>
      <c r="AB25" s="374" t="str">
        <f t="shared" si="2"/>
        <v>/</v>
      </c>
      <c r="AC25" s="537"/>
      <c r="AD25" s="36" t="str" cm="1">
        <f t="array" ref="AD25">IFERROR(INDEX('Offer Statistics'!$AZ$2:$AZ$400,MATCH(1,($A25='Offer Statistics'!$AK$2:$AK$400)*($AC$2='Offer Statistics'!$AL$2:$AL$400),0)),"/")</f>
        <v>/</v>
      </c>
      <c r="AE25" s="63" t="str" cm="1">
        <f t="array" ref="AE25">IFERROR(INDEX('Offer Statistics'!AU$2:AU$400,MATCH(1,($A25='Offer Statistics'!$AK$2:$AK$400)*($AC$2='Offer Statistics'!$AL$2:$AL$400),0)),"/")</f>
        <v>/</v>
      </c>
      <c r="AF25" s="63" t="str" cm="1">
        <f t="array" ref="AF25">IFERROR(INDEX('Offer Statistics'!AV$2:AV$400,MATCH(1,($A25='Offer Statistics'!$AK$2:$AK$400)*($AC$2='Offer Statistics'!$AL$2:$AL$400),0)),"/")</f>
        <v>/</v>
      </c>
      <c r="AG25" s="63" t="str" cm="1">
        <f t="array" ref="AG25">IFERROR(INDEX('Offer Statistics'!AW$2:AW$400,MATCH(1,($A25='Offer Statistics'!$AK$2:$AK$400)*($AC$2='Offer Statistics'!$AL$2:$AL$400),0)),"/")</f>
        <v>/</v>
      </c>
      <c r="AH25" s="63" t="str" cm="1">
        <f t="array" ref="AH25">IFERROR(INDEX('Offer Statistics'!AX$2:AX$400,MATCH(1,($A25='Offer Statistics'!$AK$2:$AK$400)*($AC$2='Offer Statistics'!$AL$2:$AL$400),0)),"/")</f>
        <v>/</v>
      </c>
      <c r="AI25" s="63" t="str" cm="1">
        <f t="array" ref="AI25">IFERROR(INDEX('Offer Statistics'!AY$2:AY$400,MATCH(1,($A25='Offer Statistics'!$AK$2:$AK$400)*($AC$2='Offer Statistics'!$AL$2:$AL$400),0)),"/")</f>
        <v>/</v>
      </c>
      <c r="AJ25" s="538"/>
      <c r="AK25" s="36" t="str" cm="1">
        <f t="array" ref="AK25">IFERROR(INDEX('Offer Statistics'!$AR$2:$AR$400,MATCH(1,($A25='Offer Statistics'!$AK$2:$AK$400)*($AC$2='Offer Statistics'!$AL$2:$AL$400),0)),"/")</f>
        <v>/</v>
      </c>
      <c r="AL25" s="63" t="str" cm="1">
        <f t="array" ref="AL25">IFERROR(INDEX('Offer Statistics'!AM$2:AM$400,MATCH(1,($A25='Offer Statistics'!$AK$2:$AK$400)*($AC$2='Offer Statistics'!$AL$2:$AL$400),0)),"/")</f>
        <v>/</v>
      </c>
      <c r="AM25" s="63" t="str" cm="1">
        <f t="array" ref="AM25">IFERROR(INDEX('Offer Statistics'!AN$2:AN$400,MATCH(1,($A25='Offer Statistics'!$AK$2:$AK$400)*($AC$2='Offer Statistics'!$AL$2:$AL$400),0)),"/")</f>
        <v>/</v>
      </c>
      <c r="AN25" s="63" t="str" cm="1">
        <f t="array" ref="AN25">IFERROR(INDEX('Offer Statistics'!AO$2:AO$400,MATCH(1,($A25='Offer Statistics'!$AK$2:$AK$400)*($AC$2='Offer Statistics'!$AL$2:$AL$400),0)),"/")</f>
        <v>/</v>
      </c>
      <c r="AO25" s="63" t="str" cm="1">
        <f t="array" ref="AO25">IFERROR(INDEX('Offer Statistics'!AP$2:AP$400,MATCH(1,($A25='Offer Statistics'!$AK$2:$AK$400)*($AC$2='Offer Statistics'!$AL$2:$AL$400),0)),"/")</f>
        <v>/</v>
      </c>
      <c r="AP25" s="63" t="str" cm="1">
        <f t="array" ref="AP25">IFERROR(INDEX('Offer Statistics'!AQ$2:AQ$400,MATCH(1,($A25='Offer Statistics'!$AK$2:$AK$400)*($AC$2='Offer Statistics'!$AL$2:$AL$400),0)),"/")</f>
        <v>/</v>
      </c>
      <c r="AQ25" s="15"/>
      <c r="AR25" s="15" t="str">
        <f t="shared" si="3"/>
        <v>JS3237</v>
      </c>
    </row>
    <row r="26" spans="1:44" s="151" customFormat="1" ht="18" customHeight="1">
      <c r="A26" s="4" t="str">
        <f>'Reference Score Calculation'!B122</f>
        <v>JS3240</v>
      </c>
      <c r="B26" s="4" t="str">
        <f>'Reference Score Calculation'!D122</f>
        <v>人文學院</v>
      </c>
      <c r="C26" s="4" t="str">
        <f>'Reference Score Calculation'!E122</f>
        <v>英文及應用語言學(榮譽)文學士</v>
      </c>
      <c r="D26" s="4" t="str">
        <f>'Reference Score Calculation'!S122</f>
        <v>ENGL &amp; APP LINGUISTICS</v>
      </c>
      <c r="E26" s="352" t="str">
        <f>'Reference Score Calculation'!AC122</f>
        <v>中英Best3</v>
      </c>
      <c r="F26" s="373" t="str">
        <f>'Reference Score Calculation'!F122</f>
        <v>中英Best3</v>
      </c>
      <c r="G26" s="239">
        <f>'Reference Score Calculation'!I122</f>
        <v>169.5</v>
      </c>
      <c r="H26" s="239">
        <f>'Reference Score Calculation'!J122</f>
        <v>163</v>
      </c>
      <c r="I26" s="239">
        <f>'Reference Score Calculation'!G122</f>
        <v>169.8</v>
      </c>
      <c r="J26" s="240">
        <f>計分版!J145</f>
        <v>7.6000000000000002E-9</v>
      </c>
      <c r="K26" s="25">
        <f t="shared" si="0"/>
        <v>-169.49999999240001</v>
      </c>
      <c r="L26" s="150">
        <f t="shared" si="1"/>
        <v>-22302631577.947369</v>
      </c>
      <c r="M26" s="36">
        <f>'Reference Score Calculation'!U122</f>
        <v>32</v>
      </c>
      <c r="N26" s="241">
        <f>入學要求!Z131</f>
        <v>0</v>
      </c>
      <c r="O26" s="544"/>
      <c r="P26" s="243">
        <f>入學要求!L131</f>
        <v>3</v>
      </c>
      <c r="Q26" s="243">
        <f>入學要求!M131</f>
        <v>3</v>
      </c>
      <c r="R26" s="243">
        <f>入學要求!N131</f>
        <v>2</v>
      </c>
      <c r="S26" s="243">
        <f>入學要求!O131</f>
        <v>1</v>
      </c>
      <c r="T26" s="243">
        <f>入學要求!P131</f>
        <v>3</v>
      </c>
      <c r="U26" s="243">
        <f>入學要求!Q131</f>
        <v>3</v>
      </c>
      <c r="V26" s="236">
        <f>入學要求!S131</f>
        <v>0</v>
      </c>
      <c r="W26" s="236">
        <f>入學要求!T131</f>
        <v>0</v>
      </c>
      <c r="X26" s="236">
        <f>入學要求!U131</f>
        <v>0</v>
      </c>
      <c r="Y26" s="236">
        <f>入學要求!V131</f>
        <v>0</v>
      </c>
      <c r="Z26" s="236">
        <f>入學要求!W131</f>
        <v>0</v>
      </c>
      <c r="AA26" s="236">
        <f>入學要求!X131</f>
        <v>0</v>
      </c>
      <c r="AB26" s="374">
        <f t="shared" si="2"/>
        <v>5.17</v>
      </c>
      <c r="AC26" s="537"/>
      <c r="AD26" s="36" cm="1">
        <f t="array" ref="AD26">IFERROR(INDEX('Offer Statistics'!$AZ$2:$AZ$400,MATCH(1,($A26='Offer Statistics'!$AK$2:$AK$400)*($AC$2='Offer Statistics'!$AL$2:$AL$400),0)),"/")</f>
        <v>28</v>
      </c>
      <c r="AE26" s="63" cm="1">
        <f t="array" ref="AE26">IFERROR(INDEX('Offer Statistics'!AU$2:AU$400,MATCH(1,($A26='Offer Statistics'!$AK$2:$AK$400)*($AC$2='Offer Statistics'!$AL$2:$AL$400),0)),"/")</f>
        <v>23</v>
      </c>
      <c r="AF26" s="63" cm="1">
        <f t="array" ref="AF26">IFERROR(INDEX('Offer Statistics'!AV$2:AV$400,MATCH(1,($A26='Offer Statistics'!$AK$2:$AK$400)*($AC$2='Offer Statistics'!$AL$2:$AL$400),0)),"/")</f>
        <v>5</v>
      </c>
      <c r="AG26" s="63" cm="1">
        <f t="array" ref="AG26">IFERROR(INDEX('Offer Statistics'!AW$2:AW$400,MATCH(1,($A26='Offer Statistics'!$AK$2:$AK$400)*($AC$2='Offer Statistics'!$AL$2:$AL$400),0)),"/")</f>
        <v>0</v>
      </c>
      <c r="AH26" s="63" cm="1">
        <f t="array" ref="AH26">IFERROR(INDEX('Offer Statistics'!AX$2:AX$400,MATCH(1,($A26='Offer Statistics'!$AK$2:$AK$400)*($AC$2='Offer Statistics'!$AL$2:$AL$400),0)),"/")</f>
        <v>0</v>
      </c>
      <c r="AI26" s="63" cm="1">
        <f t="array" ref="AI26">IFERROR(INDEX('Offer Statistics'!AY$2:AY$400,MATCH(1,($A26='Offer Statistics'!$AK$2:$AK$400)*($AC$2='Offer Statistics'!$AL$2:$AL$400),0)),"/")</f>
        <v>0</v>
      </c>
      <c r="AJ26" s="538"/>
      <c r="AK26" s="36" cm="1">
        <f t="array" ref="AK26">IFERROR(INDEX('Offer Statistics'!$AR$2:$AR$400,MATCH(1,($A26='Offer Statistics'!$AK$2:$AK$400)*($AC$2='Offer Statistics'!$AL$2:$AL$400),0)),"/")</f>
        <v>1069</v>
      </c>
      <c r="AL26" s="63" cm="1">
        <f t="array" ref="AL26">IFERROR(INDEX('Offer Statistics'!AM$2:AM$400,MATCH(1,($A26='Offer Statistics'!$AK$2:$AK$400)*($AC$2='Offer Statistics'!$AL$2:$AL$400),0)),"/")</f>
        <v>119</v>
      </c>
      <c r="AM26" s="63" cm="1">
        <f t="array" ref="AM26">IFERROR(INDEX('Offer Statistics'!AN$2:AN$400,MATCH(1,($A26='Offer Statistics'!$AK$2:$AK$400)*($AC$2='Offer Statistics'!$AL$2:$AL$400),0)),"/")</f>
        <v>197</v>
      </c>
      <c r="AN26" s="63" cm="1">
        <f t="array" ref="AN26">IFERROR(INDEX('Offer Statistics'!AO$2:AO$400,MATCH(1,($A26='Offer Statistics'!$AK$2:$AK$400)*($AC$2='Offer Statistics'!$AL$2:$AL$400),0)),"/")</f>
        <v>244</v>
      </c>
      <c r="AO26" s="63" cm="1">
        <f t="array" ref="AO26">IFERROR(INDEX('Offer Statistics'!AP$2:AP$400,MATCH(1,($A26='Offer Statistics'!$AK$2:$AK$400)*($AC$2='Offer Statistics'!$AL$2:$AL$400),0)),"/")</f>
        <v>297</v>
      </c>
      <c r="AP26" s="63" cm="1">
        <f t="array" ref="AP26">IFERROR(INDEX('Offer Statistics'!AQ$2:AQ$400,MATCH(1,($A26='Offer Statistics'!$AK$2:$AK$400)*($AC$2='Offer Statistics'!$AL$2:$AL$400),0)),"/")</f>
        <v>212</v>
      </c>
      <c r="AQ26" s="15"/>
      <c r="AR26" s="15" t="str">
        <f t="shared" si="3"/>
        <v>JS3240</v>
      </c>
    </row>
    <row r="27" spans="1:44" s="151" customFormat="1" ht="18" customHeight="1">
      <c r="A27" s="4" t="str">
        <f>'Reference Score Calculation'!B123</f>
        <v>JS3241</v>
      </c>
      <c r="B27" s="4" t="str">
        <f>'Reference Score Calculation'!D123</f>
        <v>人文學院</v>
      </c>
      <c r="C27" s="4" t="str">
        <f>'Reference Score Calculation'!E123</f>
        <v>翻譯學、語言科學與語言數據分析(榮譽)文學士/理學士組合課程 (語言學及翻譯學 / 語言科學與語言數據分析)</v>
      </c>
      <c r="D27" s="4" t="str">
        <f>'Reference Score Calculation'!S123</f>
        <v>TRANSLAT, LANG SCI &amp; ANA</v>
      </c>
      <c r="E27" s="352" t="str">
        <f>'Reference Score Calculation'!AC123</f>
        <v>Best 5</v>
      </c>
      <c r="F27" s="373" t="str">
        <f>'Reference Score Calculation'!F123</f>
        <v>Best 5</v>
      </c>
      <c r="G27" s="239">
        <f>'Reference Score Calculation'!I123</f>
        <v>242</v>
      </c>
      <c r="H27" s="239">
        <f>'Reference Score Calculation'!J123</f>
        <v>231.5</v>
      </c>
      <c r="I27" s="239">
        <f>'Reference Score Calculation'!G123</f>
        <v>242.2</v>
      </c>
      <c r="J27" s="240">
        <f>計分版!J146</f>
        <v>9.5000000000000007E-9</v>
      </c>
      <c r="K27" s="25">
        <f t="shared" si="0"/>
        <v>-241.99999999049999</v>
      </c>
      <c r="L27" s="150">
        <f t="shared" si="1"/>
        <v>-25473684209.526314</v>
      </c>
      <c r="M27" s="36">
        <f>'Reference Score Calculation'!U123</f>
        <v>15</v>
      </c>
      <c r="N27" s="241">
        <f>入學要求!Z132</f>
        <v>0</v>
      </c>
      <c r="O27" s="544"/>
      <c r="P27" s="243">
        <f>入學要求!L132</f>
        <v>3</v>
      </c>
      <c r="Q27" s="243">
        <f>入學要求!M132</f>
        <v>3</v>
      </c>
      <c r="R27" s="243">
        <f>入學要求!N132</f>
        <v>2</v>
      </c>
      <c r="S27" s="243">
        <f>入學要求!O132</f>
        <v>1</v>
      </c>
      <c r="T27" s="243">
        <f>入學要求!P132</f>
        <v>3</v>
      </c>
      <c r="U27" s="243">
        <f>入學要求!Q132</f>
        <v>3</v>
      </c>
      <c r="V27" s="236">
        <f>入學要求!S132</f>
        <v>0</v>
      </c>
      <c r="W27" s="236">
        <f>入學要求!T132</f>
        <v>0</v>
      </c>
      <c r="X27" s="236">
        <f>入學要求!U132</f>
        <v>0</v>
      </c>
      <c r="Y27" s="236">
        <f>入學要求!V132</f>
        <v>0</v>
      </c>
      <c r="Z27" s="236">
        <f>入學要求!W132</f>
        <v>0</v>
      </c>
      <c r="AA27" s="236">
        <f>入學要求!X132</f>
        <v>0</v>
      </c>
      <c r="AB27" s="374" t="str">
        <f t="shared" si="2"/>
        <v>/</v>
      </c>
      <c r="AC27" s="537"/>
      <c r="AD27" s="36" t="str" cm="1">
        <f t="array" ref="AD27">IFERROR(INDEX('Offer Statistics'!$AZ$2:$AZ$400,MATCH(1,($A27='Offer Statistics'!$AK$2:$AK$400)*($AC$2='Offer Statistics'!$AL$2:$AL$400),0)),"/")</f>
        <v>/</v>
      </c>
      <c r="AE27" s="63" t="str" cm="1">
        <f t="array" ref="AE27">IFERROR(INDEX('Offer Statistics'!AU$2:AU$400,MATCH(1,($A27='Offer Statistics'!$AK$2:$AK$400)*($AC$2='Offer Statistics'!$AL$2:$AL$400),0)),"/")</f>
        <v>/</v>
      </c>
      <c r="AF27" s="63" t="str" cm="1">
        <f t="array" ref="AF27">IFERROR(INDEX('Offer Statistics'!AV$2:AV$400,MATCH(1,($A27='Offer Statistics'!$AK$2:$AK$400)*($AC$2='Offer Statistics'!$AL$2:$AL$400),0)),"/")</f>
        <v>/</v>
      </c>
      <c r="AG27" s="63" t="str" cm="1">
        <f t="array" ref="AG27">IFERROR(INDEX('Offer Statistics'!AW$2:AW$400,MATCH(1,($A27='Offer Statistics'!$AK$2:$AK$400)*($AC$2='Offer Statistics'!$AL$2:$AL$400),0)),"/")</f>
        <v>/</v>
      </c>
      <c r="AH27" s="63" t="str" cm="1">
        <f t="array" ref="AH27">IFERROR(INDEX('Offer Statistics'!AX$2:AX$400,MATCH(1,($A27='Offer Statistics'!$AK$2:$AK$400)*($AC$2='Offer Statistics'!$AL$2:$AL$400),0)),"/")</f>
        <v>/</v>
      </c>
      <c r="AI27" s="63" t="str" cm="1">
        <f t="array" ref="AI27">IFERROR(INDEX('Offer Statistics'!AY$2:AY$400,MATCH(1,($A27='Offer Statistics'!$AK$2:$AK$400)*($AC$2='Offer Statistics'!$AL$2:$AL$400),0)),"/")</f>
        <v>/</v>
      </c>
      <c r="AJ27" s="538"/>
      <c r="AK27" s="36" t="str" cm="1">
        <f t="array" ref="AK27">IFERROR(INDEX('Offer Statistics'!$AR$2:$AR$400,MATCH(1,($A27='Offer Statistics'!$AK$2:$AK$400)*($AC$2='Offer Statistics'!$AL$2:$AL$400),0)),"/")</f>
        <v>/</v>
      </c>
      <c r="AL27" s="63" t="str" cm="1">
        <f t="array" ref="AL27">IFERROR(INDEX('Offer Statistics'!AM$2:AM$400,MATCH(1,($A27='Offer Statistics'!$AK$2:$AK$400)*($AC$2='Offer Statistics'!$AL$2:$AL$400),0)),"/")</f>
        <v>/</v>
      </c>
      <c r="AM27" s="63" t="str" cm="1">
        <f t="array" ref="AM27">IFERROR(INDEX('Offer Statistics'!AN$2:AN$400,MATCH(1,($A27='Offer Statistics'!$AK$2:$AK$400)*($AC$2='Offer Statistics'!$AL$2:$AL$400),0)),"/")</f>
        <v>/</v>
      </c>
      <c r="AN27" s="63" t="str" cm="1">
        <f t="array" ref="AN27">IFERROR(INDEX('Offer Statistics'!AO$2:AO$400,MATCH(1,($A27='Offer Statistics'!$AK$2:$AK$400)*($AC$2='Offer Statistics'!$AL$2:$AL$400),0)),"/")</f>
        <v>/</v>
      </c>
      <c r="AO27" s="63" t="str" cm="1">
        <f t="array" ref="AO27">IFERROR(INDEX('Offer Statistics'!AP$2:AP$400,MATCH(1,($A27='Offer Statistics'!$AK$2:$AK$400)*($AC$2='Offer Statistics'!$AL$2:$AL$400),0)),"/")</f>
        <v>/</v>
      </c>
      <c r="AP27" s="63" t="str" cm="1">
        <f t="array" ref="AP27">IFERROR(INDEX('Offer Statistics'!AQ$2:AQ$400,MATCH(1,($A27='Offer Statistics'!$AK$2:$AK$400)*($AC$2='Offer Statistics'!$AL$2:$AL$400),0)),"/")</f>
        <v>/</v>
      </c>
      <c r="AQ27" s="15"/>
      <c r="AR27" s="15" t="str">
        <f t="shared" si="3"/>
        <v>JS3241</v>
      </c>
    </row>
    <row r="28" spans="1:44" s="152" customFormat="1" ht="18" customHeight="1">
      <c r="A28" s="4" t="str">
        <f>'Reference Score Calculation'!B124</f>
        <v>JS3242</v>
      </c>
      <c r="B28" s="4" t="str">
        <f>'Reference Score Calculation'!D124</f>
        <v>人文學院</v>
      </c>
      <c r="C28" s="4" t="str">
        <f>'Reference Score Calculation'!E124</f>
        <v>言語治療(榮譽)理學士</v>
      </c>
      <c r="D28" s="4" t="str">
        <f>'Reference Score Calculation'!S124</f>
        <v>SPEECH THERAPY</v>
      </c>
      <c r="E28" s="352" t="str">
        <f>'Reference Score Calculation'!AC124</f>
        <v>Best 5</v>
      </c>
      <c r="F28" s="373" t="str">
        <f>'Reference Score Calculation'!F124</f>
        <v>Best 5</v>
      </c>
      <c r="G28" s="239">
        <f>'Reference Score Calculation'!I124</f>
        <v>242</v>
      </c>
      <c r="H28" s="239">
        <f>'Reference Score Calculation'!J124</f>
        <v>231.5</v>
      </c>
      <c r="I28" s="239">
        <f>'Reference Score Calculation'!G124</f>
        <v>242.2</v>
      </c>
      <c r="J28" s="240">
        <f>計分版!J147</f>
        <v>9.5000000000000007E-9</v>
      </c>
      <c r="K28" s="25">
        <f t="shared" si="0"/>
        <v>-241.99999999049999</v>
      </c>
      <c r="L28" s="150">
        <f t="shared" si="1"/>
        <v>-25473684209.526314</v>
      </c>
      <c r="M28" s="36">
        <f>'Reference Score Calculation'!U124</f>
        <v>30</v>
      </c>
      <c r="N28" s="241">
        <f>入學要求!Z133</f>
        <v>0</v>
      </c>
      <c r="O28" s="544"/>
      <c r="P28" s="243">
        <f>入學要求!L133</f>
        <v>3</v>
      </c>
      <c r="Q28" s="243">
        <f>入學要求!M133</f>
        <v>3</v>
      </c>
      <c r="R28" s="243">
        <f>入學要求!N133</f>
        <v>2</v>
      </c>
      <c r="S28" s="243">
        <f>入學要求!O133</f>
        <v>1</v>
      </c>
      <c r="T28" s="243">
        <f>入學要求!P133</f>
        <v>3</v>
      </c>
      <c r="U28" s="243">
        <f>入學要求!Q133</f>
        <v>3</v>
      </c>
      <c r="V28" s="236">
        <f>入學要求!S133</f>
        <v>0</v>
      </c>
      <c r="W28" s="236">
        <f>入學要求!T133</f>
        <v>0</v>
      </c>
      <c r="X28" s="236">
        <f>入學要求!U133</f>
        <v>0</v>
      </c>
      <c r="Y28" s="236">
        <f>入學要求!V133</f>
        <v>0</v>
      </c>
      <c r="Z28" s="236">
        <f>入學要求!W133</f>
        <v>0</v>
      </c>
      <c r="AA28" s="236">
        <f>入學要求!X133</f>
        <v>0</v>
      </c>
      <c r="AB28" s="374" t="str">
        <f t="shared" si="2"/>
        <v>/</v>
      </c>
      <c r="AC28" s="537"/>
      <c r="AD28" s="36" t="str" cm="1">
        <f t="array" ref="AD28">IFERROR(INDEX('Offer Statistics'!$AZ$2:$AZ$400,MATCH(1,($A28='Offer Statistics'!$AK$2:$AK$400)*($AC$2='Offer Statistics'!$AL$2:$AL$400),0)),"/")</f>
        <v>/</v>
      </c>
      <c r="AE28" s="63" t="str" cm="1">
        <f t="array" ref="AE28">IFERROR(INDEX('Offer Statistics'!AU$2:AU$400,MATCH(1,($A28='Offer Statistics'!$AK$2:$AK$400)*($AC$2='Offer Statistics'!$AL$2:$AL$400),0)),"/")</f>
        <v>/</v>
      </c>
      <c r="AF28" s="63" t="str" cm="1">
        <f t="array" ref="AF28">IFERROR(INDEX('Offer Statistics'!AV$2:AV$400,MATCH(1,($A28='Offer Statistics'!$AK$2:$AK$400)*($AC$2='Offer Statistics'!$AL$2:$AL$400),0)),"/")</f>
        <v>/</v>
      </c>
      <c r="AG28" s="63" t="str" cm="1">
        <f t="array" ref="AG28">IFERROR(INDEX('Offer Statistics'!AW$2:AW$400,MATCH(1,($A28='Offer Statistics'!$AK$2:$AK$400)*($AC$2='Offer Statistics'!$AL$2:$AL$400),0)),"/")</f>
        <v>/</v>
      </c>
      <c r="AH28" s="63" t="str" cm="1">
        <f t="array" ref="AH28">IFERROR(INDEX('Offer Statistics'!AX$2:AX$400,MATCH(1,($A28='Offer Statistics'!$AK$2:$AK$400)*($AC$2='Offer Statistics'!$AL$2:$AL$400),0)),"/")</f>
        <v>/</v>
      </c>
      <c r="AI28" s="63" t="str" cm="1">
        <f t="array" ref="AI28">IFERROR(INDEX('Offer Statistics'!AY$2:AY$400,MATCH(1,($A28='Offer Statistics'!$AK$2:$AK$400)*($AC$2='Offer Statistics'!$AL$2:$AL$400),0)),"/")</f>
        <v>/</v>
      </c>
      <c r="AJ28" s="538"/>
      <c r="AK28" s="36" t="str" cm="1">
        <f t="array" ref="AK28">IFERROR(INDEX('Offer Statistics'!$AR$2:$AR$400,MATCH(1,($A28='Offer Statistics'!$AK$2:$AK$400)*($AC$2='Offer Statistics'!$AL$2:$AL$400),0)),"/")</f>
        <v>/</v>
      </c>
      <c r="AL28" s="63" t="str" cm="1">
        <f t="array" ref="AL28">IFERROR(INDEX('Offer Statistics'!AM$2:AM$400,MATCH(1,($A28='Offer Statistics'!$AK$2:$AK$400)*($AC$2='Offer Statistics'!$AL$2:$AL$400),0)),"/")</f>
        <v>/</v>
      </c>
      <c r="AM28" s="63" t="str" cm="1">
        <f t="array" ref="AM28">IFERROR(INDEX('Offer Statistics'!AN$2:AN$400,MATCH(1,($A28='Offer Statistics'!$AK$2:$AK$400)*($AC$2='Offer Statistics'!$AL$2:$AL$400),0)),"/")</f>
        <v>/</v>
      </c>
      <c r="AN28" s="63" t="str" cm="1">
        <f t="array" ref="AN28">IFERROR(INDEX('Offer Statistics'!AO$2:AO$400,MATCH(1,($A28='Offer Statistics'!$AK$2:$AK$400)*($AC$2='Offer Statistics'!$AL$2:$AL$400),0)),"/")</f>
        <v>/</v>
      </c>
      <c r="AO28" s="63" t="str" cm="1">
        <f t="array" ref="AO28">IFERROR(INDEX('Offer Statistics'!AP$2:AP$400,MATCH(1,($A28='Offer Statistics'!$AK$2:$AK$400)*($AC$2='Offer Statistics'!$AL$2:$AL$400),0)),"/")</f>
        <v>/</v>
      </c>
      <c r="AP28" s="63" t="str" cm="1">
        <f t="array" ref="AP28">IFERROR(INDEX('Offer Statistics'!AQ$2:AQ$400,MATCH(1,($A28='Offer Statistics'!$AK$2:$AK$400)*($AC$2='Offer Statistics'!$AL$2:$AL$400),0)),"/")</f>
        <v>/</v>
      </c>
      <c r="AQ28" s="15"/>
      <c r="AR28" s="15" t="str">
        <f t="shared" si="3"/>
        <v>JS3242</v>
      </c>
    </row>
    <row r="29" spans="1:44" s="151" customFormat="1" ht="18" customHeight="1">
      <c r="A29" s="4" t="str">
        <f>'Reference Score Calculation'!B125</f>
        <v>JS3250</v>
      </c>
      <c r="B29" s="4" t="str">
        <f>'Reference Score Calculation'!D125</f>
        <v>醫療及社會科學院</v>
      </c>
      <c r="C29" s="4" t="str">
        <f>'Reference Score Calculation'!E125</f>
        <v>應用社會科學(榮譽)文學士組合課程 (社會工作 / 社會政策及社會創業)</v>
      </c>
      <c r="D29" s="4" t="str">
        <f>'Reference Score Calculation'!S125</f>
        <v>APPLIED SOC SCI</v>
      </c>
      <c r="E29" s="352" t="str">
        <f>'Reference Score Calculation'!AC125</f>
        <v>Best 5</v>
      </c>
      <c r="F29" s="373" t="str">
        <f>'Reference Score Calculation'!F125</f>
        <v>Best 5</v>
      </c>
      <c r="G29" s="239">
        <f>'Reference Score Calculation'!I125</f>
        <v>164.5</v>
      </c>
      <c r="H29" s="239">
        <f>'Reference Score Calculation'!J125</f>
        <v>161</v>
      </c>
      <c r="I29" s="239">
        <f>'Reference Score Calculation'!G125</f>
        <v>166.6</v>
      </c>
      <c r="J29" s="240">
        <f>計分版!J148</f>
        <v>7.6999999999999995E-9</v>
      </c>
      <c r="K29" s="25">
        <f t="shared" si="0"/>
        <v>-164.49999999229999</v>
      </c>
      <c r="L29" s="150">
        <f t="shared" si="1"/>
        <v>-21363636362.636364</v>
      </c>
      <c r="M29" s="36">
        <f>'Reference Score Calculation'!U125</f>
        <v>64</v>
      </c>
      <c r="N29" s="241">
        <f>入學要求!Z134</f>
        <v>0</v>
      </c>
      <c r="O29" s="544"/>
      <c r="P29" s="243">
        <f>入學要求!L134</f>
        <v>3</v>
      </c>
      <c r="Q29" s="243">
        <f>入學要求!M134</f>
        <v>3</v>
      </c>
      <c r="R29" s="243">
        <f>入學要求!N134</f>
        <v>2</v>
      </c>
      <c r="S29" s="243">
        <f>入學要求!O134</f>
        <v>1</v>
      </c>
      <c r="T29" s="243">
        <f>入學要求!P134</f>
        <v>3</v>
      </c>
      <c r="U29" s="243">
        <f>入學要求!Q134</f>
        <v>3</v>
      </c>
      <c r="V29" s="236">
        <f>入學要求!S134</f>
        <v>0</v>
      </c>
      <c r="W29" s="236">
        <f>入學要求!T134</f>
        <v>0</v>
      </c>
      <c r="X29" s="236">
        <f>入學要求!U134</f>
        <v>0</v>
      </c>
      <c r="Y29" s="236">
        <f>入學要求!V134</f>
        <v>0</v>
      </c>
      <c r="Z29" s="236">
        <f>入學要求!W134</f>
        <v>0</v>
      </c>
      <c r="AA29" s="236">
        <f>入學要求!X134</f>
        <v>0</v>
      </c>
      <c r="AB29" s="374">
        <f t="shared" si="2"/>
        <v>10.53</v>
      </c>
      <c r="AC29" s="537"/>
      <c r="AD29" s="36" cm="1">
        <f t="array" ref="AD29">IFERROR(INDEX('Offer Statistics'!$AZ$2:$AZ$400,MATCH(1,($A29='Offer Statistics'!$AK$2:$AK$400)*($AC$2='Offer Statistics'!$AL$2:$AL$400),0)),"/")</f>
        <v>38</v>
      </c>
      <c r="AE29" s="63" cm="1">
        <f t="array" ref="AE29">IFERROR(INDEX('Offer Statistics'!AU$2:AU$400,MATCH(1,($A29='Offer Statistics'!$AK$2:$AK$400)*($AC$2='Offer Statistics'!$AL$2:$AL$400),0)),"/")</f>
        <v>38</v>
      </c>
      <c r="AF29" s="63" cm="1">
        <f t="array" ref="AF29">IFERROR(INDEX('Offer Statistics'!AV$2:AV$400,MATCH(1,($A29='Offer Statistics'!$AK$2:$AK$400)*($AC$2='Offer Statistics'!$AL$2:$AL$400),0)),"/")</f>
        <v>0</v>
      </c>
      <c r="AG29" s="63" cm="1">
        <f t="array" ref="AG29">IFERROR(INDEX('Offer Statistics'!AW$2:AW$400,MATCH(1,($A29='Offer Statistics'!$AK$2:$AK$400)*($AC$2='Offer Statistics'!$AL$2:$AL$400),0)),"/")</f>
        <v>0</v>
      </c>
      <c r="AH29" s="63" cm="1">
        <f t="array" ref="AH29">IFERROR(INDEX('Offer Statistics'!AX$2:AX$400,MATCH(1,($A29='Offer Statistics'!$AK$2:$AK$400)*($AC$2='Offer Statistics'!$AL$2:$AL$400),0)),"/")</f>
        <v>0</v>
      </c>
      <c r="AI29" s="63" cm="1">
        <f t="array" ref="AI29">IFERROR(INDEX('Offer Statistics'!AY$2:AY$400,MATCH(1,($A29='Offer Statistics'!$AK$2:$AK$400)*($AC$2='Offer Statistics'!$AL$2:$AL$400),0)),"/")</f>
        <v>0</v>
      </c>
      <c r="AJ29" s="538"/>
      <c r="AK29" s="36" cm="1">
        <f t="array" ref="AK29">IFERROR(INDEX('Offer Statistics'!$AR$2:$AR$400,MATCH(1,($A29='Offer Statistics'!$AK$2:$AK$400)*($AC$2='Offer Statistics'!$AL$2:$AL$400),0)),"/")</f>
        <v>2683</v>
      </c>
      <c r="AL29" s="63" cm="1">
        <f t="array" ref="AL29">IFERROR(INDEX('Offer Statistics'!AM$2:AM$400,MATCH(1,($A29='Offer Statistics'!$AK$2:$AK$400)*($AC$2='Offer Statistics'!$AL$2:$AL$400),0)),"/")</f>
        <v>400</v>
      </c>
      <c r="AM29" s="63" cm="1">
        <f t="array" ref="AM29">IFERROR(INDEX('Offer Statistics'!AN$2:AN$400,MATCH(1,($A29='Offer Statistics'!$AK$2:$AK$400)*($AC$2='Offer Statistics'!$AL$2:$AL$400),0)),"/")</f>
        <v>299</v>
      </c>
      <c r="AN29" s="63" cm="1">
        <f t="array" ref="AN29">IFERROR(INDEX('Offer Statistics'!AO$2:AO$400,MATCH(1,($A29='Offer Statistics'!$AK$2:$AK$400)*($AC$2='Offer Statistics'!$AL$2:$AL$400),0)),"/")</f>
        <v>555</v>
      </c>
      <c r="AO29" s="63" cm="1">
        <f t="array" ref="AO29">IFERROR(INDEX('Offer Statistics'!AP$2:AP$400,MATCH(1,($A29='Offer Statistics'!$AK$2:$AK$400)*($AC$2='Offer Statistics'!$AL$2:$AL$400),0)),"/")</f>
        <v>763</v>
      </c>
      <c r="AP29" s="63" cm="1">
        <f t="array" ref="AP29">IFERROR(INDEX('Offer Statistics'!AQ$2:AQ$400,MATCH(1,($A29='Offer Statistics'!$AK$2:$AK$400)*($AC$2='Offer Statistics'!$AL$2:$AL$400),0)),"/")</f>
        <v>666</v>
      </c>
      <c r="AQ29" s="15"/>
      <c r="AR29" s="15" t="str">
        <f t="shared" si="3"/>
        <v>JS3250</v>
      </c>
    </row>
    <row r="30" spans="1:44" ht="18" customHeight="1">
      <c r="A30" s="4" t="str">
        <f>'Reference Score Calculation'!B126</f>
        <v>JS3255</v>
      </c>
      <c r="B30" s="4" t="str">
        <f>'Reference Score Calculation'!D126</f>
        <v>理學院</v>
      </c>
      <c r="C30" s="4" t="str">
        <f>'Reference Score Calculation'!E126</f>
        <v>食品科學及營養學(榮譽)理學士組合課程 (食品科技與食物安全 / 人類營養學及健康)</v>
      </c>
      <c r="D30" s="4" t="str">
        <f>'Reference Score Calculation'!S126</f>
        <v>FOOD SCI &amp; NUTRITION</v>
      </c>
      <c r="E30" s="352" t="str">
        <f>'Reference Score Calculation'!AC126</f>
        <v>Best 5</v>
      </c>
      <c r="F30" s="373" t="str">
        <f>'Reference Score Calculation'!F126</f>
        <v>Best 5</v>
      </c>
      <c r="G30" s="239">
        <f>'Reference Score Calculation'!I126</f>
        <v>187.5</v>
      </c>
      <c r="H30" s="239">
        <f>'Reference Score Calculation'!J126</f>
        <v>178.5</v>
      </c>
      <c r="I30" s="239">
        <f>'Reference Score Calculation'!G126</f>
        <v>191</v>
      </c>
      <c r="J30" s="240">
        <f>計分版!J149</f>
        <v>9.1999999999999997E-9</v>
      </c>
      <c r="K30" s="25">
        <f t="shared" si="0"/>
        <v>-187.49999999080001</v>
      </c>
      <c r="L30" s="150">
        <f t="shared" si="1"/>
        <v>-20380434781.608696</v>
      </c>
      <c r="M30" s="36">
        <f>'Reference Score Calculation'!U126</f>
        <v>59</v>
      </c>
      <c r="N30" s="241">
        <f>入學要求!Z135</f>
        <v>0</v>
      </c>
      <c r="O30" s="544"/>
      <c r="P30" s="243">
        <f>入學要求!L135</f>
        <v>3</v>
      </c>
      <c r="Q30" s="243">
        <f>入學要求!M135</f>
        <v>3</v>
      </c>
      <c r="R30" s="243">
        <f>入學要求!N135</f>
        <v>2</v>
      </c>
      <c r="S30" s="243">
        <f>入學要求!O135</f>
        <v>1</v>
      </c>
      <c r="T30" s="243">
        <f>入學要求!P135</f>
        <v>3</v>
      </c>
      <c r="U30" s="243">
        <f>入學要求!Q135</f>
        <v>3</v>
      </c>
      <c r="V30" s="236">
        <f>入學要求!S135</f>
        <v>0</v>
      </c>
      <c r="W30" s="236">
        <f>入學要求!T135</f>
        <v>0</v>
      </c>
      <c r="X30" s="236">
        <f>入學要求!U135</f>
        <v>0</v>
      </c>
      <c r="Y30" s="236">
        <f>入學要求!V135</f>
        <v>0</v>
      </c>
      <c r="Z30" s="236">
        <f>入學要求!W135</f>
        <v>0</v>
      </c>
      <c r="AA30" s="236">
        <f>入學要求!X135</f>
        <v>0</v>
      </c>
      <c r="AB30" s="374" t="str">
        <f t="shared" si="2"/>
        <v>/</v>
      </c>
      <c r="AC30" s="537"/>
      <c r="AD30" s="36" t="str" cm="1">
        <f t="array" ref="AD30">IFERROR(INDEX('Offer Statistics'!$AZ$2:$AZ$400,MATCH(1,($A30='Offer Statistics'!$AK$2:$AK$400)*($AC$2='Offer Statistics'!$AL$2:$AL$400),0)),"/")</f>
        <v>/</v>
      </c>
      <c r="AE30" s="63" t="str" cm="1">
        <f t="array" ref="AE30">IFERROR(INDEX('Offer Statistics'!AU$2:AU$400,MATCH(1,($A30='Offer Statistics'!$AK$2:$AK$400)*($AC$2='Offer Statistics'!$AL$2:$AL$400),0)),"/")</f>
        <v>/</v>
      </c>
      <c r="AF30" s="63" t="str" cm="1">
        <f t="array" ref="AF30">IFERROR(INDEX('Offer Statistics'!AV$2:AV$400,MATCH(1,($A30='Offer Statistics'!$AK$2:$AK$400)*($AC$2='Offer Statistics'!$AL$2:$AL$400),0)),"/")</f>
        <v>/</v>
      </c>
      <c r="AG30" s="63" t="str" cm="1">
        <f t="array" ref="AG30">IFERROR(INDEX('Offer Statistics'!AW$2:AW$400,MATCH(1,($A30='Offer Statistics'!$AK$2:$AK$400)*($AC$2='Offer Statistics'!$AL$2:$AL$400),0)),"/")</f>
        <v>/</v>
      </c>
      <c r="AH30" s="63" t="str" cm="1">
        <f t="array" ref="AH30">IFERROR(INDEX('Offer Statistics'!AX$2:AX$400,MATCH(1,($A30='Offer Statistics'!$AK$2:$AK$400)*($AC$2='Offer Statistics'!$AL$2:$AL$400),0)),"/")</f>
        <v>/</v>
      </c>
      <c r="AI30" s="63" t="str" cm="1">
        <f t="array" ref="AI30">IFERROR(INDEX('Offer Statistics'!AY$2:AY$400,MATCH(1,($A30='Offer Statistics'!$AK$2:$AK$400)*($AC$2='Offer Statistics'!$AL$2:$AL$400),0)),"/")</f>
        <v>/</v>
      </c>
      <c r="AJ30" s="538"/>
      <c r="AK30" s="36" t="str" cm="1">
        <f t="array" ref="AK30">IFERROR(INDEX('Offer Statistics'!$AR$2:$AR$400,MATCH(1,($A30='Offer Statistics'!$AK$2:$AK$400)*($AC$2='Offer Statistics'!$AL$2:$AL$400),0)),"/")</f>
        <v>/</v>
      </c>
      <c r="AL30" s="63" t="str" cm="1">
        <f t="array" ref="AL30">IFERROR(INDEX('Offer Statistics'!AM$2:AM$400,MATCH(1,($A30='Offer Statistics'!$AK$2:$AK$400)*($AC$2='Offer Statistics'!$AL$2:$AL$400),0)),"/")</f>
        <v>/</v>
      </c>
      <c r="AM30" s="63" t="str" cm="1">
        <f t="array" ref="AM30">IFERROR(INDEX('Offer Statistics'!AN$2:AN$400,MATCH(1,($A30='Offer Statistics'!$AK$2:$AK$400)*($AC$2='Offer Statistics'!$AL$2:$AL$400),0)),"/")</f>
        <v>/</v>
      </c>
      <c r="AN30" s="63" t="str" cm="1">
        <f t="array" ref="AN30">IFERROR(INDEX('Offer Statistics'!AO$2:AO$400,MATCH(1,($A30='Offer Statistics'!$AK$2:$AK$400)*($AC$2='Offer Statistics'!$AL$2:$AL$400),0)),"/")</f>
        <v>/</v>
      </c>
      <c r="AO30" s="63" t="str" cm="1">
        <f t="array" ref="AO30">IFERROR(INDEX('Offer Statistics'!AP$2:AP$400,MATCH(1,($A30='Offer Statistics'!$AK$2:$AK$400)*($AC$2='Offer Statistics'!$AL$2:$AL$400),0)),"/")</f>
        <v>/</v>
      </c>
      <c r="AP30" s="63" t="str" cm="1">
        <f t="array" ref="AP30">IFERROR(INDEX('Offer Statistics'!AQ$2:AQ$400,MATCH(1,($A30='Offer Statistics'!$AK$2:$AK$400)*($AC$2='Offer Statistics'!$AL$2:$AL$400),0)),"/")</f>
        <v>/</v>
      </c>
      <c r="AQ30" s="15"/>
      <c r="AR30" s="15" t="str">
        <f t="shared" si="3"/>
        <v>JS3255</v>
      </c>
    </row>
    <row r="31" spans="1:44" s="151" customFormat="1" ht="18" customHeight="1">
      <c r="A31" s="4" t="str">
        <f>'Reference Score Calculation'!B127</f>
        <v>JS3290</v>
      </c>
      <c r="B31" s="4" t="str">
        <f>'Reference Score Calculation'!D127</f>
        <v>醫療及社會科學院</v>
      </c>
      <c r="C31" s="4" t="str">
        <f>'Reference Score Calculation'!E127</f>
        <v>眼科視光學(榮譽)理學士</v>
      </c>
      <c r="D31" s="4" t="str">
        <f>'Reference Score Calculation'!S127</f>
        <v>OPTOMETRY</v>
      </c>
      <c r="E31" s="352" t="str">
        <f>'Reference Score Calculation'!AC127</f>
        <v>Best 5</v>
      </c>
      <c r="F31" s="373" t="str">
        <f>'Reference Score Calculation'!F127</f>
        <v>Best 5</v>
      </c>
      <c r="G31" s="239">
        <f>'Reference Score Calculation'!I127</f>
        <v>275</v>
      </c>
      <c r="H31" s="239">
        <f>'Reference Score Calculation'!J127</f>
        <v>275</v>
      </c>
      <c r="I31" s="239">
        <f>'Reference Score Calculation'!G127</f>
        <v>284</v>
      </c>
      <c r="J31" s="240">
        <f>計分版!J150</f>
        <v>1.07E-8</v>
      </c>
      <c r="K31" s="25">
        <f t="shared" si="0"/>
        <v>-274.99999998930002</v>
      </c>
      <c r="L31" s="150">
        <f t="shared" si="1"/>
        <v>-25700934578.439255</v>
      </c>
      <c r="M31" s="36">
        <f>'Reference Score Calculation'!U127</f>
        <v>60</v>
      </c>
      <c r="N31" s="241">
        <f>入學要求!Z136</f>
        <v>0</v>
      </c>
      <c r="O31" s="544"/>
      <c r="P31" s="243">
        <f>入學要求!L136</f>
        <v>3</v>
      </c>
      <c r="Q31" s="243">
        <f>入學要求!M136</f>
        <v>3</v>
      </c>
      <c r="R31" s="243">
        <f>入學要求!N136</f>
        <v>2</v>
      </c>
      <c r="S31" s="243">
        <f>入學要求!O136</f>
        <v>1</v>
      </c>
      <c r="T31" s="243">
        <f>入學要求!P136</f>
        <v>3</v>
      </c>
      <c r="U31" s="243">
        <f>入學要求!Q136</f>
        <v>3</v>
      </c>
      <c r="V31" s="236">
        <f>入學要求!S136</f>
        <v>0</v>
      </c>
      <c r="W31" s="236">
        <f>入學要求!T136</f>
        <v>0</v>
      </c>
      <c r="X31" s="236">
        <f>入學要求!U136</f>
        <v>0</v>
      </c>
      <c r="Y31" s="236">
        <f>入學要求!V136</f>
        <v>0</v>
      </c>
      <c r="Z31" s="236">
        <f>入學要求!W136</f>
        <v>0</v>
      </c>
      <c r="AA31" s="236">
        <f>入學要求!X136</f>
        <v>0</v>
      </c>
      <c r="AB31" s="374">
        <f t="shared" si="2"/>
        <v>3.75</v>
      </c>
      <c r="AC31" s="537"/>
      <c r="AD31" s="36" cm="1">
        <f t="array" ref="AD31">IFERROR(INDEX('Offer Statistics'!$AZ$2:$AZ$400,MATCH(1,($A31='Offer Statistics'!$AK$2:$AK$400)*($AC$2='Offer Statistics'!$AL$2:$AL$400),0)),"/")</f>
        <v>55</v>
      </c>
      <c r="AE31" s="63" cm="1">
        <f t="array" ref="AE31">IFERROR(INDEX('Offer Statistics'!AU$2:AU$400,MATCH(1,($A31='Offer Statistics'!$AK$2:$AK$400)*($AC$2='Offer Statistics'!$AL$2:$AL$400),0)),"/")</f>
        <v>53</v>
      </c>
      <c r="AF31" s="63" cm="1">
        <f t="array" ref="AF31">IFERROR(INDEX('Offer Statistics'!AV$2:AV$400,MATCH(1,($A31='Offer Statistics'!$AK$2:$AK$400)*($AC$2='Offer Statistics'!$AL$2:$AL$400),0)),"/")</f>
        <v>0</v>
      </c>
      <c r="AG31" s="63" cm="1">
        <f t="array" ref="AG31">IFERROR(INDEX('Offer Statistics'!AW$2:AW$400,MATCH(1,($A31='Offer Statistics'!$AK$2:$AK$400)*($AC$2='Offer Statistics'!$AL$2:$AL$400),0)),"/")</f>
        <v>2</v>
      </c>
      <c r="AH31" s="63" cm="1">
        <f t="array" ref="AH31">IFERROR(INDEX('Offer Statistics'!AX$2:AX$400,MATCH(1,($A31='Offer Statistics'!$AK$2:$AK$400)*($AC$2='Offer Statistics'!$AL$2:$AL$400),0)),"/")</f>
        <v>0</v>
      </c>
      <c r="AI31" s="63" cm="1">
        <f t="array" ref="AI31">IFERROR(INDEX('Offer Statistics'!AY$2:AY$400,MATCH(1,($A31='Offer Statistics'!$AK$2:$AK$400)*($AC$2='Offer Statistics'!$AL$2:$AL$400),0)),"/")</f>
        <v>0</v>
      </c>
      <c r="AJ31" s="538"/>
      <c r="AK31" s="36" cm="1">
        <f t="array" ref="AK31">IFERROR(INDEX('Offer Statistics'!$AR$2:$AR$400,MATCH(1,($A31='Offer Statistics'!$AK$2:$AK$400)*($AC$2='Offer Statistics'!$AL$2:$AL$400),0)),"/")</f>
        <v>1738</v>
      </c>
      <c r="AL31" s="63" cm="1">
        <f t="array" ref="AL31">IFERROR(INDEX('Offer Statistics'!AM$2:AM$400,MATCH(1,($A31='Offer Statistics'!$AK$2:$AK$400)*($AC$2='Offer Statistics'!$AL$2:$AL$400),0)),"/")</f>
        <v>199</v>
      </c>
      <c r="AM31" s="63" cm="1">
        <f t="array" ref="AM31">IFERROR(INDEX('Offer Statistics'!AN$2:AN$400,MATCH(1,($A31='Offer Statistics'!$AK$2:$AK$400)*($AC$2='Offer Statistics'!$AL$2:$AL$400),0)),"/")</f>
        <v>290</v>
      </c>
      <c r="AN31" s="63" cm="1">
        <f t="array" ref="AN31">IFERROR(INDEX('Offer Statistics'!AO$2:AO$400,MATCH(1,($A31='Offer Statistics'!$AK$2:$AK$400)*($AC$2='Offer Statistics'!$AL$2:$AL$400),0)),"/")</f>
        <v>358</v>
      </c>
      <c r="AO31" s="63" cm="1">
        <f t="array" ref="AO31">IFERROR(INDEX('Offer Statistics'!AP$2:AP$400,MATCH(1,($A31='Offer Statistics'!$AK$2:$AK$400)*($AC$2='Offer Statistics'!$AL$2:$AL$400),0)),"/")</f>
        <v>445</v>
      </c>
      <c r="AP31" s="63" cm="1">
        <f t="array" ref="AP31">IFERROR(INDEX('Offer Statistics'!AQ$2:AQ$400,MATCH(1,($A31='Offer Statistics'!$AK$2:$AK$400)*($AC$2='Offer Statistics'!$AL$2:$AL$400),0)),"/")</f>
        <v>446</v>
      </c>
      <c r="AQ31" s="15"/>
      <c r="AR31" s="15" t="str">
        <f t="shared" si="3"/>
        <v>JS3290</v>
      </c>
    </row>
    <row r="32" spans="1:44" ht="18" customHeight="1">
      <c r="A32" s="4" t="str">
        <f>'Reference Score Calculation'!B128</f>
        <v>JS3310</v>
      </c>
      <c r="B32" s="4" t="str">
        <f>'Reference Score Calculation'!D128</f>
        <v>酒店及旅遊業管理學院</v>
      </c>
      <c r="C32" s="4" t="str">
        <f>'Reference Score Calculation'!E128</f>
        <v>酒店及旅遊管理(榮譽)理學士組合課程 (酒店管理 / 智慧旅遊及酒店產業 / 會展及體驗管理)</v>
      </c>
      <c r="D32" s="4" t="str">
        <f>'Reference Score Calculation'!S128</f>
        <v>HOTEL &amp; TOURISM MGT</v>
      </c>
      <c r="E32" s="352" t="str">
        <f>'Reference Score Calculation'!AC128</f>
        <v>Best 5</v>
      </c>
      <c r="F32" s="373" t="str">
        <f>'Reference Score Calculation'!F128</f>
        <v>Best 5</v>
      </c>
      <c r="G32" s="239">
        <f>'Reference Score Calculation'!I128</f>
        <v>156</v>
      </c>
      <c r="H32" s="239">
        <f>'Reference Score Calculation'!J128</f>
        <v>155.5</v>
      </c>
      <c r="I32" s="239">
        <f>'Reference Score Calculation'!G128</f>
        <v>160.5</v>
      </c>
      <c r="J32" s="240">
        <f>計分版!J151</f>
        <v>8.2999999999999999E-9</v>
      </c>
      <c r="K32" s="25">
        <f t="shared" si="0"/>
        <v>-155.99999999170001</v>
      </c>
      <c r="L32" s="150">
        <f t="shared" si="1"/>
        <v>-18795180721.891567</v>
      </c>
      <c r="M32" s="36">
        <f>'Reference Score Calculation'!U128</f>
        <v>74</v>
      </c>
      <c r="N32" s="241">
        <f>入學要求!Z137</f>
        <v>0</v>
      </c>
      <c r="O32" s="544"/>
      <c r="P32" s="243">
        <f>入學要求!L137</f>
        <v>3</v>
      </c>
      <c r="Q32" s="243">
        <f>入學要求!M137</f>
        <v>3</v>
      </c>
      <c r="R32" s="243">
        <f>入學要求!N137</f>
        <v>2</v>
      </c>
      <c r="S32" s="243">
        <f>入學要求!O137</f>
        <v>1</v>
      </c>
      <c r="T32" s="243">
        <f>入學要求!P137</f>
        <v>3</v>
      </c>
      <c r="U32" s="243">
        <f>入學要求!Q137</f>
        <v>3</v>
      </c>
      <c r="V32" s="236">
        <f>入學要求!S137</f>
        <v>0</v>
      </c>
      <c r="W32" s="236">
        <f>入學要求!T137</f>
        <v>0</v>
      </c>
      <c r="X32" s="236">
        <f>入學要求!U137</f>
        <v>0</v>
      </c>
      <c r="Y32" s="236">
        <f>入學要求!V137</f>
        <v>0</v>
      </c>
      <c r="Z32" s="236">
        <f>入學要求!W137</f>
        <v>0</v>
      </c>
      <c r="AA32" s="236">
        <f>入學要求!X137</f>
        <v>0</v>
      </c>
      <c r="AB32" s="374">
        <f t="shared" si="2"/>
        <v>14.48</v>
      </c>
      <c r="AC32" s="537"/>
      <c r="AD32" s="36" cm="1">
        <f t="array" ref="AD32">IFERROR(INDEX('Offer Statistics'!$AZ$2:$AZ$400,MATCH(1,($A32='Offer Statistics'!$AK$2:$AK$400)*($AC$2='Offer Statistics'!$AL$2:$AL$400),0)),"/")</f>
        <v>75</v>
      </c>
      <c r="AE32" s="63" cm="1">
        <f t="array" ref="AE32">IFERROR(INDEX('Offer Statistics'!AU$2:AU$400,MATCH(1,($A32='Offer Statistics'!$AK$2:$AK$400)*($AC$2='Offer Statistics'!$AL$2:$AL$400),0)),"/")</f>
        <v>75</v>
      </c>
      <c r="AF32" s="63" cm="1">
        <f t="array" ref="AF32">IFERROR(INDEX('Offer Statistics'!AV$2:AV$400,MATCH(1,($A32='Offer Statistics'!$AK$2:$AK$400)*($AC$2='Offer Statistics'!$AL$2:$AL$400),0)),"/")</f>
        <v>0</v>
      </c>
      <c r="AG32" s="63" cm="1">
        <f t="array" ref="AG32">IFERROR(INDEX('Offer Statistics'!AW$2:AW$400,MATCH(1,($A32='Offer Statistics'!$AK$2:$AK$400)*($AC$2='Offer Statistics'!$AL$2:$AL$400),0)),"/")</f>
        <v>0</v>
      </c>
      <c r="AH32" s="63" cm="1">
        <f t="array" ref="AH32">IFERROR(INDEX('Offer Statistics'!AX$2:AX$400,MATCH(1,($A32='Offer Statistics'!$AK$2:$AK$400)*($AC$2='Offer Statistics'!$AL$2:$AL$400),0)),"/")</f>
        <v>0</v>
      </c>
      <c r="AI32" s="63" cm="1">
        <f t="array" ref="AI32">IFERROR(INDEX('Offer Statistics'!AY$2:AY$400,MATCH(1,($A32='Offer Statistics'!$AK$2:$AK$400)*($AC$2='Offer Statistics'!$AL$2:$AL$400),0)),"/")</f>
        <v>0</v>
      </c>
      <c r="AJ32" s="538"/>
      <c r="AK32" s="36" cm="1">
        <f t="array" ref="AK32">IFERROR(INDEX('Offer Statistics'!$AR$2:$AR$400,MATCH(1,($A32='Offer Statistics'!$AK$2:$AK$400)*($AC$2='Offer Statistics'!$AL$2:$AL$400),0)),"/")</f>
        <v>5124</v>
      </c>
      <c r="AL32" s="63" cm="1">
        <f t="array" ref="AL32">IFERROR(INDEX('Offer Statistics'!AM$2:AM$400,MATCH(1,($A32='Offer Statistics'!$AK$2:$AK$400)*($AC$2='Offer Statistics'!$AL$2:$AL$400),0)),"/")</f>
        <v>1086</v>
      </c>
      <c r="AM32" s="63" cm="1">
        <f t="array" ref="AM32">IFERROR(INDEX('Offer Statistics'!AN$2:AN$400,MATCH(1,($A32='Offer Statistics'!$AK$2:$AK$400)*($AC$2='Offer Statistics'!$AL$2:$AL$400),0)),"/")</f>
        <v>762</v>
      </c>
      <c r="AN32" s="63" cm="1">
        <f t="array" ref="AN32">IFERROR(INDEX('Offer Statistics'!AO$2:AO$400,MATCH(1,($A32='Offer Statistics'!$AK$2:$AK$400)*($AC$2='Offer Statistics'!$AL$2:$AL$400),0)),"/")</f>
        <v>1047</v>
      </c>
      <c r="AO32" s="63" cm="1">
        <f t="array" ref="AO32">IFERROR(INDEX('Offer Statistics'!AP$2:AP$400,MATCH(1,($A32='Offer Statistics'!$AK$2:$AK$400)*($AC$2='Offer Statistics'!$AL$2:$AL$400),0)),"/")</f>
        <v>1246</v>
      </c>
      <c r="AP32" s="63" cm="1">
        <f t="array" ref="AP32">IFERROR(INDEX('Offer Statistics'!AQ$2:AQ$400,MATCH(1,($A32='Offer Statistics'!$AK$2:$AK$400)*($AC$2='Offer Statistics'!$AL$2:$AL$400),0)),"/")</f>
        <v>983</v>
      </c>
      <c r="AQ32" s="15"/>
      <c r="AR32" s="15" t="str">
        <f t="shared" si="3"/>
        <v>JS3310</v>
      </c>
    </row>
    <row r="33" spans="1:44" ht="18" customHeight="1">
      <c r="A33" s="4" t="str">
        <f>'Reference Score Calculation'!B129</f>
        <v>JS3320</v>
      </c>
      <c r="B33" s="4" t="str">
        <f>'Reference Score Calculation'!D129</f>
        <v>人文學院</v>
      </c>
      <c r="C33" s="4" t="str">
        <f>'Reference Score Calculation'!E129</f>
        <v>中國歷史及文化(榮譽)文學士</v>
      </c>
      <c r="D33" s="4" t="str">
        <f>'Reference Score Calculation'!S129</f>
        <v>CHI HISTORY &amp; CULTURE</v>
      </c>
      <c r="E33" s="352" t="str">
        <f>'Reference Score Calculation'!AC129</f>
        <v>中英Best3</v>
      </c>
      <c r="F33" s="373" t="str">
        <f>'Reference Score Calculation'!F129</f>
        <v>中英Best3</v>
      </c>
      <c r="G33" s="239">
        <f>'Reference Score Calculation'!I129</f>
        <v>193</v>
      </c>
      <c r="H33" s="239">
        <f>'Reference Score Calculation'!J129</f>
        <v>186</v>
      </c>
      <c r="I33" s="239">
        <f>'Reference Score Calculation'!G129</f>
        <v>194.7</v>
      </c>
      <c r="J33" s="240">
        <f>計分版!J152</f>
        <v>7.6000000000000002E-9</v>
      </c>
      <c r="K33" s="25">
        <f t="shared" si="0"/>
        <v>-192.99999999240001</v>
      </c>
      <c r="L33" s="150">
        <f t="shared" si="1"/>
        <v>-25394736841.105263</v>
      </c>
      <c r="M33" s="36">
        <f>'Reference Score Calculation'!U129</f>
        <v>16</v>
      </c>
      <c r="N33" s="241">
        <f>入學要求!Z138</f>
        <v>0</v>
      </c>
      <c r="O33" s="544"/>
      <c r="P33" s="243">
        <f>入學要求!L138</f>
        <v>3</v>
      </c>
      <c r="Q33" s="243">
        <f>入學要求!M138</f>
        <v>3</v>
      </c>
      <c r="R33" s="243">
        <f>入學要求!N138</f>
        <v>2</v>
      </c>
      <c r="S33" s="243">
        <f>入學要求!O138</f>
        <v>1</v>
      </c>
      <c r="T33" s="243">
        <f>入學要求!P138</f>
        <v>3</v>
      </c>
      <c r="U33" s="243">
        <f>入學要求!Q138</f>
        <v>3</v>
      </c>
      <c r="V33" s="236">
        <f>入學要求!S138</f>
        <v>0</v>
      </c>
      <c r="W33" s="236">
        <f>入學要求!T138</f>
        <v>0</v>
      </c>
      <c r="X33" s="236">
        <f>入學要求!U138</f>
        <v>0</v>
      </c>
      <c r="Y33" s="236">
        <f>入學要求!V138</f>
        <v>0</v>
      </c>
      <c r="Z33" s="236">
        <f>入學要求!W138</f>
        <v>0</v>
      </c>
      <c r="AA33" s="236">
        <f>入學要求!X138</f>
        <v>0</v>
      </c>
      <c r="AB33" s="374">
        <f t="shared" si="2"/>
        <v>14.74</v>
      </c>
      <c r="AC33" s="537"/>
      <c r="AD33" s="36" cm="1">
        <f t="array" ref="AD33">IFERROR(INDEX('Offer Statistics'!$AZ$2:$AZ$400,MATCH(1,($A33='Offer Statistics'!$AK$2:$AK$400)*($AC$2='Offer Statistics'!$AL$2:$AL$400),0)),"/")</f>
        <v>23</v>
      </c>
      <c r="AE33" s="63" cm="1">
        <f t="array" ref="AE33">IFERROR(INDEX('Offer Statistics'!AU$2:AU$400,MATCH(1,($A33='Offer Statistics'!$AK$2:$AK$400)*($AC$2='Offer Statistics'!$AL$2:$AL$400),0)),"/")</f>
        <v>19</v>
      </c>
      <c r="AF33" s="63" cm="1">
        <f t="array" ref="AF33">IFERROR(INDEX('Offer Statistics'!AV$2:AV$400,MATCH(1,($A33='Offer Statistics'!$AK$2:$AK$400)*($AC$2='Offer Statistics'!$AL$2:$AL$400),0)),"/")</f>
        <v>3</v>
      </c>
      <c r="AG33" s="63" cm="1">
        <f t="array" ref="AG33">IFERROR(INDEX('Offer Statistics'!AW$2:AW$400,MATCH(1,($A33='Offer Statistics'!$AK$2:$AK$400)*($AC$2='Offer Statistics'!$AL$2:$AL$400),0)),"/")</f>
        <v>0</v>
      </c>
      <c r="AH33" s="63" cm="1">
        <f t="array" ref="AH33">IFERROR(INDEX('Offer Statistics'!AX$2:AX$400,MATCH(1,($A33='Offer Statistics'!$AK$2:$AK$400)*($AC$2='Offer Statistics'!$AL$2:$AL$400),0)),"/")</f>
        <v>1</v>
      </c>
      <c r="AI33" s="63" cm="1">
        <f t="array" ref="AI33">IFERROR(INDEX('Offer Statistics'!AY$2:AY$400,MATCH(1,($A33='Offer Statistics'!$AK$2:$AK$400)*($AC$2='Offer Statistics'!$AL$2:$AL$400),0)),"/")</f>
        <v>0</v>
      </c>
      <c r="AJ33" s="538"/>
      <c r="AK33" s="36" cm="1">
        <f t="array" ref="AK33">IFERROR(INDEX('Offer Statistics'!$AR$2:$AR$400,MATCH(1,($A33='Offer Statistics'!$AK$2:$AK$400)*($AC$2='Offer Statistics'!$AL$2:$AL$400),0)),"/")</f>
        <v>2107</v>
      </c>
      <c r="AL33" s="63" cm="1">
        <f t="array" ref="AL33">IFERROR(INDEX('Offer Statistics'!AM$2:AM$400,MATCH(1,($A33='Offer Statistics'!$AK$2:$AK$400)*($AC$2='Offer Statistics'!$AL$2:$AL$400),0)),"/")</f>
        <v>280</v>
      </c>
      <c r="AM33" s="63" cm="1">
        <f t="array" ref="AM33">IFERROR(INDEX('Offer Statistics'!AN$2:AN$400,MATCH(1,($A33='Offer Statistics'!$AK$2:$AK$400)*($AC$2='Offer Statistics'!$AL$2:$AL$400),0)),"/")</f>
        <v>392</v>
      </c>
      <c r="AN33" s="63" cm="1">
        <f t="array" ref="AN33">IFERROR(INDEX('Offer Statistics'!AO$2:AO$400,MATCH(1,($A33='Offer Statistics'!$AK$2:$AK$400)*($AC$2='Offer Statistics'!$AL$2:$AL$400),0)),"/")</f>
        <v>512</v>
      </c>
      <c r="AO33" s="63" cm="1">
        <f t="array" ref="AO33">IFERROR(INDEX('Offer Statistics'!AP$2:AP$400,MATCH(1,($A33='Offer Statistics'!$AK$2:$AK$400)*($AC$2='Offer Statistics'!$AL$2:$AL$400),0)),"/")</f>
        <v>564</v>
      </c>
      <c r="AP33" s="63" cm="1">
        <f t="array" ref="AP33">IFERROR(INDEX('Offer Statistics'!AQ$2:AQ$400,MATCH(1,($A33='Offer Statistics'!$AK$2:$AK$400)*($AC$2='Offer Statistics'!$AL$2:$AL$400),0)),"/")</f>
        <v>359</v>
      </c>
      <c r="AQ33" s="15"/>
      <c r="AR33" s="15" t="str">
        <f t="shared" si="3"/>
        <v>JS3320</v>
      </c>
    </row>
    <row r="34" spans="1:44" ht="18" customHeight="1">
      <c r="A34" s="4" t="str">
        <f>'Reference Score Calculation'!B130</f>
        <v>JS3337</v>
      </c>
      <c r="B34" s="4" t="str">
        <f>'Reference Score Calculation'!D130</f>
        <v>醫療及社會科學院</v>
      </c>
      <c r="C34" s="4" t="str">
        <f>'Reference Score Calculation'!E130</f>
        <v>精神健康護理學(榮譽)理學士</v>
      </c>
      <c r="D34" s="4" t="str">
        <f>'Reference Score Calculation'!S130</f>
        <v>MENTAL HEALTH NURSING</v>
      </c>
      <c r="E34" s="352" t="str">
        <f>'Reference Score Calculation'!AC130</f>
        <v>Best 5</v>
      </c>
      <c r="F34" s="373" t="str">
        <f>'Reference Score Calculation'!F130</f>
        <v>Best 5</v>
      </c>
      <c r="G34" s="239">
        <f>'Reference Score Calculation'!I130</f>
        <v>203.5</v>
      </c>
      <c r="H34" s="239">
        <f>'Reference Score Calculation'!J130</f>
        <v>203</v>
      </c>
      <c r="I34" s="239">
        <f>'Reference Score Calculation'!G130</f>
        <v>212.5</v>
      </c>
      <c r="J34" s="240">
        <f>計分版!J153</f>
        <v>9.5000000000000007E-9</v>
      </c>
      <c r="K34" s="25">
        <f t="shared" si="0"/>
        <v>-203.49999999049999</v>
      </c>
      <c r="L34" s="150">
        <f t="shared" si="1"/>
        <v>-21421052630.578945</v>
      </c>
      <c r="M34" s="36">
        <f>'Reference Score Calculation'!U130</f>
        <v>70</v>
      </c>
      <c r="N34" s="241">
        <f>入學要求!Z139</f>
        <v>0</v>
      </c>
      <c r="O34" s="544"/>
      <c r="P34" s="243">
        <f>入學要求!L139</f>
        <v>3</v>
      </c>
      <c r="Q34" s="243">
        <f>入學要求!M139</f>
        <v>3</v>
      </c>
      <c r="R34" s="243">
        <f>入學要求!N139</f>
        <v>2</v>
      </c>
      <c r="S34" s="243">
        <f>入學要求!O139</f>
        <v>1</v>
      </c>
      <c r="T34" s="243">
        <f>入學要求!P139</f>
        <v>3</v>
      </c>
      <c r="U34" s="243">
        <f>入學要求!Q139</f>
        <v>3</v>
      </c>
      <c r="V34" s="236">
        <f>入學要求!S139</f>
        <v>0</v>
      </c>
      <c r="W34" s="236">
        <f>入學要求!T139</f>
        <v>0</v>
      </c>
      <c r="X34" s="236">
        <f>入學要求!U139</f>
        <v>0</v>
      </c>
      <c r="Y34" s="236">
        <f>入學要求!V139</f>
        <v>0</v>
      </c>
      <c r="Z34" s="236">
        <f>入學要求!W139</f>
        <v>0</v>
      </c>
      <c r="AA34" s="236">
        <f>入學要求!X139</f>
        <v>0</v>
      </c>
      <c r="AB34" s="374">
        <f t="shared" si="2"/>
        <v>8.31</v>
      </c>
      <c r="AC34" s="537"/>
      <c r="AD34" s="36" cm="1">
        <f t="array" ref="AD34">IFERROR(INDEX('Offer Statistics'!$AZ$2:$AZ$400,MATCH(1,($A34='Offer Statistics'!$AK$2:$AK$400)*($AC$2='Offer Statistics'!$AL$2:$AL$400),0)),"/")</f>
        <v>58</v>
      </c>
      <c r="AE34" s="63" cm="1">
        <f t="array" ref="AE34">IFERROR(INDEX('Offer Statistics'!AU$2:AU$400,MATCH(1,($A34='Offer Statistics'!$AK$2:$AK$400)*($AC$2='Offer Statistics'!$AL$2:$AL$400),0)),"/")</f>
        <v>58</v>
      </c>
      <c r="AF34" s="63" cm="1">
        <f t="array" ref="AF34">IFERROR(INDEX('Offer Statistics'!AV$2:AV$400,MATCH(1,($A34='Offer Statistics'!$AK$2:$AK$400)*($AC$2='Offer Statistics'!$AL$2:$AL$400),0)),"/")</f>
        <v>0</v>
      </c>
      <c r="AG34" s="63" cm="1">
        <f t="array" ref="AG34">IFERROR(INDEX('Offer Statistics'!AW$2:AW$400,MATCH(1,($A34='Offer Statistics'!$AK$2:$AK$400)*($AC$2='Offer Statistics'!$AL$2:$AL$400),0)),"/")</f>
        <v>0</v>
      </c>
      <c r="AH34" s="63" cm="1">
        <f t="array" ref="AH34">IFERROR(INDEX('Offer Statistics'!AX$2:AX$400,MATCH(1,($A34='Offer Statistics'!$AK$2:$AK$400)*($AC$2='Offer Statistics'!$AL$2:$AL$400),0)),"/")</f>
        <v>0</v>
      </c>
      <c r="AI34" s="63" cm="1">
        <f t="array" ref="AI34">IFERROR(INDEX('Offer Statistics'!AY$2:AY$400,MATCH(1,($A34='Offer Statistics'!$AK$2:$AK$400)*($AC$2='Offer Statistics'!$AL$2:$AL$400),0)),"/")</f>
        <v>0</v>
      </c>
      <c r="AJ34" s="538"/>
      <c r="AK34" s="36" cm="1">
        <f t="array" ref="AK34">IFERROR(INDEX('Offer Statistics'!$AR$2:$AR$400,MATCH(1,($A34='Offer Statistics'!$AK$2:$AK$400)*($AC$2='Offer Statistics'!$AL$2:$AL$400),0)),"/")</f>
        <v>3309</v>
      </c>
      <c r="AL34" s="63" cm="1">
        <f t="array" ref="AL34">IFERROR(INDEX('Offer Statistics'!AM$2:AM$400,MATCH(1,($A34='Offer Statistics'!$AK$2:$AK$400)*($AC$2='Offer Statistics'!$AL$2:$AL$400),0)),"/")</f>
        <v>482</v>
      </c>
      <c r="AM34" s="63" cm="1">
        <f t="array" ref="AM34">IFERROR(INDEX('Offer Statistics'!AN$2:AN$400,MATCH(1,($A34='Offer Statistics'!$AK$2:$AK$400)*($AC$2='Offer Statistics'!$AL$2:$AL$400),0)),"/")</f>
        <v>593</v>
      </c>
      <c r="AN34" s="63" cm="1">
        <f t="array" ref="AN34">IFERROR(INDEX('Offer Statistics'!AO$2:AO$400,MATCH(1,($A34='Offer Statistics'!$AK$2:$AK$400)*($AC$2='Offer Statistics'!$AL$2:$AL$400),0)),"/")</f>
        <v>766</v>
      </c>
      <c r="AO34" s="63" cm="1">
        <f t="array" ref="AO34">IFERROR(INDEX('Offer Statistics'!AP$2:AP$400,MATCH(1,($A34='Offer Statistics'!$AK$2:$AK$400)*($AC$2='Offer Statistics'!$AL$2:$AL$400),0)),"/")</f>
        <v>816</v>
      </c>
      <c r="AP34" s="63" cm="1">
        <f t="array" ref="AP34">IFERROR(INDEX('Offer Statistics'!AQ$2:AQ$400,MATCH(1,($A34='Offer Statistics'!$AK$2:$AK$400)*($AC$2='Offer Statistics'!$AL$2:$AL$400),0)),"/")</f>
        <v>652</v>
      </c>
      <c r="AQ34" s="15"/>
      <c r="AR34" s="15" t="str">
        <f t="shared" si="3"/>
        <v>JS3337</v>
      </c>
    </row>
    <row r="35" spans="1:44" ht="18" customHeight="1">
      <c r="A35" s="4" t="str">
        <f>'Reference Score Calculation'!B131</f>
        <v>JS3375</v>
      </c>
      <c r="B35" s="4" t="str">
        <f>'Reference Score Calculation'!D131</f>
        <v>建築及環境學院</v>
      </c>
      <c r="C35" s="4" t="str">
        <f>'Reference Score Calculation'!E131</f>
        <v>環境工程及可持續發展學(榮譽)工學士</v>
      </c>
      <c r="D35" s="4" t="str">
        <f>'Reference Score Calculation'!S131</f>
        <v>ENVIR ENGG &amp; SUS DEVELOP</v>
      </c>
      <c r="E35" s="352" t="str">
        <f>'Reference Score Calculation'!AC131</f>
        <v>Best 5</v>
      </c>
      <c r="F35" s="373" t="str">
        <f>'Reference Score Calculation'!F131</f>
        <v>Best 5</v>
      </c>
      <c r="G35" s="239">
        <f>'Reference Score Calculation'!I131</f>
        <v>220</v>
      </c>
      <c r="H35" s="239">
        <f>'Reference Score Calculation'!J131</f>
        <v>215</v>
      </c>
      <c r="I35" s="239">
        <f>'Reference Score Calculation'!G131</f>
        <v>226.1</v>
      </c>
      <c r="J35" s="240">
        <f>計分版!J154</f>
        <v>1.1000000000000001E-8</v>
      </c>
      <c r="K35" s="25">
        <f t="shared" si="0"/>
        <v>-219.999999989</v>
      </c>
      <c r="L35" s="150">
        <f t="shared" si="1"/>
        <v>-19999999999</v>
      </c>
      <c r="M35" s="36">
        <f>'Reference Score Calculation'!U131</f>
        <v>20</v>
      </c>
      <c r="N35" s="241">
        <f>入學要求!Z140</f>
        <v>0</v>
      </c>
      <c r="O35" s="544"/>
      <c r="P35" s="243">
        <f>入學要求!L140</f>
        <v>3</v>
      </c>
      <c r="Q35" s="243">
        <f>入學要求!M140</f>
        <v>3</v>
      </c>
      <c r="R35" s="243">
        <f>入學要求!N140</f>
        <v>2</v>
      </c>
      <c r="S35" s="243">
        <f>入學要求!O140</f>
        <v>1</v>
      </c>
      <c r="T35" s="243">
        <f>入學要求!P140</f>
        <v>3</v>
      </c>
      <c r="U35" s="243">
        <f>入學要求!Q140</f>
        <v>3</v>
      </c>
      <c r="V35" s="236">
        <f>入學要求!S140</f>
        <v>0</v>
      </c>
      <c r="W35" s="236">
        <f>入學要求!T140</f>
        <v>0</v>
      </c>
      <c r="X35" s="236">
        <f>入學要求!U140</f>
        <v>0</v>
      </c>
      <c r="Y35" s="236">
        <f>入學要求!V140</f>
        <v>0</v>
      </c>
      <c r="Z35" s="236">
        <f>入學要求!W140</f>
        <v>0</v>
      </c>
      <c r="AA35" s="236">
        <f>入學要求!X140</f>
        <v>0</v>
      </c>
      <c r="AB35" s="374" t="str">
        <f t="shared" si="2"/>
        <v>/</v>
      </c>
      <c r="AC35" s="537"/>
      <c r="AD35" s="36" t="str" cm="1">
        <f t="array" ref="AD35">IFERROR(INDEX('Offer Statistics'!$AZ$2:$AZ$400,MATCH(1,($A35='Offer Statistics'!$AK$2:$AK$400)*($AC$2='Offer Statistics'!$AL$2:$AL$400),0)),"/")</f>
        <v>/</v>
      </c>
      <c r="AE35" s="63" t="str" cm="1">
        <f t="array" ref="AE35">IFERROR(INDEX('Offer Statistics'!AU$2:AU$400,MATCH(1,($A35='Offer Statistics'!$AK$2:$AK$400)*($AC$2='Offer Statistics'!$AL$2:$AL$400),0)),"/")</f>
        <v>/</v>
      </c>
      <c r="AF35" s="63" t="str" cm="1">
        <f t="array" ref="AF35">IFERROR(INDEX('Offer Statistics'!AV$2:AV$400,MATCH(1,($A35='Offer Statistics'!$AK$2:$AK$400)*($AC$2='Offer Statistics'!$AL$2:$AL$400),0)),"/")</f>
        <v>/</v>
      </c>
      <c r="AG35" s="63" t="str" cm="1">
        <f t="array" ref="AG35">IFERROR(INDEX('Offer Statistics'!AW$2:AW$400,MATCH(1,($A35='Offer Statistics'!$AK$2:$AK$400)*($AC$2='Offer Statistics'!$AL$2:$AL$400),0)),"/")</f>
        <v>/</v>
      </c>
      <c r="AH35" s="63" t="str" cm="1">
        <f t="array" ref="AH35">IFERROR(INDEX('Offer Statistics'!AX$2:AX$400,MATCH(1,($A35='Offer Statistics'!$AK$2:$AK$400)*($AC$2='Offer Statistics'!$AL$2:$AL$400),0)),"/")</f>
        <v>/</v>
      </c>
      <c r="AI35" s="63" t="str" cm="1">
        <f t="array" ref="AI35">IFERROR(INDEX('Offer Statistics'!AY$2:AY$400,MATCH(1,($A35='Offer Statistics'!$AK$2:$AK$400)*($AC$2='Offer Statistics'!$AL$2:$AL$400),0)),"/")</f>
        <v>/</v>
      </c>
      <c r="AJ35" s="538"/>
      <c r="AK35" s="36" t="str" cm="1">
        <f t="array" ref="AK35">IFERROR(INDEX('Offer Statistics'!$AR$2:$AR$400,MATCH(1,($A35='Offer Statistics'!$AK$2:$AK$400)*($AC$2='Offer Statistics'!$AL$2:$AL$400),0)),"/")</f>
        <v>/</v>
      </c>
      <c r="AL35" s="63" t="str" cm="1">
        <f t="array" ref="AL35">IFERROR(INDEX('Offer Statistics'!AM$2:AM$400,MATCH(1,($A35='Offer Statistics'!$AK$2:$AK$400)*($AC$2='Offer Statistics'!$AL$2:$AL$400),0)),"/")</f>
        <v>/</v>
      </c>
      <c r="AM35" s="63" t="str" cm="1">
        <f t="array" ref="AM35">IFERROR(INDEX('Offer Statistics'!AN$2:AN$400,MATCH(1,($A35='Offer Statistics'!$AK$2:$AK$400)*($AC$2='Offer Statistics'!$AL$2:$AL$400),0)),"/")</f>
        <v>/</v>
      </c>
      <c r="AN35" s="63" t="str" cm="1">
        <f t="array" ref="AN35">IFERROR(INDEX('Offer Statistics'!AO$2:AO$400,MATCH(1,($A35='Offer Statistics'!$AK$2:$AK$400)*($AC$2='Offer Statistics'!$AL$2:$AL$400),0)),"/")</f>
        <v>/</v>
      </c>
      <c r="AO35" s="63" t="str" cm="1">
        <f t="array" ref="AO35">IFERROR(INDEX('Offer Statistics'!AP$2:AP$400,MATCH(1,($A35='Offer Statistics'!$AK$2:$AK$400)*($AC$2='Offer Statistics'!$AL$2:$AL$400),0)),"/")</f>
        <v>/</v>
      </c>
      <c r="AP35" s="63" t="str" cm="1">
        <f t="array" ref="AP35">IFERROR(INDEX('Offer Statistics'!AQ$2:AQ$400,MATCH(1,($A35='Offer Statistics'!$AK$2:$AK$400)*($AC$2='Offer Statistics'!$AL$2:$AL$400),0)),"/")</f>
        <v>/</v>
      </c>
      <c r="AQ35" s="15"/>
      <c r="AR35" s="15" t="str">
        <f t="shared" si="3"/>
        <v>JS3375</v>
      </c>
    </row>
    <row r="36" spans="1:44" ht="18" customHeight="1">
      <c r="A36" s="4" t="str">
        <f>'Reference Score Calculation'!B132</f>
        <v>JS3478</v>
      </c>
      <c r="B36" s="4" t="str">
        <f>'Reference Score Calculation'!D132</f>
        <v>醫療及社會科學院</v>
      </c>
      <c r="C36" s="4" t="str">
        <f>'Reference Score Calculation'!E132</f>
        <v>醫療化驗科學(榮譽)理學士</v>
      </c>
      <c r="D36" s="4" t="str">
        <f>'Reference Score Calculation'!S132</f>
        <v>MED LAB SCI</v>
      </c>
      <c r="E36" s="352" t="str">
        <f>'Reference Score Calculation'!AC132</f>
        <v>Best 5</v>
      </c>
      <c r="F36" s="373" t="str">
        <f>'Reference Score Calculation'!F132</f>
        <v>Best 5</v>
      </c>
      <c r="G36" s="239">
        <f>'Reference Score Calculation'!I132</f>
        <v>299</v>
      </c>
      <c r="H36" s="239">
        <f>'Reference Score Calculation'!J132</f>
        <v>290</v>
      </c>
      <c r="I36" s="239">
        <f>'Reference Score Calculation'!G132</f>
        <v>300.89999999999998</v>
      </c>
      <c r="J36" s="240">
        <f>計分版!J155</f>
        <v>1.1000000000000001E-8</v>
      </c>
      <c r="K36" s="25">
        <f t="shared" si="0"/>
        <v>-298.999999989</v>
      </c>
      <c r="L36" s="150">
        <f t="shared" si="1"/>
        <v>-27181818180.81818</v>
      </c>
      <c r="M36" s="36">
        <f>'Reference Score Calculation'!U132</f>
        <v>60</v>
      </c>
      <c r="N36" s="241">
        <f>入學要求!Z141</f>
        <v>0</v>
      </c>
      <c r="O36" s="544"/>
      <c r="P36" s="243">
        <f>入學要求!L141</f>
        <v>3</v>
      </c>
      <c r="Q36" s="243">
        <f>入學要求!M141</f>
        <v>3</v>
      </c>
      <c r="R36" s="243">
        <f>入學要求!N141</f>
        <v>2</v>
      </c>
      <c r="S36" s="243">
        <f>入學要求!O141</f>
        <v>1</v>
      </c>
      <c r="T36" s="243">
        <f>入學要求!P141</f>
        <v>3</v>
      </c>
      <c r="U36" s="243">
        <f>入學要求!Q141</f>
        <v>3</v>
      </c>
      <c r="V36" s="236">
        <f>入學要求!S141</f>
        <v>0</v>
      </c>
      <c r="W36" s="236">
        <f>入學要求!T141</f>
        <v>0</v>
      </c>
      <c r="X36" s="236">
        <f>入學要求!U141</f>
        <v>0</v>
      </c>
      <c r="Y36" s="236">
        <f>入學要求!V141</f>
        <v>0</v>
      </c>
      <c r="Z36" s="236">
        <f>入學要求!W141</f>
        <v>0</v>
      </c>
      <c r="AA36" s="236">
        <f>入學要求!X141</f>
        <v>0</v>
      </c>
      <c r="AB36" s="374">
        <f t="shared" si="2"/>
        <v>5.8</v>
      </c>
      <c r="AC36" s="537"/>
      <c r="AD36" s="36" cm="1">
        <f t="array" ref="AD36">IFERROR(INDEX('Offer Statistics'!$AZ$2:$AZ$400,MATCH(1,($A36='Offer Statistics'!$AK$2:$AK$400)*($AC$2='Offer Statistics'!$AL$2:$AL$400),0)),"/")</f>
        <v>56</v>
      </c>
      <c r="AE36" s="63" cm="1">
        <f t="array" ref="AE36">IFERROR(INDEX('Offer Statistics'!AU$2:AU$400,MATCH(1,($A36='Offer Statistics'!$AK$2:$AK$400)*($AC$2='Offer Statistics'!$AL$2:$AL$400),0)),"/")</f>
        <v>54</v>
      </c>
      <c r="AF36" s="63" cm="1">
        <f t="array" ref="AF36">IFERROR(INDEX('Offer Statistics'!AV$2:AV$400,MATCH(1,($A36='Offer Statistics'!$AK$2:$AK$400)*($AC$2='Offer Statistics'!$AL$2:$AL$400),0)),"/")</f>
        <v>2</v>
      </c>
      <c r="AG36" s="63" cm="1">
        <f t="array" ref="AG36">IFERROR(INDEX('Offer Statistics'!AW$2:AW$400,MATCH(1,($A36='Offer Statistics'!$AK$2:$AK$400)*($AC$2='Offer Statistics'!$AL$2:$AL$400),0)),"/")</f>
        <v>0</v>
      </c>
      <c r="AH36" s="63" cm="1">
        <f t="array" ref="AH36">IFERROR(INDEX('Offer Statistics'!AX$2:AX$400,MATCH(1,($A36='Offer Statistics'!$AK$2:$AK$400)*($AC$2='Offer Statistics'!$AL$2:$AL$400),0)),"/")</f>
        <v>0</v>
      </c>
      <c r="AI36" s="63" cm="1">
        <f t="array" ref="AI36">IFERROR(INDEX('Offer Statistics'!AY$2:AY$400,MATCH(1,($A36='Offer Statistics'!$AK$2:$AK$400)*($AC$2='Offer Statistics'!$AL$2:$AL$400),0)),"/")</f>
        <v>0</v>
      </c>
      <c r="AJ36" s="538"/>
      <c r="AK36" s="36" cm="1">
        <f t="array" ref="AK36">IFERROR(INDEX('Offer Statistics'!$AR$2:$AR$400,MATCH(1,($A36='Offer Statistics'!$AK$2:$AK$400)*($AC$2='Offer Statistics'!$AL$2:$AL$400),0)),"/")</f>
        <v>2014</v>
      </c>
      <c r="AL36" s="63" cm="1">
        <f t="array" ref="AL36">IFERROR(INDEX('Offer Statistics'!AM$2:AM$400,MATCH(1,($A36='Offer Statistics'!$AK$2:$AK$400)*($AC$2='Offer Statistics'!$AL$2:$AL$400),0)),"/")</f>
        <v>313</v>
      </c>
      <c r="AM36" s="63" cm="1">
        <f t="array" ref="AM36">IFERROR(INDEX('Offer Statistics'!AN$2:AN$400,MATCH(1,($A36='Offer Statistics'!$AK$2:$AK$400)*($AC$2='Offer Statistics'!$AL$2:$AL$400),0)),"/")</f>
        <v>244</v>
      </c>
      <c r="AN36" s="63" cm="1">
        <f t="array" ref="AN36">IFERROR(INDEX('Offer Statistics'!AO$2:AO$400,MATCH(1,($A36='Offer Statistics'!$AK$2:$AK$400)*($AC$2='Offer Statistics'!$AL$2:$AL$400),0)),"/")</f>
        <v>395</v>
      </c>
      <c r="AO36" s="63" cm="1">
        <f t="array" ref="AO36">IFERROR(INDEX('Offer Statistics'!AP$2:AP$400,MATCH(1,($A36='Offer Statistics'!$AK$2:$AK$400)*($AC$2='Offer Statistics'!$AL$2:$AL$400),0)),"/")</f>
        <v>562</v>
      </c>
      <c r="AP36" s="63" cm="1">
        <f t="array" ref="AP36">IFERROR(INDEX('Offer Statistics'!AQ$2:AQ$400,MATCH(1,($A36='Offer Statistics'!$AK$2:$AK$400)*($AC$2='Offer Statistics'!$AL$2:$AL$400),0)),"/")</f>
        <v>500</v>
      </c>
      <c r="AQ36" s="15"/>
      <c r="AR36" s="15" t="str">
        <f t="shared" si="3"/>
        <v>JS3478</v>
      </c>
    </row>
    <row r="37" spans="1:44" ht="18" customHeight="1">
      <c r="A37" s="4" t="str">
        <f>'Reference Score Calculation'!B133</f>
        <v>JS3569</v>
      </c>
      <c r="B37" s="4" t="str">
        <f>'Reference Score Calculation'!D133</f>
        <v>設計學院</v>
      </c>
      <c r="C37" s="4" t="str">
        <f>'Reference Score Calculation'!E133</f>
        <v>設計學(榮譽)文學士組合課程 (廣告設計/環境設計/信息設計/交互設計/室内設計/媒體設計/產品設計/服務創新設計/社會創新設計)</v>
      </c>
      <c r="D37" s="4" t="str">
        <f>'Reference Score Calculation'!S133</f>
        <v>DESIGN</v>
      </c>
      <c r="E37" s="352" t="str">
        <f>'Reference Score Calculation'!AC133</f>
        <v>Best 5</v>
      </c>
      <c r="F37" s="373" t="str">
        <f>'Reference Score Calculation'!F133</f>
        <v>Best 5</v>
      </c>
      <c r="G37" s="239">
        <f>'Reference Score Calculation'!I133</f>
        <v>176</v>
      </c>
      <c r="H37" s="239">
        <f>'Reference Score Calculation'!J133</f>
        <v>202.5</v>
      </c>
      <c r="I37" s="239">
        <f>'Reference Score Calculation'!G133</f>
        <v>188.2</v>
      </c>
      <c r="J37" s="240">
        <f>計分版!J156</f>
        <v>8.5E-9</v>
      </c>
      <c r="K37" s="25">
        <f t="shared" si="0"/>
        <v>-175.9999999915</v>
      </c>
      <c r="L37" s="150">
        <f t="shared" si="1"/>
        <v>-20705882351.941177</v>
      </c>
      <c r="M37" s="36">
        <f>'Reference Score Calculation'!U133</f>
        <v>83</v>
      </c>
      <c r="N37" s="241">
        <f>入學要求!Z142</f>
        <v>0</v>
      </c>
      <c r="O37" s="544"/>
      <c r="P37" s="243">
        <f>入學要求!L142</f>
        <v>3</v>
      </c>
      <c r="Q37" s="243">
        <f>入學要求!M142</f>
        <v>3</v>
      </c>
      <c r="R37" s="243">
        <f>入學要求!N142</f>
        <v>2</v>
      </c>
      <c r="S37" s="243">
        <f>入學要求!O142</f>
        <v>1</v>
      </c>
      <c r="T37" s="243">
        <f>入學要求!P142</f>
        <v>3</v>
      </c>
      <c r="U37" s="243">
        <f>入學要求!Q142</f>
        <v>3</v>
      </c>
      <c r="V37" s="236">
        <f>入學要求!S142</f>
        <v>0</v>
      </c>
      <c r="W37" s="236">
        <f>入學要求!T142</f>
        <v>0</v>
      </c>
      <c r="X37" s="236">
        <f>入學要求!U142</f>
        <v>0</v>
      </c>
      <c r="Y37" s="236">
        <f>入學要求!V142</f>
        <v>0</v>
      </c>
      <c r="Z37" s="236">
        <f>入學要求!W142</f>
        <v>0</v>
      </c>
      <c r="AA37" s="236">
        <f>入學要求!X142</f>
        <v>0</v>
      </c>
      <c r="AB37" s="374">
        <f t="shared" si="2"/>
        <v>10.28</v>
      </c>
      <c r="AC37" s="537"/>
      <c r="AD37" s="36" cm="1">
        <f t="array" ref="AD37">IFERROR(INDEX('Offer Statistics'!$AZ$2:$AZ$400,MATCH(1,($A37='Offer Statistics'!$AK$2:$AK$400)*($AC$2='Offer Statistics'!$AL$2:$AL$400),0)),"/")</f>
        <v>80</v>
      </c>
      <c r="AE37" s="63" cm="1">
        <f t="array" ref="AE37">IFERROR(INDEX('Offer Statistics'!AU$2:AU$400,MATCH(1,($A37='Offer Statistics'!$AK$2:$AK$400)*($AC$2='Offer Statistics'!$AL$2:$AL$400),0)),"/")</f>
        <v>80</v>
      </c>
      <c r="AF37" s="63" cm="1">
        <f t="array" ref="AF37">IFERROR(INDEX('Offer Statistics'!AV$2:AV$400,MATCH(1,($A37='Offer Statistics'!$AK$2:$AK$400)*($AC$2='Offer Statistics'!$AL$2:$AL$400),0)),"/")</f>
        <v>0</v>
      </c>
      <c r="AG37" s="63" cm="1">
        <f t="array" ref="AG37">IFERROR(INDEX('Offer Statistics'!AW$2:AW$400,MATCH(1,($A37='Offer Statistics'!$AK$2:$AK$400)*($AC$2='Offer Statistics'!$AL$2:$AL$400),0)),"/")</f>
        <v>0</v>
      </c>
      <c r="AH37" s="63" cm="1">
        <f t="array" ref="AH37">IFERROR(INDEX('Offer Statistics'!AX$2:AX$400,MATCH(1,($A37='Offer Statistics'!$AK$2:$AK$400)*($AC$2='Offer Statistics'!$AL$2:$AL$400),0)),"/")</f>
        <v>0</v>
      </c>
      <c r="AI37" s="63" cm="1">
        <f t="array" ref="AI37">IFERROR(INDEX('Offer Statistics'!AY$2:AY$400,MATCH(1,($A37='Offer Statistics'!$AK$2:$AK$400)*($AC$2='Offer Statistics'!$AL$2:$AL$400),0)),"/")</f>
        <v>0</v>
      </c>
      <c r="AJ37" s="538"/>
      <c r="AK37" s="36" cm="1">
        <f t="array" ref="AK37">IFERROR(INDEX('Offer Statistics'!$AR$2:$AR$400,MATCH(1,($A37='Offer Statistics'!$AK$2:$AK$400)*($AC$2='Offer Statistics'!$AL$2:$AL$400),0)),"/")</f>
        <v>2851</v>
      </c>
      <c r="AL37" s="63" cm="1">
        <f t="array" ref="AL37">IFERROR(INDEX('Offer Statistics'!AM$2:AM$400,MATCH(1,($A37='Offer Statistics'!$AK$2:$AK$400)*($AC$2='Offer Statistics'!$AL$2:$AL$400),0)),"/")</f>
        <v>822</v>
      </c>
      <c r="AM37" s="63" cm="1">
        <f t="array" ref="AM37">IFERROR(INDEX('Offer Statistics'!AN$2:AN$400,MATCH(1,($A37='Offer Statistics'!$AK$2:$AK$400)*($AC$2='Offer Statistics'!$AL$2:$AL$400),0)),"/")</f>
        <v>413</v>
      </c>
      <c r="AN37" s="63" cm="1">
        <f t="array" ref="AN37">IFERROR(INDEX('Offer Statistics'!AO$2:AO$400,MATCH(1,($A37='Offer Statistics'!$AK$2:$AK$400)*($AC$2='Offer Statistics'!$AL$2:$AL$400),0)),"/")</f>
        <v>501</v>
      </c>
      <c r="AO37" s="63" cm="1">
        <f t="array" ref="AO37">IFERROR(INDEX('Offer Statistics'!AP$2:AP$400,MATCH(1,($A37='Offer Statistics'!$AK$2:$AK$400)*($AC$2='Offer Statistics'!$AL$2:$AL$400),0)),"/")</f>
        <v>599</v>
      </c>
      <c r="AP37" s="63" cm="1">
        <f t="array" ref="AP37">IFERROR(INDEX('Offer Statistics'!AQ$2:AQ$400,MATCH(1,($A37='Offer Statistics'!$AK$2:$AK$400)*($AC$2='Offer Statistics'!$AL$2:$AL$400),0)),"/")</f>
        <v>516</v>
      </c>
      <c r="AQ37" s="15"/>
      <c r="AR37" s="15" t="str">
        <f t="shared" si="3"/>
        <v>JS3569</v>
      </c>
    </row>
    <row r="38" spans="1:44" s="151" customFormat="1" ht="18" customHeight="1">
      <c r="A38" s="4" t="str">
        <f>'Reference Score Calculation'!B134</f>
        <v>JS3612</v>
      </c>
      <c r="B38" s="4" t="str">
        <f>'Reference Score Calculation'!D134</f>
        <v>醫療及社會科學院</v>
      </c>
      <c r="C38" s="4" t="str">
        <f>'Reference Score Calculation'!E134</f>
        <v>放射學(榮譽)理學士</v>
      </c>
      <c r="D38" s="4" t="str">
        <f>'Reference Score Calculation'!S134</f>
        <v>RADIOGRAPHY</v>
      </c>
      <c r="E38" s="352" t="str">
        <f>'Reference Score Calculation'!AC134</f>
        <v>Best 5</v>
      </c>
      <c r="F38" s="373" t="str">
        <f>'Reference Score Calculation'!F134</f>
        <v>Best 5</v>
      </c>
      <c r="G38" s="239">
        <f>'Reference Score Calculation'!I134</f>
        <v>320</v>
      </c>
      <c r="H38" s="239">
        <f>'Reference Score Calculation'!J134</f>
        <v>318.5</v>
      </c>
      <c r="I38" s="239">
        <f>'Reference Score Calculation'!G134</f>
        <v>325.8</v>
      </c>
      <c r="J38" s="240">
        <f>計分版!J157</f>
        <v>9.5000000000000007E-9</v>
      </c>
      <c r="K38" s="25">
        <f t="shared" si="0"/>
        <v>-319.99999999049999</v>
      </c>
      <c r="L38" s="150">
        <f t="shared" si="1"/>
        <v>-33684210525.315784</v>
      </c>
      <c r="M38" s="36">
        <f>'Reference Score Calculation'!U134</f>
        <v>115</v>
      </c>
      <c r="N38" s="241">
        <f>入學要求!Z143</f>
        <v>0</v>
      </c>
      <c r="O38" s="544"/>
      <c r="P38" s="243">
        <f>入學要求!L143</f>
        <v>3</v>
      </c>
      <c r="Q38" s="243">
        <f>入學要求!M143</f>
        <v>3</v>
      </c>
      <c r="R38" s="243">
        <f>入學要求!N143</f>
        <v>2</v>
      </c>
      <c r="S38" s="243">
        <f>入學要求!O143</f>
        <v>1</v>
      </c>
      <c r="T38" s="243">
        <f>入學要求!P143</f>
        <v>3</v>
      </c>
      <c r="U38" s="243">
        <f>入學要求!Q143</f>
        <v>3</v>
      </c>
      <c r="V38" s="236">
        <f>入學要求!S143</f>
        <v>0</v>
      </c>
      <c r="W38" s="236">
        <f>入學要求!T143</f>
        <v>0</v>
      </c>
      <c r="X38" s="236">
        <f>入學要求!U143</f>
        <v>0</v>
      </c>
      <c r="Y38" s="236">
        <f>入學要求!V143</f>
        <v>0</v>
      </c>
      <c r="Z38" s="236">
        <f>入學要求!W143</f>
        <v>0</v>
      </c>
      <c r="AA38" s="236">
        <f>入學要求!X143</f>
        <v>0</v>
      </c>
      <c r="AB38" s="374">
        <f t="shared" si="2"/>
        <v>4.0999999999999996</v>
      </c>
      <c r="AC38" s="537"/>
      <c r="AD38" s="36" cm="1">
        <f t="array" ref="AD38">IFERROR(INDEX('Offer Statistics'!$AZ$2:$AZ$400,MATCH(1,($A38='Offer Statistics'!$AK$2:$AK$400)*($AC$2='Offer Statistics'!$AL$2:$AL$400),0)),"/")</f>
        <v>108</v>
      </c>
      <c r="AE38" s="63" cm="1">
        <f t="array" ref="AE38">IFERROR(INDEX('Offer Statistics'!AU$2:AU$400,MATCH(1,($A38='Offer Statistics'!$AK$2:$AK$400)*($AC$2='Offer Statistics'!$AL$2:$AL$400),0)),"/")</f>
        <v>107</v>
      </c>
      <c r="AF38" s="63" cm="1">
        <f t="array" ref="AF38">IFERROR(INDEX('Offer Statistics'!AV$2:AV$400,MATCH(1,($A38='Offer Statistics'!$AK$2:$AK$400)*($AC$2='Offer Statistics'!$AL$2:$AL$400),0)),"/")</f>
        <v>0</v>
      </c>
      <c r="AG38" s="63" cm="1">
        <f t="array" ref="AG38">IFERROR(INDEX('Offer Statistics'!AW$2:AW$400,MATCH(1,($A38='Offer Statistics'!$AK$2:$AK$400)*($AC$2='Offer Statistics'!$AL$2:$AL$400),0)),"/")</f>
        <v>1</v>
      </c>
      <c r="AH38" s="63" cm="1">
        <f t="array" ref="AH38">IFERROR(INDEX('Offer Statistics'!AX$2:AX$400,MATCH(1,($A38='Offer Statistics'!$AK$2:$AK$400)*($AC$2='Offer Statistics'!$AL$2:$AL$400),0)),"/")</f>
        <v>0</v>
      </c>
      <c r="AI38" s="63" cm="1">
        <f t="array" ref="AI38">IFERROR(INDEX('Offer Statistics'!AY$2:AY$400,MATCH(1,($A38='Offer Statistics'!$AK$2:$AK$400)*($AC$2='Offer Statistics'!$AL$2:$AL$400),0)),"/")</f>
        <v>0</v>
      </c>
      <c r="AJ38" s="538"/>
      <c r="AK38" s="36" cm="1">
        <f t="array" ref="AK38">IFERROR(INDEX('Offer Statistics'!$AR$2:$AR$400,MATCH(1,($A38='Offer Statistics'!$AK$2:$AK$400)*($AC$2='Offer Statistics'!$AL$2:$AL$400),0)),"/")</f>
        <v>2146</v>
      </c>
      <c r="AL38" s="63" cm="1">
        <f t="array" ref="AL38">IFERROR(INDEX('Offer Statistics'!AM$2:AM$400,MATCH(1,($A38='Offer Statistics'!$AK$2:$AK$400)*($AC$2='Offer Statistics'!$AL$2:$AL$400),0)),"/")</f>
        <v>439</v>
      </c>
      <c r="AM38" s="63" cm="1">
        <f t="array" ref="AM38">IFERROR(INDEX('Offer Statistics'!AN$2:AN$400,MATCH(1,($A38='Offer Statistics'!$AK$2:$AK$400)*($AC$2='Offer Statistics'!$AL$2:$AL$400),0)),"/")</f>
        <v>248</v>
      </c>
      <c r="AN38" s="63" cm="1">
        <f t="array" ref="AN38">IFERROR(INDEX('Offer Statistics'!AO$2:AO$400,MATCH(1,($A38='Offer Statistics'!$AK$2:$AK$400)*($AC$2='Offer Statistics'!$AL$2:$AL$400),0)),"/")</f>
        <v>414</v>
      </c>
      <c r="AO38" s="63" cm="1">
        <f t="array" ref="AO38">IFERROR(INDEX('Offer Statistics'!AP$2:AP$400,MATCH(1,($A38='Offer Statistics'!$AK$2:$AK$400)*($AC$2='Offer Statistics'!$AL$2:$AL$400),0)),"/")</f>
        <v>525</v>
      </c>
      <c r="AP38" s="63" cm="1">
        <f t="array" ref="AP38">IFERROR(INDEX('Offer Statistics'!AQ$2:AQ$400,MATCH(1,($A38='Offer Statistics'!$AK$2:$AK$400)*($AC$2='Offer Statistics'!$AL$2:$AL$400),0)),"/")</f>
        <v>520</v>
      </c>
      <c r="AQ38" s="15"/>
      <c r="AR38" s="15" t="str">
        <f t="shared" si="3"/>
        <v>JS3612</v>
      </c>
    </row>
    <row r="39" spans="1:44" s="151" customFormat="1" ht="18" customHeight="1">
      <c r="A39" s="4" t="str">
        <f>'Reference Score Calculation'!B135</f>
        <v>JS3624</v>
      </c>
      <c r="B39" s="4" t="str">
        <f>'Reference Score Calculation'!D135</f>
        <v>醫療及社會科學院</v>
      </c>
      <c r="C39" s="4" t="str">
        <f>'Reference Score Calculation'!E135</f>
        <v>職業治療學(榮譽)理學士</v>
      </c>
      <c r="D39" s="4" t="str">
        <f>'Reference Score Calculation'!S135</f>
        <v>OCCUPATIONAL THERAPY</v>
      </c>
      <c r="E39" s="352" t="str">
        <f>'Reference Score Calculation'!AC135</f>
        <v>Best 5</v>
      </c>
      <c r="F39" s="373" t="str">
        <f>'Reference Score Calculation'!F135</f>
        <v>Best 5</v>
      </c>
      <c r="G39" s="239">
        <f>'Reference Score Calculation'!I135</f>
        <v>293</v>
      </c>
      <c r="H39" s="239">
        <f>'Reference Score Calculation'!J135</f>
        <v>273.5</v>
      </c>
      <c r="I39" s="239">
        <f>'Reference Score Calculation'!G135</f>
        <v>281.8</v>
      </c>
      <c r="J39" s="240">
        <f>計分版!J158</f>
        <v>8.6000000000000009E-9</v>
      </c>
      <c r="K39" s="25">
        <f t="shared" si="0"/>
        <v>-292.99999999139999</v>
      </c>
      <c r="L39" s="150">
        <f t="shared" si="1"/>
        <v>-34069767440.860458</v>
      </c>
      <c r="M39" s="36">
        <f>'Reference Score Calculation'!U135</f>
        <v>100</v>
      </c>
      <c r="N39" s="241">
        <f>入學要求!Z144</f>
        <v>0</v>
      </c>
      <c r="O39" s="544"/>
      <c r="P39" s="243">
        <f>入學要求!L144</f>
        <v>3</v>
      </c>
      <c r="Q39" s="243">
        <f>入學要求!M144</f>
        <v>3</v>
      </c>
      <c r="R39" s="243">
        <f>入學要求!N144</f>
        <v>2</v>
      </c>
      <c r="S39" s="243">
        <f>入學要求!O144</f>
        <v>1</v>
      </c>
      <c r="T39" s="243">
        <f>入學要求!P144</f>
        <v>3</v>
      </c>
      <c r="U39" s="243">
        <f>入學要求!Q144</f>
        <v>3</v>
      </c>
      <c r="V39" s="236">
        <f>入學要求!S144</f>
        <v>0</v>
      </c>
      <c r="W39" s="236">
        <f>入學要求!T144</f>
        <v>0</v>
      </c>
      <c r="X39" s="236">
        <f>入學要求!U144</f>
        <v>0</v>
      </c>
      <c r="Y39" s="236">
        <f>入學要求!V144</f>
        <v>0</v>
      </c>
      <c r="Z39" s="236">
        <f>入學要求!W144</f>
        <v>0</v>
      </c>
      <c r="AA39" s="236">
        <f>入學要求!X144</f>
        <v>0</v>
      </c>
      <c r="AB39" s="374">
        <f t="shared" si="2"/>
        <v>4.4000000000000004</v>
      </c>
      <c r="AC39" s="537"/>
      <c r="AD39" s="36" cm="1">
        <f t="array" ref="AD39">IFERROR(INDEX('Offer Statistics'!$AZ$2:$AZ$400,MATCH(1,($A39='Offer Statistics'!$AK$2:$AK$400)*($AC$2='Offer Statistics'!$AL$2:$AL$400),0)),"/")</f>
        <v>78</v>
      </c>
      <c r="AE39" s="63" cm="1">
        <f t="array" ref="AE39">IFERROR(INDEX('Offer Statistics'!AU$2:AU$400,MATCH(1,($A39='Offer Statistics'!$AK$2:$AK$400)*($AC$2='Offer Statistics'!$AL$2:$AL$400),0)),"/")</f>
        <v>78</v>
      </c>
      <c r="AF39" s="63" cm="1">
        <f t="array" ref="AF39">IFERROR(INDEX('Offer Statistics'!AV$2:AV$400,MATCH(1,($A39='Offer Statistics'!$AK$2:$AK$400)*($AC$2='Offer Statistics'!$AL$2:$AL$400),0)),"/")</f>
        <v>0</v>
      </c>
      <c r="AG39" s="63" cm="1">
        <f t="array" ref="AG39">IFERROR(INDEX('Offer Statistics'!AW$2:AW$400,MATCH(1,($A39='Offer Statistics'!$AK$2:$AK$400)*($AC$2='Offer Statistics'!$AL$2:$AL$400),0)),"/")</f>
        <v>0</v>
      </c>
      <c r="AH39" s="63" cm="1">
        <f t="array" ref="AH39">IFERROR(INDEX('Offer Statistics'!AX$2:AX$400,MATCH(1,($A39='Offer Statistics'!$AK$2:$AK$400)*($AC$2='Offer Statistics'!$AL$2:$AL$400),0)),"/")</f>
        <v>0</v>
      </c>
      <c r="AI39" s="63" cm="1">
        <f t="array" ref="AI39">IFERROR(INDEX('Offer Statistics'!AY$2:AY$400,MATCH(1,($A39='Offer Statistics'!$AK$2:$AK$400)*($AC$2='Offer Statistics'!$AL$2:$AL$400),0)),"/")</f>
        <v>0</v>
      </c>
      <c r="AJ39" s="538"/>
      <c r="AK39" s="36" cm="1">
        <f t="array" ref="AK39">IFERROR(INDEX('Offer Statistics'!$AR$2:$AR$400,MATCH(1,($A39='Offer Statistics'!$AK$2:$AK$400)*($AC$2='Offer Statistics'!$AL$2:$AL$400),0)),"/")</f>
        <v>2093</v>
      </c>
      <c r="AL39" s="63" cm="1">
        <f t="array" ref="AL39">IFERROR(INDEX('Offer Statistics'!AM$2:AM$400,MATCH(1,($A39='Offer Statistics'!$AK$2:$AK$400)*($AC$2='Offer Statistics'!$AL$2:$AL$400),0)),"/")</f>
        <v>343</v>
      </c>
      <c r="AM39" s="63" cm="1">
        <f t="array" ref="AM39">IFERROR(INDEX('Offer Statistics'!AN$2:AN$400,MATCH(1,($A39='Offer Statistics'!$AK$2:$AK$400)*($AC$2='Offer Statistics'!$AL$2:$AL$400),0)),"/")</f>
        <v>262</v>
      </c>
      <c r="AN39" s="63" cm="1">
        <f t="array" ref="AN39">IFERROR(INDEX('Offer Statistics'!AO$2:AO$400,MATCH(1,($A39='Offer Statistics'!$AK$2:$AK$400)*($AC$2='Offer Statistics'!$AL$2:$AL$400),0)),"/")</f>
        <v>402</v>
      </c>
      <c r="AO39" s="63" cm="1">
        <f t="array" ref="AO39">IFERROR(INDEX('Offer Statistics'!AP$2:AP$400,MATCH(1,($A39='Offer Statistics'!$AK$2:$AK$400)*($AC$2='Offer Statistics'!$AL$2:$AL$400),0)),"/")</f>
        <v>572</v>
      </c>
      <c r="AP39" s="63" cm="1">
        <f t="array" ref="AP39">IFERROR(INDEX('Offer Statistics'!AQ$2:AQ$400,MATCH(1,($A39='Offer Statistics'!$AK$2:$AK$400)*($AC$2='Offer Statistics'!$AL$2:$AL$400),0)),"/")</f>
        <v>514</v>
      </c>
      <c r="AQ39" s="15"/>
      <c r="AR39" s="15" t="str">
        <f t="shared" si="3"/>
        <v>JS3624</v>
      </c>
    </row>
    <row r="40" spans="1:44" s="151" customFormat="1" ht="18" customHeight="1">
      <c r="A40" s="4" t="str">
        <f>'Reference Score Calculation'!B136</f>
        <v>JS3636</v>
      </c>
      <c r="B40" s="4" t="str">
        <f>'Reference Score Calculation'!D136</f>
        <v>醫療及社會科學院</v>
      </c>
      <c r="C40" s="4" t="str">
        <f>'Reference Score Calculation'!E136</f>
        <v>物理治療學(榮譽)理學士</v>
      </c>
      <c r="D40" s="4" t="str">
        <f>'Reference Score Calculation'!S136</f>
        <v>PHYSIOTHERAPY</v>
      </c>
      <c r="E40" s="352" t="str">
        <f>'Reference Score Calculation'!AC136</f>
        <v>Best 5</v>
      </c>
      <c r="F40" s="373" t="str">
        <f>'Reference Score Calculation'!F136</f>
        <v>Best 5</v>
      </c>
      <c r="G40" s="239">
        <f>'Reference Score Calculation'!I136</f>
        <v>293</v>
      </c>
      <c r="H40" s="239">
        <f>'Reference Score Calculation'!J136</f>
        <v>284</v>
      </c>
      <c r="I40" s="239">
        <f>'Reference Score Calculation'!G136</f>
        <v>294.7</v>
      </c>
      <c r="J40" s="240">
        <f>計分版!J159</f>
        <v>7.6000000000000002E-9</v>
      </c>
      <c r="K40" s="25">
        <f t="shared" si="0"/>
        <v>-292.99999999239998</v>
      </c>
      <c r="L40" s="150">
        <f t="shared" si="1"/>
        <v>-38552631577.947365</v>
      </c>
      <c r="M40" s="36">
        <f>'Reference Score Calculation'!U136</f>
        <v>150</v>
      </c>
      <c r="N40" s="241">
        <f>入學要求!Z145</f>
        <v>0</v>
      </c>
      <c r="O40" s="544"/>
      <c r="P40" s="243">
        <f>入學要求!L145</f>
        <v>3</v>
      </c>
      <c r="Q40" s="243">
        <f>入學要求!M145</f>
        <v>3</v>
      </c>
      <c r="R40" s="243">
        <f>入學要求!N145</f>
        <v>2</v>
      </c>
      <c r="S40" s="243">
        <f>入學要求!O145</f>
        <v>1</v>
      </c>
      <c r="T40" s="243">
        <f>入學要求!P145</f>
        <v>3</v>
      </c>
      <c r="U40" s="243">
        <f>入學要求!Q145</f>
        <v>3</v>
      </c>
      <c r="V40" s="236">
        <f>入學要求!S145</f>
        <v>0</v>
      </c>
      <c r="W40" s="236">
        <f>入學要求!T145</f>
        <v>0</v>
      </c>
      <c r="X40" s="236">
        <f>入學要求!U145</f>
        <v>0</v>
      </c>
      <c r="Y40" s="236">
        <f>入學要求!V145</f>
        <v>0</v>
      </c>
      <c r="Z40" s="236">
        <f>入學要求!W145</f>
        <v>0</v>
      </c>
      <c r="AA40" s="236">
        <f>入學要求!X145</f>
        <v>0</v>
      </c>
      <c r="AB40" s="374">
        <f t="shared" si="2"/>
        <v>3.3</v>
      </c>
      <c r="AC40" s="537"/>
      <c r="AD40" s="36" cm="1">
        <f t="array" ref="AD40">IFERROR(INDEX('Offer Statistics'!$AZ$2:$AZ$400,MATCH(1,($A40='Offer Statistics'!$AK$2:$AK$400)*($AC$2='Offer Statistics'!$AL$2:$AL$400),0)),"/")</f>
        <v>128</v>
      </c>
      <c r="AE40" s="63" cm="1">
        <f t="array" ref="AE40">IFERROR(INDEX('Offer Statistics'!AU$2:AU$400,MATCH(1,($A40='Offer Statistics'!$AK$2:$AK$400)*($AC$2='Offer Statistics'!$AL$2:$AL$400),0)),"/")</f>
        <v>124</v>
      </c>
      <c r="AF40" s="63" cm="1">
        <f t="array" ref="AF40">IFERROR(INDEX('Offer Statistics'!AV$2:AV$400,MATCH(1,($A40='Offer Statistics'!$AK$2:$AK$400)*($AC$2='Offer Statistics'!$AL$2:$AL$400),0)),"/")</f>
        <v>2</v>
      </c>
      <c r="AG40" s="63" cm="1">
        <f t="array" ref="AG40">IFERROR(INDEX('Offer Statistics'!AW$2:AW$400,MATCH(1,($A40='Offer Statistics'!$AK$2:$AK$400)*($AC$2='Offer Statistics'!$AL$2:$AL$400),0)),"/")</f>
        <v>0</v>
      </c>
      <c r="AH40" s="63" cm="1">
        <f t="array" ref="AH40">IFERROR(INDEX('Offer Statistics'!AX$2:AX$400,MATCH(1,($A40='Offer Statistics'!$AK$2:$AK$400)*($AC$2='Offer Statistics'!$AL$2:$AL$400),0)),"/")</f>
        <v>1</v>
      </c>
      <c r="AI40" s="63" cm="1">
        <f t="array" ref="AI40">IFERROR(INDEX('Offer Statistics'!AY$2:AY$400,MATCH(1,($A40='Offer Statistics'!$AK$2:$AK$400)*($AC$2='Offer Statistics'!$AL$2:$AL$400),0)),"/")</f>
        <v>1</v>
      </c>
      <c r="AJ40" s="538"/>
      <c r="AK40" s="36" cm="1">
        <f t="array" ref="AK40">IFERROR(INDEX('Offer Statistics'!$AR$2:$AR$400,MATCH(1,($A40='Offer Statistics'!$AK$2:$AK$400)*($AC$2='Offer Statistics'!$AL$2:$AL$400),0)),"/")</f>
        <v>2478</v>
      </c>
      <c r="AL40" s="63" cm="1">
        <f t="array" ref="AL40">IFERROR(INDEX('Offer Statistics'!AM$2:AM$400,MATCH(1,($A40='Offer Statistics'!$AK$2:$AK$400)*($AC$2='Offer Statistics'!$AL$2:$AL$400),0)),"/")</f>
        <v>409</v>
      </c>
      <c r="AM40" s="63" cm="1">
        <f t="array" ref="AM40">IFERROR(INDEX('Offer Statistics'!AN$2:AN$400,MATCH(1,($A40='Offer Statistics'!$AK$2:$AK$400)*($AC$2='Offer Statistics'!$AL$2:$AL$400),0)),"/")</f>
        <v>325</v>
      </c>
      <c r="AN40" s="63" cm="1">
        <f t="array" ref="AN40">IFERROR(INDEX('Offer Statistics'!AO$2:AO$400,MATCH(1,($A40='Offer Statistics'!$AK$2:$AK$400)*($AC$2='Offer Statistics'!$AL$2:$AL$400),0)),"/")</f>
        <v>469</v>
      </c>
      <c r="AO40" s="63" cm="1">
        <f t="array" ref="AO40">IFERROR(INDEX('Offer Statistics'!AP$2:AP$400,MATCH(1,($A40='Offer Statistics'!$AK$2:$AK$400)*($AC$2='Offer Statistics'!$AL$2:$AL$400),0)),"/")</f>
        <v>661</v>
      </c>
      <c r="AP40" s="63" cm="1">
        <f t="array" ref="AP40">IFERROR(INDEX('Offer Statistics'!AQ$2:AQ$400,MATCH(1,($A40='Offer Statistics'!$AK$2:$AK$400)*($AC$2='Offer Statistics'!$AL$2:$AL$400),0)),"/")</f>
        <v>614</v>
      </c>
      <c r="AQ40" s="15"/>
      <c r="AR40" s="15" t="str">
        <f t="shared" si="3"/>
        <v>JS3636</v>
      </c>
    </row>
    <row r="41" spans="1:44" s="151" customFormat="1" ht="18" customHeight="1">
      <c r="A41" s="4" t="str">
        <f>'Reference Score Calculation'!B137</f>
        <v>JS3648</v>
      </c>
      <c r="B41" s="4" t="str">
        <f>'Reference Score Calculation'!D137</f>
        <v>醫療及社會科學院</v>
      </c>
      <c r="C41" s="4" t="str">
        <f>'Reference Score Calculation'!E137</f>
        <v>護理學(榮譽)理學士</v>
      </c>
      <c r="D41" s="4" t="str">
        <f>'Reference Score Calculation'!S137</f>
        <v>NURSING</v>
      </c>
      <c r="E41" s="352" t="str">
        <f>'Reference Score Calculation'!AC137</f>
        <v>Best 5</v>
      </c>
      <c r="F41" s="373" t="str">
        <f>'Reference Score Calculation'!F137</f>
        <v>Best 5</v>
      </c>
      <c r="G41" s="239">
        <f>'Reference Score Calculation'!I137</f>
        <v>213.5</v>
      </c>
      <c r="H41" s="239">
        <f>'Reference Score Calculation'!J137</f>
        <v>208</v>
      </c>
      <c r="I41" s="239">
        <f>'Reference Score Calculation'!G137</f>
        <v>216.7</v>
      </c>
      <c r="J41" s="240">
        <f>計分版!J160</f>
        <v>9.5000000000000007E-9</v>
      </c>
      <c r="K41" s="25">
        <f t="shared" si="0"/>
        <v>-213.49999999049999</v>
      </c>
      <c r="L41" s="150">
        <f t="shared" si="1"/>
        <v>-22473684209.526314</v>
      </c>
      <c r="M41" s="36">
        <f>'Reference Score Calculation'!U137</f>
        <v>193</v>
      </c>
      <c r="N41" s="241">
        <f>入學要求!Z146</f>
        <v>0</v>
      </c>
      <c r="O41" s="544"/>
      <c r="P41" s="243">
        <f>入學要求!L146</f>
        <v>3</v>
      </c>
      <c r="Q41" s="243">
        <f>入學要求!M146</f>
        <v>3</v>
      </c>
      <c r="R41" s="243">
        <f>入學要求!N146</f>
        <v>2</v>
      </c>
      <c r="S41" s="243">
        <f>入學要求!O146</f>
        <v>1</v>
      </c>
      <c r="T41" s="243">
        <f>入學要求!P146</f>
        <v>3</v>
      </c>
      <c r="U41" s="243">
        <f>入學要求!Q146</f>
        <v>3</v>
      </c>
      <c r="V41" s="236">
        <f>入學要求!S146</f>
        <v>0</v>
      </c>
      <c r="W41" s="236">
        <f>入學要求!T146</f>
        <v>0</v>
      </c>
      <c r="X41" s="236">
        <f>入學要求!U146</f>
        <v>0</v>
      </c>
      <c r="Y41" s="236">
        <f>入學要求!V146</f>
        <v>0</v>
      </c>
      <c r="Z41" s="236">
        <f>入學要求!W146</f>
        <v>0</v>
      </c>
      <c r="AA41" s="236">
        <f>入學要求!X146</f>
        <v>0</v>
      </c>
      <c r="AB41" s="374">
        <f t="shared" si="2"/>
        <v>5.89</v>
      </c>
      <c r="AC41" s="537"/>
      <c r="AD41" s="36" cm="1">
        <f t="array" ref="AD41">IFERROR(INDEX('Offer Statistics'!$AZ$2:$AZ$400,MATCH(1,($A41='Offer Statistics'!$AK$2:$AK$400)*($AC$2='Offer Statistics'!$AL$2:$AL$400),0)),"/")</f>
        <v>176</v>
      </c>
      <c r="AE41" s="63" cm="1">
        <f t="array" ref="AE41">IFERROR(INDEX('Offer Statistics'!AU$2:AU$400,MATCH(1,($A41='Offer Statistics'!$AK$2:$AK$400)*($AC$2='Offer Statistics'!$AL$2:$AL$400),0)),"/")</f>
        <v>171</v>
      </c>
      <c r="AF41" s="63" cm="1">
        <f t="array" ref="AF41">IFERROR(INDEX('Offer Statistics'!AV$2:AV$400,MATCH(1,($A41='Offer Statistics'!$AK$2:$AK$400)*($AC$2='Offer Statistics'!$AL$2:$AL$400),0)),"/")</f>
        <v>3</v>
      </c>
      <c r="AG41" s="63" cm="1">
        <f t="array" ref="AG41">IFERROR(INDEX('Offer Statistics'!AW$2:AW$400,MATCH(1,($A41='Offer Statistics'!$AK$2:$AK$400)*($AC$2='Offer Statistics'!$AL$2:$AL$400),0)),"/")</f>
        <v>2</v>
      </c>
      <c r="AH41" s="63" cm="1">
        <f t="array" ref="AH41">IFERROR(INDEX('Offer Statistics'!AX$2:AX$400,MATCH(1,($A41='Offer Statistics'!$AK$2:$AK$400)*($AC$2='Offer Statistics'!$AL$2:$AL$400),0)),"/")</f>
        <v>0</v>
      </c>
      <c r="AI41" s="63" cm="1">
        <f t="array" ref="AI41">IFERROR(INDEX('Offer Statistics'!AY$2:AY$400,MATCH(1,($A41='Offer Statistics'!$AK$2:$AK$400)*($AC$2='Offer Statistics'!$AL$2:$AL$400),0)),"/")</f>
        <v>0</v>
      </c>
      <c r="AJ41" s="538"/>
      <c r="AK41" s="36" cm="1">
        <f t="array" ref="AK41">IFERROR(INDEX('Offer Statistics'!$AR$2:$AR$400,MATCH(1,($A41='Offer Statistics'!$AK$2:$AK$400)*($AC$2='Offer Statistics'!$AL$2:$AL$400),0)),"/")</f>
        <v>4425</v>
      </c>
      <c r="AL41" s="63" cm="1">
        <f t="array" ref="AL41">IFERROR(INDEX('Offer Statistics'!AM$2:AM$400,MATCH(1,($A41='Offer Statistics'!$AK$2:$AK$400)*($AC$2='Offer Statistics'!$AL$2:$AL$400),0)),"/")</f>
        <v>1007</v>
      </c>
      <c r="AM41" s="63" cm="1">
        <f t="array" ref="AM41">IFERROR(INDEX('Offer Statistics'!AN$2:AN$400,MATCH(1,($A41='Offer Statistics'!$AK$2:$AK$400)*($AC$2='Offer Statistics'!$AL$2:$AL$400),0)),"/")</f>
        <v>787</v>
      </c>
      <c r="AN41" s="63" cm="1">
        <f t="array" ref="AN41">IFERROR(INDEX('Offer Statistics'!AO$2:AO$400,MATCH(1,($A41='Offer Statistics'!$AK$2:$AK$400)*($AC$2='Offer Statistics'!$AL$2:$AL$400),0)),"/")</f>
        <v>928</v>
      </c>
      <c r="AO41" s="63" cm="1">
        <f t="array" ref="AO41">IFERROR(INDEX('Offer Statistics'!AP$2:AP$400,MATCH(1,($A41='Offer Statistics'!$AK$2:$AK$400)*($AC$2='Offer Statistics'!$AL$2:$AL$400),0)),"/")</f>
        <v>927</v>
      </c>
      <c r="AP41" s="63" cm="1">
        <f t="array" ref="AP41">IFERROR(INDEX('Offer Statistics'!AQ$2:AQ$400,MATCH(1,($A41='Offer Statistics'!$AK$2:$AK$400)*($AC$2='Offer Statistics'!$AL$2:$AL$400),0)),"/")</f>
        <v>776</v>
      </c>
      <c r="AQ41" s="15"/>
      <c r="AR41" s="15" t="str">
        <f t="shared" si="3"/>
        <v>JS3648</v>
      </c>
    </row>
    <row r="42" spans="1:44" s="151" customFormat="1" ht="18" customHeight="1">
      <c r="A42" s="4" t="str">
        <f>'Reference Score Calculation'!B138</f>
        <v>JS3739</v>
      </c>
      <c r="B42" s="4" t="str">
        <f>'Reference Score Calculation'!D138</f>
        <v>工程學院</v>
      </c>
      <c r="C42" s="4" t="str">
        <f>'Reference Score Calculation'!E138</f>
        <v>土木工程學(榮譽)工學士</v>
      </c>
      <c r="D42" s="4" t="str">
        <f>'Reference Score Calculation'!S138</f>
        <v>CIVIL ENGG</v>
      </c>
      <c r="E42" s="352" t="str">
        <f>'Reference Score Calculation'!AC138</f>
        <v>Best 5</v>
      </c>
      <c r="F42" s="373" t="str">
        <f>'Reference Score Calculation'!F138</f>
        <v>Best 5</v>
      </c>
      <c r="G42" s="239">
        <f>'Reference Score Calculation'!I138</f>
        <v>220</v>
      </c>
      <c r="H42" s="239">
        <f>'Reference Score Calculation'!J138</f>
        <v>215</v>
      </c>
      <c r="I42" s="239">
        <f>'Reference Score Calculation'!G138</f>
        <v>226.1</v>
      </c>
      <c r="J42" s="240">
        <f>計分版!J161</f>
        <v>1.1000000000000001E-8</v>
      </c>
      <c r="K42" s="25">
        <f t="shared" si="0"/>
        <v>-219.999999989</v>
      </c>
      <c r="L42" s="150">
        <f t="shared" si="1"/>
        <v>-19999999999</v>
      </c>
      <c r="M42" s="36">
        <f>'Reference Score Calculation'!U138</f>
        <v>87</v>
      </c>
      <c r="N42" s="241">
        <f>入學要求!Z147</f>
        <v>0</v>
      </c>
      <c r="O42" s="544"/>
      <c r="P42" s="243">
        <f>入學要求!L147</f>
        <v>3</v>
      </c>
      <c r="Q42" s="243">
        <f>入學要求!M147</f>
        <v>3</v>
      </c>
      <c r="R42" s="243">
        <f>入學要求!N147</f>
        <v>2</v>
      </c>
      <c r="S42" s="243">
        <f>入學要求!O147</f>
        <v>1</v>
      </c>
      <c r="T42" s="243">
        <f>入學要求!P147</f>
        <v>3</v>
      </c>
      <c r="U42" s="243">
        <f>入學要求!Q147</f>
        <v>3</v>
      </c>
      <c r="V42" s="236">
        <f>入學要求!S147</f>
        <v>0</v>
      </c>
      <c r="W42" s="236">
        <f>入學要求!T147</f>
        <v>0</v>
      </c>
      <c r="X42" s="236">
        <f>入學要求!U147</f>
        <v>0</v>
      </c>
      <c r="Y42" s="236">
        <f>入學要求!V147</f>
        <v>0</v>
      </c>
      <c r="Z42" s="236">
        <f>入學要求!W147</f>
        <v>0</v>
      </c>
      <c r="AA42" s="236">
        <f>入學要求!X147</f>
        <v>0</v>
      </c>
      <c r="AB42" s="374" t="str">
        <f t="shared" si="2"/>
        <v>/</v>
      </c>
      <c r="AC42" s="537"/>
      <c r="AD42" s="36" t="str" cm="1">
        <f t="array" ref="AD42">IFERROR(INDEX('Offer Statistics'!$AZ$2:$AZ$400,MATCH(1,($A42='Offer Statistics'!$AK$2:$AK$400)*($AC$2='Offer Statistics'!$AL$2:$AL$400),0)),"/")</f>
        <v>/</v>
      </c>
      <c r="AE42" s="63" t="str" cm="1">
        <f t="array" ref="AE42">IFERROR(INDEX('Offer Statistics'!AU$2:AU$400,MATCH(1,($A42='Offer Statistics'!$AK$2:$AK$400)*($AC$2='Offer Statistics'!$AL$2:$AL$400),0)),"/")</f>
        <v>/</v>
      </c>
      <c r="AF42" s="63" t="str" cm="1">
        <f t="array" ref="AF42">IFERROR(INDEX('Offer Statistics'!AV$2:AV$400,MATCH(1,($A42='Offer Statistics'!$AK$2:$AK$400)*($AC$2='Offer Statistics'!$AL$2:$AL$400),0)),"/")</f>
        <v>/</v>
      </c>
      <c r="AG42" s="63" t="str" cm="1">
        <f t="array" ref="AG42">IFERROR(INDEX('Offer Statistics'!AW$2:AW$400,MATCH(1,($A42='Offer Statistics'!$AK$2:$AK$400)*($AC$2='Offer Statistics'!$AL$2:$AL$400),0)),"/")</f>
        <v>/</v>
      </c>
      <c r="AH42" s="63" t="str" cm="1">
        <f t="array" ref="AH42">IFERROR(INDEX('Offer Statistics'!AX$2:AX$400,MATCH(1,($A42='Offer Statistics'!$AK$2:$AK$400)*($AC$2='Offer Statistics'!$AL$2:$AL$400),0)),"/")</f>
        <v>/</v>
      </c>
      <c r="AI42" s="63" t="str" cm="1">
        <f t="array" ref="AI42">IFERROR(INDEX('Offer Statistics'!AY$2:AY$400,MATCH(1,($A42='Offer Statistics'!$AK$2:$AK$400)*($AC$2='Offer Statistics'!$AL$2:$AL$400),0)),"/")</f>
        <v>/</v>
      </c>
      <c r="AJ42" s="538"/>
      <c r="AK42" s="36" t="str" cm="1">
        <f t="array" ref="AK42">IFERROR(INDEX('Offer Statistics'!$AR$2:$AR$400,MATCH(1,($A42='Offer Statistics'!$AK$2:$AK$400)*($AC$2='Offer Statistics'!$AL$2:$AL$400),0)),"/")</f>
        <v>/</v>
      </c>
      <c r="AL42" s="63" t="str" cm="1">
        <f t="array" ref="AL42">IFERROR(INDEX('Offer Statistics'!AM$2:AM$400,MATCH(1,($A42='Offer Statistics'!$AK$2:$AK$400)*($AC$2='Offer Statistics'!$AL$2:$AL$400),0)),"/")</f>
        <v>/</v>
      </c>
      <c r="AM42" s="63" t="str" cm="1">
        <f t="array" ref="AM42">IFERROR(INDEX('Offer Statistics'!AN$2:AN$400,MATCH(1,($A42='Offer Statistics'!$AK$2:$AK$400)*($AC$2='Offer Statistics'!$AL$2:$AL$400),0)),"/")</f>
        <v>/</v>
      </c>
      <c r="AN42" s="63" t="str" cm="1">
        <f t="array" ref="AN42">IFERROR(INDEX('Offer Statistics'!AO$2:AO$400,MATCH(1,($A42='Offer Statistics'!$AK$2:$AK$400)*($AC$2='Offer Statistics'!$AL$2:$AL$400),0)),"/")</f>
        <v>/</v>
      </c>
      <c r="AO42" s="63" t="str" cm="1">
        <f t="array" ref="AO42">IFERROR(INDEX('Offer Statistics'!AP$2:AP$400,MATCH(1,($A42='Offer Statistics'!$AK$2:$AK$400)*($AC$2='Offer Statistics'!$AL$2:$AL$400),0)),"/")</f>
        <v>/</v>
      </c>
      <c r="AP42" s="63" t="str" cm="1">
        <f t="array" ref="AP42">IFERROR(INDEX('Offer Statistics'!AQ$2:AQ$400,MATCH(1,($A42='Offer Statistics'!$AK$2:$AK$400)*($AC$2='Offer Statistics'!$AL$2:$AL$400),0)),"/")</f>
        <v>/</v>
      </c>
      <c r="AQ42" s="15"/>
      <c r="AR42" s="15" t="str">
        <f t="shared" si="3"/>
        <v>JS3739</v>
      </c>
    </row>
    <row r="43" spans="1:44" s="151" customFormat="1" ht="18" customHeight="1">
      <c r="A43" s="4" t="str">
        <f>'Reference Score Calculation'!B139</f>
        <v>JS3741</v>
      </c>
      <c r="B43" s="4" t="str">
        <f>'Reference Score Calculation'!D139</f>
        <v>工程學院</v>
      </c>
      <c r="C43" s="4" t="str">
        <f>'Reference Score Calculation'!E139</f>
        <v>機械工程學(榮譽)工學士組合課程 (智能機械人工程學 / 機械工程學)</v>
      </c>
      <c r="D43" s="4" t="str">
        <f>'Reference Score Calculation'!S139</f>
        <v>MECHANICAL ENGG</v>
      </c>
      <c r="E43" s="352" t="str">
        <f>'Reference Score Calculation'!AC139</f>
        <v>Best 5</v>
      </c>
      <c r="F43" s="373" t="str">
        <f>'Reference Score Calculation'!F139</f>
        <v>Best 5</v>
      </c>
      <c r="G43" s="239">
        <f>'Reference Score Calculation'!I139</f>
        <v>191</v>
      </c>
      <c r="H43" s="239">
        <f>'Reference Score Calculation'!J139</f>
        <v>186</v>
      </c>
      <c r="I43" s="239">
        <f>'Reference Score Calculation'!G139</f>
        <v>195.9</v>
      </c>
      <c r="J43" s="240">
        <f>計分版!J162</f>
        <v>1.07E-8</v>
      </c>
      <c r="K43" s="25">
        <f t="shared" si="0"/>
        <v>-190.99999998929999</v>
      </c>
      <c r="L43" s="150">
        <f t="shared" si="1"/>
        <v>-17850467288.719627</v>
      </c>
      <c r="M43" s="36">
        <f>'Reference Score Calculation'!U139</f>
        <v>51</v>
      </c>
      <c r="N43" s="241">
        <f>入學要求!Z148</f>
        <v>0</v>
      </c>
      <c r="O43" s="544"/>
      <c r="P43" s="243">
        <f>入學要求!L148</f>
        <v>3</v>
      </c>
      <c r="Q43" s="243">
        <f>入學要求!M148</f>
        <v>3</v>
      </c>
      <c r="R43" s="243">
        <f>入學要求!N148</f>
        <v>2</v>
      </c>
      <c r="S43" s="243">
        <f>入學要求!O148</f>
        <v>1</v>
      </c>
      <c r="T43" s="243">
        <f>入學要求!P148</f>
        <v>3</v>
      </c>
      <c r="U43" s="243">
        <f>入學要求!Q148</f>
        <v>3</v>
      </c>
      <c r="V43" s="236">
        <f>入學要求!S148</f>
        <v>0</v>
      </c>
      <c r="W43" s="236">
        <f>入學要求!T148</f>
        <v>0</v>
      </c>
      <c r="X43" s="236">
        <f>入學要求!U148</f>
        <v>0</v>
      </c>
      <c r="Y43" s="236">
        <f>入學要求!V148</f>
        <v>0</v>
      </c>
      <c r="Z43" s="236">
        <f>入學要求!W148</f>
        <v>0</v>
      </c>
      <c r="AA43" s="236">
        <f>入學要求!X148</f>
        <v>0</v>
      </c>
      <c r="AB43" s="374">
        <f t="shared" si="2"/>
        <v>10.74</v>
      </c>
      <c r="AC43" s="537"/>
      <c r="AD43" s="36" cm="1">
        <f t="array" ref="AD43">IFERROR(INDEX('Offer Statistics'!$AZ$2:$AZ$400,MATCH(1,($A43='Offer Statistics'!$AK$2:$AK$400)*($AC$2='Offer Statistics'!$AL$2:$AL$400),0)),"/")</f>
        <v>41</v>
      </c>
      <c r="AE43" s="63" cm="1">
        <f t="array" ref="AE43">IFERROR(INDEX('Offer Statistics'!AU$2:AU$400,MATCH(1,($A43='Offer Statistics'!$AK$2:$AK$400)*($AC$2='Offer Statistics'!$AL$2:$AL$400),0)),"/")</f>
        <v>34</v>
      </c>
      <c r="AF43" s="63" cm="1">
        <f t="array" ref="AF43">IFERROR(INDEX('Offer Statistics'!AV$2:AV$400,MATCH(1,($A43='Offer Statistics'!$AK$2:$AK$400)*($AC$2='Offer Statistics'!$AL$2:$AL$400),0)),"/")</f>
        <v>5</v>
      </c>
      <c r="AG43" s="63" cm="1">
        <f t="array" ref="AG43">IFERROR(INDEX('Offer Statistics'!AW$2:AW$400,MATCH(1,($A43='Offer Statistics'!$AK$2:$AK$400)*($AC$2='Offer Statistics'!$AL$2:$AL$400),0)),"/")</f>
        <v>0</v>
      </c>
      <c r="AH43" s="63" cm="1">
        <f t="array" ref="AH43">IFERROR(INDEX('Offer Statistics'!AX$2:AX$400,MATCH(1,($A43='Offer Statistics'!$AK$2:$AK$400)*($AC$2='Offer Statistics'!$AL$2:$AL$400),0)),"/")</f>
        <v>2</v>
      </c>
      <c r="AI43" s="63" cm="1">
        <f t="array" ref="AI43">IFERROR(INDEX('Offer Statistics'!AY$2:AY$400,MATCH(1,($A43='Offer Statistics'!$AK$2:$AK$400)*($AC$2='Offer Statistics'!$AL$2:$AL$400),0)),"/")</f>
        <v>0</v>
      </c>
      <c r="AJ43" s="538"/>
      <c r="AK43" s="36" cm="1">
        <f t="array" ref="AK43">IFERROR(INDEX('Offer Statistics'!$AR$2:$AR$400,MATCH(1,($A43='Offer Statistics'!$AK$2:$AK$400)*($AC$2='Offer Statistics'!$AL$2:$AL$400),0)),"/")</f>
        <v>2998</v>
      </c>
      <c r="AL43" s="63" cm="1">
        <f t="array" ref="AL43">IFERROR(INDEX('Offer Statistics'!AM$2:AM$400,MATCH(1,($A43='Offer Statistics'!$AK$2:$AK$400)*($AC$2='Offer Statistics'!$AL$2:$AL$400),0)),"/")</f>
        <v>365</v>
      </c>
      <c r="AM43" s="63" cm="1">
        <f t="array" ref="AM43">IFERROR(INDEX('Offer Statistics'!AN$2:AN$400,MATCH(1,($A43='Offer Statistics'!$AK$2:$AK$400)*($AC$2='Offer Statistics'!$AL$2:$AL$400),0)),"/")</f>
        <v>521</v>
      </c>
      <c r="AN43" s="63" cm="1">
        <f t="array" ref="AN43">IFERROR(INDEX('Offer Statistics'!AO$2:AO$400,MATCH(1,($A43='Offer Statistics'!$AK$2:$AK$400)*($AC$2='Offer Statistics'!$AL$2:$AL$400),0)),"/")</f>
        <v>719</v>
      </c>
      <c r="AO43" s="63" cm="1">
        <f t="array" ref="AO43">IFERROR(INDEX('Offer Statistics'!AP$2:AP$400,MATCH(1,($A43='Offer Statistics'!$AK$2:$AK$400)*($AC$2='Offer Statistics'!$AL$2:$AL$400),0)),"/")</f>
        <v>780</v>
      </c>
      <c r="AP43" s="63" cm="1">
        <f t="array" ref="AP43">IFERROR(INDEX('Offer Statistics'!AQ$2:AQ$400,MATCH(1,($A43='Offer Statistics'!$AK$2:$AK$400)*($AC$2='Offer Statistics'!$AL$2:$AL$400),0)),"/")</f>
        <v>613</v>
      </c>
      <c r="AQ43" s="15"/>
      <c r="AR43" s="15" t="str">
        <f t="shared" si="3"/>
        <v>JS3741</v>
      </c>
    </row>
    <row r="44" spans="1:44" s="151" customFormat="1" ht="18" customHeight="1">
      <c r="A44" s="4" t="str">
        <f>'Reference Score Calculation'!B140</f>
        <v>JS3789</v>
      </c>
      <c r="B44" s="4" t="str">
        <f>'Reference Score Calculation'!D140</f>
        <v>建築及環境學院</v>
      </c>
      <c r="C44" s="4" t="str">
        <f>'Reference Score Calculation'!E140</f>
        <v>地產及建設測量學(榮譽)理學士</v>
      </c>
      <c r="D44" s="4" t="str">
        <f>'Reference Score Calculation'!S140</f>
        <v>SURVEYING</v>
      </c>
      <c r="E44" s="352" t="str">
        <f>'Reference Score Calculation'!AC140</f>
        <v>Best 5</v>
      </c>
      <c r="F44" s="373" t="str">
        <f>'Reference Score Calculation'!F140</f>
        <v>Best 5</v>
      </c>
      <c r="G44" s="239">
        <f>'Reference Score Calculation'!I140</f>
        <v>163</v>
      </c>
      <c r="H44" s="239">
        <f>'Reference Score Calculation'!J140</f>
        <v>152.5</v>
      </c>
      <c r="I44" s="239">
        <f>'Reference Score Calculation'!G140</f>
        <v>167.5</v>
      </c>
      <c r="J44" s="240">
        <f>計分版!J163</f>
        <v>8.2999999999999999E-9</v>
      </c>
      <c r="K44" s="25">
        <f t="shared" si="0"/>
        <v>-162.99999999170001</v>
      </c>
      <c r="L44" s="150">
        <f t="shared" si="1"/>
        <v>-19638554215.86747</v>
      </c>
      <c r="M44" s="36">
        <f>'Reference Score Calculation'!U140</f>
        <v>65</v>
      </c>
      <c r="N44" s="241">
        <f>入學要求!Z149</f>
        <v>0</v>
      </c>
      <c r="O44" s="544"/>
      <c r="P44" s="243">
        <f>入學要求!L149</f>
        <v>3</v>
      </c>
      <c r="Q44" s="243">
        <f>入學要求!M149</f>
        <v>3</v>
      </c>
      <c r="R44" s="243">
        <f>入學要求!N149</f>
        <v>2</v>
      </c>
      <c r="S44" s="243">
        <f>入學要求!O149</f>
        <v>1</v>
      </c>
      <c r="T44" s="243">
        <f>入學要求!P149</f>
        <v>3</v>
      </c>
      <c r="U44" s="243">
        <f>入學要求!Q149</f>
        <v>3</v>
      </c>
      <c r="V44" s="236">
        <f>入學要求!S149</f>
        <v>0</v>
      </c>
      <c r="W44" s="236">
        <f>入學要求!T149</f>
        <v>0</v>
      </c>
      <c r="X44" s="236">
        <f>入學要求!U149</f>
        <v>0</v>
      </c>
      <c r="Y44" s="236">
        <f>入學要求!V149</f>
        <v>0</v>
      </c>
      <c r="Z44" s="236">
        <f>入學要求!W149</f>
        <v>0</v>
      </c>
      <c r="AA44" s="236">
        <f>入學要求!X149</f>
        <v>0</v>
      </c>
      <c r="AB44" s="374" t="str">
        <f t="shared" si="2"/>
        <v>/</v>
      </c>
      <c r="AC44" s="537"/>
      <c r="AD44" s="36" t="str" cm="1">
        <f t="array" ref="AD44">IFERROR(INDEX('Offer Statistics'!$AZ$2:$AZ$400,MATCH(1,($A44='Offer Statistics'!$AK$2:$AK$400)*($AC$2='Offer Statistics'!$AL$2:$AL$400),0)),"/")</f>
        <v>/</v>
      </c>
      <c r="AE44" s="63" t="str" cm="1">
        <f t="array" ref="AE44">IFERROR(INDEX('Offer Statistics'!AU$2:AU$400,MATCH(1,($A44='Offer Statistics'!$AK$2:$AK$400)*($AC$2='Offer Statistics'!$AL$2:$AL$400),0)),"/")</f>
        <v>/</v>
      </c>
      <c r="AF44" s="63" t="str" cm="1">
        <f t="array" ref="AF44">IFERROR(INDEX('Offer Statistics'!AV$2:AV$400,MATCH(1,($A44='Offer Statistics'!$AK$2:$AK$400)*($AC$2='Offer Statistics'!$AL$2:$AL$400),0)),"/")</f>
        <v>/</v>
      </c>
      <c r="AG44" s="63" t="str" cm="1">
        <f t="array" ref="AG44">IFERROR(INDEX('Offer Statistics'!AW$2:AW$400,MATCH(1,($A44='Offer Statistics'!$AK$2:$AK$400)*($AC$2='Offer Statistics'!$AL$2:$AL$400),0)),"/")</f>
        <v>/</v>
      </c>
      <c r="AH44" s="63" t="str" cm="1">
        <f t="array" ref="AH44">IFERROR(INDEX('Offer Statistics'!AX$2:AX$400,MATCH(1,($A44='Offer Statistics'!$AK$2:$AK$400)*($AC$2='Offer Statistics'!$AL$2:$AL$400),0)),"/")</f>
        <v>/</v>
      </c>
      <c r="AI44" s="63" t="str" cm="1">
        <f t="array" ref="AI44">IFERROR(INDEX('Offer Statistics'!AY$2:AY$400,MATCH(1,($A44='Offer Statistics'!$AK$2:$AK$400)*($AC$2='Offer Statistics'!$AL$2:$AL$400),0)),"/")</f>
        <v>/</v>
      </c>
      <c r="AJ44" s="538"/>
      <c r="AK44" s="36" t="str" cm="1">
        <f t="array" ref="AK44">IFERROR(INDEX('Offer Statistics'!$AR$2:$AR$400,MATCH(1,($A44='Offer Statistics'!$AK$2:$AK$400)*($AC$2='Offer Statistics'!$AL$2:$AL$400),0)),"/")</f>
        <v>/</v>
      </c>
      <c r="AL44" s="63" t="str" cm="1">
        <f t="array" ref="AL44">IFERROR(INDEX('Offer Statistics'!AM$2:AM$400,MATCH(1,($A44='Offer Statistics'!$AK$2:$AK$400)*($AC$2='Offer Statistics'!$AL$2:$AL$400),0)),"/")</f>
        <v>/</v>
      </c>
      <c r="AM44" s="63" t="str" cm="1">
        <f t="array" ref="AM44">IFERROR(INDEX('Offer Statistics'!AN$2:AN$400,MATCH(1,($A44='Offer Statistics'!$AK$2:$AK$400)*($AC$2='Offer Statistics'!$AL$2:$AL$400),0)),"/")</f>
        <v>/</v>
      </c>
      <c r="AN44" s="63" t="str" cm="1">
        <f t="array" ref="AN44">IFERROR(INDEX('Offer Statistics'!AO$2:AO$400,MATCH(1,($A44='Offer Statistics'!$AK$2:$AK$400)*($AC$2='Offer Statistics'!$AL$2:$AL$400),0)),"/")</f>
        <v>/</v>
      </c>
      <c r="AO44" s="63" t="str" cm="1">
        <f t="array" ref="AO44">IFERROR(INDEX('Offer Statistics'!AP$2:AP$400,MATCH(1,($A44='Offer Statistics'!$AK$2:$AK$400)*($AC$2='Offer Statistics'!$AL$2:$AL$400),0)),"/")</f>
        <v>/</v>
      </c>
      <c r="AP44" s="63" t="str" cm="1">
        <f t="array" ref="AP44">IFERROR(INDEX('Offer Statistics'!AQ$2:AQ$400,MATCH(1,($A44='Offer Statistics'!$AK$2:$AK$400)*($AC$2='Offer Statistics'!$AL$2:$AL$400),0)),"/")</f>
        <v>/</v>
      </c>
      <c r="AQ44" s="15"/>
      <c r="AR44" s="15" t="str">
        <f t="shared" si="3"/>
        <v>JS3789</v>
      </c>
    </row>
    <row r="45" spans="1:44" ht="18" customHeight="1">
      <c r="A45" s="4" t="str">
        <f>'Reference Score Calculation'!B141</f>
        <v>JS3791</v>
      </c>
      <c r="B45" s="4" t="str">
        <f>'Reference Score Calculation'!D141</f>
        <v>建築及環境學院</v>
      </c>
      <c r="C45" s="4" t="str">
        <f>'Reference Score Calculation'!E141</f>
        <v>建築工程及管理學(榮譽)理學士</v>
      </c>
      <c r="D45" s="4" t="str">
        <f>'Reference Score Calculation'!S141</f>
        <v>BLDG ENGG &amp; MGT</v>
      </c>
      <c r="E45" s="352" t="str">
        <f>'Reference Score Calculation'!AC141</f>
        <v>Best 5</v>
      </c>
      <c r="F45" s="373" t="str">
        <f>'Reference Score Calculation'!F141</f>
        <v>Best 5</v>
      </c>
      <c r="G45" s="239">
        <f>'Reference Score Calculation'!I141</f>
        <v>163</v>
      </c>
      <c r="H45" s="239">
        <f>'Reference Score Calculation'!J141</f>
        <v>152.5</v>
      </c>
      <c r="I45" s="239">
        <f>'Reference Score Calculation'!G141</f>
        <v>167.5</v>
      </c>
      <c r="J45" s="240">
        <f>計分版!J164</f>
        <v>8.2999999999999999E-9</v>
      </c>
      <c r="K45" s="25">
        <f t="shared" si="0"/>
        <v>-162.99999999170001</v>
      </c>
      <c r="L45" s="150">
        <f t="shared" si="1"/>
        <v>-19638554215.86747</v>
      </c>
      <c r="M45" s="36">
        <f>'Reference Score Calculation'!U141</f>
        <v>22</v>
      </c>
      <c r="N45" s="241">
        <f>入學要求!Z150</f>
        <v>0</v>
      </c>
      <c r="O45" s="544"/>
      <c r="P45" s="243">
        <f>入學要求!L150</f>
        <v>3</v>
      </c>
      <c r="Q45" s="243">
        <f>入學要求!M150</f>
        <v>3</v>
      </c>
      <c r="R45" s="243">
        <f>入學要求!N150</f>
        <v>2</v>
      </c>
      <c r="S45" s="243">
        <f>入學要求!O150</f>
        <v>1</v>
      </c>
      <c r="T45" s="243">
        <f>入學要求!P150</f>
        <v>3</v>
      </c>
      <c r="U45" s="243">
        <f>入學要求!Q150</f>
        <v>3</v>
      </c>
      <c r="V45" s="236">
        <f>入學要求!S150</f>
        <v>0</v>
      </c>
      <c r="W45" s="236">
        <f>入學要求!T150</f>
        <v>0</v>
      </c>
      <c r="X45" s="236">
        <f>入學要求!U150</f>
        <v>0</v>
      </c>
      <c r="Y45" s="236">
        <f>入學要求!V150</f>
        <v>0</v>
      </c>
      <c r="Z45" s="236">
        <f>入學要求!W150</f>
        <v>0</v>
      </c>
      <c r="AA45" s="236">
        <f>入學要求!X150</f>
        <v>0</v>
      </c>
      <c r="AB45" s="374" t="str">
        <f t="shared" si="2"/>
        <v>/</v>
      </c>
      <c r="AC45" s="537"/>
      <c r="AD45" s="36" t="str" cm="1">
        <f t="array" ref="AD45">IFERROR(INDEX('Offer Statistics'!$AZ$2:$AZ$400,MATCH(1,($A45='Offer Statistics'!$AK$2:$AK$400)*($AC$2='Offer Statistics'!$AL$2:$AL$400),0)),"/")</f>
        <v>/</v>
      </c>
      <c r="AE45" s="63" t="str" cm="1">
        <f t="array" ref="AE45">IFERROR(INDEX('Offer Statistics'!AU$2:AU$400,MATCH(1,($A45='Offer Statistics'!$AK$2:$AK$400)*($AC$2='Offer Statistics'!$AL$2:$AL$400),0)),"/")</f>
        <v>/</v>
      </c>
      <c r="AF45" s="63" t="str" cm="1">
        <f t="array" ref="AF45">IFERROR(INDEX('Offer Statistics'!AV$2:AV$400,MATCH(1,($A45='Offer Statistics'!$AK$2:$AK$400)*($AC$2='Offer Statistics'!$AL$2:$AL$400),0)),"/")</f>
        <v>/</v>
      </c>
      <c r="AG45" s="63" t="str" cm="1">
        <f t="array" ref="AG45">IFERROR(INDEX('Offer Statistics'!AW$2:AW$400,MATCH(1,($A45='Offer Statistics'!$AK$2:$AK$400)*($AC$2='Offer Statistics'!$AL$2:$AL$400),0)),"/")</f>
        <v>/</v>
      </c>
      <c r="AH45" s="63" t="str" cm="1">
        <f t="array" ref="AH45">IFERROR(INDEX('Offer Statistics'!AX$2:AX$400,MATCH(1,($A45='Offer Statistics'!$AK$2:$AK$400)*($AC$2='Offer Statistics'!$AL$2:$AL$400),0)),"/")</f>
        <v>/</v>
      </c>
      <c r="AI45" s="63" t="str" cm="1">
        <f t="array" ref="AI45">IFERROR(INDEX('Offer Statistics'!AY$2:AY$400,MATCH(1,($A45='Offer Statistics'!$AK$2:$AK$400)*($AC$2='Offer Statistics'!$AL$2:$AL$400),0)),"/")</f>
        <v>/</v>
      </c>
      <c r="AJ45" s="538"/>
      <c r="AK45" s="36" t="str" cm="1">
        <f t="array" ref="AK45">IFERROR(INDEX('Offer Statistics'!$AR$2:$AR$400,MATCH(1,($A45='Offer Statistics'!$AK$2:$AK$400)*($AC$2='Offer Statistics'!$AL$2:$AL$400),0)),"/")</f>
        <v>/</v>
      </c>
      <c r="AL45" s="63" t="str" cm="1">
        <f t="array" ref="AL45">IFERROR(INDEX('Offer Statistics'!AM$2:AM$400,MATCH(1,($A45='Offer Statistics'!$AK$2:$AK$400)*($AC$2='Offer Statistics'!$AL$2:$AL$400),0)),"/")</f>
        <v>/</v>
      </c>
      <c r="AM45" s="63" t="str" cm="1">
        <f t="array" ref="AM45">IFERROR(INDEX('Offer Statistics'!AN$2:AN$400,MATCH(1,($A45='Offer Statistics'!$AK$2:$AK$400)*($AC$2='Offer Statistics'!$AL$2:$AL$400),0)),"/")</f>
        <v>/</v>
      </c>
      <c r="AN45" s="63" t="str" cm="1">
        <f t="array" ref="AN45">IFERROR(INDEX('Offer Statistics'!AO$2:AO$400,MATCH(1,($A45='Offer Statistics'!$AK$2:$AK$400)*($AC$2='Offer Statistics'!$AL$2:$AL$400),0)),"/")</f>
        <v>/</v>
      </c>
      <c r="AO45" s="63" t="str" cm="1">
        <f t="array" ref="AO45">IFERROR(INDEX('Offer Statistics'!AP$2:AP$400,MATCH(1,($A45='Offer Statistics'!$AK$2:$AK$400)*($AC$2='Offer Statistics'!$AL$2:$AL$400),0)),"/")</f>
        <v>/</v>
      </c>
      <c r="AP45" s="63" t="str" cm="1">
        <f t="array" ref="AP45">IFERROR(INDEX('Offer Statistics'!AQ$2:AQ$400,MATCH(1,($A45='Offer Statistics'!$AK$2:$AK$400)*($AC$2='Offer Statistics'!$AL$2:$AL$400),0)),"/")</f>
        <v>/</v>
      </c>
      <c r="AQ45" s="15"/>
      <c r="AR45" s="15" t="str">
        <f t="shared" si="3"/>
        <v>JS3791</v>
      </c>
    </row>
    <row r="46" spans="1:44" ht="18" customHeight="1">
      <c r="A46" s="4" t="str">
        <f>'Reference Score Calculation'!B142</f>
        <v>JS3868</v>
      </c>
      <c r="B46" s="4" t="str">
        <f>'Reference Score Calculation'!D142</f>
        <v>工程學院</v>
      </c>
      <c r="C46" s="4" t="str">
        <f>'Reference Score Calculation'!E142</f>
        <v>電子計算及人工智能(榮譽)理學士組合課程 (計算機科學 / 企業信息管理)</v>
      </c>
      <c r="D46" s="4" t="str">
        <f>'Reference Score Calculation'!S142</f>
        <v>COMPUTING &amp; AI</v>
      </c>
      <c r="E46" s="352" t="str">
        <f>'Reference Score Calculation'!AC142</f>
        <v>Best 5</v>
      </c>
      <c r="F46" s="373" t="str">
        <f>'Reference Score Calculation'!F142</f>
        <v>Best 5</v>
      </c>
      <c r="G46" s="239">
        <f>'Reference Score Calculation'!I142</f>
        <v>193</v>
      </c>
      <c r="H46" s="239">
        <f>'Reference Score Calculation'!J142</f>
        <v>191</v>
      </c>
      <c r="I46" s="239">
        <f>'Reference Score Calculation'!G142</f>
        <v>203.5</v>
      </c>
      <c r="J46" s="240">
        <f>計分版!J165</f>
        <v>1.07E-8</v>
      </c>
      <c r="K46" s="25">
        <f t="shared" si="0"/>
        <v>-192.99999998929999</v>
      </c>
      <c r="L46" s="150">
        <f t="shared" si="1"/>
        <v>-18037383176.570091</v>
      </c>
      <c r="M46" s="36">
        <f>'Reference Score Calculation'!U142</f>
        <v>74</v>
      </c>
      <c r="N46" s="241">
        <f>入學要求!Z151</f>
        <v>0</v>
      </c>
      <c r="O46" s="544"/>
      <c r="P46" s="243">
        <f>入學要求!L151</f>
        <v>3</v>
      </c>
      <c r="Q46" s="243">
        <f>入學要求!M151</f>
        <v>3</v>
      </c>
      <c r="R46" s="243">
        <f>入學要求!N151</f>
        <v>2</v>
      </c>
      <c r="S46" s="243">
        <f>入學要求!O151</f>
        <v>1</v>
      </c>
      <c r="T46" s="243">
        <f>入學要求!P151</f>
        <v>3</v>
      </c>
      <c r="U46" s="243">
        <f>入學要求!Q151</f>
        <v>3</v>
      </c>
      <c r="V46" s="236">
        <f>入學要求!S151</f>
        <v>0</v>
      </c>
      <c r="W46" s="236">
        <f>入學要求!T151</f>
        <v>0</v>
      </c>
      <c r="X46" s="236">
        <f>入學要求!U151</f>
        <v>0</v>
      </c>
      <c r="Y46" s="236">
        <f>入學要求!V151</f>
        <v>0</v>
      </c>
      <c r="Z46" s="236">
        <f>入學要求!W151</f>
        <v>0</v>
      </c>
      <c r="AA46" s="236">
        <f>入學要求!X151</f>
        <v>0</v>
      </c>
      <c r="AB46" s="374">
        <f t="shared" si="2"/>
        <v>7.84</v>
      </c>
      <c r="AC46" s="537"/>
      <c r="AD46" s="36" cm="1">
        <f t="array" ref="AD46">IFERROR(INDEX('Offer Statistics'!$AZ$2:$AZ$400,MATCH(1,($A46='Offer Statistics'!$AK$2:$AK$400)*($AC$2='Offer Statistics'!$AL$2:$AL$400),0)),"/")</f>
        <v>90</v>
      </c>
      <c r="AE46" s="63" cm="1">
        <f t="array" ref="AE46">IFERROR(INDEX('Offer Statistics'!AU$2:AU$400,MATCH(1,($A46='Offer Statistics'!$AK$2:$AK$400)*($AC$2='Offer Statistics'!$AL$2:$AL$400),0)),"/")</f>
        <v>80</v>
      </c>
      <c r="AF46" s="63" cm="1">
        <f t="array" ref="AF46">IFERROR(INDEX('Offer Statistics'!AV$2:AV$400,MATCH(1,($A46='Offer Statistics'!$AK$2:$AK$400)*($AC$2='Offer Statistics'!$AL$2:$AL$400),0)),"/")</f>
        <v>6</v>
      </c>
      <c r="AG46" s="63" cm="1">
        <f t="array" ref="AG46">IFERROR(INDEX('Offer Statistics'!AW$2:AW$400,MATCH(1,($A46='Offer Statistics'!$AK$2:$AK$400)*($AC$2='Offer Statistics'!$AL$2:$AL$400),0)),"/")</f>
        <v>4</v>
      </c>
      <c r="AH46" s="63" cm="1">
        <f t="array" ref="AH46">IFERROR(INDEX('Offer Statistics'!AX$2:AX$400,MATCH(1,($A46='Offer Statistics'!$AK$2:$AK$400)*($AC$2='Offer Statistics'!$AL$2:$AL$400),0)),"/")</f>
        <v>0</v>
      </c>
      <c r="AI46" s="63" cm="1">
        <f t="array" ref="AI46">IFERROR(INDEX('Offer Statistics'!AY$2:AY$400,MATCH(1,($A46='Offer Statistics'!$AK$2:$AK$400)*($AC$2='Offer Statistics'!$AL$2:$AL$400),0)),"/")</f>
        <v>0</v>
      </c>
      <c r="AJ46" s="538"/>
      <c r="AK46" s="36" cm="1">
        <f t="array" ref="AK46">IFERROR(INDEX('Offer Statistics'!$AR$2:$AR$400,MATCH(1,($A46='Offer Statistics'!$AK$2:$AK$400)*($AC$2='Offer Statistics'!$AL$2:$AL$400),0)),"/")</f>
        <v>3516</v>
      </c>
      <c r="AL46" s="63" cm="1">
        <f t="array" ref="AL46">IFERROR(INDEX('Offer Statistics'!AM$2:AM$400,MATCH(1,($A46='Offer Statistics'!$AK$2:$AK$400)*($AC$2='Offer Statistics'!$AL$2:$AL$400),0)),"/")</f>
        <v>627</v>
      </c>
      <c r="AM46" s="63" cm="1">
        <f t="array" ref="AM46">IFERROR(INDEX('Offer Statistics'!AN$2:AN$400,MATCH(1,($A46='Offer Statistics'!$AK$2:$AK$400)*($AC$2='Offer Statistics'!$AL$2:$AL$400),0)),"/")</f>
        <v>677</v>
      </c>
      <c r="AN46" s="63" cm="1">
        <f t="array" ref="AN46">IFERROR(INDEX('Offer Statistics'!AO$2:AO$400,MATCH(1,($A46='Offer Statistics'!$AK$2:$AK$400)*($AC$2='Offer Statistics'!$AL$2:$AL$400),0)),"/")</f>
        <v>813</v>
      </c>
      <c r="AO46" s="63" cm="1">
        <f t="array" ref="AO46">IFERROR(INDEX('Offer Statistics'!AP$2:AP$400,MATCH(1,($A46='Offer Statistics'!$AK$2:$AK$400)*($AC$2='Offer Statistics'!$AL$2:$AL$400),0)),"/")</f>
        <v>831</v>
      </c>
      <c r="AP46" s="63" cm="1">
        <f t="array" ref="AP46">IFERROR(INDEX('Offer Statistics'!AQ$2:AQ$400,MATCH(1,($A46='Offer Statistics'!$AK$2:$AK$400)*($AC$2='Offer Statistics'!$AL$2:$AL$400),0)),"/")</f>
        <v>568</v>
      </c>
      <c r="AQ46" s="15"/>
      <c r="AR46" s="15" t="str">
        <f t="shared" si="3"/>
        <v>JS3868</v>
      </c>
    </row>
    <row r="47" spans="1:44" ht="18" customHeight="1">
      <c r="A47" s="29"/>
      <c r="B47" s="29"/>
      <c r="C47" s="29"/>
      <c r="D47" s="29"/>
      <c r="E47" s="29"/>
      <c r="F47" s="34"/>
      <c r="G47" s="29"/>
      <c r="H47" s="29"/>
      <c r="I47" s="29"/>
      <c r="J47" s="34"/>
      <c r="K47" s="29"/>
      <c r="L47" s="29"/>
      <c r="M47" s="29"/>
      <c r="N47" s="34"/>
      <c r="O47" s="34"/>
      <c r="P47" s="29"/>
      <c r="Q47" s="29"/>
      <c r="R47" s="29"/>
      <c r="S47" s="29"/>
      <c r="T47" s="29"/>
      <c r="U47" s="29"/>
      <c r="V47" s="34"/>
      <c r="W47" s="34"/>
      <c r="X47" s="34"/>
      <c r="Y47" s="34"/>
      <c r="Z47" s="34"/>
      <c r="AA47" s="34"/>
      <c r="AB47" s="34"/>
      <c r="AC47" s="29"/>
      <c r="AD47" s="29"/>
      <c r="AE47" s="29"/>
      <c r="AF47" s="29"/>
      <c r="AG47" s="29"/>
      <c r="AH47" s="29"/>
      <c r="AI47" s="29"/>
      <c r="AJ47" s="29"/>
      <c r="AK47" s="29"/>
      <c r="AL47" s="29"/>
      <c r="AM47" s="29"/>
      <c r="AN47" s="29"/>
      <c r="AO47" s="29"/>
      <c r="AP47" s="29"/>
      <c r="AQ47" s="29"/>
      <c r="AR47" s="29"/>
    </row>
    <row r="48" spans="1:44" ht="18" customHeight="1">
      <c r="A48" s="481" t="s">
        <v>3132</v>
      </c>
      <c r="B48" s="481"/>
      <c r="C48" s="481"/>
      <c r="D48" s="481"/>
      <c r="E48" s="481"/>
      <c r="F48" s="375"/>
      <c r="G48" s="466"/>
      <c r="H48" s="466"/>
      <c r="I48" s="466"/>
      <c r="J48" s="466"/>
      <c r="K48" s="22"/>
      <c r="L48" s="23"/>
      <c r="M48" s="15"/>
      <c r="N48" s="15"/>
      <c r="O48" s="15"/>
      <c r="P48" s="15"/>
      <c r="Q48" s="15"/>
      <c r="R48" s="15"/>
      <c r="S48" s="15"/>
      <c r="T48" s="15"/>
      <c r="U48" s="15"/>
      <c r="V48" s="15"/>
      <c r="W48" s="15"/>
      <c r="X48" s="15"/>
      <c r="Y48" s="15"/>
      <c r="Z48" s="15"/>
      <c r="AA48" s="15"/>
      <c r="AB48" s="15"/>
      <c r="AC48" s="29"/>
      <c r="AD48" s="29"/>
      <c r="AE48" s="29"/>
      <c r="AF48" s="29"/>
      <c r="AG48" s="29"/>
      <c r="AH48" s="29"/>
      <c r="AI48" s="29"/>
      <c r="AJ48" s="29"/>
      <c r="AK48" s="29"/>
      <c r="AL48" s="29"/>
      <c r="AM48" s="29"/>
      <c r="AN48" s="29"/>
      <c r="AO48" s="29"/>
      <c r="AP48" s="29"/>
      <c r="AQ48" s="29"/>
      <c r="AR48" s="29"/>
    </row>
    <row r="49" spans="1:45" ht="18" customHeight="1">
      <c r="A49" s="481" t="s">
        <v>146</v>
      </c>
      <c r="B49" s="481"/>
      <c r="C49" s="481"/>
      <c r="D49" s="481"/>
      <c r="E49" s="481"/>
      <c r="F49" s="375"/>
      <c r="G49" s="466"/>
      <c r="H49" s="466"/>
      <c r="I49" s="466"/>
      <c r="J49" s="466"/>
      <c r="K49" s="22"/>
      <c r="L49" s="23"/>
      <c r="M49" s="15"/>
      <c r="N49" s="15"/>
      <c r="O49" s="15"/>
      <c r="P49" s="15"/>
      <c r="Q49" s="15"/>
      <c r="R49" s="15"/>
      <c r="S49" s="15"/>
      <c r="T49" s="15"/>
      <c r="U49" s="15"/>
      <c r="V49" s="15"/>
      <c r="W49" s="15"/>
      <c r="X49" s="15"/>
      <c r="Y49" s="15"/>
      <c r="Z49" s="15"/>
      <c r="AA49" s="15"/>
      <c r="AB49" s="15"/>
      <c r="AC49" s="29"/>
      <c r="AD49" s="29"/>
      <c r="AE49" s="29"/>
      <c r="AF49" s="29"/>
      <c r="AG49" s="29"/>
      <c r="AH49" s="29"/>
      <c r="AI49" s="29"/>
      <c r="AJ49" s="29"/>
      <c r="AK49" s="29"/>
      <c r="AL49" s="29"/>
      <c r="AM49" s="29"/>
      <c r="AN49" s="29"/>
      <c r="AO49" s="29"/>
      <c r="AP49" s="29"/>
      <c r="AQ49" s="29"/>
      <c r="AR49" s="29"/>
    </row>
    <row r="50" spans="1:45" ht="18" customHeight="1">
      <c r="A50" s="481"/>
      <c r="B50" s="481"/>
      <c r="C50" s="481"/>
      <c r="D50" s="481"/>
      <c r="E50" s="481"/>
      <c r="F50" s="375"/>
      <c r="G50" s="466"/>
      <c r="H50" s="466"/>
      <c r="I50" s="466"/>
      <c r="J50" s="466"/>
      <c r="K50" s="22"/>
      <c r="L50" s="23"/>
      <c r="M50" s="15"/>
      <c r="N50" s="15"/>
      <c r="O50" s="15"/>
      <c r="P50" s="15"/>
      <c r="Q50" s="15"/>
      <c r="R50" s="15"/>
      <c r="S50" s="15"/>
      <c r="T50" s="15"/>
      <c r="U50" s="15"/>
      <c r="V50" s="15"/>
      <c r="W50" s="15"/>
      <c r="X50" s="15"/>
      <c r="Y50" s="15"/>
      <c r="Z50" s="15"/>
      <c r="AA50" s="15"/>
      <c r="AB50" s="15"/>
      <c r="AC50" s="29"/>
      <c r="AD50" s="29"/>
      <c r="AE50" s="29"/>
      <c r="AF50" s="29"/>
      <c r="AG50" s="29"/>
      <c r="AH50" s="29"/>
      <c r="AI50" s="29"/>
      <c r="AJ50" s="29"/>
      <c r="AK50" s="29"/>
      <c r="AL50" s="29"/>
      <c r="AM50" s="29"/>
      <c r="AN50" s="29"/>
      <c r="AO50" s="29"/>
      <c r="AP50" s="29"/>
      <c r="AQ50" s="29"/>
      <c r="AR50" s="29"/>
    </row>
    <row r="51" spans="1:45" ht="18" customHeight="1">
      <c r="A51" s="481" t="s">
        <v>3133</v>
      </c>
      <c r="B51" s="481"/>
      <c r="C51" s="481"/>
      <c r="D51" s="481"/>
      <c r="E51" s="481"/>
      <c r="F51" s="375"/>
      <c r="G51" s="466"/>
      <c r="H51" s="466"/>
      <c r="I51" s="466"/>
      <c r="J51" s="466"/>
      <c r="K51" s="22"/>
      <c r="L51" s="23"/>
      <c r="M51" s="15"/>
      <c r="N51" s="15"/>
      <c r="O51" s="15"/>
      <c r="P51" s="15"/>
      <c r="Q51" s="15"/>
      <c r="R51" s="15"/>
      <c r="S51" s="15"/>
      <c r="T51" s="15"/>
      <c r="U51" s="15"/>
      <c r="V51" s="15"/>
      <c r="W51" s="15"/>
      <c r="X51" s="15"/>
      <c r="Y51" s="15"/>
      <c r="Z51" s="15"/>
      <c r="AA51" s="15"/>
      <c r="AB51" s="15"/>
      <c r="AC51" s="29"/>
      <c r="AD51" s="29"/>
      <c r="AE51" s="29"/>
      <c r="AF51" s="29"/>
      <c r="AG51" s="29"/>
      <c r="AH51" s="29"/>
      <c r="AI51" s="29"/>
      <c r="AJ51" s="29"/>
      <c r="AK51" s="29"/>
      <c r="AL51" s="29"/>
      <c r="AM51" s="29"/>
      <c r="AN51" s="29"/>
      <c r="AO51" s="29"/>
      <c r="AP51" s="29"/>
      <c r="AQ51" s="29"/>
      <c r="AR51" s="29"/>
    </row>
    <row r="52" spans="1:45" ht="18" customHeight="1">
      <c r="A52" s="464"/>
      <c r="B52" s="464"/>
      <c r="C52" s="464"/>
      <c r="D52" s="464"/>
      <c r="E52" s="464"/>
      <c r="F52" s="465"/>
      <c r="G52" s="466"/>
      <c r="H52" s="466"/>
      <c r="I52" s="466"/>
      <c r="J52" s="466"/>
      <c r="K52" s="22"/>
      <c r="L52" s="23"/>
      <c r="M52" s="15"/>
      <c r="N52" s="15"/>
      <c r="O52" s="15"/>
      <c r="P52" s="15"/>
      <c r="Q52" s="15"/>
      <c r="R52" s="15"/>
      <c r="S52" s="15"/>
      <c r="T52" s="15"/>
      <c r="U52" s="15"/>
      <c r="V52" s="15"/>
      <c r="W52" s="15"/>
      <c r="X52" s="15"/>
      <c r="Y52" s="15"/>
      <c r="Z52" s="15"/>
      <c r="AA52" s="15"/>
      <c r="AB52" s="15"/>
      <c r="AC52" s="29"/>
      <c r="AD52" s="29"/>
      <c r="AE52" s="29"/>
      <c r="AF52" s="29"/>
      <c r="AG52" s="29"/>
      <c r="AH52" s="29"/>
      <c r="AI52" s="29"/>
      <c r="AJ52" s="29"/>
      <c r="AK52" s="29"/>
      <c r="AL52" s="29"/>
      <c r="AM52" s="29"/>
      <c r="AN52" s="29"/>
      <c r="AO52" s="29"/>
      <c r="AP52" s="29"/>
      <c r="AQ52" s="29"/>
      <c r="AR52" s="29"/>
    </row>
    <row r="53" spans="1:45" s="4" customFormat="1" ht="18" customHeight="1">
      <c r="A53" s="23" t="s">
        <v>2962</v>
      </c>
      <c r="F53" s="36"/>
      <c r="G53" s="15"/>
      <c r="H53" s="15"/>
      <c r="I53" s="15"/>
      <c r="J53" s="15"/>
      <c r="K53" s="15"/>
      <c r="L53" s="22"/>
      <c r="M53" s="23"/>
      <c r="N53" s="15"/>
      <c r="P53" s="15"/>
      <c r="Q53" s="15"/>
      <c r="R53" s="15"/>
      <c r="S53" s="15"/>
      <c r="T53" s="15"/>
      <c r="U53" s="15"/>
      <c r="AC53" s="15"/>
      <c r="AD53" s="15"/>
      <c r="AE53" s="15"/>
      <c r="AF53" s="15"/>
      <c r="AG53" s="15"/>
      <c r="AH53" s="15"/>
      <c r="AI53" s="15"/>
      <c r="AJ53" s="15"/>
      <c r="AK53" s="15"/>
      <c r="AL53" s="15"/>
      <c r="AM53" s="15"/>
      <c r="AN53" s="15"/>
      <c r="AO53" s="15"/>
      <c r="AP53" s="15"/>
      <c r="AQ53" s="15"/>
      <c r="AS53" s="15"/>
    </row>
    <row r="54" spans="1:45" ht="18" customHeight="1">
      <c r="A54" s="254" t="s">
        <v>2457</v>
      </c>
      <c r="B54" s="4"/>
      <c r="C54" s="4"/>
      <c r="D54" s="4"/>
      <c r="E54" s="4"/>
      <c r="F54" s="36"/>
      <c r="G54" s="15"/>
      <c r="H54" s="15"/>
      <c r="I54" s="15"/>
      <c r="J54" s="15"/>
      <c r="K54" s="22"/>
      <c r="L54" s="23"/>
      <c r="M54" s="15"/>
      <c r="N54" s="15"/>
      <c r="O54" s="15"/>
      <c r="P54" s="15"/>
      <c r="Q54" s="15"/>
      <c r="R54" s="15"/>
      <c r="S54" s="15"/>
      <c r="T54" s="15"/>
      <c r="U54" s="15"/>
      <c r="V54" s="15"/>
      <c r="W54" s="15"/>
      <c r="X54" s="15"/>
      <c r="Y54" s="15"/>
      <c r="Z54" s="15"/>
      <c r="AA54" s="15"/>
      <c r="AB54" s="15"/>
      <c r="AC54" s="29"/>
      <c r="AD54" s="29"/>
      <c r="AE54" s="29"/>
      <c r="AF54" s="29"/>
      <c r="AG54" s="29"/>
      <c r="AH54" s="29"/>
      <c r="AI54" s="29"/>
      <c r="AJ54" s="29"/>
      <c r="AK54" s="29"/>
      <c r="AL54" s="29"/>
      <c r="AM54" s="29"/>
      <c r="AN54" s="29"/>
      <c r="AO54" s="29"/>
      <c r="AP54" s="29"/>
      <c r="AQ54" s="29"/>
      <c r="AR54" s="29"/>
    </row>
    <row r="55" spans="1:45" ht="18" customHeight="1">
      <c r="A55" s="254"/>
      <c r="B55" s="4"/>
      <c r="C55" s="4"/>
      <c r="D55" s="4"/>
      <c r="E55" s="4"/>
      <c r="F55" s="36"/>
      <c r="G55" s="15"/>
      <c r="H55" s="15"/>
      <c r="I55" s="15"/>
      <c r="J55" s="15"/>
      <c r="K55" s="22"/>
      <c r="L55" s="23"/>
      <c r="M55" s="15"/>
      <c r="N55" s="15"/>
      <c r="O55" s="15"/>
      <c r="P55" s="15"/>
      <c r="Q55" s="15"/>
      <c r="R55" s="15"/>
      <c r="S55" s="15"/>
      <c r="T55" s="15"/>
      <c r="U55" s="15"/>
      <c r="V55" s="15"/>
      <c r="W55" s="15"/>
      <c r="X55" s="15"/>
      <c r="Y55" s="15"/>
      <c r="Z55" s="15"/>
      <c r="AA55" s="15"/>
      <c r="AB55" s="15"/>
      <c r="AC55" s="29"/>
      <c r="AD55" s="29"/>
      <c r="AE55" s="29"/>
      <c r="AF55" s="29"/>
      <c r="AG55" s="29"/>
      <c r="AH55" s="29"/>
      <c r="AI55" s="29"/>
      <c r="AJ55" s="29"/>
      <c r="AK55" s="29"/>
      <c r="AL55" s="29"/>
      <c r="AM55" s="29"/>
      <c r="AN55" s="29"/>
      <c r="AO55" s="29"/>
      <c r="AP55" s="29"/>
      <c r="AQ55" s="29"/>
      <c r="AR55" s="29"/>
    </row>
    <row r="56" spans="1:45" ht="18" customHeight="1">
      <c r="A56" s="3" t="s">
        <v>127</v>
      </c>
      <c r="B56" s="4"/>
      <c r="C56" s="4"/>
      <c r="D56" s="4"/>
      <c r="E56" s="4"/>
      <c r="F56" s="36"/>
      <c r="G56" s="15"/>
      <c r="H56" s="15"/>
      <c r="I56" s="15"/>
      <c r="J56" s="15"/>
      <c r="K56" s="22"/>
      <c r="L56" s="23"/>
      <c r="M56" s="15"/>
      <c r="N56" s="15"/>
      <c r="O56" s="15"/>
      <c r="P56" s="15"/>
      <c r="Q56" s="15"/>
      <c r="R56" s="15"/>
      <c r="S56" s="15"/>
      <c r="T56" s="15"/>
      <c r="U56" s="15"/>
      <c r="V56" s="15"/>
      <c r="W56" s="15"/>
      <c r="X56" s="15"/>
      <c r="Y56" s="15"/>
      <c r="Z56" s="15"/>
      <c r="AA56" s="15"/>
      <c r="AB56" s="15"/>
      <c r="AC56" s="29"/>
      <c r="AD56" s="29"/>
      <c r="AE56" s="29"/>
      <c r="AF56" s="29"/>
      <c r="AG56" s="29"/>
      <c r="AH56" s="29"/>
      <c r="AI56" s="29"/>
      <c r="AJ56" s="29"/>
      <c r="AK56" s="29"/>
      <c r="AL56" s="29"/>
      <c r="AM56" s="29"/>
      <c r="AN56" s="29"/>
      <c r="AO56" s="29"/>
      <c r="AP56" s="29"/>
      <c r="AQ56" s="29"/>
      <c r="AR56" s="29"/>
    </row>
    <row r="57" spans="1:45" ht="18" customHeight="1">
      <c r="A57" s="23" t="s">
        <v>2459</v>
      </c>
      <c r="B57" s="4"/>
      <c r="C57" s="4"/>
      <c r="D57" s="4"/>
      <c r="E57" s="4"/>
      <c r="F57" s="36"/>
      <c r="G57" s="15"/>
      <c r="H57" s="15"/>
      <c r="I57" s="15"/>
      <c r="J57" s="15"/>
      <c r="K57" s="22"/>
      <c r="L57" s="23"/>
      <c r="M57" s="15"/>
      <c r="N57" s="15"/>
      <c r="O57" s="15"/>
      <c r="P57" s="15"/>
      <c r="Q57" s="15"/>
      <c r="R57" s="15"/>
      <c r="S57" s="15"/>
      <c r="T57" s="15"/>
      <c r="U57" s="15"/>
      <c r="V57" s="15"/>
      <c r="W57" s="15"/>
      <c r="X57" s="15"/>
      <c r="Y57" s="15"/>
      <c r="Z57" s="15"/>
      <c r="AA57" s="15"/>
      <c r="AB57" s="15"/>
      <c r="AC57" s="29"/>
      <c r="AD57" s="29"/>
      <c r="AE57" s="29"/>
      <c r="AF57" s="29"/>
      <c r="AG57" s="29"/>
      <c r="AH57" s="29"/>
      <c r="AI57" s="29"/>
      <c r="AJ57" s="29"/>
      <c r="AK57" s="29"/>
      <c r="AL57" s="29"/>
      <c r="AM57" s="29"/>
      <c r="AN57" s="29"/>
      <c r="AO57" s="29"/>
      <c r="AP57" s="29"/>
      <c r="AQ57" s="29"/>
      <c r="AR57" s="29"/>
    </row>
    <row r="58" spans="1:45" ht="18" customHeight="1">
      <c r="A58" s="4" t="s">
        <v>147</v>
      </c>
      <c r="B58" s="4"/>
      <c r="C58" s="4"/>
      <c r="D58" s="4"/>
      <c r="E58" s="4"/>
      <c r="F58" s="36"/>
      <c r="G58" s="15"/>
      <c r="H58" s="15"/>
      <c r="I58" s="15"/>
      <c r="J58" s="15"/>
      <c r="K58" s="22"/>
      <c r="L58" s="23"/>
      <c r="M58" s="15"/>
      <c r="N58" s="15"/>
      <c r="O58" s="15"/>
      <c r="P58" s="15"/>
      <c r="Q58" s="15"/>
      <c r="R58" s="15"/>
      <c r="S58" s="15"/>
      <c r="T58" s="15"/>
      <c r="U58" s="15"/>
      <c r="V58" s="15"/>
      <c r="W58" s="15"/>
      <c r="X58" s="15"/>
      <c r="Y58" s="15"/>
      <c r="Z58" s="15"/>
      <c r="AA58" s="15"/>
      <c r="AB58" s="15"/>
      <c r="AC58" s="29"/>
      <c r="AD58" s="29"/>
      <c r="AE58" s="29"/>
      <c r="AF58" s="29"/>
      <c r="AG58" s="29"/>
      <c r="AH58" s="29"/>
      <c r="AI58" s="29"/>
      <c r="AJ58" s="29"/>
      <c r="AK58" s="29"/>
      <c r="AL58" s="29"/>
      <c r="AM58" s="29"/>
      <c r="AN58" s="29"/>
      <c r="AO58" s="29"/>
      <c r="AP58" s="29"/>
      <c r="AQ58" s="29"/>
      <c r="AR58" s="29"/>
    </row>
    <row r="59" spans="1:45" ht="18" customHeight="1">
      <c r="A59" s="46"/>
      <c r="B59" s="4"/>
      <c r="C59" s="4"/>
      <c r="D59" s="4"/>
      <c r="E59" s="4"/>
      <c r="F59" s="36"/>
      <c r="G59" s="15"/>
      <c r="H59" s="15"/>
      <c r="I59" s="15"/>
      <c r="J59" s="15"/>
      <c r="K59" s="22"/>
      <c r="L59" s="23"/>
      <c r="M59" s="15"/>
      <c r="N59" s="15"/>
      <c r="O59" s="15"/>
      <c r="P59" s="15"/>
      <c r="Q59" s="15"/>
      <c r="R59" s="15"/>
      <c r="S59" s="15"/>
      <c r="T59" s="15"/>
      <c r="U59" s="15"/>
      <c r="V59" s="15"/>
      <c r="W59" s="15"/>
      <c r="X59" s="15"/>
      <c r="Y59" s="15"/>
      <c r="Z59" s="15"/>
      <c r="AA59" s="15"/>
      <c r="AB59" s="15"/>
      <c r="AC59" s="29"/>
      <c r="AD59" s="29"/>
      <c r="AE59" s="29"/>
      <c r="AF59" s="29"/>
      <c r="AG59" s="29"/>
      <c r="AH59" s="29"/>
      <c r="AI59" s="29"/>
      <c r="AJ59" s="29"/>
      <c r="AK59" s="29"/>
      <c r="AL59" s="29"/>
      <c r="AM59" s="29"/>
      <c r="AN59" s="29"/>
      <c r="AO59" s="29"/>
      <c r="AP59" s="29"/>
      <c r="AQ59" s="29"/>
      <c r="AR59" s="29"/>
    </row>
    <row r="60" spans="1:45" ht="18" customHeight="1">
      <c r="A60" s="3" t="s">
        <v>129</v>
      </c>
      <c r="B60" s="4"/>
      <c r="C60" s="4"/>
      <c r="D60" s="4"/>
      <c r="E60" s="4"/>
      <c r="F60" s="36"/>
      <c r="G60" s="15"/>
      <c r="H60" s="15"/>
      <c r="I60" s="15"/>
      <c r="J60" s="15"/>
      <c r="K60" s="22"/>
      <c r="L60" s="23"/>
      <c r="M60" s="15"/>
      <c r="N60" s="15"/>
      <c r="O60" s="15"/>
      <c r="P60" s="15"/>
      <c r="Q60" s="15"/>
      <c r="R60" s="15"/>
      <c r="S60" s="15"/>
      <c r="T60" s="15"/>
      <c r="U60" s="15"/>
      <c r="V60" s="15"/>
      <c r="W60" s="15"/>
      <c r="X60" s="15"/>
      <c r="Y60" s="15"/>
      <c r="Z60" s="15"/>
      <c r="AA60" s="15"/>
      <c r="AB60" s="15"/>
      <c r="AC60" s="29"/>
      <c r="AD60" s="29"/>
      <c r="AE60" s="29"/>
      <c r="AF60" s="29"/>
      <c r="AG60" s="29"/>
      <c r="AH60" s="29"/>
      <c r="AI60" s="29"/>
      <c r="AJ60" s="29"/>
      <c r="AK60" s="29"/>
      <c r="AL60" s="29"/>
      <c r="AM60" s="29"/>
      <c r="AN60" s="29"/>
      <c r="AO60" s="29"/>
      <c r="AP60" s="29"/>
      <c r="AQ60" s="29"/>
      <c r="AR60" s="29"/>
    </row>
    <row r="61" spans="1:45" ht="18" customHeight="1">
      <c r="A61" s="46" t="s">
        <v>148</v>
      </c>
      <c r="B61" s="4"/>
      <c r="C61" s="4"/>
      <c r="D61" s="4"/>
      <c r="E61" s="4"/>
      <c r="F61" s="36"/>
      <c r="G61" s="15"/>
      <c r="H61" s="15"/>
      <c r="I61" s="15"/>
      <c r="J61" s="15"/>
      <c r="K61" s="22"/>
      <c r="L61" s="23"/>
      <c r="M61" s="15"/>
      <c r="N61" s="15"/>
      <c r="O61" s="15"/>
      <c r="P61" s="15"/>
      <c r="Q61" s="15"/>
      <c r="R61" s="15"/>
      <c r="S61" s="15"/>
      <c r="T61" s="15"/>
      <c r="U61" s="15"/>
      <c r="V61" s="15"/>
      <c r="W61" s="15"/>
      <c r="X61" s="15"/>
      <c r="Y61" s="15"/>
      <c r="Z61" s="15"/>
      <c r="AA61" s="15"/>
      <c r="AB61" s="15"/>
      <c r="AC61" s="29"/>
      <c r="AD61" s="29"/>
      <c r="AE61" s="29"/>
      <c r="AF61" s="29"/>
      <c r="AG61" s="29"/>
      <c r="AH61" s="29"/>
      <c r="AI61" s="29"/>
      <c r="AJ61" s="29"/>
      <c r="AK61" s="29"/>
      <c r="AL61" s="29"/>
      <c r="AM61" s="29"/>
      <c r="AN61" s="29"/>
      <c r="AO61" s="29"/>
      <c r="AP61" s="29"/>
      <c r="AQ61" s="29"/>
      <c r="AR61" s="29"/>
    </row>
    <row r="62" spans="1:45" ht="18" customHeight="1">
      <c r="A62" s="46" t="s">
        <v>149</v>
      </c>
      <c r="B62" s="4"/>
      <c r="C62" s="4"/>
      <c r="D62" s="4"/>
      <c r="E62" s="4"/>
      <c r="F62" s="15"/>
      <c r="G62" s="4"/>
      <c r="H62" s="4"/>
      <c r="I62" s="4"/>
      <c r="J62" s="34"/>
      <c r="K62" s="29"/>
      <c r="L62" s="29"/>
      <c r="M62" s="29"/>
      <c r="N62" s="34"/>
      <c r="O62" s="34"/>
      <c r="P62" s="29"/>
      <c r="Q62" s="29"/>
      <c r="R62" s="29"/>
      <c r="S62" s="29"/>
      <c r="T62" s="29"/>
      <c r="U62" s="29"/>
      <c r="V62" s="34"/>
      <c r="W62" s="34"/>
      <c r="X62" s="34"/>
      <c r="Y62" s="34"/>
      <c r="Z62" s="34"/>
      <c r="AA62" s="34"/>
      <c r="AB62" s="34"/>
      <c r="AC62" s="29"/>
      <c r="AD62" s="29"/>
      <c r="AE62" s="29"/>
      <c r="AF62" s="29"/>
      <c r="AG62" s="29"/>
      <c r="AH62" s="29"/>
      <c r="AI62" s="29"/>
      <c r="AJ62" s="29"/>
      <c r="AK62" s="29"/>
      <c r="AL62" s="29"/>
      <c r="AM62" s="29"/>
      <c r="AN62" s="29"/>
      <c r="AO62" s="29"/>
      <c r="AP62" s="29"/>
      <c r="AQ62" s="29"/>
      <c r="AR62" s="29"/>
    </row>
    <row r="63" spans="1:45" ht="18" customHeight="1">
      <c r="A63" s="46" t="s">
        <v>150</v>
      </c>
      <c r="B63" s="4"/>
      <c r="C63" s="4"/>
      <c r="D63" s="4"/>
      <c r="E63" s="4"/>
      <c r="F63" s="15"/>
      <c r="G63" s="4"/>
      <c r="H63" s="4"/>
      <c r="I63" s="4"/>
      <c r="J63" s="34"/>
      <c r="K63" s="29"/>
      <c r="L63" s="29"/>
      <c r="M63" s="29"/>
      <c r="N63" s="34"/>
      <c r="O63" s="34"/>
      <c r="P63" s="29"/>
      <c r="Q63" s="29"/>
      <c r="R63" s="29"/>
      <c r="S63" s="29"/>
      <c r="T63" s="29"/>
      <c r="U63" s="29"/>
      <c r="V63" s="34"/>
      <c r="W63" s="34"/>
      <c r="X63" s="34"/>
      <c r="Y63" s="34"/>
      <c r="Z63" s="34"/>
      <c r="AA63" s="34"/>
      <c r="AB63" s="34"/>
      <c r="AC63" s="29"/>
      <c r="AD63" s="29"/>
      <c r="AE63" s="29"/>
      <c r="AF63" s="29"/>
      <c r="AG63" s="29"/>
      <c r="AH63" s="29"/>
      <c r="AI63" s="29"/>
      <c r="AJ63" s="29"/>
      <c r="AK63" s="29"/>
      <c r="AL63" s="29"/>
      <c r="AM63" s="29"/>
      <c r="AN63" s="29"/>
      <c r="AO63" s="29"/>
      <c r="AP63" s="29"/>
      <c r="AQ63" s="29"/>
      <c r="AR63" s="29"/>
    </row>
    <row r="64" spans="1:45" ht="18" customHeight="1">
      <c r="A64" s="46" t="s">
        <v>151</v>
      </c>
      <c r="B64" s="4"/>
      <c r="C64" s="4"/>
      <c r="D64" s="4"/>
      <c r="E64" s="4"/>
      <c r="F64" s="15"/>
      <c r="G64" s="4"/>
      <c r="H64" s="4"/>
      <c r="I64" s="4"/>
      <c r="J64" s="34"/>
      <c r="K64" s="29"/>
      <c r="L64" s="29"/>
      <c r="M64" s="29"/>
      <c r="N64" s="34"/>
      <c r="O64" s="34"/>
      <c r="P64" s="29"/>
      <c r="Q64" s="29"/>
      <c r="R64" s="29"/>
      <c r="S64" s="29"/>
      <c r="T64" s="29"/>
      <c r="U64" s="29"/>
      <c r="V64" s="34"/>
      <c r="W64" s="34"/>
      <c r="X64" s="34"/>
      <c r="Y64" s="34"/>
      <c r="Z64" s="34"/>
      <c r="AA64" s="34"/>
      <c r="AB64" s="34"/>
      <c r="AC64" s="29"/>
      <c r="AD64" s="29"/>
      <c r="AE64" s="29"/>
      <c r="AF64" s="29"/>
      <c r="AG64" s="29"/>
      <c r="AH64" s="29"/>
      <c r="AI64" s="29"/>
      <c r="AJ64" s="29"/>
      <c r="AK64" s="29"/>
      <c r="AL64" s="29"/>
      <c r="AM64" s="29"/>
      <c r="AN64" s="29"/>
      <c r="AO64" s="29"/>
      <c r="AP64" s="29"/>
      <c r="AQ64" s="29"/>
      <c r="AR64" s="29"/>
    </row>
    <row r="65" spans="6:28" s="29" customFormat="1">
      <c r="F65" s="34"/>
      <c r="J65" s="34"/>
      <c r="N65" s="34"/>
      <c r="O65" s="34"/>
      <c r="V65" s="34"/>
      <c r="W65" s="34"/>
      <c r="X65" s="34"/>
      <c r="Y65" s="34"/>
      <c r="Z65" s="34"/>
      <c r="AA65" s="34"/>
      <c r="AB65" s="34"/>
    </row>
  </sheetData>
  <sheetProtection sheet="1" sort="0" autoFilter="0" pivotTables="0"/>
  <mergeCells count="4">
    <mergeCell ref="K1:L1"/>
    <mergeCell ref="O2:O46"/>
    <mergeCell ref="AJ2:AJ46"/>
    <mergeCell ref="AC2:AC46"/>
  </mergeCells>
  <phoneticPr fontId="3" type="noConversion"/>
  <conditionalFormatting sqref="A2:AQ2 P3:AB46 A3:N46 AB2:AB46 AD3:AI46">
    <cfRule type="expression" dxfId="201" priority="20292">
      <formula>MOD(ROW(),2)=1</formula>
    </cfRule>
  </conditionalFormatting>
  <conditionalFormatting sqref="G2:G46">
    <cfRule type="expression" dxfId="200" priority="1">
      <formula>$K$1="差距(Median)"</formula>
    </cfRule>
  </conditionalFormatting>
  <conditionalFormatting sqref="H2:I46">
    <cfRule type="expression" dxfId="199" priority="4">
      <formula>$K$1="差距(LQ)"</formula>
    </cfRule>
  </conditionalFormatting>
  <conditionalFormatting sqref="I2:I46">
    <cfRule type="expression" dxfId="198" priority="5">
      <formula>$K$1="差距(Mean)"</formula>
    </cfRule>
  </conditionalFormatting>
  <conditionalFormatting sqref="K2:L46">
    <cfRule type="cellIs" dxfId="197" priority="124" operator="equal">
      <formula>"/"</formula>
    </cfRule>
    <cfRule type="cellIs" dxfId="196" priority="126" operator="lessThan">
      <formula>0</formula>
    </cfRule>
    <cfRule type="cellIs" dxfId="195" priority="127" operator="greaterThan">
      <formula>0</formula>
    </cfRule>
  </conditionalFormatting>
  <conditionalFormatting sqref="N2:N46">
    <cfRule type="cellIs" dxfId="194" priority="107" operator="equal">
      <formula>2</formula>
    </cfRule>
    <cfRule type="cellIs" dxfId="193" priority="108" operator="equal">
      <formula>1</formula>
    </cfRule>
    <cfRule type="cellIs" dxfId="192" priority="109" operator="equal">
      <formula>0</formula>
    </cfRule>
  </conditionalFormatting>
  <conditionalFormatting sqref="P2:U46">
    <cfRule type="expression" dxfId="191" priority="3">
      <formula>V2=0</formula>
    </cfRule>
    <cfRule type="expression" dxfId="190" priority="20126">
      <formula>V2=2</formula>
    </cfRule>
    <cfRule type="expression" dxfId="189" priority="20291">
      <formula>V2=1</formula>
    </cfRule>
  </conditionalFormatting>
  <conditionalFormatting sqref="AK3:AQ46">
    <cfRule type="expression" dxfId="188" priority="20293">
      <formula>MOD(ROW(),2)=1</formula>
    </cfRule>
  </conditionalFormatting>
  <conditionalFormatting sqref="AQ2:AQ46">
    <cfRule type="expression" dxfId="187" priority="49">
      <formula>TRUE</formula>
    </cfRule>
  </conditionalFormatting>
  <conditionalFormatting sqref="AR2:AR46">
    <cfRule type="expression" dxfId="186" priority="13">
      <formula>MOD(ROW(),2)=1</formula>
    </cfRule>
  </conditionalFormatting>
  <hyperlinks>
    <hyperlink ref="A62" r:id="rId1" xr:uid="{00000000-0004-0000-0900-000000000000}"/>
    <hyperlink ref="A61" r:id="rId2" xr:uid="{00000000-0004-0000-0900-000001000000}"/>
    <hyperlink ref="A64" r:id="rId3" xr:uid="{00000000-0004-0000-0900-000002000000}"/>
    <hyperlink ref="A63" r:id="rId4" xr:uid="{00000000-0004-0000-0900-000003000000}"/>
  </hyperlinks>
  <pageMargins left="0.7" right="0.7" top="0.75" bottom="0.75" header="0.3" footer="0.3"/>
  <pageSetup paperSize="9" orientation="portrait" horizontalDpi="1200" verticalDpi="1200" r:id="rId5"/>
  <drawing r:id="rId6"/>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選單!$K$2:$K$4</xm:f>
          </x14:formula1>
          <xm:sqref>K1:L1</xm:sqref>
        </x14:dataValidation>
        <x14:dataValidation type="list" allowBlank="1" showInputMessage="1" showErrorMessage="1" xr:uid="{C4BE0CBD-67B0-4BDC-8793-B56CB88C0AE5}">
          <x14:formula1>
            <xm:f>選單!$J$1:$J$7</xm:f>
          </x14:formula1>
          <xm:sqref>AC2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8">
    <tabColor rgb="FF6600CC"/>
  </sheetPr>
  <dimension ref="A1:BG91"/>
  <sheetViews>
    <sheetView workbookViewId="0">
      <selection activeCell="B1" sqref="B1"/>
    </sheetView>
  </sheetViews>
  <sheetFormatPr defaultColWidth="0" defaultRowHeight="13.8" zeroHeight="1"/>
  <cols>
    <col min="1" max="1" width="7.19921875" style="4" customWidth="1"/>
    <col min="2" max="2" width="7.69921875" style="4" customWidth="1"/>
    <col min="3" max="3" width="21.69921875" style="4" customWidth="1"/>
    <col min="4" max="4" width="6.69921875" style="4" customWidth="1"/>
    <col min="5" max="5" width="13.3984375" style="4" customWidth="1"/>
    <col min="6" max="6" width="15.5" style="36" customWidth="1"/>
    <col min="7" max="10" width="7.69921875" style="15" customWidth="1"/>
    <col min="11" max="11" width="7.69921875" style="22" customWidth="1"/>
    <col min="12" max="12" width="7.69921875" style="23" customWidth="1"/>
    <col min="13" max="14" width="4.69921875" style="15" customWidth="1"/>
    <col min="15" max="15" width="14.69921875" style="15" customWidth="1"/>
    <col min="16" max="21" width="2.19921875" style="4" customWidth="1"/>
    <col min="22" max="27" width="2.19921875" style="15" hidden="1" customWidth="1"/>
    <col min="28" max="28" width="10.69921875" style="15" customWidth="1"/>
    <col min="29" max="29" width="8.69921875" style="15" customWidth="1"/>
    <col min="30" max="35" width="6.19921875" style="4" customWidth="1"/>
    <col min="36" max="36" width="8.69921875" style="4" customWidth="1"/>
    <col min="37" max="42" width="6.19921875" style="4" customWidth="1"/>
    <col min="43" max="43" width="5.19921875" style="4" customWidth="1"/>
    <col min="44" max="44" width="8.19921875" style="4" customWidth="1"/>
    <col min="45" max="59" width="1.19921875" style="4" hidden="1" customWidth="1"/>
    <col min="60" max="16384" width="0" style="4" hidden="1"/>
  </cols>
  <sheetData>
    <row r="1" spans="1:44" s="33" customFormat="1" ht="18" customHeight="1">
      <c r="B1" s="33" t="s">
        <v>105</v>
      </c>
      <c r="C1" s="33" t="s">
        <v>106</v>
      </c>
      <c r="E1" s="68" t="s">
        <v>2319</v>
      </c>
      <c r="F1" s="68" t="s">
        <v>2277</v>
      </c>
      <c r="G1" s="68" t="s">
        <v>32</v>
      </c>
      <c r="H1" s="68" t="s">
        <v>102</v>
      </c>
      <c r="I1" s="68" t="s">
        <v>100</v>
      </c>
      <c r="J1" s="68" t="s">
        <v>108</v>
      </c>
      <c r="K1" s="545" t="s">
        <v>109</v>
      </c>
      <c r="L1" s="545"/>
      <c r="M1" s="68" t="s">
        <v>36</v>
      </c>
      <c r="N1" s="68" t="s">
        <v>110</v>
      </c>
      <c r="O1" s="68"/>
      <c r="P1" s="33" t="s">
        <v>111</v>
      </c>
      <c r="Q1" s="33" t="s">
        <v>112</v>
      </c>
      <c r="R1" s="33" t="s">
        <v>113</v>
      </c>
      <c r="S1" s="33" t="s">
        <v>2251</v>
      </c>
      <c r="T1" s="33" t="s">
        <v>115</v>
      </c>
      <c r="U1" s="33" t="s">
        <v>116</v>
      </c>
      <c r="V1" s="68"/>
      <c r="W1" s="68"/>
      <c r="X1" s="68"/>
      <c r="Y1" s="68"/>
      <c r="Z1" s="68"/>
      <c r="AA1" s="68"/>
      <c r="AB1" s="68" t="s">
        <v>117</v>
      </c>
      <c r="AC1" s="68" t="s">
        <v>118</v>
      </c>
      <c r="AD1" s="68" t="s">
        <v>119</v>
      </c>
      <c r="AE1" s="68" t="s">
        <v>120</v>
      </c>
      <c r="AF1" s="68" t="s">
        <v>121</v>
      </c>
      <c r="AG1" s="68" t="s">
        <v>122</v>
      </c>
      <c r="AH1" s="68" t="s">
        <v>123</v>
      </c>
      <c r="AI1" s="68" t="s">
        <v>124</v>
      </c>
      <c r="AJ1" s="68" t="s">
        <v>136</v>
      </c>
      <c r="AK1" s="68" t="s">
        <v>135</v>
      </c>
      <c r="AL1" s="68" t="s">
        <v>120</v>
      </c>
      <c r="AM1" s="68" t="s">
        <v>121</v>
      </c>
      <c r="AN1" s="68" t="s">
        <v>122</v>
      </c>
      <c r="AO1" s="68" t="s">
        <v>123</v>
      </c>
      <c r="AP1" s="68" t="s">
        <v>124</v>
      </c>
      <c r="AQ1" s="68"/>
      <c r="AR1" s="68"/>
    </row>
    <row r="2" spans="1:44" s="10" customFormat="1" ht="18" customHeight="1">
      <c r="A2" s="4" t="str">
        <f>'Reference Score Calculation'!B145</f>
        <v>JS4006</v>
      </c>
      <c r="B2" s="4" t="str">
        <f>'Reference Score Calculation'!D145</f>
        <v>文學院</v>
      </c>
      <c r="C2" s="4" t="str">
        <f>'Reference Score Calculation'!E145</f>
        <v>人類學</v>
      </c>
      <c r="D2" s="4" t="str">
        <f>'Reference Score Calculation'!S145</f>
        <v>ANTHROPOLOGY</v>
      </c>
      <c r="E2" s="352" t="str">
        <f>'Reference Score Calculation'!AC145</f>
        <v>Best 5</v>
      </c>
      <c r="F2" s="355" t="str">
        <f>'Reference Score Calculation'!F145</f>
        <v>Best 5</v>
      </c>
      <c r="G2" s="6">
        <f>'Reference Score Calculation'!H145</f>
        <v>24.5</v>
      </c>
      <c r="H2" s="6">
        <f>'Reference Score Calculation'!I145</f>
        <v>23</v>
      </c>
      <c r="I2" s="6">
        <f>'Reference Score Calculation'!J145</f>
        <v>23</v>
      </c>
      <c r="J2" s="45">
        <f>計分版!J168</f>
        <v>3.4999999999999999E-9</v>
      </c>
      <c r="K2" s="25">
        <f>IFERROR(IF(K$1="差距(Median)",J2-H2,IF(K$1="差距(UQ)",J2-G2,IF(K$1="差距(LQ)",J2-I2))),"/")</f>
        <v>-22.999999996500001</v>
      </c>
      <c r="L2" s="26">
        <f>IFERROR(IF(K$1="差距(Median)",(J2-H2)/J2,IF(K$1="差距(UQ)",(J2-G2)/J2,IF(K$1="差距(LQ)",(J2-I2)/J2))),"/")</f>
        <v>-6571428570.4285717</v>
      </c>
      <c r="M2" s="36">
        <f>'Reference Score Calculation'!U145</f>
        <v>18</v>
      </c>
      <c r="N2" s="84">
        <f>入學要求!Z154</f>
        <v>0</v>
      </c>
      <c r="O2" s="544" t="s">
        <v>2104</v>
      </c>
      <c r="P2" s="160">
        <f>入學要求!L154</f>
        <v>3</v>
      </c>
      <c r="Q2" s="160">
        <f>入學要求!M154</f>
        <v>3</v>
      </c>
      <c r="R2" s="160">
        <f>入學要求!N154</f>
        <v>2</v>
      </c>
      <c r="S2" s="160">
        <f>入學要求!O154</f>
        <v>1</v>
      </c>
      <c r="T2" s="160">
        <f>入學要求!P154</f>
        <v>3</v>
      </c>
      <c r="U2" s="160">
        <f>入學要求!Q154</f>
        <v>3</v>
      </c>
      <c r="V2" s="236">
        <f>入學要求!S154</f>
        <v>0</v>
      </c>
      <c r="W2" s="236">
        <f>入學要求!T154</f>
        <v>0</v>
      </c>
      <c r="X2" s="236">
        <f>入學要求!U154</f>
        <v>0</v>
      </c>
      <c r="Y2" s="236">
        <f>入學要求!V154</f>
        <v>0</v>
      </c>
      <c r="Z2" s="236">
        <f>入學要求!W154</f>
        <v>0</v>
      </c>
      <c r="AA2" s="236">
        <f>入學要求!X154</f>
        <v>0</v>
      </c>
      <c r="AB2" s="36">
        <f>IFERROR(ROUND(AL2/AE2,2),"/")</f>
        <v>5.91</v>
      </c>
      <c r="AC2" s="537" t="s">
        <v>2253</v>
      </c>
      <c r="AD2" s="36" cm="1">
        <f t="array" ref="AD2">IFERROR(INDEX('Offer Statistics'!$BQ$2:$BQ$600,MATCH(1,($A2='Offer Statistics'!$BB$2:$BB$600)*($AC$2='Offer Statistics'!$BC$2:$BC$600),0)),"/")</f>
        <v>22</v>
      </c>
      <c r="AE2" s="63" cm="1">
        <f t="array" ref="AE2">IFERROR(INDEX('Offer Statistics'!BL$2:BL$600,MATCH(1,($A2='Offer Statistics'!$BB$2:$BB$600)*($AC$2='Offer Statistics'!$BC$2:$BC$600),0)),"/")</f>
        <v>22</v>
      </c>
      <c r="AF2" s="63" cm="1">
        <f t="array" ref="AF2">IFERROR(INDEX('Offer Statistics'!BM$2:BM$600,MATCH(1,($A2='Offer Statistics'!$BB$2:$BB$600)*($AC$2='Offer Statistics'!$BC$2:$BC$600),0)),"/")</f>
        <v>0</v>
      </c>
      <c r="AG2" s="63" cm="1">
        <f t="array" ref="AG2">IFERROR(INDEX('Offer Statistics'!BN$2:BN$600,MATCH(1,($A2='Offer Statistics'!$BB$2:$BB$600)*($AC$2='Offer Statistics'!$BC$2:$BC$600),0)),"/")</f>
        <v>0</v>
      </c>
      <c r="AH2" s="63" cm="1">
        <f t="array" ref="AH2">IFERROR(INDEX('Offer Statistics'!BO$2:BO$600,MATCH(1,($A2='Offer Statistics'!$BB$2:$BB$600)*($AC$2='Offer Statistics'!$BC$2:$BC$600),0)),"/")</f>
        <v>0</v>
      </c>
      <c r="AI2" s="63" cm="1">
        <f t="array" ref="AI2">IFERROR(INDEX('Offer Statistics'!BP$2:BP$600,MATCH(1,($A2='Offer Statistics'!$BB$2:$BB$600)*($AC$2='Offer Statistics'!$BC$2:$BC$600),0)),"/")</f>
        <v>0</v>
      </c>
      <c r="AJ2" s="538" t="str">
        <f>AC2</f>
        <v>2024年</v>
      </c>
      <c r="AK2" s="36" cm="1">
        <f t="array" ref="AK2">IFERROR(INDEX('Offer Statistics'!$BI$2:$BI$600,MATCH(1,($A2='Offer Statistics'!$BB$2:$BB$600)*($AC$2='Offer Statistics'!$BC$2:$BC$600),0)),"/")</f>
        <v>1637</v>
      </c>
      <c r="AL2" s="63" cm="1">
        <f t="array" ref="AL2">IFERROR(INDEX('Offer Statistics'!BD$2:BD$600,MATCH(1,($A2='Offer Statistics'!$BB$2:$BB$600)*($AC$2='Offer Statistics'!$BC$2:$BC$600),0)),"/")</f>
        <v>130</v>
      </c>
      <c r="AM2" s="63" cm="1">
        <f t="array" ref="AM2">IFERROR(INDEX('Offer Statistics'!BE$2:BE$600,MATCH(1,($A2='Offer Statistics'!$BB$2:$BB$600)*($AC$2='Offer Statistics'!$BC$2:$BC$600),0)),"/")</f>
        <v>181</v>
      </c>
      <c r="AN2" s="63" cm="1">
        <f t="array" ref="AN2">IFERROR(INDEX('Offer Statistics'!BF$2:BF$600,MATCH(1,($A2='Offer Statistics'!$BB$2:$BB$600)*($AC$2='Offer Statistics'!$BC$2:$BC$600),0)),"/")</f>
        <v>318</v>
      </c>
      <c r="AO2" s="63" cm="1">
        <f t="array" ref="AO2">IFERROR(INDEX('Offer Statistics'!BG$2:BG$600,MATCH(1,($A2='Offer Statistics'!$BB$2:$BB$600)*($AC$2='Offer Statistics'!$BC$2:$BC$600),0)),"/")</f>
        <v>516</v>
      </c>
      <c r="AP2" s="63" cm="1">
        <f t="array" ref="AP2">IFERROR(INDEX('Offer Statistics'!BH$2:BH$600,MATCH(1,($A2='Offer Statistics'!$BB$2:$BB$600)*($AC$2='Offer Statistics'!$BC$2:$BC$600),0)),"/")</f>
        <v>492</v>
      </c>
      <c r="AQ2" s="15"/>
      <c r="AR2" s="15" t="str">
        <f>A2</f>
        <v>JS4006</v>
      </c>
    </row>
    <row r="3" spans="1:44" ht="18" customHeight="1">
      <c r="A3" s="4" t="str">
        <f>'Reference Score Calculation'!B146</f>
        <v>JS4018</v>
      </c>
      <c r="B3" s="4" t="str">
        <f>'Reference Score Calculation'!D146</f>
        <v>文學院</v>
      </c>
      <c r="C3" s="4" t="str">
        <f>'Reference Score Calculation'!E146</f>
        <v>中國語言及文學</v>
      </c>
      <c r="D3" s="4" t="str">
        <f>'Reference Score Calculation'!S146</f>
        <v>CHI LANG &amp; LIT</v>
      </c>
      <c r="E3" s="352" t="str">
        <f>'Reference Score Calculation'!AC146</f>
        <v>Best 5</v>
      </c>
      <c r="F3" s="354" t="str">
        <f>'Reference Score Calculation'!F146</f>
        <v>Best 5</v>
      </c>
      <c r="G3" s="6">
        <f>'Reference Score Calculation'!H146</f>
        <v>30.7</v>
      </c>
      <c r="H3" s="6">
        <f>'Reference Score Calculation'!I146</f>
        <v>29.2</v>
      </c>
      <c r="I3" s="6">
        <f>'Reference Score Calculation'!J146</f>
        <v>28.2</v>
      </c>
      <c r="J3" s="45">
        <f>計分版!J169</f>
        <v>3.4999999999999999E-9</v>
      </c>
      <c r="K3" s="25">
        <f>IFERROR(IF(K$1="差距(Median)",J3-H3,IF(K$1="差距(UQ)",J3-G3,IF(K$1="差距(LQ)",J3-I3))),"/")</f>
        <v>-29.199999996500001</v>
      </c>
      <c r="L3" s="26">
        <f>IFERROR(IF(K$1="差距(Median)",(J3-H3)/J3,IF(K$1="差距(UQ)",(J3-G3)/J3,IF(K$1="差距(LQ)",(J3-I3)/J3))),"/")</f>
        <v>-8342857141.8571434</v>
      </c>
      <c r="M3" s="36">
        <f>'Reference Score Calculation'!U146</f>
        <v>79</v>
      </c>
      <c r="N3" s="84">
        <f>入學要求!Z155</f>
        <v>0</v>
      </c>
      <c r="O3" s="544"/>
      <c r="P3" s="161">
        <f>入學要求!L155</f>
        <v>3</v>
      </c>
      <c r="Q3" s="161">
        <f>入學要求!M155</f>
        <v>3</v>
      </c>
      <c r="R3" s="161">
        <f>入學要求!N155</f>
        <v>2</v>
      </c>
      <c r="S3" s="161">
        <f>入學要求!O155</f>
        <v>1</v>
      </c>
      <c r="T3" s="161">
        <f>入學要求!P155</f>
        <v>3</v>
      </c>
      <c r="U3" s="161">
        <f>入學要求!Q155</f>
        <v>3</v>
      </c>
      <c r="V3" s="236">
        <f>入學要求!S155</f>
        <v>0</v>
      </c>
      <c r="W3" s="236">
        <f>入學要求!T155</f>
        <v>0</v>
      </c>
      <c r="X3" s="236">
        <f>入學要求!U155</f>
        <v>0</v>
      </c>
      <c r="Y3" s="236">
        <f>入學要求!V155</f>
        <v>0</v>
      </c>
      <c r="Z3" s="236">
        <f>入學要求!W155</f>
        <v>0</v>
      </c>
      <c r="AA3" s="236">
        <f>入學要求!X155</f>
        <v>0</v>
      </c>
      <c r="AB3" s="36">
        <f>IFERROR(ROUND(AL3/AE3,2),"/")</f>
        <v>4.41</v>
      </c>
      <c r="AC3" s="537"/>
      <c r="AD3" s="36" cm="1">
        <f t="array" ref="AD3">IFERROR(INDEX('Offer Statistics'!$BQ$2:$BQ$600,MATCH(1,($A3='Offer Statistics'!$BB$2:$BB$600)*($AC$2='Offer Statistics'!$BC$2:$BC$600),0)),"/")</f>
        <v>80</v>
      </c>
      <c r="AE3" s="63" cm="1">
        <f t="array" ref="AE3">IFERROR(INDEX('Offer Statistics'!BL$2:BL$600,MATCH(1,($A3='Offer Statistics'!$BB$2:$BB$600)*($AC$2='Offer Statistics'!$BC$2:$BC$600),0)),"/")</f>
        <v>80</v>
      </c>
      <c r="AF3" s="63" cm="1">
        <f t="array" ref="AF3">IFERROR(INDEX('Offer Statistics'!BM$2:BM$600,MATCH(1,($A3='Offer Statistics'!$BB$2:$BB$600)*($AC$2='Offer Statistics'!$BC$2:$BC$600),0)),"/")</f>
        <v>0</v>
      </c>
      <c r="AG3" s="63" cm="1">
        <f t="array" ref="AG3">IFERROR(INDEX('Offer Statistics'!BN$2:BN$600,MATCH(1,($A3='Offer Statistics'!$BB$2:$BB$600)*($AC$2='Offer Statistics'!$BC$2:$BC$600),0)),"/")</f>
        <v>0</v>
      </c>
      <c r="AH3" s="63" cm="1">
        <f t="array" ref="AH3">IFERROR(INDEX('Offer Statistics'!BO$2:BO$600,MATCH(1,($A3='Offer Statistics'!$BB$2:$BB$600)*($AC$2='Offer Statistics'!$BC$2:$BC$600),0)),"/")</f>
        <v>0</v>
      </c>
      <c r="AI3" s="63" cm="1">
        <f t="array" ref="AI3">IFERROR(INDEX('Offer Statistics'!BP$2:BP$600,MATCH(1,($A3='Offer Statistics'!$BB$2:$BB$600)*($AC$2='Offer Statistics'!$BC$2:$BC$600),0)),"/")</f>
        <v>0</v>
      </c>
      <c r="AJ3" s="538"/>
      <c r="AK3" s="36" cm="1">
        <f t="array" ref="AK3">IFERROR(INDEX('Offer Statistics'!$BI$2:$BI$600,MATCH(1,($A3='Offer Statistics'!$BB$2:$BB$600)*($AC$2='Offer Statistics'!$BC$2:$BC$600),0)),"/")</f>
        <v>1661</v>
      </c>
      <c r="AL3" s="63" cm="1">
        <f t="array" ref="AL3">IFERROR(INDEX('Offer Statistics'!BD$2:BD$600,MATCH(1,($A3='Offer Statistics'!$BB$2:$BB$600)*($AC$2='Offer Statistics'!$BC$2:$BC$600),0)),"/")</f>
        <v>353</v>
      </c>
      <c r="AM3" s="63" cm="1">
        <f t="array" ref="AM3">IFERROR(INDEX('Offer Statistics'!BE$2:BE$600,MATCH(1,($A3='Offer Statistics'!$BB$2:$BB$600)*($AC$2='Offer Statistics'!$BC$2:$BC$600),0)),"/")</f>
        <v>196</v>
      </c>
      <c r="AN3" s="63" cm="1">
        <f t="array" ref="AN3">IFERROR(INDEX('Offer Statistics'!BF$2:BF$600,MATCH(1,($A3='Offer Statistics'!$BB$2:$BB$600)*($AC$2='Offer Statistics'!$BC$2:$BC$600),0)),"/")</f>
        <v>323</v>
      </c>
      <c r="AO3" s="63" cm="1">
        <f t="array" ref="AO3">IFERROR(INDEX('Offer Statistics'!BG$2:BG$600,MATCH(1,($A3='Offer Statistics'!$BB$2:$BB$600)*($AC$2='Offer Statistics'!$BC$2:$BC$600),0)),"/")</f>
        <v>427</v>
      </c>
      <c r="AP3" s="63" cm="1">
        <f t="array" ref="AP3">IFERROR(INDEX('Offer Statistics'!BH$2:BH$600,MATCH(1,($A3='Offer Statistics'!$BB$2:$BB$600)*($AC$2='Offer Statistics'!$BC$2:$BC$600),0)),"/")</f>
        <v>362</v>
      </c>
      <c r="AQ3" s="15"/>
      <c r="AR3" s="15" t="str">
        <f>A3</f>
        <v>JS4018</v>
      </c>
    </row>
    <row r="4" spans="1:44" s="10" customFormat="1" ht="18" customHeight="1">
      <c r="A4" s="4" t="str">
        <f>'Reference Score Calculation'!B147</f>
        <v>JS4032</v>
      </c>
      <c r="B4" s="4" t="str">
        <f>'Reference Score Calculation'!D147</f>
        <v>文學院</v>
      </c>
      <c r="C4" s="4" t="str">
        <f>'Reference Score Calculation'!E147</f>
        <v>英文</v>
      </c>
      <c r="D4" s="4" t="str">
        <f>'Reference Score Calculation'!S147</f>
        <v>ENGLISH</v>
      </c>
      <c r="E4" s="352" t="str">
        <f>'Reference Score Calculation'!AC147</f>
        <v>Best 5</v>
      </c>
      <c r="F4" s="354" t="str">
        <f>'Reference Score Calculation'!F147</f>
        <v>Best 5</v>
      </c>
      <c r="G4" s="6">
        <f>'Reference Score Calculation'!H147</f>
        <v>28</v>
      </c>
      <c r="H4" s="6">
        <f>'Reference Score Calculation'!I147</f>
        <v>27</v>
      </c>
      <c r="I4" s="6">
        <f>'Reference Score Calculation'!J147</f>
        <v>26</v>
      </c>
      <c r="J4" s="45">
        <f>計分版!J170</f>
        <v>3.4999999999999999E-9</v>
      </c>
      <c r="K4" s="25">
        <f t="shared" ref="K4:K67" si="0">IFERROR(IF(K$1="差距(Median)",J4-H4,IF(K$1="差距(UQ)",J4-G4,IF(K$1="差距(LQ)",J4-I4))),"/")</f>
        <v>-26.999999996500001</v>
      </c>
      <c r="L4" s="26">
        <f t="shared" ref="L4:L67" si="1">IFERROR(IF(K$1="差距(Median)",(J4-H4)/J4,IF(K$1="差距(UQ)",(J4-G4)/J4,IF(K$1="差距(LQ)",(J4-I4)/J4))),"/")</f>
        <v>-7714285713.2857151</v>
      </c>
      <c r="M4" s="36">
        <f>'Reference Score Calculation'!U147</f>
        <v>55</v>
      </c>
      <c r="N4" s="84">
        <f>入學要求!Z156</f>
        <v>0</v>
      </c>
      <c r="O4" s="544"/>
      <c r="P4" s="161">
        <f>入學要求!L156</f>
        <v>3</v>
      </c>
      <c r="Q4" s="161">
        <f>入學要求!M156</f>
        <v>3</v>
      </c>
      <c r="R4" s="161">
        <f>入學要求!N156</f>
        <v>2</v>
      </c>
      <c r="S4" s="161">
        <f>入學要求!O156</f>
        <v>1</v>
      </c>
      <c r="T4" s="161">
        <f>入學要求!P156</f>
        <v>3</v>
      </c>
      <c r="U4" s="161">
        <f>入學要求!Q156</f>
        <v>3</v>
      </c>
      <c r="V4" s="236">
        <f>入學要求!S156</f>
        <v>0</v>
      </c>
      <c r="W4" s="236">
        <f>入學要求!T156</f>
        <v>0</v>
      </c>
      <c r="X4" s="236">
        <f>入學要求!U156</f>
        <v>0</v>
      </c>
      <c r="Y4" s="236">
        <f>入學要求!V156</f>
        <v>0</v>
      </c>
      <c r="Z4" s="236">
        <f>入學要求!W156</f>
        <v>0</v>
      </c>
      <c r="AA4" s="236">
        <f>入學要求!X156</f>
        <v>0</v>
      </c>
      <c r="AB4" s="36">
        <f t="shared" ref="AB4:AB67" si="2">IFERROR(ROUND(AL4/AE4,2),"/")</f>
        <v>5.27</v>
      </c>
      <c r="AC4" s="537"/>
      <c r="AD4" s="36" cm="1">
        <f t="array" ref="AD4">IFERROR(INDEX('Offer Statistics'!$BQ$2:$BQ$600,MATCH(1,($A4='Offer Statistics'!$BB$2:$BB$600)*($AC$2='Offer Statistics'!$BC$2:$BC$600),0)),"/")</f>
        <v>49</v>
      </c>
      <c r="AE4" s="63" cm="1">
        <f t="array" ref="AE4">IFERROR(INDEX('Offer Statistics'!BL$2:BL$600,MATCH(1,($A4='Offer Statistics'!$BB$2:$BB$600)*($AC$2='Offer Statistics'!$BC$2:$BC$600),0)),"/")</f>
        <v>49</v>
      </c>
      <c r="AF4" s="63" cm="1">
        <f t="array" ref="AF4">IFERROR(INDEX('Offer Statistics'!BM$2:BM$600,MATCH(1,($A4='Offer Statistics'!$BB$2:$BB$600)*($AC$2='Offer Statistics'!$BC$2:$BC$600),0)),"/")</f>
        <v>0</v>
      </c>
      <c r="AG4" s="63" cm="1">
        <f t="array" ref="AG4">IFERROR(INDEX('Offer Statistics'!BN$2:BN$600,MATCH(1,($A4='Offer Statistics'!$BB$2:$BB$600)*($AC$2='Offer Statistics'!$BC$2:$BC$600),0)),"/")</f>
        <v>0</v>
      </c>
      <c r="AH4" s="63" cm="1">
        <f t="array" ref="AH4">IFERROR(INDEX('Offer Statistics'!BO$2:BO$600,MATCH(1,($A4='Offer Statistics'!$BB$2:$BB$600)*($AC$2='Offer Statistics'!$BC$2:$BC$600),0)),"/")</f>
        <v>0</v>
      </c>
      <c r="AI4" s="63" cm="1">
        <f t="array" ref="AI4">IFERROR(INDEX('Offer Statistics'!BP$2:BP$600,MATCH(1,($A4='Offer Statistics'!$BB$2:$BB$600)*($AC$2='Offer Statistics'!$BC$2:$BC$600),0)),"/")</f>
        <v>0</v>
      </c>
      <c r="AJ4" s="538"/>
      <c r="AK4" s="36" cm="1">
        <f t="array" ref="AK4">IFERROR(INDEX('Offer Statistics'!$BI$2:$BI$600,MATCH(1,($A4='Offer Statistics'!$BB$2:$BB$600)*($AC$2='Offer Statistics'!$BC$2:$BC$600),0)),"/")</f>
        <v>1239</v>
      </c>
      <c r="AL4" s="63" cm="1">
        <f t="array" ref="AL4">IFERROR(INDEX('Offer Statistics'!BD$2:BD$600,MATCH(1,($A4='Offer Statistics'!$BB$2:$BB$600)*($AC$2='Offer Statistics'!$BC$2:$BC$600),0)),"/")</f>
        <v>258</v>
      </c>
      <c r="AM4" s="63" cm="1">
        <f t="array" ref="AM4">IFERROR(INDEX('Offer Statistics'!BE$2:BE$600,MATCH(1,($A4='Offer Statistics'!$BB$2:$BB$600)*($AC$2='Offer Statistics'!$BC$2:$BC$600),0)),"/")</f>
        <v>161</v>
      </c>
      <c r="AN4" s="63" cm="1">
        <f t="array" ref="AN4">IFERROR(INDEX('Offer Statistics'!BF$2:BF$600,MATCH(1,($A4='Offer Statistics'!$BB$2:$BB$600)*($AC$2='Offer Statistics'!$BC$2:$BC$600),0)),"/")</f>
        <v>266</v>
      </c>
      <c r="AO4" s="63" cm="1">
        <f t="array" ref="AO4">IFERROR(INDEX('Offer Statistics'!BG$2:BG$600,MATCH(1,($A4='Offer Statistics'!$BB$2:$BB$600)*($AC$2='Offer Statistics'!$BC$2:$BC$600),0)),"/")</f>
        <v>294</v>
      </c>
      <c r="AP4" s="63" cm="1">
        <f t="array" ref="AP4">IFERROR(INDEX('Offer Statistics'!BH$2:BH$600,MATCH(1,($A4='Offer Statistics'!$BB$2:$BB$600)*($AC$2='Offer Statistics'!$BC$2:$BC$600),0)),"/")</f>
        <v>260</v>
      </c>
      <c r="AQ4" s="15"/>
      <c r="AR4" s="15" t="str">
        <f t="shared" ref="AR4:AR67" si="3">A4</f>
        <v>JS4032</v>
      </c>
    </row>
    <row r="5" spans="1:44" s="10" customFormat="1" ht="18" customHeight="1">
      <c r="A5" s="4" t="str">
        <f>'Reference Score Calculation'!B148</f>
        <v>JS4044</v>
      </c>
      <c r="B5" s="4" t="str">
        <f>'Reference Score Calculation'!D148</f>
        <v>文學院</v>
      </c>
      <c r="C5" s="4" t="str">
        <f>'Reference Score Calculation'!E148</f>
        <v>藝術</v>
      </c>
      <c r="D5" s="4" t="str">
        <f>'Reference Score Calculation'!S148</f>
        <v>FINE ARTS</v>
      </c>
      <c r="E5" s="352" t="str">
        <f>'Reference Score Calculation'!AC148</f>
        <v>Best 5</v>
      </c>
      <c r="F5" s="354" t="str">
        <f>'Reference Score Calculation'!F148</f>
        <v>Best 5</v>
      </c>
      <c r="G5" s="6">
        <f>'Reference Score Calculation'!H148</f>
        <v>26.5</v>
      </c>
      <c r="H5" s="6">
        <f>'Reference Score Calculation'!I148</f>
        <v>25</v>
      </c>
      <c r="I5" s="6">
        <f>'Reference Score Calculation'!J148</f>
        <v>24</v>
      </c>
      <c r="J5" s="45">
        <f>計分版!J171</f>
        <v>3.4999999999999999E-9</v>
      </c>
      <c r="K5" s="25">
        <f t="shared" si="0"/>
        <v>-24.999999996500001</v>
      </c>
      <c r="L5" s="26">
        <f t="shared" si="1"/>
        <v>-7142857141.8571434</v>
      </c>
      <c r="M5" s="36">
        <f>'Reference Score Calculation'!U148</f>
        <v>19</v>
      </c>
      <c r="N5" s="84">
        <f>入學要求!Z157</f>
        <v>0</v>
      </c>
      <c r="O5" s="544"/>
      <c r="P5" s="161">
        <f>入學要求!L157</f>
        <v>3</v>
      </c>
      <c r="Q5" s="161">
        <f>入學要求!M157</f>
        <v>3</v>
      </c>
      <c r="R5" s="161">
        <f>入學要求!N157</f>
        <v>2</v>
      </c>
      <c r="S5" s="161">
        <f>入學要求!O157</f>
        <v>1</v>
      </c>
      <c r="T5" s="161">
        <f>入學要求!P157</f>
        <v>3</v>
      </c>
      <c r="U5" s="161">
        <f>入學要求!Q157</f>
        <v>3</v>
      </c>
      <c r="V5" s="236">
        <f>入學要求!S157</f>
        <v>0</v>
      </c>
      <c r="W5" s="236">
        <f>入學要求!T157</f>
        <v>0</v>
      </c>
      <c r="X5" s="236">
        <f>入學要求!U157</f>
        <v>0</v>
      </c>
      <c r="Y5" s="236">
        <f>入學要求!V157</f>
        <v>0</v>
      </c>
      <c r="Z5" s="236">
        <f>入學要求!W157</f>
        <v>0</v>
      </c>
      <c r="AA5" s="236">
        <f>入學要求!X157</f>
        <v>0</v>
      </c>
      <c r="AB5" s="36">
        <f t="shared" si="2"/>
        <v>15.47</v>
      </c>
      <c r="AC5" s="537"/>
      <c r="AD5" s="36" cm="1">
        <f t="array" ref="AD5">IFERROR(INDEX('Offer Statistics'!$BQ$2:$BQ$600,MATCH(1,($A5='Offer Statistics'!$BB$2:$BB$600)*($AC$2='Offer Statistics'!$BC$2:$BC$600),0)),"/")</f>
        <v>19</v>
      </c>
      <c r="AE5" s="63" cm="1">
        <f t="array" ref="AE5">IFERROR(INDEX('Offer Statistics'!BL$2:BL$600,MATCH(1,($A5='Offer Statistics'!$BB$2:$BB$600)*($AC$2='Offer Statistics'!$BC$2:$BC$600),0)),"/")</f>
        <v>19</v>
      </c>
      <c r="AF5" s="63" cm="1">
        <f t="array" ref="AF5">IFERROR(INDEX('Offer Statistics'!BM$2:BM$600,MATCH(1,($A5='Offer Statistics'!$BB$2:$BB$600)*($AC$2='Offer Statistics'!$BC$2:$BC$600),0)),"/")</f>
        <v>0</v>
      </c>
      <c r="AG5" s="63" cm="1">
        <f t="array" ref="AG5">IFERROR(INDEX('Offer Statistics'!BN$2:BN$600,MATCH(1,($A5='Offer Statistics'!$BB$2:$BB$600)*($AC$2='Offer Statistics'!$BC$2:$BC$600),0)),"/")</f>
        <v>0</v>
      </c>
      <c r="AH5" s="63" cm="1">
        <f t="array" ref="AH5">IFERROR(INDEX('Offer Statistics'!BO$2:BO$600,MATCH(1,($A5='Offer Statistics'!$BB$2:$BB$600)*($AC$2='Offer Statistics'!$BC$2:$BC$600),0)),"/")</f>
        <v>0</v>
      </c>
      <c r="AI5" s="63" cm="1">
        <f t="array" ref="AI5">IFERROR(INDEX('Offer Statistics'!BP$2:BP$600,MATCH(1,($A5='Offer Statistics'!$BB$2:$BB$600)*($AC$2='Offer Statistics'!$BC$2:$BC$600),0)),"/")</f>
        <v>0</v>
      </c>
      <c r="AJ5" s="538"/>
      <c r="AK5" s="36" cm="1">
        <f t="array" ref="AK5">IFERROR(INDEX('Offer Statistics'!$BI$2:$BI$600,MATCH(1,($A5='Offer Statistics'!$BB$2:$BB$600)*($AC$2='Offer Statistics'!$BC$2:$BC$600),0)),"/")</f>
        <v>1395</v>
      </c>
      <c r="AL5" s="63" cm="1">
        <f t="array" ref="AL5">IFERROR(INDEX('Offer Statistics'!BD$2:BD$600,MATCH(1,($A5='Offer Statistics'!$BB$2:$BB$600)*($AC$2='Offer Statistics'!$BC$2:$BC$600),0)),"/")</f>
        <v>294</v>
      </c>
      <c r="AM5" s="63" cm="1">
        <f t="array" ref="AM5">IFERROR(INDEX('Offer Statistics'!BE$2:BE$600,MATCH(1,($A5='Offer Statistics'!$BB$2:$BB$600)*($AC$2='Offer Statistics'!$BC$2:$BC$600),0)),"/")</f>
        <v>210</v>
      </c>
      <c r="AN5" s="63" cm="1">
        <f t="array" ref="AN5">IFERROR(INDEX('Offer Statistics'!BF$2:BF$600,MATCH(1,($A5='Offer Statistics'!$BB$2:$BB$600)*($AC$2='Offer Statistics'!$BC$2:$BC$600),0)),"/")</f>
        <v>265</v>
      </c>
      <c r="AO5" s="63" cm="1">
        <f t="array" ref="AO5">IFERROR(INDEX('Offer Statistics'!BG$2:BG$600,MATCH(1,($A5='Offer Statistics'!$BB$2:$BB$600)*($AC$2='Offer Statistics'!$BC$2:$BC$600),0)),"/")</f>
        <v>359</v>
      </c>
      <c r="AP5" s="63" cm="1">
        <f t="array" ref="AP5">IFERROR(INDEX('Offer Statistics'!BH$2:BH$600,MATCH(1,($A5='Offer Statistics'!$BB$2:$BB$600)*($AC$2='Offer Statistics'!$BC$2:$BC$600),0)),"/")</f>
        <v>267</v>
      </c>
      <c r="AQ5" s="15"/>
      <c r="AR5" s="15" t="str">
        <f t="shared" si="3"/>
        <v>JS4044</v>
      </c>
    </row>
    <row r="6" spans="1:44" ht="18" customHeight="1">
      <c r="A6" s="4" t="str">
        <f>'Reference Score Calculation'!B149</f>
        <v>JS4056</v>
      </c>
      <c r="B6" s="4" t="str">
        <f>'Reference Score Calculation'!D149</f>
        <v>文學院</v>
      </c>
      <c r="C6" s="4" t="str">
        <f>'Reference Score Calculation'!E149</f>
        <v>歷史</v>
      </c>
      <c r="D6" s="4" t="str">
        <f>'Reference Score Calculation'!S149</f>
        <v>HISTORY</v>
      </c>
      <c r="E6" s="352" t="str">
        <f>'Reference Score Calculation'!AC149</f>
        <v>Best 5</v>
      </c>
      <c r="F6" s="354" t="str">
        <f>'Reference Score Calculation'!F149</f>
        <v>Best 5</v>
      </c>
      <c r="G6" s="6">
        <f>'Reference Score Calculation'!H149</f>
        <v>29</v>
      </c>
      <c r="H6" s="6">
        <f>'Reference Score Calculation'!I149</f>
        <v>26</v>
      </c>
      <c r="I6" s="6">
        <f>'Reference Score Calculation'!J149</f>
        <v>25</v>
      </c>
      <c r="J6" s="45">
        <f>計分版!J172</f>
        <v>3.4999999999999999E-9</v>
      </c>
      <c r="K6" s="25">
        <f t="shared" si="0"/>
        <v>-25.999999996500001</v>
      </c>
      <c r="L6" s="26">
        <f t="shared" si="1"/>
        <v>-7428571427.5714293</v>
      </c>
      <c r="M6" s="36">
        <f>'Reference Score Calculation'!U149</f>
        <v>48</v>
      </c>
      <c r="N6" s="84">
        <f>入學要求!Z158</f>
        <v>0</v>
      </c>
      <c r="O6" s="544"/>
      <c r="P6" s="161">
        <f>入學要求!L158</f>
        <v>3</v>
      </c>
      <c r="Q6" s="161">
        <f>入學要求!M158</f>
        <v>3</v>
      </c>
      <c r="R6" s="161">
        <f>入學要求!N158</f>
        <v>2</v>
      </c>
      <c r="S6" s="161">
        <f>入學要求!O158</f>
        <v>1</v>
      </c>
      <c r="T6" s="161">
        <f>入學要求!P158</f>
        <v>3</v>
      </c>
      <c r="U6" s="161">
        <f>入學要求!Q158</f>
        <v>3</v>
      </c>
      <c r="V6" s="236">
        <f>入學要求!S158</f>
        <v>0</v>
      </c>
      <c r="W6" s="236">
        <f>入學要求!T158</f>
        <v>0</v>
      </c>
      <c r="X6" s="236">
        <f>入學要求!U158</f>
        <v>0</v>
      </c>
      <c r="Y6" s="236">
        <f>入學要求!V158</f>
        <v>0</v>
      </c>
      <c r="Z6" s="236">
        <f>入學要求!W158</f>
        <v>0</v>
      </c>
      <c r="AA6" s="236">
        <f>入學要求!X158</f>
        <v>0</v>
      </c>
      <c r="AB6" s="36">
        <f t="shared" si="2"/>
        <v>7.02</v>
      </c>
      <c r="AC6" s="537"/>
      <c r="AD6" s="36" cm="1">
        <f t="array" ref="AD6">IFERROR(INDEX('Offer Statistics'!$BQ$2:$BQ$600,MATCH(1,($A6='Offer Statistics'!$BB$2:$BB$600)*($AC$2='Offer Statistics'!$BC$2:$BC$600),0)),"/")</f>
        <v>46</v>
      </c>
      <c r="AE6" s="63" cm="1">
        <f t="array" ref="AE6">IFERROR(INDEX('Offer Statistics'!BL$2:BL$600,MATCH(1,($A6='Offer Statistics'!$BB$2:$BB$600)*($AC$2='Offer Statistics'!$BC$2:$BC$600),0)),"/")</f>
        <v>46</v>
      </c>
      <c r="AF6" s="63" cm="1">
        <f t="array" ref="AF6">IFERROR(INDEX('Offer Statistics'!BM$2:BM$600,MATCH(1,($A6='Offer Statistics'!$BB$2:$BB$600)*($AC$2='Offer Statistics'!$BC$2:$BC$600),0)),"/")</f>
        <v>0</v>
      </c>
      <c r="AG6" s="63" cm="1">
        <f t="array" ref="AG6">IFERROR(INDEX('Offer Statistics'!BN$2:BN$600,MATCH(1,($A6='Offer Statistics'!$BB$2:$BB$600)*($AC$2='Offer Statistics'!$BC$2:$BC$600),0)),"/")</f>
        <v>0</v>
      </c>
      <c r="AH6" s="63" cm="1">
        <f t="array" ref="AH6">IFERROR(INDEX('Offer Statistics'!BO$2:BO$600,MATCH(1,($A6='Offer Statistics'!$BB$2:$BB$600)*($AC$2='Offer Statistics'!$BC$2:$BC$600),0)),"/")</f>
        <v>0</v>
      </c>
      <c r="AI6" s="63" cm="1">
        <f t="array" ref="AI6">IFERROR(INDEX('Offer Statistics'!BP$2:BP$600,MATCH(1,($A6='Offer Statistics'!$BB$2:$BB$600)*($AC$2='Offer Statistics'!$BC$2:$BC$600),0)),"/")</f>
        <v>0</v>
      </c>
      <c r="AJ6" s="538"/>
      <c r="AK6" s="36" cm="1">
        <f t="array" ref="AK6">IFERROR(INDEX('Offer Statistics'!$BI$2:$BI$600,MATCH(1,($A6='Offer Statistics'!$BB$2:$BB$600)*($AC$2='Offer Statistics'!$BC$2:$BC$600),0)),"/")</f>
        <v>1858</v>
      </c>
      <c r="AL6" s="63" cm="1">
        <f t="array" ref="AL6">IFERROR(INDEX('Offer Statistics'!BD$2:BD$600,MATCH(1,($A6='Offer Statistics'!$BB$2:$BB$600)*($AC$2='Offer Statistics'!$BC$2:$BC$600),0)),"/")</f>
        <v>323</v>
      </c>
      <c r="AM6" s="63" cm="1">
        <f t="array" ref="AM6">IFERROR(INDEX('Offer Statistics'!BE$2:BE$600,MATCH(1,($A6='Offer Statistics'!$BB$2:$BB$600)*($AC$2='Offer Statistics'!$BC$2:$BC$600),0)),"/")</f>
        <v>268</v>
      </c>
      <c r="AN6" s="63" cm="1">
        <f t="array" ref="AN6">IFERROR(INDEX('Offer Statistics'!BF$2:BF$600,MATCH(1,($A6='Offer Statistics'!$BB$2:$BB$600)*($AC$2='Offer Statistics'!$BC$2:$BC$600),0)),"/")</f>
        <v>380</v>
      </c>
      <c r="AO6" s="63" cm="1">
        <f t="array" ref="AO6">IFERROR(INDEX('Offer Statistics'!BG$2:BG$600,MATCH(1,($A6='Offer Statistics'!$BB$2:$BB$600)*($AC$2='Offer Statistics'!$BC$2:$BC$600),0)),"/")</f>
        <v>463</v>
      </c>
      <c r="AP6" s="63" cm="1">
        <f t="array" ref="AP6">IFERROR(INDEX('Offer Statistics'!BH$2:BH$600,MATCH(1,($A6='Offer Statistics'!$BB$2:$BB$600)*($AC$2='Offer Statistics'!$BC$2:$BC$600),0)),"/")</f>
        <v>424</v>
      </c>
      <c r="AQ6" s="15"/>
      <c r="AR6" s="15" t="str">
        <f t="shared" si="3"/>
        <v>JS4056</v>
      </c>
    </row>
    <row r="7" spans="1:44" s="10" customFormat="1" ht="18" customHeight="1">
      <c r="A7" s="4" t="str">
        <f>'Reference Score Calculation'!B150</f>
        <v>JS4068</v>
      </c>
      <c r="B7" s="4" t="str">
        <f>'Reference Score Calculation'!D150</f>
        <v>文學院</v>
      </c>
      <c r="C7" s="4" t="str">
        <f>'Reference Score Calculation'!E150</f>
        <v>日本研究</v>
      </c>
      <c r="D7" s="4" t="str">
        <f>'Reference Score Calculation'!S150</f>
        <v>JAPANESE STUDIES</v>
      </c>
      <c r="E7" s="352" t="str">
        <f>'Reference Score Calculation'!AC150</f>
        <v>Best 5</v>
      </c>
      <c r="F7" s="354" t="str">
        <f>'Reference Score Calculation'!F150</f>
        <v>Best 5</v>
      </c>
      <c r="G7" s="6">
        <f>'Reference Score Calculation'!H150</f>
        <v>27.5</v>
      </c>
      <c r="H7" s="6">
        <f>'Reference Score Calculation'!I150</f>
        <v>25</v>
      </c>
      <c r="I7" s="6">
        <f>'Reference Score Calculation'!J150</f>
        <v>23</v>
      </c>
      <c r="J7" s="45">
        <f>計分版!J173</f>
        <v>3.4999999999999999E-9</v>
      </c>
      <c r="K7" s="25">
        <f t="shared" si="0"/>
        <v>-24.999999996500001</v>
      </c>
      <c r="L7" s="26">
        <f t="shared" si="1"/>
        <v>-7142857141.8571434</v>
      </c>
      <c r="M7" s="36">
        <f>'Reference Score Calculation'!U150</f>
        <v>22</v>
      </c>
      <c r="N7" s="84">
        <f>入學要求!Z159</f>
        <v>0</v>
      </c>
      <c r="O7" s="544"/>
      <c r="P7" s="161">
        <f>入學要求!L159</f>
        <v>3</v>
      </c>
      <c r="Q7" s="161">
        <f>入學要求!M159</f>
        <v>3</v>
      </c>
      <c r="R7" s="161">
        <f>入學要求!N159</f>
        <v>2</v>
      </c>
      <c r="S7" s="161">
        <f>入學要求!O159</f>
        <v>1</v>
      </c>
      <c r="T7" s="161">
        <f>入學要求!P159</f>
        <v>3</v>
      </c>
      <c r="U7" s="161">
        <f>入學要求!Q159</f>
        <v>3</v>
      </c>
      <c r="V7" s="236">
        <f>入學要求!S159</f>
        <v>0</v>
      </c>
      <c r="W7" s="236">
        <f>入學要求!T159</f>
        <v>0</v>
      </c>
      <c r="X7" s="236">
        <f>入學要求!U159</f>
        <v>0</v>
      </c>
      <c r="Y7" s="236">
        <f>入學要求!V159</f>
        <v>0</v>
      </c>
      <c r="Z7" s="236">
        <f>入學要求!W159</f>
        <v>0</v>
      </c>
      <c r="AA7" s="236">
        <f>入學要求!X159</f>
        <v>0</v>
      </c>
      <c r="AB7" s="36">
        <f t="shared" si="2"/>
        <v>15.05</v>
      </c>
      <c r="AC7" s="537"/>
      <c r="AD7" s="36" cm="1">
        <f t="array" ref="AD7">IFERROR(INDEX('Offer Statistics'!$BQ$2:$BQ$600,MATCH(1,($A7='Offer Statistics'!$BB$2:$BB$600)*($AC$2='Offer Statistics'!$BC$2:$BC$600),0)),"/")</f>
        <v>22</v>
      </c>
      <c r="AE7" s="63" cm="1">
        <f t="array" ref="AE7">IFERROR(INDEX('Offer Statistics'!BL$2:BL$600,MATCH(1,($A7='Offer Statistics'!$BB$2:$BB$600)*($AC$2='Offer Statistics'!$BC$2:$BC$600),0)),"/")</f>
        <v>22</v>
      </c>
      <c r="AF7" s="63" cm="1">
        <f t="array" ref="AF7">IFERROR(INDEX('Offer Statistics'!BM$2:BM$600,MATCH(1,($A7='Offer Statistics'!$BB$2:$BB$600)*($AC$2='Offer Statistics'!$BC$2:$BC$600),0)),"/")</f>
        <v>0</v>
      </c>
      <c r="AG7" s="63" cm="1">
        <f t="array" ref="AG7">IFERROR(INDEX('Offer Statistics'!BN$2:BN$600,MATCH(1,($A7='Offer Statistics'!$BB$2:$BB$600)*($AC$2='Offer Statistics'!$BC$2:$BC$600),0)),"/")</f>
        <v>0</v>
      </c>
      <c r="AH7" s="63" cm="1">
        <f t="array" ref="AH7">IFERROR(INDEX('Offer Statistics'!BO$2:BO$600,MATCH(1,($A7='Offer Statistics'!$BB$2:$BB$600)*($AC$2='Offer Statistics'!$BC$2:$BC$600),0)),"/")</f>
        <v>0</v>
      </c>
      <c r="AI7" s="63" cm="1">
        <f t="array" ref="AI7">IFERROR(INDEX('Offer Statistics'!BP$2:BP$600,MATCH(1,($A7='Offer Statistics'!$BB$2:$BB$600)*($AC$2='Offer Statistics'!$BC$2:$BC$600),0)),"/")</f>
        <v>0</v>
      </c>
      <c r="AJ7" s="538"/>
      <c r="AK7" s="36" cm="1">
        <f t="array" ref="AK7">IFERROR(INDEX('Offer Statistics'!$BI$2:$BI$600,MATCH(1,($A7='Offer Statistics'!$BB$2:$BB$600)*($AC$2='Offer Statistics'!$BC$2:$BC$600),0)),"/")</f>
        <v>1857</v>
      </c>
      <c r="AL7" s="63" cm="1">
        <f t="array" ref="AL7">IFERROR(INDEX('Offer Statistics'!BD$2:BD$600,MATCH(1,($A7='Offer Statistics'!$BB$2:$BB$600)*($AC$2='Offer Statistics'!$BC$2:$BC$600),0)),"/")</f>
        <v>331</v>
      </c>
      <c r="AM7" s="63" cm="1">
        <f t="array" ref="AM7">IFERROR(INDEX('Offer Statistics'!BE$2:BE$600,MATCH(1,($A7='Offer Statistics'!$BB$2:$BB$600)*($AC$2='Offer Statistics'!$BC$2:$BC$600),0)),"/")</f>
        <v>250</v>
      </c>
      <c r="AN7" s="63" cm="1">
        <f t="array" ref="AN7">IFERROR(INDEX('Offer Statistics'!BF$2:BF$600,MATCH(1,($A7='Offer Statistics'!$BB$2:$BB$600)*($AC$2='Offer Statistics'!$BC$2:$BC$600),0)),"/")</f>
        <v>332</v>
      </c>
      <c r="AO7" s="63" cm="1">
        <f t="array" ref="AO7">IFERROR(INDEX('Offer Statistics'!BG$2:BG$600,MATCH(1,($A7='Offer Statistics'!$BB$2:$BB$600)*($AC$2='Offer Statistics'!$BC$2:$BC$600),0)),"/")</f>
        <v>486</v>
      </c>
      <c r="AP7" s="63" cm="1">
        <f t="array" ref="AP7">IFERROR(INDEX('Offer Statistics'!BH$2:BH$600,MATCH(1,($A7='Offer Statistics'!$BB$2:$BB$600)*($AC$2='Offer Statistics'!$BC$2:$BC$600),0)),"/")</f>
        <v>458</v>
      </c>
      <c r="AQ7" s="15"/>
      <c r="AR7" s="15" t="str">
        <f t="shared" si="3"/>
        <v>JS4068</v>
      </c>
    </row>
    <row r="8" spans="1:44" ht="18" customHeight="1">
      <c r="A8" s="4" t="str">
        <f>'Reference Score Calculation'!B151</f>
        <v>JS4070</v>
      </c>
      <c r="B8" s="4" t="str">
        <f>'Reference Score Calculation'!D151</f>
        <v>文學院</v>
      </c>
      <c r="C8" s="4" t="str">
        <f>'Reference Score Calculation'!E151</f>
        <v>語言學</v>
      </c>
      <c r="D8" s="4" t="str">
        <f>'Reference Score Calculation'!S151</f>
        <v>LINGUISTICS</v>
      </c>
      <c r="E8" s="352" t="str">
        <f>'Reference Score Calculation'!AC151</f>
        <v>Best 5</v>
      </c>
      <c r="F8" s="354" t="str">
        <f>'Reference Score Calculation'!F151</f>
        <v>Best 5</v>
      </c>
      <c r="G8" s="6">
        <f>'Reference Score Calculation'!H151</f>
        <v>24.5</v>
      </c>
      <c r="H8" s="6">
        <f>'Reference Score Calculation'!I151</f>
        <v>23.5</v>
      </c>
      <c r="I8" s="6">
        <f>'Reference Score Calculation'!J151</f>
        <v>23</v>
      </c>
      <c r="J8" s="45">
        <f>計分版!J174</f>
        <v>3.4999999999999999E-9</v>
      </c>
      <c r="K8" s="25">
        <f t="shared" si="0"/>
        <v>-23.499999996500001</v>
      </c>
      <c r="L8" s="26">
        <f t="shared" si="1"/>
        <v>-6714285713.2857151</v>
      </c>
      <c r="M8" s="36">
        <f>'Reference Score Calculation'!U151</f>
        <v>22</v>
      </c>
      <c r="N8" s="84">
        <f>入學要求!Z160</f>
        <v>0</v>
      </c>
      <c r="O8" s="544"/>
      <c r="P8" s="161">
        <f>入學要求!L160</f>
        <v>3</v>
      </c>
      <c r="Q8" s="161">
        <f>入學要求!M160</f>
        <v>3</v>
      </c>
      <c r="R8" s="161">
        <f>入學要求!N160</f>
        <v>2</v>
      </c>
      <c r="S8" s="161">
        <f>入學要求!O160</f>
        <v>1</v>
      </c>
      <c r="T8" s="161">
        <f>入學要求!P160</f>
        <v>3</v>
      </c>
      <c r="U8" s="161">
        <f>入學要求!Q160</f>
        <v>3</v>
      </c>
      <c r="V8" s="236">
        <f>入學要求!S160</f>
        <v>0</v>
      </c>
      <c r="W8" s="236">
        <f>入學要求!T160</f>
        <v>0</v>
      </c>
      <c r="X8" s="236">
        <f>入學要求!U160</f>
        <v>0</v>
      </c>
      <c r="Y8" s="236">
        <f>入學要求!V160</f>
        <v>0</v>
      </c>
      <c r="Z8" s="236">
        <f>入學要求!W160</f>
        <v>0</v>
      </c>
      <c r="AA8" s="236">
        <f>入學要求!X160</f>
        <v>0</v>
      </c>
      <c r="AB8" s="36">
        <f t="shared" si="2"/>
        <v>6.8</v>
      </c>
      <c r="AC8" s="537"/>
      <c r="AD8" s="36" cm="1">
        <f t="array" ref="AD8">IFERROR(INDEX('Offer Statistics'!$BQ$2:$BQ$600,MATCH(1,($A8='Offer Statistics'!$BB$2:$BB$600)*($AC$2='Offer Statistics'!$BC$2:$BC$600),0)),"/")</f>
        <v>23</v>
      </c>
      <c r="AE8" s="63" cm="1">
        <f t="array" ref="AE8">IFERROR(INDEX('Offer Statistics'!BL$2:BL$600,MATCH(1,($A8='Offer Statistics'!$BB$2:$BB$600)*($AC$2='Offer Statistics'!$BC$2:$BC$600),0)),"/")</f>
        <v>20</v>
      </c>
      <c r="AF8" s="63" cm="1">
        <f t="array" ref="AF8">IFERROR(INDEX('Offer Statistics'!BM$2:BM$600,MATCH(1,($A8='Offer Statistics'!$BB$2:$BB$600)*($AC$2='Offer Statistics'!$BC$2:$BC$600),0)),"/")</f>
        <v>3</v>
      </c>
      <c r="AG8" s="63" cm="1">
        <f t="array" ref="AG8">IFERROR(INDEX('Offer Statistics'!BN$2:BN$600,MATCH(1,($A8='Offer Statistics'!$BB$2:$BB$600)*($AC$2='Offer Statistics'!$BC$2:$BC$600),0)),"/")</f>
        <v>0</v>
      </c>
      <c r="AH8" s="63" cm="1">
        <f t="array" ref="AH8">IFERROR(INDEX('Offer Statistics'!BO$2:BO$600,MATCH(1,($A8='Offer Statistics'!$BB$2:$BB$600)*($AC$2='Offer Statistics'!$BC$2:$BC$600),0)),"/")</f>
        <v>0</v>
      </c>
      <c r="AI8" s="63" cm="1">
        <f t="array" ref="AI8">IFERROR(INDEX('Offer Statistics'!BP$2:BP$600,MATCH(1,($A8='Offer Statistics'!$BB$2:$BB$600)*($AC$2='Offer Statistics'!$BC$2:$BC$600),0)),"/")</f>
        <v>0</v>
      </c>
      <c r="AJ8" s="538"/>
      <c r="AK8" s="36" cm="1">
        <f t="array" ref="AK8">IFERROR(INDEX('Offer Statistics'!$BI$2:$BI$600,MATCH(1,($A8='Offer Statistics'!$BB$2:$BB$600)*($AC$2='Offer Statistics'!$BC$2:$BC$600),0)),"/")</f>
        <v>1456</v>
      </c>
      <c r="AL8" s="63" cm="1">
        <f t="array" ref="AL8">IFERROR(INDEX('Offer Statistics'!BD$2:BD$600,MATCH(1,($A8='Offer Statistics'!$BB$2:$BB$600)*($AC$2='Offer Statistics'!$BC$2:$BC$600),0)),"/")</f>
        <v>136</v>
      </c>
      <c r="AM8" s="63" cm="1">
        <f t="array" ref="AM8">IFERROR(INDEX('Offer Statistics'!BE$2:BE$600,MATCH(1,($A8='Offer Statistics'!$BB$2:$BB$600)*($AC$2='Offer Statistics'!$BC$2:$BC$600),0)),"/")</f>
        <v>145</v>
      </c>
      <c r="AN8" s="63" cm="1">
        <f t="array" ref="AN8">IFERROR(INDEX('Offer Statistics'!BF$2:BF$600,MATCH(1,($A8='Offer Statistics'!$BB$2:$BB$600)*($AC$2='Offer Statistics'!$BC$2:$BC$600),0)),"/")</f>
        <v>321</v>
      </c>
      <c r="AO8" s="63" cm="1">
        <f t="array" ref="AO8">IFERROR(INDEX('Offer Statistics'!BG$2:BG$600,MATCH(1,($A8='Offer Statistics'!$BB$2:$BB$600)*($AC$2='Offer Statistics'!$BC$2:$BC$600),0)),"/")</f>
        <v>455</v>
      </c>
      <c r="AP8" s="63" cm="1">
        <f t="array" ref="AP8">IFERROR(INDEX('Offer Statistics'!BH$2:BH$600,MATCH(1,($A8='Offer Statistics'!$BB$2:$BB$600)*($AC$2='Offer Statistics'!$BC$2:$BC$600),0)),"/")</f>
        <v>399</v>
      </c>
      <c r="AQ8" s="15"/>
      <c r="AR8" s="15" t="str">
        <f t="shared" si="3"/>
        <v>JS4070</v>
      </c>
    </row>
    <row r="9" spans="1:44" s="10" customFormat="1" ht="18" customHeight="1">
      <c r="A9" s="4" t="str">
        <f>'Reference Score Calculation'!B152</f>
        <v>JS4082</v>
      </c>
      <c r="B9" s="4" t="str">
        <f>'Reference Score Calculation'!D152</f>
        <v>文學院</v>
      </c>
      <c r="C9" s="4" t="str">
        <f>'Reference Score Calculation'!E152</f>
        <v>音樂</v>
      </c>
      <c r="D9" s="4" t="str">
        <f>'Reference Score Calculation'!S152</f>
        <v>MUSIC</v>
      </c>
      <c r="E9" s="352" t="str">
        <f>'Reference Score Calculation'!AC152</f>
        <v>Best 5</v>
      </c>
      <c r="F9" s="354" t="str">
        <f>'Reference Score Calculation'!F152</f>
        <v>Best 5</v>
      </c>
      <c r="G9" s="6">
        <f>'Reference Score Calculation'!H152</f>
        <v>24.5</v>
      </c>
      <c r="H9" s="6">
        <f>'Reference Score Calculation'!I152</f>
        <v>21.5</v>
      </c>
      <c r="I9" s="6">
        <f>'Reference Score Calculation'!J152</f>
        <v>20.5</v>
      </c>
      <c r="J9" s="45">
        <f>計分版!J175</f>
        <v>3.4999999999999999E-9</v>
      </c>
      <c r="K9" s="25">
        <f t="shared" si="0"/>
        <v>-21.499999996500001</v>
      </c>
      <c r="L9" s="26">
        <f t="shared" si="1"/>
        <v>-6142857141.8571434</v>
      </c>
      <c r="M9" s="36">
        <f>'Reference Score Calculation'!U152</f>
        <v>27</v>
      </c>
      <c r="N9" s="84">
        <f>入學要求!Z161</f>
        <v>0</v>
      </c>
      <c r="O9" s="544"/>
      <c r="P9" s="161">
        <f>入學要求!L161</f>
        <v>3</v>
      </c>
      <c r="Q9" s="161">
        <f>入學要求!M161</f>
        <v>3</v>
      </c>
      <c r="R9" s="161">
        <f>入學要求!N161</f>
        <v>2</v>
      </c>
      <c r="S9" s="161">
        <f>入學要求!O161</f>
        <v>1</v>
      </c>
      <c r="T9" s="161">
        <f>入學要求!P161</f>
        <v>3</v>
      </c>
      <c r="U9" s="161">
        <f>入學要求!Q161</f>
        <v>3</v>
      </c>
      <c r="V9" s="236">
        <f>入學要求!S161</f>
        <v>0</v>
      </c>
      <c r="W9" s="236">
        <f>入學要求!T161</f>
        <v>0</v>
      </c>
      <c r="X9" s="236">
        <f>入學要求!U161</f>
        <v>0</v>
      </c>
      <c r="Y9" s="236">
        <f>入學要求!V161</f>
        <v>0</v>
      </c>
      <c r="Z9" s="236">
        <f>入學要求!W161</f>
        <v>0</v>
      </c>
      <c r="AA9" s="236">
        <f>入學要求!X161</f>
        <v>0</v>
      </c>
      <c r="AB9" s="36">
        <f t="shared" si="2"/>
        <v>6.81</v>
      </c>
      <c r="AC9" s="537"/>
      <c r="AD9" s="36" cm="1">
        <f t="array" ref="AD9">IFERROR(INDEX('Offer Statistics'!$BQ$2:$BQ$600,MATCH(1,($A9='Offer Statistics'!$BB$2:$BB$600)*($AC$2='Offer Statistics'!$BC$2:$BC$600),0)),"/")</f>
        <v>26</v>
      </c>
      <c r="AE9" s="63" cm="1">
        <f t="array" ref="AE9">IFERROR(INDEX('Offer Statistics'!BL$2:BL$600,MATCH(1,($A9='Offer Statistics'!$BB$2:$BB$600)*($AC$2='Offer Statistics'!$BC$2:$BC$600),0)),"/")</f>
        <v>26</v>
      </c>
      <c r="AF9" s="63" cm="1">
        <f t="array" ref="AF9">IFERROR(INDEX('Offer Statistics'!BM$2:BM$600,MATCH(1,($A9='Offer Statistics'!$BB$2:$BB$600)*($AC$2='Offer Statistics'!$BC$2:$BC$600),0)),"/")</f>
        <v>0</v>
      </c>
      <c r="AG9" s="63" cm="1">
        <f t="array" ref="AG9">IFERROR(INDEX('Offer Statistics'!BN$2:BN$600,MATCH(1,($A9='Offer Statistics'!$BB$2:$BB$600)*($AC$2='Offer Statistics'!$BC$2:$BC$600),0)),"/")</f>
        <v>0</v>
      </c>
      <c r="AH9" s="63" cm="1">
        <f t="array" ref="AH9">IFERROR(INDEX('Offer Statistics'!BO$2:BO$600,MATCH(1,($A9='Offer Statistics'!$BB$2:$BB$600)*($AC$2='Offer Statistics'!$BC$2:$BC$600),0)),"/")</f>
        <v>0</v>
      </c>
      <c r="AI9" s="63" cm="1">
        <f t="array" ref="AI9">IFERROR(INDEX('Offer Statistics'!BP$2:BP$600,MATCH(1,($A9='Offer Statistics'!$BB$2:$BB$600)*($AC$2='Offer Statistics'!$BC$2:$BC$600),0)),"/")</f>
        <v>0</v>
      </c>
      <c r="AJ9" s="538"/>
      <c r="AK9" s="36" cm="1">
        <f t="array" ref="AK9">IFERROR(INDEX('Offer Statistics'!$BI$2:$BI$600,MATCH(1,($A9='Offer Statistics'!$BB$2:$BB$600)*($AC$2='Offer Statistics'!$BC$2:$BC$600),0)),"/")</f>
        <v>822</v>
      </c>
      <c r="AL9" s="63" cm="1">
        <f t="array" ref="AL9">IFERROR(INDEX('Offer Statistics'!BD$2:BD$600,MATCH(1,($A9='Offer Statistics'!$BB$2:$BB$600)*($AC$2='Offer Statistics'!$BC$2:$BC$600),0)),"/")</f>
        <v>177</v>
      </c>
      <c r="AM9" s="63" cm="1">
        <f t="array" ref="AM9">IFERROR(INDEX('Offer Statistics'!BE$2:BE$600,MATCH(1,($A9='Offer Statistics'!$BB$2:$BB$600)*($AC$2='Offer Statistics'!$BC$2:$BC$600),0)),"/")</f>
        <v>103</v>
      </c>
      <c r="AN9" s="63" cm="1">
        <f t="array" ref="AN9">IFERROR(INDEX('Offer Statistics'!BF$2:BF$600,MATCH(1,($A9='Offer Statistics'!$BB$2:$BB$600)*($AC$2='Offer Statistics'!$BC$2:$BC$600),0)),"/")</f>
        <v>131</v>
      </c>
      <c r="AO9" s="63" cm="1">
        <f t="array" ref="AO9">IFERROR(INDEX('Offer Statistics'!BG$2:BG$600,MATCH(1,($A9='Offer Statistics'!$BB$2:$BB$600)*($AC$2='Offer Statistics'!$BC$2:$BC$600),0)),"/")</f>
        <v>206</v>
      </c>
      <c r="AP9" s="63" cm="1">
        <f t="array" ref="AP9">IFERROR(INDEX('Offer Statistics'!BH$2:BH$600,MATCH(1,($A9='Offer Statistics'!$BB$2:$BB$600)*($AC$2='Offer Statistics'!$BC$2:$BC$600),0)),"/")</f>
        <v>205</v>
      </c>
      <c r="AQ9" s="15"/>
      <c r="AR9" s="15" t="str">
        <f t="shared" si="3"/>
        <v>JS4082</v>
      </c>
    </row>
    <row r="10" spans="1:44" ht="18" customHeight="1">
      <c r="A10" s="4" t="str">
        <f>'Reference Score Calculation'!B153</f>
        <v>JS4094</v>
      </c>
      <c r="B10" s="4" t="str">
        <f>'Reference Score Calculation'!D153</f>
        <v>文學院</v>
      </c>
      <c r="C10" s="4" t="str">
        <f>'Reference Score Calculation'!E153</f>
        <v>哲學</v>
      </c>
      <c r="D10" s="4" t="str">
        <f>'Reference Score Calculation'!S153</f>
        <v>PHILOSOPHY</v>
      </c>
      <c r="E10" s="352" t="str">
        <f>'Reference Score Calculation'!AC153</f>
        <v>Best 5</v>
      </c>
      <c r="F10" s="354" t="str">
        <f>'Reference Score Calculation'!F153</f>
        <v>Best 5</v>
      </c>
      <c r="G10" s="6">
        <f>'Reference Score Calculation'!H153</f>
        <v>26</v>
      </c>
      <c r="H10" s="6">
        <f>'Reference Score Calculation'!I153</f>
        <v>23.5</v>
      </c>
      <c r="I10" s="6">
        <f>'Reference Score Calculation'!J153</f>
        <v>22</v>
      </c>
      <c r="J10" s="45">
        <f>計分版!J176</f>
        <v>2.7000000000000002E-9</v>
      </c>
      <c r="K10" s="25">
        <f t="shared" si="0"/>
        <v>-23.499999997300002</v>
      </c>
      <c r="L10" s="26">
        <f t="shared" si="1"/>
        <v>-8703703702.7037029</v>
      </c>
      <c r="M10" s="36">
        <f>'Reference Score Calculation'!U153</f>
        <v>19</v>
      </c>
      <c r="N10" s="84">
        <f>入學要求!Z162</f>
        <v>0</v>
      </c>
      <c r="O10" s="544"/>
      <c r="P10" s="161">
        <f>入學要求!L162</f>
        <v>3</v>
      </c>
      <c r="Q10" s="161">
        <f>入學要求!M162</f>
        <v>3</v>
      </c>
      <c r="R10" s="161">
        <f>入學要求!N162</f>
        <v>2</v>
      </c>
      <c r="S10" s="161">
        <f>入學要求!O162</f>
        <v>1</v>
      </c>
      <c r="T10" s="161">
        <f>入學要求!P162</f>
        <v>3</v>
      </c>
      <c r="U10" s="161">
        <f>入學要求!Q162</f>
        <v>3</v>
      </c>
      <c r="V10" s="236">
        <f>入學要求!S162</f>
        <v>0</v>
      </c>
      <c r="W10" s="236">
        <f>入學要求!T162</f>
        <v>0</v>
      </c>
      <c r="X10" s="236">
        <f>入學要求!U162</f>
        <v>0</v>
      </c>
      <c r="Y10" s="236">
        <f>入學要求!V162</f>
        <v>0</v>
      </c>
      <c r="Z10" s="236">
        <f>入學要求!W162</f>
        <v>0</v>
      </c>
      <c r="AA10" s="236">
        <f>入學要求!X162</f>
        <v>0</v>
      </c>
      <c r="AB10" s="36">
        <f t="shared" si="2"/>
        <v>8.6199999999999992</v>
      </c>
      <c r="AC10" s="537"/>
      <c r="AD10" s="36" cm="1">
        <f t="array" ref="AD10">IFERROR(INDEX('Offer Statistics'!$BQ$2:$BQ$600,MATCH(1,($A10='Offer Statistics'!$BB$2:$BB$600)*($AC$2='Offer Statistics'!$BC$2:$BC$600),0)),"/")</f>
        <v>21</v>
      </c>
      <c r="AE10" s="63" cm="1">
        <f t="array" ref="AE10">IFERROR(INDEX('Offer Statistics'!BL$2:BL$600,MATCH(1,($A10='Offer Statistics'!$BB$2:$BB$600)*($AC$2='Offer Statistics'!$BC$2:$BC$600),0)),"/")</f>
        <v>21</v>
      </c>
      <c r="AF10" s="63" cm="1">
        <f t="array" ref="AF10">IFERROR(INDEX('Offer Statistics'!BM$2:BM$600,MATCH(1,($A10='Offer Statistics'!$BB$2:$BB$600)*($AC$2='Offer Statistics'!$BC$2:$BC$600),0)),"/")</f>
        <v>0</v>
      </c>
      <c r="AG10" s="63" cm="1">
        <f t="array" ref="AG10">IFERROR(INDEX('Offer Statistics'!BN$2:BN$600,MATCH(1,($A10='Offer Statistics'!$BB$2:$BB$600)*($AC$2='Offer Statistics'!$BC$2:$BC$600),0)),"/")</f>
        <v>0</v>
      </c>
      <c r="AH10" s="63" cm="1">
        <f t="array" ref="AH10">IFERROR(INDEX('Offer Statistics'!BO$2:BO$600,MATCH(1,($A10='Offer Statistics'!$BB$2:$BB$600)*($AC$2='Offer Statistics'!$BC$2:$BC$600),0)),"/")</f>
        <v>0</v>
      </c>
      <c r="AI10" s="63" cm="1">
        <f t="array" ref="AI10">IFERROR(INDEX('Offer Statistics'!BP$2:BP$600,MATCH(1,($A10='Offer Statistics'!$BB$2:$BB$600)*($AC$2='Offer Statistics'!$BC$2:$BC$600),0)),"/")</f>
        <v>0</v>
      </c>
      <c r="AJ10" s="538"/>
      <c r="AK10" s="36" cm="1">
        <f t="array" ref="AK10">IFERROR(INDEX('Offer Statistics'!$BI$2:$BI$600,MATCH(1,($A10='Offer Statistics'!$BB$2:$BB$600)*($AC$2='Offer Statistics'!$BC$2:$BC$600),0)),"/")</f>
        <v>1745</v>
      </c>
      <c r="AL10" s="63" cm="1">
        <f t="array" ref="AL10">IFERROR(INDEX('Offer Statistics'!BD$2:BD$600,MATCH(1,($A10='Offer Statistics'!$BB$2:$BB$600)*($AC$2='Offer Statistics'!$BC$2:$BC$600),0)),"/")</f>
        <v>181</v>
      </c>
      <c r="AM10" s="63" cm="1">
        <f t="array" ref="AM10">IFERROR(INDEX('Offer Statistics'!BE$2:BE$600,MATCH(1,($A10='Offer Statistics'!$BB$2:$BB$600)*($AC$2='Offer Statistics'!$BC$2:$BC$600),0)),"/")</f>
        <v>201</v>
      </c>
      <c r="AN10" s="63" cm="1">
        <f t="array" ref="AN10">IFERROR(INDEX('Offer Statistics'!BF$2:BF$600,MATCH(1,($A10='Offer Statistics'!$BB$2:$BB$600)*($AC$2='Offer Statistics'!$BC$2:$BC$600),0)),"/")</f>
        <v>329</v>
      </c>
      <c r="AO10" s="63" cm="1">
        <f t="array" ref="AO10">IFERROR(INDEX('Offer Statistics'!BG$2:BG$600,MATCH(1,($A10='Offer Statistics'!$BB$2:$BB$600)*($AC$2='Offer Statistics'!$BC$2:$BC$600),0)),"/")</f>
        <v>513</v>
      </c>
      <c r="AP10" s="63" cm="1">
        <f t="array" ref="AP10">IFERROR(INDEX('Offer Statistics'!BH$2:BH$600,MATCH(1,($A10='Offer Statistics'!$BB$2:$BB$600)*($AC$2='Offer Statistics'!$BC$2:$BC$600),0)),"/")</f>
        <v>521</v>
      </c>
      <c r="AQ10" s="15"/>
      <c r="AR10" s="15" t="str">
        <f t="shared" si="3"/>
        <v>JS4094</v>
      </c>
    </row>
    <row r="11" spans="1:44" s="10" customFormat="1" ht="18" customHeight="1">
      <c r="A11" s="4" t="str">
        <f>'Reference Score Calculation'!B154</f>
        <v>JS4100</v>
      </c>
      <c r="B11" s="4" t="str">
        <f>'Reference Score Calculation'!D154</f>
        <v>文學院</v>
      </c>
      <c r="C11" s="4" t="str">
        <f>'Reference Score Calculation'!E154</f>
        <v>公共人文學</v>
      </c>
      <c r="D11" s="4" t="str">
        <f>'Reference Score Calculation'!S154</f>
        <v>PUBLIC HUMANITIES</v>
      </c>
      <c r="E11" s="352" t="str">
        <f>'Reference Score Calculation'!AC154</f>
        <v>Best 5</v>
      </c>
      <c r="F11" s="354" t="str">
        <f>'Reference Score Calculation'!F154</f>
        <v>Best 5</v>
      </c>
      <c r="G11" s="6">
        <f>'Reference Score Calculation'!H154</f>
        <v>24</v>
      </c>
      <c r="H11" s="6">
        <f>'Reference Score Calculation'!I154</f>
        <v>23.5</v>
      </c>
      <c r="I11" s="6">
        <f>'Reference Score Calculation'!J154</f>
        <v>22</v>
      </c>
      <c r="J11" s="45">
        <f>計分版!J177</f>
        <v>3.4999999999999999E-9</v>
      </c>
      <c r="K11" s="25">
        <f t="shared" si="0"/>
        <v>-23.499999996500001</v>
      </c>
      <c r="L11" s="26">
        <f t="shared" si="1"/>
        <v>-6714285713.2857151</v>
      </c>
      <c r="M11" s="36">
        <f>'Reference Score Calculation'!U154</f>
        <v>37</v>
      </c>
      <c r="N11" s="84">
        <f>入學要求!Z163</f>
        <v>0</v>
      </c>
      <c r="O11" s="544"/>
      <c r="P11" s="161">
        <f>入學要求!L163</f>
        <v>3</v>
      </c>
      <c r="Q11" s="161">
        <f>入學要求!M163</f>
        <v>3</v>
      </c>
      <c r="R11" s="161">
        <f>入學要求!N163</f>
        <v>2</v>
      </c>
      <c r="S11" s="161">
        <f>入學要求!O163</f>
        <v>1</v>
      </c>
      <c r="T11" s="161">
        <f>入學要求!P163</f>
        <v>3</v>
      </c>
      <c r="U11" s="161">
        <f>入學要求!Q163</f>
        <v>3</v>
      </c>
      <c r="V11" s="236">
        <f>入學要求!S163</f>
        <v>0</v>
      </c>
      <c r="W11" s="236">
        <f>入學要求!T163</f>
        <v>0</v>
      </c>
      <c r="X11" s="236">
        <f>入學要求!U163</f>
        <v>0</v>
      </c>
      <c r="Y11" s="236">
        <f>入學要求!V163</f>
        <v>0</v>
      </c>
      <c r="Z11" s="236">
        <f>入學要求!W163</f>
        <v>0</v>
      </c>
      <c r="AA11" s="236">
        <f>入學要求!X163</f>
        <v>0</v>
      </c>
      <c r="AB11" s="36" t="str">
        <f t="shared" si="2"/>
        <v>/</v>
      </c>
      <c r="AC11" s="537"/>
      <c r="AD11" s="36" t="str" cm="1">
        <f t="array" ref="AD11">IFERROR(INDEX('Offer Statistics'!$BQ$2:$BQ$600,MATCH(1,($A11='Offer Statistics'!$BB$2:$BB$600)*($AC$2='Offer Statistics'!$BC$2:$BC$600),0)),"/")</f>
        <v>/</v>
      </c>
      <c r="AE11" s="63" t="str" cm="1">
        <f t="array" ref="AE11">IFERROR(INDEX('Offer Statistics'!BL$2:BL$600,MATCH(1,($A11='Offer Statistics'!$BB$2:$BB$600)*($AC$2='Offer Statistics'!$BC$2:$BC$600),0)),"/")</f>
        <v>/</v>
      </c>
      <c r="AF11" s="63" t="str" cm="1">
        <f t="array" ref="AF11">IFERROR(INDEX('Offer Statistics'!BM$2:BM$600,MATCH(1,($A11='Offer Statistics'!$BB$2:$BB$600)*($AC$2='Offer Statistics'!$BC$2:$BC$600),0)),"/")</f>
        <v>/</v>
      </c>
      <c r="AG11" s="63" t="str" cm="1">
        <f t="array" ref="AG11">IFERROR(INDEX('Offer Statistics'!BN$2:BN$600,MATCH(1,($A11='Offer Statistics'!$BB$2:$BB$600)*($AC$2='Offer Statistics'!$BC$2:$BC$600),0)),"/")</f>
        <v>/</v>
      </c>
      <c r="AH11" s="63" t="str" cm="1">
        <f t="array" ref="AH11">IFERROR(INDEX('Offer Statistics'!BO$2:BO$600,MATCH(1,($A11='Offer Statistics'!$BB$2:$BB$600)*($AC$2='Offer Statistics'!$BC$2:$BC$600),0)),"/")</f>
        <v>/</v>
      </c>
      <c r="AI11" s="63" t="str" cm="1">
        <f t="array" ref="AI11">IFERROR(INDEX('Offer Statistics'!BP$2:BP$600,MATCH(1,($A11='Offer Statistics'!$BB$2:$BB$600)*($AC$2='Offer Statistics'!$BC$2:$BC$600),0)),"/")</f>
        <v>/</v>
      </c>
      <c r="AJ11" s="538"/>
      <c r="AK11" s="36" t="str" cm="1">
        <f t="array" ref="AK11">IFERROR(INDEX('Offer Statistics'!$BI$2:$BI$600,MATCH(1,($A11='Offer Statistics'!$BB$2:$BB$600)*($AC$2='Offer Statistics'!$BC$2:$BC$600),0)),"/")</f>
        <v>/</v>
      </c>
      <c r="AL11" s="63" t="str" cm="1">
        <f t="array" ref="AL11">IFERROR(INDEX('Offer Statistics'!BD$2:BD$600,MATCH(1,($A11='Offer Statistics'!$BB$2:$BB$600)*($AC$2='Offer Statistics'!$BC$2:$BC$600),0)),"/")</f>
        <v>/</v>
      </c>
      <c r="AM11" s="63" t="str" cm="1">
        <f t="array" ref="AM11">IFERROR(INDEX('Offer Statistics'!BE$2:BE$600,MATCH(1,($A11='Offer Statistics'!$BB$2:$BB$600)*($AC$2='Offer Statistics'!$BC$2:$BC$600),0)),"/")</f>
        <v>/</v>
      </c>
      <c r="AN11" s="63" t="str" cm="1">
        <f t="array" ref="AN11">IFERROR(INDEX('Offer Statistics'!BF$2:BF$600,MATCH(1,($A11='Offer Statistics'!$BB$2:$BB$600)*($AC$2='Offer Statistics'!$BC$2:$BC$600),0)),"/")</f>
        <v>/</v>
      </c>
      <c r="AO11" s="63" t="str" cm="1">
        <f t="array" ref="AO11">IFERROR(INDEX('Offer Statistics'!BG$2:BG$600,MATCH(1,($A11='Offer Statistics'!$BB$2:$BB$600)*($AC$2='Offer Statistics'!$BC$2:$BC$600),0)),"/")</f>
        <v>/</v>
      </c>
      <c r="AP11" s="63" t="str" cm="1">
        <f t="array" ref="AP11">IFERROR(INDEX('Offer Statistics'!BH$2:BH$600,MATCH(1,($A11='Offer Statistics'!$BB$2:$BB$600)*($AC$2='Offer Statistics'!$BC$2:$BC$600),0)),"/")</f>
        <v>/</v>
      </c>
      <c r="AQ11" s="15"/>
      <c r="AR11" s="15" t="str">
        <f t="shared" si="3"/>
        <v>JS4100</v>
      </c>
    </row>
    <row r="12" spans="1:44" ht="18" customHeight="1">
      <c r="A12" s="4" t="str">
        <f>'Reference Score Calculation'!B155</f>
        <v>JS4109</v>
      </c>
      <c r="B12" s="4" t="str">
        <f>'Reference Score Calculation'!D155</f>
        <v>文學院</v>
      </c>
      <c r="C12" s="4" t="str">
        <f>'Reference Score Calculation'!E155</f>
        <v>宗教研究</v>
      </c>
      <c r="D12" s="4" t="str">
        <f>'Reference Score Calculation'!S155</f>
        <v>RELIGION</v>
      </c>
      <c r="E12" s="352" t="str">
        <f>'Reference Score Calculation'!AC155</f>
        <v>Best 5</v>
      </c>
      <c r="F12" s="354" t="str">
        <f>'Reference Score Calculation'!F155</f>
        <v>Best 5</v>
      </c>
      <c r="G12" s="6">
        <f>'Reference Score Calculation'!H155</f>
        <v>21.5</v>
      </c>
      <c r="H12" s="6">
        <f>'Reference Score Calculation'!I155</f>
        <v>21</v>
      </c>
      <c r="I12" s="6">
        <f>'Reference Score Calculation'!J155</f>
        <v>20.5</v>
      </c>
      <c r="J12" s="45">
        <f>計分版!J178</f>
        <v>3.4999999999999999E-9</v>
      </c>
      <c r="K12" s="25">
        <f t="shared" si="0"/>
        <v>-20.999999996500001</v>
      </c>
      <c r="L12" s="26">
        <f t="shared" si="1"/>
        <v>-5999999999.000001</v>
      </c>
      <c r="M12" s="36" t="str">
        <f>'Reference Score Calculation'!U155</f>
        <v>18*</v>
      </c>
      <c r="N12" s="84">
        <f>入學要求!Z164</f>
        <v>0</v>
      </c>
      <c r="O12" s="544"/>
      <c r="P12" s="161">
        <f>入學要求!L164</f>
        <v>3</v>
      </c>
      <c r="Q12" s="161">
        <f>入學要求!M164</f>
        <v>3</v>
      </c>
      <c r="R12" s="161">
        <f>入學要求!N164</f>
        <v>2</v>
      </c>
      <c r="S12" s="161">
        <f>入學要求!O164</f>
        <v>1</v>
      </c>
      <c r="T12" s="161">
        <f>入學要求!P164</f>
        <v>3</v>
      </c>
      <c r="U12" s="161">
        <f>入學要求!Q164</f>
        <v>3</v>
      </c>
      <c r="V12" s="236">
        <f>入學要求!S164</f>
        <v>0</v>
      </c>
      <c r="W12" s="236">
        <f>入學要求!T164</f>
        <v>0</v>
      </c>
      <c r="X12" s="236">
        <f>入學要求!U164</f>
        <v>0</v>
      </c>
      <c r="Y12" s="236">
        <f>入學要求!V164</f>
        <v>0</v>
      </c>
      <c r="Z12" s="236">
        <f>入學要求!W164</f>
        <v>0</v>
      </c>
      <c r="AA12" s="236">
        <f>入學要求!X164</f>
        <v>0</v>
      </c>
      <c r="AB12" s="36">
        <f t="shared" si="2"/>
        <v>10</v>
      </c>
      <c r="AC12" s="537"/>
      <c r="AD12" s="36" cm="1">
        <f t="array" ref="AD12">IFERROR(INDEX('Offer Statistics'!$BQ$2:$BQ$600,MATCH(1,($A12='Offer Statistics'!$BB$2:$BB$600)*($AC$2='Offer Statistics'!$BC$2:$BC$600),0)),"/")</f>
        <v>16</v>
      </c>
      <c r="AE12" s="63" cm="1">
        <f t="array" ref="AE12">IFERROR(INDEX('Offer Statistics'!BL$2:BL$600,MATCH(1,($A12='Offer Statistics'!$BB$2:$BB$600)*($AC$2='Offer Statistics'!$BC$2:$BC$600),0)),"/")</f>
        <v>16</v>
      </c>
      <c r="AF12" s="63" cm="1">
        <f t="array" ref="AF12">IFERROR(INDEX('Offer Statistics'!BM$2:BM$600,MATCH(1,($A12='Offer Statistics'!$BB$2:$BB$600)*($AC$2='Offer Statistics'!$BC$2:$BC$600),0)),"/")</f>
        <v>0</v>
      </c>
      <c r="AG12" s="63" cm="1">
        <f t="array" ref="AG12">IFERROR(INDEX('Offer Statistics'!BN$2:BN$600,MATCH(1,($A12='Offer Statistics'!$BB$2:$BB$600)*($AC$2='Offer Statistics'!$BC$2:$BC$600),0)),"/")</f>
        <v>0</v>
      </c>
      <c r="AH12" s="63" cm="1">
        <f t="array" ref="AH12">IFERROR(INDEX('Offer Statistics'!BO$2:BO$600,MATCH(1,($A12='Offer Statistics'!$BB$2:$BB$600)*($AC$2='Offer Statistics'!$BC$2:$BC$600),0)),"/")</f>
        <v>0</v>
      </c>
      <c r="AI12" s="63" cm="1">
        <f t="array" ref="AI12">IFERROR(INDEX('Offer Statistics'!BP$2:BP$600,MATCH(1,($A12='Offer Statistics'!$BB$2:$BB$600)*($AC$2='Offer Statistics'!$BC$2:$BC$600),0)),"/")</f>
        <v>0</v>
      </c>
      <c r="AJ12" s="538"/>
      <c r="AK12" s="36" cm="1">
        <f t="array" ref="AK12">IFERROR(INDEX('Offer Statistics'!$BI$2:$BI$600,MATCH(1,($A12='Offer Statistics'!$BB$2:$BB$600)*($AC$2='Offer Statistics'!$BC$2:$BC$600),0)),"/")</f>
        <v>880</v>
      </c>
      <c r="AL12" s="63" cm="1">
        <f t="array" ref="AL12">IFERROR(INDEX('Offer Statistics'!BD$2:BD$600,MATCH(1,($A12='Offer Statistics'!$BB$2:$BB$600)*($AC$2='Offer Statistics'!$BC$2:$BC$600),0)),"/")</f>
        <v>160</v>
      </c>
      <c r="AM12" s="63" cm="1">
        <f t="array" ref="AM12">IFERROR(INDEX('Offer Statistics'!BE$2:BE$600,MATCH(1,($A12='Offer Statistics'!$BB$2:$BB$600)*($AC$2='Offer Statistics'!$BC$2:$BC$600),0)),"/")</f>
        <v>106</v>
      </c>
      <c r="AN12" s="63" cm="1">
        <f t="array" ref="AN12">IFERROR(INDEX('Offer Statistics'!BF$2:BF$600,MATCH(1,($A12='Offer Statistics'!$BB$2:$BB$600)*($AC$2='Offer Statistics'!$BC$2:$BC$600),0)),"/")</f>
        <v>159</v>
      </c>
      <c r="AO12" s="63" cm="1">
        <f t="array" ref="AO12">IFERROR(INDEX('Offer Statistics'!BG$2:BG$600,MATCH(1,($A12='Offer Statistics'!$BB$2:$BB$600)*($AC$2='Offer Statistics'!$BC$2:$BC$600),0)),"/")</f>
        <v>224</v>
      </c>
      <c r="AP12" s="63" cm="1">
        <f t="array" ref="AP12">IFERROR(INDEX('Offer Statistics'!BH$2:BH$600,MATCH(1,($A12='Offer Statistics'!$BB$2:$BB$600)*($AC$2='Offer Statistics'!$BC$2:$BC$600),0)),"/")</f>
        <v>231</v>
      </c>
      <c r="AQ12" s="15"/>
      <c r="AR12" s="15" t="str">
        <f t="shared" si="3"/>
        <v>JS4109</v>
      </c>
    </row>
    <row r="13" spans="1:44" s="10" customFormat="1" ht="18" customHeight="1">
      <c r="A13" s="4" t="str">
        <f>'Reference Score Calculation'!B156</f>
        <v>JS4111</v>
      </c>
      <c r="B13" s="4" t="str">
        <f>'Reference Score Calculation'!D156</f>
        <v>文學院</v>
      </c>
      <c r="C13" s="4" t="str">
        <f>'Reference Score Calculation'!E156</f>
        <v>神學</v>
      </c>
      <c r="D13" s="4" t="str">
        <f>'Reference Score Calculation'!S156</f>
        <v>THEOLOGY</v>
      </c>
      <c r="E13" s="352" t="str">
        <f>'Reference Score Calculation'!AC156</f>
        <v>Best 5</v>
      </c>
      <c r="F13" s="354" t="str">
        <f>'Reference Score Calculation'!F156</f>
        <v>Best 5</v>
      </c>
      <c r="G13" s="6" t="str">
        <f>'Reference Score Calculation'!H156</f>
        <v>/</v>
      </c>
      <c r="H13" s="6" t="str">
        <f>'Reference Score Calculation'!I156</f>
        <v>/</v>
      </c>
      <c r="I13" s="6" t="str">
        <f>'Reference Score Calculation'!J156</f>
        <v>/</v>
      </c>
      <c r="J13" s="45" t="str">
        <f>計分版!J179</f>
        <v>/</v>
      </c>
      <c r="K13" s="7" t="str">
        <f t="shared" si="0"/>
        <v>/</v>
      </c>
      <c r="L13" s="8" t="str">
        <f t="shared" si="1"/>
        <v>/</v>
      </c>
      <c r="M13" s="36" t="str">
        <f>'Reference Score Calculation'!U156</f>
        <v>18*</v>
      </c>
      <c r="N13" s="84">
        <f>入學要求!Z165</f>
        <v>0</v>
      </c>
      <c r="O13" s="544"/>
      <c r="P13" s="161">
        <f>入學要求!L165</f>
        <v>3</v>
      </c>
      <c r="Q13" s="161">
        <f>入學要求!M165</f>
        <v>3</v>
      </c>
      <c r="R13" s="161">
        <f>入學要求!N165</f>
        <v>2</v>
      </c>
      <c r="S13" s="161">
        <f>入學要求!O165</f>
        <v>1</v>
      </c>
      <c r="T13" s="161">
        <f>入學要求!P165</f>
        <v>3</v>
      </c>
      <c r="U13" s="161">
        <f>入學要求!Q165</f>
        <v>3</v>
      </c>
      <c r="V13" s="236">
        <f>入學要求!S165</f>
        <v>0</v>
      </c>
      <c r="W13" s="236">
        <f>入學要求!T165</f>
        <v>0</v>
      </c>
      <c r="X13" s="236">
        <f>入學要求!U165</f>
        <v>0</v>
      </c>
      <c r="Y13" s="236">
        <f>入學要求!V165</f>
        <v>0</v>
      </c>
      <c r="Z13" s="236">
        <f>入學要求!W165</f>
        <v>0</v>
      </c>
      <c r="AA13" s="236">
        <f>入學要求!X165</f>
        <v>0</v>
      </c>
      <c r="AB13" s="36" t="str">
        <f t="shared" si="2"/>
        <v>/</v>
      </c>
      <c r="AC13" s="537"/>
      <c r="AD13" s="36" cm="1">
        <f t="array" ref="AD13">IFERROR(INDEX('Offer Statistics'!$BQ$2:$BQ$600,MATCH(1,($A13='Offer Statistics'!$BB$2:$BB$600)*($AC$2='Offer Statistics'!$BC$2:$BC$600),0)),"/")</f>
        <v>0</v>
      </c>
      <c r="AE13" s="63" cm="1">
        <f t="array" ref="AE13">IFERROR(INDEX('Offer Statistics'!BL$2:BL$600,MATCH(1,($A13='Offer Statistics'!$BB$2:$BB$600)*($AC$2='Offer Statistics'!$BC$2:$BC$600),0)),"/")</f>
        <v>0</v>
      </c>
      <c r="AF13" s="63" cm="1">
        <f t="array" ref="AF13">IFERROR(INDEX('Offer Statistics'!BM$2:BM$600,MATCH(1,($A13='Offer Statistics'!$BB$2:$BB$600)*($AC$2='Offer Statistics'!$BC$2:$BC$600),0)),"/")</f>
        <v>0</v>
      </c>
      <c r="AG13" s="63" cm="1">
        <f t="array" ref="AG13">IFERROR(INDEX('Offer Statistics'!BN$2:BN$600,MATCH(1,($A13='Offer Statistics'!$BB$2:$BB$600)*($AC$2='Offer Statistics'!$BC$2:$BC$600),0)),"/")</f>
        <v>0</v>
      </c>
      <c r="AH13" s="63" cm="1">
        <f t="array" ref="AH13">IFERROR(INDEX('Offer Statistics'!BO$2:BO$600,MATCH(1,($A13='Offer Statistics'!$BB$2:$BB$600)*($AC$2='Offer Statistics'!$BC$2:$BC$600),0)),"/")</f>
        <v>0</v>
      </c>
      <c r="AI13" s="63" cm="1">
        <f t="array" ref="AI13">IFERROR(INDEX('Offer Statistics'!BP$2:BP$600,MATCH(1,($A13='Offer Statistics'!$BB$2:$BB$600)*($AC$2='Offer Statistics'!$BC$2:$BC$600),0)),"/")</f>
        <v>0</v>
      </c>
      <c r="AJ13" s="538"/>
      <c r="AK13" s="36" cm="1">
        <f t="array" ref="AK13">IFERROR(INDEX('Offer Statistics'!$BI$2:$BI$600,MATCH(1,($A13='Offer Statistics'!$BB$2:$BB$600)*($AC$2='Offer Statistics'!$BC$2:$BC$600),0)),"/")</f>
        <v>437</v>
      </c>
      <c r="AL13" s="63" cm="1">
        <f t="array" ref="AL13">IFERROR(INDEX('Offer Statistics'!BD$2:BD$600,MATCH(1,($A13='Offer Statistics'!$BB$2:$BB$600)*($AC$2='Offer Statistics'!$BC$2:$BC$600),0)),"/")</f>
        <v>25</v>
      </c>
      <c r="AM13" s="63" cm="1">
        <f t="array" ref="AM13">IFERROR(INDEX('Offer Statistics'!BE$2:BE$600,MATCH(1,($A13='Offer Statistics'!$BB$2:$BB$600)*($AC$2='Offer Statistics'!$BC$2:$BC$600),0)),"/")</f>
        <v>42</v>
      </c>
      <c r="AN13" s="63" cm="1">
        <f t="array" ref="AN13">IFERROR(INDEX('Offer Statistics'!BF$2:BF$600,MATCH(1,($A13='Offer Statistics'!$BB$2:$BB$600)*($AC$2='Offer Statistics'!$BC$2:$BC$600),0)),"/")</f>
        <v>72</v>
      </c>
      <c r="AO13" s="63" cm="1">
        <f t="array" ref="AO13">IFERROR(INDEX('Offer Statistics'!BG$2:BG$600,MATCH(1,($A13='Offer Statistics'!$BB$2:$BB$600)*($AC$2='Offer Statistics'!$BC$2:$BC$600),0)),"/")</f>
        <v>130</v>
      </c>
      <c r="AP13" s="63" cm="1">
        <f t="array" ref="AP13">IFERROR(INDEX('Offer Statistics'!BH$2:BH$600,MATCH(1,($A13='Offer Statistics'!$BB$2:$BB$600)*($AC$2='Offer Statistics'!$BC$2:$BC$600),0)),"/")</f>
        <v>168</v>
      </c>
      <c r="AQ13" s="15"/>
      <c r="AR13" s="15" t="str">
        <f t="shared" si="3"/>
        <v>JS4111</v>
      </c>
    </row>
    <row r="14" spans="1:44" ht="18" customHeight="1">
      <c r="A14" s="4" t="str">
        <f>'Reference Score Calculation'!B157</f>
        <v>JS4123</v>
      </c>
      <c r="B14" s="4" t="str">
        <f>'Reference Score Calculation'!D157</f>
        <v>文學院</v>
      </c>
      <c r="C14" s="4" t="str">
        <f>'Reference Score Calculation'!E157</f>
        <v>翻譯</v>
      </c>
      <c r="D14" s="4" t="str">
        <f>'Reference Score Calculation'!S157</f>
        <v>TRANSLATION</v>
      </c>
      <c r="E14" s="352" t="str">
        <f>'Reference Score Calculation'!AC157</f>
        <v>Best 5</v>
      </c>
      <c r="F14" s="354" t="str">
        <f>'Reference Score Calculation'!F157</f>
        <v>Best 5</v>
      </c>
      <c r="G14" s="6">
        <f>'Reference Score Calculation'!H157</f>
        <v>24.5</v>
      </c>
      <c r="H14" s="6">
        <f>'Reference Score Calculation'!I157</f>
        <v>23</v>
      </c>
      <c r="I14" s="6">
        <f>'Reference Score Calculation'!J157</f>
        <v>23</v>
      </c>
      <c r="J14" s="45">
        <f>計分版!J180</f>
        <v>3.4999999999999999E-9</v>
      </c>
      <c r="K14" s="25">
        <f t="shared" si="0"/>
        <v>-22.999999996500001</v>
      </c>
      <c r="L14" s="26">
        <f t="shared" si="1"/>
        <v>-6571428570.4285717</v>
      </c>
      <c r="M14" s="36">
        <f>'Reference Score Calculation'!U157</f>
        <v>32</v>
      </c>
      <c r="N14" s="84">
        <f>入學要求!Z166</f>
        <v>0</v>
      </c>
      <c r="O14" s="544"/>
      <c r="P14" s="161">
        <f>入學要求!L166</f>
        <v>3</v>
      </c>
      <c r="Q14" s="161">
        <f>入學要求!M166</f>
        <v>3</v>
      </c>
      <c r="R14" s="161">
        <f>入學要求!N166</f>
        <v>2</v>
      </c>
      <c r="S14" s="161">
        <f>入學要求!O166</f>
        <v>1</v>
      </c>
      <c r="T14" s="161">
        <f>入學要求!P166</f>
        <v>3</v>
      </c>
      <c r="U14" s="161">
        <f>入學要求!Q166</f>
        <v>3</v>
      </c>
      <c r="V14" s="236">
        <f>入學要求!S166</f>
        <v>0</v>
      </c>
      <c r="W14" s="236">
        <f>入學要求!T166</f>
        <v>0</v>
      </c>
      <c r="X14" s="236">
        <f>入學要求!U166</f>
        <v>0</v>
      </c>
      <c r="Y14" s="236">
        <f>入學要求!V166</f>
        <v>0</v>
      </c>
      <c r="Z14" s="236">
        <f>入學要求!W166</f>
        <v>0</v>
      </c>
      <c r="AA14" s="236">
        <f>入學要求!X166</f>
        <v>0</v>
      </c>
      <c r="AB14" s="36">
        <f t="shared" si="2"/>
        <v>7.38</v>
      </c>
      <c r="AC14" s="537"/>
      <c r="AD14" s="36" cm="1">
        <f t="array" ref="AD14">IFERROR(INDEX('Offer Statistics'!$BQ$2:$BQ$600,MATCH(1,($A14='Offer Statistics'!$BB$2:$BB$600)*($AC$2='Offer Statistics'!$BC$2:$BC$600),0)),"/")</f>
        <v>30</v>
      </c>
      <c r="AE14" s="63" cm="1">
        <f t="array" ref="AE14">IFERROR(INDEX('Offer Statistics'!BL$2:BL$600,MATCH(1,($A14='Offer Statistics'!$BB$2:$BB$600)*($AC$2='Offer Statistics'!$BC$2:$BC$600),0)),"/")</f>
        <v>29</v>
      </c>
      <c r="AF14" s="63" cm="1">
        <f t="array" ref="AF14">IFERROR(INDEX('Offer Statistics'!BM$2:BM$600,MATCH(1,($A14='Offer Statistics'!$BB$2:$BB$600)*($AC$2='Offer Statistics'!$BC$2:$BC$600),0)),"/")</f>
        <v>1</v>
      </c>
      <c r="AG14" s="63" cm="1">
        <f t="array" ref="AG14">IFERROR(INDEX('Offer Statistics'!BN$2:BN$600,MATCH(1,($A14='Offer Statistics'!$BB$2:$BB$600)*($AC$2='Offer Statistics'!$BC$2:$BC$600),0)),"/")</f>
        <v>0</v>
      </c>
      <c r="AH14" s="63" cm="1">
        <f t="array" ref="AH14">IFERROR(INDEX('Offer Statistics'!BO$2:BO$600,MATCH(1,($A14='Offer Statistics'!$BB$2:$BB$600)*($AC$2='Offer Statistics'!$BC$2:$BC$600),0)),"/")</f>
        <v>0</v>
      </c>
      <c r="AI14" s="63" cm="1">
        <f t="array" ref="AI14">IFERROR(INDEX('Offer Statistics'!BP$2:BP$600,MATCH(1,($A14='Offer Statistics'!$BB$2:$BB$600)*($AC$2='Offer Statistics'!$BC$2:$BC$600),0)),"/")</f>
        <v>0</v>
      </c>
      <c r="AJ14" s="538"/>
      <c r="AK14" s="36" cm="1">
        <f t="array" ref="AK14">IFERROR(INDEX('Offer Statistics'!$BI$2:$BI$600,MATCH(1,($A14='Offer Statistics'!$BB$2:$BB$600)*($AC$2='Offer Statistics'!$BC$2:$BC$600),0)),"/")</f>
        <v>1785</v>
      </c>
      <c r="AL14" s="63" cm="1">
        <f t="array" ref="AL14">IFERROR(INDEX('Offer Statistics'!BD$2:BD$600,MATCH(1,($A14='Offer Statistics'!$BB$2:$BB$600)*($AC$2='Offer Statistics'!$BC$2:$BC$600),0)),"/")</f>
        <v>214</v>
      </c>
      <c r="AM14" s="63" cm="1">
        <f t="array" ref="AM14">IFERROR(INDEX('Offer Statistics'!BE$2:BE$600,MATCH(1,($A14='Offer Statistics'!$BB$2:$BB$600)*($AC$2='Offer Statistics'!$BC$2:$BC$600),0)),"/")</f>
        <v>233</v>
      </c>
      <c r="AN14" s="63" cm="1">
        <f t="array" ref="AN14">IFERROR(INDEX('Offer Statistics'!BF$2:BF$600,MATCH(1,($A14='Offer Statistics'!$BB$2:$BB$600)*($AC$2='Offer Statistics'!$BC$2:$BC$600),0)),"/")</f>
        <v>397</v>
      </c>
      <c r="AO14" s="63" cm="1">
        <f t="array" ref="AO14">IFERROR(INDEX('Offer Statistics'!BG$2:BG$600,MATCH(1,($A14='Offer Statistics'!$BB$2:$BB$600)*($AC$2='Offer Statistics'!$BC$2:$BC$600),0)),"/")</f>
        <v>473</v>
      </c>
      <c r="AP14" s="63" cm="1">
        <f t="array" ref="AP14">IFERROR(INDEX('Offer Statistics'!BH$2:BH$600,MATCH(1,($A14='Offer Statistics'!$BB$2:$BB$600)*($AC$2='Offer Statistics'!$BC$2:$BC$600),0)),"/")</f>
        <v>468</v>
      </c>
      <c r="AQ14" s="15"/>
      <c r="AR14" s="15" t="str">
        <f t="shared" si="3"/>
        <v>JS4123</v>
      </c>
    </row>
    <row r="15" spans="1:44" s="10" customFormat="1" ht="18" customHeight="1">
      <c r="A15" s="4" t="str">
        <f>'Reference Score Calculation'!B158</f>
        <v>JS4136</v>
      </c>
      <c r="B15" s="4" t="str">
        <f>'Reference Score Calculation'!D158</f>
        <v>文學院</v>
      </c>
      <c r="C15" s="4" t="str">
        <f>'Reference Score Calculation'!E158</f>
        <v>中國研究</v>
      </c>
      <c r="D15" s="4" t="str">
        <f>'Reference Score Calculation'!S158</f>
        <v>CHINESE STUDIES</v>
      </c>
      <c r="E15" s="352" t="str">
        <f>'Reference Score Calculation'!AC158</f>
        <v>Best 5</v>
      </c>
      <c r="F15" s="354" t="str">
        <f>'Reference Score Calculation'!F158</f>
        <v>Best 5</v>
      </c>
      <c r="G15" s="6">
        <f>'Reference Score Calculation'!H158</f>
        <v>24.5</v>
      </c>
      <c r="H15" s="6">
        <f>'Reference Score Calculation'!I158</f>
        <v>24</v>
      </c>
      <c r="I15" s="6">
        <f>'Reference Score Calculation'!J158</f>
        <v>23.375</v>
      </c>
      <c r="J15" s="45">
        <f>計分版!J181</f>
        <v>3.4999999999999999E-9</v>
      </c>
      <c r="K15" s="25">
        <f t="shared" si="0"/>
        <v>-23.999999996500001</v>
      </c>
      <c r="L15" s="26">
        <f t="shared" si="1"/>
        <v>-6857142856.1428576</v>
      </c>
      <c r="M15" s="36">
        <f>'Reference Score Calculation'!U158</f>
        <v>10</v>
      </c>
      <c r="N15" s="84">
        <f>入學要求!Z167</f>
        <v>0</v>
      </c>
      <c r="O15" s="544"/>
      <c r="P15" s="161">
        <f>入學要求!L167</f>
        <v>3</v>
      </c>
      <c r="Q15" s="161">
        <f>入學要求!M167</f>
        <v>3</v>
      </c>
      <c r="R15" s="161">
        <f>入學要求!N167</f>
        <v>2</v>
      </c>
      <c r="S15" s="161">
        <f>入學要求!O167</f>
        <v>1</v>
      </c>
      <c r="T15" s="161">
        <f>入學要求!P167</f>
        <v>3</v>
      </c>
      <c r="U15" s="161">
        <f>入學要求!Q167</f>
        <v>3</v>
      </c>
      <c r="V15" s="236">
        <f>入學要求!S167</f>
        <v>0</v>
      </c>
      <c r="W15" s="236">
        <f>入學要求!T167</f>
        <v>0</v>
      </c>
      <c r="X15" s="236">
        <f>入學要求!U167</f>
        <v>0</v>
      </c>
      <c r="Y15" s="236">
        <f>入學要求!V167</f>
        <v>0</v>
      </c>
      <c r="Z15" s="236">
        <f>入學要求!W167</f>
        <v>0</v>
      </c>
      <c r="AA15" s="236">
        <f>入學要求!X167</f>
        <v>0</v>
      </c>
      <c r="AB15" s="36">
        <f t="shared" si="2"/>
        <v>22.1</v>
      </c>
      <c r="AC15" s="537"/>
      <c r="AD15" s="36" cm="1">
        <f t="array" ref="AD15">IFERROR(INDEX('Offer Statistics'!$BQ$2:$BQ$600,MATCH(1,($A15='Offer Statistics'!$BB$2:$BB$600)*($AC$2='Offer Statistics'!$BC$2:$BC$600),0)),"/")</f>
        <v>10</v>
      </c>
      <c r="AE15" s="63" cm="1">
        <f t="array" ref="AE15">IFERROR(INDEX('Offer Statistics'!BL$2:BL$600,MATCH(1,($A15='Offer Statistics'!$BB$2:$BB$600)*($AC$2='Offer Statistics'!$BC$2:$BC$600),0)),"/")</f>
        <v>10</v>
      </c>
      <c r="AF15" s="63" cm="1">
        <f t="array" ref="AF15">IFERROR(INDEX('Offer Statistics'!BM$2:BM$600,MATCH(1,($A15='Offer Statistics'!$BB$2:$BB$600)*($AC$2='Offer Statistics'!$BC$2:$BC$600),0)),"/")</f>
        <v>0</v>
      </c>
      <c r="AG15" s="63" cm="1">
        <f t="array" ref="AG15">IFERROR(INDEX('Offer Statistics'!BN$2:BN$600,MATCH(1,($A15='Offer Statistics'!$BB$2:$BB$600)*($AC$2='Offer Statistics'!$BC$2:$BC$600),0)),"/")</f>
        <v>0</v>
      </c>
      <c r="AH15" s="63" cm="1">
        <f t="array" ref="AH15">IFERROR(INDEX('Offer Statistics'!BO$2:BO$600,MATCH(1,($A15='Offer Statistics'!$BB$2:$BB$600)*($AC$2='Offer Statistics'!$BC$2:$BC$600),0)),"/")</f>
        <v>0</v>
      </c>
      <c r="AI15" s="63" cm="1">
        <f t="array" ref="AI15">IFERROR(INDEX('Offer Statistics'!BP$2:BP$600,MATCH(1,($A15='Offer Statistics'!$BB$2:$BB$600)*($AC$2='Offer Statistics'!$BC$2:$BC$600),0)),"/")</f>
        <v>0</v>
      </c>
      <c r="AJ15" s="538"/>
      <c r="AK15" s="36" cm="1">
        <f t="array" ref="AK15">IFERROR(INDEX('Offer Statistics'!$BI$2:$BI$600,MATCH(1,($A15='Offer Statistics'!$BB$2:$BB$600)*($AC$2='Offer Statistics'!$BC$2:$BC$600),0)),"/")</f>
        <v>1702</v>
      </c>
      <c r="AL15" s="63" cm="1">
        <f t="array" ref="AL15">IFERROR(INDEX('Offer Statistics'!BD$2:BD$600,MATCH(1,($A15='Offer Statistics'!$BB$2:$BB$600)*($AC$2='Offer Statistics'!$BC$2:$BC$600),0)),"/")</f>
        <v>221</v>
      </c>
      <c r="AM15" s="63" cm="1">
        <f t="array" ref="AM15">IFERROR(INDEX('Offer Statistics'!BE$2:BE$600,MATCH(1,($A15='Offer Statistics'!$BB$2:$BB$600)*($AC$2='Offer Statistics'!$BC$2:$BC$600),0)),"/")</f>
        <v>231</v>
      </c>
      <c r="AN15" s="63" cm="1">
        <f t="array" ref="AN15">IFERROR(INDEX('Offer Statistics'!BF$2:BF$600,MATCH(1,($A15='Offer Statistics'!$BB$2:$BB$600)*($AC$2='Offer Statistics'!$BC$2:$BC$600),0)),"/")</f>
        <v>356</v>
      </c>
      <c r="AO15" s="63" cm="1">
        <f t="array" ref="AO15">IFERROR(INDEX('Offer Statistics'!BG$2:BG$600,MATCH(1,($A15='Offer Statistics'!$BB$2:$BB$600)*($AC$2='Offer Statistics'!$BC$2:$BC$600),0)),"/")</f>
        <v>473</v>
      </c>
      <c r="AP15" s="63" cm="1">
        <f t="array" ref="AP15">IFERROR(INDEX('Offer Statistics'!BH$2:BH$600,MATCH(1,($A15='Offer Statistics'!$BB$2:$BB$600)*($AC$2='Offer Statistics'!$BC$2:$BC$600),0)),"/")</f>
        <v>421</v>
      </c>
      <c r="AQ15" s="15"/>
      <c r="AR15" s="15" t="str">
        <f t="shared" si="3"/>
        <v>JS4136</v>
      </c>
    </row>
    <row r="16" spans="1:44" ht="18" customHeight="1">
      <c r="A16" s="4" t="str">
        <f>'Reference Score Calculation'!B159</f>
        <v>JS4202</v>
      </c>
      <c r="B16" s="4" t="str">
        <f>'Reference Score Calculation'!D159</f>
        <v>商學院</v>
      </c>
      <c r="C16" s="4" t="str">
        <f>'Reference Score Calculation'!E159</f>
        <v>工商管理學士綜合課程</v>
      </c>
      <c r="D16" s="4" t="str">
        <f>'Reference Score Calculation'!S159</f>
        <v>INTEGRATED BBA</v>
      </c>
      <c r="E16" s="352" t="str">
        <f>'Reference Score Calculation'!AC159</f>
        <v>Best 5</v>
      </c>
      <c r="F16" s="354" t="str">
        <f>'Reference Score Calculation'!F159</f>
        <v>Best 5</v>
      </c>
      <c r="G16" s="6">
        <f>'Reference Score Calculation'!H159</f>
        <v>26.5</v>
      </c>
      <c r="H16" s="6">
        <f>'Reference Score Calculation'!I159</f>
        <v>26</v>
      </c>
      <c r="I16" s="6">
        <f>'Reference Score Calculation'!J159</f>
        <v>24.5</v>
      </c>
      <c r="J16" s="45">
        <f>計分版!J182</f>
        <v>3.4999999999999999E-9</v>
      </c>
      <c r="K16" s="25">
        <f t="shared" si="0"/>
        <v>-25.999999996500001</v>
      </c>
      <c r="L16" s="26">
        <f t="shared" si="1"/>
        <v>-7428571427.5714293</v>
      </c>
      <c r="M16" s="36">
        <f>'Reference Score Calculation'!U159</f>
        <v>222</v>
      </c>
      <c r="N16" s="84">
        <f>入學要求!Z168</f>
        <v>0</v>
      </c>
      <c r="O16" s="544"/>
      <c r="P16" s="161">
        <f>入學要求!L168</f>
        <v>3</v>
      </c>
      <c r="Q16" s="161">
        <f>入學要求!M168</f>
        <v>3</v>
      </c>
      <c r="R16" s="161">
        <f>入學要求!N168</f>
        <v>2</v>
      </c>
      <c r="S16" s="161">
        <f>入學要求!O168</f>
        <v>1</v>
      </c>
      <c r="T16" s="161">
        <f>入學要求!P168</f>
        <v>3</v>
      </c>
      <c r="U16" s="161">
        <f>入學要求!Q168</f>
        <v>3</v>
      </c>
      <c r="V16" s="236">
        <f>入學要求!S168</f>
        <v>0</v>
      </c>
      <c r="W16" s="236">
        <f>入學要求!T168</f>
        <v>0</v>
      </c>
      <c r="X16" s="236">
        <f>入學要求!U168</f>
        <v>0</v>
      </c>
      <c r="Y16" s="236">
        <f>入學要求!V168</f>
        <v>0</v>
      </c>
      <c r="Z16" s="236">
        <f>入學要求!W168</f>
        <v>0</v>
      </c>
      <c r="AA16" s="236">
        <f>入學要求!X168</f>
        <v>0</v>
      </c>
      <c r="AB16" s="36">
        <f t="shared" si="2"/>
        <v>5.0999999999999996</v>
      </c>
      <c r="AC16" s="537"/>
      <c r="AD16" s="36" cm="1">
        <f t="array" ref="AD16">IFERROR(INDEX('Offer Statistics'!$BQ$2:$BQ$600,MATCH(1,($A16='Offer Statistics'!$BB$2:$BB$600)*($AC$2='Offer Statistics'!$BC$2:$BC$600),0)),"/")</f>
        <v>202</v>
      </c>
      <c r="AE16" s="63" cm="1">
        <f t="array" ref="AE16">IFERROR(INDEX('Offer Statistics'!BL$2:BL$600,MATCH(1,($A16='Offer Statistics'!$BB$2:$BB$600)*($AC$2='Offer Statistics'!$BC$2:$BC$600),0)),"/")</f>
        <v>202</v>
      </c>
      <c r="AF16" s="63" cm="1">
        <f t="array" ref="AF16">IFERROR(INDEX('Offer Statistics'!BM$2:BM$600,MATCH(1,($A16='Offer Statistics'!$BB$2:$BB$600)*($AC$2='Offer Statistics'!$BC$2:$BC$600),0)),"/")</f>
        <v>0</v>
      </c>
      <c r="AG16" s="63" cm="1">
        <f t="array" ref="AG16">IFERROR(INDEX('Offer Statistics'!BN$2:BN$600,MATCH(1,($A16='Offer Statistics'!$BB$2:$BB$600)*($AC$2='Offer Statistics'!$BC$2:$BC$600),0)),"/")</f>
        <v>0</v>
      </c>
      <c r="AH16" s="63" cm="1">
        <f t="array" ref="AH16">IFERROR(INDEX('Offer Statistics'!BO$2:BO$600,MATCH(1,($A16='Offer Statistics'!$BB$2:$BB$600)*($AC$2='Offer Statistics'!$BC$2:$BC$600),0)),"/")</f>
        <v>0</v>
      </c>
      <c r="AI16" s="63" cm="1">
        <f t="array" ref="AI16">IFERROR(INDEX('Offer Statistics'!BP$2:BP$600,MATCH(1,($A16='Offer Statistics'!$BB$2:$BB$600)*($AC$2='Offer Statistics'!$BC$2:$BC$600),0)),"/")</f>
        <v>0</v>
      </c>
      <c r="AJ16" s="538"/>
      <c r="AK16" s="36" cm="1">
        <f t="array" ref="AK16">IFERROR(INDEX('Offer Statistics'!$BI$2:$BI$600,MATCH(1,($A16='Offer Statistics'!$BB$2:$BB$600)*($AC$2='Offer Statistics'!$BC$2:$BC$600),0)),"/")</f>
        <v>4382</v>
      </c>
      <c r="AL16" s="63" cm="1">
        <f t="array" ref="AL16">IFERROR(INDEX('Offer Statistics'!BD$2:BD$600,MATCH(1,($A16='Offer Statistics'!$BB$2:$BB$600)*($AC$2='Offer Statistics'!$BC$2:$BC$600),0)),"/")</f>
        <v>1030</v>
      </c>
      <c r="AM16" s="63" cm="1">
        <f t="array" ref="AM16">IFERROR(INDEX('Offer Statistics'!BE$2:BE$600,MATCH(1,($A16='Offer Statistics'!$BB$2:$BB$600)*($AC$2='Offer Statistics'!$BC$2:$BC$600),0)),"/")</f>
        <v>548</v>
      </c>
      <c r="AN16" s="63" cm="1">
        <f t="array" ref="AN16">IFERROR(INDEX('Offer Statistics'!BF$2:BF$600,MATCH(1,($A16='Offer Statistics'!$BB$2:$BB$600)*($AC$2='Offer Statistics'!$BC$2:$BC$600),0)),"/")</f>
        <v>872</v>
      </c>
      <c r="AO16" s="63" cm="1">
        <f t="array" ref="AO16">IFERROR(INDEX('Offer Statistics'!BG$2:BG$600,MATCH(1,($A16='Offer Statistics'!$BB$2:$BB$600)*($AC$2='Offer Statistics'!$BC$2:$BC$600),0)),"/")</f>
        <v>1052</v>
      </c>
      <c r="AP16" s="63" cm="1">
        <f t="array" ref="AP16">IFERROR(INDEX('Offer Statistics'!BH$2:BH$600,MATCH(1,($A16='Offer Statistics'!$BB$2:$BB$600)*($AC$2='Offer Statistics'!$BC$2:$BC$600),0)),"/")</f>
        <v>880</v>
      </c>
      <c r="AQ16" s="15"/>
      <c r="AR16" s="15" t="str">
        <f t="shared" si="3"/>
        <v>JS4202</v>
      </c>
    </row>
    <row r="17" spans="1:44" s="10" customFormat="1" ht="18" customHeight="1">
      <c r="A17" s="4" t="str">
        <f>'Reference Score Calculation'!B160</f>
        <v>JS4214</v>
      </c>
      <c r="B17" s="4" t="str">
        <f>'Reference Score Calculation'!D160</f>
        <v>商學院</v>
      </c>
      <c r="C17" s="4" t="str">
        <f>'Reference Score Calculation'!E160</f>
        <v>環球商業學</v>
      </c>
      <c r="D17" s="4" t="str">
        <f>'Reference Score Calculation'!S160</f>
        <v>GBS</v>
      </c>
      <c r="E17" s="352" t="str">
        <f>'Reference Score Calculation'!AC160</f>
        <v>Best 5</v>
      </c>
      <c r="F17" s="354" t="str">
        <f>'Reference Score Calculation'!F160</f>
        <v>Best 5</v>
      </c>
      <c r="G17" s="6">
        <f>'Reference Score Calculation'!H160</f>
        <v>39.5</v>
      </c>
      <c r="H17" s="6">
        <f>'Reference Score Calculation'!I160</f>
        <v>35</v>
      </c>
      <c r="I17" s="6">
        <f>'Reference Score Calculation'!J160</f>
        <v>35</v>
      </c>
      <c r="J17" s="45">
        <f>計分版!J183</f>
        <v>3.4999999999999999E-9</v>
      </c>
      <c r="K17" s="25">
        <f t="shared" si="0"/>
        <v>-34.999999996500001</v>
      </c>
      <c r="L17" s="26">
        <f t="shared" si="1"/>
        <v>-9999999999</v>
      </c>
      <c r="M17" s="36">
        <f>'Reference Score Calculation'!U160</f>
        <v>15</v>
      </c>
      <c r="N17" s="84">
        <f>入學要求!Z169</f>
        <v>0</v>
      </c>
      <c r="O17" s="544"/>
      <c r="P17" s="161">
        <f>入學要求!L169</f>
        <v>4</v>
      </c>
      <c r="Q17" s="161">
        <f>入學要求!M169</f>
        <v>5</v>
      </c>
      <c r="R17" s="161">
        <f>入學要求!N169</f>
        <v>3</v>
      </c>
      <c r="S17" s="161">
        <f>入學要求!O169</f>
        <v>1</v>
      </c>
      <c r="T17" s="161">
        <f>入學要求!P169</f>
        <v>3</v>
      </c>
      <c r="U17" s="161">
        <f>入學要求!Q169</f>
        <v>3</v>
      </c>
      <c r="V17" s="236">
        <f>入學要求!S169</f>
        <v>0</v>
      </c>
      <c r="W17" s="236">
        <f>入學要求!T169</f>
        <v>0</v>
      </c>
      <c r="X17" s="236">
        <f>入學要求!U169</f>
        <v>0</v>
      </c>
      <c r="Y17" s="236">
        <f>入學要求!V169</f>
        <v>0</v>
      </c>
      <c r="Z17" s="236">
        <f>入學要求!W169</f>
        <v>0</v>
      </c>
      <c r="AA17" s="236">
        <f>入學要求!X169</f>
        <v>0</v>
      </c>
      <c r="AB17" s="36">
        <f t="shared" si="2"/>
        <v>3.67</v>
      </c>
      <c r="AC17" s="537"/>
      <c r="AD17" s="36" cm="1">
        <f t="array" ref="AD17">IFERROR(INDEX('Offer Statistics'!$BQ$2:$BQ$600,MATCH(1,($A17='Offer Statistics'!$BB$2:$BB$600)*($AC$2='Offer Statistics'!$BC$2:$BC$600),0)),"/")</f>
        <v>15</v>
      </c>
      <c r="AE17" s="63" cm="1">
        <f t="array" ref="AE17">IFERROR(INDEX('Offer Statistics'!BL$2:BL$600,MATCH(1,($A17='Offer Statistics'!$BB$2:$BB$600)*($AC$2='Offer Statistics'!$BC$2:$BC$600),0)),"/")</f>
        <v>15</v>
      </c>
      <c r="AF17" s="63" cm="1">
        <f t="array" ref="AF17">IFERROR(INDEX('Offer Statistics'!BM$2:BM$600,MATCH(1,($A17='Offer Statistics'!$BB$2:$BB$600)*($AC$2='Offer Statistics'!$BC$2:$BC$600),0)),"/")</f>
        <v>0</v>
      </c>
      <c r="AG17" s="63" cm="1">
        <f t="array" ref="AG17">IFERROR(INDEX('Offer Statistics'!BN$2:BN$600,MATCH(1,($A17='Offer Statistics'!$BB$2:$BB$600)*($AC$2='Offer Statistics'!$BC$2:$BC$600),0)),"/")</f>
        <v>0</v>
      </c>
      <c r="AH17" s="63" cm="1">
        <f t="array" ref="AH17">IFERROR(INDEX('Offer Statistics'!BO$2:BO$600,MATCH(1,($A17='Offer Statistics'!$BB$2:$BB$600)*($AC$2='Offer Statistics'!$BC$2:$BC$600),0)),"/")</f>
        <v>0</v>
      </c>
      <c r="AI17" s="63" cm="1">
        <f t="array" ref="AI17">IFERROR(INDEX('Offer Statistics'!BP$2:BP$600,MATCH(1,($A17='Offer Statistics'!$BB$2:$BB$600)*($AC$2='Offer Statistics'!$BC$2:$BC$600),0)),"/")</f>
        <v>0</v>
      </c>
      <c r="AJ17" s="538"/>
      <c r="AK17" s="36" cm="1">
        <f t="array" ref="AK17">IFERROR(INDEX('Offer Statistics'!$BI$2:$BI$600,MATCH(1,($A17='Offer Statistics'!$BB$2:$BB$600)*($AC$2='Offer Statistics'!$BC$2:$BC$600),0)),"/")</f>
        <v>589</v>
      </c>
      <c r="AL17" s="63" cm="1">
        <f t="array" ref="AL17">IFERROR(INDEX('Offer Statistics'!BD$2:BD$600,MATCH(1,($A17='Offer Statistics'!$BB$2:$BB$600)*($AC$2='Offer Statistics'!$BC$2:$BC$600),0)),"/")</f>
        <v>55</v>
      </c>
      <c r="AM17" s="63" cm="1">
        <f t="array" ref="AM17">IFERROR(INDEX('Offer Statistics'!BE$2:BE$600,MATCH(1,($A17='Offer Statistics'!$BB$2:$BB$600)*($AC$2='Offer Statistics'!$BC$2:$BC$600),0)),"/")</f>
        <v>46</v>
      </c>
      <c r="AN17" s="63" cm="1">
        <f t="array" ref="AN17">IFERROR(INDEX('Offer Statistics'!BF$2:BF$600,MATCH(1,($A17='Offer Statistics'!$BB$2:$BB$600)*($AC$2='Offer Statistics'!$BC$2:$BC$600),0)),"/")</f>
        <v>110</v>
      </c>
      <c r="AO17" s="63" cm="1">
        <f t="array" ref="AO17">IFERROR(INDEX('Offer Statistics'!BG$2:BG$600,MATCH(1,($A17='Offer Statistics'!$BB$2:$BB$600)*($AC$2='Offer Statistics'!$BC$2:$BC$600),0)),"/")</f>
        <v>166</v>
      </c>
      <c r="AP17" s="63" cm="1">
        <f t="array" ref="AP17">IFERROR(INDEX('Offer Statistics'!BH$2:BH$600,MATCH(1,($A17='Offer Statistics'!$BB$2:$BB$600)*($AC$2='Offer Statistics'!$BC$2:$BC$600),0)),"/")</f>
        <v>212</v>
      </c>
      <c r="AQ17" s="15"/>
      <c r="AR17" s="15" t="str">
        <f t="shared" si="3"/>
        <v>JS4214</v>
      </c>
    </row>
    <row r="18" spans="1:44" ht="18" customHeight="1">
      <c r="A18" s="4" t="str">
        <f>'Reference Score Calculation'!B161</f>
        <v>JS4226</v>
      </c>
      <c r="B18" s="4" t="str">
        <f>'Reference Score Calculation'!D161</f>
        <v>商學院</v>
      </c>
      <c r="C18" s="4" t="str">
        <f>'Reference Score Calculation'!E161</f>
        <v>酒店旅遊及房地產</v>
      </c>
      <c r="D18" s="4" t="str">
        <f>'Reference Score Calculation'!S161</f>
        <v>HOSP &amp; REAL EST</v>
      </c>
      <c r="E18" s="352" t="str">
        <f>'Reference Score Calculation'!AC161</f>
        <v>Best 5</v>
      </c>
      <c r="F18" s="354" t="str">
        <f>'Reference Score Calculation'!F161</f>
        <v>Best 5</v>
      </c>
      <c r="G18" s="6">
        <f>'Reference Score Calculation'!H161</f>
        <v>23.5</v>
      </c>
      <c r="H18" s="6">
        <f>'Reference Score Calculation'!I161</f>
        <v>23</v>
      </c>
      <c r="I18" s="6">
        <f>'Reference Score Calculation'!J161</f>
        <v>22.5</v>
      </c>
      <c r="J18" s="45">
        <f>計分版!J184</f>
        <v>3.4999999999999999E-9</v>
      </c>
      <c r="K18" s="25">
        <f t="shared" si="0"/>
        <v>-22.999999996500001</v>
      </c>
      <c r="L18" s="26">
        <f t="shared" si="1"/>
        <v>-6571428570.4285717</v>
      </c>
      <c r="M18" s="36">
        <f>'Reference Score Calculation'!U161</f>
        <v>60</v>
      </c>
      <c r="N18" s="84">
        <f>入學要求!Z170</f>
        <v>0</v>
      </c>
      <c r="O18" s="544"/>
      <c r="P18" s="161">
        <f>入學要求!L170</f>
        <v>3</v>
      </c>
      <c r="Q18" s="161">
        <f>入學要求!M170</f>
        <v>3</v>
      </c>
      <c r="R18" s="161">
        <f>入學要求!N170</f>
        <v>2</v>
      </c>
      <c r="S18" s="161">
        <f>入學要求!O170</f>
        <v>1</v>
      </c>
      <c r="T18" s="161">
        <f>入學要求!P170</f>
        <v>3</v>
      </c>
      <c r="U18" s="161">
        <f>入學要求!Q170</f>
        <v>3</v>
      </c>
      <c r="V18" s="236">
        <f>入學要求!S170</f>
        <v>0</v>
      </c>
      <c r="W18" s="236">
        <f>入學要求!T170</f>
        <v>0</v>
      </c>
      <c r="X18" s="236">
        <f>入學要求!U170</f>
        <v>0</v>
      </c>
      <c r="Y18" s="236">
        <f>入學要求!V170</f>
        <v>0</v>
      </c>
      <c r="Z18" s="236">
        <f>入學要求!W170</f>
        <v>0</v>
      </c>
      <c r="AA18" s="236">
        <f>入學要求!X170</f>
        <v>0</v>
      </c>
      <c r="AB18" s="36">
        <f t="shared" si="2"/>
        <v>9.4</v>
      </c>
      <c r="AC18" s="537"/>
      <c r="AD18" s="36" cm="1">
        <f t="array" ref="AD18">IFERROR(INDEX('Offer Statistics'!$BQ$2:$BQ$600,MATCH(1,($A18='Offer Statistics'!$BB$2:$BB$600)*($AC$2='Offer Statistics'!$BC$2:$BC$600),0)),"/")</f>
        <v>50</v>
      </c>
      <c r="AE18" s="63" cm="1">
        <f t="array" ref="AE18">IFERROR(INDEX('Offer Statistics'!BL$2:BL$600,MATCH(1,($A18='Offer Statistics'!$BB$2:$BB$600)*($AC$2='Offer Statistics'!$BC$2:$BC$600),0)),"/")</f>
        <v>50</v>
      </c>
      <c r="AF18" s="63" cm="1">
        <f t="array" ref="AF18">IFERROR(INDEX('Offer Statistics'!BM$2:BM$600,MATCH(1,($A18='Offer Statistics'!$BB$2:$BB$600)*($AC$2='Offer Statistics'!$BC$2:$BC$600),0)),"/")</f>
        <v>0</v>
      </c>
      <c r="AG18" s="63" cm="1">
        <f t="array" ref="AG18">IFERROR(INDEX('Offer Statistics'!BN$2:BN$600,MATCH(1,($A18='Offer Statistics'!$BB$2:$BB$600)*($AC$2='Offer Statistics'!$BC$2:$BC$600),0)),"/")</f>
        <v>0</v>
      </c>
      <c r="AH18" s="63" cm="1">
        <f t="array" ref="AH18">IFERROR(INDEX('Offer Statistics'!BO$2:BO$600,MATCH(1,($A18='Offer Statistics'!$BB$2:$BB$600)*($AC$2='Offer Statistics'!$BC$2:$BC$600),0)),"/")</f>
        <v>0</v>
      </c>
      <c r="AI18" s="63" cm="1">
        <f t="array" ref="AI18">IFERROR(INDEX('Offer Statistics'!BP$2:BP$600,MATCH(1,($A18='Offer Statistics'!$BB$2:$BB$600)*($AC$2='Offer Statistics'!$BC$2:$BC$600),0)),"/")</f>
        <v>0</v>
      </c>
      <c r="AJ18" s="538"/>
      <c r="AK18" s="36" cm="1">
        <f t="array" ref="AK18">IFERROR(INDEX('Offer Statistics'!$BI$2:$BI$600,MATCH(1,($A18='Offer Statistics'!$BB$2:$BB$600)*($AC$2='Offer Statistics'!$BC$2:$BC$600),0)),"/")</f>
        <v>2876</v>
      </c>
      <c r="AL18" s="63" cm="1">
        <f t="array" ref="AL18">IFERROR(INDEX('Offer Statistics'!BD$2:BD$600,MATCH(1,($A18='Offer Statistics'!$BB$2:$BB$600)*($AC$2='Offer Statistics'!$BC$2:$BC$600),0)),"/")</f>
        <v>470</v>
      </c>
      <c r="AM18" s="63" cm="1">
        <f t="array" ref="AM18">IFERROR(INDEX('Offer Statistics'!BE$2:BE$600,MATCH(1,($A18='Offer Statistics'!$BB$2:$BB$600)*($AC$2='Offer Statistics'!$BC$2:$BC$600),0)),"/")</f>
        <v>344</v>
      </c>
      <c r="AN18" s="63" cm="1">
        <f t="array" ref="AN18">IFERROR(INDEX('Offer Statistics'!BF$2:BF$600,MATCH(1,($A18='Offer Statistics'!$BB$2:$BB$600)*($AC$2='Offer Statistics'!$BC$2:$BC$600),0)),"/")</f>
        <v>535</v>
      </c>
      <c r="AO18" s="63" cm="1">
        <f t="array" ref="AO18">IFERROR(INDEX('Offer Statistics'!BG$2:BG$600,MATCH(1,($A18='Offer Statistics'!$BB$2:$BB$600)*($AC$2='Offer Statistics'!$BC$2:$BC$600),0)),"/")</f>
        <v>781</v>
      </c>
      <c r="AP18" s="63" cm="1">
        <f t="array" ref="AP18">IFERROR(INDEX('Offer Statistics'!BH$2:BH$600,MATCH(1,($A18='Offer Statistics'!$BB$2:$BB$600)*($AC$2='Offer Statistics'!$BC$2:$BC$600),0)),"/")</f>
        <v>746</v>
      </c>
      <c r="AQ18" s="15"/>
      <c r="AR18" s="15" t="str">
        <f t="shared" si="3"/>
        <v>JS4226</v>
      </c>
    </row>
    <row r="19" spans="1:44" s="10" customFormat="1" ht="18" customHeight="1">
      <c r="A19" s="4" t="str">
        <f>'Reference Score Calculation'!B162</f>
        <v>JS4238</v>
      </c>
      <c r="B19" s="4" t="str">
        <f>'Reference Score Calculation'!D162</f>
        <v>商學院</v>
      </c>
      <c r="C19" s="4" t="str">
        <f>'Reference Score Calculation'!E162</f>
        <v>保險、金融與精算學</v>
      </c>
      <c r="D19" s="4" t="str">
        <f>'Reference Score Calculation'!S162</f>
        <v>IFAA</v>
      </c>
      <c r="E19" s="352" t="str">
        <f>'Reference Score Calculation'!AC162</f>
        <v>Best 5</v>
      </c>
      <c r="F19" s="354" t="str">
        <f>'Reference Score Calculation'!F162</f>
        <v>Best 5</v>
      </c>
      <c r="G19" s="6">
        <f>'Reference Score Calculation'!H162</f>
        <v>32.5</v>
      </c>
      <c r="H19" s="6">
        <f>'Reference Score Calculation'!I162</f>
        <v>32</v>
      </c>
      <c r="I19" s="6">
        <f>'Reference Score Calculation'!J162</f>
        <v>30.5</v>
      </c>
      <c r="J19" s="45">
        <f>計分版!J185</f>
        <v>3.1000000000000005E-9</v>
      </c>
      <c r="K19" s="25">
        <f t="shared" si="0"/>
        <v>-31.999999996900002</v>
      </c>
      <c r="L19" s="26">
        <f t="shared" si="1"/>
        <v>-10322580644.161289</v>
      </c>
      <c r="M19" s="36">
        <f>'Reference Score Calculation'!U162</f>
        <v>45</v>
      </c>
      <c r="N19" s="84">
        <f>入學要求!Z171</f>
        <v>0</v>
      </c>
      <c r="O19" s="544"/>
      <c r="P19" s="161">
        <f>入學要求!L171</f>
        <v>3</v>
      </c>
      <c r="Q19" s="161">
        <f>入學要求!M171</f>
        <v>3</v>
      </c>
      <c r="R19" s="161">
        <f>入學要求!N171</f>
        <v>5</v>
      </c>
      <c r="S19" s="161">
        <f>入學要求!O171</f>
        <v>1</v>
      </c>
      <c r="T19" s="161">
        <f>入學要求!P171</f>
        <v>3</v>
      </c>
      <c r="U19" s="161">
        <f>入學要求!Q171</f>
        <v>3</v>
      </c>
      <c r="V19" s="236">
        <f>入學要求!S171</f>
        <v>0</v>
      </c>
      <c r="W19" s="236">
        <f>入學要求!T171</f>
        <v>0</v>
      </c>
      <c r="X19" s="236">
        <f>入學要求!U171</f>
        <v>0</v>
      </c>
      <c r="Y19" s="236">
        <f>入學要求!V171</f>
        <v>0</v>
      </c>
      <c r="Z19" s="236">
        <f>入學要求!W171</f>
        <v>0</v>
      </c>
      <c r="AA19" s="236">
        <f>入學要求!X171</f>
        <v>0</v>
      </c>
      <c r="AB19" s="36">
        <f t="shared" si="2"/>
        <v>3.65</v>
      </c>
      <c r="AC19" s="537"/>
      <c r="AD19" s="36" cm="1">
        <f t="array" ref="AD19">IFERROR(INDEX('Offer Statistics'!$BQ$2:$BQ$600,MATCH(1,($A19='Offer Statistics'!$BB$2:$BB$600)*($AC$2='Offer Statistics'!$BC$2:$BC$600),0)),"/")</f>
        <v>46</v>
      </c>
      <c r="AE19" s="63" cm="1">
        <f t="array" ref="AE19">IFERROR(INDEX('Offer Statistics'!BL$2:BL$600,MATCH(1,($A19='Offer Statistics'!$BB$2:$BB$600)*($AC$2='Offer Statistics'!$BC$2:$BC$600),0)),"/")</f>
        <v>46</v>
      </c>
      <c r="AF19" s="63" cm="1">
        <f t="array" ref="AF19">IFERROR(INDEX('Offer Statistics'!BM$2:BM$600,MATCH(1,($A19='Offer Statistics'!$BB$2:$BB$600)*($AC$2='Offer Statistics'!$BC$2:$BC$600),0)),"/")</f>
        <v>0</v>
      </c>
      <c r="AG19" s="63" cm="1">
        <f t="array" ref="AG19">IFERROR(INDEX('Offer Statistics'!BN$2:BN$600,MATCH(1,($A19='Offer Statistics'!$BB$2:$BB$600)*($AC$2='Offer Statistics'!$BC$2:$BC$600),0)),"/")</f>
        <v>0</v>
      </c>
      <c r="AH19" s="63" cm="1">
        <f t="array" ref="AH19">IFERROR(INDEX('Offer Statistics'!BO$2:BO$600,MATCH(1,($A19='Offer Statistics'!$BB$2:$BB$600)*($AC$2='Offer Statistics'!$BC$2:$BC$600),0)),"/")</f>
        <v>0</v>
      </c>
      <c r="AI19" s="63" cm="1">
        <f t="array" ref="AI19">IFERROR(INDEX('Offer Statistics'!BP$2:BP$600,MATCH(1,($A19='Offer Statistics'!$BB$2:$BB$600)*($AC$2='Offer Statistics'!$BC$2:$BC$600),0)),"/")</f>
        <v>0</v>
      </c>
      <c r="AJ19" s="538"/>
      <c r="AK19" s="36" cm="1">
        <f t="array" ref="AK19">IFERROR(INDEX('Offer Statistics'!$BI$2:$BI$600,MATCH(1,($A19='Offer Statistics'!$BB$2:$BB$600)*($AC$2='Offer Statistics'!$BC$2:$BC$600),0)),"/")</f>
        <v>911</v>
      </c>
      <c r="AL19" s="63" cm="1">
        <f t="array" ref="AL19">IFERROR(INDEX('Offer Statistics'!BD$2:BD$600,MATCH(1,($A19='Offer Statistics'!$BB$2:$BB$600)*($AC$2='Offer Statistics'!$BC$2:$BC$600),0)),"/")</f>
        <v>168</v>
      </c>
      <c r="AM19" s="63" cm="1">
        <f t="array" ref="AM19">IFERROR(INDEX('Offer Statistics'!BE$2:BE$600,MATCH(1,($A19='Offer Statistics'!$BB$2:$BB$600)*($AC$2='Offer Statistics'!$BC$2:$BC$600),0)),"/")</f>
        <v>72</v>
      </c>
      <c r="AN19" s="63" cm="1">
        <f t="array" ref="AN19">IFERROR(INDEX('Offer Statistics'!BF$2:BF$600,MATCH(1,($A19='Offer Statistics'!$BB$2:$BB$600)*($AC$2='Offer Statistics'!$BC$2:$BC$600),0)),"/")</f>
        <v>178</v>
      </c>
      <c r="AO19" s="63" cm="1">
        <f t="array" ref="AO19">IFERROR(INDEX('Offer Statistics'!BG$2:BG$600,MATCH(1,($A19='Offer Statistics'!$BB$2:$BB$600)*($AC$2='Offer Statistics'!$BC$2:$BC$600),0)),"/")</f>
        <v>271</v>
      </c>
      <c r="AP19" s="63" cm="1">
        <f t="array" ref="AP19">IFERROR(INDEX('Offer Statistics'!BH$2:BH$600,MATCH(1,($A19='Offer Statistics'!$BB$2:$BB$600)*($AC$2='Offer Statistics'!$BC$2:$BC$600),0)),"/")</f>
        <v>222</v>
      </c>
      <c r="AQ19" s="15"/>
      <c r="AR19" s="15" t="str">
        <f t="shared" si="3"/>
        <v>JS4238</v>
      </c>
    </row>
    <row r="20" spans="1:44" ht="18" customHeight="1">
      <c r="A20" s="4" t="str">
        <f>'Reference Score Calculation'!B163</f>
        <v>JS4240</v>
      </c>
      <c r="B20" s="4" t="str">
        <f>'Reference Score Calculation'!D163</f>
        <v>商學院</v>
      </c>
      <c r="C20" s="4" t="str">
        <f>'Reference Score Calculation'!E163</f>
        <v>專業會計學</v>
      </c>
      <c r="D20" s="4" t="str">
        <f>'Reference Score Calculation'!S163</f>
        <v>PROF ACCOUNTANCY</v>
      </c>
      <c r="E20" s="352" t="str">
        <f>'Reference Score Calculation'!AC163</f>
        <v>Best 5</v>
      </c>
      <c r="F20" s="354" t="str">
        <f>'Reference Score Calculation'!F163</f>
        <v>Best 5</v>
      </c>
      <c r="G20" s="6">
        <f>'Reference Score Calculation'!H163</f>
        <v>26.5</v>
      </c>
      <c r="H20" s="6">
        <f>'Reference Score Calculation'!I163</f>
        <v>26</v>
      </c>
      <c r="I20" s="6">
        <f>'Reference Score Calculation'!J163</f>
        <v>24.5</v>
      </c>
      <c r="J20" s="45">
        <f>計分版!J186</f>
        <v>3.4999999999999999E-9</v>
      </c>
      <c r="K20" s="25">
        <f t="shared" si="0"/>
        <v>-25.999999996500001</v>
      </c>
      <c r="L20" s="26">
        <f t="shared" si="1"/>
        <v>-7428571427.5714293</v>
      </c>
      <c r="M20" s="36">
        <f>'Reference Score Calculation'!U163</f>
        <v>126</v>
      </c>
      <c r="N20" s="84">
        <f>入學要求!Z172</f>
        <v>0</v>
      </c>
      <c r="O20" s="544"/>
      <c r="P20" s="161">
        <f>入學要求!L172</f>
        <v>3</v>
      </c>
      <c r="Q20" s="161">
        <f>入學要求!M172</f>
        <v>3</v>
      </c>
      <c r="R20" s="161">
        <f>入學要求!N172</f>
        <v>3</v>
      </c>
      <c r="S20" s="161">
        <f>入學要求!O172</f>
        <v>1</v>
      </c>
      <c r="T20" s="161">
        <f>入學要求!P172</f>
        <v>3</v>
      </c>
      <c r="U20" s="161">
        <f>入學要求!Q172</f>
        <v>3</v>
      </c>
      <c r="V20" s="236">
        <f>入學要求!S172</f>
        <v>0</v>
      </c>
      <c r="W20" s="236">
        <f>入學要求!T172</f>
        <v>0</v>
      </c>
      <c r="X20" s="236">
        <f>入學要求!U172</f>
        <v>0</v>
      </c>
      <c r="Y20" s="236">
        <f>入學要求!V172</f>
        <v>0</v>
      </c>
      <c r="Z20" s="236">
        <f>入學要求!W172</f>
        <v>0</v>
      </c>
      <c r="AA20" s="236">
        <f>入學要求!X172</f>
        <v>0</v>
      </c>
      <c r="AB20" s="36">
        <f t="shared" si="2"/>
        <v>3.77</v>
      </c>
      <c r="AC20" s="537"/>
      <c r="AD20" s="36" cm="1">
        <f t="array" ref="AD20">IFERROR(INDEX('Offer Statistics'!$BQ$2:$BQ$600,MATCH(1,($A20='Offer Statistics'!$BB$2:$BB$600)*($AC$2='Offer Statistics'!$BC$2:$BC$600),0)),"/")</f>
        <v>110</v>
      </c>
      <c r="AE20" s="63" cm="1">
        <f t="array" ref="AE20">IFERROR(INDEX('Offer Statistics'!BL$2:BL$600,MATCH(1,($A20='Offer Statistics'!$BB$2:$BB$600)*($AC$2='Offer Statistics'!$BC$2:$BC$600),0)),"/")</f>
        <v>110</v>
      </c>
      <c r="AF20" s="63" cm="1">
        <f t="array" ref="AF20">IFERROR(INDEX('Offer Statistics'!BM$2:BM$600,MATCH(1,($A20='Offer Statistics'!$BB$2:$BB$600)*($AC$2='Offer Statistics'!$BC$2:$BC$600),0)),"/")</f>
        <v>0</v>
      </c>
      <c r="AG20" s="63" cm="1">
        <f t="array" ref="AG20">IFERROR(INDEX('Offer Statistics'!BN$2:BN$600,MATCH(1,($A20='Offer Statistics'!$BB$2:$BB$600)*($AC$2='Offer Statistics'!$BC$2:$BC$600),0)),"/")</f>
        <v>0</v>
      </c>
      <c r="AH20" s="63" cm="1">
        <f t="array" ref="AH20">IFERROR(INDEX('Offer Statistics'!BO$2:BO$600,MATCH(1,($A20='Offer Statistics'!$BB$2:$BB$600)*($AC$2='Offer Statistics'!$BC$2:$BC$600),0)),"/")</f>
        <v>0</v>
      </c>
      <c r="AI20" s="63" cm="1">
        <f t="array" ref="AI20">IFERROR(INDEX('Offer Statistics'!BP$2:BP$600,MATCH(1,($A20='Offer Statistics'!$BB$2:$BB$600)*($AC$2='Offer Statistics'!$BC$2:$BC$600),0)),"/")</f>
        <v>0</v>
      </c>
      <c r="AJ20" s="538"/>
      <c r="AK20" s="36" cm="1">
        <f t="array" ref="AK20">IFERROR(INDEX('Offer Statistics'!$BI$2:$BI$600,MATCH(1,($A20='Offer Statistics'!$BB$2:$BB$600)*($AC$2='Offer Statistics'!$BC$2:$BC$600),0)),"/")</f>
        <v>2196</v>
      </c>
      <c r="AL20" s="63" cm="1">
        <f t="array" ref="AL20">IFERROR(INDEX('Offer Statistics'!BD$2:BD$600,MATCH(1,($A20='Offer Statistics'!$BB$2:$BB$600)*($AC$2='Offer Statistics'!$BC$2:$BC$600),0)),"/")</f>
        <v>415</v>
      </c>
      <c r="AM20" s="63" cm="1">
        <f t="array" ref="AM20">IFERROR(INDEX('Offer Statistics'!BE$2:BE$600,MATCH(1,($A20='Offer Statistics'!$BB$2:$BB$600)*($AC$2='Offer Statistics'!$BC$2:$BC$600),0)),"/")</f>
        <v>278</v>
      </c>
      <c r="AN20" s="63" cm="1">
        <f t="array" ref="AN20">IFERROR(INDEX('Offer Statistics'!BF$2:BF$600,MATCH(1,($A20='Offer Statistics'!$BB$2:$BB$600)*($AC$2='Offer Statistics'!$BC$2:$BC$600),0)),"/")</f>
        <v>456</v>
      </c>
      <c r="AO20" s="63" cm="1">
        <f t="array" ref="AO20">IFERROR(INDEX('Offer Statistics'!BG$2:BG$600,MATCH(1,($A20='Offer Statistics'!$BB$2:$BB$600)*($AC$2='Offer Statistics'!$BC$2:$BC$600),0)),"/")</f>
        <v>566</v>
      </c>
      <c r="AP20" s="63" cm="1">
        <f t="array" ref="AP20">IFERROR(INDEX('Offer Statistics'!BH$2:BH$600,MATCH(1,($A20='Offer Statistics'!$BB$2:$BB$600)*($AC$2='Offer Statistics'!$BC$2:$BC$600),0)),"/")</f>
        <v>481</v>
      </c>
      <c r="AQ20" s="15"/>
      <c r="AR20" s="15" t="str">
        <f t="shared" si="3"/>
        <v>JS4240</v>
      </c>
    </row>
    <row r="21" spans="1:44" s="10" customFormat="1" ht="18" customHeight="1">
      <c r="A21" s="4" t="str">
        <f>'Reference Score Calculation'!B164</f>
        <v>JS4252</v>
      </c>
      <c r="B21" s="4" t="str">
        <f>'Reference Score Calculation'!D164</f>
        <v>商學院</v>
      </c>
      <c r="C21" s="4" t="str">
        <f>'Reference Score Calculation'!E164</f>
        <v>計量金融學</v>
      </c>
      <c r="D21" s="4" t="str">
        <f>'Reference Score Calculation'!S164</f>
        <v>QFIN</v>
      </c>
      <c r="E21" s="352" t="str">
        <f>'Reference Score Calculation'!AC164</f>
        <v>Best 5</v>
      </c>
      <c r="F21" s="354" t="str">
        <f>'Reference Score Calculation'!F164</f>
        <v>Best 5</v>
      </c>
      <c r="G21" s="6">
        <f>'Reference Score Calculation'!H164</f>
        <v>52.5</v>
      </c>
      <c r="H21" s="6">
        <f>'Reference Score Calculation'!I164</f>
        <v>51.75</v>
      </c>
      <c r="I21" s="6">
        <f>'Reference Score Calculation'!J164</f>
        <v>51</v>
      </c>
      <c r="J21" s="45">
        <f>計分版!J187</f>
        <v>3.1500000000000001E-9</v>
      </c>
      <c r="K21" s="25">
        <f t="shared" si="0"/>
        <v>-51.749999996850001</v>
      </c>
      <c r="L21" s="26">
        <f t="shared" si="1"/>
        <v>-16428571427.571428</v>
      </c>
      <c r="M21" s="36">
        <f>'Reference Score Calculation'!U164</f>
        <v>37</v>
      </c>
      <c r="N21" s="84">
        <f>入學要求!Z173</f>
        <v>0</v>
      </c>
      <c r="O21" s="544"/>
      <c r="P21" s="161">
        <f>入學要求!L173</f>
        <v>3</v>
      </c>
      <c r="Q21" s="161">
        <f>入學要求!M173</f>
        <v>3</v>
      </c>
      <c r="R21" s="161">
        <f>入學要求!N173</f>
        <v>3</v>
      </c>
      <c r="S21" s="161">
        <f>入學要求!O173</f>
        <v>1</v>
      </c>
      <c r="T21" s="161">
        <f>入學要求!P173</f>
        <v>3</v>
      </c>
      <c r="U21" s="161">
        <f>入學要求!Q173</f>
        <v>3</v>
      </c>
      <c r="V21" s="236">
        <f>入學要求!S173</f>
        <v>0</v>
      </c>
      <c r="W21" s="236">
        <f>入學要求!T173</f>
        <v>0</v>
      </c>
      <c r="X21" s="236">
        <f>入學要求!U173</f>
        <v>0</v>
      </c>
      <c r="Y21" s="236">
        <f>入學要求!V173</f>
        <v>0</v>
      </c>
      <c r="Z21" s="236">
        <f>入學要求!W173</f>
        <v>0</v>
      </c>
      <c r="AA21" s="236">
        <f>入學要求!X173</f>
        <v>0</v>
      </c>
      <c r="AB21" s="36">
        <f t="shared" si="2"/>
        <v>4.42</v>
      </c>
      <c r="AC21" s="537"/>
      <c r="AD21" s="36" cm="1">
        <f t="array" ref="AD21">IFERROR(INDEX('Offer Statistics'!$BQ$2:$BQ$600,MATCH(1,($A21='Offer Statistics'!$BB$2:$BB$600)*($AC$2='Offer Statistics'!$BC$2:$BC$600),0)),"/")</f>
        <v>33</v>
      </c>
      <c r="AE21" s="63" cm="1">
        <f t="array" ref="AE21">IFERROR(INDEX('Offer Statistics'!BL$2:BL$600,MATCH(1,($A21='Offer Statistics'!$BB$2:$BB$600)*($AC$2='Offer Statistics'!$BC$2:$BC$600),0)),"/")</f>
        <v>33</v>
      </c>
      <c r="AF21" s="63" cm="1">
        <f t="array" ref="AF21">IFERROR(INDEX('Offer Statistics'!BM$2:BM$600,MATCH(1,($A21='Offer Statistics'!$BB$2:$BB$600)*($AC$2='Offer Statistics'!$BC$2:$BC$600),0)),"/")</f>
        <v>0</v>
      </c>
      <c r="AG21" s="63" cm="1">
        <f t="array" ref="AG21">IFERROR(INDEX('Offer Statistics'!BN$2:BN$600,MATCH(1,($A21='Offer Statistics'!$BB$2:$BB$600)*($AC$2='Offer Statistics'!$BC$2:$BC$600),0)),"/")</f>
        <v>0</v>
      </c>
      <c r="AH21" s="63" cm="1">
        <f t="array" ref="AH21">IFERROR(INDEX('Offer Statistics'!BO$2:BO$600,MATCH(1,($A21='Offer Statistics'!$BB$2:$BB$600)*($AC$2='Offer Statistics'!$BC$2:$BC$600),0)),"/")</f>
        <v>0</v>
      </c>
      <c r="AI21" s="63" cm="1">
        <f t="array" ref="AI21">IFERROR(INDEX('Offer Statistics'!BP$2:BP$600,MATCH(1,($A21='Offer Statistics'!$BB$2:$BB$600)*($AC$2='Offer Statistics'!$BC$2:$BC$600),0)),"/")</f>
        <v>0</v>
      </c>
      <c r="AJ21" s="538"/>
      <c r="AK21" s="36" cm="1">
        <f t="array" ref="AK21">IFERROR(INDEX('Offer Statistics'!$BI$2:$BI$600,MATCH(1,($A21='Offer Statistics'!$BB$2:$BB$600)*($AC$2='Offer Statistics'!$BC$2:$BC$600),0)),"/")</f>
        <v>795</v>
      </c>
      <c r="AL21" s="63" cm="1">
        <f t="array" ref="AL21">IFERROR(INDEX('Offer Statistics'!BD$2:BD$600,MATCH(1,($A21='Offer Statistics'!$BB$2:$BB$600)*($AC$2='Offer Statistics'!$BC$2:$BC$600),0)),"/")</f>
        <v>146</v>
      </c>
      <c r="AM21" s="63" cm="1">
        <f t="array" ref="AM21">IFERROR(INDEX('Offer Statistics'!BE$2:BE$600,MATCH(1,($A21='Offer Statistics'!$BB$2:$BB$600)*($AC$2='Offer Statistics'!$BC$2:$BC$600),0)),"/")</f>
        <v>76</v>
      </c>
      <c r="AN21" s="63" cm="1">
        <f t="array" ref="AN21">IFERROR(INDEX('Offer Statistics'!BF$2:BF$600,MATCH(1,($A21='Offer Statistics'!$BB$2:$BB$600)*($AC$2='Offer Statistics'!$BC$2:$BC$600),0)),"/")</f>
        <v>154</v>
      </c>
      <c r="AO21" s="63" cm="1">
        <f t="array" ref="AO21">IFERROR(INDEX('Offer Statistics'!BG$2:BG$600,MATCH(1,($A21='Offer Statistics'!$BB$2:$BB$600)*($AC$2='Offer Statistics'!$BC$2:$BC$600),0)),"/")</f>
        <v>193</v>
      </c>
      <c r="AP21" s="63" cm="1">
        <f t="array" ref="AP21">IFERROR(INDEX('Offer Statistics'!BH$2:BH$600,MATCH(1,($A21='Offer Statistics'!$BB$2:$BB$600)*($AC$2='Offer Statistics'!$BC$2:$BC$600),0)),"/")</f>
        <v>226</v>
      </c>
      <c r="AQ21" s="15"/>
      <c r="AR21" s="15" t="str">
        <f t="shared" si="3"/>
        <v>JS4252</v>
      </c>
    </row>
    <row r="22" spans="1:44" ht="18" customHeight="1">
      <c r="A22" s="4" t="str">
        <f>'Reference Score Calculation'!B165</f>
        <v>JS4254</v>
      </c>
      <c r="B22" s="4" t="str">
        <f>'Reference Score Calculation'!D165</f>
        <v>商學院/社會科學院</v>
      </c>
      <c r="C22" s="4" t="str">
        <f>'Reference Score Calculation'!E165</f>
        <v>環球經濟與金融跨學科主修課程</v>
      </c>
      <c r="D22" s="4" t="str">
        <f>'Reference Score Calculation'!S165</f>
        <v>GLEF</v>
      </c>
      <c r="E22" s="352" t="str">
        <f>'Reference Score Calculation'!AC165</f>
        <v>Best 5</v>
      </c>
      <c r="F22" s="354" t="str">
        <f>'Reference Score Calculation'!F165</f>
        <v>Best 5</v>
      </c>
      <c r="G22" s="6">
        <f>'Reference Score Calculation'!H165</f>
        <v>33.5</v>
      </c>
      <c r="H22" s="6">
        <f>'Reference Score Calculation'!I165</f>
        <v>33.5</v>
      </c>
      <c r="I22" s="6">
        <f>'Reference Score Calculation'!J165</f>
        <v>32</v>
      </c>
      <c r="J22" s="45">
        <f>計分版!J188</f>
        <v>3.1999999999999997E-9</v>
      </c>
      <c r="K22" s="25">
        <f t="shared" si="0"/>
        <v>-33.4999999968</v>
      </c>
      <c r="L22" s="26">
        <f t="shared" si="1"/>
        <v>-10468749999</v>
      </c>
      <c r="M22" s="36">
        <f>'Reference Score Calculation'!U165</f>
        <v>24</v>
      </c>
      <c r="N22" s="84">
        <f>入學要求!Z174</f>
        <v>0</v>
      </c>
      <c r="O22" s="544"/>
      <c r="P22" s="161">
        <f>入學要求!L174</f>
        <v>4</v>
      </c>
      <c r="Q22" s="161">
        <f>入學要求!M174</f>
        <v>5</v>
      </c>
      <c r="R22" s="161">
        <f>入學要求!N174</f>
        <v>4</v>
      </c>
      <c r="S22" s="161">
        <f>入學要求!O174</f>
        <v>1</v>
      </c>
      <c r="T22" s="161">
        <f>入學要求!P174</f>
        <v>3</v>
      </c>
      <c r="U22" s="161">
        <f>入學要求!Q174</f>
        <v>3</v>
      </c>
      <c r="V22" s="236">
        <f>入學要求!S174</f>
        <v>0</v>
      </c>
      <c r="W22" s="236">
        <f>入學要求!T174</f>
        <v>0</v>
      </c>
      <c r="X22" s="236">
        <f>入學要求!U174</f>
        <v>0</v>
      </c>
      <c r="Y22" s="236">
        <f>入學要求!V174</f>
        <v>0</v>
      </c>
      <c r="Z22" s="236">
        <f>入學要求!W174</f>
        <v>0</v>
      </c>
      <c r="AA22" s="236">
        <f>入學要求!X174</f>
        <v>0</v>
      </c>
      <c r="AB22" s="36">
        <f t="shared" si="2"/>
        <v>3.79</v>
      </c>
      <c r="AC22" s="537"/>
      <c r="AD22" s="36" cm="1">
        <f t="array" ref="AD22">IFERROR(INDEX('Offer Statistics'!$BQ$2:$BQ$600,MATCH(1,($A22='Offer Statistics'!$BB$2:$BB$600)*($AC$2='Offer Statistics'!$BC$2:$BC$600),0)),"/")</f>
        <v>14</v>
      </c>
      <c r="AE22" s="63" cm="1">
        <f t="array" ref="AE22">IFERROR(INDEX('Offer Statistics'!BL$2:BL$600,MATCH(1,($A22='Offer Statistics'!$BB$2:$BB$600)*($AC$2='Offer Statistics'!$BC$2:$BC$600),0)),"/")</f>
        <v>14</v>
      </c>
      <c r="AF22" s="63" cm="1">
        <f t="array" ref="AF22">IFERROR(INDEX('Offer Statistics'!BM$2:BM$600,MATCH(1,($A22='Offer Statistics'!$BB$2:$BB$600)*($AC$2='Offer Statistics'!$BC$2:$BC$600),0)),"/")</f>
        <v>0</v>
      </c>
      <c r="AG22" s="63" cm="1">
        <f t="array" ref="AG22">IFERROR(INDEX('Offer Statistics'!BN$2:BN$600,MATCH(1,($A22='Offer Statistics'!$BB$2:$BB$600)*($AC$2='Offer Statistics'!$BC$2:$BC$600),0)),"/")</f>
        <v>0</v>
      </c>
      <c r="AH22" s="63" cm="1">
        <f t="array" ref="AH22">IFERROR(INDEX('Offer Statistics'!BO$2:BO$600,MATCH(1,($A22='Offer Statistics'!$BB$2:$BB$600)*($AC$2='Offer Statistics'!$BC$2:$BC$600),0)),"/")</f>
        <v>0</v>
      </c>
      <c r="AI22" s="63" cm="1">
        <f t="array" ref="AI22">IFERROR(INDEX('Offer Statistics'!BP$2:BP$600,MATCH(1,($A22='Offer Statistics'!$BB$2:$BB$600)*($AC$2='Offer Statistics'!$BC$2:$BC$600),0)),"/")</f>
        <v>0</v>
      </c>
      <c r="AJ22" s="538"/>
      <c r="AK22" s="36" cm="1">
        <f t="array" ref="AK22">IFERROR(INDEX('Offer Statistics'!$BI$2:$BI$600,MATCH(1,($A22='Offer Statistics'!$BB$2:$BB$600)*($AC$2='Offer Statistics'!$BC$2:$BC$600),0)),"/")</f>
        <v>538</v>
      </c>
      <c r="AL22" s="63" cm="1">
        <f t="array" ref="AL22">IFERROR(INDEX('Offer Statistics'!BD$2:BD$600,MATCH(1,($A22='Offer Statistics'!$BB$2:$BB$600)*($AC$2='Offer Statistics'!$BC$2:$BC$600),0)),"/")</f>
        <v>53</v>
      </c>
      <c r="AM22" s="63" cm="1">
        <f t="array" ref="AM22">IFERROR(INDEX('Offer Statistics'!BE$2:BE$600,MATCH(1,($A22='Offer Statistics'!$BB$2:$BB$600)*($AC$2='Offer Statistics'!$BC$2:$BC$600),0)),"/")</f>
        <v>42</v>
      </c>
      <c r="AN22" s="63" cm="1">
        <f t="array" ref="AN22">IFERROR(INDEX('Offer Statistics'!BF$2:BF$600,MATCH(1,($A22='Offer Statistics'!$BB$2:$BB$600)*($AC$2='Offer Statistics'!$BC$2:$BC$600),0)),"/")</f>
        <v>104</v>
      </c>
      <c r="AO22" s="63" cm="1">
        <f t="array" ref="AO22">IFERROR(INDEX('Offer Statistics'!BG$2:BG$600,MATCH(1,($A22='Offer Statistics'!$BB$2:$BB$600)*($AC$2='Offer Statistics'!$BC$2:$BC$600),0)),"/")</f>
        <v>176</v>
      </c>
      <c r="AP22" s="63" cm="1">
        <f t="array" ref="AP22">IFERROR(INDEX('Offer Statistics'!BH$2:BH$600,MATCH(1,($A22='Offer Statistics'!$BB$2:$BB$600)*($AC$2='Offer Statistics'!$BC$2:$BC$600),0)),"/")</f>
        <v>163</v>
      </c>
      <c r="AQ22" s="15"/>
      <c r="AR22" s="15" t="str">
        <f t="shared" si="3"/>
        <v>JS4254</v>
      </c>
    </row>
    <row r="23" spans="1:44" s="10" customFormat="1" ht="18" customHeight="1">
      <c r="A23" s="4" t="str">
        <f>'Reference Score Calculation'!B166</f>
        <v>JS4264</v>
      </c>
      <c r="B23" s="4" t="str">
        <f>'Reference Score Calculation'!D166</f>
        <v>商學院/法學院</v>
      </c>
      <c r="C23" s="4" t="str">
        <f>'Reference Score Calculation'!E166</f>
        <v>工商管理學士（工商管理學士綜合課程）及法律博士雙學位課程</v>
      </c>
      <c r="D23" s="4" t="str">
        <f>'Reference Score Calculation'!S166</f>
        <v>BBA-JD</v>
      </c>
      <c r="E23" s="352" t="str">
        <f>'Reference Score Calculation'!AC166</f>
        <v>3C2X</v>
      </c>
      <c r="F23" s="354" t="str">
        <f>'Reference Score Calculation'!F166</f>
        <v>3C2X</v>
      </c>
      <c r="G23" s="6">
        <f>'Reference Score Calculation'!H166</f>
        <v>40.25</v>
      </c>
      <c r="H23" s="6">
        <f>'Reference Score Calculation'!I166</f>
        <v>39.5</v>
      </c>
      <c r="I23" s="6">
        <f>'Reference Score Calculation'!J166</f>
        <v>38</v>
      </c>
      <c r="J23" s="45">
        <f>計分版!J189</f>
        <v>2.5499999999999997E-9</v>
      </c>
      <c r="K23" s="25">
        <f t="shared" si="0"/>
        <v>-39.499999997449997</v>
      </c>
      <c r="L23" s="26">
        <f t="shared" si="1"/>
        <v>-15490196077.431374</v>
      </c>
      <c r="M23" s="36">
        <f>'Reference Score Calculation'!U166</f>
        <v>25</v>
      </c>
      <c r="N23" s="84">
        <f>入學要求!Z175</f>
        <v>0</v>
      </c>
      <c r="O23" s="544"/>
      <c r="P23" s="161">
        <f>入學要求!L175</f>
        <v>4</v>
      </c>
      <c r="Q23" s="161">
        <f>入學要求!M175</f>
        <v>5</v>
      </c>
      <c r="R23" s="161">
        <f>入學要求!N175</f>
        <v>3</v>
      </c>
      <c r="S23" s="161">
        <f>入學要求!O175</f>
        <v>1</v>
      </c>
      <c r="T23" s="161">
        <f>入學要求!P175</f>
        <v>3</v>
      </c>
      <c r="U23" s="161">
        <f>入學要求!Q175</f>
        <v>3</v>
      </c>
      <c r="V23" s="236">
        <f>入學要求!S175</f>
        <v>0</v>
      </c>
      <c r="W23" s="236">
        <f>入學要求!T175</f>
        <v>0</v>
      </c>
      <c r="X23" s="236">
        <f>入學要求!U175</f>
        <v>0</v>
      </c>
      <c r="Y23" s="236">
        <f>入學要求!V175</f>
        <v>0</v>
      </c>
      <c r="Z23" s="236">
        <f>入學要求!W175</f>
        <v>0</v>
      </c>
      <c r="AA23" s="236">
        <f>入學要求!X175</f>
        <v>0</v>
      </c>
      <c r="AB23" s="36">
        <f t="shared" si="2"/>
        <v>2.91</v>
      </c>
      <c r="AC23" s="537"/>
      <c r="AD23" s="36" cm="1">
        <f t="array" ref="AD23">IFERROR(INDEX('Offer Statistics'!$BQ$2:$BQ$600,MATCH(1,($A23='Offer Statistics'!$BB$2:$BB$600)*($AC$2='Offer Statistics'!$BC$2:$BC$600),0)),"/")</f>
        <v>22</v>
      </c>
      <c r="AE23" s="63" cm="1">
        <f t="array" ref="AE23">IFERROR(INDEX('Offer Statistics'!BL$2:BL$600,MATCH(1,($A23='Offer Statistics'!$BB$2:$BB$600)*($AC$2='Offer Statistics'!$BC$2:$BC$600),0)),"/")</f>
        <v>22</v>
      </c>
      <c r="AF23" s="63" cm="1">
        <f t="array" ref="AF23">IFERROR(INDEX('Offer Statistics'!BM$2:BM$600,MATCH(1,($A23='Offer Statistics'!$BB$2:$BB$600)*($AC$2='Offer Statistics'!$BC$2:$BC$600),0)),"/")</f>
        <v>0</v>
      </c>
      <c r="AG23" s="63" cm="1">
        <f t="array" ref="AG23">IFERROR(INDEX('Offer Statistics'!BN$2:BN$600,MATCH(1,($A23='Offer Statistics'!$BB$2:$BB$600)*($AC$2='Offer Statistics'!$BC$2:$BC$600),0)),"/")</f>
        <v>0</v>
      </c>
      <c r="AH23" s="63" cm="1">
        <f t="array" ref="AH23">IFERROR(INDEX('Offer Statistics'!BO$2:BO$600,MATCH(1,($A23='Offer Statistics'!$BB$2:$BB$600)*($AC$2='Offer Statistics'!$BC$2:$BC$600),0)),"/")</f>
        <v>0</v>
      </c>
      <c r="AI23" s="63" cm="1">
        <f t="array" ref="AI23">IFERROR(INDEX('Offer Statistics'!BP$2:BP$600,MATCH(1,($A23='Offer Statistics'!$BB$2:$BB$600)*($AC$2='Offer Statistics'!$BC$2:$BC$600),0)),"/")</f>
        <v>0</v>
      </c>
      <c r="AJ23" s="538"/>
      <c r="AK23" s="36" cm="1">
        <f t="array" ref="AK23">IFERROR(INDEX('Offer Statistics'!$BI$2:$BI$600,MATCH(1,($A23='Offer Statistics'!$BB$2:$BB$600)*($AC$2='Offer Statistics'!$BC$2:$BC$600),0)),"/")</f>
        <v>501</v>
      </c>
      <c r="AL23" s="63" cm="1">
        <f t="array" ref="AL23">IFERROR(INDEX('Offer Statistics'!BD$2:BD$600,MATCH(1,($A23='Offer Statistics'!$BB$2:$BB$600)*($AC$2='Offer Statistics'!$BC$2:$BC$600),0)),"/")</f>
        <v>64</v>
      </c>
      <c r="AM23" s="63" cm="1">
        <f t="array" ref="AM23">IFERROR(INDEX('Offer Statistics'!BE$2:BE$600,MATCH(1,($A23='Offer Statistics'!$BB$2:$BB$600)*($AC$2='Offer Statistics'!$BC$2:$BC$600),0)),"/")</f>
        <v>41</v>
      </c>
      <c r="AN23" s="63" cm="1">
        <f t="array" ref="AN23">IFERROR(INDEX('Offer Statistics'!BF$2:BF$600,MATCH(1,($A23='Offer Statistics'!$BB$2:$BB$600)*($AC$2='Offer Statistics'!$BC$2:$BC$600),0)),"/")</f>
        <v>105</v>
      </c>
      <c r="AO23" s="63" cm="1">
        <f t="array" ref="AO23">IFERROR(INDEX('Offer Statistics'!BG$2:BG$600,MATCH(1,($A23='Offer Statistics'!$BB$2:$BB$600)*($AC$2='Offer Statistics'!$BC$2:$BC$600),0)),"/")</f>
        <v>144</v>
      </c>
      <c r="AP23" s="63" cm="1">
        <f t="array" ref="AP23">IFERROR(INDEX('Offer Statistics'!BH$2:BH$600,MATCH(1,($A23='Offer Statistics'!$BB$2:$BB$600)*($AC$2='Offer Statistics'!$BC$2:$BC$600),0)),"/")</f>
        <v>147</v>
      </c>
      <c r="AQ23" s="15"/>
      <c r="AR23" s="15" t="str">
        <f t="shared" si="3"/>
        <v>JS4264</v>
      </c>
    </row>
    <row r="24" spans="1:44" ht="18" customHeight="1">
      <c r="A24" s="4" t="str">
        <f>'Reference Score Calculation'!B167</f>
        <v>JS4276</v>
      </c>
      <c r="B24" s="4" t="str">
        <f>'Reference Score Calculation'!D167</f>
        <v>商學院/理學院</v>
      </c>
      <c r="C24" s="4" t="str">
        <f>'Reference Score Calculation'!E167</f>
        <v>計量金融學及風險管理科學</v>
      </c>
      <c r="D24" s="4" t="str">
        <f>'Reference Score Calculation'!S167</f>
        <v>QFRM</v>
      </c>
      <c r="E24" s="352" t="str">
        <f>'Reference Score Calculation'!AC167</f>
        <v>Best 5</v>
      </c>
      <c r="F24" s="354" t="str">
        <f>'Reference Score Calculation'!F167</f>
        <v>Best 5</v>
      </c>
      <c r="G24" s="6">
        <f>'Reference Score Calculation'!H167</f>
        <v>59.25</v>
      </c>
      <c r="H24" s="6">
        <f>'Reference Score Calculation'!I167</f>
        <v>56.25</v>
      </c>
      <c r="I24" s="6">
        <f>'Reference Score Calculation'!J167</f>
        <v>55.5</v>
      </c>
      <c r="J24" s="45">
        <f>計分版!J190</f>
        <v>3.1500000000000001E-9</v>
      </c>
      <c r="K24" s="25">
        <f t="shared" si="0"/>
        <v>-56.249999996850001</v>
      </c>
      <c r="L24" s="26">
        <f t="shared" si="1"/>
        <v>-17857142856.142857</v>
      </c>
      <c r="M24" s="36">
        <f>'Reference Score Calculation'!U167</f>
        <v>20</v>
      </c>
      <c r="N24" s="84">
        <f>入學要求!Z176</f>
        <v>0</v>
      </c>
      <c r="O24" s="544"/>
      <c r="P24" s="161">
        <f>入學要求!L176</f>
        <v>3</v>
      </c>
      <c r="Q24" s="161">
        <f>入學要求!M176</f>
        <v>3</v>
      </c>
      <c r="R24" s="161">
        <f>入學要求!N176</f>
        <v>3</v>
      </c>
      <c r="S24" s="161">
        <f>入學要求!O176</f>
        <v>1</v>
      </c>
      <c r="T24" s="161">
        <f>入學要求!P176</f>
        <v>3</v>
      </c>
      <c r="U24" s="161">
        <f>入學要求!Q176</f>
        <v>3</v>
      </c>
      <c r="V24" s="236">
        <f>入學要求!S176</f>
        <v>0</v>
      </c>
      <c r="W24" s="236">
        <f>入學要求!T176</f>
        <v>0</v>
      </c>
      <c r="X24" s="236">
        <f>入學要求!U176</f>
        <v>0</v>
      </c>
      <c r="Y24" s="236">
        <f>入學要求!V176</f>
        <v>0</v>
      </c>
      <c r="Z24" s="236">
        <f>入學要求!W176</f>
        <v>0</v>
      </c>
      <c r="AA24" s="236">
        <f>入學要求!X176</f>
        <v>0</v>
      </c>
      <c r="AB24" s="36">
        <f t="shared" si="2"/>
        <v>3.07</v>
      </c>
      <c r="AC24" s="537"/>
      <c r="AD24" s="36" cm="1">
        <f t="array" ref="AD24">IFERROR(INDEX('Offer Statistics'!$BQ$2:$BQ$600,MATCH(1,($A24='Offer Statistics'!$BB$2:$BB$600)*($AC$2='Offer Statistics'!$BC$2:$BC$600),0)),"/")</f>
        <v>15</v>
      </c>
      <c r="AE24" s="63" cm="1">
        <f t="array" ref="AE24">IFERROR(INDEX('Offer Statistics'!BL$2:BL$600,MATCH(1,($A24='Offer Statistics'!$BB$2:$BB$600)*($AC$2='Offer Statistics'!$BC$2:$BC$600),0)),"/")</f>
        <v>15</v>
      </c>
      <c r="AF24" s="63" cm="1">
        <f t="array" ref="AF24">IFERROR(INDEX('Offer Statistics'!BM$2:BM$600,MATCH(1,($A24='Offer Statistics'!$BB$2:$BB$600)*($AC$2='Offer Statistics'!$BC$2:$BC$600),0)),"/")</f>
        <v>0</v>
      </c>
      <c r="AG24" s="63" cm="1">
        <f t="array" ref="AG24">IFERROR(INDEX('Offer Statistics'!BN$2:BN$600,MATCH(1,($A24='Offer Statistics'!$BB$2:$BB$600)*($AC$2='Offer Statistics'!$BC$2:$BC$600),0)),"/")</f>
        <v>0</v>
      </c>
      <c r="AH24" s="63" cm="1">
        <f t="array" ref="AH24">IFERROR(INDEX('Offer Statistics'!BO$2:BO$600,MATCH(1,($A24='Offer Statistics'!$BB$2:$BB$600)*($AC$2='Offer Statistics'!$BC$2:$BC$600),0)),"/")</f>
        <v>0</v>
      </c>
      <c r="AI24" s="63" cm="1">
        <f t="array" ref="AI24">IFERROR(INDEX('Offer Statistics'!BP$2:BP$600,MATCH(1,($A24='Offer Statistics'!$BB$2:$BB$600)*($AC$2='Offer Statistics'!$BC$2:$BC$600),0)),"/")</f>
        <v>0</v>
      </c>
      <c r="AJ24" s="538"/>
      <c r="AK24" s="36" cm="1">
        <f t="array" ref="AK24">IFERROR(INDEX('Offer Statistics'!$BI$2:$BI$600,MATCH(1,($A24='Offer Statistics'!$BB$2:$BB$600)*($AC$2='Offer Statistics'!$BC$2:$BC$600),0)),"/")</f>
        <v>488</v>
      </c>
      <c r="AL24" s="63" cm="1">
        <f t="array" ref="AL24">IFERROR(INDEX('Offer Statistics'!BD$2:BD$600,MATCH(1,($A24='Offer Statistics'!$BB$2:$BB$600)*($AC$2='Offer Statistics'!$BC$2:$BC$600),0)),"/")</f>
        <v>46</v>
      </c>
      <c r="AM24" s="63" cm="1">
        <f t="array" ref="AM24">IFERROR(INDEX('Offer Statistics'!BE$2:BE$600,MATCH(1,($A24='Offer Statistics'!$BB$2:$BB$600)*($AC$2='Offer Statistics'!$BC$2:$BC$600),0)),"/")</f>
        <v>39</v>
      </c>
      <c r="AN24" s="63" cm="1">
        <f t="array" ref="AN24">IFERROR(INDEX('Offer Statistics'!BF$2:BF$600,MATCH(1,($A24='Offer Statistics'!$BB$2:$BB$600)*($AC$2='Offer Statistics'!$BC$2:$BC$600),0)),"/")</f>
        <v>83</v>
      </c>
      <c r="AO24" s="63" cm="1">
        <f t="array" ref="AO24">IFERROR(INDEX('Offer Statistics'!BG$2:BG$600,MATCH(1,($A24='Offer Statistics'!$BB$2:$BB$600)*($AC$2='Offer Statistics'!$BC$2:$BC$600),0)),"/")</f>
        <v>146</v>
      </c>
      <c r="AP24" s="63" cm="1">
        <f t="array" ref="AP24">IFERROR(INDEX('Offer Statistics'!BH$2:BH$600,MATCH(1,($A24='Offer Statistics'!$BB$2:$BB$600)*($AC$2='Offer Statistics'!$BC$2:$BC$600),0)),"/")</f>
        <v>174</v>
      </c>
      <c r="AQ24" s="15"/>
      <c r="AR24" s="15" t="str">
        <f t="shared" si="3"/>
        <v>JS4276</v>
      </c>
    </row>
    <row r="25" spans="1:44" s="10" customFormat="1" ht="18" customHeight="1">
      <c r="A25" s="4" t="str">
        <f>'Reference Score Calculation'!B168</f>
        <v>JS4320</v>
      </c>
      <c r="B25" s="4" t="str">
        <f>'Reference Score Calculation'!D168</f>
        <v>教育學院</v>
      </c>
      <c r="C25" s="4" t="str">
        <f>'Reference Score Calculation'!E168</f>
        <v>人體運動科學與健康研究</v>
      </c>
      <c r="D25" s="4" t="str">
        <f>'Reference Score Calculation'!S168</f>
        <v>HUM MOV SCI &amp; HEALTH STU</v>
      </c>
      <c r="E25" s="352" t="str">
        <f>'Reference Score Calculation'!AC168</f>
        <v>Best 5</v>
      </c>
      <c r="F25" s="354" t="str">
        <f>'Reference Score Calculation'!F168</f>
        <v>25年新科目</v>
      </c>
      <c r="G25" s="6" t="str">
        <f>'Reference Score Calculation'!H168</f>
        <v>/</v>
      </c>
      <c r="H25" s="6" t="str">
        <f>'Reference Score Calculation'!I168</f>
        <v>/</v>
      </c>
      <c r="I25" s="6" t="str">
        <f>'Reference Score Calculation'!J168</f>
        <v>/</v>
      </c>
      <c r="J25" s="45" t="str">
        <f>計分版!J191</f>
        <v>/</v>
      </c>
      <c r="K25" s="7" t="str">
        <f t="shared" si="0"/>
        <v>/</v>
      </c>
      <c r="L25" s="8" t="str">
        <f t="shared" si="1"/>
        <v>/</v>
      </c>
      <c r="M25" s="36">
        <f>'Reference Score Calculation'!U168</f>
        <v>20</v>
      </c>
      <c r="N25" s="84">
        <f>入學要求!Z177</f>
        <v>0</v>
      </c>
      <c r="O25" s="544"/>
      <c r="P25" s="161">
        <f>入學要求!L177</f>
        <v>3</v>
      </c>
      <c r="Q25" s="161">
        <f>入學要求!M177</f>
        <v>3</v>
      </c>
      <c r="R25" s="161">
        <f>入學要求!N177</f>
        <v>2</v>
      </c>
      <c r="S25" s="161">
        <f>入學要求!O177</f>
        <v>1</v>
      </c>
      <c r="T25" s="161">
        <f>入學要求!P177</f>
        <v>3</v>
      </c>
      <c r="U25" s="161">
        <f>入學要求!Q177</f>
        <v>3</v>
      </c>
      <c r="V25" s="236">
        <f>入學要求!S177</f>
        <v>0</v>
      </c>
      <c r="W25" s="236">
        <f>入學要求!T177</f>
        <v>0</v>
      </c>
      <c r="X25" s="236">
        <f>入學要求!U177</f>
        <v>0</v>
      </c>
      <c r="Y25" s="236">
        <f>入學要求!V177</f>
        <v>0</v>
      </c>
      <c r="Z25" s="236">
        <f>入學要求!W177</f>
        <v>0</v>
      </c>
      <c r="AA25" s="236">
        <f>入學要求!X177</f>
        <v>0</v>
      </c>
      <c r="AB25" s="36" t="str">
        <f t="shared" si="2"/>
        <v>/</v>
      </c>
      <c r="AC25" s="537"/>
      <c r="AD25" s="36" t="str" cm="1">
        <f t="array" ref="AD25">IFERROR(INDEX('Offer Statistics'!$BQ$2:$BQ$600,MATCH(1,($A25='Offer Statistics'!$BB$2:$BB$600)*($AC$2='Offer Statistics'!$BC$2:$BC$600),0)),"/")</f>
        <v>/</v>
      </c>
      <c r="AE25" s="63" t="str" cm="1">
        <f t="array" ref="AE25">IFERROR(INDEX('Offer Statistics'!BL$2:BL$600,MATCH(1,($A25='Offer Statistics'!$BB$2:$BB$600)*($AC$2='Offer Statistics'!$BC$2:$BC$600),0)),"/")</f>
        <v>/</v>
      </c>
      <c r="AF25" s="63" t="str" cm="1">
        <f t="array" ref="AF25">IFERROR(INDEX('Offer Statistics'!BM$2:BM$600,MATCH(1,($A25='Offer Statistics'!$BB$2:$BB$600)*($AC$2='Offer Statistics'!$BC$2:$BC$600),0)),"/")</f>
        <v>/</v>
      </c>
      <c r="AG25" s="63" t="str" cm="1">
        <f t="array" ref="AG25">IFERROR(INDEX('Offer Statistics'!BN$2:BN$600,MATCH(1,($A25='Offer Statistics'!$BB$2:$BB$600)*($AC$2='Offer Statistics'!$BC$2:$BC$600),0)),"/")</f>
        <v>/</v>
      </c>
      <c r="AH25" s="63" t="str" cm="1">
        <f t="array" ref="AH25">IFERROR(INDEX('Offer Statistics'!BO$2:BO$600,MATCH(1,($A25='Offer Statistics'!$BB$2:$BB$600)*($AC$2='Offer Statistics'!$BC$2:$BC$600),0)),"/")</f>
        <v>/</v>
      </c>
      <c r="AI25" s="63" t="str" cm="1">
        <f t="array" ref="AI25">IFERROR(INDEX('Offer Statistics'!BP$2:BP$600,MATCH(1,($A25='Offer Statistics'!$BB$2:$BB$600)*($AC$2='Offer Statistics'!$BC$2:$BC$600),0)),"/")</f>
        <v>/</v>
      </c>
      <c r="AJ25" s="538"/>
      <c r="AK25" s="36" t="str" cm="1">
        <f t="array" ref="AK25">IFERROR(INDEX('Offer Statistics'!$BI$2:$BI$600,MATCH(1,($A25='Offer Statistics'!$BB$2:$BB$600)*($AC$2='Offer Statistics'!$BC$2:$BC$600),0)),"/")</f>
        <v>/</v>
      </c>
      <c r="AL25" s="63" t="str" cm="1">
        <f t="array" ref="AL25">IFERROR(INDEX('Offer Statistics'!BD$2:BD$600,MATCH(1,($A25='Offer Statistics'!$BB$2:$BB$600)*($AC$2='Offer Statistics'!$BC$2:$BC$600),0)),"/")</f>
        <v>/</v>
      </c>
      <c r="AM25" s="63" t="str" cm="1">
        <f t="array" ref="AM25">IFERROR(INDEX('Offer Statistics'!BE$2:BE$600,MATCH(1,($A25='Offer Statistics'!$BB$2:$BB$600)*($AC$2='Offer Statistics'!$BC$2:$BC$600),0)),"/")</f>
        <v>/</v>
      </c>
      <c r="AN25" s="63" t="str" cm="1">
        <f t="array" ref="AN25">IFERROR(INDEX('Offer Statistics'!BF$2:BF$600,MATCH(1,($A25='Offer Statistics'!$BB$2:$BB$600)*($AC$2='Offer Statistics'!$BC$2:$BC$600),0)),"/")</f>
        <v>/</v>
      </c>
      <c r="AO25" s="63" t="str" cm="1">
        <f t="array" ref="AO25">IFERROR(INDEX('Offer Statistics'!BG$2:BG$600,MATCH(1,($A25='Offer Statistics'!$BB$2:$BB$600)*($AC$2='Offer Statistics'!$BC$2:$BC$600),0)),"/")</f>
        <v>/</v>
      </c>
      <c r="AP25" s="63" t="str" cm="1">
        <f t="array" ref="AP25">IFERROR(INDEX('Offer Statistics'!BH$2:BH$600,MATCH(1,($A25='Offer Statistics'!$BB$2:$BB$600)*($AC$2='Offer Statistics'!$BC$2:$BC$600),0)),"/")</f>
        <v>/</v>
      </c>
      <c r="AQ25" s="15"/>
      <c r="AR25" s="15" t="str">
        <f t="shared" si="3"/>
        <v>JS4320</v>
      </c>
    </row>
    <row r="26" spans="1:44" ht="18" customHeight="1">
      <c r="A26" s="4" t="str">
        <f>'Reference Score Calculation'!B169</f>
        <v>JS4329</v>
      </c>
      <c r="B26" s="4" t="str">
        <f>'Reference Score Calculation'!D169</f>
        <v>教育學院</v>
      </c>
      <c r="C26" s="4" t="str">
        <f>'Reference Score Calculation'!E169</f>
        <v>健康與體育運動科學</v>
      </c>
      <c r="D26" s="4" t="str">
        <f>'Reference Score Calculation'!S169</f>
        <v>PHY ED, EX SCI &amp; HEALTH</v>
      </c>
      <c r="E26" s="352" t="str">
        <f>'Reference Score Calculation'!AC169</f>
        <v>Best 5</v>
      </c>
      <c r="F26" s="354" t="str">
        <f>'Reference Score Calculation'!F169</f>
        <v>Best 5</v>
      </c>
      <c r="G26" s="6">
        <f>'Reference Score Calculation'!H169</f>
        <v>30.5</v>
      </c>
      <c r="H26" s="6">
        <f>'Reference Score Calculation'!I169</f>
        <v>29</v>
      </c>
      <c r="I26" s="6">
        <f>'Reference Score Calculation'!J169</f>
        <v>27.5</v>
      </c>
      <c r="J26" s="45">
        <f>計分版!J192</f>
        <v>3.4999999999999999E-9</v>
      </c>
      <c r="K26" s="25">
        <f t="shared" si="0"/>
        <v>-28.999999996500001</v>
      </c>
      <c r="L26" s="26">
        <f t="shared" si="1"/>
        <v>-8285714284.7142868</v>
      </c>
      <c r="M26" s="36">
        <f>'Reference Score Calculation'!U169</f>
        <v>17</v>
      </c>
      <c r="N26" s="84">
        <f>入學要求!Z178</f>
        <v>0</v>
      </c>
      <c r="O26" s="544"/>
      <c r="P26" s="161">
        <f>入學要求!L178</f>
        <v>3</v>
      </c>
      <c r="Q26" s="161">
        <f>入學要求!M178</f>
        <v>3</v>
      </c>
      <c r="R26" s="161">
        <f>入學要求!N178</f>
        <v>2</v>
      </c>
      <c r="S26" s="161">
        <f>入學要求!O178</f>
        <v>1</v>
      </c>
      <c r="T26" s="161">
        <f>入學要求!P178</f>
        <v>3</v>
      </c>
      <c r="U26" s="161">
        <f>入學要求!Q178</f>
        <v>3</v>
      </c>
      <c r="V26" s="236">
        <f>入學要求!S178</f>
        <v>0</v>
      </c>
      <c r="W26" s="236">
        <f>入學要求!T178</f>
        <v>0</v>
      </c>
      <c r="X26" s="236">
        <f>入學要求!U178</f>
        <v>0</v>
      </c>
      <c r="Y26" s="236">
        <f>入學要求!V178</f>
        <v>0</v>
      </c>
      <c r="Z26" s="236">
        <f>入學要求!W178</f>
        <v>0</v>
      </c>
      <c r="AA26" s="236">
        <f>入學要求!X178</f>
        <v>0</v>
      </c>
      <c r="AB26" s="36">
        <f t="shared" si="2"/>
        <v>18.63</v>
      </c>
      <c r="AC26" s="537"/>
      <c r="AD26" s="36" cm="1">
        <f t="array" ref="AD26">IFERROR(INDEX('Offer Statistics'!$BQ$2:$BQ$600,MATCH(1,($A26='Offer Statistics'!$BB$2:$BB$600)*($AC$2='Offer Statistics'!$BC$2:$BC$600),0)),"/")</f>
        <v>24</v>
      </c>
      <c r="AE26" s="63" cm="1">
        <f t="array" ref="AE26">IFERROR(INDEX('Offer Statistics'!BL$2:BL$600,MATCH(1,($A26='Offer Statistics'!$BB$2:$BB$600)*($AC$2='Offer Statistics'!$BC$2:$BC$600),0)),"/")</f>
        <v>24</v>
      </c>
      <c r="AF26" s="63" cm="1">
        <f t="array" ref="AF26">IFERROR(INDEX('Offer Statistics'!BM$2:BM$600,MATCH(1,($A26='Offer Statistics'!$BB$2:$BB$600)*($AC$2='Offer Statistics'!$BC$2:$BC$600),0)),"/")</f>
        <v>0</v>
      </c>
      <c r="AG26" s="63" cm="1">
        <f t="array" ref="AG26">IFERROR(INDEX('Offer Statistics'!BN$2:BN$600,MATCH(1,($A26='Offer Statistics'!$BB$2:$BB$600)*($AC$2='Offer Statistics'!$BC$2:$BC$600),0)),"/")</f>
        <v>0</v>
      </c>
      <c r="AH26" s="63" cm="1">
        <f t="array" ref="AH26">IFERROR(INDEX('Offer Statistics'!BO$2:BO$600,MATCH(1,($A26='Offer Statistics'!$BB$2:$BB$600)*($AC$2='Offer Statistics'!$BC$2:$BC$600),0)),"/")</f>
        <v>0</v>
      </c>
      <c r="AI26" s="63" cm="1">
        <f t="array" ref="AI26">IFERROR(INDEX('Offer Statistics'!BP$2:BP$600,MATCH(1,($A26='Offer Statistics'!$BB$2:$BB$600)*($AC$2='Offer Statistics'!$BC$2:$BC$600),0)),"/")</f>
        <v>0</v>
      </c>
      <c r="AJ26" s="538"/>
      <c r="AK26" s="36" cm="1">
        <f t="array" ref="AK26">IFERROR(INDEX('Offer Statistics'!$BI$2:$BI$600,MATCH(1,($A26='Offer Statistics'!$BB$2:$BB$600)*($AC$2='Offer Statistics'!$BC$2:$BC$600),0)),"/")</f>
        <v>1957</v>
      </c>
      <c r="AL26" s="63" cm="1">
        <f t="array" ref="AL26">IFERROR(INDEX('Offer Statistics'!BD$2:BD$600,MATCH(1,($A26='Offer Statistics'!$BB$2:$BB$600)*($AC$2='Offer Statistics'!$BC$2:$BC$600),0)),"/")</f>
        <v>447</v>
      </c>
      <c r="AM26" s="63" cm="1">
        <f t="array" ref="AM26">IFERROR(INDEX('Offer Statistics'!BE$2:BE$600,MATCH(1,($A26='Offer Statistics'!$BB$2:$BB$600)*($AC$2='Offer Statistics'!$BC$2:$BC$600),0)),"/")</f>
        <v>366</v>
      </c>
      <c r="AN26" s="63" cm="1">
        <f t="array" ref="AN26">IFERROR(INDEX('Offer Statistics'!BF$2:BF$600,MATCH(1,($A26='Offer Statistics'!$BB$2:$BB$600)*($AC$2='Offer Statistics'!$BC$2:$BC$600),0)),"/")</f>
        <v>412</v>
      </c>
      <c r="AO26" s="63" cm="1">
        <f t="array" ref="AO26">IFERROR(INDEX('Offer Statistics'!BG$2:BG$600,MATCH(1,($A26='Offer Statistics'!$BB$2:$BB$600)*($AC$2='Offer Statistics'!$BC$2:$BC$600),0)),"/")</f>
        <v>379</v>
      </c>
      <c r="AP26" s="63" cm="1">
        <f t="array" ref="AP26">IFERROR(INDEX('Offer Statistics'!BH$2:BH$600,MATCH(1,($A26='Offer Statistics'!$BB$2:$BB$600)*($AC$2='Offer Statistics'!$BC$2:$BC$600),0)),"/")</f>
        <v>353</v>
      </c>
      <c r="AQ26" s="15"/>
      <c r="AR26" s="15" t="str">
        <f t="shared" si="3"/>
        <v>JS4329</v>
      </c>
    </row>
    <row r="27" spans="1:44" s="10" customFormat="1" ht="18" customHeight="1">
      <c r="A27" s="4" t="str">
        <f>'Reference Score Calculation'!B170</f>
        <v>JS4331</v>
      </c>
      <c r="B27" s="4" t="str">
        <f>'Reference Score Calculation'!D170</f>
        <v>教育學院</v>
      </c>
      <c r="C27" s="4" t="str">
        <f>'Reference Score Calculation'!E170</f>
        <v>文學士 (中國語文研究) 及教育學士 (中國語文教育)</v>
      </c>
      <c r="D27" s="4" t="str">
        <f>'Reference Score Calculation'!S170</f>
        <v>BA (CHI) BEd (CHI EDU)</v>
      </c>
      <c r="E27" s="352" t="str">
        <f>'Reference Score Calculation'!AC170</f>
        <v>Best 5</v>
      </c>
      <c r="F27" s="354" t="str">
        <f>'Reference Score Calculation'!F170</f>
        <v>Best 5</v>
      </c>
      <c r="G27" s="6">
        <f>'Reference Score Calculation'!H170</f>
        <v>42</v>
      </c>
      <c r="H27" s="6">
        <f>'Reference Score Calculation'!I170</f>
        <v>40.5</v>
      </c>
      <c r="I27" s="6">
        <f>'Reference Score Calculation'!J170</f>
        <v>40.5</v>
      </c>
      <c r="J27" s="45">
        <f>計分版!J193</f>
        <v>3.1999999999999997E-9</v>
      </c>
      <c r="K27" s="25">
        <f t="shared" si="0"/>
        <v>-40.4999999968</v>
      </c>
      <c r="L27" s="26">
        <f t="shared" si="1"/>
        <v>-12656249999.000002</v>
      </c>
      <c r="M27" s="36">
        <f>'Reference Score Calculation'!U170</f>
        <v>12</v>
      </c>
      <c r="N27" s="84">
        <f>入學要求!Z179</f>
        <v>0</v>
      </c>
      <c r="O27" s="544"/>
      <c r="P27" s="161">
        <f>入學要求!L179</f>
        <v>4</v>
      </c>
      <c r="Q27" s="161">
        <f>入學要求!M179</f>
        <v>3</v>
      </c>
      <c r="R27" s="161">
        <f>入學要求!N179</f>
        <v>2</v>
      </c>
      <c r="S27" s="161">
        <f>入學要求!O179</f>
        <v>1</v>
      </c>
      <c r="T27" s="161">
        <f>入學要求!P179</f>
        <v>3</v>
      </c>
      <c r="U27" s="161">
        <f>入學要求!Q179</f>
        <v>3</v>
      </c>
      <c r="V27" s="236">
        <f>入學要求!S179</f>
        <v>0</v>
      </c>
      <c r="W27" s="236">
        <f>入學要求!T179</f>
        <v>0</v>
      </c>
      <c r="X27" s="236">
        <f>入學要求!U179</f>
        <v>0</v>
      </c>
      <c r="Y27" s="236">
        <f>入學要求!V179</f>
        <v>0</v>
      </c>
      <c r="Z27" s="236">
        <f>入學要求!W179</f>
        <v>0</v>
      </c>
      <c r="AA27" s="236">
        <f>入學要求!X179</f>
        <v>0</v>
      </c>
      <c r="AB27" s="36">
        <f t="shared" si="2"/>
        <v>6.79</v>
      </c>
      <c r="AC27" s="537"/>
      <c r="AD27" s="36" cm="1">
        <f t="array" ref="AD27">IFERROR(INDEX('Offer Statistics'!$BQ$2:$BQ$600,MATCH(1,($A27='Offer Statistics'!$BB$2:$BB$600)*($AC$2='Offer Statistics'!$BC$2:$BC$600),0)),"/")</f>
        <v>14</v>
      </c>
      <c r="AE27" s="63" cm="1">
        <f t="array" ref="AE27">IFERROR(INDEX('Offer Statistics'!BL$2:BL$600,MATCH(1,($A27='Offer Statistics'!$BB$2:$BB$600)*($AC$2='Offer Statistics'!$BC$2:$BC$600),0)),"/")</f>
        <v>14</v>
      </c>
      <c r="AF27" s="63" cm="1">
        <f t="array" ref="AF27">IFERROR(INDEX('Offer Statistics'!BM$2:BM$600,MATCH(1,($A27='Offer Statistics'!$BB$2:$BB$600)*($AC$2='Offer Statistics'!$BC$2:$BC$600),0)),"/")</f>
        <v>0</v>
      </c>
      <c r="AG27" s="63" cm="1">
        <f t="array" ref="AG27">IFERROR(INDEX('Offer Statistics'!BN$2:BN$600,MATCH(1,($A27='Offer Statistics'!$BB$2:$BB$600)*($AC$2='Offer Statistics'!$BC$2:$BC$600),0)),"/")</f>
        <v>0</v>
      </c>
      <c r="AH27" s="63" cm="1">
        <f t="array" ref="AH27">IFERROR(INDEX('Offer Statistics'!BO$2:BO$600,MATCH(1,($A27='Offer Statistics'!$BB$2:$BB$600)*($AC$2='Offer Statistics'!$BC$2:$BC$600),0)),"/")</f>
        <v>0</v>
      </c>
      <c r="AI27" s="63" cm="1">
        <f t="array" ref="AI27">IFERROR(INDEX('Offer Statistics'!BP$2:BP$600,MATCH(1,($A27='Offer Statistics'!$BB$2:$BB$600)*($AC$2='Offer Statistics'!$BC$2:$BC$600),0)),"/")</f>
        <v>0</v>
      </c>
      <c r="AJ27" s="538"/>
      <c r="AK27" s="36" cm="1">
        <f t="array" ref="AK27">IFERROR(INDEX('Offer Statistics'!$BI$2:$BI$600,MATCH(1,($A27='Offer Statistics'!$BB$2:$BB$600)*($AC$2='Offer Statistics'!$BC$2:$BC$600),0)),"/")</f>
        <v>937</v>
      </c>
      <c r="AL27" s="63" cm="1">
        <f t="array" ref="AL27">IFERROR(INDEX('Offer Statistics'!BD$2:BD$600,MATCH(1,($A27='Offer Statistics'!$BB$2:$BB$600)*($AC$2='Offer Statistics'!$BC$2:$BC$600),0)),"/")</f>
        <v>95</v>
      </c>
      <c r="AM27" s="63" cm="1">
        <f t="array" ref="AM27">IFERROR(INDEX('Offer Statistics'!BE$2:BE$600,MATCH(1,($A27='Offer Statistics'!$BB$2:$BB$600)*($AC$2='Offer Statistics'!$BC$2:$BC$600),0)),"/")</f>
        <v>110</v>
      </c>
      <c r="AN27" s="63" cm="1">
        <f t="array" ref="AN27">IFERROR(INDEX('Offer Statistics'!BF$2:BF$600,MATCH(1,($A27='Offer Statistics'!$BB$2:$BB$600)*($AC$2='Offer Statistics'!$BC$2:$BC$600),0)),"/")</f>
        <v>196</v>
      </c>
      <c r="AO27" s="63" cm="1">
        <f t="array" ref="AO27">IFERROR(INDEX('Offer Statistics'!BG$2:BG$600,MATCH(1,($A27='Offer Statistics'!$BB$2:$BB$600)*($AC$2='Offer Statistics'!$BC$2:$BC$600),0)),"/")</f>
        <v>291</v>
      </c>
      <c r="AP27" s="63" cm="1">
        <f t="array" ref="AP27">IFERROR(INDEX('Offer Statistics'!BH$2:BH$600,MATCH(1,($A27='Offer Statistics'!$BB$2:$BB$600)*($AC$2='Offer Statistics'!$BC$2:$BC$600),0)),"/")</f>
        <v>245</v>
      </c>
      <c r="AQ27" s="15"/>
      <c r="AR27" s="15" t="str">
        <f t="shared" si="3"/>
        <v>JS4331</v>
      </c>
    </row>
    <row r="28" spans="1:44" ht="18" customHeight="1">
      <c r="A28" s="4" t="str">
        <f>'Reference Score Calculation'!B171</f>
        <v>JS4343</v>
      </c>
      <c r="B28" s="4" t="str">
        <f>'Reference Score Calculation'!D171</f>
        <v>教育學院</v>
      </c>
      <c r="C28" s="4" t="str">
        <f>'Reference Score Calculation'!E171</f>
        <v>文學士(英國語文研究)及教育學士(英國語文教育)</v>
      </c>
      <c r="D28" s="4" t="str">
        <f>'Reference Score Calculation'!S171</f>
        <v>BA (ENG) BEd (ENG EDU)</v>
      </c>
      <c r="E28" s="352" t="str">
        <f>'Reference Score Calculation'!AC171</f>
        <v>Best 5</v>
      </c>
      <c r="F28" s="354" t="str">
        <f>'Reference Score Calculation'!F171</f>
        <v>Best 5</v>
      </c>
      <c r="G28" s="6">
        <f>'Reference Score Calculation'!H171</f>
        <v>37.5</v>
      </c>
      <c r="H28" s="6">
        <f>'Reference Score Calculation'!I171</f>
        <v>34.5</v>
      </c>
      <c r="I28" s="6">
        <f>'Reference Score Calculation'!J171</f>
        <v>33</v>
      </c>
      <c r="J28" s="45">
        <f>計分版!J194</f>
        <v>3.3999999999999998E-9</v>
      </c>
      <c r="K28" s="25">
        <f t="shared" si="0"/>
        <v>-34.499999996600003</v>
      </c>
      <c r="L28" s="26">
        <f t="shared" si="1"/>
        <v>-10147058822.529413</v>
      </c>
      <c r="M28" s="36">
        <f>'Reference Score Calculation'!U171</f>
        <v>12</v>
      </c>
      <c r="N28" s="84">
        <f>入學要求!Z180</f>
        <v>0</v>
      </c>
      <c r="O28" s="544"/>
      <c r="P28" s="161">
        <f>入學要求!L180</f>
        <v>3</v>
      </c>
      <c r="Q28" s="161">
        <f>入學要求!M180</f>
        <v>4</v>
      </c>
      <c r="R28" s="161">
        <f>入學要求!N180</f>
        <v>2</v>
      </c>
      <c r="S28" s="161">
        <f>入學要求!O180</f>
        <v>1</v>
      </c>
      <c r="T28" s="161">
        <f>入學要求!P180</f>
        <v>3</v>
      </c>
      <c r="U28" s="161">
        <f>入學要求!Q180</f>
        <v>3</v>
      </c>
      <c r="V28" s="236">
        <f>入學要求!S180</f>
        <v>0</v>
      </c>
      <c r="W28" s="236">
        <f>入學要求!T180</f>
        <v>0</v>
      </c>
      <c r="X28" s="236">
        <f>入學要求!U180</f>
        <v>0</v>
      </c>
      <c r="Y28" s="236">
        <f>入學要求!V180</f>
        <v>0</v>
      </c>
      <c r="Z28" s="236">
        <f>入學要求!W180</f>
        <v>0</v>
      </c>
      <c r="AA28" s="236">
        <f>入學要求!X180</f>
        <v>0</v>
      </c>
      <c r="AB28" s="36">
        <f t="shared" si="2"/>
        <v>4.29</v>
      </c>
      <c r="AC28" s="537"/>
      <c r="AD28" s="36" cm="1">
        <f t="array" ref="AD28">IFERROR(INDEX('Offer Statistics'!$BQ$2:$BQ$600,MATCH(1,($A28='Offer Statistics'!$BB$2:$BB$600)*($AC$2='Offer Statistics'!$BC$2:$BC$600),0)),"/")</f>
        <v>14</v>
      </c>
      <c r="AE28" s="63" cm="1">
        <f t="array" ref="AE28">IFERROR(INDEX('Offer Statistics'!BL$2:BL$600,MATCH(1,($A28='Offer Statistics'!$BB$2:$BB$600)*($AC$2='Offer Statistics'!$BC$2:$BC$600),0)),"/")</f>
        <v>14</v>
      </c>
      <c r="AF28" s="63" cm="1">
        <f t="array" ref="AF28">IFERROR(INDEX('Offer Statistics'!BM$2:BM$600,MATCH(1,($A28='Offer Statistics'!$BB$2:$BB$600)*($AC$2='Offer Statistics'!$BC$2:$BC$600),0)),"/")</f>
        <v>0</v>
      </c>
      <c r="AG28" s="63" cm="1">
        <f t="array" ref="AG28">IFERROR(INDEX('Offer Statistics'!BN$2:BN$600,MATCH(1,($A28='Offer Statistics'!$BB$2:$BB$600)*($AC$2='Offer Statistics'!$BC$2:$BC$600),0)),"/")</f>
        <v>0</v>
      </c>
      <c r="AH28" s="63" cm="1">
        <f t="array" ref="AH28">IFERROR(INDEX('Offer Statistics'!BO$2:BO$600,MATCH(1,($A28='Offer Statistics'!$BB$2:$BB$600)*($AC$2='Offer Statistics'!$BC$2:$BC$600),0)),"/")</f>
        <v>0</v>
      </c>
      <c r="AI28" s="63" cm="1">
        <f t="array" ref="AI28">IFERROR(INDEX('Offer Statistics'!BP$2:BP$600,MATCH(1,($A28='Offer Statistics'!$BB$2:$BB$600)*($AC$2='Offer Statistics'!$BC$2:$BC$600),0)),"/")</f>
        <v>0</v>
      </c>
      <c r="AJ28" s="538"/>
      <c r="AK28" s="36" cm="1">
        <f t="array" ref="AK28">IFERROR(INDEX('Offer Statistics'!$BI$2:$BI$600,MATCH(1,($A28='Offer Statistics'!$BB$2:$BB$600)*($AC$2='Offer Statistics'!$BC$2:$BC$600),0)),"/")</f>
        <v>684</v>
      </c>
      <c r="AL28" s="63" cm="1">
        <f t="array" ref="AL28">IFERROR(INDEX('Offer Statistics'!BD$2:BD$600,MATCH(1,($A28='Offer Statistics'!$BB$2:$BB$600)*($AC$2='Offer Statistics'!$BC$2:$BC$600),0)),"/")</f>
        <v>60</v>
      </c>
      <c r="AM28" s="63" cm="1">
        <f t="array" ref="AM28">IFERROR(INDEX('Offer Statistics'!BE$2:BE$600,MATCH(1,($A28='Offer Statistics'!$BB$2:$BB$600)*($AC$2='Offer Statistics'!$BC$2:$BC$600),0)),"/")</f>
        <v>91</v>
      </c>
      <c r="AN28" s="63" cm="1">
        <f t="array" ref="AN28">IFERROR(INDEX('Offer Statistics'!BF$2:BF$600,MATCH(1,($A28='Offer Statistics'!$BB$2:$BB$600)*($AC$2='Offer Statistics'!$BC$2:$BC$600),0)),"/")</f>
        <v>144</v>
      </c>
      <c r="AO28" s="63" cm="1">
        <f t="array" ref="AO28">IFERROR(INDEX('Offer Statistics'!BG$2:BG$600,MATCH(1,($A28='Offer Statistics'!$BB$2:$BB$600)*($AC$2='Offer Statistics'!$BC$2:$BC$600),0)),"/")</f>
        <v>195</v>
      </c>
      <c r="AP28" s="63" cm="1">
        <f t="array" ref="AP28">IFERROR(INDEX('Offer Statistics'!BH$2:BH$600,MATCH(1,($A28='Offer Statistics'!$BB$2:$BB$600)*($AC$2='Offer Statistics'!$BC$2:$BC$600),0)),"/")</f>
        <v>194</v>
      </c>
      <c r="AQ28" s="15"/>
      <c r="AR28" s="15" t="str">
        <f t="shared" si="3"/>
        <v>JS4343</v>
      </c>
    </row>
    <row r="29" spans="1:44" s="10" customFormat="1" ht="18" customHeight="1">
      <c r="A29" s="4" t="str">
        <f>'Reference Score Calculation'!B172</f>
        <v>JS4361</v>
      </c>
      <c r="B29" s="4" t="str">
        <f>'Reference Score Calculation'!D172</f>
        <v>教育學院</v>
      </c>
      <c r="C29" s="4" t="str">
        <f>'Reference Score Calculation'!E172</f>
        <v>教育學士(數學及數學教育)</v>
      </c>
      <c r="D29" s="4" t="str">
        <f>'Reference Score Calculation'!S172</f>
        <v>MATHS EDUCATION</v>
      </c>
      <c r="E29" s="352" t="str">
        <f>'Reference Score Calculation'!AC172</f>
        <v>Best 5</v>
      </c>
      <c r="F29" s="354" t="str">
        <f>'Reference Score Calculation'!F172</f>
        <v>Best 5</v>
      </c>
      <c r="G29" s="6">
        <f>'Reference Score Calculation'!H172</f>
        <v>53</v>
      </c>
      <c r="H29" s="6">
        <f>'Reference Score Calculation'!I172</f>
        <v>50.75</v>
      </c>
      <c r="I29" s="6">
        <f>'Reference Score Calculation'!J172</f>
        <v>50.75</v>
      </c>
      <c r="J29" s="45">
        <f>計分版!J195</f>
        <v>4.0000000000000002E-9</v>
      </c>
      <c r="K29" s="25">
        <f t="shared" si="0"/>
        <v>-50.749999996</v>
      </c>
      <c r="L29" s="26">
        <f t="shared" si="1"/>
        <v>-12687499999</v>
      </c>
      <c r="M29" s="36">
        <f>'Reference Score Calculation'!U172</f>
        <v>12</v>
      </c>
      <c r="N29" s="84">
        <f>入學要求!Z181</f>
        <v>0</v>
      </c>
      <c r="O29" s="544"/>
      <c r="P29" s="161">
        <f>入學要求!L181</f>
        <v>3</v>
      </c>
      <c r="Q29" s="161">
        <f>入學要求!M181</f>
        <v>3</v>
      </c>
      <c r="R29" s="161">
        <f>入學要求!N181</f>
        <v>4</v>
      </c>
      <c r="S29" s="161">
        <f>入學要求!O181</f>
        <v>1</v>
      </c>
      <c r="T29" s="161">
        <f>入學要求!P181</f>
        <v>3</v>
      </c>
      <c r="U29" s="161">
        <f>入學要求!Q181</f>
        <v>3</v>
      </c>
      <c r="V29" s="236">
        <f>入學要求!S181</f>
        <v>0</v>
      </c>
      <c r="W29" s="236">
        <f>入學要求!T181</f>
        <v>0</v>
      </c>
      <c r="X29" s="236">
        <f>入學要求!U181</f>
        <v>0</v>
      </c>
      <c r="Y29" s="236">
        <f>入學要求!V181</f>
        <v>0</v>
      </c>
      <c r="Z29" s="236">
        <f>入學要求!W181</f>
        <v>0</v>
      </c>
      <c r="AA29" s="236">
        <f>入學要求!X181</f>
        <v>0</v>
      </c>
      <c r="AB29" s="36">
        <f t="shared" si="2"/>
        <v>6.93</v>
      </c>
      <c r="AC29" s="537"/>
      <c r="AD29" s="36" cm="1">
        <f t="array" ref="AD29">IFERROR(INDEX('Offer Statistics'!$BQ$2:$BQ$600,MATCH(1,($A29='Offer Statistics'!$BB$2:$BB$600)*($AC$2='Offer Statistics'!$BC$2:$BC$600),0)),"/")</f>
        <v>15</v>
      </c>
      <c r="AE29" s="63" cm="1">
        <f t="array" ref="AE29">IFERROR(INDEX('Offer Statistics'!BL$2:BL$600,MATCH(1,($A29='Offer Statistics'!$BB$2:$BB$600)*($AC$2='Offer Statistics'!$BC$2:$BC$600),0)),"/")</f>
        <v>15</v>
      </c>
      <c r="AF29" s="63" cm="1">
        <f t="array" ref="AF29">IFERROR(INDEX('Offer Statistics'!BM$2:BM$600,MATCH(1,($A29='Offer Statistics'!$BB$2:$BB$600)*($AC$2='Offer Statistics'!$BC$2:$BC$600),0)),"/")</f>
        <v>0</v>
      </c>
      <c r="AG29" s="63" cm="1">
        <f t="array" ref="AG29">IFERROR(INDEX('Offer Statistics'!BN$2:BN$600,MATCH(1,($A29='Offer Statistics'!$BB$2:$BB$600)*($AC$2='Offer Statistics'!$BC$2:$BC$600),0)),"/")</f>
        <v>0</v>
      </c>
      <c r="AH29" s="63" cm="1">
        <f t="array" ref="AH29">IFERROR(INDEX('Offer Statistics'!BO$2:BO$600,MATCH(1,($A29='Offer Statistics'!$BB$2:$BB$600)*($AC$2='Offer Statistics'!$BC$2:$BC$600),0)),"/")</f>
        <v>0</v>
      </c>
      <c r="AI29" s="63" cm="1">
        <f t="array" ref="AI29">IFERROR(INDEX('Offer Statistics'!BP$2:BP$600,MATCH(1,($A29='Offer Statistics'!$BB$2:$BB$600)*($AC$2='Offer Statistics'!$BC$2:$BC$600),0)),"/")</f>
        <v>0</v>
      </c>
      <c r="AJ29" s="538"/>
      <c r="AK29" s="36" cm="1">
        <f t="array" ref="AK29">IFERROR(INDEX('Offer Statistics'!$BI$2:$BI$600,MATCH(1,($A29='Offer Statistics'!$BB$2:$BB$600)*($AC$2='Offer Statistics'!$BC$2:$BC$600),0)),"/")</f>
        <v>932</v>
      </c>
      <c r="AL29" s="63" cm="1">
        <f t="array" ref="AL29">IFERROR(INDEX('Offer Statistics'!BD$2:BD$600,MATCH(1,($A29='Offer Statistics'!$BB$2:$BB$600)*($AC$2='Offer Statistics'!$BC$2:$BC$600),0)),"/")</f>
        <v>104</v>
      </c>
      <c r="AM29" s="63" cm="1">
        <f t="array" ref="AM29">IFERROR(INDEX('Offer Statistics'!BE$2:BE$600,MATCH(1,($A29='Offer Statistics'!$BB$2:$BB$600)*($AC$2='Offer Statistics'!$BC$2:$BC$600),0)),"/")</f>
        <v>112</v>
      </c>
      <c r="AN29" s="63" cm="1">
        <f t="array" ref="AN29">IFERROR(INDEX('Offer Statistics'!BF$2:BF$600,MATCH(1,($A29='Offer Statistics'!$BB$2:$BB$600)*($AC$2='Offer Statistics'!$BC$2:$BC$600),0)),"/")</f>
        <v>235</v>
      </c>
      <c r="AO29" s="63" cm="1">
        <f t="array" ref="AO29">IFERROR(INDEX('Offer Statistics'!BG$2:BG$600,MATCH(1,($A29='Offer Statistics'!$BB$2:$BB$600)*($AC$2='Offer Statistics'!$BC$2:$BC$600),0)),"/")</f>
        <v>252</v>
      </c>
      <c r="AP29" s="63" cm="1">
        <f t="array" ref="AP29">IFERROR(INDEX('Offer Statistics'!BH$2:BH$600,MATCH(1,($A29='Offer Statistics'!$BB$2:$BB$600)*($AC$2='Offer Statistics'!$BC$2:$BC$600),0)),"/")</f>
        <v>229</v>
      </c>
      <c r="AQ29" s="15"/>
      <c r="AR29" s="15" t="str">
        <f t="shared" si="3"/>
        <v>JS4361</v>
      </c>
    </row>
    <row r="30" spans="1:44" ht="18" customHeight="1">
      <c r="A30" s="4" t="str">
        <f>'Reference Score Calculation'!B173</f>
        <v>JS4372</v>
      </c>
      <c r="B30" s="4" t="str">
        <f>'Reference Score Calculation'!D173</f>
        <v>教育學院</v>
      </c>
      <c r="C30" s="4" t="str">
        <f>'Reference Score Calculation'!E173</f>
        <v>教育學士(幼兒教育)</v>
      </c>
      <c r="D30" s="4" t="str">
        <f>'Reference Score Calculation'!S173</f>
        <v>BEd (ECE)</v>
      </c>
      <c r="E30" s="352" t="str">
        <f>'Reference Score Calculation'!AC173</f>
        <v>Best 5</v>
      </c>
      <c r="F30" s="354" t="str">
        <f>'Reference Score Calculation'!F173</f>
        <v>Best 5</v>
      </c>
      <c r="G30" s="6">
        <f>'Reference Score Calculation'!H173</f>
        <v>24.5</v>
      </c>
      <c r="H30" s="6">
        <f>'Reference Score Calculation'!I173</f>
        <v>23</v>
      </c>
      <c r="I30" s="6">
        <f>'Reference Score Calculation'!J173</f>
        <v>21.5</v>
      </c>
      <c r="J30" s="45">
        <f>計分版!J196</f>
        <v>3.4999999999999999E-9</v>
      </c>
      <c r="K30" s="25">
        <f t="shared" si="0"/>
        <v>-22.999999996500001</v>
      </c>
      <c r="L30" s="26">
        <f t="shared" si="1"/>
        <v>-6571428570.4285717</v>
      </c>
      <c r="M30" s="36">
        <f>'Reference Score Calculation'!U173</f>
        <v>21</v>
      </c>
      <c r="N30" s="84">
        <f>入學要求!Z182</f>
        <v>0</v>
      </c>
      <c r="O30" s="544"/>
      <c r="P30" s="161">
        <f>入學要求!L182</f>
        <v>3</v>
      </c>
      <c r="Q30" s="161">
        <f>入學要求!M182</f>
        <v>3</v>
      </c>
      <c r="R30" s="161">
        <f>入學要求!N182</f>
        <v>2</v>
      </c>
      <c r="S30" s="161">
        <f>入學要求!O182</f>
        <v>1</v>
      </c>
      <c r="T30" s="161">
        <f>入學要求!P182</f>
        <v>3</v>
      </c>
      <c r="U30" s="161">
        <f>入學要求!Q182</f>
        <v>3</v>
      </c>
      <c r="V30" s="236">
        <f>入學要求!S182</f>
        <v>0</v>
      </c>
      <c r="W30" s="236">
        <f>入學要求!T182</f>
        <v>0</v>
      </c>
      <c r="X30" s="236">
        <f>入學要求!U182</f>
        <v>0</v>
      </c>
      <c r="Y30" s="236">
        <f>入學要求!V182</f>
        <v>0</v>
      </c>
      <c r="Z30" s="236">
        <f>入學要求!W182</f>
        <v>0</v>
      </c>
      <c r="AA30" s="236">
        <f>入學要求!X182</f>
        <v>0</v>
      </c>
      <c r="AB30" s="36">
        <f t="shared" si="2"/>
        <v>20.86</v>
      </c>
      <c r="AC30" s="537"/>
      <c r="AD30" s="36" cm="1">
        <f t="array" ref="AD30">IFERROR(INDEX('Offer Statistics'!$BQ$2:$BQ$600,MATCH(1,($A30='Offer Statistics'!$BB$2:$BB$600)*($AC$2='Offer Statistics'!$BC$2:$BC$600),0)),"/")</f>
        <v>21</v>
      </c>
      <c r="AE30" s="63" cm="1">
        <f t="array" ref="AE30">IFERROR(INDEX('Offer Statistics'!BL$2:BL$600,MATCH(1,($A30='Offer Statistics'!$BB$2:$BB$600)*($AC$2='Offer Statistics'!$BC$2:$BC$600),0)),"/")</f>
        <v>21</v>
      </c>
      <c r="AF30" s="63" cm="1">
        <f t="array" ref="AF30">IFERROR(INDEX('Offer Statistics'!BM$2:BM$600,MATCH(1,($A30='Offer Statistics'!$BB$2:$BB$600)*($AC$2='Offer Statistics'!$BC$2:$BC$600),0)),"/")</f>
        <v>0</v>
      </c>
      <c r="AG30" s="63" cm="1">
        <f t="array" ref="AG30">IFERROR(INDEX('Offer Statistics'!BN$2:BN$600,MATCH(1,($A30='Offer Statistics'!$BB$2:$BB$600)*($AC$2='Offer Statistics'!$BC$2:$BC$600),0)),"/")</f>
        <v>0</v>
      </c>
      <c r="AH30" s="63" cm="1">
        <f t="array" ref="AH30">IFERROR(INDEX('Offer Statistics'!BO$2:BO$600,MATCH(1,($A30='Offer Statistics'!$BB$2:$BB$600)*($AC$2='Offer Statistics'!$BC$2:$BC$600),0)),"/")</f>
        <v>0</v>
      </c>
      <c r="AI30" s="63" cm="1">
        <f t="array" ref="AI30">IFERROR(INDEX('Offer Statistics'!BP$2:BP$600,MATCH(1,($A30='Offer Statistics'!$BB$2:$BB$600)*($AC$2='Offer Statistics'!$BC$2:$BC$600),0)),"/")</f>
        <v>0</v>
      </c>
      <c r="AJ30" s="538"/>
      <c r="AK30" s="36" cm="1">
        <f t="array" ref="AK30">IFERROR(INDEX('Offer Statistics'!$BI$2:$BI$600,MATCH(1,($A30='Offer Statistics'!$BB$2:$BB$600)*($AC$2='Offer Statistics'!$BC$2:$BC$600),0)),"/")</f>
        <v>3362</v>
      </c>
      <c r="AL30" s="63" cm="1">
        <f t="array" ref="AL30">IFERROR(INDEX('Offer Statistics'!BD$2:BD$600,MATCH(1,($A30='Offer Statistics'!$BB$2:$BB$600)*($AC$2='Offer Statistics'!$BC$2:$BC$600),0)),"/")</f>
        <v>438</v>
      </c>
      <c r="AM30" s="63" cm="1">
        <f t="array" ref="AM30">IFERROR(INDEX('Offer Statistics'!BE$2:BE$600,MATCH(1,($A30='Offer Statistics'!$BB$2:$BB$600)*($AC$2='Offer Statistics'!$BC$2:$BC$600),0)),"/")</f>
        <v>480</v>
      </c>
      <c r="AN30" s="63" cm="1">
        <f t="array" ref="AN30">IFERROR(INDEX('Offer Statistics'!BF$2:BF$600,MATCH(1,($A30='Offer Statistics'!$BB$2:$BB$600)*($AC$2='Offer Statistics'!$BC$2:$BC$600),0)),"/")</f>
        <v>800</v>
      </c>
      <c r="AO30" s="63" cm="1">
        <f t="array" ref="AO30">IFERROR(INDEX('Offer Statistics'!BG$2:BG$600,MATCH(1,($A30='Offer Statistics'!$BB$2:$BB$600)*($AC$2='Offer Statistics'!$BC$2:$BC$600),0)),"/")</f>
        <v>866</v>
      </c>
      <c r="AP30" s="63" cm="1">
        <f t="array" ref="AP30">IFERROR(INDEX('Offer Statistics'!BH$2:BH$600,MATCH(1,($A30='Offer Statistics'!$BB$2:$BB$600)*($AC$2='Offer Statistics'!$BC$2:$BC$600),0)),"/")</f>
        <v>778</v>
      </c>
      <c r="AQ30" s="15"/>
      <c r="AR30" s="15" t="str">
        <f t="shared" si="3"/>
        <v>JS4372</v>
      </c>
    </row>
    <row r="31" spans="1:44" s="10" customFormat="1" ht="18" customHeight="1">
      <c r="A31" s="4" t="str">
        <f>'Reference Score Calculation'!B174</f>
        <v>JS4386</v>
      </c>
      <c r="B31" s="4" t="str">
        <f>'Reference Score Calculation'!D174</f>
        <v>教育學院/工程學院/理學院</v>
      </c>
      <c r="C31" s="4" t="str">
        <f>'Reference Score Calculation'!E174</f>
        <v>理學士（學習設計與科技）</v>
      </c>
      <c r="D31" s="4" t="str">
        <f>'Reference Score Calculation'!S174</f>
        <v>LEARNING DESIGN AND TECH</v>
      </c>
      <c r="E31" s="352" t="str">
        <f>'Reference Score Calculation'!AC174</f>
        <v>Best 5</v>
      </c>
      <c r="F31" s="354" t="str">
        <f>'Reference Score Calculation'!F174</f>
        <v>Best 5</v>
      </c>
      <c r="G31" s="6">
        <f>'Reference Score Calculation'!H174</f>
        <v>34.75</v>
      </c>
      <c r="H31" s="6">
        <f>'Reference Score Calculation'!I174</f>
        <v>29.5</v>
      </c>
      <c r="I31" s="6">
        <f>'Reference Score Calculation'!J174</f>
        <v>27.5</v>
      </c>
      <c r="J31" s="45">
        <f>計分版!J197</f>
        <v>3.7500000000000005E-9</v>
      </c>
      <c r="K31" s="25">
        <f t="shared" si="0"/>
        <v>-29.499999996250001</v>
      </c>
      <c r="L31" s="26">
        <f t="shared" si="1"/>
        <v>-7866666665.666666</v>
      </c>
      <c r="M31" s="36">
        <f>'Reference Score Calculation'!U174</f>
        <v>20</v>
      </c>
      <c r="N31" s="84">
        <f>入學要求!Z183</f>
        <v>0</v>
      </c>
      <c r="O31" s="544"/>
      <c r="P31" s="161">
        <f>入學要求!L183</f>
        <v>3</v>
      </c>
      <c r="Q31" s="161">
        <f>入學要求!M183</f>
        <v>3</v>
      </c>
      <c r="R31" s="161">
        <f>入學要求!N183</f>
        <v>3</v>
      </c>
      <c r="S31" s="161">
        <f>入學要求!O183</f>
        <v>1</v>
      </c>
      <c r="T31" s="161">
        <f>入學要求!P183</f>
        <v>3</v>
      </c>
      <c r="U31" s="161">
        <f>入學要求!Q183</f>
        <v>3</v>
      </c>
      <c r="V31" s="236">
        <f>入學要求!S183</f>
        <v>0</v>
      </c>
      <c r="W31" s="236">
        <f>入學要求!T183</f>
        <v>0</v>
      </c>
      <c r="X31" s="236">
        <f>入學要求!U183</f>
        <v>0</v>
      </c>
      <c r="Y31" s="236">
        <f>入學要求!V183</f>
        <v>0</v>
      </c>
      <c r="Z31" s="236">
        <f>入學要求!W183</f>
        <v>0</v>
      </c>
      <c r="AA31" s="236">
        <f>入學要求!X183</f>
        <v>0</v>
      </c>
      <c r="AB31" s="36">
        <f t="shared" si="2"/>
        <v>7.8</v>
      </c>
      <c r="AC31" s="537"/>
      <c r="AD31" s="36" cm="1">
        <f t="array" ref="AD31">IFERROR(INDEX('Offer Statistics'!$BQ$2:$BQ$600,MATCH(1,($A31='Offer Statistics'!$BB$2:$BB$600)*($AC$2='Offer Statistics'!$BC$2:$BC$600),0)),"/")</f>
        <v>14</v>
      </c>
      <c r="AE31" s="63" cm="1">
        <f t="array" ref="AE31">IFERROR(INDEX('Offer Statistics'!BL$2:BL$600,MATCH(1,($A31='Offer Statistics'!$BB$2:$BB$600)*($AC$2='Offer Statistics'!$BC$2:$BC$600),0)),"/")</f>
        <v>10</v>
      </c>
      <c r="AF31" s="63" cm="1">
        <f t="array" ref="AF31">IFERROR(INDEX('Offer Statistics'!BM$2:BM$600,MATCH(1,($A31='Offer Statistics'!$BB$2:$BB$600)*($AC$2='Offer Statistics'!$BC$2:$BC$600),0)),"/")</f>
        <v>0</v>
      </c>
      <c r="AG31" s="63" cm="1">
        <f t="array" ref="AG31">IFERROR(INDEX('Offer Statistics'!BN$2:BN$600,MATCH(1,($A31='Offer Statistics'!$BB$2:$BB$600)*($AC$2='Offer Statistics'!$BC$2:$BC$600),0)),"/")</f>
        <v>4</v>
      </c>
      <c r="AH31" s="63" cm="1">
        <f t="array" ref="AH31">IFERROR(INDEX('Offer Statistics'!BO$2:BO$600,MATCH(1,($A31='Offer Statistics'!$BB$2:$BB$600)*($AC$2='Offer Statistics'!$BC$2:$BC$600),0)),"/")</f>
        <v>0</v>
      </c>
      <c r="AI31" s="63" cm="1">
        <f t="array" ref="AI31">IFERROR(INDEX('Offer Statistics'!BP$2:BP$600,MATCH(1,($A31='Offer Statistics'!$BB$2:$BB$600)*($AC$2='Offer Statistics'!$BC$2:$BC$600),0)),"/")</f>
        <v>0</v>
      </c>
      <c r="AJ31" s="538"/>
      <c r="AK31" s="36" cm="1">
        <f t="array" ref="AK31">IFERROR(INDEX('Offer Statistics'!$BI$2:$BI$600,MATCH(1,($A31='Offer Statistics'!$BB$2:$BB$600)*($AC$2='Offer Statistics'!$BC$2:$BC$600),0)),"/")</f>
        <v>822</v>
      </c>
      <c r="AL31" s="63" cm="1">
        <f t="array" ref="AL31">IFERROR(INDEX('Offer Statistics'!BD$2:BD$600,MATCH(1,($A31='Offer Statistics'!$BB$2:$BB$600)*($AC$2='Offer Statistics'!$BC$2:$BC$600),0)),"/")</f>
        <v>78</v>
      </c>
      <c r="AM31" s="63" cm="1">
        <f t="array" ref="AM31">IFERROR(INDEX('Offer Statistics'!BE$2:BE$600,MATCH(1,($A31='Offer Statistics'!$BB$2:$BB$600)*($AC$2='Offer Statistics'!$BC$2:$BC$600),0)),"/")</f>
        <v>111</v>
      </c>
      <c r="AN31" s="63" cm="1">
        <f t="array" ref="AN31">IFERROR(INDEX('Offer Statistics'!BF$2:BF$600,MATCH(1,($A31='Offer Statistics'!$BB$2:$BB$600)*($AC$2='Offer Statistics'!$BC$2:$BC$600),0)),"/")</f>
        <v>167</v>
      </c>
      <c r="AO31" s="63" cm="1">
        <f t="array" ref="AO31">IFERROR(INDEX('Offer Statistics'!BG$2:BG$600,MATCH(1,($A31='Offer Statistics'!$BB$2:$BB$600)*($AC$2='Offer Statistics'!$BC$2:$BC$600),0)),"/")</f>
        <v>266</v>
      </c>
      <c r="AP31" s="63" cm="1">
        <f t="array" ref="AP31">IFERROR(INDEX('Offer Statistics'!BH$2:BH$600,MATCH(1,($A31='Offer Statistics'!$BB$2:$BB$600)*($AC$2='Offer Statistics'!$BC$2:$BC$600),0)),"/")</f>
        <v>200</v>
      </c>
      <c r="AQ31" s="15"/>
      <c r="AR31" s="15" t="str">
        <f t="shared" si="3"/>
        <v>JS4386</v>
      </c>
    </row>
    <row r="32" spans="1:44" ht="18" customHeight="1">
      <c r="A32" s="4" t="str">
        <f>'Reference Score Calculation'!B175</f>
        <v>JS4408</v>
      </c>
      <c r="B32" s="4" t="str">
        <f>'Reference Score Calculation'!D175</f>
        <v>工程學院</v>
      </c>
      <c r="C32" s="4" t="str">
        <f>'Reference Score Calculation'!E175</f>
        <v>機械與自動化工程學</v>
      </c>
      <c r="D32" s="4" t="str">
        <f>'Reference Score Calculation'!S175</f>
        <v>MAEG</v>
      </c>
      <c r="E32" s="352" t="str">
        <f>'Reference Score Calculation'!AC175</f>
        <v>Best 5</v>
      </c>
      <c r="F32" s="354" t="str">
        <f>'Reference Score Calculation'!F175</f>
        <v>Best 5</v>
      </c>
      <c r="G32" s="6">
        <f>'Reference Score Calculation'!H175</f>
        <v>30.125</v>
      </c>
      <c r="H32" s="6">
        <f>'Reference Score Calculation'!I175</f>
        <v>29.125</v>
      </c>
      <c r="I32" s="6">
        <f>'Reference Score Calculation'!J175</f>
        <v>27.25</v>
      </c>
      <c r="J32" s="45">
        <f>計分版!J198</f>
        <v>3.7500000000000005E-9</v>
      </c>
      <c r="K32" s="25">
        <f t="shared" si="0"/>
        <v>-29.124999996250001</v>
      </c>
      <c r="L32" s="26">
        <f t="shared" si="1"/>
        <v>-7766666665.666666</v>
      </c>
      <c r="M32" s="36">
        <f>'Reference Score Calculation'!U175</f>
        <v>53</v>
      </c>
      <c r="N32" s="84">
        <f>入學要求!Z184</f>
        <v>0</v>
      </c>
      <c r="O32" s="544"/>
      <c r="P32" s="161">
        <f>入學要求!L184</f>
        <v>3</v>
      </c>
      <c r="Q32" s="161">
        <f>入學要求!M184</f>
        <v>3</v>
      </c>
      <c r="R32" s="161">
        <f>入學要求!N184</f>
        <v>3</v>
      </c>
      <c r="S32" s="161">
        <f>入學要求!O184</f>
        <v>1</v>
      </c>
      <c r="T32" s="161">
        <f>入學要求!P184</f>
        <v>3</v>
      </c>
      <c r="U32" s="161">
        <f>入學要求!Q184</f>
        <v>3</v>
      </c>
      <c r="V32" s="236">
        <f>入學要求!S184</f>
        <v>0</v>
      </c>
      <c r="W32" s="236">
        <f>入學要求!T184</f>
        <v>0</v>
      </c>
      <c r="X32" s="236">
        <f>入學要求!U184</f>
        <v>0</v>
      </c>
      <c r="Y32" s="236">
        <f>入學要求!V184</f>
        <v>0</v>
      </c>
      <c r="Z32" s="236">
        <f>入學要求!W184</f>
        <v>0</v>
      </c>
      <c r="AA32" s="236">
        <f>入學要求!X184</f>
        <v>0</v>
      </c>
      <c r="AB32" s="36">
        <f t="shared" si="2"/>
        <v>6.74</v>
      </c>
      <c r="AC32" s="537"/>
      <c r="AD32" s="36" cm="1">
        <f t="array" ref="AD32">IFERROR(INDEX('Offer Statistics'!$BQ$2:$BQ$600,MATCH(1,($A32='Offer Statistics'!$BB$2:$BB$600)*($AC$2='Offer Statistics'!$BC$2:$BC$600),0)),"/")</f>
        <v>53</v>
      </c>
      <c r="AE32" s="63" cm="1">
        <f t="array" ref="AE32">IFERROR(INDEX('Offer Statistics'!BL$2:BL$600,MATCH(1,($A32='Offer Statistics'!$BB$2:$BB$600)*($AC$2='Offer Statistics'!$BC$2:$BC$600),0)),"/")</f>
        <v>53</v>
      </c>
      <c r="AF32" s="63" cm="1">
        <f t="array" ref="AF32">IFERROR(INDEX('Offer Statistics'!BM$2:BM$600,MATCH(1,($A32='Offer Statistics'!$BB$2:$BB$600)*($AC$2='Offer Statistics'!$BC$2:$BC$600),0)),"/")</f>
        <v>0</v>
      </c>
      <c r="AG32" s="63" cm="1">
        <f t="array" ref="AG32">IFERROR(INDEX('Offer Statistics'!BN$2:BN$600,MATCH(1,($A32='Offer Statistics'!$BB$2:$BB$600)*($AC$2='Offer Statistics'!$BC$2:$BC$600),0)),"/")</f>
        <v>0</v>
      </c>
      <c r="AH32" s="63" cm="1">
        <f t="array" ref="AH32">IFERROR(INDEX('Offer Statistics'!BO$2:BO$600,MATCH(1,($A32='Offer Statistics'!$BB$2:$BB$600)*($AC$2='Offer Statistics'!$BC$2:$BC$600),0)),"/")</f>
        <v>0</v>
      </c>
      <c r="AI32" s="63" cm="1">
        <f t="array" ref="AI32">IFERROR(INDEX('Offer Statistics'!BP$2:BP$600,MATCH(1,($A32='Offer Statistics'!$BB$2:$BB$600)*($AC$2='Offer Statistics'!$BC$2:$BC$600),0)),"/")</f>
        <v>0</v>
      </c>
      <c r="AJ32" s="538"/>
      <c r="AK32" s="36" cm="1">
        <f t="array" ref="AK32">IFERROR(INDEX('Offer Statistics'!$BI$2:$BI$600,MATCH(1,($A32='Offer Statistics'!$BB$2:$BB$600)*($AC$2='Offer Statistics'!$BC$2:$BC$600),0)),"/")</f>
        <v>2473</v>
      </c>
      <c r="AL32" s="63" cm="1">
        <f t="array" ref="AL32">IFERROR(INDEX('Offer Statistics'!BD$2:BD$600,MATCH(1,($A32='Offer Statistics'!$BB$2:$BB$600)*($AC$2='Offer Statistics'!$BC$2:$BC$600),0)),"/")</f>
        <v>357</v>
      </c>
      <c r="AM32" s="63" cm="1">
        <f t="array" ref="AM32">IFERROR(INDEX('Offer Statistics'!BE$2:BE$600,MATCH(1,($A32='Offer Statistics'!$BB$2:$BB$600)*($AC$2='Offer Statistics'!$BC$2:$BC$600),0)),"/")</f>
        <v>403</v>
      </c>
      <c r="AN32" s="63" cm="1">
        <f t="array" ref="AN32">IFERROR(INDEX('Offer Statistics'!BF$2:BF$600,MATCH(1,($A32='Offer Statistics'!$BB$2:$BB$600)*($AC$2='Offer Statistics'!$BC$2:$BC$600),0)),"/")</f>
        <v>565</v>
      </c>
      <c r="AO32" s="63" cm="1">
        <f t="array" ref="AO32">IFERROR(INDEX('Offer Statistics'!BG$2:BG$600,MATCH(1,($A32='Offer Statistics'!$BB$2:$BB$600)*($AC$2='Offer Statistics'!$BC$2:$BC$600),0)),"/")</f>
        <v>663</v>
      </c>
      <c r="AP32" s="63" cm="1">
        <f t="array" ref="AP32">IFERROR(INDEX('Offer Statistics'!BH$2:BH$600,MATCH(1,($A32='Offer Statistics'!$BB$2:$BB$600)*($AC$2='Offer Statistics'!$BC$2:$BC$600),0)),"/")</f>
        <v>485</v>
      </c>
      <c r="AQ32" s="15"/>
      <c r="AR32" s="15" t="str">
        <f t="shared" si="3"/>
        <v>JS4408</v>
      </c>
    </row>
    <row r="33" spans="1:44" s="10" customFormat="1" ht="18" customHeight="1">
      <c r="A33" s="4" t="str">
        <f>'Reference Score Calculation'!B176</f>
        <v>JS4412</v>
      </c>
      <c r="B33" s="4" t="str">
        <f>'Reference Score Calculation'!D176</f>
        <v>工程學院</v>
      </c>
      <c r="C33" s="4" t="str">
        <f>'Reference Score Calculation'!E176</f>
        <v>計算機科學與工程</v>
      </c>
      <c r="D33" s="4" t="str">
        <f>'Reference Score Calculation'!S176</f>
        <v>COMPUTER SCI &amp; ENG</v>
      </c>
      <c r="E33" s="352" t="str">
        <f>'Reference Score Calculation'!AC176</f>
        <v>Best 5</v>
      </c>
      <c r="F33" s="354" t="str">
        <f>'Reference Score Calculation'!F176</f>
        <v>Best 5</v>
      </c>
      <c r="G33" s="6">
        <f>'Reference Score Calculation'!H176</f>
        <v>44.875</v>
      </c>
      <c r="H33" s="6">
        <f>'Reference Score Calculation'!I176</f>
        <v>42.25</v>
      </c>
      <c r="I33" s="6">
        <f>'Reference Score Calculation'!J176</f>
        <v>40.25</v>
      </c>
      <c r="J33" s="45">
        <f>計分版!J199</f>
        <v>3.875E-9</v>
      </c>
      <c r="K33" s="25">
        <f t="shared" si="0"/>
        <v>-42.249999996124998</v>
      </c>
      <c r="L33" s="26">
        <f t="shared" si="1"/>
        <v>-10903225805.451612</v>
      </c>
      <c r="M33" s="36">
        <f>'Reference Score Calculation'!U176</f>
        <v>107</v>
      </c>
      <c r="N33" s="84">
        <f>入學要求!Z185</f>
        <v>0</v>
      </c>
      <c r="O33" s="544"/>
      <c r="P33" s="161">
        <f>入學要求!L185</f>
        <v>3</v>
      </c>
      <c r="Q33" s="161">
        <f>入學要求!M185</f>
        <v>3</v>
      </c>
      <c r="R33" s="161">
        <f>入學要求!N185</f>
        <v>4</v>
      </c>
      <c r="S33" s="161">
        <f>入學要求!O185</f>
        <v>1</v>
      </c>
      <c r="T33" s="161">
        <f>入學要求!P185</f>
        <v>3</v>
      </c>
      <c r="U33" s="161">
        <f>入學要求!Q185</f>
        <v>3</v>
      </c>
      <c r="V33" s="236">
        <f>入學要求!S185</f>
        <v>0</v>
      </c>
      <c r="W33" s="236">
        <f>入學要求!T185</f>
        <v>0</v>
      </c>
      <c r="X33" s="236">
        <f>入學要求!U185</f>
        <v>0</v>
      </c>
      <c r="Y33" s="236">
        <f>入學要求!V185</f>
        <v>0</v>
      </c>
      <c r="Z33" s="236">
        <f>入學要求!W185</f>
        <v>0</v>
      </c>
      <c r="AA33" s="236">
        <f>入學要求!X185</f>
        <v>0</v>
      </c>
      <c r="AB33" s="36">
        <f t="shared" si="2"/>
        <v>3.73</v>
      </c>
      <c r="AC33" s="537"/>
      <c r="AD33" s="36" cm="1">
        <f t="array" ref="AD33">IFERROR(INDEX('Offer Statistics'!$BQ$2:$BQ$600,MATCH(1,($A33='Offer Statistics'!$BB$2:$BB$600)*($AC$2='Offer Statistics'!$BC$2:$BC$600),0)),"/")</f>
        <v>116</v>
      </c>
      <c r="AE33" s="63" cm="1">
        <f t="array" ref="AE33">IFERROR(INDEX('Offer Statistics'!BL$2:BL$600,MATCH(1,($A33='Offer Statistics'!$BB$2:$BB$600)*($AC$2='Offer Statistics'!$BC$2:$BC$600),0)),"/")</f>
        <v>116</v>
      </c>
      <c r="AF33" s="63" cm="1">
        <f t="array" ref="AF33">IFERROR(INDEX('Offer Statistics'!BM$2:BM$600,MATCH(1,($A33='Offer Statistics'!$BB$2:$BB$600)*($AC$2='Offer Statistics'!$BC$2:$BC$600),0)),"/")</f>
        <v>0</v>
      </c>
      <c r="AG33" s="63" cm="1">
        <f t="array" ref="AG33">IFERROR(INDEX('Offer Statistics'!BN$2:BN$600,MATCH(1,($A33='Offer Statistics'!$BB$2:$BB$600)*($AC$2='Offer Statistics'!$BC$2:$BC$600),0)),"/")</f>
        <v>0</v>
      </c>
      <c r="AH33" s="63" cm="1">
        <f t="array" ref="AH33">IFERROR(INDEX('Offer Statistics'!BO$2:BO$600,MATCH(1,($A33='Offer Statistics'!$BB$2:$BB$600)*($AC$2='Offer Statistics'!$BC$2:$BC$600),0)),"/")</f>
        <v>0</v>
      </c>
      <c r="AI33" s="63" cm="1">
        <f t="array" ref="AI33">IFERROR(INDEX('Offer Statistics'!BP$2:BP$600,MATCH(1,($A33='Offer Statistics'!$BB$2:$BB$600)*($AC$2='Offer Statistics'!$BC$2:$BC$600),0)),"/")</f>
        <v>0</v>
      </c>
      <c r="AJ33" s="538"/>
      <c r="AK33" s="36" cm="1">
        <f t="array" ref="AK33">IFERROR(INDEX('Offer Statistics'!$BI$2:$BI$600,MATCH(1,($A33='Offer Statistics'!$BB$2:$BB$600)*($AC$2='Offer Statistics'!$BC$2:$BC$600),0)),"/")</f>
        <v>2296</v>
      </c>
      <c r="AL33" s="63" cm="1">
        <f t="array" ref="AL33">IFERROR(INDEX('Offer Statistics'!BD$2:BD$600,MATCH(1,($A33='Offer Statistics'!$BB$2:$BB$600)*($AC$2='Offer Statistics'!$BC$2:$BC$600),0)),"/")</f>
        <v>433</v>
      </c>
      <c r="AM33" s="63" cm="1">
        <f t="array" ref="AM33">IFERROR(INDEX('Offer Statistics'!BE$2:BE$600,MATCH(1,($A33='Offer Statistics'!$BB$2:$BB$600)*($AC$2='Offer Statistics'!$BC$2:$BC$600),0)),"/")</f>
        <v>311</v>
      </c>
      <c r="AN33" s="63" cm="1">
        <f t="array" ref="AN33">IFERROR(INDEX('Offer Statistics'!BF$2:BF$600,MATCH(1,($A33='Offer Statistics'!$BB$2:$BB$600)*($AC$2='Offer Statistics'!$BC$2:$BC$600),0)),"/")</f>
        <v>494</v>
      </c>
      <c r="AO33" s="63" cm="1">
        <f t="array" ref="AO33">IFERROR(INDEX('Offer Statistics'!BG$2:BG$600,MATCH(1,($A33='Offer Statistics'!$BB$2:$BB$600)*($AC$2='Offer Statistics'!$BC$2:$BC$600),0)),"/")</f>
        <v>577</v>
      </c>
      <c r="AP33" s="63" cm="1">
        <f t="array" ref="AP33">IFERROR(INDEX('Offer Statistics'!BH$2:BH$600,MATCH(1,($A33='Offer Statistics'!$BB$2:$BB$600)*($AC$2='Offer Statistics'!$BC$2:$BC$600),0)),"/")</f>
        <v>481</v>
      </c>
      <c r="AQ33" s="15"/>
      <c r="AR33" s="15" t="str">
        <f t="shared" si="3"/>
        <v>JS4412</v>
      </c>
    </row>
    <row r="34" spans="1:44" ht="18" customHeight="1">
      <c r="A34" s="4" t="str">
        <f>'Reference Score Calculation'!B177</f>
        <v>JS4416</v>
      </c>
      <c r="B34" s="4" t="str">
        <f>'Reference Score Calculation'!D177</f>
        <v>工程學院/理學院</v>
      </c>
      <c r="C34" s="4" t="str">
        <f>'Reference Score Calculation'!E177</f>
        <v>計算數據科學</v>
      </c>
      <c r="D34" s="4" t="str">
        <f>'Reference Score Calculation'!S177</f>
        <v>CDAS</v>
      </c>
      <c r="E34" s="352" t="str">
        <f>'Reference Score Calculation'!AC177</f>
        <v>Best 5</v>
      </c>
      <c r="F34" s="354" t="str">
        <f>'Reference Score Calculation'!F177</f>
        <v>Best 5</v>
      </c>
      <c r="G34" s="6">
        <f>'Reference Score Calculation'!H177</f>
        <v>54.25</v>
      </c>
      <c r="H34" s="6">
        <f>'Reference Score Calculation'!I177</f>
        <v>52.25</v>
      </c>
      <c r="I34" s="6">
        <f>'Reference Score Calculation'!J177</f>
        <v>52</v>
      </c>
      <c r="J34" s="45">
        <f>計分版!J200</f>
        <v>3.3999999999999998E-9</v>
      </c>
      <c r="K34" s="25">
        <f t="shared" si="0"/>
        <v>-52.249999996600003</v>
      </c>
      <c r="L34" s="26">
        <f t="shared" si="1"/>
        <v>-15367647057.82353</v>
      </c>
      <c r="M34" s="36">
        <f>'Reference Score Calculation'!U177</f>
        <v>20</v>
      </c>
      <c r="N34" s="84">
        <f>入學要求!Z186</f>
        <v>0</v>
      </c>
      <c r="O34" s="544"/>
      <c r="P34" s="161">
        <f>入學要求!L186</f>
        <v>3</v>
      </c>
      <c r="Q34" s="161">
        <f>入學要求!M186</f>
        <v>4</v>
      </c>
      <c r="R34" s="161">
        <f>入學要求!N186</f>
        <v>4</v>
      </c>
      <c r="S34" s="161">
        <f>入學要求!O186</f>
        <v>1</v>
      </c>
      <c r="T34" s="161">
        <f>入學要求!P186</f>
        <v>3</v>
      </c>
      <c r="U34" s="161">
        <f>入學要求!Q186</f>
        <v>3</v>
      </c>
      <c r="V34" s="236">
        <f>入學要求!S186</f>
        <v>0</v>
      </c>
      <c r="W34" s="236">
        <f>入學要求!T186</f>
        <v>0</v>
      </c>
      <c r="X34" s="236">
        <f>入學要求!U186</f>
        <v>0</v>
      </c>
      <c r="Y34" s="236">
        <f>入學要求!V186</f>
        <v>0</v>
      </c>
      <c r="Z34" s="236">
        <f>入學要求!W186</f>
        <v>0</v>
      </c>
      <c r="AA34" s="236">
        <f>入學要求!X186</f>
        <v>0</v>
      </c>
      <c r="AB34" s="36">
        <f t="shared" si="2"/>
        <v>3.83</v>
      </c>
      <c r="AC34" s="537"/>
      <c r="AD34" s="36" cm="1">
        <f t="array" ref="AD34">IFERROR(INDEX('Offer Statistics'!$BQ$2:$BQ$600,MATCH(1,($A34='Offer Statistics'!$BB$2:$BB$600)*($AC$2='Offer Statistics'!$BC$2:$BC$600),0)),"/")</f>
        <v>12</v>
      </c>
      <c r="AE34" s="63" cm="1">
        <f t="array" ref="AE34">IFERROR(INDEX('Offer Statistics'!BL$2:BL$600,MATCH(1,($A34='Offer Statistics'!$BB$2:$BB$600)*($AC$2='Offer Statistics'!$BC$2:$BC$600),0)),"/")</f>
        <v>12</v>
      </c>
      <c r="AF34" s="63" cm="1">
        <f t="array" ref="AF34">IFERROR(INDEX('Offer Statistics'!BM$2:BM$600,MATCH(1,($A34='Offer Statistics'!$BB$2:$BB$600)*($AC$2='Offer Statistics'!$BC$2:$BC$600),0)),"/")</f>
        <v>0</v>
      </c>
      <c r="AG34" s="63" cm="1">
        <f t="array" ref="AG34">IFERROR(INDEX('Offer Statistics'!BN$2:BN$600,MATCH(1,($A34='Offer Statistics'!$BB$2:$BB$600)*($AC$2='Offer Statistics'!$BC$2:$BC$600),0)),"/")</f>
        <v>0</v>
      </c>
      <c r="AH34" s="63" cm="1">
        <f t="array" ref="AH34">IFERROR(INDEX('Offer Statistics'!BO$2:BO$600,MATCH(1,($A34='Offer Statistics'!$BB$2:$BB$600)*($AC$2='Offer Statistics'!$BC$2:$BC$600),0)),"/")</f>
        <v>0</v>
      </c>
      <c r="AI34" s="63" cm="1">
        <f t="array" ref="AI34">IFERROR(INDEX('Offer Statistics'!BP$2:BP$600,MATCH(1,($A34='Offer Statistics'!$BB$2:$BB$600)*($AC$2='Offer Statistics'!$BC$2:$BC$600),0)),"/")</f>
        <v>0</v>
      </c>
      <c r="AJ34" s="538"/>
      <c r="AK34" s="36" cm="1">
        <f t="array" ref="AK34">IFERROR(INDEX('Offer Statistics'!$BI$2:$BI$600,MATCH(1,($A34='Offer Statistics'!$BB$2:$BB$600)*($AC$2='Offer Statistics'!$BC$2:$BC$600),0)),"/")</f>
        <v>884</v>
      </c>
      <c r="AL34" s="63" cm="1">
        <f t="array" ref="AL34">IFERROR(INDEX('Offer Statistics'!BD$2:BD$600,MATCH(1,($A34='Offer Statistics'!$BB$2:$BB$600)*($AC$2='Offer Statistics'!$BC$2:$BC$600),0)),"/")</f>
        <v>46</v>
      </c>
      <c r="AM34" s="63" cm="1">
        <f t="array" ref="AM34">IFERROR(INDEX('Offer Statistics'!BE$2:BE$600,MATCH(1,($A34='Offer Statistics'!$BB$2:$BB$600)*($AC$2='Offer Statistics'!$BC$2:$BC$600),0)),"/")</f>
        <v>79</v>
      </c>
      <c r="AN34" s="63" cm="1">
        <f t="array" ref="AN34">IFERROR(INDEX('Offer Statistics'!BF$2:BF$600,MATCH(1,($A34='Offer Statistics'!$BB$2:$BB$600)*($AC$2='Offer Statistics'!$BC$2:$BC$600),0)),"/")</f>
        <v>198</v>
      </c>
      <c r="AO34" s="63" cm="1">
        <f t="array" ref="AO34">IFERROR(INDEX('Offer Statistics'!BG$2:BG$600,MATCH(1,($A34='Offer Statistics'!$BB$2:$BB$600)*($AC$2='Offer Statistics'!$BC$2:$BC$600),0)),"/")</f>
        <v>307</v>
      </c>
      <c r="AP34" s="63" cm="1">
        <f t="array" ref="AP34">IFERROR(INDEX('Offer Statistics'!BH$2:BH$600,MATCH(1,($A34='Offer Statistics'!$BB$2:$BB$600)*($AC$2='Offer Statistics'!$BC$2:$BC$600),0)),"/")</f>
        <v>254</v>
      </c>
      <c r="AQ34" s="15"/>
      <c r="AR34" s="15" t="str">
        <f t="shared" si="3"/>
        <v>JS4416</v>
      </c>
    </row>
    <row r="35" spans="1:44" s="10" customFormat="1" ht="18" customHeight="1">
      <c r="A35" s="4" t="str">
        <f>'Reference Score Calculation'!B178</f>
        <v>JS4428</v>
      </c>
      <c r="B35" s="4" t="str">
        <f>'Reference Score Calculation'!D178</f>
        <v>工程學院</v>
      </c>
      <c r="C35" s="4" t="str">
        <f>'Reference Score Calculation'!E178</f>
        <v>金融科技學</v>
      </c>
      <c r="D35" s="4" t="str">
        <f>'Reference Score Calculation'!S178</f>
        <v>BENG FINTECH</v>
      </c>
      <c r="E35" s="352" t="str">
        <f>'Reference Score Calculation'!AC178</f>
        <v>Best 5</v>
      </c>
      <c r="F35" s="354" t="str">
        <f>'Reference Score Calculation'!F178</f>
        <v>Best 5</v>
      </c>
      <c r="G35" s="6">
        <f>'Reference Score Calculation'!H178</f>
        <v>46.625</v>
      </c>
      <c r="H35" s="6">
        <f>'Reference Score Calculation'!I178</f>
        <v>45.625</v>
      </c>
      <c r="I35" s="6">
        <f>'Reference Score Calculation'!J178</f>
        <v>44.5</v>
      </c>
      <c r="J35" s="45">
        <f>計分版!J201</f>
        <v>3.875E-9</v>
      </c>
      <c r="K35" s="25">
        <f t="shared" si="0"/>
        <v>-45.624999996124998</v>
      </c>
      <c r="L35" s="26">
        <f t="shared" si="1"/>
        <v>-11774193547.387096</v>
      </c>
      <c r="M35" s="36">
        <f>'Reference Score Calculation'!U178</f>
        <v>35</v>
      </c>
      <c r="N35" s="84">
        <f>入學要求!Z187</f>
        <v>0</v>
      </c>
      <c r="O35" s="544"/>
      <c r="P35" s="161">
        <f>入學要求!L187</f>
        <v>3</v>
      </c>
      <c r="Q35" s="161">
        <f>入學要求!M187</f>
        <v>3</v>
      </c>
      <c r="R35" s="161">
        <f>入學要求!N187</f>
        <v>4</v>
      </c>
      <c r="S35" s="161">
        <f>入學要求!O187</f>
        <v>1</v>
      </c>
      <c r="T35" s="161">
        <f>入學要求!P187</f>
        <v>3</v>
      </c>
      <c r="U35" s="161">
        <f>入學要求!Q187</f>
        <v>3</v>
      </c>
      <c r="V35" s="236">
        <f>入學要求!S187</f>
        <v>0</v>
      </c>
      <c r="W35" s="236">
        <f>入學要求!T187</f>
        <v>0</v>
      </c>
      <c r="X35" s="236">
        <f>入學要求!U187</f>
        <v>0</v>
      </c>
      <c r="Y35" s="236">
        <f>入學要求!V187</f>
        <v>0</v>
      </c>
      <c r="Z35" s="236">
        <f>入學要求!W187</f>
        <v>0</v>
      </c>
      <c r="AA35" s="236">
        <f>入學要求!X187</f>
        <v>0</v>
      </c>
      <c r="AB35" s="36">
        <f t="shared" si="2"/>
        <v>3.37</v>
      </c>
      <c r="AC35" s="537"/>
      <c r="AD35" s="36" cm="1">
        <f t="array" ref="AD35">IFERROR(INDEX('Offer Statistics'!$BQ$2:$BQ$600,MATCH(1,($A35='Offer Statistics'!$BB$2:$BB$600)*($AC$2='Offer Statistics'!$BC$2:$BC$600),0)),"/")</f>
        <v>35</v>
      </c>
      <c r="AE35" s="63" cm="1">
        <f t="array" ref="AE35">IFERROR(INDEX('Offer Statistics'!BL$2:BL$600,MATCH(1,($A35='Offer Statistics'!$BB$2:$BB$600)*($AC$2='Offer Statistics'!$BC$2:$BC$600),0)),"/")</f>
        <v>35</v>
      </c>
      <c r="AF35" s="63" cm="1">
        <f t="array" ref="AF35">IFERROR(INDEX('Offer Statistics'!BM$2:BM$600,MATCH(1,($A35='Offer Statistics'!$BB$2:$BB$600)*($AC$2='Offer Statistics'!$BC$2:$BC$600),0)),"/")</f>
        <v>0</v>
      </c>
      <c r="AG35" s="63" cm="1">
        <f t="array" ref="AG35">IFERROR(INDEX('Offer Statistics'!BN$2:BN$600,MATCH(1,($A35='Offer Statistics'!$BB$2:$BB$600)*($AC$2='Offer Statistics'!$BC$2:$BC$600),0)),"/")</f>
        <v>0</v>
      </c>
      <c r="AH35" s="63" cm="1">
        <f t="array" ref="AH35">IFERROR(INDEX('Offer Statistics'!BO$2:BO$600,MATCH(1,($A35='Offer Statistics'!$BB$2:$BB$600)*($AC$2='Offer Statistics'!$BC$2:$BC$600),0)),"/")</f>
        <v>0</v>
      </c>
      <c r="AI35" s="63" cm="1">
        <f t="array" ref="AI35">IFERROR(INDEX('Offer Statistics'!BP$2:BP$600,MATCH(1,($A35='Offer Statistics'!$BB$2:$BB$600)*($AC$2='Offer Statistics'!$BC$2:$BC$600),0)),"/")</f>
        <v>0</v>
      </c>
      <c r="AJ35" s="538"/>
      <c r="AK35" s="36" cm="1">
        <f t="array" ref="AK35">IFERROR(INDEX('Offer Statistics'!$BI$2:$BI$600,MATCH(1,($A35='Offer Statistics'!$BB$2:$BB$600)*($AC$2='Offer Statistics'!$BC$2:$BC$600),0)),"/")</f>
        <v>962</v>
      </c>
      <c r="AL35" s="63" cm="1">
        <f t="array" ref="AL35">IFERROR(INDEX('Offer Statistics'!BD$2:BD$600,MATCH(1,($A35='Offer Statistics'!$BB$2:$BB$600)*($AC$2='Offer Statistics'!$BC$2:$BC$600),0)),"/")</f>
        <v>118</v>
      </c>
      <c r="AM35" s="63" cm="1">
        <f t="array" ref="AM35">IFERROR(INDEX('Offer Statistics'!BE$2:BE$600,MATCH(1,($A35='Offer Statistics'!$BB$2:$BB$600)*($AC$2='Offer Statistics'!$BC$2:$BC$600),0)),"/")</f>
        <v>92</v>
      </c>
      <c r="AN35" s="63" cm="1">
        <f t="array" ref="AN35">IFERROR(INDEX('Offer Statistics'!BF$2:BF$600,MATCH(1,($A35='Offer Statistics'!$BB$2:$BB$600)*($AC$2='Offer Statistics'!$BC$2:$BC$600),0)),"/")</f>
        <v>171</v>
      </c>
      <c r="AO35" s="63" cm="1">
        <f t="array" ref="AO35">IFERROR(INDEX('Offer Statistics'!BG$2:BG$600,MATCH(1,($A35='Offer Statistics'!$BB$2:$BB$600)*($AC$2='Offer Statistics'!$BC$2:$BC$600),0)),"/")</f>
        <v>328</v>
      </c>
      <c r="AP35" s="63" cm="1">
        <f t="array" ref="AP35">IFERROR(INDEX('Offer Statistics'!BH$2:BH$600,MATCH(1,($A35='Offer Statistics'!$BB$2:$BB$600)*($AC$2='Offer Statistics'!$BC$2:$BC$600),0)),"/")</f>
        <v>253</v>
      </c>
      <c r="AQ35" s="15"/>
      <c r="AR35" s="15" t="str">
        <f t="shared" si="3"/>
        <v>JS4428</v>
      </c>
    </row>
    <row r="36" spans="1:44" ht="18" customHeight="1">
      <c r="A36" s="4" t="str">
        <f>'Reference Score Calculation'!B179</f>
        <v>JS4434</v>
      </c>
      <c r="B36" s="4" t="str">
        <f>'Reference Score Calculation'!D179</f>
        <v>工程學院</v>
      </c>
      <c r="C36" s="4" t="str">
        <f>'Reference Score Calculation'!E179</f>
        <v>電子工程學</v>
      </c>
      <c r="D36" s="4" t="str">
        <f>'Reference Score Calculation'!S179</f>
        <v>ELEG</v>
      </c>
      <c r="E36" s="352" t="str">
        <f>'Reference Score Calculation'!AC179</f>
        <v>Best 5</v>
      </c>
      <c r="F36" s="354" t="str">
        <f>'Reference Score Calculation'!F179</f>
        <v>Best 5</v>
      </c>
      <c r="G36" s="6">
        <f>'Reference Score Calculation'!H179</f>
        <v>30.5</v>
      </c>
      <c r="H36" s="6">
        <f>'Reference Score Calculation'!I179</f>
        <v>28.25</v>
      </c>
      <c r="I36" s="6">
        <f>'Reference Score Calculation'!J179</f>
        <v>27.5</v>
      </c>
      <c r="J36" s="45">
        <f>計分版!J202</f>
        <v>3.7500000000000005E-9</v>
      </c>
      <c r="K36" s="25">
        <f t="shared" si="0"/>
        <v>-28.249999996250001</v>
      </c>
      <c r="L36" s="26">
        <f t="shared" si="1"/>
        <v>-7533333332.3333321</v>
      </c>
      <c r="M36" s="36">
        <f>'Reference Score Calculation'!U179</f>
        <v>53</v>
      </c>
      <c r="N36" s="84">
        <f>入學要求!Z188</f>
        <v>0</v>
      </c>
      <c r="O36" s="544"/>
      <c r="P36" s="161">
        <f>入學要求!L188</f>
        <v>3</v>
      </c>
      <c r="Q36" s="161">
        <f>入學要求!M188</f>
        <v>3</v>
      </c>
      <c r="R36" s="161">
        <f>入學要求!N188</f>
        <v>3</v>
      </c>
      <c r="S36" s="161">
        <f>入學要求!O188</f>
        <v>1</v>
      </c>
      <c r="T36" s="161">
        <f>入學要求!P188</f>
        <v>3</v>
      </c>
      <c r="U36" s="161">
        <f>入學要求!Q188</f>
        <v>3</v>
      </c>
      <c r="V36" s="236">
        <f>入學要求!S188</f>
        <v>0</v>
      </c>
      <c r="W36" s="236">
        <f>入學要求!T188</f>
        <v>0</v>
      </c>
      <c r="X36" s="236">
        <f>入學要求!U188</f>
        <v>0</v>
      </c>
      <c r="Y36" s="236">
        <f>入學要求!V188</f>
        <v>0</v>
      </c>
      <c r="Z36" s="236">
        <f>入學要求!W188</f>
        <v>0</v>
      </c>
      <c r="AA36" s="236">
        <f>入學要求!X188</f>
        <v>0</v>
      </c>
      <c r="AB36" s="36">
        <f t="shared" si="2"/>
        <v>6.31</v>
      </c>
      <c r="AC36" s="537"/>
      <c r="AD36" s="36" cm="1">
        <f t="array" ref="AD36">IFERROR(INDEX('Offer Statistics'!$BQ$2:$BQ$600,MATCH(1,($A36='Offer Statistics'!$BB$2:$BB$600)*($AC$2='Offer Statistics'!$BC$2:$BC$600),0)),"/")</f>
        <v>39</v>
      </c>
      <c r="AE36" s="63" cm="1">
        <f t="array" ref="AE36">IFERROR(INDEX('Offer Statistics'!BL$2:BL$600,MATCH(1,($A36='Offer Statistics'!$BB$2:$BB$600)*($AC$2='Offer Statistics'!$BC$2:$BC$600),0)),"/")</f>
        <v>39</v>
      </c>
      <c r="AF36" s="63" cm="1">
        <f t="array" ref="AF36">IFERROR(INDEX('Offer Statistics'!BM$2:BM$600,MATCH(1,($A36='Offer Statistics'!$BB$2:$BB$600)*($AC$2='Offer Statistics'!$BC$2:$BC$600),0)),"/")</f>
        <v>0</v>
      </c>
      <c r="AG36" s="63" cm="1">
        <f t="array" ref="AG36">IFERROR(INDEX('Offer Statistics'!BN$2:BN$600,MATCH(1,($A36='Offer Statistics'!$BB$2:$BB$600)*($AC$2='Offer Statistics'!$BC$2:$BC$600),0)),"/")</f>
        <v>0</v>
      </c>
      <c r="AH36" s="63" cm="1">
        <f t="array" ref="AH36">IFERROR(INDEX('Offer Statistics'!BO$2:BO$600,MATCH(1,($A36='Offer Statistics'!$BB$2:$BB$600)*($AC$2='Offer Statistics'!$BC$2:$BC$600),0)),"/")</f>
        <v>0</v>
      </c>
      <c r="AI36" s="63" cm="1">
        <f t="array" ref="AI36">IFERROR(INDEX('Offer Statistics'!BP$2:BP$600,MATCH(1,($A36='Offer Statistics'!$BB$2:$BB$600)*($AC$2='Offer Statistics'!$BC$2:$BC$600),0)),"/")</f>
        <v>0</v>
      </c>
      <c r="AJ36" s="538"/>
      <c r="AK36" s="36" cm="1">
        <f t="array" ref="AK36">IFERROR(INDEX('Offer Statistics'!$BI$2:$BI$600,MATCH(1,($A36='Offer Statistics'!$BB$2:$BB$600)*($AC$2='Offer Statistics'!$BC$2:$BC$600),0)),"/")</f>
        <v>2311</v>
      </c>
      <c r="AL36" s="63" cm="1">
        <f t="array" ref="AL36">IFERROR(INDEX('Offer Statistics'!BD$2:BD$600,MATCH(1,($A36='Offer Statistics'!$BB$2:$BB$600)*($AC$2='Offer Statistics'!$BC$2:$BC$600),0)),"/")</f>
        <v>246</v>
      </c>
      <c r="AM36" s="63" cm="1">
        <f t="array" ref="AM36">IFERROR(INDEX('Offer Statistics'!BE$2:BE$600,MATCH(1,($A36='Offer Statistics'!$BB$2:$BB$600)*($AC$2='Offer Statistics'!$BC$2:$BC$600),0)),"/")</f>
        <v>345</v>
      </c>
      <c r="AN36" s="63" cm="1">
        <f t="array" ref="AN36">IFERROR(INDEX('Offer Statistics'!BF$2:BF$600,MATCH(1,($A36='Offer Statistics'!$BB$2:$BB$600)*($AC$2='Offer Statistics'!$BC$2:$BC$600),0)),"/")</f>
        <v>554</v>
      </c>
      <c r="AO36" s="63" cm="1">
        <f t="array" ref="AO36">IFERROR(INDEX('Offer Statistics'!BG$2:BG$600,MATCH(1,($A36='Offer Statistics'!$BB$2:$BB$600)*($AC$2='Offer Statistics'!$BC$2:$BC$600),0)),"/")</f>
        <v>700</v>
      </c>
      <c r="AP36" s="63" cm="1">
        <f t="array" ref="AP36">IFERROR(INDEX('Offer Statistics'!BH$2:BH$600,MATCH(1,($A36='Offer Statistics'!$BB$2:$BB$600)*($AC$2='Offer Statistics'!$BC$2:$BC$600),0)),"/")</f>
        <v>466</v>
      </c>
      <c r="AQ36" s="15"/>
      <c r="AR36" s="15" t="str">
        <f t="shared" si="3"/>
        <v>JS4434</v>
      </c>
    </row>
    <row r="37" spans="1:44" s="10" customFormat="1" ht="18" customHeight="1">
      <c r="A37" s="4" t="str">
        <f>'Reference Score Calculation'!B180</f>
        <v>JS4446</v>
      </c>
      <c r="B37" s="4" t="str">
        <f>'Reference Score Calculation'!D180</f>
        <v>工程學院</v>
      </c>
      <c r="C37" s="4" t="str">
        <f>'Reference Score Calculation'!E180</f>
        <v>信息工程學</v>
      </c>
      <c r="D37" s="4" t="str">
        <f>'Reference Score Calculation'!S180</f>
        <v>IERGN</v>
      </c>
      <c r="E37" s="352" t="str">
        <f>'Reference Score Calculation'!AC180</f>
        <v>Best 5</v>
      </c>
      <c r="F37" s="354" t="str">
        <f>'Reference Score Calculation'!F180</f>
        <v>Best 5</v>
      </c>
      <c r="G37" s="6">
        <f>'Reference Score Calculation'!H180</f>
        <v>38.875</v>
      </c>
      <c r="H37" s="6">
        <f>'Reference Score Calculation'!I180</f>
        <v>36.5</v>
      </c>
      <c r="I37" s="6">
        <f>'Reference Score Calculation'!J180</f>
        <v>34.5</v>
      </c>
      <c r="J37" s="45">
        <f>計分版!J203</f>
        <v>3.2750000000000004E-9</v>
      </c>
      <c r="K37" s="25">
        <f t="shared" si="0"/>
        <v>-36.499999996725002</v>
      </c>
      <c r="L37" s="26">
        <f t="shared" si="1"/>
        <v>-11145038166.938931</v>
      </c>
      <c r="M37" s="36">
        <f>'Reference Score Calculation'!U180</f>
        <v>75</v>
      </c>
      <c r="N37" s="84">
        <f>入學要求!Z189</f>
        <v>0</v>
      </c>
      <c r="O37" s="544"/>
      <c r="P37" s="161">
        <f>入學要求!L189</f>
        <v>3</v>
      </c>
      <c r="Q37" s="161">
        <f>入學要求!M189</f>
        <v>3</v>
      </c>
      <c r="R37" s="161">
        <f>入學要求!N189</f>
        <v>4</v>
      </c>
      <c r="S37" s="161">
        <f>入學要求!O189</f>
        <v>1</v>
      </c>
      <c r="T37" s="161">
        <f>入學要求!P189</f>
        <v>3</v>
      </c>
      <c r="U37" s="161">
        <f>入學要求!Q189</f>
        <v>3</v>
      </c>
      <c r="V37" s="236">
        <f>入學要求!S189</f>
        <v>0</v>
      </c>
      <c r="W37" s="236">
        <f>入學要求!T189</f>
        <v>0</v>
      </c>
      <c r="X37" s="236">
        <f>入學要求!U189</f>
        <v>0</v>
      </c>
      <c r="Y37" s="236">
        <f>入學要求!V189</f>
        <v>0</v>
      </c>
      <c r="Z37" s="236">
        <f>入學要求!W189</f>
        <v>0</v>
      </c>
      <c r="AA37" s="236">
        <f>入學要求!X189</f>
        <v>0</v>
      </c>
      <c r="AB37" s="36">
        <f t="shared" si="2"/>
        <v>3.22</v>
      </c>
      <c r="AC37" s="537"/>
      <c r="AD37" s="36" cm="1">
        <f t="array" ref="AD37">IFERROR(INDEX('Offer Statistics'!$BQ$2:$BQ$600,MATCH(1,($A37='Offer Statistics'!$BB$2:$BB$600)*($AC$2='Offer Statistics'!$BC$2:$BC$600),0)),"/")</f>
        <v>67</v>
      </c>
      <c r="AE37" s="63" cm="1">
        <f t="array" ref="AE37">IFERROR(INDEX('Offer Statistics'!BL$2:BL$600,MATCH(1,($A37='Offer Statistics'!$BB$2:$BB$600)*($AC$2='Offer Statistics'!$BC$2:$BC$600),0)),"/")</f>
        <v>67</v>
      </c>
      <c r="AF37" s="63" cm="1">
        <f t="array" ref="AF37">IFERROR(INDEX('Offer Statistics'!BM$2:BM$600,MATCH(1,($A37='Offer Statistics'!$BB$2:$BB$600)*($AC$2='Offer Statistics'!$BC$2:$BC$600),0)),"/")</f>
        <v>0</v>
      </c>
      <c r="AG37" s="63" cm="1">
        <f t="array" ref="AG37">IFERROR(INDEX('Offer Statistics'!BN$2:BN$600,MATCH(1,($A37='Offer Statistics'!$BB$2:$BB$600)*($AC$2='Offer Statistics'!$BC$2:$BC$600),0)),"/")</f>
        <v>0</v>
      </c>
      <c r="AH37" s="63" cm="1">
        <f t="array" ref="AH37">IFERROR(INDEX('Offer Statistics'!BO$2:BO$600,MATCH(1,($A37='Offer Statistics'!$BB$2:$BB$600)*($AC$2='Offer Statistics'!$BC$2:$BC$600),0)),"/")</f>
        <v>0</v>
      </c>
      <c r="AI37" s="63" cm="1">
        <f t="array" ref="AI37">IFERROR(INDEX('Offer Statistics'!BP$2:BP$600,MATCH(1,($A37='Offer Statistics'!$BB$2:$BB$600)*($AC$2='Offer Statistics'!$BC$2:$BC$600),0)),"/")</f>
        <v>0</v>
      </c>
      <c r="AJ37" s="538"/>
      <c r="AK37" s="36" cm="1">
        <f t="array" ref="AK37">IFERROR(INDEX('Offer Statistics'!$BI$2:$BI$600,MATCH(1,($A37='Offer Statistics'!$BB$2:$BB$600)*($AC$2='Offer Statistics'!$BC$2:$BC$600),0)),"/")</f>
        <v>1668</v>
      </c>
      <c r="AL37" s="63" cm="1">
        <f t="array" ref="AL37">IFERROR(INDEX('Offer Statistics'!BD$2:BD$600,MATCH(1,($A37='Offer Statistics'!$BB$2:$BB$600)*($AC$2='Offer Statistics'!$BC$2:$BC$600),0)),"/")</f>
        <v>216</v>
      </c>
      <c r="AM37" s="63" cm="1">
        <f t="array" ref="AM37">IFERROR(INDEX('Offer Statistics'!BE$2:BE$600,MATCH(1,($A37='Offer Statistics'!$BB$2:$BB$600)*($AC$2='Offer Statistics'!$BC$2:$BC$600),0)),"/")</f>
        <v>191</v>
      </c>
      <c r="AN37" s="63" cm="1">
        <f t="array" ref="AN37">IFERROR(INDEX('Offer Statistics'!BF$2:BF$600,MATCH(1,($A37='Offer Statistics'!$BB$2:$BB$600)*($AC$2='Offer Statistics'!$BC$2:$BC$600),0)),"/")</f>
        <v>381</v>
      </c>
      <c r="AO37" s="63" cm="1">
        <f t="array" ref="AO37">IFERROR(INDEX('Offer Statistics'!BG$2:BG$600,MATCH(1,($A37='Offer Statistics'!$BB$2:$BB$600)*($AC$2='Offer Statistics'!$BC$2:$BC$600),0)),"/")</f>
        <v>468</v>
      </c>
      <c r="AP37" s="63" cm="1">
        <f t="array" ref="AP37">IFERROR(INDEX('Offer Statistics'!BH$2:BH$600,MATCH(1,($A37='Offer Statistics'!$BB$2:$BB$600)*($AC$2='Offer Statistics'!$BC$2:$BC$600),0)),"/")</f>
        <v>412</v>
      </c>
      <c r="AQ37" s="15"/>
      <c r="AR37" s="15" t="str">
        <f t="shared" si="3"/>
        <v>JS4446</v>
      </c>
    </row>
    <row r="38" spans="1:44" ht="18" customHeight="1">
      <c r="A38" s="4" t="str">
        <f>'Reference Score Calculation'!B181</f>
        <v>JS4458</v>
      </c>
      <c r="B38" s="4" t="str">
        <f>'Reference Score Calculation'!D181</f>
        <v>工程學院</v>
      </c>
      <c r="C38" s="4" t="str">
        <f>'Reference Score Calculation'!E181</f>
        <v>系統工程與工程管理</v>
      </c>
      <c r="D38" s="4" t="str">
        <f>'Reference Score Calculation'!S181</f>
        <v>SEEM</v>
      </c>
      <c r="E38" s="352" t="str">
        <f>'Reference Score Calculation'!AC181</f>
        <v>Best 5</v>
      </c>
      <c r="F38" s="354" t="str">
        <f>'Reference Score Calculation'!F181</f>
        <v>Best 5</v>
      </c>
      <c r="G38" s="6">
        <f>'Reference Score Calculation'!H181</f>
        <v>31.75</v>
      </c>
      <c r="H38" s="6">
        <f>'Reference Score Calculation'!I181</f>
        <v>30.25</v>
      </c>
      <c r="I38" s="6">
        <f>'Reference Score Calculation'!J181</f>
        <v>29.5</v>
      </c>
      <c r="J38" s="45">
        <f>計分版!J204</f>
        <v>3.7500000000000005E-9</v>
      </c>
      <c r="K38" s="25">
        <f t="shared" si="0"/>
        <v>-30.249999996250001</v>
      </c>
      <c r="L38" s="26">
        <f t="shared" si="1"/>
        <v>-8066666665.666666</v>
      </c>
      <c r="M38" s="36">
        <f>'Reference Score Calculation'!U181</f>
        <v>53</v>
      </c>
      <c r="N38" s="84">
        <f>入學要求!Z190</f>
        <v>0</v>
      </c>
      <c r="O38" s="544"/>
      <c r="P38" s="161">
        <f>入學要求!L190</f>
        <v>3</v>
      </c>
      <c r="Q38" s="161">
        <f>入學要求!M190</f>
        <v>3</v>
      </c>
      <c r="R38" s="161">
        <f>入學要求!N190</f>
        <v>3</v>
      </c>
      <c r="S38" s="161">
        <f>入學要求!O190</f>
        <v>1</v>
      </c>
      <c r="T38" s="161">
        <f>入學要求!P190</f>
        <v>3</v>
      </c>
      <c r="U38" s="161">
        <f>入學要求!Q190</f>
        <v>3</v>
      </c>
      <c r="V38" s="236">
        <f>入學要求!S190</f>
        <v>0</v>
      </c>
      <c r="W38" s="236">
        <f>入學要求!T190</f>
        <v>0</v>
      </c>
      <c r="X38" s="236">
        <f>入學要求!U190</f>
        <v>0</v>
      </c>
      <c r="Y38" s="236">
        <f>入學要求!V190</f>
        <v>0</v>
      </c>
      <c r="Z38" s="236">
        <f>入學要求!W190</f>
        <v>0</v>
      </c>
      <c r="AA38" s="236">
        <f>入學要求!X190</f>
        <v>0</v>
      </c>
      <c r="AB38" s="36">
        <f t="shared" si="2"/>
        <v>5.74</v>
      </c>
      <c r="AC38" s="537"/>
      <c r="AD38" s="36" cm="1">
        <f t="array" ref="AD38">IFERROR(INDEX('Offer Statistics'!$BQ$2:$BQ$600,MATCH(1,($A38='Offer Statistics'!$BB$2:$BB$600)*($AC$2='Offer Statistics'!$BC$2:$BC$600),0)),"/")</f>
        <v>54</v>
      </c>
      <c r="AE38" s="63" cm="1">
        <f t="array" ref="AE38">IFERROR(INDEX('Offer Statistics'!BL$2:BL$600,MATCH(1,($A38='Offer Statistics'!$BB$2:$BB$600)*($AC$2='Offer Statistics'!$BC$2:$BC$600),0)),"/")</f>
        <v>54</v>
      </c>
      <c r="AF38" s="63" cm="1">
        <f t="array" ref="AF38">IFERROR(INDEX('Offer Statistics'!BM$2:BM$600,MATCH(1,($A38='Offer Statistics'!$BB$2:$BB$600)*($AC$2='Offer Statistics'!$BC$2:$BC$600),0)),"/")</f>
        <v>0</v>
      </c>
      <c r="AG38" s="63" cm="1">
        <f t="array" ref="AG38">IFERROR(INDEX('Offer Statistics'!BN$2:BN$600,MATCH(1,($A38='Offer Statistics'!$BB$2:$BB$600)*($AC$2='Offer Statistics'!$BC$2:$BC$600),0)),"/")</f>
        <v>0</v>
      </c>
      <c r="AH38" s="63" cm="1">
        <f t="array" ref="AH38">IFERROR(INDEX('Offer Statistics'!BO$2:BO$600,MATCH(1,($A38='Offer Statistics'!$BB$2:$BB$600)*($AC$2='Offer Statistics'!$BC$2:$BC$600),0)),"/")</f>
        <v>0</v>
      </c>
      <c r="AI38" s="63" cm="1">
        <f t="array" ref="AI38">IFERROR(INDEX('Offer Statistics'!BP$2:BP$600,MATCH(1,($A38='Offer Statistics'!$BB$2:$BB$600)*($AC$2='Offer Statistics'!$BC$2:$BC$600),0)),"/")</f>
        <v>0</v>
      </c>
      <c r="AJ38" s="538"/>
      <c r="AK38" s="36" cm="1">
        <f t="array" ref="AK38">IFERROR(INDEX('Offer Statistics'!$BI$2:$BI$600,MATCH(1,($A38='Offer Statistics'!$BB$2:$BB$600)*($AC$2='Offer Statistics'!$BC$2:$BC$600),0)),"/")</f>
        <v>1603</v>
      </c>
      <c r="AL38" s="63" cm="1">
        <f t="array" ref="AL38">IFERROR(INDEX('Offer Statistics'!BD$2:BD$600,MATCH(1,($A38='Offer Statistics'!$BB$2:$BB$600)*($AC$2='Offer Statistics'!$BC$2:$BC$600),0)),"/")</f>
        <v>310</v>
      </c>
      <c r="AM38" s="63" cm="1">
        <f t="array" ref="AM38">IFERROR(INDEX('Offer Statistics'!BE$2:BE$600,MATCH(1,($A38='Offer Statistics'!$BB$2:$BB$600)*($AC$2='Offer Statistics'!$BC$2:$BC$600),0)),"/")</f>
        <v>158</v>
      </c>
      <c r="AN38" s="63" cm="1">
        <f t="array" ref="AN38">IFERROR(INDEX('Offer Statistics'!BF$2:BF$600,MATCH(1,($A38='Offer Statistics'!$BB$2:$BB$600)*($AC$2='Offer Statistics'!$BC$2:$BC$600),0)),"/")</f>
        <v>321</v>
      </c>
      <c r="AO38" s="63" cm="1">
        <f t="array" ref="AO38">IFERROR(INDEX('Offer Statistics'!BG$2:BG$600,MATCH(1,($A38='Offer Statistics'!$BB$2:$BB$600)*($AC$2='Offer Statistics'!$BC$2:$BC$600),0)),"/")</f>
        <v>439</v>
      </c>
      <c r="AP38" s="63" cm="1">
        <f t="array" ref="AP38">IFERROR(INDEX('Offer Statistics'!BH$2:BH$600,MATCH(1,($A38='Offer Statistics'!$BB$2:$BB$600)*($AC$2='Offer Statistics'!$BC$2:$BC$600),0)),"/")</f>
        <v>375</v>
      </c>
      <c r="AQ38" s="15"/>
      <c r="AR38" s="15" t="str">
        <f t="shared" si="3"/>
        <v>JS4458</v>
      </c>
    </row>
    <row r="39" spans="1:44" s="10" customFormat="1" ht="18" customHeight="1">
      <c r="A39" s="4" t="str">
        <f>'Reference Score Calculation'!B182</f>
        <v>JS4460</v>
      </c>
      <c r="B39" s="4" t="str">
        <f>'Reference Score Calculation'!D182</f>
        <v>工程學院</v>
      </c>
      <c r="C39" s="4" t="str">
        <f>'Reference Score Calculation'!E182</f>
        <v>生物醫學工程學</v>
      </c>
      <c r="D39" s="4" t="str">
        <f>'Reference Score Calculation'!S182</f>
        <v>BMEG</v>
      </c>
      <c r="E39" s="352" t="str">
        <f>'Reference Score Calculation'!AC182</f>
        <v>Best 5</v>
      </c>
      <c r="F39" s="354" t="str">
        <f>'Reference Score Calculation'!F182</f>
        <v>Best 5</v>
      </c>
      <c r="G39" s="6">
        <f>'Reference Score Calculation'!H182</f>
        <v>43.5</v>
      </c>
      <c r="H39" s="6">
        <f>'Reference Score Calculation'!I182</f>
        <v>41.25</v>
      </c>
      <c r="I39" s="6">
        <f>'Reference Score Calculation'!J182</f>
        <v>39</v>
      </c>
      <c r="J39" s="45">
        <f>計分版!J205</f>
        <v>3.7500000000000005E-9</v>
      </c>
      <c r="K39" s="25">
        <f t="shared" si="0"/>
        <v>-41.249999996249997</v>
      </c>
      <c r="L39" s="26">
        <f t="shared" si="1"/>
        <v>-10999999998.999998</v>
      </c>
      <c r="M39" s="36">
        <f>'Reference Score Calculation'!U182</f>
        <v>44</v>
      </c>
      <c r="N39" s="84">
        <f>入學要求!Z191</f>
        <v>0</v>
      </c>
      <c r="O39" s="544"/>
      <c r="P39" s="161">
        <f>入學要求!L191</f>
        <v>3</v>
      </c>
      <c r="Q39" s="161">
        <f>入學要求!M191</f>
        <v>3</v>
      </c>
      <c r="R39" s="161">
        <f>入學要求!N191</f>
        <v>3</v>
      </c>
      <c r="S39" s="161">
        <f>入學要求!O191</f>
        <v>1</v>
      </c>
      <c r="T39" s="161">
        <f>入學要求!P191</f>
        <v>3</v>
      </c>
      <c r="U39" s="161">
        <f>入學要求!Q191</f>
        <v>3</v>
      </c>
      <c r="V39" s="236">
        <f>入學要求!S191</f>
        <v>0</v>
      </c>
      <c r="W39" s="236">
        <f>入學要求!T191</f>
        <v>0</v>
      </c>
      <c r="X39" s="236">
        <f>入學要求!U191</f>
        <v>0</v>
      </c>
      <c r="Y39" s="236">
        <f>入學要求!V191</f>
        <v>0</v>
      </c>
      <c r="Z39" s="236">
        <f>入學要求!W191</f>
        <v>0</v>
      </c>
      <c r="AA39" s="236">
        <f>入學要求!X191</f>
        <v>0</v>
      </c>
      <c r="AB39" s="36">
        <f t="shared" si="2"/>
        <v>4.88</v>
      </c>
      <c r="AC39" s="537"/>
      <c r="AD39" s="36" cm="1">
        <f t="array" ref="AD39">IFERROR(INDEX('Offer Statistics'!$BQ$2:$BQ$600,MATCH(1,($A39='Offer Statistics'!$BB$2:$BB$600)*($AC$2='Offer Statistics'!$BC$2:$BC$600),0)),"/")</f>
        <v>26</v>
      </c>
      <c r="AE39" s="63" cm="1">
        <f t="array" ref="AE39">IFERROR(INDEX('Offer Statistics'!BL$2:BL$600,MATCH(1,($A39='Offer Statistics'!$BB$2:$BB$600)*($AC$2='Offer Statistics'!$BC$2:$BC$600),0)),"/")</f>
        <v>26</v>
      </c>
      <c r="AF39" s="63" cm="1">
        <f t="array" ref="AF39">IFERROR(INDEX('Offer Statistics'!BM$2:BM$600,MATCH(1,($A39='Offer Statistics'!$BB$2:$BB$600)*($AC$2='Offer Statistics'!$BC$2:$BC$600),0)),"/")</f>
        <v>0</v>
      </c>
      <c r="AG39" s="63" cm="1">
        <f t="array" ref="AG39">IFERROR(INDEX('Offer Statistics'!BN$2:BN$600,MATCH(1,($A39='Offer Statistics'!$BB$2:$BB$600)*($AC$2='Offer Statistics'!$BC$2:$BC$600),0)),"/")</f>
        <v>0</v>
      </c>
      <c r="AH39" s="63" cm="1">
        <f t="array" ref="AH39">IFERROR(INDEX('Offer Statistics'!BO$2:BO$600,MATCH(1,($A39='Offer Statistics'!$BB$2:$BB$600)*($AC$2='Offer Statistics'!$BC$2:$BC$600),0)),"/")</f>
        <v>0</v>
      </c>
      <c r="AI39" s="63" cm="1">
        <f t="array" ref="AI39">IFERROR(INDEX('Offer Statistics'!BP$2:BP$600,MATCH(1,($A39='Offer Statistics'!$BB$2:$BB$600)*($AC$2='Offer Statistics'!$BC$2:$BC$600),0)),"/")</f>
        <v>0</v>
      </c>
      <c r="AJ39" s="538"/>
      <c r="AK39" s="36" cm="1">
        <f t="array" ref="AK39">IFERROR(INDEX('Offer Statistics'!$BI$2:$BI$600,MATCH(1,($A39='Offer Statistics'!$BB$2:$BB$600)*($AC$2='Offer Statistics'!$BC$2:$BC$600),0)),"/")</f>
        <v>1524</v>
      </c>
      <c r="AL39" s="63" cm="1">
        <f t="array" ref="AL39">IFERROR(INDEX('Offer Statistics'!BD$2:BD$600,MATCH(1,($A39='Offer Statistics'!$BB$2:$BB$600)*($AC$2='Offer Statistics'!$BC$2:$BC$600),0)),"/")</f>
        <v>127</v>
      </c>
      <c r="AM39" s="63" cm="1">
        <f t="array" ref="AM39">IFERROR(INDEX('Offer Statistics'!BE$2:BE$600,MATCH(1,($A39='Offer Statistics'!$BB$2:$BB$600)*($AC$2='Offer Statistics'!$BC$2:$BC$600),0)),"/")</f>
        <v>142</v>
      </c>
      <c r="AN39" s="63" cm="1">
        <f t="array" ref="AN39">IFERROR(INDEX('Offer Statistics'!BF$2:BF$600,MATCH(1,($A39='Offer Statistics'!$BB$2:$BB$600)*($AC$2='Offer Statistics'!$BC$2:$BC$600),0)),"/")</f>
        <v>359</v>
      </c>
      <c r="AO39" s="63" cm="1">
        <f t="array" ref="AO39">IFERROR(INDEX('Offer Statistics'!BG$2:BG$600,MATCH(1,($A39='Offer Statistics'!$BB$2:$BB$600)*($AC$2='Offer Statistics'!$BC$2:$BC$600),0)),"/")</f>
        <v>497</v>
      </c>
      <c r="AP39" s="63" cm="1">
        <f t="array" ref="AP39">IFERROR(INDEX('Offer Statistics'!BH$2:BH$600,MATCH(1,($A39='Offer Statistics'!$BB$2:$BB$600)*($AC$2='Offer Statistics'!$BC$2:$BC$600),0)),"/")</f>
        <v>399</v>
      </c>
      <c r="AQ39" s="15"/>
      <c r="AR39" s="15" t="str">
        <f t="shared" si="3"/>
        <v>JS4460</v>
      </c>
    </row>
    <row r="40" spans="1:44" ht="18" customHeight="1">
      <c r="A40" s="4" t="str">
        <f>'Reference Score Calculation'!B183</f>
        <v>JS4462</v>
      </c>
      <c r="B40" s="4" t="str">
        <f>'Reference Score Calculation'!D183</f>
        <v>工程學院</v>
      </c>
      <c r="C40" s="4" t="str">
        <f>'Reference Score Calculation'!E183</f>
        <v>能源與環境工程學</v>
      </c>
      <c r="D40" s="4" t="str">
        <f>'Reference Score Calculation'!S183</f>
        <v>EEEN</v>
      </c>
      <c r="E40" s="352" t="str">
        <f>'Reference Score Calculation'!AC183</f>
        <v>Best 5</v>
      </c>
      <c r="F40" s="354" t="str">
        <f>'Reference Score Calculation'!F183</f>
        <v>Best 5</v>
      </c>
      <c r="G40" s="6">
        <f>'Reference Score Calculation'!H183</f>
        <v>29.5</v>
      </c>
      <c r="H40" s="6">
        <f>'Reference Score Calculation'!I183</f>
        <v>28.75</v>
      </c>
      <c r="I40" s="6">
        <f>'Reference Score Calculation'!J183</f>
        <v>28</v>
      </c>
      <c r="J40" s="45">
        <f>計分版!J206</f>
        <v>3.7500000000000005E-9</v>
      </c>
      <c r="K40" s="25">
        <f t="shared" si="0"/>
        <v>-28.749999996250001</v>
      </c>
      <c r="L40" s="26">
        <f t="shared" si="1"/>
        <v>-7666666665.666666</v>
      </c>
      <c r="M40" s="36">
        <f>'Reference Score Calculation'!U183</f>
        <v>28</v>
      </c>
      <c r="N40" s="84">
        <f>入學要求!Z192</f>
        <v>0</v>
      </c>
      <c r="O40" s="544"/>
      <c r="P40" s="161">
        <f>入學要求!L192</f>
        <v>3</v>
      </c>
      <c r="Q40" s="161">
        <f>入學要求!M192</f>
        <v>3</v>
      </c>
      <c r="R40" s="161">
        <f>入學要求!N192</f>
        <v>3</v>
      </c>
      <c r="S40" s="161">
        <f>入學要求!O192</f>
        <v>1</v>
      </c>
      <c r="T40" s="161">
        <f>入學要求!P192</f>
        <v>3</v>
      </c>
      <c r="U40" s="161">
        <f>入學要求!Q192</f>
        <v>3</v>
      </c>
      <c r="V40" s="236">
        <f>入學要求!S192</f>
        <v>0</v>
      </c>
      <c r="W40" s="236">
        <f>入學要求!T192</f>
        <v>0</v>
      </c>
      <c r="X40" s="236">
        <f>入學要求!U192</f>
        <v>0</v>
      </c>
      <c r="Y40" s="236">
        <f>入學要求!V192</f>
        <v>0</v>
      </c>
      <c r="Z40" s="236">
        <f>入學要求!W192</f>
        <v>0</v>
      </c>
      <c r="AA40" s="236">
        <f>入學要求!X192</f>
        <v>0</v>
      </c>
      <c r="AB40" s="36">
        <f t="shared" si="2"/>
        <v>6.38</v>
      </c>
      <c r="AC40" s="537"/>
      <c r="AD40" s="36" cm="1">
        <f t="array" ref="AD40">IFERROR(INDEX('Offer Statistics'!$BQ$2:$BQ$600,MATCH(1,($A40='Offer Statistics'!$BB$2:$BB$600)*($AC$2='Offer Statistics'!$BC$2:$BC$600),0)),"/")</f>
        <v>29</v>
      </c>
      <c r="AE40" s="63" cm="1">
        <f t="array" ref="AE40">IFERROR(INDEX('Offer Statistics'!BL$2:BL$600,MATCH(1,($A40='Offer Statistics'!$BB$2:$BB$600)*($AC$2='Offer Statistics'!$BC$2:$BC$600),0)),"/")</f>
        <v>29</v>
      </c>
      <c r="AF40" s="63" cm="1">
        <f t="array" ref="AF40">IFERROR(INDEX('Offer Statistics'!BM$2:BM$600,MATCH(1,($A40='Offer Statistics'!$BB$2:$BB$600)*($AC$2='Offer Statistics'!$BC$2:$BC$600),0)),"/")</f>
        <v>0</v>
      </c>
      <c r="AG40" s="63" cm="1">
        <f t="array" ref="AG40">IFERROR(INDEX('Offer Statistics'!BN$2:BN$600,MATCH(1,($A40='Offer Statistics'!$BB$2:$BB$600)*($AC$2='Offer Statistics'!$BC$2:$BC$600),0)),"/")</f>
        <v>0</v>
      </c>
      <c r="AH40" s="63" cm="1">
        <f t="array" ref="AH40">IFERROR(INDEX('Offer Statistics'!BO$2:BO$600,MATCH(1,($A40='Offer Statistics'!$BB$2:$BB$600)*($AC$2='Offer Statistics'!$BC$2:$BC$600),0)),"/")</f>
        <v>0</v>
      </c>
      <c r="AI40" s="63" cm="1">
        <f t="array" ref="AI40">IFERROR(INDEX('Offer Statistics'!BP$2:BP$600,MATCH(1,($A40='Offer Statistics'!$BB$2:$BB$600)*($AC$2='Offer Statistics'!$BC$2:$BC$600),0)),"/")</f>
        <v>0</v>
      </c>
      <c r="AJ40" s="538"/>
      <c r="AK40" s="36" cm="1">
        <f t="array" ref="AK40">IFERROR(INDEX('Offer Statistics'!$BI$2:$BI$600,MATCH(1,($A40='Offer Statistics'!$BB$2:$BB$600)*($AC$2='Offer Statistics'!$BC$2:$BC$600),0)),"/")</f>
        <v>1742</v>
      </c>
      <c r="AL40" s="63" cm="1">
        <f t="array" ref="AL40">IFERROR(INDEX('Offer Statistics'!BD$2:BD$600,MATCH(1,($A40='Offer Statistics'!$BB$2:$BB$600)*($AC$2='Offer Statistics'!$BC$2:$BC$600),0)),"/")</f>
        <v>185</v>
      </c>
      <c r="AM40" s="63" cm="1">
        <f t="array" ref="AM40">IFERROR(INDEX('Offer Statistics'!BE$2:BE$600,MATCH(1,($A40='Offer Statistics'!$BB$2:$BB$600)*($AC$2='Offer Statistics'!$BC$2:$BC$600),0)),"/")</f>
        <v>197</v>
      </c>
      <c r="AN40" s="63" cm="1">
        <f t="array" ref="AN40">IFERROR(INDEX('Offer Statistics'!BF$2:BF$600,MATCH(1,($A40='Offer Statistics'!$BB$2:$BB$600)*($AC$2='Offer Statistics'!$BC$2:$BC$600),0)),"/")</f>
        <v>391</v>
      </c>
      <c r="AO40" s="63" cm="1">
        <f t="array" ref="AO40">IFERROR(INDEX('Offer Statistics'!BG$2:BG$600,MATCH(1,($A40='Offer Statistics'!$BB$2:$BB$600)*($AC$2='Offer Statistics'!$BC$2:$BC$600),0)),"/")</f>
        <v>512</v>
      </c>
      <c r="AP40" s="63" cm="1">
        <f t="array" ref="AP40">IFERROR(INDEX('Offer Statistics'!BH$2:BH$600,MATCH(1,($A40='Offer Statistics'!$BB$2:$BB$600)*($AC$2='Offer Statistics'!$BC$2:$BC$600),0)),"/")</f>
        <v>457</v>
      </c>
      <c r="AQ40" s="15"/>
      <c r="AR40" s="15" t="str">
        <f t="shared" si="3"/>
        <v>JS4462</v>
      </c>
    </row>
    <row r="41" spans="1:44" s="10" customFormat="1" ht="18" customHeight="1">
      <c r="A41" s="4" t="str">
        <f>'Reference Score Calculation'!B184</f>
        <v>JS4468</v>
      </c>
      <c r="B41" s="4" t="str">
        <f>'Reference Score Calculation'!D184</f>
        <v>工程學院</v>
      </c>
      <c r="C41" s="4" t="str">
        <f>'Reference Score Calculation'!E184</f>
        <v>人工智能：系統與科技</v>
      </c>
      <c r="D41" s="4" t="str">
        <f>'Reference Score Calculation'!S184</f>
        <v>AIST</v>
      </c>
      <c r="E41" s="352" t="str">
        <f>'Reference Score Calculation'!AC184</f>
        <v>Best 5</v>
      </c>
      <c r="F41" s="354" t="str">
        <f>'Reference Score Calculation'!F184</f>
        <v>Best 5</v>
      </c>
      <c r="G41" s="6">
        <f>'Reference Score Calculation'!H184</f>
        <v>57.25</v>
      </c>
      <c r="H41" s="6">
        <f>'Reference Score Calculation'!I184</f>
        <v>53.5</v>
      </c>
      <c r="I41" s="6">
        <f>'Reference Score Calculation'!J184</f>
        <v>51.125</v>
      </c>
      <c r="J41" s="45">
        <f>計分版!J207</f>
        <v>3.875E-9</v>
      </c>
      <c r="K41" s="25">
        <f t="shared" si="0"/>
        <v>-53.499999996124998</v>
      </c>
      <c r="L41" s="26">
        <f t="shared" si="1"/>
        <v>-13806451611.903225</v>
      </c>
      <c r="M41" s="36">
        <f>'Reference Score Calculation'!U184</f>
        <v>30</v>
      </c>
      <c r="N41" s="84">
        <f>入學要求!Z193</f>
        <v>0</v>
      </c>
      <c r="O41" s="544"/>
      <c r="P41" s="161">
        <f>入學要求!L193</f>
        <v>3</v>
      </c>
      <c r="Q41" s="161">
        <f>入學要求!M193</f>
        <v>4</v>
      </c>
      <c r="R41" s="161">
        <f>入學要求!N193</f>
        <v>5</v>
      </c>
      <c r="S41" s="161">
        <f>入學要求!O193</f>
        <v>1</v>
      </c>
      <c r="T41" s="161">
        <f>入學要求!P193</f>
        <v>3</v>
      </c>
      <c r="U41" s="161">
        <f>入學要求!Q193</f>
        <v>3</v>
      </c>
      <c r="V41" s="236">
        <f>入學要求!S193</f>
        <v>0</v>
      </c>
      <c r="W41" s="236">
        <f>入學要求!T193</f>
        <v>0</v>
      </c>
      <c r="X41" s="236">
        <f>入學要求!U193</f>
        <v>0</v>
      </c>
      <c r="Y41" s="236">
        <f>入學要求!V193</f>
        <v>0</v>
      </c>
      <c r="Z41" s="236">
        <f>入學要求!W193</f>
        <v>0</v>
      </c>
      <c r="AA41" s="236">
        <f>入學要求!X193</f>
        <v>0</v>
      </c>
      <c r="AB41" s="36">
        <f t="shared" si="2"/>
        <v>3.72</v>
      </c>
      <c r="AC41" s="537"/>
      <c r="AD41" s="36" cm="1">
        <f t="array" ref="AD41">IFERROR(INDEX('Offer Statistics'!$BQ$2:$BQ$600,MATCH(1,($A41='Offer Statistics'!$BB$2:$BB$600)*($AC$2='Offer Statistics'!$BC$2:$BC$600),0)),"/")</f>
        <v>29</v>
      </c>
      <c r="AE41" s="63" cm="1">
        <f t="array" ref="AE41">IFERROR(INDEX('Offer Statistics'!BL$2:BL$600,MATCH(1,($A41='Offer Statistics'!$BB$2:$BB$600)*($AC$2='Offer Statistics'!$BC$2:$BC$600),0)),"/")</f>
        <v>29</v>
      </c>
      <c r="AF41" s="63" cm="1">
        <f t="array" ref="AF41">IFERROR(INDEX('Offer Statistics'!BM$2:BM$600,MATCH(1,($A41='Offer Statistics'!$BB$2:$BB$600)*($AC$2='Offer Statistics'!$BC$2:$BC$600),0)),"/")</f>
        <v>0</v>
      </c>
      <c r="AG41" s="63" cm="1">
        <f t="array" ref="AG41">IFERROR(INDEX('Offer Statistics'!BN$2:BN$600,MATCH(1,($A41='Offer Statistics'!$BB$2:$BB$600)*($AC$2='Offer Statistics'!$BC$2:$BC$600),0)),"/")</f>
        <v>0</v>
      </c>
      <c r="AH41" s="63" cm="1">
        <f t="array" ref="AH41">IFERROR(INDEX('Offer Statistics'!BO$2:BO$600,MATCH(1,($A41='Offer Statistics'!$BB$2:$BB$600)*($AC$2='Offer Statistics'!$BC$2:$BC$600),0)),"/")</f>
        <v>0</v>
      </c>
      <c r="AI41" s="63" cm="1">
        <f t="array" ref="AI41">IFERROR(INDEX('Offer Statistics'!BP$2:BP$600,MATCH(1,($A41='Offer Statistics'!$BB$2:$BB$600)*($AC$2='Offer Statistics'!$BC$2:$BC$600),0)),"/")</f>
        <v>0</v>
      </c>
      <c r="AJ41" s="538"/>
      <c r="AK41" s="36" cm="1">
        <f t="array" ref="AK41">IFERROR(INDEX('Offer Statistics'!$BI$2:$BI$600,MATCH(1,($A41='Offer Statistics'!$BB$2:$BB$600)*($AC$2='Offer Statistics'!$BC$2:$BC$600),0)),"/")</f>
        <v>1170</v>
      </c>
      <c r="AL41" s="63" cm="1">
        <f t="array" ref="AL41">IFERROR(INDEX('Offer Statistics'!BD$2:BD$600,MATCH(1,($A41='Offer Statistics'!$BB$2:$BB$600)*($AC$2='Offer Statistics'!$BC$2:$BC$600),0)),"/")</f>
        <v>108</v>
      </c>
      <c r="AM41" s="63" cm="1">
        <f t="array" ref="AM41">IFERROR(INDEX('Offer Statistics'!BE$2:BE$600,MATCH(1,($A41='Offer Statistics'!$BB$2:$BB$600)*($AC$2='Offer Statistics'!$BC$2:$BC$600),0)),"/")</f>
        <v>128</v>
      </c>
      <c r="AN41" s="63" cm="1">
        <f t="array" ref="AN41">IFERROR(INDEX('Offer Statistics'!BF$2:BF$600,MATCH(1,($A41='Offer Statistics'!$BB$2:$BB$600)*($AC$2='Offer Statistics'!$BC$2:$BC$600),0)),"/")</f>
        <v>268</v>
      </c>
      <c r="AO41" s="63" cm="1">
        <f t="array" ref="AO41">IFERROR(INDEX('Offer Statistics'!BG$2:BG$600,MATCH(1,($A41='Offer Statistics'!$BB$2:$BB$600)*($AC$2='Offer Statistics'!$BC$2:$BC$600),0)),"/")</f>
        <v>357</v>
      </c>
      <c r="AP41" s="63" cm="1">
        <f t="array" ref="AP41">IFERROR(INDEX('Offer Statistics'!BH$2:BH$600,MATCH(1,($A41='Offer Statistics'!$BB$2:$BB$600)*($AC$2='Offer Statistics'!$BC$2:$BC$600),0)),"/")</f>
        <v>309</v>
      </c>
      <c r="AQ41" s="15"/>
      <c r="AR41" s="15" t="str">
        <f t="shared" si="3"/>
        <v>JS4468</v>
      </c>
    </row>
    <row r="42" spans="1:44" ht="18" customHeight="1">
      <c r="A42" s="4" t="str">
        <f>'Reference Score Calculation'!B185</f>
        <v>JS4470</v>
      </c>
      <c r="B42" s="4" t="str">
        <f>'Reference Score Calculation'!D185</f>
        <v>工程學院</v>
      </c>
      <c r="C42" s="4" t="str">
        <f>'Reference Score Calculation'!E185</f>
        <v>材料科學與工程學</v>
      </c>
      <c r="D42" s="4" t="str">
        <f>'Reference Score Calculation'!S185</f>
        <v>MATERIALS SCI &amp; ENG</v>
      </c>
      <c r="E42" s="352" t="str">
        <f>'Reference Score Calculation'!AC185</f>
        <v>Best 5</v>
      </c>
      <c r="F42" s="354" t="str">
        <f>'Reference Score Calculation'!F185</f>
        <v>25年新科目</v>
      </c>
      <c r="G42" s="6" t="str">
        <f>'Reference Score Calculation'!H185</f>
        <v>/</v>
      </c>
      <c r="H42" s="6" t="str">
        <f>'Reference Score Calculation'!I185</f>
        <v>/</v>
      </c>
      <c r="I42" s="6" t="str">
        <f>'Reference Score Calculation'!J185</f>
        <v>/</v>
      </c>
      <c r="J42" s="45" t="str">
        <f>計分版!J208</f>
        <v>/</v>
      </c>
      <c r="K42" s="7" t="str">
        <f t="shared" si="0"/>
        <v>/</v>
      </c>
      <c r="L42" s="8" t="str">
        <f t="shared" si="1"/>
        <v>/</v>
      </c>
      <c r="M42" s="36">
        <f>'Reference Score Calculation'!U185</f>
        <v>20</v>
      </c>
      <c r="N42" s="84">
        <f>入學要求!Z194</f>
        <v>0</v>
      </c>
      <c r="O42" s="544"/>
      <c r="P42" s="161">
        <f>入學要求!L194</f>
        <v>3</v>
      </c>
      <c r="Q42" s="161">
        <f>入學要求!M194</f>
        <v>3</v>
      </c>
      <c r="R42" s="161">
        <f>入學要求!N194</f>
        <v>3</v>
      </c>
      <c r="S42" s="161">
        <f>入學要求!O194</f>
        <v>1</v>
      </c>
      <c r="T42" s="161">
        <f>入學要求!P194</f>
        <v>3</v>
      </c>
      <c r="U42" s="161">
        <f>入學要求!Q194</f>
        <v>3</v>
      </c>
      <c r="V42" s="236">
        <f>入學要求!S194</f>
        <v>0</v>
      </c>
      <c r="W42" s="236">
        <f>入學要求!T194</f>
        <v>0</v>
      </c>
      <c r="X42" s="236">
        <f>入學要求!U194</f>
        <v>0</v>
      </c>
      <c r="Y42" s="236">
        <f>入學要求!V194</f>
        <v>0</v>
      </c>
      <c r="Z42" s="236">
        <f>入學要求!W194</f>
        <v>0</v>
      </c>
      <c r="AA42" s="236">
        <f>入學要求!X194</f>
        <v>0</v>
      </c>
      <c r="AB42" s="36" t="str">
        <f t="shared" si="2"/>
        <v>/</v>
      </c>
      <c r="AC42" s="537"/>
      <c r="AD42" s="36" t="str" cm="1">
        <f t="array" ref="AD42">IFERROR(INDEX('Offer Statistics'!$BQ$2:$BQ$600,MATCH(1,($A42='Offer Statistics'!$BB$2:$BB$600)*($AC$2='Offer Statistics'!$BC$2:$BC$600),0)),"/")</f>
        <v>/</v>
      </c>
      <c r="AE42" s="63" t="str" cm="1">
        <f t="array" ref="AE42">IFERROR(INDEX('Offer Statistics'!BL$2:BL$600,MATCH(1,($A42='Offer Statistics'!$BB$2:$BB$600)*($AC$2='Offer Statistics'!$BC$2:$BC$600),0)),"/")</f>
        <v>/</v>
      </c>
      <c r="AF42" s="63" t="str" cm="1">
        <f t="array" ref="AF42">IFERROR(INDEX('Offer Statistics'!BM$2:BM$600,MATCH(1,($A42='Offer Statistics'!$BB$2:$BB$600)*($AC$2='Offer Statistics'!$BC$2:$BC$600),0)),"/")</f>
        <v>/</v>
      </c>
      <c r="AG42" s="63" t="str" cm="1">
        <f t="array" ref="AG42">IFERROR(INDEX('Offer Statistics'!BN$2:BN$600,MATCH(1,($A42='Offer Statistics'!$BB$2:$BB$600)*($AC$2='Offer Statistics'!$BC$2:$BC$600),0)),"/")</f>
        <v>/</v>
      </c>
      <c r="AH42" s="63" t="str" cm="1">
        <f t="array" ref="AH42">IFERROR(INDEX('Offer Statistics'!BO$2:BO$600,MATCH(1,($A42='Offer Statistics'!$BB$2:$BB$600)*($AC$2='Offer Statistics'!$BC$2:$BC$600),0)),"/")</f>
        <v>/</v>
      </c>
      <c r="AI42" s="63" t="str" cm="1">
        <f t="array" ref="AI42">IFERROR(INDEX('Offer Statistics'!BP$2:BP$600,MATCH(1,($A42='Offer Statistics'!$BB$2:$BB$600)*($AC$2='Offer Statistics'!$BC$2:$BC$600),0)),"/")</f>
        <v>/</v>
      </c>
      <c r="AJ42" s="538"/>
      <c r="AK42" s="36" t="str" cm="1">
        <f t="array" ref="AK42">IFERROR(INDEX('Offer Statistics'!$BI$2:$BI$600,MATCH(1,($A42='Offer Statistics'!$BB$2:$BB$600)*($AC$2='Offer Statistics'!$BC$2:$BC$600),0)),"/")</f>
        <v>/</v>
      </c>
      <c r="AL42" s="63" t="str" cm="1">
        <f t="array" ref="AL42">IFERROR(INDEX('Offer Statistics'!BD$2:BD$600,MATCH(1,($A42='Offer Statistics'!$BB$2:$BB$600)*($AC$2='Offer Statistics'!$BC$2:$BC$600),0)),"/")</f>
        <v>/</v>
      </c>
      <c r="AM42" s="63" t="str" cm="1">
        <f t="array" ref="AM42">IFERROR(INDEX('Offer Statistics'!BE$2:BE$600,MATCH(1,($A42='Offer Statistics'!$BB$2:$BB$600)*($AC$2='Offer Statistics'!$BC$2:$BC$600),0)),"/")</f>
        <v>/</v>
      </c>
      <c r="AN42" s="63" t="str" cm="1">
        <f t="array" ref="AN42">IFERROR(INDEX('Offer Statistics'!BF$2:BF$600,MATCH(1,($A42='Offer Statistics'!$BB$2:$BB$600)*($AC$2='Offer Statistics'!$BC$2:$BC$600),0)),"/")</f>
        <v>/</v>
      </c>
      <c r="AO42" s="63" t="str" cm="1">
        <f t="array" ref="AO42">IFERROR(INDEX('Offer Statistics'!BG$2:BG$600,MATCH(1,($A42='Offer Statistics'!$BB$2:$BB$600)*($AC$2='Offer Statistics'!$BC$2:$BC$600),0)),"/")</f>
        <v>/</v>
      </c>
      <c r="AP42" s="63" t="str" cm="1">
        <f t="array" ref="AP42">IFERROR(INDEX('Offer Statistics'!BH$2:BH$600,MATCH(1,($A42='Offer Statistics'!$BB$2:$BB$600)*($AC$2='Offer Statistics'!$BC$2:$BC$600),0)),"/")</f>
        <v>/</v>
      </c>
      <c r="AQ42" s="15"/>
      <c r="AR42" s="15" t="str">
        <f t="shared" si="3"/>
        <v>JS4470</v>
      </c>
    </row>
    <row r="43" spans="1:44" s="10" customFormat="1" ht="18" customHeight="1">
      <c r="A43" s="4" t="str">
        <f>'Reference Score Calculation'!B186</f>
        <v>JS4501</v>
      </c>
      <c r="B43" s="4" t="str">
        <f>'Reference Score Calculation'!D186</f>
        <v>醫學院</v>
      </c>
      <c r="C43" s="4" t="str">
        <f>'Reference Score Calculation'!E186</f>
        <v>內外全科醫學士課程</v>
      </c>
      <c r="D43" s="4" t="str">
        <f>'Reference Score Calculation'!S186</f>
        <v>MBChB</v>
      </c>
      <c r="E43" s="352" t="str">
        <f>'Reference Score Calculation'!AC186</f>
        <v>3C3X</v>
      </c>
      <c r="F43" s="354" t="str">
        <f>'Reference Score Calculation'!F186</f>
        <v>3C3X</v>
      </c>
      <c r="G43" s="6">
        <f>'Reference Score Calculation'!H186</f>
        <v>38</v>
      </c>
      <c r="H43" s="6">
        <f>'Reference Score Calculation'!I186</f>
        <v>37</v>
      </c>
      <c r="I43" s="6">
        <f>'Reference Score Calculation'!J186</f>
        <v>36</v>
      </c>
      <c r="J43" s="45">
        <f>計分版!J209</f>
        <v>3.1000000000000005E-9</v>
      </c>
      <c r="K43" s="25">
        <f t="shared" si="0"/>
        <v>-36.999999996900002</v>
      </c>
      <c r="L43" s="26">
        <f t="shared" si="1"/>
        <v>-11935483869.967741</v>
      </c>
      <c r="M43" s="36">
        <f>'Reference Score Calculation'!U186</f>
        <v>295</v>
      </c>
      <c r="N43" s="84">
        <f>入學要求!Z195</f>
        <v>0</v>
      </c>
      <c r="O43" s="544"/>
      <c r="P43" s="161">
        <f>入學要求!L195</f>
        <v>3</v>
      </c>
      <c r="Q43" s="161">
        <f>入學要求!M195</f>
        <v>4</v>
      </c>
      <c r="R43" s="161">
        <f>入學要求!N195</f>
        <v>3</v>
      </c>
      <c r="S43" s="161">
        <f>入學要求!O195</f>
        <v>1</v>
      </c>
      <c r="T43" s="161">
        <f>入學要求!P195</f>
        <v>3</v>
      </c>
      <c r="U43" s="161">
        <f>入學要求!Q195</f>
        <v>3</v>
      </c>
      <c r="V43" s="236">
        <f>入學要求!S195</f>
        <v>0</v>
      </c>
      <c r="W43" s="236">
        <f>入學要求!T195</f>
        <v>0</v>
      </c>
      <c r="X43" s="236">
        <f>入學要求!U195</f>
        <v>0</v>
      </c>
      <c r="Y43" s="236">
        <f>入學要求!V195</f>
        <v>0</v>
      </c>
      <c r="Z43" s="236">
        <f>入學要求!W195</f>
        <v>0</v>
      </c>
      <c r="AA43" s="236">
        <f>入學要求!X195</f>
        <v>0</v>
      </c>
      <c r="AB43" s="36">
        <f t="shared" si="2"/>
        <v>3.1</v>
      </c>
      <c r="AC43" s="537"/>
      <c r="AD43" s="36" cm="1">
        <f t="array" ref="AD43">IFERROR(INDEX('Offer Statistics'!$BQ$2:$BQ$600,MATCH(1,($A43='Offer Statistics'!$BB$2:$BB$600)*($AC$2='Offer Statistics'!$BC$2:$BC$600),0)),"/")</f>
        <v>170</v>
      </c>
      <c r="AE43" s="63" cm="1">
        <f t="array" ref="AE43">IFERROR(INDEX('Offer Statistics'!BL$2:BL$600,MATCH(1,($A43='Offer Statistics'!$BB$2:$BB$600)*($AC$2='Offer Statistics'!$BC$2:$BC$600),0)),"/")</f>
        <v>170</v>
      </c>
      <c r="AF43" s="63" cm="1">
        <f t="array" ref="AF43">IFERROR(INDEX('Offer Statistics'!BM$2:BM$600,MATCH(1,($A43='Offer Statistics'!$BB$2:$BB$600)*($AC$2='Offer Statistics'!$BC$2:$BC$600),0)),"/")</f>
        <v>0</v>
      </c>
      <c r="AG43" s="63" cm="1">
        <f t="array" ref="AG43">IFERROR(INDEX('Offer Statistics'!BN$2:BN$600,MATCH(1,($A43='Offer Statistics'!$BB$2:$BB$600)*($AC$2='Offer Statistics'!$BC$2:$BC$600),0)),"/")</f>
        <v>0</v>
      </c>
      <c r="AH43" s="63" cm="1">
        <f t="array" ref="AH43">IFERROR(INDEX('Offer Statistics'!BO$2:BO$600,MATCH(1,($A43='Offer Statistics'!$BB$2:$BB$600)*($AC$2='Offer Statistics'!$BC$2:$BC$600),0)),"/")</f>
        <v>0</v>
      </c>
      <c r="AI43" s="63" cm="1">
        <f t="array" ref="AI43">IFERROR(INDEX('Offer Statistics'!BP$2:BP$600,MATCH(1,($A43='Offer Statistics'!$BB$2:$BB$600)*($AC$2='Offer Statistics'!$BC$2:$BC$600),0)),"/")</f>
        <v>0</v>
      </c>
      <c r="AJ43" s="538"/>
      <c r="AK43" s="36" cm="1">
        <f t="array" ref="AK43">IFERROR(INDEX('Offer Statistics'!$BI$2:$BI$600,MATCH(1,($A43='Offer Statistics'!$BB$2:$BB$600)*($AC$2='Offer Statistics'!$BC$2:$BC$600),0)),"/")</f>
        <v>1292</v>
      </c>
      <c r="AL43" s="63" cm="1">
        <f t="array" ref="AL43">IFERROR(INDEX('Offer Statistics'!BD$2:BD$600,MATCH(1,($A43='Offer Statistics'!$BB$2:$BB$600)*($AC$2='Offer Statistics'!$BC$2:$BC$600),0)),"/")</f>
        <v>527</v>
      </c>
      <c r="AM43" s="63" cm="1">
        <f t="array" ref="AM43">IFERROR(INDEX('Offer Statistics'!BE$2:BE$600,MATCH(1,($A43='Offer Statistics'!$BB$2:$BB$600)*($AC$2='Offer Statistics'!$BC$2:$BC$600),0)),"/")</f>
        <v>70</v>
      </c>
      <c r="AN43" s="63" cm="1">
        <f t="array" ref="AN43">IFERROR(INDEX('Offer Statistics'!BF$2:BF$600,MATCH(1,($A43='Offer Statistics'!$BB$2:$BB$600)*($AC$2='Offer Statistics'!$BC$2:$BC$600),0)),"/")</f>
        <v>149</v>
      </c>
      <c r="AO43" s="63" cm="1">
        <f t="array" ref="AO43">IFERROR(INDEX('Offer Statistics'!BG$2:BG$600,MATCH(1,($A43='Offer Statistics'!$BB$2:$BB$600)*($AC$2='Offer Statistics'!$BC$2:$BC$600),0)),"/")</f>
        <v>186</v>
      </c>
      <c r="AP43" s="63" cm="1">
        <f t="array" ref="AP43">IFERROR(INDEX('Offer Statistics'!BH$2:BH$600,MATCH(1,($A43='Offer Statistics'!$BB$2:$BB$600)*($AC$2='Offer Statistics'!$BC$2:$BC$600),0)),"/")</f>
        <v>360</v>
      </c>
      <c r="AQ43" s="15"/>
      <c r="AR43" s="15" t="str">
        <f t="shared" si="3"/>
        <v>JS4501</v>
      </c>
    </row>
    <row r="44" spans="1:44" ht="18" customHeight="1">
      <c r="A44" s="4" t="str">
        <f>'Reference Score Calculation'!B187</f>
        <v>JS4502</v>
      </c>
      <c r="B44" s="4" t="str">
        <f>'Reference Score Calculation'!D187</f>
        <v>醫學院</v>
      </c>
      <c r="C44" s="4" t="str">
        <f>'Reference Score Calculation'!E187</f>
        <v>內外全科醫學士課程環球醫學領袖培訓專修組別</v>
      </c>
      <c r="D44" s="4" t="str">
        <f>'Reference Score Calculation'!S187</f>
        <v>MBChB-GPS</v>
      </c>
      <c r="E44" s="352" t="str">
        <f>'Reference Score Calculation'!AC187</f>
        <v>3C3X</v>
      </c>
      <c r="F44" s="354" t="str">
        <f>'Reference Score Calculation'!F187</f>
        <v>3C3X</v>
      </c>
      <c r="G44" s="6">
        <f>'Reference Score Calculation'!H187</f>
        <v>41.5</v>
      </c>
      <c r="H44" s="6">
        <f>'Reference Score Calculation'!I187</f>
        <v>40.5</v>
      </c>
      <c r="I44" s="6">
        <f>'Reference Score Calculation'!J187</f>
        <v>40</v>
      </c>
      <c r="J44" s="45">
        <f>計分版!J210</f>
        <v>3.1000000000000005E-9</v>
      </c>
      <c r="K44" s="25">
        <f t="shared" si="0"/>
        <v>-40.499999996900002</v>
      </c>
      <c r="L44" s="26">
        <f t="shared" si="1"/>
        <v>-13064516128.032257</v>
      </c>
      <c r="M44" s="36">
        <f>'Reference Score Calculation'!U187</f>
        <v>30</v>
      </c>
      <c r="N44" s="84">
        <f>入學要求!Z196</f>
        <v>0</v>
      </c>
      <c r="O44" s="544"/>
      <c r="P44" s="161">
        <f>入學要求!L196</f>
        <v>3</v>
      </c>
      <c r="Q44" s="161">
        <f>入學要求!M196</f>
        <v>4</v>
      </c>
      <c r="R44" s="161">
        <f>入學要求!N196</f>
        <v>3</v>
      </c>
      <c r="S44" s="161">
        <f>入學要求!O196</f>
        <v>1</v>
      </c>
      <c r="T44" s="161">
        <f>入學要求!P196</f>
        <v>3</v>
      </c>
      <c r="U44" s="161">
        <f>入學要求!Q196</f>
        <v>3</v>
      </c>
      <c r="V44" s="236">
        <f>入學要求!S196</f>
        <v>0</v>
      </c>
      <c r="W44" s="236">
        <f>入學要求!T196</f>
        <v>0</v>
      </c>
      <c r="X44" s="236">
        <f>入學要求!U196</f>
        <v>0</v>
      </c>
      <c r="Y44" s="236">
        <f>入學要求!V196</f>
        <v>0</v>
      </c>
      <c r="Z44" s="236">
        <f>入學要求!W196</f>
        <v>0</v>
      </c>
      <c r="AA44" s="236">
        <f>入學要求!X196</f>
        <v>0</v>
      </c>
      <c r="AB44" s="36">
        <f t="shared" si="2"/>
        <v>2.56</v>
      </c>
      <c r="AC44" s="537"/>
      <c r="AD44" s="36" cm="1">
        <f t="array" ref="AD44">IFERROR(INDEX('Offer Statistics'!$BQ$2:$BQ$600,MATCH(1,($A44='Offer Statistics'!$BB$2:$BB$600)*($AC$2='Offer Statistics'!$BC$2:$BC$600),0)),"/")</f>
        <v>32</v>
      </c>
      <c r="AE44" s="63" cm="1">
        <f t="array" ref="AE44">IFERROR(INDEX('Offer Statistics'!BL$2:BL$600,MATCH(1,($A44='Offer Statistics'!$BB$2:$BB$600)*($AC$2='Offer Statistics'!$BC$2:$BC$600),0)),"/")</f>
        <v>32</v>
      </c>
      <c r="AF44" s="63" cm="1">
        <f t="array" ref="AF44">IFERROR(INDEX('Offer Statistics'!BM$2:BM$600,MATCH(1,($A44='Offer Statistics'!$BB$2:$BB$600)*($AC$2='Offer Statistics'!$BC$2:$BC$600),0)),"/")</f>
        <v>0</v>
      </c>
      <c r="AG44" s="63" cm="1">
        <f t="array" ref="AG44">IFERROR(INDEX('Offer Statistics'!BN$2:BN$600,MATCH(1,($A44='Offer Statistics'!$BB$2:$BB$600)*($AC$2='Offer Statistics'!$BC$2:$BC$600),0)),"/")</f>
        <v>0</v>
      </c>
      <c r="AH44" s="63" cm="1">
        <f t="array" ref="AH44">IFERROR(INDEX('Offer Statistics'!BO$2:BO$600,MATCH(1,($A44='Offer Statistics'!$BB$2:$BB$600)*($AC$2='Offer Statistics'!$BC$2:$BC$600),0)),"/")</f>
        <v>0</v>
      </c>
      <c r="AI44" s="63" cm="1">
        <f t="array" ref="AI44">IFERROR(INDEX('Offer Statistics'!BP$2:BP$600,MATCH(1,($A44='Offer Statistics'!$BB$2:$BB$600)*($AC$2='Offer Statistics'!$BC$2:$BC$600),0)),"/")</f>
        <v>0</v>
      </c>
      <c r="AJ44" s="538"/>
      <c r="AK44" s="36" cm="1">
        <f t="array" ref="AK44">IFERROR(INDEX('Offer Statistics'!$BI$2:$BI$600,MATCH(1,($A44='Offer Statistics'!$BB$2:$BB$600)*($AC$2='Offer Statistics'!$BC$2:$BC$600),0)),"/")</f>
        <v>365</v>
      </c>
      <c r="AL44" s="63" cm="1">
        <f t="array" ref="AL44">IFERROR(INDEX('Offer Statistics'!BD$2:BD$600,MATCH(1,($A44='Offer Statistics'!$BB$2:$BB$600)*($AC$2='Offer Statistics'!$BC$2:$BC$600),0)),"/")</f>
        <v>82</v>
      </c>
      <c r="AM44" s="63" cm="1">
        <f t="array" ref="AM44">IFERROR(INDEX('Offer Statistics'!BE$2:BE$600,MATCH(1,($A44='Offer Statistics'!$BB$2:$BB$600)*($AC$2='Offer Statistics'!$BC$2:$BC$600),0)),"/")</f>
        <v>23</v>
      </c>
      <c r="AN44" s="63" cm="1">
        <f t="array" ref="AN44">IFERROR(INDEX('Offer Statistics'!BF$2:BF$600,MATCH(1,($A44='Offer Statistics'!$BB$2:$BB$600)*($AC$2='Offer Statistics'!$BC$2:$BC$600),0)),"/")</f>
        <v>37</v>
      </c>
      <c r="AO44" s="63" cm="1">
        <f t="array" ref="AO44">IFERROR(INDEX('Offer Statistics'!BG$2:BG$600,MATCH(1,($A44='Offer Statistics'!$BB$2:$BB$600)*($AC$2='Offer Statistics'!$BC$2:$BC$600),0)),"/")</f>
        <v>71</v>
      </c>
      <c r="AP44" s="63" cm="1">
        <f t="array" ref="AP44">IFERROR(INDEX('Offer Statistics'!BH$2:BH$600,MATCH(1,($A44='Offer Statistics'!$BB$2:$BB$600)*($AC$2='Offer Statistics'!$BC$2:$BC$600),0)),"/")</f>
        <v>152</v>
      </c>
      <c r="AQ44" s="15"/>
      <c r="AR44" s="15" t="str">
        <f t="shared" si="3"/>
        <v>JS4502</v>
      </c>
    </row>
    <row r="45" spans="1:44" s="10" customFormat="1" ht="18" customHeight="1">
      <c r="A45" s="4" t="str">
        <f>'Reference Score Calculation'!B188</f>
        <v>JS4513</v>
      </c>
      <c r="B45" s="4" t="str">
        <f>'Reference Score Calculation'!D188</f>
        <v>醫學院</v>
      </c>
      <c r="C45" s="4" t="str">
        <f>'Reference Score Calculation'!E188</f>
        <v>護理學</v>
      </c>
      <c r="D45" s="4" t="str">
        <f>'Reference Score Calculation'!S188</f>
        <v>NURSING</v>
      </c>
      <c r="E45" s="352" t="str">
        <f>'Reference Score Calculation'!AC188</f>
        <v>Best 5</v>
      </c>
      <c r="F45" s="354" t="str">
        <f>'Reference Score Calculation'!F188</f>
        <v>Best 5</v>
      </c>
      <c r="G45" s="6">
        <f>'Reference Score Calculation'!H188</f>
        <v>30.1</v>
      </c>
      <c r="H45" s="6">
        <f>'Reference Score Calculation'!I188</f>
        <v>28.6</v>
      </c>
      <c r="I45" s="6">
        <f>'Reference Score Calculation'!J188</f>
        <v>27.1</v>
      </c>
      <c r="J45" s="45">
        <f>計分版!J211</f>
        <v>3.6200000000000003E-9</v>
      </c>
      <c r="K45" s="25">
        <f t="shared" si="0"/>
        <v>-28.599999996380003</v>
      </c>
      <c r="L45" s="26">
        <f t="shared" si="1"/>
        <v>-7900552485.1878452</v>
      </c>
      <c r="M45" s="36">
        <f>'Reference Score Calculation'!U188</f>
        <v>217</v>
      </c>
      <c r="N45" s="84">
        <f>入學要求!Z197</f>
        <v>0</v>
      </c>
      <c r="O45" s="544"/>
      <c r="P45" s="161">
        <f>入學要求!L197</f>
        <v>3</v>
      </c>
      <c r="Q45" s="161">
        <f>入學要求!M197</f>
        <v>3</v>
      </c>
      <c r="R45" s="161">
        <f>入學要求!N197</f>
        <v>2</v>
      </c>
      <c r="S45" s="161">
        <f>入學要求!O197</f>
        <v>1</v>
      </c>
      <c r="T45" s="161">
        <f>入學要求!P197</f>
        <v>3</v>
      </c>
      <c r="U45" s="161">
        <f>入學要求!Q197</f>
        <v>3</v>
      </c>
      <c r="V45" s="236">
        <f>入學要求!S197</f>
        <v>0</v>
      </c>
      <c r="W45" s="236">
        <f>入學要求!T197</f>
        <v>0</v>
      </c>
      <c r="X45" s="236">
        <f>入學要求!U197</f>
        <v>0</v>
      </c>
      <c r="Y45" s="236">
        <f>入學要求!V197</f>
        <v>0</v>
      </c>
      <c r="Z45" s="236">
        <f>入學要求!W197</f>
        <v>0</v>
      </c>
      <c r="AA45" s="236">
        <f>入學要求!X197</f>
        <v>0</v>
      </c>
      <c r="AB45" s="36">
        <f t="shared" si="2"/>
        <v>3.27</v>
      </c>
      <c r="AC45" s="537"/>
      <c r="AD45" s="36" cm="1">
        <f t="array" ref="AD45">IFERROR(INDEX('Offer Statistics'!$BQ$2:$BQ$600,MATCH(1,($A45='Offer Statistics'!$BB$2:$BB$600)*($AC$2='Offer Statistics'!$BC$2:$BC$600),0)),"/")</f>
        <v>212</v>
      </c>
      <c r="AE45" s="63" cm="1">
        <f t="array" ref="AE45">IFERROR(INDEX('Offer Statistics'!BL$2:BL$600,MATCH(1,($A45='Offer Statistics'!$BB$2:$BB$600)*($AC$2='Offer Statistics'!$BC$2:$BC$600),0)),"/")</f>
        <v>212</v>
      </c>
      <c r="AF45" s="63" cm="1">
        <f t="array" ref="AF45">IFERROR(INDEX('Offer Statistics'!BM$2:BM$600,MATCH(1,($A45='Offer Statistics'!$BB$2:$BB$600)*($AC$2='Offer Statistics'!$BC$2:$BC$600),0)),"/")</f>
        <v>0</v>
      </c>
      <c r="AG45" s="63" cm="1">
        <f t="array" ref="AG45">IFERROR(INDEX('Offer Statistics'!BN$2:BN$600,MATCH(1,($A45='Offer Statistics'!$BB$2:$BB$600)*($AC$2='Offer Statistics'!$BC$2:$BC$600),0)),"/")</f>
        <v>0</v>
      </c>
      <c r="AH45" s="63" cm="1">
        <f t="array" ref="AH45">IFERROR(INDEX('Offer Statistics'!BO$2:BO$600,MATCH(1,($A45='Offer Statistics'!$BB$2:$BB$600)*($AC$2='Offer Statistics'!$BC$2:$BC$600),0)),"/")</f>
        <v>0</v>
      </c>
      <c r="AI45" s="63" cm="1">
        <f t="array" ref="AI45">IFERROR(INDEX('Offer Statistics'!BP$2:BP$600,MATCH(1,($A45='Offer Statistics'!$BB$2:$BB$600)*($AC$2='Offer Statistics'!$BC$2:$BC$600),0)),"/")</f>
        <v>0</v>
      </c>
      <c r="AJ45" s="538"/>
      <c r="AK45" s="36" cm="1">
        <f t="array" ref="AK45">IFERROR(INDEX('Offer Statistics'!$BI$2:$BI$600,MATCH(1,($A45='Offer Statistics'!$BB$2:$BB$600)*($AC$2='Offer Statistics'!$BC$2:$BC$600),0)),"/")</f>
        <v>3855</v>
      </c>
      <c r="AL45" s="63" cm="1">
        <f t="array" ref="AL45">IFERROR(INDEX('Offer Statistics'!BD$2:BD$600,MATCH(1,($A45='Offer Statistics'!$BB$2:$BB$600)*($AC$2='Offer Statistics'!$BC$2:$BC$600),0)),"/")</f>
        <v>694</v>
      </c>
      <c r="AM45" s="63" cm="1">
        <f t="array" ref="AM45">IFERROR(INDEX('Offer Statistics'!BE$2:BE$600,MATCH(1,($A45='Offer Statistics'!$BB$2:$BB$600)*($AC$2='Offer Statistics'!$BC$2:$BC$600),0)),"/")</f>
        <v>605</v>
      </c>
      <c r="AN45" s="63" cm="1">
        <f t="array" ref="AN45">IFERROR(INDEX('Offer Statistics'!BF$2:BF$600,MATCH(1,($A45='Offer Statistics'!$BB$2:$BB$600)*($AC$2='Offer Statistics'!$BC$2:$BC$600),0)),"/")</f>
        <v>892</v>
      </c>
      <c r="AO45" s="63" cm="1">
        <f t="array" ref="AO45">IFERROR(INDEX('Offer Statistics'!BG$2:BG$600,MATCH(1,($A45='Offer Statistics'!$BB$2:$BB$600)*($AC$2='Offer Statistics'!$BC$2:$BC$600),0)),"/")</f>
        <v>889</v>
      </c>
      <c r="AP45" s="63" cm="1">
        <f t="array" ref="AP45">IFERROR(INDEX('Offer Statistics'!BH$2:BH$600,MATCH(1,($A45='Offer Statistics'!$BB$2:$BB$600)*($AC$2='Offer Statistics'!$BC$2:$BC$600),0)),"/")</f>
        <v>775</v>
      </c>
      <c r="AQ45" s="15"/>
      <c r="AR45" s="15" t="str">
        <f t="shared" si="3"/>
        <v>JS4513</v>
      </c>
    </row>
    <row r="46" spans="1:44" ht="18" customHeight="1">
      <c r="A46" s="4" t="str">
        <f>'Reference Score Calculation'!B189</f>
        <v>JS4525</v>
      </c>
      <c r="B46" s="4" t="str">
        <f>'Reference Score Calculation'!D189</f>
        <v>醫學院</v>
      </c>
      <c r="C46" s="4" t="str">
        <f>'Reference Score Calculation'!E189</f>
        <v>藥劑學</v>
      </c>
      <c r="D46" s="4" t="str">
        <f>'Reference Score Calculation'!S189</f>
        <v>PHARMACY</v>
      </c>
      <c r="E46" s="352" t="str">
        <f>'Reference Score Calculation'!AC189</f>
        <v>Best 5</v>
      </c>
      <c r="F46" s="354" t="str">
        <f>'Reference Score Calculation'!F189</f>
        <v>Best 5</v>
      </c>
      <c r="G46" s="6">
        <f>'Reference Score Calculation'!H189</f>
        <v>32</v>
      </c>
      <c r="H46" s="6">
        <f>'Reference Score Calculation'!I189</f>
        <v>30.5</v>
      </c>
      <c r="I46" s="6">
        <f>'Reference Score Calculation'!J189</f>
        <v>30.5</v>
      </c>
      <c r="J46" s="45">
        <f>計分版!J212</f>
        <v>3.4999999999999999E-9</v>
      </c>
      <c r="K46" s="25">
        <f t="shared" si="0"/>
        <v>-30.499999996500001</v>
      </c>
      <c r="L46" s="26">
        <f t="shared" si="1"/>
        <v>-8714285713.2857151</v>
      </c>
      <c r="M46" s="36">
        <f>'Reference Score Calculation'!U189</f>
        <v>59</v>
      </c>
      <c r="N46" s="84">
        <f>入學要求!Z198</f>
        <v>0</v>
      </c>
      <c r="O46" s="544"/>
      <c r="P46" s="161">
        <f>入學要求!L198</f>
        <v>3</v>
      </c>
      <c r="Q46" s="161">
        <f>入學要求!M198</f>
        <v>3</v>
      </c>
      <c r="R46" s="161">
        <f>入學要求!N198</f>
        <v>3</v>
      </c>
      <c r="S46" s="161">
        <f>入學要求!O198</f>
        <v>1</v>
      </c>
      <c r="T46" s="161">
        <f>入學要求!P198</f>
        <v>3</v>
      </c>
      <c r="U46" s="161">
        <f>入學要求!Q198</f>
        <v>3</v>
      </c>
      <c r="V46" s="236">
        <f>入學要求!S198</f>
        <v>0</v>
      </c>
      <c r="W46" s="236">
        <f>入學要求!T198</f>
        <v>0</v>
      </c>
      <c r="X46" s="236">
        <f>入學要求!U198</f>
        <v>0</v>
      </c>
      <c r="Y46" s="236">
        <f>入學要求!V198</f>
        <v>0</v>
      </c>
      <c r="Z46" s="236">
        <f>入學要求!W198</f>
        <v>0</v>
      </c>
      <c r="AA46" s="236">
        <f>入學要求!X198</f>
        <v>0</v>
      </c>
      <c r="AB46" s="36">
        <f t="shared" si="2"/>
        <v>5.81</v>
      </c>
      <c r="AC46" s="537"/>
      <c r="AD46" s="36" cm="1">
        <f t="array" ref="AD46">IFERROR(INDEX('Offer Statistics'!$BQ$2:$BQ$600,MATCH(1,($A46='Offer Statistics'!$BB$2:$BB$600)*($AC$2='Offer Statistics'!$BC$2:$BC$600),0)),"/")</f>
        <v>59</v>
      </c>
      <c r="AE46" s="63" cm="1">
        <f t="array" ref="AE46">IFERROR(INDEX('Offer Statistics'!BL$2:BL$600,MATCH(1,($A46='Offer Statistics'!$BB$2:$BB$600)*($AC$2='Offer Statistics'!$BC$2:$BC$600),0)),"/")</f>
        <v>59</v>
      </c>
      <c r="AF46" s="63" cm="1">
        <f t="array" ref="AF46">IFERROR(INDEX('Offer Statistics'!BM$2:BM$600,MATCH(1,($A46='Offer Statistics'!$BB$2:$BB$600)*($AC$2='Offer Statistics'!$BC$2:$BC$600),0)),"/")</f>
        <v>0</v>
      </c>
      <c r="AG46" s="63" cm="1">
        <f t="array" ref="AG46">IFERROR(INDEX('Offer Statistics'!BN$2:BN$600,MATCH(1,($A46='Offer Statistics'!$BB$2:$BB$600)*($AC$2='Offer Statistics'!$BC$2:$BC$600),0)),"/")</f>
        <v>0</v>
      </c>
      <c r="AH46" s="63" cm="1">
        <f t="array" ref="AH46">IFERROR(INDEX('Offer Statistics'!BO$2:BO$600,MATCH(1,($A46='Offer Statistics'!$BB$2:$BB$600)*($AC$2='Offer Statistics'!$BC$2:$BC$600),0)),"/")</f>
        <v>0</v>
      </c>
      <c r="AI46" s="63" cm="1">
        <f t="array" ref="AI46">IFERROR(INDEX('Offer Statistics'!BP$2:BP$600,MATCH(1,($A46='Offer Statistics'!$BB$2:$BB$600)*($AC$2='Offer Statistics'!$BC$2:$BC$600),0)),"/")</f>
        <v>0</v>
      </c>
      <c r="AJ46" s="538"/>
      <c r="AK46" s="36" cm="1">
        <f t="array" ref="AK46">IFERROR(INDEX('Offer Statistics'!$BI$2:$BI$600,MATCH(1,($A46='Offer Statistics'!$BB$2:$BB$600)*($AC$2='Offer Statistics'!$BC$2:$BC$600),0)),"/")</f>
        <v>1923</v>
      </c>
      <c r="AL46" s="63" cm="1">
        <f t="array" ref="AL46">IFERROR(INDEX('Offer Statistics'!BD$2:BD$600,MATCH(1,($A46='Offer Statistics'!$BB$2:$BB$600)*($AC$2='Offer Statistics'!$BC$2:$BC$600),0)),"/")</f>
        <v>343</v>
      </c>
      <c r="AM46" s="63" cm="1">
        <f t="array" ref="AM46">IFERROR(INDEX('Offer Statistics'!BE$2:BE$600,MATCH(1,($A46='Offer Statistics'!$BB$2:$BB$600)*($AC$2='Offer Statistics'!$BC$2:$BC$600),0)),"/")</f>
        <v>217</v>
      </c>
      <c r="AN46" s="63" cm="1">
        <f t="array" ref="AN46">IFERROR(INDEX('Offer Statistics'!BF$2:BF$600,MATCH(1,($A46='Offer Statistics'!$BB$2:$BB$600)*($AC$2='Offer Statistics'!$BC$2:$BC$600),0)),"/")</f>
        <v>357</v>
      </c>
      <c r="AO46" s="63" cm="1">
        <f t="array" ref="AO46">IFERROR(INDEX('Offer Statistics'!BG$2:BG$600,MATCH(1,($A46='Offer Statistics'!$BB$2:$BB$600)*($AC$2='Offer Statistics'!$BC$2:$BC$600),0)),"/")</f>
        <v>509</v>
      </c>
      <c r="AP46" s="63" cm="1">
        <f t="array" ref="AP46">IFERROR(INDEX('Offer Statistics'!BH$2:BH$600,MATCH(1,($A46='Offer Statistics'!$BB$2:$BB$600)*($AC$2='Offer Statistics'!$BC$2:$BC$600),0)),"/")</f>
        <v>497</v>
      </c>
      <c r="AQ46" s="15"/>
      <c r="AR46" s="15" t="str">
        <f t="shared" si="3"/>
        <v>JS4525</v>
      </c>
    </row>
    <row r="47" spans="1:44" s="10" customFormat="1" ht="18" customHeight="1">
      <c r="A47" s="4" t="str">
        <f>'Reference Score Calculation'!B190</f>
        <v>JS4537</v>
      </c>
      <c r="B47" s="4" t="str">
        <f>'Reference Score Calculation'!D190</f>
        <v>醫學院</v>
      </c>
      <c r="C47" s="4" t="str">
        <f>'Reference Score Calculation'!E190</f>
        <v>公共衞生</v>
      </c>
      <c r="D47" s="4" t="str">
        <f>'Reference Score Calculation'!S190</f>
        <v>PUBLIC HEALTH</v>
      </c>
      <c r="E47" s="352" t="str">
        <f>'Reference Score Calculation'!AC190</f>
        <v>Best 5</v>
      </c>
      <c r="F47" s="354" t="str">
        <f>'Reference Score Calculation'!F190</f>
        <v>Best 5</v>
      </c>
      <c r="G47" s="6">
        <f>'Reference Score Calculation'!H190</f>
        <v>26</v>
      </c>
      <c r="H47" s="6">
        <f>'Reference Score Calculation'!I190</f>
        <v>24</v>
      </c>
      <c r="I47" s="6">
        <f>'Reference Score Calculation'!J190</f>
        <v>23</v>
      </c>
      <c r="J47" s="45">
        <f>計分版!J213</f>
        <v>3.4999999999999999E-9</v>
      </c>
      <c r="K47" s="25">
        <f t="shared" si="0"/>
        <v>-23.999999996500001</v>
      </c>
      <c r="L47" s="26">
        <f t="shared" si="1"/>
        <v>-6857142856.1428576</v>
      </c>
      <c r="M47" s="36">
        <f>'Reference Score Calculation'!U190</f>
        <v>31</v>
      </c>
      <c r="N47" s="84">
        <f>入學要求!Z199</f>
        <v>0</v>
      </c>
      <c r="O47" s="544"/>
      <c r="P47" s="161">
        <f>入學要求!L199</f>
        <v>3</v>
      </c>
      <c r="Q47" s="161">
        <f>入學要求!M199</f>
        <v>3</v>
      </c>
      <c r="R47" s="161">
        <f>入學要求!N199</f>
        <v>2</v>
      </c>
      <c r="S47" s="161">
        <f>入學要求!O199</f>
        <v>1</v>
      </c>
      <c r="T47" s="161">
        <f>入學要求!P199</f>
        <v>3</v>
      </c>
      <c r="U47" s="161">
        <f>入學要求!Q199</f>
        <v>3</v>
      </c>
      <c r="V47" s="236">
        <f>入學要求!S199</f>
        <v>0</v>
      </c>
      <c r="W47" s="236">
        <f>入學要求!T199</f>
        <v>0</v>
      </c>
      <c r="X47" s="236">
        <f>入學要求!U199</f>
        <v>0</v>
      </c>
      <c r="Y47" s="236">
        <f>入學要求!V199</f>
        <v>0</v>
      </c>
      <c r="Z47" s="236">
        <f>入學要求!W199</f>
        <v>0</v>
      </c>
      <c r="AA47" s="236">
        <f>入學要求!X199</f>
        <v>0</v>
      </c>
      <c r="AB47" s="36">
        <f t="shared" si="2"/>
        <v>6.27</v>
      </c>
      <c r="AC47" s="537"/>
      <c r="AD47" s="36" cm="1">
        <f t="array" ref="AD47">IFERROR(INDEX('Offer Statistics'!$BQ$2:$BQ$600,MATCH(1,($A47='Offer Statistics'!$BB$2:$BB$600)*($AC$2='Offer Statistics'!$BC$2:$BC$600),0)),"/")</f>
        <v>15</v>
      </c>
      <c r="AE47" s="63" cm="1">
        <f t="array" ref="AE47">IFERROR(INDEX('Offer Statistics'!BL$2:BL$600,MATCH(1,($A47='Offer Statistics'!$BB$2:$BB$600)*($AC$2='Offer Statistics'!$BC$2:$BC$600),0)),"/")</f>
        <v>15</v>
      </c>
      <c r="AF47" s="63" cm="1">
        <f t="array" ref="AF47">IFERROR(INDEX('Offer Statistics'!BM$2:BM$600,MATCH(1,($A47='Offer Statistics'!$BB$2:$BB$600)*($AC$2='Offer Statistics'!$BC$2:$BC$600),0)),"/")</f>
        <v>0</v>
      </c>
      <c r="AG47" s="63" cm="1">
        <f t="array" ref="AG47">IFERROR(INDEX('Offer Statistics'!BN$2:BN$600,MATCH(1,($A47='Offer Statistics'!$BB$2:$BB$600)*($AC$2='Offer Statistics'!$BC$2:$BC$600),0)),"/")</f>
        <v>0</v>
      </c>
      <c r="AH47" s="63" cm="1">
        <f t="array" ref="AH47">IFERROR(INDEX('Offer Statistics'!BO$2:BO$600,MATCH(1,($A47='Offer Statistics'!$BB$2:$BB$600)*($AC$2='Offer Statistics'!$BC$2:$BC$600),0)),"/")</f>
        <v>0</v>
      </c>
      <c r="AI47" s="63" cm="1">
        <f t="array" ref="AI47">IFERROR(INDEX('Offer Statistics'!BP$2:BP$600,MATCH(1,($A47='Offer Statistics'!$BB$2:$BB$600)*($AC$2='Offer Statistics'!$BC$2:$BC$600),0)),"/")</f>
        <v>0</v>
      </c>
      <c r="AJ47" s="538"/>
      <c r="AK47" s="36" cm="1">
        <f t="array" ref="AK47">IFERROR(INDEX('Offer Statistics'!$BI$2:$BI$600,MATCH(1,($A47='Offer Statistics'!$BB$2:$BB$600)*($AC$2='Offer Statistics'!$BC$2:$BC$600),0)),"/")</f>
        <v>1866</v>
      </c>
      <c r="AL47" s="63" cm="1">
        <f t="array" ref="AL47">IFERROR(INDEX('Offer Statistics'!BD$2:BD$600,MATCH(1,($A47='Offer Statistics'!$BB$2:$BB$600)*($AC$2='Offer Statistics'!$BC$2:$BC$600),0)),"/")</f>
        <v>94</v>
      </c>
      <c r="AM47" s="63" cm="1">
        <f t="array" ref="AM47">IFERROR(INDEX('Offer Statistics'!BE$2:BE$600,MATCH(1,($A47='Offer Statistics'!$BB$2:$BB$600)*($AC$2='Offer Statistics'!$BC$2:$BC$600),0)),"/")</f>
        <v>195</v>
      </c>
      <c r="AN47" s="63" cm="1">
        <f t="array" ref="AN47">IFERROR(INDEX('Offer Statistics'!BF$2:BF$600,MATCH(1,($A47='Offer Statistics'!$BB$2:$BB$600)*($AC$2='Offer Statistics'!$BC$2:$BC$600),0)),"/")</f>
        <v>370</v>
      </c>
      <c r="AO47" s="63" cm="1">
        <f t="array" ref="AO47">IFERROR(INDEX('Offer Statistics'!BG$2:BG$600,MATCH(1,($A47='Offer Statistics'!$BB$2:$BB$600)*($AC$2='Offer Statistics'!$BC$2:$BC$600),0)),"/")</f>
        <v>641</v>
      </c>
      <c r="AP47" s="63" cm="1">
        <f t="array" ref="AP47">IFERROR(INDEX('Offer Statistics'!BH$2:BH$600,MATCH(1,($A47='Offer Statistics'!$BB$2:$BB$600)*($AC$2='Offer Statistics'!$BC$2:$BC$600),0)),"/")</f>
        <v>566</v>
      </c>
      <c r="AQ47" s="15"/>
      <c r="AR47" s="15" t="str">
        <f t="shared" si="3"/>
        <v>JS4537</v>
      </c>
    </row>
    <row r="48" spans="1:44" ht="18" customHeight="1">
      <c r="A48" s="4" t="str">
        <f>'Reference Score Calculation'!B191</f>
        <v>JS4542</v>
      </c>
      <c r="B48" s="4" t="str">
        <f>'Reference Score Calculation'!D191</f>
        <v>醫學院</v>
      </c>
      <c r="C48" s="4" t="str">
        <f>'Reference Score Calculation'!E191</f>
        <v>中醫學</v>
      </c>
      <c r="D48" s="4" t="str">
        <f>'Reference Score Calculation'!S191</f>
        <v>CHIN MEDICINE</v>
      </c>
      <c r="E48" s="352" t="str">
        <f>'Reference Score Calculation'!AC191</f>
        <v>Best 5</v>
      </c>
      <c r="F48" s="354" t="str">
        <f>'Reference Score Calculation'!F191</f>
        <v>Best 5</v>
      </c>
      <c r="G48" s="6">
        <f>'Reference Score Calculation'!H191</f>
        <v>32</v>
      </c>
      <c r="H48" s="6">
        <f>'Reference Score Calculation'!I191</f>
        <v>29</v>
      </c>
      <c r="I48" s="6">
        <f>'Reference Score Calculation'!J191</f>
        <v>29</v>
      </c>
      <c r="J48" s="45">
        <f>計分版!J214</f>
        <v>3.4999999999999999E-9</v>
      </c>
      <c r="K48" s="25">
        <f t="shared" si="0"/>
        <v>-28.999999996500001</v>
      </c>
      <c r="L48" s="26">
        <f t="shared" si="1"/>
        <v>-8285714284.7142868</v>
      </c>
      <c r="M48" s="36">
        <f>'Reference Score Calculation'!U191</f>
        <v>20</v>
      </c>
      <c r="N48" s="84">
        <f>入學要求!Z200</f>
        <v>0</v>
      </c>
      <c r="O48" s="544"/>
      <c r="P48" s="161">
        <f>入學要求!L200</f>
        <v>3</v>
      </c>
      <c r="Q48" s="161">
        <f>入學要求!M200</f>
        <v>3</v>
      </c>
      <c r="R48" s="161">
        <f>入學要求!N200</f>
        <v>2</v>
      </c>
      <c r="S48" s="161">
        <f>入學要求!O200</f>
        <v>1</v>
      </c>
      <c r="T48" s="161">
        <f>入學要求!P200</f>
        <v>3</v>
      </c>
      <c r="U48" s="161">
        <f>入學要求!Q200</f>
        <v>3</v>
      </c>
      <c r="V48" s="236">
        <f>入學要求!S200</f>
        <v>0</v>
      </c>
      <c r="W48" s="236">
        <f>入學要求!T200</f>
        <v>0</v>
      </c>
      <c r="X48" s="236">
        <f>入學要求!U200</f>
        <v>0</v>
      </c>
      <c r="Y48" s="236">
        <f>入學要求!V200</f>
        <v>0</v>
      </c>
      <c r="Z48" s="236">
        <f>入學要求!W200</f>
        <v>0</v>
      </c>
      <c r="AA48" s="236">
        <f>入學要求!X200</f>
        <v>0</v>
      </c>
      <c r="AB48" s="36">
        <f t="shared" si="2"/>
        <v>8.08</v>
      </c>
      <c r="AC48" s="537"/>
      <c r="AD48" s="36" cm="1">
        <f t="array" ref="AD48">IFERROR(INDEX('Offer Statistics'!$BQ$2:$BQ$600,MATCH(1,($A48='Offer Statistics'!$BB$2:$BB$600)*($AC$2='Offer Statistics'!$BC$2:$BC$600),0)),"/")</f>
        <v>25</v>
      </c>
      <c r="AE48" s="63" cm="1">
        <f t="array" ref="AE48">IFERROR(INDEX('Offer Statistics'!BL$2:BL$600,MATCH(1,($A48='Offer Statistics'!$BB$2:$BB$600)*($AC$2='Offer Statistics'!$BC$2:$BC$600),0)),"/")</f>
        <v>25</v>
      </c>
      <c r="AF48" s="63" cm="1">
        <f t="array" ref="AF48">IFERROR(INDEX('Offer Statistics'!BM$2:BM$600,MATCH(1,($A48='Offer Statistics'!$BB$2:$BB$600)*($AC$2='Offer Statistics'!$BC$2:$BC$600),0)),"/")</f>
        <v>0</v>
      </c>
      <c r="AG48" s="63" cm="1">
        <f t="array" ref="AG48">IFERROR(INDEX('Offer Statistics'!BN$2:BN$600,MATCH(1,($A48='Offer Statistics'!$BB$2:$BB$600)*($AC$2='Offer Statistics'!$BC$2:$BC$600),0)),"/")</f>
        <v>0</v>
      </c>
      <c r="AH48" s="63" cm="1">
        <f t="array" ref="AH48">IFERROR(INDEX('Offer Statistics'!BO$2:BO$600,MATCH(1,($A48='Offer Statistics'!$BB$2:$BB$600)*($AC$2='Offer Statistics'!$BC$2:$BC$600),0)),"/")</f>
        <v>0</v>
      </c>
      <c r="AI48" s="63" cm="1">
        <f t="array" ref="AI48">IFERROR(INDEX('Offer Statistics'!BP$2:BP$600,MATCH(1,($A48='Offer Statistics'!$BB$2:$BB$600)*($AC$2='Offer Statistics'!$BC$2:$BC$600),0)),"/")</f>
        <v>0</v>
      </c>
      <c r="AJ48" s="538"/>
      <c r="AK48" s="36" cm="1">
        <f t="array" ref="AK48">IFERROR(INDEX('Offer Statistics'!$BI$2:$BI$600,MATCH(1,($A48='Offer Statistics'!$BB$2:$BB$600)*($AC$2='Offer Statistics'!$BC$2:$BC$600),0)),"/")</f>
        <v>1637</v>
      </c>
      <c r="AL48" s="63" cm="1">
        <f t="array" ref="AL48">IFERROR(INDEX('Offer Statistics'!BD$2:BD$600,MATCH(1,($A48='Offer Statistics'!$BB$2:$BB$600)*($AC$2='Offer Statistics'!$BC$2:$BC$600),0)),"/")</f>
        <v>202</v>
      </c>
      <c r="AM48" s="63" cm="1">
        <f t="array" ref="AM48">IFERROR(INDEX('Offer Statistics'!BE$2:BE$600,MATCH(1,($A48='Offer Statistics'!$BB$2:$BB$600)*($AC$2='Offer Statistics'!$BC$2:$BC$600),0)),"/")</f>
        <v>172</v>
      </c>
      <c r="AN48" s="63" cm="1">
        <f t="array" ref="AN48">IFERROR(INDEX('Offer Statistics'!BF$2:BF$600,MATCH(1,($A48='Offer Statistics'!$BB$2:$BB$600)*($AC$2='Offer Statistics'!$BC$2:$BC$600),0)),"/")</f>
        <v>332</v>
      </c>
      <c r="AO48" s="63" cm="1">
        <f t="array" ref="AO48">IFERROR(INDEX('Offer Statistics'!BG$2:BG$600,MATCH(1,($A48='Offer Statistics'!$BB$2:$BB$600)*($AC$2='Offer Statistics'!$BC$2:$BC$600),0)),"/")</f>
        <v>463</v>
      </c>
      <c r="AP48" s="63" cm="1">
        <f t="array" ref="AP48">IFERROR(INDEX('Offer Statistics'!BH$2:BH$600,MATCH(1,($A48='Offer Statistics'!$BB$2:$BB$600)*($AC$2='Offer Statistics'!$BC$2:$BC$600),0)),"/")</f>
        <v>468</v>
      </c>
      <c r="AQ48" s="15"/>
      <c r="AR48" s="15" t="str">
        <f t="shared" si="3"/>
        <v>JS4542</v>
      </c>
    </row>
    <row r="49" spans="1:44" s="10" customFormat="1" ht="18" customHeight="1">
      <c r="A49" s="4" t="str">
        <f>'Reference Score Calculation'!B192</f>
        <v>JS4550</v>
      </c>
      <c r="B49" s="4" t="str">
        <f>'Reference Score Calculation'!D192</f>
        <v>醫學院</v>
      </c>
      <c r="C49" s="4" t="str">
        <f>'Reference Score Calculation'!E192</f>
        <v>生物醫學</v>
      </c>
      <c r="D49" s="4" t="str">
        <f>'Reference Score Calculation'!S192</f>
        <v>BIOMEDICAL SCIENCES</v>
      </c>
      <c r="E49" s="352" t="str">
        <f>'Reference Score Calculation'!AC192</f>
        <v>3C2X</v>
      </c>
      <c r="F49" s="354" t="str">
        <f>'Reference Score Calculation'!F192</f>
        <v>3C2X</v>
      </c>
      <c r="G49" s="6">
        <f>'Reference Score Calculation'!H192</f>
        <v>39.75</v>
      </c>
      <c r="H49" s="6">
        <f>'Reference Score Calculation'!I192</f>
        <v>38</v>
      </c>
      <c r="I49" s="6">
        <f>'Reference Score Calculation'!J192</f>
        <v>38</v>
      </c>
      <c r="J49" s="45">
        <f>計分版!J215</f>
        <v>2.1999999999999998E-9</v>
      </c>
      <c r="K49" s="25">
        <f t="shared" si="0"/>
        <v>-37.999999997800003</v>
      </c>
      <c r="L49" s="26">
        <f t="shared" si="1"/>
        <v>-17272727271.727276</v>
      </c>
      <c r="M49" s="36">
        <f>'Reference Score Calculation'!U192</f>
        <v>19</v>
      </c>
      <c r="N49" s="84">
        <f>入學要求!Z201</f>
        <v>0</v>
      </c>
      <c r="O49" s="544"/>
      <c r="P49" s="161">
        <f>入學要求!L201</f>
        <v>3</v>
      </c>
      <c r="Q49" s="161">
        <f>入學要求!M201</f>
        <v>3</v>
      </c>
      <c r="R49" s="161">
        <f>入學要求!N201</f>
        <v>3</v>
      </c>
      <c r="S49" s="161">
        <f>入學要求!O201</f>
        <v>1</v>
      </c>
      <c r="T49" s="161">
        <f>入學要求!P201</f>
        <v>3</v>
      </c>
      <c r="U49" s="161">
        <f>入學要求!Q201</f>
        <v>3</v>
      </c>
      <c r="V49" s="236">
        <f>入學要求!S201</f>
        <v>0</v>
      </c>
      <c r="W49" s="236">
        <f>入學要求!T201</f>
        <v>0</v>
      </c>
      <c r="X49" s="236">
        <f>入學要求!U201</f>
        <v>0</v>
      </c>
      <c r="Y49" s="236">
        <f>入學要求!V201</f>
        <v>0</v>
      </c>
      <c r="Z49" s="236">
        <f>入學要求!W201</f>
        <v>0</v>
      </c>
      <c r="AA49" s="236">
        <f>入學要求!X201</f>
        <v>0</v>
      </c>
      <c r="AB49" s="36">
        <f t="shared" si="2"/>
        <v>9.7100000000000009</v>
      </c>
      <c r="AC49" s="537"/>
      <c r="AD49" s="36" cm="1">
        <f t="array" ref="AD49">IFERROR(INDEX('Offer Statistics'!$BQ$2:$BQ$600,MATCH(1,($A49='Offer Statistics'!$BB$2:$BB$600)*($AC$2='Offer Statistics'!$BC$2:$BC$600),0)),"/")</f>
        <v>17</v>
      </c>
      <c r="AE49" s="63" cm="1">
        <f t="array" ref="AE49">IFERROR(INDEX('Offer Statistics'!BL$2:BL$600,MATCH(1,($A49='Offer Statistics'!$BB$2:$BB$600)*($AC$2='Offer Statistics'!$BC$2:$BC$600),0)),"/")</f>
        <v>17</v>
      </c>
      <c r="AF49" s="63" cm="1">
        <f t="array" ref="AF49">IFERROR(INDEX('Offer Statistics'!BM$2:BM$600,MATCH(1,($A49='Offer Statistics'!$BB$2:$BB$600)*($AC$2='Offer Statistics'!$BC$2:$BC$600),0)),"/")</f>
        <v>0</v>
      </c>
      <c r="AG49" s="63" cm="1">
        <f t="array" ref="AG49">IFERROR(INDEX('Offer Statistics'!BN$2:BN$600,MATCH(1,($A49='Offer Statistics'!$BB$2:$BB$600)*($AC$2='Offer Statistics'!$BC$2:$BC$600),0)),"/")</f>
        <v>0</v>
      </c>
      <c r="AH49" s="63" cm="1">
        <f t="array" ref="AH49">IFERROR(INDEX('Offer Statistics'!BO$2:BO$600,MATCH(1,($A49='Offer Statistics'!$BB$2:$BB$600)*($AC$2='Offer Statistics'!$BC$2:$BC$600),0)),"/")</f>
        <v>0</v>
      </c>
      <c r="AI49" s="63" cm="1">
        <f t="array" ref="AI49">IFERROR(INDEX('Offer Statistics'!BP$2:BP$600,MATCH(1,($A49='Offer Statistics'!$BB$2:$BB$600)*($AC$2='Offer Statistics'!$BC$2:$BC$600),0)),"/")</f>
        <v>0</v>
      </c>
      <c r="AJ49" s="538"/>
      <c r="AK49" s="36" cm="1">
        <f t="array" ref="AK49">IFERROR(INDEX('Offer Statistics'!$BI$2:$BI$600,MATCH(1,($A49='Offer Statistics'!$BB$2:$BB$600)*($AC$2='Offer Statistics'!$BC$2:$BC$600),0)),"/")</f>
        <v>1678</v>
      </c>
      <c r="AL49" s="63" cm="1">
        <f t="array" ref="AL49">IFERROR(INDEX('Offer Statistics'!BD$2:BD$600,MATCH(1,($A49='Offer Statistics'!$BB$2:$BB$600)*($AC$2='Offer Statistics'!$BC$2:$BC$600),0)),"/")</f>
        <v>165</v>
      </c>
      <c r="AM49" s="63" cm="1">
        <f t="array" ref="AM49">IFERROR(INDEX('Offer Statistics'!BE$2:BE$600,MATCH(1,($A49='Offer Statistics'!$BB$2:$BB$600)*($AC$2='Offer Statistics'!$BC$2:$BC$600),0)),"/")</f>
        <v>195</v>
      </c>
      <c r="AN49" s="63" cm="1">
        <f t="array" ref="AN49">IFERROR(INDEX('Offer Statistics'!BF$2:BF$600,MATCH(1,($A49='Offer Statistics'!$BB$2:$BB$600)*($AC$2='Offer Statistics'!$BC$2:$BC$600),0)),"/")</f>
        <v>360</v>
      </c>
      <c r="AO49" s="63" cm="1">
        <f t="array" ref="AO49">IFERROR(INDEX('Offer Statistics'!BG$2:BG$600,MATCH(1,($A49='Offer Statistics'!$BB$2:$BB$600)*($AC$2='Offer Statistics'!$BC$2:$BC$600),0)),"/")</f>
        <v>506</v>
      </c>
      <c r="AP49" s="63" cm="1">
        <f t="array" ref="AP49">IFERROR(INDEX('Offer Statistics'!BH$2:BH$600,MATCH(1,($A49='Offer Statistics'!$BB$2:$BB$600)*($AC$2='Offer Statistics'!$BC$2:$BC$600),0)),"/")</f>
        <v>452</v>
      </c>
      <c r="AQ49" s="15"/>
      <c r="AR49" s="15" t="str">
        <f t="shared" si="3"/>
        <v>JS4550</v>
      </c>
    </row>
    <row r="50" spans="1:44" ht="18" customHeight="1">
      <c r="A50" s="4" t="str">
        <f>'Reference Score Calculation'!B193</f>
        <v>JS4601</v>
      </c>
      <c r="B50" s="4" t="str">
        <f>'Reference Score Calculation'!D193</f>
        <v>理學院</v>
      </c>
      <c r="C50" s="4" t="str">
        <f>'Reference Score Calculation'!E193</f>
        <v>理學</v>
      </c>
      <c r="D50" s="4" t="str">
        <f>'Reference Score Calculation'!S193</f>
        <v>SCIENCE</v>
      </c>
      <c r="E50" s="352" t="str">
        <f>'Reference Score Calculation'!AC193</f>
        <v>Best 5</v>
      </c>
      <c r="F50" s="354" t="str">
        <f>'Reference Score Calculation'!F193</f>
        <v>Best 5</v>
      </c>
      <c r="G50" s="6">
        <f>'Reference Score Calculation'!H193</f>
        <v>38.25</v>
      </c>
      <c r="H50" s="6">
        <f>'Reference Score Calculation'!I193</f>
        <v>35.5</v>
      </c>
      <c r="I50" s="6">
        <f>'Reference Score Calculation'!J193</f>
        <v>34.25</v>
      </c>
      <c r="J50" s="45">
        <f>計分版!J216</f>
        <v>3.3999999999999998E-9</v>
      </c>
      <c r="K50" s="25">
        <f t="shared" si="0"/>
        <v>-35.499999996600003</v>
      </c>
      <c r="L50" s="26">
        <f t="shared" si="1"/>
        <v>-10441176469.588236</v>
      </c>
      <c r="M50" s="36">
        <f>'Reference Score Calculation'!U193</f>
        <v>352</v>
      </c>
      <c r="N50" s="84">
        <f>入學要求!Z202</f>
        <v>0</v>
      </c>
      <c r="O50" s="544"/>
      <c r="P50" s="161">
        <f>入學要求!L202</f>
        <v>3</v>
      </c>
      <c r="Q50" s="161">
        <f>入學要求!M202</f>
        <v>3</v>
      </c>
      <c r="R50" s="161">
        <f>入學要求!N202</f>
        <v>2</v>
      </c>
      <c r="S50" s="161">
        <f>入學要求!O202</f>
        <v>1</v>
      </c>
      <c r="T50" s="161">
        <f>入學要求!P202</f>
        <v>3</v>
      </c>
      <c r="U50" s="161">
        <f>入學要求!Q202</f>
        <v>3</v>
      </c>
      <c r="V50" s="236">
        <f>入學要求!S202</f>
        <v>0</v>
      </c>
      <c r="W50" s="236">
        <f>入學要求!T202</f>
        <v>0</v>
      </c>
      <c r="X50" s="236">
        <f>入學要求!U202</f>
        <v>0</v>
      </c>
      <c r="Y50" s="236">
        <f>入學要求!V202</f>
        <v>0</v>
      </c>
      <c r="Z50" s="236">
        <f>入學要求!W202</f>
        <v>0</v>
      </c>
      <c r="AA50" s="236">
        <f>入學要求!X202</f>
        <v>0</v>
      </c>
      <c r="AB50" s="36">
        <f t="shared" si="2"/>
        <v>3.96</v>
      </c>
      <c r="AC50" s="537"/>
      <c r="AD50" s="36" cm="1">
        <f t="array" ref="AD50">IFERROR(INDEX('Offer Statistics'!$BQ$2:$BQ$600,MATCH(1,($A50='Offer Statistics'!$BB$2:$BB$600)*($AC$2='Offer Statistics'!$BC$2:$BC$600),0)),"/")</f>
        <v>361</v>
      </c>
      <c r="AE50" s="63" cm="1">
        <f t="array" ref="AE50">IFERROR(INDEX('Offer Statistics'!BL$2:BL$600,MATCH(1,($A50='Offer Statistics'!$BB$2:$BB$600)*($AC$2='Offer Statistics'!$BC$2:$BC$600),0)),"/")</f>
        <v>361</v>
      </c>
      <c r="AF50" s="63" cm="1">
        <f t="array" ref="AF50">IFERROR(INDEX('Offer Statistics'!BM$2:BM$600,MATCH(1,($A50='Offer Statistics'!$BB$2:$BB$600)*($AC$2='Offer Statistics'!$BC$2:$BC$600),0)),"/")</f>
        <v>0</v>
      </c>
      <c r="AG50" s="63" cm="1">
        <f t="array" ref="AG50">IFERROR(INDEX('Offer Statistics'!BN$2:BN$600,MATCH(1,($A50='Offer Statistics'!$BB$2:$BB$600)*($AC$2='Offer Statistics'!$BC$2:$BC$600),0)),"/")</f>
        <v>0</v>
      </c>
      <c r="AH50" s="63" cm="1">
        <f t="array" ref="AH50">IFERROR(INDEX('Offer Statistics'!BO$2:BO$600,MATCH(1,($A50='Offer Statistics'!$BB$2:$BB$600)*($AC$2='Offer Statistics'!$BC$2:$BC$600),0)),"/")</f>
        <v>0</v>
      </c>
      <c r="AI50" s="63" cm="1">
        <f t="array" ref="AI50">IFERROR(INDEX('Offer Statistics'!BP$2:BP$600,MATCH(1,($A50='Offer Statistics'!$BB$2:$BB$600)*($AC$2='Offer Statistics'!$BC$2:$BC$600),0)),"/")</f>
        <v>0</v>
      </c>
      <c r="AJ50" s="538"/>
      <c r="AK50" s="36" cm="1">
        <f t="array" ref="AK50">IFERROR(INDEX('Offer Statistics'!$BI$2:$BI$600,MATCH(1,($A50='Offer Statistics'!$BB$2:$BB$600)*($AC$2='Offer Statistics'!$BC$2:$BC$600),0)),"/")</f>
        <v>5257</v>
      </c>
      <c r="AL50" s="63" cm="1">
        <f t="array" ref="AL50">IFERROR(INDEX('Offer Statistics'!BD$2:BD$600,MATCH(1,($A50='Offer Statistics'!$BB$2:$BB$600)*($AC$2='Offer Statistics'!$BC$2:$BC$600),0)),"/")</f>
        <v>1428</v>
      </c>
      <c r="AM50" s="63" cm="1">
        <f t="array" ref="AM50">IFERROR(INDEX('Offer Statistics'!BE$2:BE$600,MATCH(1,($A50='Offer Statistics'!$BB$2:$BB$600)*($AC$2='Offer Statistics'!$BC$2:$BC$600),0)),"/")</f>
        <v>1069</v>
      </c>
      <c r="AN50" s="63" cm="1">
        <f t="array" ref="AN50">IFERROR(INDEX('Offer Statistics'!BF$2:BF$600,MATCH(1,($A50='Offer Statistics'!$BB$2:$BB$600)*($AC$2='Offer Statistics'!$BC$2:$BC$600),0)),"/")</f>
        <v>1030</v>
      </c>
      <c r="AO50" s="63" cm="1">
        <f t="array" ref="AO50">IFERROR(INDEX('Offer Statistics'!BG$2:BG$600,MATCH(1,($A50='Offer Statistics'!$BB$2:$BB$600)*($AC$2='Offer Statistics'!$BC$2:$BC$600),0)),"/")</f>
        <v>1018</v>
      </c>
      <c r="AP50" s="63" cm="1">
        <f t="array" ref="AP50">IFERROR(INDEX('Offer Statistics'!BH$2:BH$600,MATCH(1,($A50='Offer Statistics'!$BB$2:$BB$600)*($AC$2='Offer Statistics'!$BC$2:$BC$600),0)),"/")</f>
        <v>712</v>
      </c>
      <c r="AQ50" s="15"/>
      <c r="AR50" s="15" t="str">
        <f t="shared" si="3"/>
        <v>JS4601</v>
      </c>
    </row>
    <row r="51" spans="1:44" s="10" customFormat="1" ht="18" customHeight="1">
      <c r="A51" s="4" t="str">
        <f>'Reference Score Calculation'!B194</f>
        <v>JS4648</v>
      </c>
      <c r="B51" s="4" t="str">
        <f>'Reference Score Calculation'!D194</f>
        <v>理學院</v>
      </c>
      <c r="C51" s="4" t="str">
        <f>'Reference Score Calculation'!E194</f>
        <v>地球與環境科學</v>
      </c>
      <c r="D51" s="4" t="str">
        <f>'Reference Score Calculation'!S194</f>
        <v>EESC</v>
      </c>
      <c r="E51" s="352" t="str">
        <f>'Reference Score Calculation'!AC194</f>
        <v>Best 5</v>
      </c>
      <c r="F51" s="354" t="str">
        <f>'Reference Score Calculation'!F194</f>
        <v>Best 5</v>
      </c>
      <c r="G51" s="6">
        <f>'Reference Score Calculation'!H194</f>
        <v>51.5</v>
      </c>
      <c r="H51" s="6">
        <f>'Reference Score Calculation'!I194</f>
        <v>45.25</v>
      </c>
      <c r="I51" s="6">
        <f>'Reference Score Calculation'!J194</f>
        <v>43.25</v>
      </c>
      <c r="J51" s="45">
        <f>計分版!J217</f>
        <v>3.3999999999999998E-9</v>
      </c>
      <c r="K51" s="25">
        <f t="shared" si="0"/>
        <v>-45.249999996600003</v>
      </c>
      <c r="L51" s="26">
        <f t="shared" si="1"/>
        <v>-13308823528.411766</v>
      </c>
      <c r="M51" s="36">
        <f>'Reference Score Calculation'!U194</f>
        <v>35</v>
      </c>
      <c r="N51" s="84">
        <f>入學要求!Z203</f>
        <v>0</v>
      </c>
      <c r="O51" s="544"/>
      <c r="P51" s="161">
        <f>入學要求!L203</f>
        <v>3</v>
      </c>
      <c r="Q51" s="161">
        <f>入學要求!M203</f>
        <v>3</v>
      </c>
      <c r="R51" s="161">
        <f>入學要求!N203</f>
        <v>3</v>
      </c>
      <c r="S51" s="161">
        <f>入學要求!O203</f>
        <v>1</v>
      </c>
      <c r="T51" s="161">
        <f>入學要求!P203</f>
        <v>4</v>
      </c>
      <c r="U51" s="161">
        <f>入學要求!Q203</f>
        <v>3</v>
      </c>
      <c r="V51" s="236">
        <f>入學要求!S203</f>
        <v>0</v>
      </c>
      <c r="W51" s="236">
        <f>入學要求!T203</f>
        <v>0</v>
      </c>
      <c r="X51" s="236">
        <f>入學要求!U203</f>
        <v>0</v>
      </c>
      <c r="Y51" s="236">
        <f>入學要求!V203</f>
        <v>0</v>
      </c>
      <c r="Z51" s="236">
        <f>入學要求!W203</f>
        <v>0</v>
      </c>
      <c r="AA51" s="236">
        <f>入學要求!X203</f>
        <v>0</v>
      </c>
      <c r="AB51" s="36">
        <f t="shared" si="2"/>
        <v>4.8</v>
      </c>
      <c r="AC51" s="537"/>
      <c r="AD51" s="36" cm="1">
        <f t="array" ref="AD51">IFERROR(INDEX('Offer Statistics'!$BQ$2:$BQ$600,MATCH(1,($A51='Offer Statistics'!$BB$2:$BB$600)*($AC$2='Offer Statistics'!$BC$2:$BC$600),0)),"/")</f>
        <v>35</v>
      </c>
      <c r="AE51" s="63" cm="1">
        <f t="array" ref="AE51">IFERROR(INDEX('Offer Statistics'!BL$2:BL$600,MATCH(1,($A51='Offer Statistics'!$BB$2:$BB$600)*($AC$2='Offer Statistics'!$BC$2:$BC$600),0)),"/")</f>
        <v>35</v>
      </c>
      <c r="AF51" s="63" cm="1">
        <f t="array" ref="AF51">IFERROR(INDEX('Offer Statistics'!BM$2:BM$600,MATCH(1,($A51='Offer Statistics'!$BB$2:$BB$600)*($AC$2='Offer Statistics'!$BC$2:$BC$600),0)),"/")</f>
        <v>0</v>
      </c>
      <c r="AG51" s="63" cm="1">
        <f t="array" ref="AG51">IFERROR(INDEX('Offer Statistics'!BN$2:BN$600,MATCH(1,($A51='Offer Statistics'!$BB$2:$BB$600)*($AC$2='Offer Statistics'!$BC$2:$BC$600),0)),"/")</f>
        <v>0</v>
      </c>
      <c r="AH51" s="63" cm="1">
        <f t="array" ref="AH51">IFERROR(INDEX('Offer Statistics'!BO$2:BO$600,MATCH(1,($A51='Offer Statistics'!$BB$2:$BB$600)*($AC$2='Offer Statistics'!$BC$2:$BC$600),0)),"/")</f>
        <v>0</v>
      </c>
      <c r="AI51" s="63" cm="1">
        <f t="array" ref="AI51">IFERROR(INDEX('Offer Statistics'!BP$2:BP$600,MATCH(1,($A51='Offer Statistics'!$BB$2:$BB$600)*($AC$2='Offer Statistics'!$BC$2:$BC$600),0)),"/")</f>
        <v>0</v>
      </c>
      <c r="AJ51" s="538"/>
      <c r="AK51" s="36" cm="1">
        <f t="array" ref="AK51">IFERROR(INDEX('Offer Statistics'!$BI$2:$BI$600,MATCH(1,($A51='Offer Statistics'!$BB$2:$BB$600)*($AC$2='Offer Statistics'!$BC$2:$BC$600),0)),"/")</f>
        <v>1352</v>
      </c>
      <c r="AL51" s="63" cm="1">
        <f t="array" ref="AL51">IFERROR(INDEX('Offer Statistics'!BD$2:BD$600,MATCH(1,($A51='Offer Statistics'!$BB$2:$BB$600)*($AC$2='Offer Statistics'!$BC$2:$BC$600),0)),"/")</f>
        <v>168</v>
      </c>
      <c r="AM51" s="63" cm="1">
        <f t="array" ref="AM51">IFERROR(INDEX('Offer Statistics'!BE$2:BE$600,MATCH(1,($A51='Offer Statistics'!$BB$2:$BB$600)*($AC$2='Offer Statistics'!$BC$2:$BC$600),0)),"/")</f>
        <v>162</v>
      </c>
      <c r="AN51" s="63" cm="1">
        <f t="array" ref="AN51">IFERROR(INDEX('Offer Statistics'!BF$2:BF$600,MATCH(1,($A51='Offer Statistics'!$BB$2:$BB$600)*($AC$2='Offer Statistics'!$BC$2:$BC$600),0)),"/")</f>
        <v>289</v>
      </c>
      <c r="AO51" s="63" cm="1">
        <f t="array" ref="AO51">IFERROR(INDEX('Offer Statistics'!BG$2:BG$600,MATCH(1,($A51='Offer Statistics'!$BB$2:$BB$600)*($AC$2='Offer Statistics'!$BC$2:$BC$600),0)),"/")</f>
        <v>370</v>
      </c>
      <c r="AP51" s="63" cm="1">
        <f t="array" ref="AP51">IFERROR(INDEX('Offer Statistics'!BH$2:BH$600,MATCH(1,($A51='Offer Statistics'!$BB$2:$BB$600)*($AC$2='Offer Statistics'!$BC$2:$BC$600),0)),"/")</f>
        <v>363</v>
      </c>
      <c r="AQ51" s="15"/>
      <c r="AR51" s="15" t="str">
        <f t="shared" si="3"/>
        <v>JS4648</v>
      </c>
    </row>
    <row r="52" spans="1:44" ht="18" customHeight="1">
      <c r="A52" s="4" t="str">
        <f>'Reference Score Calculation'!B195</f>
        <v>JS4682</v>
      </c>
      <c r="B52" s="4" t="str">
        <f>'Reference Score Calculation'!D195</f>
        <v>理學院</v>
      </c>
      <c r="C52" s="4" t="str">
        <f>'Reference Score Calculation'!E195</f>
        <v>數學精研</v>
      </c>
      <c r="D52" s="4" t="str">
        <f>'Reference Score Calculation'!S195</f>
        <v>ENRICHMENT MATHEMATICS</v>
      </c>
      <c r="E52" s="352" t="str">
        <f>'Reference Score Calculation'!AC195</f>
        <v>Best 5</v>
      </c>
      <c r="F52" s="354" t="str">
        <f>'Reference Score Calculation'!F195</f>
        <v>Best 5</v>
      </c>
      <c r="G52" s="6">
        <f>'Reference Score Calculation'!H195</f>
        <v>57.75</v>
      </c>
      <c r="H52" s="6">
        <f>'Reference Score Calculation'!I195</f>
        <v>52.5</v>
      </c>
      <c r="I52" s="6">
        <f>'Reference Score Calculation'!J195</f>
        <v>49.5</v>
      </c>
      <c r="J52" s="45">
        <f>計分版!J218</f>
        <v>4.7500000000000003E-9</v>
      </c>
      <c r="K52" s="25">
        <f t="shared" si="0"/>
        <v>-52.49999999525</v>
      </c>
      <c r="L52" s="26">
        <f t="shared" si="1"/>
        <v>-11052631577.947369</v>
      </c>
      <c r="M52" s="36">
        <f>'Reference Score Calculation'!U195</f>
        <v>35</v>
      </c>
      <c r="N52" s="84">
        <f>入學要求!Z204</f>
        <v>0</v>
      </c>
      <c r="O52" s="544"/>
      <c r="P52" s="161">
        <f>入學要求!L204</f>
        <v>3</v>
      </c>
      <c r="Q52" s="161">
        <f>入學要求!M204</f>
        <v>3</v>
      </c>
      <c r="R52" s="161">
        <f>入學要求!N204</f>
        <v>4</v>
      </c>
      <c r="S52" s="161">
        <f>入學要求!O204</f>
        <v>1</v>
      </c>
      <c r="T52" s="161">
        <f>入學要求!P204</f>
        <v>3</v>
      </c>
      <c r="U52" s="161">
        <f>入學要求!Q204</f>
        <v>4</v>
      </c>
      <c r="V52" s="236">
        <f>入學要求!S204</f>
        <v>0</v>
      </c>
      <c r="W52" s="236">
        <f>入學要求!T204</f>
        <v>0</v>
      </c>
      <c r="X52" s="236">
        <f>入學要求!U204</f>
        <v>0</v>
      </c>
      <c r="Y52" s="236">
        <f>入學要求!V204</f>
        <v>0</v>
      </c>
      <c r="Z52" s="236">
        <f>入學要求!W204</f>
        <v>0</v>
      </c>
      <c r="AA52" s="236">
        <f>入學要求!X204</f>
        <v>0</v>
      </c>
      <c r="AB52" s="36">
        <f t="shared" si="2"/>
        <v>3.79</v>
      </c>
      <c r="AC52" s="537"/>
      <c r="AD52" s="36" cm="1">
        <f t="array" ref="AD52">IFERROR(INDEX('Offer Statistics'!$BQ$2:$BQ$600,MATCH(1,($A52='Offer Statistics'!$BB$2:$BB$600)*($AC$2='Offer Statistics'!$BC$2:$BC$600),0)),"/")</f>
        <v>38</v>
      </c>
      <c r="AE52" s="63" cm="1">
        <f t="array" ref="AE52">IFERROR(INDEX('Offer Statistics'!BL$2:BL$600,MATCH(1,($A52='Offer Statistics'!$BB$2:$BB$600)*($AC$2='Offer Statistics'!$BC$2:$BC$600),0)),"/")</f>
        <v>38</v>
      </c>
      <c r="AF52" s="63" cm="1">
        <f t="array" ref="AF52">IFERROR(INDEX('Offer Statistics'!BM$2:BM$600,MATCH(1,($A52='Offer Statistics'!$BB$2:$BB$600)*($AC$2='Offer Statistics'!$BC$2:$BC$600),0)),"/")</f>
        <v>0</v>
      </c>
      <c r="AG52" s="63" cm="1">
        <f t="array" ref="AG52">IFERROR(INDEX('Offer Statistics'!BN$2:BN$600,MATCH(1,($A52='Offer Statistics'!$BB$2:$BB$600)*($AC$2='Offer Statistics'!$BC$2:$BC$600),0)),"/")</f>
        <v>0</v>
      </c>
      <c r="AH52" s="63" cm="1">
        <f t="array" ref="AH52">IFERROR(INDEX('Offer Statistics'!BO$2:BO$600,MATCH(1,($A52='Offer Statistics'!$BB$2:$BB$600)*($AC$2='Offer Statistics'!$BC$2:$BC$600),0)),"/")</f>
        <v>0</v>
      </c>
      <c r="AI52" s="63" cm="1">
        <f t="array" ref="AI52">IFERROR(INDEX('Offer Statistics'!BP$2:BP$600,MATCH(1,($A52='Offer Statistics'!$BB$2:$BB$600)*($AC$2='Offer Statistics'!$BC$2:$BC$600),0)),"/")</f>
        <v>0</v>
      </c>
      <c r="AJ52" s="538"/>
      <c r="AK52" s="36" cm="1">
        <f t="array" ref="AK52">IFERROR(INDEX('Offer Statistics'!$BI$2:$BI$600,MATCH(1,($A52='Offer Statistics'!$BB$2:$BB$600)*($AC$2='Offer Statistics'!$BC$2:$BC$600),0)),"/")</f>
        <v>713</v>
      </c>
      <c r="AL52" s="63" cm="1">
        <f t="array" ref="AL52">IFERROR(INDEX('Offer Statistics'!BD$2:BD$600,MATCH(1,($A52='Offer Statistics'!$BB$2:$BB$600)*($AC$2='Offer Statistics'!$BC$2:$BC$600),0)),"/")</f>
        <v>144</v>
      </c>
      <c r="AM52" s="63" cm="1">
        <f t="array" ref="AM52">IFERROR(INDEX('Offer Statistics'!BE$2:BE$600,MATCH(1,($A52='Offer Statistics'!$BB$2:$BB$600)*($AC$2='Offer Statistics'!$BC$2:$BC$600),0)),"/")</f>
        <v>100</v>
      </c>
      <c r="AN52" s="63" cm="1">
        <f t="array" ref="AN52">IFERROR(INDEX('Offer Statistics'!BF$2:BF$600,MATCH(1,($A52='Offer Statistics'!$BB$2:$BB$600)*($AC$2='Offer Statistics'!$BC$2:$BC$600),0)),"/")</f>
        <v>154</v>
      </c>
      <c r="AO52" s="63" cm="1">
        <f t="array" ref="AO52">IFERROR(INDEX('Offer Statistics'!BG$2:BG$600,MATCH(1,($A52='Offer Statistics'!$BB$2:$BB$600)*($AC$2='Offer Statistics'!$BC$2:$BC$600),0)),"/")</f>
        <v>159</v>
      </c>
      <c r="AP52" s="63" cm="1">
        <f t="array" ref="AP52">IFERROR(INDEX('Offer Statistics'!BH$2:BH$600,MATCH(1,($A52='Offer Statistics'!$BB$2:$BB$600)*($AC$2='Offer Statistics'!$BC$2:$BC$600),0)),"/")</f>
        <v>156</v>
      </c>
      <c r="AQ52" s="15"/>
      <c r="AR52" s="15" t="str">
        <f t="shared" si="3"/>
        <v>JS4682</v>
      </c>
    </row>
    <row r="53" spans="1:44" s="10" customFormat="1" ht="18" customHeight="1">
      <c r="A53" s="4" t="str">
        <f>'Reference Score Calculation'!B196</f>
        <v>JS4690</v>
      </c>
      <c r="B53" s="4" t="str">
        <f>'Reference Score Calculation'!D196</f>
        <v>理學院</v>
      </c>
      <c r="C53" s="4" t="str">
        <f>'Reference Score Calculation'!E196</f>
        <v>理論物理精研</v>
      </c>
      <c r="D53" s="4" t="str">
        <f>'Reference Score Calculation'!S196</f>
        <v>THEORETICAL PHYSICS</v>
      </c>
      <c r="E53" s="352" t="str">
        <f>'Reference Score Calculation'!AC196</f>
        <v>Best 5</v>
      </c>
      <c r="F53" s="354" t="str">
        <f>'Reference Score Calculation'!F196</f>
        <v>Best 5</v>
      </c>
      <c r="G53" s="6">
        <f>'Reference Score Calculation'!H196</f>
        <v>51.25</v>
      </c>
      <c r="H53" s="6">
        <f>'Reference Score Calculation'!I196</f>
        <v>47.5</v>
      </c>
      <c r="I53" s="6">
        <f>'Reference Score Calculation'!J196</f>
        <v>45.25</v>
      </c>
      <c r="J53" s="45">
        <f>計分版!J219</f>
        <v>3.7500000000000005E-9</v>
      </c>
      <c r="K53" s="25">
        <f t="shared" si="0"/>
        <v>-47.499999996249997</v>
      </c>
      <c r="L53" s="26">
        <f t="shared" si="1"/>
        <v>-12666666665.666664</v>
      </c>
      <c r="M53" s="36">
        <f>'Reference Score Calculation'!U196</f>
        <v>20</v>
      </c>
      <c r="N53" s="84">
        <f>入學要求!Z205</f>
        <v>0</v>
      </c>
      <c r="O53" s="544"/>
      <c r="P53" s="161">
        <f>入學要求!L205</f>
        <v>3</v>
      </c>
      <c r="Q53" s="161">
        <f>入學要求!M205</f>
        <v>3</v>
      </c>
      <c r="R53" s="161">
        <f>入學要求!N205</f>
        <v>4</v>
      </c>
      <c r="S53" s="161">
        <f>入學要求!O205</f>
        <v>1</v>
      </c>
      <c r="T53" s="161">
        <f>入學要求!P205</f>
        <v>4</v>
      </c>
      <c r="U53" s="161">
        <f>入學要求!Q205</f>
        <v>3</v>
      </c>
      <c r="V53" s="236">
        <f>入學要求!S205</f>
        <v>0</v>
      </c>
      <c r="W53" s="236">
        <f>入學要求!T205</f>
        <v>0</v>
      </c>
      <c r="X53" s="236">
        <f>入學要求!U205</f>
        <v>0</v>
      </c>
      <c r="Y53" s="236">
        <f>入學要求!V205</f>
        <v>0</v>
      </c>
      <c r="Z53" s="236">
        <f>入學要求!W205</f>
        <v>0</v>
      </c>
      <c r="AA53" s="236">
        <f>入學要求!X205</f>
        <v>0</v>
      </c>
      <c r="AB53" s="36">
        <f t="shared" si="2"/>
        <v>4</v>
      </c>
      <c r="AC53" s="537"/>
      <c r="AD53" s="36" cm="1">
        <f t="array" ref="AD53">IFERROR(INDEX('Offer Statistics'!$BQ$2:$BQ$600,MATCH(1,($A53='Offer Statistics'!$BB$2:$BB$600)*($AC$2='Offer Statistics'!$BC$2:$BC$600),0)),"/")</f>
        <v>19</v>
      </c>
      <c r="AE53" s="63" cm="1">
        <f t="array" ref="AE53">IFERROR(INDEX('Offer Statistics'!BL$2:BL$600,MATCH(1,($A53='Offer Statistics'!$BB$2:$BB$600)*($AC$2='Offer Statistics'!$BC$2:$BC$600),0)),"/")</f>
        <v>18</v>
      </c>
      <c r="AF53" s="63" cm="1">
        <f t="array" ref="AF53">IFERROR(INDEX('Offer Statistics'!BM$2:BM$600,MATCH(1,($A53='Offer Statistics'!$BB$2:$BB$600)*($AC$2='Offer Statistics'!$BC$2:$BC$600),0)),"/")</f>
        <v>1</v>
      </c>
      <c r="AG53" s="63" cm="1">
        <f t="array" ref="AG53">IFERROR(INDEX('Offer Statistics'!BN$2:BN$600,MATCH(1,($A53='Offer Statistics'!$BB$2:$BB$600)*($AC$2='Offer Statistics'!$BC$2:$BC$600),0)),"/")</f>
        <v>0</v>
      </c>
      <c r="AH53" s="63" cm="1">
        <f t="array" ref="AH53">IFERROR(INDEX('Offer Statistics'!BO$2:BO$600,MATCH(1,($A53='Offer Statistics'!$BB$2:$BB$600)*($AC$2='Offer Statistics'!$BC$2:$BC$600),0)),"/")</f>
        <v>0</v>
      </c>
      <c r="AI53" s="63" cm="1">
        <f t="array" ref="AI53">IFERROR(INDEX('Offer Statistics'!BP$2:BP$600,MATCH(1,($A53='Offer Statistics'!$BB$2:$BB$600)*($AC$2='Offer Statistics'!$BC$2:$BC$600),0)),"/")</f>
        <v>0</v>
      </c>
      <c r="AJ53" s="538"/>
      <c r="AK53" s="36" cm="1">
        <f t="array" ref="AK53">IFERROR(INDEX('Offer Statistics'!$BI$2:$BI$600,MATCH(1,($A53='Offer Statistics'!$BB$2:$BB$600)*($AC$2='Offer Statistics'!$BC$2:$BC$600),0)),"/")</f>
        <v>427</v>
      </c>
      <c r="AL53" s="63" cm="1">
        <f t="array" ref="AL53">IFERROR(INDEX('Offer Statistics'!BD$2:BD$600,MATCH(1,($A53='Offer Statistics'!$BB$2:$BB$600)*($AC$2='Offer Statistics'!$BC$2:$BC$600),0)),"/")</f>
        <v>72</v>
      </c>
      <c r="AM53" s="63" cm="1">
        <f t="array" ref="AM53">IFERROR(INDEX('Offer Statistics'!BE$2:BE$600,MATCH(1,($A53='Offer Statistics'!$BB$2:$BB$600)*($AC$2='Offer Statistics'!$BC$2:$BC$600),0)),"/")</f>
        <v>47</v>
      </c>
      <c r="AN53" s="63" cm="1">
        <f t="array" ref="AN53">IFERROR(INDEX('Offer Statistics'!BF$2:BF$600,MATCH(1,($A53='Offer Statistics'!$BB$2:$BB$600)*($AC$2='Offer Statistics'!$BC$2:$BC$600),0)),"/")</f>
        <v>94</v>
      </c>
      <c r="AO53" s="63" cm="1">
        <f t="array" ref="AO53">IFERROR(INDEX('Offer Statistics'!BG$2:BG$600,MATCH(1,($A53='Offer Statistics'!$BB$2:$BB$600)*($AC$2='Offer Statistics'!$BC$2:$BC$600),0)),"/")</f>
        <v>107</v>
      </c>
      <c r="AP53" s="63" cm="1">
        <f t="array" ref="AP53">IFERROR(INDEX('Offer Statistics'!BH$2:BH$600,MATCH(1,($A53='Offer Statistics'!$BB$2:$BB$600)*($AC$2='Offer Statistics'!$BC$2:$BC$600),0)),"/")</f>
        <v>107</v>
      </c>
      <c r="AQ53" s="15"/>
      <c r="AR53" s="15" t="str">
        <f t="shared" si="3"/>
        <v>JS4690</v>
      </c>
    </row>
    <row r="54" spans="1:44" ht="18" customHeight="1">
      <c r="A54" s="4" t="str">
        <f>'Reference Score Calculation'!B197</f>
        <v>JS4719</v>
      </c>
      <c r="B54" s="4" t="str">
        <f>'Reference Score Calculation'!D197</f>
        <v>理學院</v>
      </c>
      <c r="C54" s="4" t="str">
        <f>'Reference Score Calculation'!E197</f>
        <v>風險管理科學</v>
      </c>
      <c r="D54" s="4" t="str">
        <f>'Reference Score Calculation'!S197</f>
        <v>RISK MGT SCI</v>
      </c>
      <c r="E54" s="352" t="str">
        <f>'Reference Score Calculation'!AC197</f>
        <v>Best 5</v>
      </c>
      <c r="F54" s="354" t="str">
        <f>'Reference Score Calculation'!F197</f>
        <v>Best 5</v>
      </c>
      <c r="G54" s="6">
        <f>'Reference Score Calculation'!H197</f>
        <v>44.5</v>
      </c>
      <c r="H54" s="6">
        <f>'Reference Score Calculation'!I197</f>
        <v>43</v>
      </c>
      <c r="I54" s="6">
        <f>'Reference Score Calculation'!J197</f>
        <v>41.5</v>
      </c>
      <c r="J54" s="45">
        <f>計分版!J220</f>
        <v>3.3999999999999998E-9</v>
      </c>
      <c r="K54" s="25">
        <f t="shared" si="0"/>
        <v>-42.999999996600003</v>
      </c>
      <c r="L54" s="26">
        <f t="shared" si="1"/>
        <v>-12647058822.529413</v>
      </c>
      <c r="M54" s="36">
        <f>'Reference Score Calculation'!U197</f>
        <v>25</v>
      </c>
      <c r="N54" s="84">
        <f>入學要求!Z206</f>
        <v>0</v>
      </c>
      <c r="O54" s="544"/>
      <c r="P54" s="161">
        <f>入學要求!L206</f>
        <v>3</v>
      </c>
      <c r="Q54" s="161">
        <f>入學要求!M206</f>
        <v>3</v>
      </c>
      <c r="R54" s="161">
        <f>入學要求!N206</f>
        <v>3</v>
      </c>
      <c r="S54" s="161">
        <f>入學要求!O206</f>
        <v>1</v>
      </c>
      <c r="T54" s="161">
        <f>入學要求!P206</f>
        <v>3</v>
      </c>
      <c r="U54" s="161">
        <f>入學要求!Q206</f>
        <v>3</v>
      </c>
      <c r="V54" s="236">
        <f>入學要求!S206</f>
        <v>0</v>
      </c>
      <c r="W54" s="236">
        <f>入學要求!T206</f>
        <v>0</v>
      </c>
      <c r="X54" s="236">
        <f>入學要求!U206</f>
        <v>0</v>
      </c>
      <c r="Y54" s="236">
        <f>入學要求!V206</f>
        <v>0</v>
      </c>
      <c r="Z54" s="236">
        <f>入學要求!W206</f>
        <v>0</v>
      </c>
      <c r="AA54" s="236">
        <f>入學要求!X206</f>
        <v>0</v>
      </c>
      <c r="AB54" s="36">
        <f t="shared" si="2"/>
        <v>4.17</v>
      </c>
      <c r="AC54" s="537"/>
      <c r="AD54" s="36" cm="1">
        <f t="array" ref="AD54">IFERROR(INDEX('Offer Statistics'!$BQ$2:$BQ$600,MATCH(1,($A54='Offer Statistics'!$BB$2:$BB$600)*($AC$2='Offer Statistics'!$BC$2:$BC$600),0)),"/")</f>
        <v>30</v>
      </c>
      <c r="AE54" s="63" cm="1">
        <f t="array" ref="AE54">IFERROR(INDEX('Offer Statistics'!BL$2:BL$600,MATCH(1,($A54='Offer Statistics'!$BB$2:$BB$600)*($AC$2='Offer Statistics'!$BC$2:$BC$600),0)),"/")</f>
        <v>30</v>
      </c>
      <c r="AF54" s="63" cm="1">
        <f t="array" ref="AF54">IFERROR(INDEX('Offer Statistics'!BM$2:BM$600,MATCH(1,($A54='Offer Statistics'!$BB$2:$BB$600)*($AC$2='Offer Statistics'!$BC$2:$BC$600),0)),"/")</f>
        <v>0</v>
      </c>
      <c r="AG54" s="63" cm="1">
        <f t="array" ref="AG54">IFERROR(INDEX('Offer Statistics'!BN$2:BN$600,MATCH(1,($A54='Offer Statistics'!$BB$2:$BB$600)*($AC$2='Offer Statistics'!$BC$2:$BC$600),0)),"/")</f>
        <v>0</v>
      </c>
      <c r="AH54" s="63" cm="1">
        <f t="array" ref="AH54">IFERROR(INDEX('Offer Statistics'!BO$2:BO$600,MATCH(1,($A54='Offer Statistics'!$BB$2:$BB$600)*($AC$2='Offer Statistics'!$BC$2:$BC$600),0)),"/")</f>
        <v>0</v>
      </c>
      <c r="AI54" s="63" cm="1">
        <f t="array" ref="AI54">IFERROR(INDEX('Offer Statistics'!BP$2:BP$600,MATCH(1,($A54='Offer Statistics'!$BB$2:$BB$600)*($AC$2='Offer Statistics'!$BC$2:$BC$600),0)),"/")</f>
        <v>0</v>
      </c>
      <c r="AJ54" s="538"/>
      <c r="AK54" s="36" cm="1">
        <f t="array" ref="AK54">IFERROR(INDEX('Offer Statistics'!$BI$2:$BI$600,MATCH(1,($A54='Offer Statistics'!$BB$2:$BB$600)*($AC$2='Offer Statistics'!$BC$2:$BC$600),0)),"/")</f>
        <v>780</v>
      </c>
      <c r="AL54" s="63" cm="1">
        <f t="array" ref="AL54">IFERROR(INDEX('Offer Statistics'!BD$2:BD$600,MATCH(1,($A54='Offer Statistics'!$BB$2:$BB$600)*($AC$2='Offer Statistics'!$BC$2:$BC$600),0)),"/")</f>
        <v>125</v>
      </c>
      <c r="AM54" s="63" cm="1">
        <f t="array" ref="AM54">IFERROR(INDEX('Offer Statistics'!BE$2:BE$600,MATCH(1,($A54='Offer Statistics'!$BB$2:$BB$600)*($AC$2='Offer Statistics'!$BC$2:$BC$600),0)),"/")</f>
        <v>74</v>
      </c>
      <c r="AN54" s="63" cm="1">
        <f t="array" ref="AN54">IFERROR(INDEX('Offer Statistics'!BF$2:BF$600,MATCH(1,($A54='Offer Statistics'!$BB$2:$BB$600)*($AC$2='Offer Statistics'!$BC$2:$BC$600),0)),"/")</f>
        <v>155</v>
      </c>
      <c r="AO54" s="63" cm="1">
        <f t="array" ref="AO54">IFERROR(INDEX('Offer Statistics'!BG$2:BG$600,MATCH(1,($A54='Offer Statistics'!$BB$2:$BB$600)*($AC$2='Offer Statistics'!$BC$2:$BC$600),0)),"/")</f>
        <v>217</v>
      </c>
      <c r="AP54" s="63" cm="1">
        <f t="array" ref="AP54">IFERROR(INDEX('Offer Statistics'!BH$2:BH$600,MATCH(1,($A54='Offer Statistics'!$BB$2:$BB$600)*($AC$2='Offer Statistics'!$BC$2:$BC$600),0)),"/")</f>
        <v>209</v>
      </c>
      <c r="AQ54" s="15"/>
      <c r="AR54" s="15" t="str">
        <f t="shared" si="3"/>
        <v>JS4719</v>
      </c>
    </row>
    <row r="55" spans="1:44" s="10" customFormat="1" ht="18" customHeight="1">
      <c r="A55" s="4" t="str">
        <f>'Reference Score Calculation'!B198</f>
        <v>JS4725</v>
      </c>
      <c r="B55" s="4" t="str">
        <f>'Reference Score Calculation'!D198</f>
        <v>理學院/商學院</v>
      </c>
      <c r="C55" s="4" t="str">
        <f>'Reference Score Calculation'!E198</f>
        <v>生物科技、創業與醫療管理</v>
      </c>
      <c r="D55" s="4" t="str">
        <f>'Reference Score Calculation'!S198</f>
        <v>BEHM</v>
      </c>
      <c r="E55" s="352" t="str">
        <f>'Reference Score Calculation'!AC198</f>
        <v>Best 5</v>
      </c>
      <c r="F55" s="354" t="str">
        <f>'Reference Score Calculation'!F198</f>
        <v>Best 5</v>
      </c>
      <c r="G55" s="6">
        <f>'Reference Score Calculation'!H198</f>
        <v>30.5</v>
      </c>
      <c r="H55" s="6">
        <f>'Reference Score Calculation'!I198</f>
        <v>29</v>
      </c>
      <c r="I55" s="6">
        <f>'Reference Score Calculation'!J198</f>
        <v>27.5</v>
      </c>
      <c r="J55" s="45">
        <f>計分版!J221</f>
        <v>3.4999999999999999E-9</v>
      </c>
      <c r="K55" s="25">
        <f t="shared" si="0"/>
        <v>-28.999999996500001</v>
      </c>
      <c r="L55" s="26">
        <f t="shared" si="1"/>
        <v>-8285714284.7142868</v>
      </c>
      <c r="M55" s="36">
        <f>'Reference Score Calculation'!U198</f>
        <v>15</v>
      </c>
      <c r="N55" s="84">
        <f>入學要求!Z207</f>
        <v>0</v>
      </c>
      <c r="O55" s="544"/>
      <c r="P55" s="161">
        <f>入學要求!L207</f>
        <v>3</v>
      </c>
      <c r="Q55" s="161">
        <f>入學要求!M207</f>
        <v>4</v>
      </c>
      <c r="R55" s="161">
        <f>入學要求!N207</f>
        <v>3</v>
      </c>
      <c r="S55" s="161">
        <f>入學要求!O207</f>
        <v>1</v>
      </c>
      <c r="T55" s="161">
        <f>入學要求!P207</f>
        <v>3</v>
      </c>
      <c r="U55" s="161">
        <f>入學要求!Q207</f>
        <v>3</v>
      </c>
      <c r="V55" s="236">
        <f>入學要求!S207</f>
        <v>0</v>
      </c>
      <c r="W55" s="236">
        <f>入學要求!T207</f>
        <v>0</v>
      </c>
      <c r="X55" s="236">
        <f>入學要求!U207</f>
        <v>0</v>
      </c>
      <c r="Y55" s="236">
        <f>入學要求!V207</f>
        <v>0</v>
      </c>
      <c r="Z55" s="236">
        <f>入學要求!W207</f>
        <v>0</v>
      </c>
      <c r="AA55" s="236">
        <f>入學要求!X207</f>
        <v>0</v>
      </c>
      <c r="AB55" s="36">
        <f t="shared" si="2"/>
        <v>3.64</v>
      </c>
      <c r="AC55" s="537"/>
      <c r="AD55" s="36" cm="1">
        <f t="array" ref="AD55">IFERROR(INDEX('Offer Statistics'!$BQ$2:$BQ$600,MATCH(1,($A55='Offer Statistics'!$BB$2:$BB$600)*($AC$2='Offer Statistics'!$BC$2:$BC$600),0)),"/")</f>
        <v>14</v>
      </c>
      <c r="AE55" s="63" cm="1">
        <f t="array" ref="AE55">IFERROR(INDEX('Offer Statistics'!BL$2:BL$600,MATCH(1,($A55='Offer Statistics'!$BB$2:$BB$600)*($AC$2='Offer Statistics'!$BC$2:$BC$600),0)),"/")</f>
        <v>14</v>
      </c>
      <c r="AF55" s="63" cm="1">
        <f t="array" ref="AF55">IFERROR(INDEX('Offer Statistics'!BM$2:BM$600,MATCH(1,($A55='Offer Statistics'!$BB$2:$BB$600)*($AC$2='Offer Statistics'!$BC$2:$BC$600),0)),"/")</f>
        <v>0</v>
      </c>
      <c r="AG55" s="63" cm="1">
        <f t="array" ref="AG55">IFERROR(INDEX('Offer Statistics'!BN$2:BN$600,MATCH(1,($A55='Offer Statistics'!$BB$2:$BB$600)*($AC$2='Offer Statistics'!$BC$2:$BC$600),0)),"/")</f>
        <v>0</v>
      </c>
      <c r="AH55" s="63" cm="1">
        <f t="array" ref="AH55">IFERROR(INDEX('Offer Statistics'!BO$2:BO$600,MATCH(1,($A55='Offer Statistics'!$BB$2:$BB$600)*($AC$2='Offer Statistics'!$BC$2:$BC$600),0)),"/")</f>
        <v>0</v>
      </c>
      <c r="AI55" s="63" cm="1">
        <f t="array" ref="AI55">IFERROR(INDEX('Offer Statistics'!BP$2:BP$600,MATCH(1,($A55='Offer Statistics'!$BB$2:$BB$600)*($AC$2='Offer Statistics'!$BC$2:$BC$600),0)),"/")</f>
        <v>0</v>
      </c>
      <c r="AJ55" s="538"/>
      <c r="AK55" s="36" cm="1">
        <f t="array" ref="AK55">IFERROR(INDEX('Offer Statistics'!$BI$2:$BI$600,MATCH(1,($A55='Offer Statistics'!$BB$2:$BB$600)*($AC$2='Offer Statistics'!$BC$2:$BC$600),0)),"/")</f>
        <v>936</v>
      </c>
      <c r="AL55" s="63" cm="1">
        <f t="array" ref="AL55">IFERROR(INDEX('Offer Statistics'!BD$2:BD$600,MATCH(1,($A55='Offer Statistics'!$BB$2:$BB$600)*($AC$2='Offer Statistics'!$BC$2:$BC$600),0)),"/")</f>
        <v>51</v>
      </c>
      <c r="AM55" s="63" cm="1">
        <f t="array" ref="AM55">IFERROR(INDEX('Offer Statistics'!BE$2:BE$600,MATCH(1,($A55='Offer Statistics'!$BB$2:$BB$600)*($AC$2='Offer Statistics'!$BC$2:$BC$600),0)),"/")</f>
        <v>59</v>
      </c>
      <c r="AN55" s="63" cm="1">
        <f t="array" ref="AN55">IFERROR(INDEX('Offer Statistics'!BF$2:BF$600,MATCH(1,($A55='Offer Statistics'!$BB$2:$BB$600)*($AC$2='Offer Statistics'!$BC$2:$BC$600),0)),"/")</f>
        <v>181</v>
      </c>
      <c r="AO55" s="63" cm="1">
        <f t="array" ref="AO55">IFERROR(INDEX('Offer Statistics'!BG$2:BG$600,MATCH(1,($A55='Offer Statistics'!$BB$2:$BB$600)*($AC$2='Offer Statistics'!$BC$2:$BC$600),0)),"/")</f>
        <v>342</v>
      </c>
      <c r="AP55" s="63" cm="1">
        <f t="array" ref="AP55">IFERROR(INDEX('Offer Statistics'!BH$2:BH$600,MATCH(1,($A55='Offer Statistics'!$BB$2:$BB$600)*($AC$2='Offer Statistics'!$BC$2:$BC$600),0)),"/")</f>
        <v>303</v>
      </c>
      <c r="AQ55" s="15"/>
      <c r="AR55" s="15" t="str">
        <f t="shared" si="3"/>
        <v>JS4725</v>
      </c>
    </row>
    <row r="56" spans="1:44" ht="18" customHeight="1">
      <c r="A56" s="4" t="str">
        <f>'Reference Score Calculation'!B199</f>
        <v>JS4733</v>
      </c>
      <c r="B56" s="4" t="str">
        <f>'Reference Score Calculation'!D199</f>
        <v>理學院/工程學院</v>
      </c>
      <c r="C56" s="4" t="str">
        <f>'Reference Score Calculation'!E199</f>
        <v>數學與信息工程學</v>
      </c>
      <c r="D56" s="4" t="str">
        <f>'Reference Score Calculation'!S199</f>
        <v>MIEGN</v>
      </c>
      <c r="E56" s="352" t="str">
        <f>'Reference Score Calculation'!AC199</f>
        <v>Best 5</v>
      </c>
      <c r="F56" s="354" t="str">
        <f>'Reference Score Calculation'!F199</f>
        <v>Best 5</v>
      </c>
      <c r="G56" s="6">
        <f>'Reference Score Calculation'!H199</f>
        <v>55</v>
      </c>
      <c r="H56" s="6">
        <f>'Reference Score Calculation'!I199</f>
        <v>50.5</v>
      </c>
      <c r="I56" s="6">
        <f>'Reference Score Calculation'!J199</f>
        <v>47.5</v>
      </c>
      <c r="J56" s="45">
        <f>計分版!J222</f>
        <v>3.3999999999999998E-9</v>
      </c>
      <c r="K56" s="25">
        <f t="shared" si="0"/>
        <v>-50.499999996600003</v>
      </c>
      <c r="L56" s="26">
        <f t="shared" si="1"/>
        <v>-14852941175.470591</v>
      </c>
      <c r="M56" s="36">
        <f>'Reference Score Calculation'!U199</f>
        <v>13</v>
      </c>
      <c r="N56" s="84">
        <f>入學要求!Z208</f>
        <v>0</v>
      </c>
      <c r="O56" s="544"/>
      <c r="P56" s="161">
        <f>入學要求!L208</f>
        <v>3</v>
      </c>
      <c r="Q56" s="161">
        <f>入學要求!M208</f>
        <v>4</v>
      </c>
      <c r="R56" s="161">
        <f>入學要求!N208</f>
        <v>5</v>
      </c>
      <c r="S56" s="161">
        <f>入學要求!O208</f>
        <v>1</v>
      </c>
      <c r="T56" s="161">
        <f>入學要求!P208</f>
        <v>5</v>
      </c>
      <c r="U56" s="161">
        <f>入學要求!Q208</f>
        <v>4</v>
      </c>
      <c r="V56" s="236">
        <f>入學要求!S208</f>
        <v>0</v>
      </c>
      <c r="W56" s="236">
        <f>入學要求!T208</f>
        <v>0</v>
      </c>
      <c r="X56" s="236">
        <f>入學要求!U208</f>
        <v>0</v>
      </c>
      <c r="Y56" s="236">
        <f>入學要求!V208</f>
        <v>0</v>
      </c>
      <c r="Z56" s="236">
        <f>入學要求!W208</f>
        <v>0</v>
      </c>
      <c r="AA56" s="236">
        <f>入學要求!X208</f>
        <v>0</v>
      </c>
      <c r="AB56" s="36">
        <f t="shared" si="2"/>
        <v>4.8600000000000003</v>
      </c>
      <c r="AC56" s="537"/>
      <c r="AD56" s="36" cm="1">
        <f t="array" ref="AD56">IFERROR(INDEX('Offer Statistics'!$BQ$2:$BQ$600,MATCH(1,($A56='Offer Statistics'!$BB$2:$BB$600)*($AC$2='Offer Statistics'!$BC$2:$BC$600),0)),"/")</f>
        <v>7</v>
      </c>
      <c r="AE56" s="63" cm="1">
        <f t="array" ref="AE56">IFERROR(INDEX('Offer Statistics'!BL$2:BL$600,MATCH(1,($A56='Offer Statistics'!$BB$2:$BB$600)*($AC$2='Offer Statistics'!$BC$2:$BC$600),0)),"/")</f>
        <v>7</v>
      </c>
      <c r="AF56" s="63" cm="1">
        <f t="array" ref="AF56">IFERROR(INDEX('Offer Statistics'!BM$2:BM$600,MATCH(1,($A56='Offer Statistics'!$BB$2:$BB$600)*($AC$2='Offer Statistics'!$BC$2:$BC$600),0)),"/")</f>
        <v>0</v>
      </c>
      <c r="AG56" s="63" cm="1">
        <f t="array" ref="AG56">IFERROR(INDEX('Offer Statistics'!BN$2:BN$600,MATCH(1,($A56='Offer Statistics'!$BB$2:$BB$600)*($AC$2='Offer Statistics'!$BC$2:$BC$600),0)),"/")</f>
        <v>0</v>
      </c>
      <c r="AH56" s="63" cm="1">
        <f t="array" ref="AH56">IFERROR(INDEX('Offer Statistics'!BO$2:BO$600,MATCH(1,($A56='Offer Statistics'!$BB$2:$BB$600)*($AC$2='Offer Statistics'!$BC$2:$BC$600),0)),"/")</f>
        <v>0</v>
      </c>
      <c r="AI56" s="63" cm="1">
        <f t="array" ref="AI56">IFERROR(INDEX('Offer Statistics'!BP$2:BP$600,MATCH(1,($A56='Offer Statistics'!$BB$2:$BB$600)*($AC$2='Offer Statistics'!$BC$2:$BC$600),0)),"/")</f>
        <v>0</v>
      </c>
      <c r="AJ56" s="538"/>
      <c r="AK56" s="36" cm="1">
        <f t="array" ref="AK56">IFERROR(INDEX('Offer Statistics'!$BI$2:$BI$600,MATCH(1,($A56='Offer Statistics'!$BB$2:$BB$600)*($AC$2='Offer Statistics'!$BC$2:$BC$600),0)),"/")</f>
        <v>530</v>
      </c>
      <c r="AL56" s="63" cm="1">
        <f t="array" ref="AL56">IFERROR(INDEX('Offer Statistics'!BD$2:BD$600,MATCH(1,($A56='Offer Statistics'!$BB$2:$BB$600)*($AC$2='Offer Statistics'!$BC$2:$BC$600),0)),"/")</f>
        <v>34</v>
      </c>
      <c r="AM56" s="63" cm="1">
        <f t="array" ref="AM56">IFERROR(INDEX('Offer Statistics'!BE$2:BE$600,MATCH(1,($A56='Offer Statistics'!$BB$2:$BB$600)*($AC$2='Offer Statistics'!$BC$2:$BC$600),0)),"/")</f>
        <v>42</v>
      </c>
      <c r="AN56" s="63" cm="1">
        <f t="array" ref="AN56">IFERROR(INDEX('Offer Statistics'!BF$2:BF$600,MATCH(1,($A56='Offer Statistics'!$BB$2:$BB$600)*($AC$2='Offer Statistics'!$BC$2:$BC$600),0)),"/")</f>
        <v>129</v>
      </c>
      <c r="AO56" s="63" cm="1">
        <f t="array" ref="AO56">IFERROR(INDEX('Offer Statistics'!BG$2:BG$600,MATCH(1,($A56='Offer Statistics'!$BB$2:$BB$600)*($AC$2='Offer Statistics'!$BC$2:$BC$600),0)),"/")</f>
        <v>171</v>
      </c>
      <c r="AP56" s="63" cm="1">
        <f t="array" ref="AP56">IFERROR(INDEX('Offer Statistics'!BH$2:BH$600,MATCH(1,($A56='Offer Statistics'!$BB$2:$BB$600)*($AC$2='Offer Statistics'!$BC$2:$BC$600),0)),"/")</f>
        <v>154</v>
      </c>
      <c r="AQ56" s="15"/>
      <c r="AR56" s="15" t="str">
        <f t="shared" si="3"/>
        <v>JS4733</v>
      </c>
    </row>
    <row r="57" spans="1:44" ht="18" customHeight="1">
      <c r="A57" s="4" t="str">
        <f>'Reference Score Calculation'!B200</f>
        <v>JS4750</v>
      </c>
      <c r="B57" s="4" t="str">
        <f>'Reference Score Calculation'!D200</f>
        <v>理學院/工程學院</v>
      </c>
      <c r="C57" s="4" t="str">
        <f>'Reference Score Calculation'!E200</f>
        <v>航天科學與地球信息學及Ｘ雙主修課程</v>
      </c>
      <c r="D57" s="4" t="str">
        <f>'Reference Score Calculation'!S200</f>
        <v>ASEIDM</v>
      </c>
      <c r="E57" s="352" t="str">
        <f>'Reference Score Calculation'!AC200</f>
        <v>Best 5</v>
      </c>
      <c r="F57" s="354" t="str">
        <f>'Reference Score Calculation'!F200</f>
        <v>Best 5</v>
      </c>
      <c r="G57" s="6">
        <f>'Reference Score Calculation'!H200</f>
        <v>46.5</v>
      </c>
      <c r="H57" s="6">
        <f>'Reference Score Calculation'!I200</f>
        <v>38.75</v>
      </c>
      <c r="I57" s="6">
        <f>'Reference Score Calculation'!J200</f>
        <v>36.5</v>
      </c>
      <c r="J57" s="45">
        <f>計分版!J223</f>
        <v>4.0000000000000002E-9</v>
      </c>
      <c r="K57" s="25">
        <f t="shared" si="0"/>
        <v>-38.749999996</v>
      </c>
      <c r="L57" s="26">
        <f t="shared" si="1"/>
        <v>-9687499999</v>
      </c>
      <c r="M57" s="36">
        <f>'Reference Score Calculation'!U200</f>
        <v>20</v>
      </c>
      <c r="N57" s="84">
        <f>入學要求!Z209</f>
        <v>0</v>
      </c>
      <c r="O57" s="544"/>
      <c r="P57" s="161">
        <f>入學要求!L209</f>
        <v>3</v>
      </c>
      <c r="Q57" s="161">
        <f>入學要求!M209</f>
        <v>3</v>
      </c>
      <c r="R57" s="161">
        <f>入學要求!N209</f>
        <v>2</v>
      </c>
      <c r="S57" s="161">
        <f>入學要求!O209</f>
        <v>1</v>
      </c>
      <c r="T57" s="161">
        <f>入學要求!P209</f>
        <v>3</v>
      </c>
      <c r="U57" s="161">
        <f>入學要求!Q209</f>
        <v>3</v>
      </c>
      <c r="V57" s="236">
        <f>入學要求!S209</f>
        <v>0</v>
      </c>
      <c r="W57" s="236">
        <f>入學要求!T209</f>
        <v>0</v>
      </c>
      <c r="X57" s="236">
        <f>入學要求!U209</f>
        <v>0</v>
      </c>
      <c r="Y57" s="236">
        <f>入學要求!V209</f>
        <v>0</v>
      </c>
      <c r="Z57" s="236">
        <f>入學要求!W209</f>
        <v>0</v>
      </c>
      <c r="AA57" s="236">
        <f>入學要求!X209</f>
        <v>0</v>
      </c>
      <c r="AB57" s="36">
        <f t="shared" si="2"/>
        <v>4.2699999999999996</v>
      </c>
      <c r="AC57" s="537"/>
      <c r="AD57" s="36" cm="1">
        <f t="array" ref="AD57">IFERROR(INDEX('Offer Statistics'!$BQ$2:$BQ$600,MATCH(1,($A57='Offer Statistics'!$BB$2:$BB$600)*($AC$2='Offer Statistics'!$BC$2:$BC$600),0)),"/")</f>
        <v>16</v>
      </c>
      <c r="AE57" s="63" cm="1">
        <f t="array" ref="AE57">IFERROR(INDEX('Offer Statistics'!BL$2:BL$600,MATCH(1,($A57='Offer Statistics'!$BB$2:$BB$600)*($AC$2='Offer Statistics'!$BC$2:$BC$600),0)),"/")</f>
        <v>15</v>
      </c>
      <c r="AF57" s="63" cm="1">
        <f t="array" ref="AF57">IFERROR(INDEX('Offer Statistics'!BM$2:BM$600,MATCH(1,($A57='Offer Statistics'!$BB$2:$BB$600)*($AC$2='Offer Statistics'!$BC$2:$BC$600),0)),"/")</f>
        <v>1</v>
      </c>
      <c r="AG57" s="63" cm="1">
        <f t="array" ref="AG57">IFERROR(INDEX('Offer Statistics'!BN$2:BN$600,MATCH(1,($A57='Offer Statistics'!$BB$2:$BB$600)*($AC$2='Offer Statistics'!$BC$2:$BC$600),0)),"/")</f>
        <v>0</v>
      </c>
      <c r="AH57" s="63" cm="1">
        <f t="array" ref="AH57">IFERROR(INDEX('Offer Statistics'!BO$2:BO$600,MATCH(1,($A57='Offer Statistics'!$BB$2:$BB$600)*($AC$2='Offer Statistics'!$BC$2:$BC$600),0)),"/")</f>
        <v>0</v>
      </c>
      <c r="AI57" s="63" cm="1">
        <f t="array" ref="AI57">IFERROR(INDEX('Offer Statistics'!BP$2:BP$600,MATCH(1,($A57='Offer Statistics'!$BB$2:$BB$600)*($AC$2='Offer Statistics'!$BC$2:$BC$600),0)),"/")</f>
        <v>0</v>
      </c>
      <c r="AJ57" s="538"/>
      <c r="AK57" s="36" cm="1">
        <f t="array" ref="AK57">IFERROR(INDEX('Offer Statistics'!$BI$2:$BI$600,MATCH(1,($A57='Offer Statistics'!$BB$2:$BB$600)*($AC$2='Offer Statistics'!$BC$2:$BC$600),0)),"/")</f>
        <v>478</v>
      </c>
      <c r="AL57" s="63" cm="1">
        <f t="array" ref="AL57">IFERROR(INDEX('Offer Statistics'!BD$2:BD$600,MATCH(1,($A57='Offer Statistics'!$BB$2:$BB$600)*($AC$2='Offer Statistics'!$BC$2:$BC$600),0)),"/")</f>
        <v>64</v>
      </c>
      <c r="AM57" s="63" cm="1">
        <f t="array" ref="AM57">IFERROR(INDEX('Offer Statistics'!BE$2:BE$600,MATCH(1,($A57='Offer Statistics'!$BB$2:$BB$600)*($AC$2='Offer Statistics'!$BC$2:$BC$600),0)),"/")</f>
        <v>60</v>
      </c>
      <c r="AN57" s="63" cm="1">
        <f t="array" ref="AN57">IFERROR(INDEX('Offer Statistics'!BF$2:BF$600,MATCH(1,($A57='Offer Statistics'!$BB$2:$BB$600)*($AC$2='Offer Statistics'!$BC$2:$BC$600),0)),"/")</f>
        <v>93</v>
      </c>
      <c r="AO57" s="63" cm="1">
        <f t="array" ref="AO57">IFERROR(INDEX('Offer Statistics'!BG$2:BG$600,MATCH(1,($A57='Offer Statistics'!$BB$2:$BB$600)*($AC$2='Offer Statistics'!$BC$2:$BC$600),0)),"/")</f>
        <v>140</v>
      </c>
      <c r="AP57" s="63" cm="1">
        <f t="array" ref="AP57">IFERROR(INDEX('Offer Statistics'!BH$2:BH$600,MATCH(1,($A57='Offer Statistics'!$BB$2:$BB$600)*($AC$2='Offer Statistics'!$BC$2:$BC$600),0)),"/")</f>
        <v>121</v>
      </c>
      <c r="AQ57" s="15"/>
      <c r="AR57" s="15" t="str">
        <f t="shared" si="3"/>
        <v>JS4750</v>
      </c>
    </row>
    <row r="58" spans="1:44" ht="18" customHeight="1">
      <c r="A58" s="4" t="str">
        <f>'Reference Score Calculation'!B201</f>
        <v>JS4760</v>
      </c>
      <c r="B58" s="4" t="str">
        <f>'Reference Score Calculation'!D201</f>
        <v>中大(深圳)</v>
      </c>
      <c r="C58" s="4" t="str">
        <f>'Reference Score Calculation'!E201</f>
        <v>跨學科數據分析及Ｘ雙主修課程</v>
      </c>
      <c r="D58" s="4" t="str">
        <f>'Reference Score Calculation'!S201</f>
        <v>IDADM</v>
      </c>
      <c r="E58" s="352" t="str">
        <f>'Reference Score Calculation'!AC201</f>
        <v>Best 5</v>
      </c>
      <c r="F58" s="354" t="str">
        <f>'Reference Score Calculation'!F201</f>
        <v>Best 5</v>
      </c>
      <c r="G58" s="6">
        <f>'Reference Score Calculation'!H201</f>
        <v>36.5</v>
      </c>
      <c r="H58" s="6">
        <f>'Reference Score Calculation'!I201</f>
        <v>34</v>
      </c>
      <c r="I58" s="6">
        <f>'Reference Score Calculation'!J201</f>
        <v>32.75</v>
      </c>
      <c r="J58" s="45">
        <f>計分版!J224</f>
        <v>3.7500000000000005E-9</v>
      </c>
      <c r="K58" s="25">
        <f t="shared" si="0"/>
        <v>-33.999999996249997</v>
      </c>
      <c r="L58" s="26">
        <f t="shared" si="1"/>
        <v>-9066666665.6666641</v>
      </c>
      <c r="M58" s="36">
        <f>'Reference Score Calculation'!U201</f>
        <v>20</v>
      </c>
      <c r="N58" s="84">
        <f>入學要求!Z210</f>
        <v>0</v>
      </c>
      <c r="O58" s="544"/>
      <c r="P58" s="161">
        <f>入學要求!L210</f>
        <v>3</v>
      </c>
      <c r="Q58" s="161">
        <f>入學要求!M210</f>
        <v>3</v>
      </c>
      <c r="R58" s="161">
        <f>入學要求!N210</f>
        <v>3</v>
      </c>
      <c r="S58" s="161">
        <f>入學要求!O210</f>
        <v>1</v>
      </c>
      <c r="T58" s="161">
        <f>入學要求!P210</f>
        <v>3</v>
      </c>
      <c r="U58" s="161">
        <f>入學要求!Q210</f>
        <v>3</v>
      </c>
      <c r="V58" s="236">
        <f>入學要求!S210</f>
        <v>0</v>
      </c>
      <c r="W58" s="236">
        <f>入學要求!T210</f>
        <v>0</v>
      </c>
      <c r="X58" s="236">
        <f>入學要求!U210</f>
        <v>0</v>
      </c>
      <c r="Y58" s="236">
        <f>入學要求!V210</f>
        <v>0</v>
      </c>
      <c r="Z58" s="236">
        <f>入學要求!W210</f>
        <v>0</v>
      </c>
      <c r="AA58" s="236">
        <f>入學要求!X210</f>
        <v>0</v>
      </c>
      <c r="AB58" s="36">
        <f t="shared" si="2"/>
        <v>3.95</v>
      </c>
      <c r="AC58" s="537"/>
      <c r="AD58" s="36" cm="1">
        <f t="array" ref="AD58">IFERROR(INDEX('Offer Statistics'!$BQ$2:$BQ$600,MATCH(1,($A58='Offer Statistics'!$BB$2:$BB$600)*($AC$2='Offer Statistics'!$BC$2:$BC$600),0)),"/")</f>
        <v>22</v>
      </c>
      <c r="AE58" s="63" cm="1">
        <f t="array" ref="AE58">IFERROR(INDEX('Offer Statistics'!BL$2:BL$600,MATCH(1,($A58='Offer Statistics'!$BB$2:$BB$600)*($AC$2='Offer Statistics'!$BC$2:$BC$600),0)),"/")</f>
        <v>22</v>
      </c>
      <c r="AF58" s="63" cm="1">
        <f t="array" ref="AF58">IFERROR(INDEX('Offer Statistics'!BM$2:BM$600,MATCH(1,($A58='Offer Statistics'!$BB$2:$BB$600)*($AC$2='Offer Statistics'!$BC$2:$BC$600),0)),"/")</f>
        <v>0</v>
      </c>
      <c r="AG58" s="63" cm="1">
        <f t="array" ref="AG58">IFERROR(INDEX('Offer Statistics'!BN$2:BN$600,MATCH(1,($A58='Offer Statistics'!$BB$2:$BB$600)*($AC$2='Offer Statistics'!$BC$2:$BC$600),0)),"/")</f>
        <v>0</v>
      </c>
      <c r="AH58" s="63" cm="1">
        <f t="array" ref="AH58">IFERROR(INDEX('Offer Statistics'!BO$2:BO$600,MATCH(1,($A58='Offer Statistics'!$BB$2:$BB$600)*($AC$2='Offer Statistics'!$BC$2:$BC$600),0)),"/")</f>
        <v>0</v>
      </c>
      <c r="AI58" s="63" cm="1">
        <f t="array" ref="AI58">IFERROR(INDEX('Offer Statistics'!BP$2:BP$600,MATCH(1,($A58='Offer Statistics'!$BB$2:$BB$600)*($AC$2='Offer Statistics'!$BC$2:$BC$600),0)),"/")</f>
        <v>0</v>
      </c>
      <c r="AJ58" s="538"/>
      <c r="AK58" s="36" cm="1">
        <f t="array" ref="AK58">IFERROR(INDEX('Offer Statistics'!$BI$2:$BI$600,MATCH(1,($A58='Offer Statistics'!$BB$2:$BB$600)*($AC$2='Offer Statistics'!$BC$2:$BC$600),0)),"/")</f>
        <v>472</v>
      </c>
      <c r="AL58" s="63" cm="1">
        <f t="array" ref="AL58">IFERROR(INDEX('Offer Statistics'!BD$2:BD$600,MATCH(1,($A58='Offer Statistics'!$BB$2:$BB$600)*($AC$2='Offer Statistics'!$BC$2:$BC$600),0)),"/")</f>
        <v>87</v>
      </c>
      <c r="AM58" s="63" cm="1">
        <f t="array" ref="AM58">IFERROR(INDEX('Offer Statistics'!BE$2:BE$600,MATCH(1,($A58='Offer Statistics'!$BB$2:$BB$600)*($AC$2='Offer Statistics'!$BC$2:$BC$600),0)),"/")</f>
        <v>67</v>
      </c>
      <c r="AN58" s="63" cm="1">
        <f t="array" ref="AN58">IFERROR(INDEX('Offer Statistics'!BF$2:BF$600,MATCH(1,($A58='Offer Statistics'!$BB$2:$BB$600)*($AC$2='Offer Statistics'!$BC$2:$BC$600),0)),"/")</f>
        <v>82</v>
      </c>
      <c r="AO58" s="63" cm="1">
        <f t="array" ref="AO58">IFERROR(INDEX('Offer Statistics'!BG$2:BG$600,MATCH(1,($A58='Offer Statistics'!$BB$2:$BB$600)*($AC$2='Offer Statistics'!$BC$2:$BC$600),0)),"/")</f>
        <v>128</v>
      </c>
      <c r="AP58" s="63" cm="1">
        <f t="array" ref="AP58">IFERROR(INDEX('Offer Statistics'!BH$2:BH$600,MATCH(1,($A58='Offer Statistics'!$BB$2:$BB$600)*($AC$2='Offer Statistics'!$BC$2:$BC$600),0)),"/")</f>
        <v>108</v>
      </c>
      <c r="AQ58" s="15"/>
      <c r="AR58" s="15" t="str">
        <f t="shared" si="3"/>
        <v>JS4760</v>
      </c>
    </row>
    <row r="59" spans="1:44" s="10" customFormat="1" ht="18" customHeight="1">
      <c r="A59" s="4" t="str">
        <f>'Reference Score Calculation'!B202</f>
        <v>JS4801</v>
      </c>
      <c r="B59" s="4" t="str">
        <f>'Reference Score Calculation'!D202</f>
        <v>社會科學院</v>
      </c>
      <c r="C59" s="4" t="str">
        <f>'Reference Score Calculation'!E202</f>
        <v>社會科學</v>
      </c>
      <c r="D59" s="4" t="str">
        <f>'Reference Score Calculation'!S202</f>
        <v>SOCIAL SCIENCE</v>
      </c>
      <c r="E59" s="352" t="str">
        <f>'Reference Score Calculation'!AC202</f>
        <v>Best 5</v>
      </c>
      <c r="F59" s="354" t="str">
        <f>'Reference Score Calculation'!F202</f>
        <v>Best 5</v>
      </c>
      <c r="G59" s="6">
        <f>'Reference Score Calculation'!H202</f>
        <v>28.7</v>
      </c>
      <c r="H59" s="6">
        <f>'Reference Score Calculation'!I202</f>
        <v>27.65</v>
      </c>
      <c r="I59" s="6">
        <f>'Reference Score Calculation'!J202</f>
        <v>26.6</v>
      </c>
      <c r="J59" s="45">
        <f>計分版!J225</f>
        <v>3.4999999999999999E-9</v>
      </c>
      <c r="K59" s="25">
        <f t="shared" si="0"/>
        <v>-27.6499999965</v>
      </c>
      <c r="L59" s="26">
        <f t="shared" si="1"/>
        <v>-7899999999</v>
      </c>
      <c r="M59" s="36">
        <f>'Reference Score Calculation'!U202</f>
        <v>63</v>
      </c>
      <c r="N59" s="84">
        <f>入學要求!Z211</f>
        <v>0</v>
      </c>
      <c r="O59" s="544"/>
      <c r="P59" s="161">
        <f>入學要求!L211</f>
        <v>3</v>
      </c>
      <c r="Q59" s="161">
        <f>入學要求!M211</f>
        <v>3</v>
      </c>
      <c r="R59" s="161">
        <f>入學要求!N211</f>
        <v>2</v>
      </c>
      <c r="S59" s="161">
        <f>入學要求!O211</f>
        <v>1</v>
      </c>
      <c r="T59" s="161">
        <f>入學要求!P211</f>
        <v>3</v>
      </c>
      <c r="U59" s="161">
        <f>入學要求!Q211</f>
        <v>3</v>
      </c>
      <c r="V59" s="236">
        <f>入學要求!S211</f>
        <v>0</v>
      </c>
      <c r="W59" s="236">
        <f>入學要求!T211</f>
        <v>0</v>
      </c>
      <c r="X59" s="236">
        <f>入學要求!U211</f>
        <v>0</v>
      </c>
      <c r="Y59" s="236">
        <f>入學要求!V211</f>
        <v>0</v>
      </c>
      <c r="Z59" s="236">
        <f>入學要求!W211</f>
        <v>0</v>
      </c>
      <c r="AA59" s="236">
        <f>入學要求!X211</f>
        <v>0</v>
      </c>
      <c r="AB59" s="36">
        <f t="shared" si="2"/>
        <v>25.68</v>
      </c>
      <c r="AC59" s="537"/>
      <c r="AD59" s="36" cm="1">
        <f t="array" ref="AD59">IFERROR(INDEX('Offer Statistics'!$BQ$2:$BQ$600,MATCH(1,($A59='Offer Statistics'!$BB$2:$BB$600)*($AC$2='Offer Statistics'!$BC$2:$BC$600),0)),"/")</f>
        <v>25</v>
      </c>
      <c r="AE59" s="63" cm="1">
        <f t="array" ref="AE59">IFERROR(INDEX('Offer Statistics'!BL$2:BL$600,MATCH(1,($A59='Offer Statistics'!$BB$2:$BB$600)*($AC$2='Offer Statistics'!$BC$2:$BC$600),0)),"/")</f>
        <v>25</v>
      </c>
      <c r="AF59" s="63" cm="1">
        <f t="array" ref="AF59">IFERROR(INDEX('Offer Statistics'!BM$2:BM$600,MATCH(1,($A59='Offer Statistics'!$BB$2:$BB$600)*($AC$2='Offer Statistics'!$BC$2:$BC$600),0)),"/")</f>
        <v>0</v>
      </c>
      <c r="AG59" s="63" cm="1">
        <f t="array" ref="AG59">IFERROR(INDEX('Offer Statistics'!BN$2:BN$600,MATCH(1,($A59='Offer Statistics'!$BB$2:$BB$600)*($AC$2='Offer Statistics'!$BC$2:$BC$600),0)),"/")</f>
        <v>0</v>
      </c>
      <c r="AH59" s="63" cm="1">
        <f t="array" ref="AH59">IFERROR(INDEX('Offer Statistics'!BO$2:BO$600,MATCH(1,($A59='Offer Statistics'!$BB$2:$BB$600)*($AC$2='Offer Statistics'!$BC$2:$BC$600),0)),"/")</f>
        <v>0</v>
      </c>
      <c r="AI59" s="63" cm="1">
        <f t="array" ref="AI59">IFERROR(INDEX('Offer Statistics'!BP$2:BP$600,MATCH(1,($A59='Offer Statistics'!$BB$2:$BB$600)*($AC$2='Offer Statistics'!$BC$2:$BC$600),0)),"/")</f>
        <v>0</v>
      </c>
      <c r="AJ59" s="538"/>
      <c r="AK59" s="36" cm="1">
        <f t="array" ref="AK59">IFERROR(INDEX('Offer Statistics'!$BI$2:$BI$600,MATCH(1,($A59='Offer Statistics'!$BB$2:$BB$600)*($AC$2='Offer Statistics'!$BC$2:$BC$600),0)),"/")</f>
        <v>4569</v>
      </c>
      <c r="AL59" s="63" cm="1">
        <f t="array" ref="AL59">IFERROR(INDEX('Offer Statistics'!BD$2:BD$600,MATCH(1,($A59='Offer Statistics'!$BB$2:$BB$600)*($AC$2='Offer Statistics'!$BC$2:$BC$600),0)),"/")</f>
        <v>642</v>
      </c>
      <c r="AM59" s="63" cm="1">
        <f t="array" ref="AM59">IFERROR(INDEX('Offer Statistics'!BE$2:BE$600,MATCH(1,($A59='Offer Statistics'!$BB$2:$BB$600)*($AC$2='Offer Statistics'!$BC$2:$BC$600),0)),"/")</f>
        <v>547</v>
      </c>
      <c r="AN59" s="63" cm="1">
        <f t="array" ref="AN59">IFERROR(INDEX('Offer Statistics'!BF$2:BF$600,MATCH(1,($A59='Offer Statistics'!$BB$2:$BB$600)*($AC$2='Offer Statistics'!$BC$2:$BC$600),0)),"/")</f>
        <v>922</v>
      </c>
      <c r="AO59" s="63" cm="1">
        <f t="array" ref="AO59">IFERROR(INDEX('Offer Statistics'!BG$2:BG$600,MATCH(1,($A59='Offer Statistics'!$BB$2:$BB$600)*($AC$2='Offer Statistics'!$BC$2:$BC$600),0)),"/")</f>
        <v>1308</v>
      </c>
      <c r="AP59" s="63" cm="1">
        <f t="array" ref="AP59">IFERROR(INDEX('Offer Statistics'!BH$2:BH$600,MATCH(1,($A59='Offer Statistics'!$BB$2:$BB$600)*($AC$2='Offer Statistics'!$BC$2:$BC$600),0)),"/")</f>
        <v>1150</v>
      </c>
      <c r="AQ59" s="15"/>
      <c r="AR59" s="15" t="str">
        <f t="shared" si="3"/>
        <v>JS4801</v>
      </c>
    </row>
    <row r="60" spans="1:44" ht="18" customHeight="1">
      <c r="A60" s="4" t="str">
        <f>'Reference Score Calculation'!B203</f>
        <v>JS4812</v>
      </c>
      <c r="B60" s="4" t="str">
        <f>'Reference Score Calculation'!D203</f>
        <v>社會科學院</v>
      </c>
      <c r="C60" s="4" t="str">
        <f>'Reference Score Calculation'!E203</f>
        <v>建築學</v>
      </c>
      <c r="D60" s="4" t="str">
        <f>'Reference Score Calculation'!S203</f>
        <v>ARCHITECTURE</v>
      </c>
      <c r="E60" s="352" t="str">
        <f>'Reference Score Calculation'!AC203</f>
        <v>Best 5</v>
      </c>
      <c r="F60" s="354" t="str">
        <f>'Reference Score Calculation'!F203</f>
        <v>Best 5</v>
      </c>
      <c r="G60" s="6">
        <f>'Reference Score Calculation'!H203</f>
        <v>31</v>
      </c>
      <c r="H60" s="6">
        <f>'Reference Score Calculation'!I203</f>
        <v>28</v>
      </c>
      <c r="I60" s="6">
        <f>'Reference Score Calculation'!J203</f>
        <v>27.25</v>
      </c>
      <c r="J60" s="45">
        <f>計分版!J226</f>
        <v>3.4999999999999999E-9</v>
      </c>
      <c r="K60" s="25">
        <f t="shared" si="0"/>
        <v>-27.999999996500001</v>
      </c>
      <c r="L60" s="26">
        <f t="shared" si="1"/>
        <v>-7999999999.000001</v>
      </c>
      <c r="M60" s="36">
        <f>'Reference Score Calculation'!U203</f>
        <v>31</v>
      </c>
      <c r="N60" s="84">
        <f>入學要求!Z212</f>
        <v>0</v>
      </c>
      <c r="O60" s="544"/>
      <c r="P60" s="161">
        <f>入學要求!L212</f>
        <v>3</v>
      </c>
      <c r="Q60" s="161">
        <f>入學要求!M212</f>
        <v>3</v>
      </c>
      <c r="R60" s="161">
        <f>入學要求!N212</f>
        <v>3</v>
      </c>
      <c r="S60" s="161">
        <f>入學要求!O212</f>
        <v>1</v>
      </c>
      <c r="T60" s="161">
        <f>入學要求!P212</f>
        <v>3</v>
      </c>
      <c r="U60" s="161">
        <f>入學要求!Q212</f>
        <v>3</v>
      </c>
      <c r="V60" s="236">
        <f>入學要求!S212</f>
        <v>0</v>
      </c>
      <c r="W60" s="236">
        <f>入學要求!T212</f>
        <v>0</v>
      </c>
      <c r="X60" s="236">
        <f>入學要求!U212</f>
        <v>0</v>
      </c>
      <c r="Y60" s="236">
        <f>入學要求!V212</f>
        <v>0</v>
      </c>
      <c r="Z60" s="236">
        <f>入學要求!W212</f>
        <v>0</v>
      </c>
      <c r="AA60" s="236">
        <f>入學要求!X212</f>
        <v>0</v>
      </c>
      <c r="AB60" s="36">
        <f t="shared" si="2"/>
        <v>4.67</v>
      </c>
      <c r="AC60" s="537"/>
      <c r="AD60" s="36" cm="1">
        <f t="array" ref="AD60">IFERROR(INDEX('Offer Statistics'!$BQ$2:$BQ$600,MATCH(1,($A60='Offer Statistics'!$BB$2:$BB$600)*($AC$2='Offer Statistics'!$BC$2:$BC$600),0)),"/")</f>
        <v>30</v>
      </c>
      <c r="AE60" s="63" cm="1">
        <f t="array" ref="AE60">IFERROR(INDEX('Offer Statistics'!BL$2:BL$600,MATCH(1,($A60='Offer Statistics'!$BB$2:$BB$600)*($AC$2='Offer Statistics'!$BC$2:$BC$600),0)),"/")</f>
        <v>30</v>
      </c>
      <c r="AF60" s="63" cm="1">
        <f t="array" ref="AF60">IFERROR(INDEX('Offer Statistics'!BM$2:BM$600,MATCH(1,($A60='Offer Statistics'!$BB$2:$BB$600)*($AC$2='Offer Statistics'!$BC$2:$BC$600),0)),"/")</f>
        <v>0</v>
      </c>
      <c r="AG60" s="63" cm="1">
        <f t="array" ref="AG60">IFERROR(INDEX('Offer Statistics'!BN$2:BN$600,MATCH(1,($A60='Offer Statistics'!$BB$2:$BB$600)*($AC$2='Offer Statistics'!$BC$2:$BC$600),0)),"/")</f>
        <v>0</v>
      </c>
      <c r="AH60" s="63" cm="1">
        <f t="array" ref="AH60">IFERROR(INDEX('Offer Statistics'!BO$2:BO$600,MATCH(1,($A60='Offer Statistics'!$BB$2:$BB$600)*($AC$2='Offer Statistics'!$BC$2:$BC$600),0)),"/")</f>
        <v>0</v>
      </c>
      <c r="AI60" s="63" cm="1">
        <f t="array" ref="AI60">IFERROR(INDEX('Offer Statistics'!BP$2:BP$600,MATCH(1,($A60='Offer Statistics'!$BB$2:$BB$600)*($AC$2='Offer Statistics'!$BC$2:$BC$600),0)),"/")</f>
        <v>0</v>
      </c>
      <c r="AJ60" s="538"/>
      <c r="AK60" s="36" cm="1">
        <f t="array" ref="AK60">IFERROR(INDEX('Offer Statistics'!$BI$2:$BI$600,MATCH(1,($A60='Offer Statistics'!$BB$2:$BB$600)*($AC$2='Offer Statistics'!$BC$2:$BC$600),0)),"/")</f>
        <v>943</v>
      </c>
      <c r="AL60" s="63" cm="1">
        <f t="array" ref="AL60">IFERROR(INDEX('Offer Statistics'!BD$2:BD$600,MATCH(1,($A60='Offer Statistics'!$BB$2:$BB$600)*($AC$2='Offer Statistics'!$BC$2:$BC$600),0)),"/")</f>
        <v>140</v>
      </c>
      <c r="AM60" s="63" cm="1">
        <f t="array" ref="AM60">IFERROR(INDEX('Offer Statistics'!BE$2:BE$600,MATCH(1,($A60='Offer Statistics'!$BB$2:$BB$600)*($AC$2='Offer Statistics'!$BC$2:$BC$600),0)),"/")</f>
        <v>94</v>
      </c>
      <c r="AN60" s="63" cm="1">
        <f t="array" ref="AN60">IFERROR(INDEX('Offer Statistics'!BF$2:BF$600,MATCH(1,($A60='Offer Statistics'!$BB$2:$BB$600)*($AC$2='Offer Statistics'!$BC$2:$BC$600),0)),"/")</f>
        <v>172</v>
      </c>
      <c r="AO60" s="63" cm="1">
        <f t="array" ref="AO60">IFERROR(INDEX('Offer Statistics'!BG$2:BG$600,MATCH(1,($A60='Offer Statistics'!$BB$2:$BB$600)*($AC$2='Offer Statistics'!$BC$2:$BC$600),0)),"/")</f>
        <v>273</v>
      </c>
      <c r="AP60" s="63" cm="1">
        <f t="array" ref="AP60">IFERROR(INDEX('Offer Statistics'!BH$2:BH$600,MATCH(1,($A60='Offer Statistics'!$BB$2:$BB$600)*($AC$2='Offer Statistics'!$BC$2:$BC$600),0)),"/")</f>
        <v>264</v>
      </c>
      <c r="AQ60" s="15"/>
      <c r="AR60" s="15" t="str">
        <f t="shared" si="3"/>
        <v>JS4812</v>
      </c>
    </row>
    <row r="61" spans="1:44" s="10" customFormat="1" ht="18" customHeight="1">
      <c r="A61" s="4" t="str">
        <f>'Reference Score Calculation'!B204</f>
        <v>JS4824</v>
      </c>
      <c r="B61" s="4" t="str">
        <f>'Reference Score Calculation'!D204</f>
        <v>社會科學院</v>
      </c>
      <c r="C61" s="4" t="str">
        <f>'Reference Score Calculation'!E204</f>
        <v>經濟學</v>
      </c>
      <c r="D61" s="4" t="str">
        <f>'Reference Score Calculation'!S204</f>
        <v>ECONOMICS</v>
      </c>
      <c r="E61" s="352" t="str">
        <f>'Reference Score Calculation'!AC204</f>
        <v>Best 5</v>
      </c>
      <c r="F61" s="354" t="str">
        <f>'Reference Score Calculation'!F204</f>
        <v>Best 5</v>
      </c>
      <c r="G61" s="6">
        <f>'Reference Score Calculation'!H204</f>
        <v>32.25</v>
      </c>
      <c r="H61" s="6">
        <f>'Reference Score Calculation'!I204</f>
        <v>30</v>
      </c>
      <c r="I61" s="6">
        <f>'Reference Score Calculation'!J204</f>
        <v>29</v>
      </c>
      <c r="J61" s="45">
        <f>計分版!J227</f>
        <v>3.7500000000000005E-9</v>
      </c>
      <c r="K61" s="25">
        <f t="shared" si="0"/>
        <v>-29.999999996250001</v>
      </c>
      <c r="L61" s="26">
        <f t="shared" si="1"/>
        <v>-7999999998.999999</v>
      </c>
      <c r="M61" s="36">
        <f>'Reference Score Calculation'!U204</f>
        <v>65</v>
      </c>
      <c r="N61" s="84">
        <f>入學要求!Z213</f>
        <v>0</v>
      </c>
      <c r="O61" s="544"/>
      <c r="P61" s="161">
        <f>入學要求!L213</f>
        <v>3</v>
      </c>
      <c r="Q61" s="161">
        <f>入學要求!M213</f>
        <v>3</v>
      </c>
      <c r="R61" s="161">
        <f>入學要求!N213</f>
        <v>3</v>
      </c>
      <c r="S61" s="161">
        <f>入學要求!O213</f>
        <v>1</v>
      </c>
      <c r="T61" s="161">
        <f>入學要求!P213</f>
        <v>3</v>
      </c>
      <c r="U61" s="161">
        <f>入學要求!Q213</f>
        <v>3</v>
      </c>
      <c r="V61" s="236">
        <f>入學要求!S213</f>
        <v>0</v>
      </c>
      <c r="W61" s="236">
        <f>入學要求!T213</f>
        <v>0</v>
      </c>
      <c r="X61" s="236">
        <f>入學要求!U213</f>
        <v>0</v>
      </c>
      <c r="Y61" s="236">
        <f>入學要求!V213</f>
        <v>0</v>
      </c>
      <c r="Z61" s="236">
        <f>入學要求!W213</f>
        <v>0</v>
      </c>
      <c r="AA61" s="236">
        <f>入學要求!X213</f>
        <v>0</v>
      </c>
      <c r="AB61" s="36">
        <f t="shared" si="2"/>
        <v>6.07</v>
      </c>
      <c r="AC61" s="537"/>
      <c r="AD61" s="36" cm="1">
        <f t="array" ref="AD61">IFERROR(INDEX('Offer Statistics'!$BQ$2:$BQ$600,MATCH(1,($A61='Offer Statistics'!$BB$2:$BB$600)*($AC$2='Offer Statistics'!$BC$2:$BC$600),0)),"/")</f>
        <v>55</v>
      </c>
      <c r="AE61" s="63" cm="1">
        <f t="array" ref="AE61">IFERROR(INDEX('Offer Statistics'!BL$2:BL$600,MATCH(1,($A61='Offer Statistics'!$BB$2:$BB$600)*($AC$2='Offer Statistics'!$BC$2:$BC$600),0)),"/")</f>
        <v>55</v>
      </c>
      <c r="AF61" s="63" cm="1">
        <f t="array" ref="AF61">IFERROR(INDEX('Offer Statistics'!BM$2:BM$600,MATCH(1,($A61='Offer Statistics'!$BB$2:$BB$600)*($AC$2='Offer Statistics'!$BC$2:$BC$600),0)),"/")</f>
        <v>0</v>
      </c>
      <c r="AG61" s="63" cm="1">
        <f t="array" ref="AG61">IFERROR(INDEX('Offer Statistics'!BN$2:BN$600,MATCH(1,($A61='Offer Statistics'!$BB$2:$BB$600)*($AC$2='Offer Statistics'!$BC$2:$BC$600),0)),"/")</f>
        <v>0</v>
      </c>
      <c r="AH61" s="63" cm="1">
        <f t="array" ref="AH61">IFERROR(INDEX('Offer Statistics'!BO$2:BO$600,MATCH(1,($A61='Offer Statistics'!$BB$2:$BB$600)*($AC$2='Offer Statistics'!$BC$2:$BC$600),0)),"/")</f>
        <v>0</v>
      </c>
      <c r="AI61" s="63" cm="1">
        <f t="array" ref="AI61">IFERROR(INDEX('Offer Statistics'!BP$2:BP$600,MATCH(1,($A61='Offer Statistics'!$BB$2:$BB$600)*($AC$2='Offer Statistics'!$BC$2:$BC$600),0)),"/")</f>
        <v>0</v>
      </c>
      <c r="AJ61" s="538"/>
      <c r="AK61" s="36" cm="1">
        <f t="array" ref="AK61">IFERROR(INDEX('Offer Statistics'!$BI$2:$BI$600,MATCH(1,($A61='Offer Statistics'!$BB$2:$BB$600)*($AC$2='Offer Statistics'!$BC$2:$BC$600),0)),"/")</f>
        <v>2303</v>
      </c>
      <c r="AL61" s="63" cm="1">
        <f t="array" ref="AL61">IFERROR(INDEX('Offer Statistics'!BD$2:BD$600,MATCH(1,($A61='Offer Statistics'!$BB$2:$BB$600)*($AC$2='Offer Statistics'!$BC$2:$BC$600),0)),"/")</f>
        <v>334</v>
      </c>
      <c r="AM61" s="63" cm="1">
        <f t="array" ref="AM61">IFERROR(INDEX('Offer Statistics'!BE$2:BE$600,MATCH(1,($A61='Offer Statistics'!$BB$2:$BB$600)*($AC$2='Offer Statistics'!$BC$2:$BC$600),0)),"/")</f>
        <v>321</v>
      </c>
      <c r="AN61" s="63" cm="1">
        <f t="array" ref="AN61">IFERROR(INDEX('Offer Statistics'!BF$2:BF$600,MATCH(1,($A61='Offer Statistics'!$BB$2:$BB$600)*($AC$2='Offer Statistics'!$BC$2:$BC$600),0)),"/")</f>
        <v>470</v>
      </c>
      <c r="AO61" s="63" cm="1">
        <f t="array" ref="AO61">IFERROR(INDEX('Offer Statistics'!BG$2:BG$600,MATCH(1,($A61='Offer Statistics'!$BB$2:$BB$600)*($AC$2='Offer Statistics'!$BC$2:$BC$600),0)),"/")</f>
        <v>620</v>
      </c>
      <c r="AP61" s="63" cm="1">
        <f t="array" ref="AP61">IFERROR(INDEX('Offer Statistics'!BH$2:BH$600,MATCH(1,($A61='Offer Statistics'!$BB$2:$BB$600)*($AC$2='Offer Statistics'!$BC$2:$BC$600),0)),"/")</f>
        <v>558</v>
      </c>
      <c r="AQ61" s="15"/>
      <c r="AR61" s="15" t="str">
        <f t="shared" si="3"/>
        <v>JS4824</v>
      </c>
    </row>
    <row r="62" spans="1:44" ht="18" customHeight="1">
      <c r="A62" s="4" t="str">
        <f>'Reference Score Calculation'!B205</f>
        <v>JS4836</v>
      </c>
      <c r="B62" s="4" t="str">
        <f>'Reference Score Calculation'!D205</f>
        <v>社會科學院</v>
      </c>
      <c r="C62" s="4" t="str">
        <f>'Reference Score Calculation'!E205</f>
        <v>地理與資源管理學</v>
      </c>
      <c r="D62" s="4" t="str">
        <f>'Reference Score Calculation'!S205</f>
        <v>GEO &amp; RES MGT</v>
      </c>
      <c r="E62" s="352" t="str">
        <f>'Reference Score Calculation'!AC205</f>
        <v>Best 5</v>
      </c>
      <c r="F62" s="354" t="str">
        <f>'Reference Score Calculation'!F205</f>
        <v>Best 5</v>
      </c>
      <c r="G62" s="6">
        <f>'Reference Score Calculation'!H205</f>
        <v>32.25</v>
      </c>
      <c r="H62" s="6">
        <f>'Reference Score Calculation'!I205</f>
        <v>30.75</v>
      </c>
      <c r="I62" s="6">
        <f>'Reference Score Calculation'!J205</f>
        <v>30</v>
      </c>
      <c r="J62" s="45">
        <f>計分版!J228</f>
        <v>3.4999999999999999E-9</v>
      </c>
      <c r="K62" s="25">
        <f t="shared" si="0"/>
        <v>-30.749999996500001</v>
      </c>
      <c r="L62" s="26">
        <f t="shared" si="1"/>
        <v>-8785714284.7142868</v>
      </c>
      <c r="M62" s="36">
        <f>'Reference Score Calculation'!U205</f>
        <v>39</v>
      </c>
      <c r="N62" s="84">
        <f>入學要求!Z214</f>
        <v>0</v>
      </c>
      <c r="O62" s="544"/>
      <c r="P62" s="161">
        <f>入學要求!L214</f>
        <v>3</v>
      </c>
      <c r="Q62" s="161">
        <f>入學要求!M214</f>
        <v>3</v>
      </c>
      <c r="R62" s="161">
        <f>入學要求!N214</f>
        <v>2</v>
      </c>
      <c r="S62" s="161">
        <f>入學要求!O214</f>
        <v>1</v>
      </c>
      <c r="T62" s="161">
        <f>入學要求!P214</f>
        <v>3</v>
      </c>
      <c r="U62" s="161">
        <f>入學要求!Q214</f>
        <v>3</v>
      </c>
      <c r="V62" s="236">
        <f>入學要求!S214</f>
        <v>0</v>
      </c>
      <c r="W62" s="236">
        <f>入學要求!T214</f>
        <v>0</v>
      </c>
      <c r="X62" s="236">
        <f>入學要求!U214</f>
        <v>0</v>
      </c>
      <c r="Y62" s="236">
        <f>入學要求!V214</f>
        <v>0</v>
      </c>
      <c r="Z62" s="236">
        <f>入學要求!W214</f>
        <v>0</v>
      </c>
      <c r="AA62" s="236">
        <f>入學要求!X214</f>
        <v>0</v>
      </c>
      <c r="AB62" s="36">
        <f t="shared" si="2"/>
        <v>6.93</v>
      </c>
      <c r="AC62" s="537"/>
      <c r="AD62" s="36" cm="1">
        <f t="array" ref="AD62">IFERROR(INDEX('Offer Statistics'!$BQ$2:$BQ$600,MATCH(1,($A62='Offer Statistics'!$BB$2:$BB$600)*($AC$2='Offer Statistics'!$BC$2:$BC$600),0)),"/")</f>
        <v>44</v>
      </c>
      <c r="AE62" s="63" cm="1">
        <f t="array" ref="AE62">IFERROR(INDEX('Offer Statistics'!BL$2:BL$600,MATCH(1,($A62='Offer Statistics'!$BB$2:$BB$600)*($AC$2='Offer Statistics'!$BC$2:$BC$600),0)),"/")</f>
        <v>44</v>
      </c>
      <c r="AF62" s="63" cm="1">
        <f t="array" ref="AF62">IFERROR(INDEX('Offer Statistics'!BM$2:BM$600,MATCH(1,($A62='Offer Statistics'!$BB$2:$BB$600)*($AC$2='Offer Statistics'!$BC$2:$BC$600),0)),"/")</f>
        <v>0</v>
      </c>
      <c r="AG62" s="63" cm="1">
        <f t="array" ref="AG62">IFERROR(INDEX('Offer Statistics'!BN$2:BN$600,MATCH(1,($A62='Offer Statistics'!$BB$2:$BB$600)*($AC$2='Offer Statistics'!$BC$2:$BC$600),0)),"/")</f>
        <v>0</v>
      </c>
      <c r="AH62" s="63" cm="1">
        <f t="array" ref="AH62">IFERROR(INDEX('Offer Statistics'!BO$2:BO$600,MATCH(1,($A62='Offer Statistics'!$BB$2:$BB$600)*($AC$2='Offer Statistics'!$BC$2:$BC$600),0)),"/")</f>
        <v>0</v>
      </c>
      <c r="AI62" s="63" cm="1">
        <f t="array" ref="AI62">IFERROR(INDEX('Offer Statistics'!BP$2:BP$600,MATCH(1,($A62='Offer Statistics'!$BB$2:$BB$600)*($AC$2='Offer Statistics'!$BC$2:$BC$600),0)),"/")</f>
        <v>0</v>
      </c>
      <c r="AJ62" s="538"/>
      <c r="AK62" s="36" cm="1">
        <f t="array" ref="AK62">IFERROR(INDEX('Offer Statistics'!$BI$2:$BI$600,MATCH(1,($A62='Offer Statistics'!$BB$2:$BB$600)*($AC$2='Offer Statistics'!$BC$2:$BC$600),0)),"/")</f>
        <v>1760</v>
      </c>
      <c r="AL62" s="63" cm="1">
        <f t="array" ref="AL62">IFERROR(INDEX('Offer Statistics'!BD$2:BD$600,MATCH(1,($A62='Offer Statistics'!$BB$2:$BB$600)*($AC$2='Offer Statistics'!$BC$2:$BC$600),0)),"/")</f>
        <v>305</v>
      </c>
      <c r="AM62" s="63" cm="1">
        <f t="array" ref="AM62">IFERROR(INDEX('Offer Statistics'!BE$2:BE$600,MATCH(1,($A62='Offer Statistics'!$BB$2:$BB$600)*($AC$2='Offer Statistics'!$BC$2:$BC$600),0)),"/")</f>
        <v>248</v>
      </c>
      <c r="AN62" s="63" cm="1">
        <f t="array" ref="AN62">IFERROR(INDEX('Offer Statistics'!BF$2:BF$600,MATCH(1,($A62='Offer Statistics'!$BB$2:$BB$600)*($AC$2='Offer Statistics'!$BC$2:$BC$600),0)),"/")</f>
        <v>358</v>
      </c>
      <c r="AO62" s="63" cm="1">
        <f t="array" ref="AO62">IFERROR(INDEX('Offer Statistics'!BG$2:BG$600,MATCH(1,($A62='Offer Statistics'!$BB$2:$BB$600)*($AC$2='Offer Statistics'!$BC$2:$BC$600),0)),"/")</f>
        <v>445</v>
      </c>
      <c r="AP62" s="63" cm="1">
        <f t="array" ref="AP62">IFERROR(INDEX('Offer Statistics'!BH$2:BH$600,MATCH(1,($A62='Offer Statistics'!$BB$2:$BB$600)*($AC$2='Offer Statistics'!$BC$2:$BC$600),0)),"/")</f>
        <v>404</v>
      </c>
      <c r="AQ62" s="15"/>
      <c r="AR62" s="15" t="str">
        <f t="shared" si="3"/>
        <v>JS4836</v>
      </c>
    </row>
    <row r="63" spans="1:44" s="10" customFormat="1" ht="18" customHeight="1">
      <c r="A63" s="4" t="str">
        <f>'Reference Score Calculation'!B206</f>
        <v>JS4838</v>
      </c>
      <c r="B63" s="4" t="str">
        <f>'Reference Score Calculation'!D206</f>
        <v>社會科學院</v>
      </c>
      <c r="C63" s="4" t="str">
        <f>'Reference Score Calculation'!E206</f>
        <v>城市研究</v>
      </c>
      <c r="D63" s="4" t="str">
        <f>'Reference Score Calculation'!S206</f>
        <v>URBAN STUDIES</v>
      </c>
      <c r="E63" s="352" t="str">
        <f>'Reference Score Calculation'!AC206</f>
        <v>Best 5</v>
      </c>
      <c r="F63" s="354" t="str">
        <f>'Reference Score Calculation'!F206</f>
        <v>Best 5</v>
      </c>
      <c r="G63" s="6">
        <f>'Reference Score Calculation'!H206</f>
        <v>26</v>
      </c>
      <c r="H63" s="6">
        <f>'Reference Score Calculation'!I206</f>
        <v>24.5</v>
      </c>
      <c r="I63" s="6">
        <f>'Reference Score Calculation'!J206</f>
        <v>24</v>
      </c>
      <c r="J63" s="45">
        <f>計分版!J229</f>
        <v>3.4999999999999999E-9</v>
      </c>
      <c r="K63" s="25">
        <f t="shared" si="0"/>
        <v>-24.499999996500001</v>
      </c>
      <c r="L63" s="26">
        <f t="shared" si="1"/>
        <v>-6999999999.000001</v>
      </c>
      <c r="M63" s="36">
        <f>'Reference Score Calculation'!U206</f>
        <v>19</v>
      </c>
      <c r="N63" s="84">
        <f>入學要求!Z215</f>
        <v>0</v>
      </c>
      <c r="O63" s="544"/>
      <c r="P63" s="161">
        <f>入學要求!L215</f>
        <v>3</v>
      </c>
      <c r="Q63" s="161">
        <f>入學要求!M215</f>
        <v>3</v>
      </c>
      <c r="R63" s="161">
        <f>入學要求!N215</f>
        <v>2</v>
      </c>
      <c r="S63" s="161">
        <f>入學要求!O215</f>
        <v>1</v>
      </c>
      <c r="T63" s="161">
        <f>入學要求!P215</f>
        <v>3</v>
      </c>
      <c r="U63" s="161">
        <f>入學要求!Q215</f>
        <v>3</v>
      </c>
      <c r="V63" s="236">
        <f>入學要求!S215</f>
        <v>0</v>
      </c>
      <c r="W63" s="236">
        <f>入學要求!T215</f>
        <v>0</v>
      </c>
      <c r="X63" s="236">
        <f>入學要求!U215</f>
        <v>0</v>
      </c>
      <c r="Y63" s="236">
        <f>入學要求!V215</f>
        <v>0</v>
      </c>
      <c r="Z63" s="236">
        <f>入學要求!W215</f>
        <v>0</v>
      </c>
      <c r="AA63" s="236">
        <f>入學要求!X215</f>
        <v>0</v>
      </c>
      <c r="AB63" s="36">
        <f t="shared" si="2"/>
        <v>8</v>
      </c>
      <c r="AC63" s="537"/>
      <c r="AD63" s="36" cm="1">
        <f t="array" ref="AD63">IFERROR(INDEX('Offer Statistics'!$BQ$2:$BQ$600,MATCH(1,($A63='Offer Statistics'!$BB$2:$BB$600)*($AC$2='Offer Statistics'!$BC$2:$BC$600),0)),"/")</f>
        <v>23</v>
      </c>
      <c r="AE63" s="63" cm="1">
        <f t="array" ref="AE63">IFERROR(INDEX('Offer Statistics'!BL$2:BL$600,MATCH(1,($A63='Offer Statistics'!$BB$2:$BB$600)*($AC$2='Offer Statistics'!$BC$2:$BC$600),0)),"/")</f>
        <v>23</v>
      </c>
      <c r="AF63" s="63" cm="1">
        <f t="array" ref="AF63">IFERROR(INDEX('Offer Statistics'!BM$2:BM$600,MATCH(1,($A63='Offer Statistics'!$BB$2:$BB$600)*($AC$2='Offer Statistics'!$BC$2:$BC$600),0)),"/")</f>
        <v>0</v>
      </c>
      <c r="AG63" s="63" cm="1">
        <f t="array" ref="AG63">IFERROR(INDEX('Offer Statistics'!BN$2:BN$600,MATCH(1,($A63='Offer Statistics'!$BB$2:$BB$600)*($AC$2='Offer Statistics'!$BC$2:$BC$600),0)),"/")</f>
        <v>0</v>
      </c>
      <c r="AH63" s="63" cm="1">
        <f t="array" ref="AH63">IFERROR(INDEX('Offer Statistics'!BO$2:BO$600,MATCH(1,($A63='Offer Statistics'!$BB$2:$BB$600)*($AC$2='Offer Statistics'!$BC$2:$BC$600),0)),"/")</f>
        <v>0</v>
      </c>
      <c r="AI63" s="63" cm="1">
        <f t="array" ref="AI63">IFERROR(INDEX('Offer Statistics'!BP$2:BP$600,MATCH(1,($A63='Offer Statistics'!$BB$2:$BB$600)*($AC$2='Offer Statistics'!$BC$2:$BC$600),0)),"/")</f>
        <v>0</v>
      </c>
      <c r="AJ63" s="538"/>
      <c r="AK63" s="36" cm="1">
        <f t="array" ref="AK63">IFERROR(INDEX('Offer Statistics'!$BI$2:$BI$600,MATCH(1,($A63='Offer Statistics'!$BB$2:$BB$600)*($AC$2='Offer Statistics'!$BC$2:$BC$600),0)),"/")</f>
        <v>1592</v>
      </c>
      <c r="AL63" s="63" cm="1">
        <f t="array" ref="AL63">IFERROR(INDEX('Offer Statistics'!BD$2:BD$600,MATCH(1,($A63='Offer Statistics'!$BB$2:$BB$600)*($AC$2='Offer Statistics'!$BC$2:$BC$600),0)),"/")</f>
        <v>184</v>
      </c>
      <c r="AM63" s="63" cm="1">
        <f t="array" ref="AM63">IFERROR(INDEX('Offer Statistics'!BE$2:BE$600,MATCH(1,($A63='Offer Statistics'!$BB$2:$BB$600)*($AC$2='Offer Statistics'!$BC$2:$BC$600),0)),"/")</f>
        <v>183</v>
      </c>
      <c r="AN63" s="63" cm="1">
        <f t="array" ref="AN63">IFERROR(INDEX('Offer Statistics'!BF$2:BF$600,MATCH(1,($A63='Offer Statistics'!$BB$2:$BB$600)*($AC$2='Offer Statistics'!$BC$2:$BC$600),0)),"/")</f>
        <v>322</v>
      </c>
      <c r="AO63" s="63" cm="1">
        <f t="array" ref="AO63">IFERROR(INDEX('Offer Statistics'!BG$2:BG$600,MATCH(1,($A63='Offer Statistics'!$BB$2:$BB$600)*($AC$2='Offer Statistics'!$BC$2:$BC$600),0)),"/")</f>
        <v>450</v>
      </c>
      <c r="AP63" s="63" cm="1">
        <f t="array" ref="AP63">IFERROR(INDEX('Offer Statistics'!BH$2:BH$600,MATCH(1,($A63='Offer Statistics'!$BB$2:$BB$600)*($AC$2='Offer Statistics'!$BC$2:$BC$600),0)),"/")</f>
        <v>453</v>
      </c>
      <c r="AQ63" s="15"/>
      <c r="AR63" s="15" t="str">
        <f t="shared" si="3"/>
        <v>JS4838</v>
      </c>
    </row>
    <row r="64" spans="1:44" ht="18" customHeight="1">
      <c r="A64" s="4" t="str">
        <f>'Reference Score Calculation'!B207</f>
        <v>JS4848</v>
      </c>
      <c r="B64" s="4" t="str">
        <f>'Reference Score Calculation'!D207</f>
        <v>社會科學院</v>
      </c>
      <c r="C64" s="4" t="str">
        <f>'Reference Score Calculation'!E207</f>
        <v>政治與行政學</v>
      </c>
      <c r="D64" s="4" t="str">
        <f>'Reference Score Calculation'!S207</f>
        <v>GOV'T &amp; PUBLIC ADMIN</v>
      </c>
      <c r="E64" s="352" t="str">
        <f>'Reference Score Calculation'!AC207</f>
        <v>Best 5</v>
      </c>
      <c r="F64" s="354" t="str">
        <f>'Reference Score Calculation'!F207</f>
        <v>Best 5</v>
      </c>
      <c r="G64" s="6">
        <f>'Reference Score Calculation'!H207</f>
        <v>27.125</v>
      </c>
      <c r="H64" s="6">
        <f>'Reference Score Calculation'!I207</f>
        <v>26.375</v>
      </c>
      <c r="I64" s="6">
        <f>'Reference Score Calculation'!J207</f>
        <v>25.5</v>
      </c>
      <c r="J64" s="45">
        <f>計分版!J230</f>
        <v>3.4999999999999999E-9</v>
      </c>
      <c r="K64" s="25">
        <f t="shared" si="0"/>
        <v>-26.374999996500001</v>
      </c>
      <c r="L64" s="26">
        <f t="shared" si="1"/>
        <v>-7535714284.7142868</v>
      </c>
      <c r="M64" s="36">
        <f>'Reference Score Calculation'!U207</f>
        <v>37</v>
      </c>
      <c r="N64" s="84">
        <f>入學要求!Z216</f>
        <v>0</v>
      </c>
      <c r="O64" s="544"/>
      <c r="P64" s="161">
        <f>入學要求!L216</f>
        <v>3</v>
      </c>
      <c r="Q64" s="161">
        <f>入學要求!M216</f>
        <v>3</v>
      </c>
      <c r="R64" s="161">
        <f>入學要求!N216</f>
        <v>2</v>
      </c>
      <c r="S64" s="161">
        <f>入學要求!O216</f>
        <v>1</v>
      </c>
      <c r="T64" s="161">
        <f>入學要求!P216</f>
        <v>3</v>
      </c>
      <c r="U64" s="161">
        <f>入學要求!Q216</f>
        <v>3</v>
      </c>
      <c r="V64" s="236">
        <f>入學要求!S216</f>
        <v>0</v>
      </c>
      <c r="W64" s="236">
        <f>入學要求!T216</f>
        <v>0</v>
      </c>
      <c r="X64" s="236">
        <f>入學要求!U216</f>
        <v>0</v>
      </c>
      <c r="Y64" s="236">
        <f>入學要求!V216</f>
        <v>0</v>
      </c>
      <c r="Z64" s="236">
        <f>入學要求!W216</f>
        <v>0</v>
      </c>
      <c r="AA64" s="236">
        <f>入學要求!X216</f>
        <v>0</v>
      </c>
      <c r="AB64" s="36">
        <f t="shared" si="2"/>
        <v>7.28</v>
      </c>
      <c r="AC64" s="537"/>
      <c r="AD64" s="36" cm="1">
        <f t="array" ref="AD64">IFERROR(INDEX('Offer Statistics'!$BQ$2:$BQ$600,MATCH(1,($A64='Offer Statistics'!$BB$2:$BB$600)*($AC$2='Offer Statistics'!$BC$2:$BC$600),0)),"/")</f>
        <v>39</v>
      </c>
      <c r="AE64" s="63" cm="1">
        <f t="array" ref="AE64">IFERROR(INDEX('Offer Statistics'!BL$2:BL$600,MATCH(1,($A64='Offer Statistics'!$BB$2:$BB$600)*($AC$2='Offer Statistics'!$BC$2:$BC$600),0)),"/")</f>
        <v>39</v>
      </c>
      <c r="AF64" s="63" cm="1">
        <f t="array" ref="AF64">IFERROR(INDEX('Offer Statistics'!BM$2:BM$600,MATCH(1,($A64='Offer Statistics'!$BB$2:$BB$600)*($AC$2='Offer Statistics'!$BC$2:$BC$600),0)),"/")</f>
        <v>0</v>
      </c>
      <c r="AG64" s="63" cm="1">
        <f t="array" ref="AG64">IFERROR(INDEX('Offer Statistics'!BN$2:BN$600,MATCH(1,($A64='Offer Statistics'!$BB$2:$BB$600)*($AC$2='Offer Statistics'!$BC$2:$BC$600),0)),"/")</f>
        <v>0</v>
      </c>
      <c r="AH64" s="63" cm="1">
        <f t="array" ref="AH64">IFERROR(INDEX('Offer Statistics'!BO$2:BO$600,MATCH(1,($A64='Offer Statistics'!$BB$2:$BB$600)*($AC$2='Offer Statistics'!$BC$2:$BC$600),0)),"/")</f>
        <v>0</v>
      </c>
      <c r="AI64" s="63" cm="1">
        <f t="array" ref="AI64">IFERROR(INDEX('Offer Statistics'!BP$2:BP$600,MATCH(1,($A64='Offer Statistics'!$BB$2:$BB$600)*($AC$2='Offer Statistics'!$BC$2:$BC$600),0)),"/")</f>
        <v>0</v>
      </c>
      <c r="AJ64" s="538"/>
      <c r="AK64" s="36" cm="1">
        <f t="array" ref="AK64">IFERROR(INDEX('Offer Statistics'!$BI$2:$BI$600,MATCH(1,($A64='Offer Statistics'!$BB$2:$BB$600)*($AC$2='Offer Statistics'!$BC$2:$BC$600),0)),"/")</f>
        <v>1404</v>
      </c>
      <c r="AL64" s="63" cm="1">
        <f t="array" ref="AL64">IFERROR(INDEX('Offer Statistics'!BD$2:BD$600,MATCH(1,($A64='Offer Statistics'!$BB$2:$BB$600)*($AC$2='Offer Statistics'!$BC$2:$BC$600),0)),"/")</f>
        <v>284</v>
      </c>
      <c r="AM64" s="63" cm="1">
        <f t="array" ref="AM64">IFERROR(INDEX('Offer Statistics'!BE$2:BE$600,MATCH(1,($A64='Offer Statistics'!$BB$2:$BB$600)*($AC$2='Offer Statistics'!$BC$2:$BC$600),0)),"/")</f>
        <v>182</v>
      </c>
      <c r="AN64" s="63" cm="1">
        <f t="array" ref="AN64">IFERROR(INDEX('Offer Statistics'!BF$2:BF$600,MATCH(1,($A64='Offer Statistics'!$BB$2:$BB$600)*($AC$2='Offer Statistics'!$BC$2:$BC$600),0)),"/")</f>
        <v>284</v>
      </c>
      <c r="AO64" s="63" cm="1">
        <f t="array" ref="AO64">IFERROR(INDEX('Offer Statistics'!BG$2:BG$600,MATCH(1,($A64='Offer Statistics'!$BB$2:$BB$600)*($AC$2='Offer Statistics'!$BC$2:$BC$600),0)),"/")</f>
        <v>333</v>
      </c>
      <c r="AP64" s="63" cm="1">
        <f t="array" ref="AP64">IFERROR(INDEX('Offer Statistics'!BH$2:BH$600,MATCH(1,($A64='Offer Statistics'!$BB$2:$BB$600)*($AC$2='Offer Statistics'!$BC$2:$BC$600),0)),"/")</f>
        <v>321</v>
      </c>
      <c r="AQ64" s="15"/>
      <c r="AR64" s="15" t="str">
        <f t="shared" si="3"/>
        <v>JS4848</v>
      </c>
    </row>
    <row r="65" spans="1:44" s="10" customFormat="1" ht="18" customHeight="1">
      <c r="A65" s="4" t="str">
        <f>'Reference Score Calculation'!B208</f>
        <v>JS4850</v>
      </c>
      <c r="B65" s="4" t="str">
        <f>'Reference Score Calculation'!D208</f>
        <v>社會科學院</v>
      </c>
      <c r="C65" s="4" t="str">
        <f>'Reference Score Calculation'!E208</f>
        <v>新聞與傳播學</v>
      </c>
      <c r="D65" s="4" t="str">
        <f>'Reference Score Calculation'!S208</f>
        <v>JOURNALISM &amp; COMMUN</v>
      </c>
      <c r="E65" s="352" t="str">
        <f>'Reference Score Calculation'!AC208</f>
        <v>Best 5</v>
      </c>
      <c r="F65" s="354" t="str">
        <f>'Reference Score Calculation'!F208</f>
        <v>Best 5</v>
      </c>
      <c r="G65" s="6">
        <f>'Reference Score Calculation'!H208</f>
        <v>31.85</v>
      </c>
      <c r="H65" s="6">
        <f>'Reference Score Calculation'!I208</f>
        <v>29.75</v>
      </c>
      <c r="I65" s="6">
        <f>'Reference Score Calculation'!J208</f>
        <v>28.45</v>
      </c>
      <c r="J65" s="45">
        <f>計分版!J231</f>
        <v>3.4999999999999999E-9</v>
      </c>
      <c r="K65" s="25">
        <f t="shared" si="0"/>
        <v>-29.749999996500001</v>
      </c>
      <c r="L65" s="26">
        <f t="shared" si="1"/>
        <v>-8499999999.000001</v>
      </c>
      <c r="M65" s="36">
        <f>'Reference Score Calculation'!U208</f>
        <v>43</v>
      </c>
      <c r="N65" s="84">
        <f>入學要求!Z217</f>
        <v>0</v>
      </c>
      <c r="O65" s="544"/>
      <c r="P65" s="161">
        <f>入學要求!L217</f>
        <v>3</v>
      </c>
      <c r="Q65" s="161">
        <f>入學要求!M217</f>
        <v>3</v>
      </c>
      <c r="R65" s="161">
        <f>入學要求!N217</f>
        <v>2</v>
      </c>
      <c r="S65" s="161">
        <f>入學要求!O217</f>
        <v>1</v>
      </c>
      <c r="T65" s="161">
        <f>入學要求!P217</f>
        <v>3</v>
      </c>
      <c r="U65" s="161">
        <f>入學要求!Q217</f>
        <v>3</v>
      </c>
      <c r="V65" s="236">
        <f>入學要求!S217</f>
        <v>0</v>
      </c>
      <c r="W65" s="236">
        <f>入學要求!T217</f>
        <v>0</v>
      </c>
      <c r="X65" s="236">
        <f>入學要求!U217</f>
        <v>0</v>
      </c>
      <c r="Y65" s="236">
        <f>入學要求!V217</f>
        <v>0</v>
      </c>
      <c r="Z65" s="236">
        <f>入學要求!W217</f>
        <v>0</v>
      </c>
      <c r="AA65" s="236">
        <f>入學要求!X217</f>
        <v>0</v>
      </c>
      <c r="AB65" s="36">
        <f t="shared" si="2"/>
        <v>3.49</v>
      </c>
      <c r="AC65" s="537"/>
      <c r="AD65" s="36" cm="1">
        <f t="array" ref="AD65">IFERROR(INDEX('Offer Statistics'!$BQ$2:$BQ$600,MATCH(1,($A65='Offer Statistics'!$BB$2:$BB$600)*($AC$2='Offer Statistics'!$BC$2:$BC$600),0)),"/")</f>
        <v>43</v>
      </c>
      <c r="AE65" s="63" cm="1">
        <f t="array" ref="AE65">IFERROR(INDEX('Offer Statistics'!BL$2:BL$600,MATCH(1,($A65='Offer Statistics'!$BB$2:$BB$600)*($AC$2='Offer Statistics'!$BC$2:$BC$600),0)),"/")</f>
        <v>43</v>
      </c>
      <c r="AF65" s="63" cm="1">
        <f t="array" ref="AF65">IFERROR(INDEX('Offer Statistics'!BM$2:BM$600,MATCH(1,($A65='Offer Statistics'!$BB$2:$BB$600)*($AC$2='Offer Statistics'!$BC$2:$BC$600),0)),"/")</f>
        <v>0</v>
      </c>
      <c r="AG65" s="63" cm="1">
        <f t="array" ref="AG65">IFERROR(INDEX('Offer Statistics'!BN$2:BN$600,MATCH(1,($A65='Offer Statistics'!$BB$2:$BB$600)*($AC$2='Offer Statistics'!$BC$2:$BC$600),0)),"/")</f>
        <v>0</v>
      </c>
      <c r="AH65" s="63" cm="1">
        <f t="array" ref="AH65">IFERROR(INDEX('Offer Statistics'!BO$2:BO$600,MATCH(1,($A65='Offer Statistics'!$BB$2:$BB$600)*($AC$2='Offer Statistics'!$BC$2:$BC$600),0)),"/")</f>
        <v>0</v>
      </c>
      <c r="AI65" s="63" cm="1">
        <f t="array" ref="AI65">IFERROR(INDEX('Offer Statistics'!BP$2:BP$600,MATCH(1,($A65='Offer Statistics'!$BB$2:$BB$600)*($AC$2='Offer Statistics'!$BC$2:$BC$600),0)),"/")</f>
        <v>0</v>
      </c>
      <c r="AJ65" s="538"/>
      <c r="AK65" s="36" cm="1">
        <f t="array" ref="AK65">IFERROR(INDEX('Offer Statistics'!$BI$2:$BI$600,MATCH(1,($A65='Offer Statistics'!$BB$2:$BB$600)*($AC$2='Offer Statistics'!$BC$2:$BC$600),0)),"/")</f>
        <v>1563</v>
      </c>
      <c r="AL65" s="63" cm="1">
        <f t="array" ref="AL65">IFERROR(INDEX('Offer Statistics'!BD$2:BD$600,MATCH(1,($A65='Offer Statistics'!$BB$2:$BB$600)*($AC$2='Offer Statistics'!$BC$2:$BC$600),0)),"/")</f>
        <v>150</v>
      </c>
      <c r="AM65" s="63" cm="1">
        <f t="array" ref="AM65">IFERROR(INDEX('Offer Statistics'!BE$2:BE$600,MATCH(1,($A65='Offer Statistics'!$BB$2:$BB$600)*($AC$2='Offer Statistics'!$BC$2:$BC$600),0)),"/")</f>
        <v>153</v>
      </c>
      <c r="AN65" s="63" cm="1">
        <f t="array" ref="AN65">IFERROR(INDEX('Offer Statistics'!BF$2:BF$600,MATCH(1,($A65='Offer Statistics'!$BB$2:$BB$600)*($AC$2='Offer Statistics'!$BC$2:$BC$600),0)),"/")</f>
        <v>306</v>
      </c>
      <c r="AO65" s="63" cm="1">
        <f t="array" ref="AO65">IFERROR(INDEX('Offer Statistics'!BG$2:BG$600,MATCH(1,($A65='Offer Statistics'!$BB$2:$BB$600)*($AC$2='Offer Statistics'!$BC$2:$BC$600),0)),"/")</f>
        <v>477</v>
      </c>
      <c r="AP65" s="63" cm="1">
        <f t="array" ref="AP65">IFERROR(INDEX('Offer Statistics'!BH$2:BH$600,MATCH(1,($A65='Offer Statistics'!$BB$2:$BB$600)*($AC$2='Offer Statistics'!$BC$2:$BC$600),0)),"/")</f>
        <v>477</v>
      </c>
      <c r="AQ65" s="15"/>
      <c r="AR65" s="15" t="str">
        <f t="shared" si="3"/>
        <v>JS4850</v>
      </c>
    </row>
    <row r="66" spans="1:44" s="10" customFormat="1" ht="18" customHeight="1">
      <c r="A66" s="4" t="str">
        <f>'Reference Score Calculation'!B209</f>
        <v>JS4858</v>
      </c>
      <c r="B66" s="4" t="str">
        <f>'Reference Score Calculation'!D209</f>
        <v>社會科學院</v>
      </c>
      <c r="C66" s="4" t="str">
        <f>'Reference Score Calculation'!E209</f>
        <v>全球傳播</v>
      </c>
      <c r="D66" s="4" t="str">
        <f>'Reference Score Calculation'!S209</f>
        <v>GLOBAL COMM</v>
      </c>
      <c r="E66" s="352" t="str">
        <f>'Reference Score Calculation'!AC209</f>
        <v>Best 5</v>
      </c>
      <c r="F66" s="354" t="str">
        <f>'Reference Score Calculation'!F209</f>
        <v>Best 5</v>
      </c>
      <c r="G66" s="6" t="str">
        <f>'Reference Score Calculation'!H209</f>
        <v>/</v>
      </c>
      <c r="H66" s="6" t="str">
        <f>'Reference Score Calculation'!I209</f>
        <v>/</v>
      </c>
      <c r="I66" s="6" t="str">
        <f>'Reference Score Calculation'!J209</f>
        <v>/</v>
      </c>
      <c r="J66" s="45" t="str">
        <f>計分版!J232</f>
        <v>/</v>
      </c>
      <c r="K66" s="7" t="str">
        <f t="shared" si="0"/>
        <v>/</v>
      </c>
      <c r="L66" s="8" t="str">
        <f t="shared" si="1"/>
        <v>/</v>
      </c>
      <c r="M66" s="36">
        <f>'Reference Score Calculation'!U209</f>
        <v>9</v>
      </c>
      <c r="N66" s="84">
        <f>入學要求!Z218</f>
        <v>0</v>
      </c>
      <c r="O66" s="544"/>
      <c r="P66" s="161">
        <f>入學要求!L218</f>
        <v>3</v>
      </c>
      <c r="Q66" s="161">
        <f>入學要求!M218</f>
        <v>4</v>
      </c>
      <c r="R66" s="161">
        <f>入學要求!N218</f>
        <v>2</v>
      </c>
      <c r="S66" s="161">
        <f>入學要求!O218</f>
        <v>1</v>
      </c>
      <c r="T66" s="161">
        <f>入學要求!P218</f>
        <v>3</v>
      </c>
      <c r="U66" s="161">
        <f>入學要求!Q218</f>
        <v>3</v>
      </c>
      <c r="V66" s="236">
        <f>入學要求!S218</f>
        <v>0</v>
      </c>
      <c r="W66" s="236">
        <f>入學要求!T218</f>
        <v>0</v>
      </c>
      <c r="X66" s="236">
        <f>入學要求!U218</f>
        <v>0</v>
      </c>
      <c r="Y66" s="236">
        <f>入學要求!V218</f>
        <v>0</v>
      </c>
      <c r="Z66" s="236">
        <f>入學要求!W218</f>
        <v>0</v>
      </c>
      <c r="AA66" s="236">
        <f>入學要求!X218</f>
        <v>0</v>
      </c>
      <c r="AB66" s="36">
        <f t="shared" si="2"/>
        <v>5.75</v>
      </c>
      <c r="AC66" s="537"/>
      <c r="AD66" s="36" cm="1">
        <f t="array" ref="AD66">IFERROR(INDEX('Offer Statistics'!$BQ$2:$BQ$600,MATCH(1,($A66='Offer Statistics'!$BB$2:$BB$600)*($AC$2='Offer Statistics'!$BC$2:$BC$600),0)),"/")</f>
        <v>4</v>
      </c>
      <c r="AE66" s="63" cm="1">
        <f t="array" ref="AE66">IFERROR(INDEX('Offer Statistics'!BL$2:BL$600,MATCH(1,($A66='Offer Statistics'!$BB$2:$BB$600)*($AC$2='Offer Statistics'!$BC$2:$BC$600),0)),"/")</f>
        <v>4</v>
      </c>
      <c r="AF66" s="63" cm="1">
        <f t="array" ref="AF66">IFERROR(INDEX('Offer Statistics'!BM$2:BM$600,MATCH(1,($A66='Offer Statistics'!$BB$2:$BB$600)*($AC$2='Offer Statistics'!$BC$2:$BC$600),0)),"/")</f>
        <v>0</v>
      </c>
      <c r="AG66" s="63" cm="1">
        <f t="array" ref="AG66">IFERROR(INDEX('Offer Statistics'!BN$2:BN$600,MATCH(1,($A66='Offer Statistics'!$BB$2:$BB$600)*($AC$2='Offer Statistics'!$BC$2:$BC$600),0)),"/")</f>
        <v>0</v>
      </c>
      <c r="AH66" s="63" cm="1">
        <f t="array" ref="AH66">IFERROR(INDEX('Offer Statistics'!BO$2:BO$600,MATCH(1,($A66='Offer Statistics'!$BB$2:$BB$600)*($AC$2='Offer Statistics'!$BC$2:$BC$600),0)),"/")</f>
        <v>0</v>
      </c>
      <c r="AI66" s="63" cm="1">
        <f t="array" ref="AI66">IFERROR(INDEX('Offer Statistics'!BP$2:BP$600,MATCH(1,($A66='Offer Statistics'!$BB$2:$BB$600)*($AC$2='Offer Statistics'!$BC$2:$BC$600),0)),"/")</f>
        <v>0</v>
      </c>
      <c r="AJ66" s="538"/>
      <c r="AK66" s="36" cm="1">
        <f t="array" ref="AK66">IFERROR(INDEX('Offer Statistics'!$BI$2:$BI$600,MATCH(1,($A66='Offer Statistics'!$BB$2:$BB$600)*($AC$2='Offer Statistics'!$BC$2:$BC$600),0)),"/")</f>
        <v>539</v>
      </c>
      <c r="AL66" s="63" cm="1">
        <f t="array" ref="AL66">IFERROR(INDEX('Offer Statistics'!BD$2:BD$600,MATCH(1,($A66='Offer Statistics'!$BB$2:$BB$600)*($AC$2='Offer Statistics'!$BC$2:$BC$600),0)),"/")</f>
        <v>23</v>
      </c>
      <c r="AM66" s="63" cm="1">
        <f t="array" ref="AM66">IFERROR(INDEX('Offer Statistics'!BE$2:BE$600,MATCH(1,($A66='Offer Statistics'!$BB$2:$BB$600)*($AC$2='Offer Statistics'!$BC$2:$BC$600),0)),"/")</f>
        <v>49</v>
      </c>
      <c r="AN66" s="63" cm="1">
        <f t="array" ref="AN66">IFERROR(INDEX('Offer Statistics'!BF$2:BF$600,MATCH(1,($A66='Offer Statistics'!$BB$2:$BB$600)*($AC$2='Offer Statistics'!$BC$2:$BC$600),0)),"/")</f>
        <v>96</v>
      </c>
      <c r="AO66" s="63" cm="1">
        <f t="array" ref="AO66">IFERROR(INDEX('Offer Statistics'!BG$2:BG$600,MATCH(1,($A66='Offer Statistics'!$BB$2:$BB$600)*($AC$2='Offer Statistics'!$BC$2:$BC$600),0)),"/")</f>
        <v>178</v>
      </c>
      <c r="AP66" s="63" cm="1">
        <f t="array" ref="AP66">IFERROR(INDEX('Offer Statistics'!BH$2:BH$600,MATCH(1,($A66='Offer Statistics'!$BB$2:$BB$600)*($AC$2='Offer Statistics'!$BC$2:$BC$600),0)),"/")</f>
        <v>193</v>
      </c>
      <c r="AQ66" s="15"/>
      <c r="AR66" s="15" t="str">
        <f t="shared" si="3"/>
        <v>JS4858</v>
      </c>
    </row>
    <row r="67" spans="1:44" s="10" customFormat="1" ht="18" customHeight="1">
      <c r="A67" s="4" t="str">
        <f>'Reference Score Calculation'!B210</f>
        <v>JS4862</v>
      </c>
      <c r="B67" s="4" t="str">
        <f>'Reference Score Calculation'!D210</f>
        <v>社會科學院</v>
      </c>
      <c r="C67" s="4" t="str">
        <f>'Reference Score Calculation'!E210</f>
        <v>心理學</v>
      </c>
      <c r="D67" s="4" t="str">
        <f>'Reference Score Calculation'!S210</f>
        <v>PSYCHOLOGY</v>
      </c>
      <c r="E67" s="352" t="str">
        <f>'Reference Score Calculation'!AC210</f>
        <v>Best 5</v>
      </c>
      <c r="F67" s="354" t="str">
        <f>'Reference Score Calculation'!F210</f>
        <v>Best 5</v>
      </c>
      <c r="G67" s="6">
        <f>'Reference Score Calculation'!H210</f>
        <v>33.75</v>
      </c>
      <c r="H67" s="6">
        <f>'Reference Score Calculation'!I210</f>
        <v>32.25</v>
      </c>
      <c r="I67" s="6">
        <f>'Reference Score Calculation'!J210</f>
        <v>30.75</v>
      </c>
      <c r="J67" s="45">
        <f>計分版!J233</f>
        <v>3.4999999999999999E-9</v>
      </c>
      <c r="K67" s="25">
        <f t="shared" si="0"/>
        <v>-32.249999996500001</v>
      </c>
      <c r="L67" s="26">
        <f t="shared" si="1"/>
        <v>-9214285713.2857151</v>
      </c>
      <c r="M67" s="36">
        <f>'Reference Score Calculation'!U210</f>
        <v>56</v>
      </c>
      <c r="N67" s="84">
        <f>入學要求!Z219</f>
        <v>0</v>
      </c>
      <c r="O67" s="544"/>
      <c r="P67" s="161">
        <f>入學要求!L219</f>
        <v>3</v>
      </c>
      <c r="Q67" s="161">
        <f>入學要求!M219</f>
        <v>3</v>
      </c>
      <c r="R67" s="161">
        <f>入學要求!N219</f>
        <v>2</v>
      </c>
      <c r="S67" s="161">
        <f>入學要求!O219</f>
        <v>1</v>
      </c>
      <c r="T67" s="161">
        <f>入學要求!P219</f>
        <v>3</v>
      </c>
      <c r="U67" s="161">
        <f>入學要求!Q219</f>
        <v>3</v>
      </c>
      <c r="V67" s="236">
        <f>入學要求!S219</f>
        <v>0</v>
      </c>
      <c r="W67" s="236">
        <f>入學要求!T219</f>
        <v>0</v>
      </c>
      <c r="X67" s="236">
        <f>入學要求!U219</f>
        <v>0</v>
      </c>
      <c r="Y67" s="236">
        <f>入學要求!V219</f>
        <v>0</v>
      </c>
      <c r="Z67" s="236">
        <f>入學要求!W219</f>
        <v>0</v>
      </c>
      <c r="AA67" s="236">
        <f>入學要求!X219</f>
        <v>0</v>
      </c>
      <c r="AB67" s="36">
        <f t="shared" si="2"/>
        <v>5.7</v>
      </c>
      <c r="AC67" s="537"/>
      <c r="AD67" s="36" cm="1">
        <f t="array" ref="AD67">IFERROR(INDEX('Offer Statistics'!$BQ$2:$BQ$600,MATCH(1,($A67='Offer Statistics'!$BB$2:$BB$600)*($AC$2='Offer Statistics'!$BC$2:$BC$600),0)),"/")</f>
        <v>60</v>
      </c>
      <c r="AE67" s="63" cm="1">
        <f t="array" ref="AE67">IFERROR(INDEX('Offer Statistics'!BL$2:BL$600,MATCH(1,($A67='Offer Statistics'!$BB$2:$BB$600)*($AC$2='Offer Statistics'!$BC$2:$BC$600),0)),"/")</f>
        <v>60</v>
      </c>
      <c r="AF67" s="63" cm="1">
        <f t="array" ref="AF67">IFERROR(INDEX('Offer Statistics'!BM$2:BM$600,MATCH(1,($A67='Offer Statistics'!$BB$2:$BB$600)*($AC$2='Offer Statistics'!$BC$2:$BC$600),0)),"/")</f>
        <v>0</v>
      </c>
      <c r="AG67" s="63" cm="1">
        <f t="array" ref="AG67">IFERROR(INDEX('Offer Statistics'!BN$2:BN$600,MATCH(1,($A67='Offer Statistics'!$BB$2:$BB$600)*($AC$2='Offer Statistics'!$BC$2:$BC$600),0)),"/")</f>
        <v>0</v>
      </c>
      <c r="AH67" s="63" cm="1">
        <f t="array" ref="AH67">IFERROR(INDEX('Offer Statistics'!BO$2:BO$600,MATCH(1,($A67='Offer Statistics'!$BB$2:$BB$600)*($AC$2='Offer Statistics'!$BC$2:$BC$600),0)),"/")</f>
        <v>0</v>
      </c>
      <c r="AI67" s="63" cm="1">
        <f t="array" ref="AI67">IFERROR(INDEX('Offer Statistics'!BP$2:BP$600,MATCH(1,($A67='Offer Statistics'!$BB$2:$BB$600)*($AC$2='Offer Statistics'!$BC$2:$BC$600),0)),"/")</f>
        <v>0</v>
      </c>
      <c r="AJ67" s="538"/>
      <c r="AK67" s="36" cm="1">
        <f t="array" ref="AK67">IFERROR(INDEX('Offer Statistics'!$BI$2:$BI$600,MATCH(1,($A67='Offer Statistics'!$BB$2:$BB$600)*($AC$2='Offer Statistics'!$BC$2:$BC$600),0)),"/")</f>
        <v>3799</v>
      </c>
      <c r="AL67" s="63" cm="1">
        <f t="array" ref="AL67">IFERROR(INDEX('Offer Statistics'!BD$2:BD$600,MATCH(1,($A67='Offer Statistics'!$BB$2:$BB$600)*($AC$2='Offer Statistics'!$BC$2:$BC$600),0)),"/")</f>
        <v>342</v>
      </c>
      <c r="AM67" s="63" cm="1">
        <f t="array" ref="AM67">IFERROR(INDEX('Offer Statistics'!BE$2:BE$600,MATCH(1,($A67='Offer Statistics'!$BB$2:$BB$600)*($AC$2='Offer Statistics'!$BC$2:$BC$600),0)),"/")</f>
        <v>375</v>
      </c>
      <c r="AN67" s="63" cm="1">
        <f t="array" ref="AN67">IFERROR(INDEX('Offer Statistics'!BF$2:BF$600,MATCH(1,($A67='Offer Statistics'!$BB$2:$BB$600)*($AC$2='Offer Statistics'!$BC$2:$BC$600),0)),"/")</f>
        <v>775</v>
      </c>
      <c r="AO67" s="63" cm="1">
        <f t="array" ref="AO67">IFERROR(INDEX('Offer Statistics'!BG$2:BG$600,MATCH(1,($A67='Offer Statistics'!$BB$2:$BB$600)*($AC$2='Offer Statistics'!$BC$2:$BC$600),0)),"/")</f>
        <v>1182</v>
      </c>
      <c r="AP67" s="63" cm="1">
        <f t="array" ref="AP67">IFERROR(INDEX('Offer Statistics'!BH$2:BH$600,MATCH(1,($A67='Offer Statistics'!$BB$2:$BB$600)*($AC$2='Offer Statistics'!$BC$2:$BC$600),0)),"/")</f>
        <v>1125</v>
      </c>
      <c r="AQ67" s="15"/>
      <c r="AR67" s="15" t="str">
        <f t="shared" si="3"/>
        <v>JS4862</v>
      </c>
    </row>
    <row r="68" spans="1:44" s="10" customFormat="1" ht="18" customHeight="1">
      <c r="A68" s="4" t="str">
        <f>'Reference Score Calculation'!B211</f>
        <v>JS4874</v>
      </c>
      <c r="B68" s="4" t="str">
        <f>'Reference Score Calculation'!D211</f>
        <v>社會科學院</v>
      </c>
      <c r="C68" s="4" t="str">
        <f>'Reference Score Calculation'!E211</f>
        <v>社會工作</v>
      </c>
      <c r="D68" s="4" t="str">
        <f>'Reference Score Calculation'!S211</f>
        <v>SOCIAL WORK</v>
      </c>
      <c r="E68" s="352" t="str">
        <f>'Reference Score Calculation'!AC211</f>
        <v>Best 5</v>
      </c>
      <c r="F68" s="354" t="str">
        <f>'Reference Score Calculation'!F211</f>
        <v>Best 5</v>
      </c>
      <c r="G68" s="6">
        <f>'Reference Score Calculation'!H211</f>
        <v>29</v>
      </c>
      <c r="H68" s="6">
        <f>'Reference Score Calculation'!I211</f>
        <v>27.5</v>
      </c>
      <c r="I68" s="6">
        <f>'Reference Score Calculation'!J211</f>
        <v>26</v>
      </c>
      <c r="J68" s="45">
        <f>計分版!J234</f>
        <v>3.4999999999999999E-9</v>
      </c>
      <c r="K68" s="25">
        <f>IFERROR(IF(K$1="差距(Median)",J68-H68,IF(K$1="差距(UQ)",J68-G68,IF(K$1="差距(LQ)",J68-I68))),"/")</f>
        <v>-27.499999996500001</v>
      </c>
      <c r="L68" s="26">
        <f>IFERROR(IF(K$1="差距(Median)",(J68-H68)/J68,IF(K$1="差距(UQ)",(J68-G68)/J68,IF(K$1="差距(LQ)",(J68-I68)/J68))),"/")</f>
        <v>-7857142856.1428576</v>
      </c>
      <c r="M68" s="36">
        <f>'Reference Score Calculation'!U211</f>
        <v>45</v>
      </c>
      <c r="N68" s="84">
        <f>入學要求!Z220</f>
        <v>0</v>
      </c>
      <c r="O68" s="544"/>
      <c r="P68" s="161">
        <f>入學要求!L220</f>
        <v>3</v>
      </c>
      <c r="Q68" s="161">
        <f>入學要求!M220</f>
        <v>3</v>
      </c>
      <c r="R68" s="161">
        <f>入學要求!N220</f>
        <v>2</v>
      </c>
      <c r="S68" s="161">
        <f>入學要求!O220</f>
        <v>1</v>
      </c>
      <c r="T68" s="161">
        <f>入學要求!P220</f>
        <v>3</v>
      </c>
      <c r="U68" s="161">
        <f>入學要求!Q220</f>
        <v>3</v>
      </c>
      <c r="V68" s="236">
        <f>入學要求!S220</f>
        <v>0</v>
      </c>
      <c r="W68" s="236">
        <f>入學要求!T220</f>
        <v>0</v>
      </c>
      <c r="X68" s="236">
        <f>入學要求!U220</f>
        <v>0</v>
      </c>
      <c r="Y68" s="236">
        <f>入學要求!V220</f>
        <v>0</v>
      </c>
      <c r="Z68" s="236">
        <f>入學要求!W220</f>
        <v>0</v>
      </c>
      <c r="AA68" s="236">
        <f>入學要求!X220</f>
        <v>0</v>
      </c>
      <c r="AB68" s="36">
        <f>IFERROR(ROUND(AL68/AE68,2),"/")</f>
        <v>8.73</v>
      </c>
      <c r="AC68" s="537"/>
      <c r="AD68" s="36" cm="1">
        <f t="array" ref="AD68">IFERROR(INDEX('Offer Statistics'!$BQ$2:$BQ$600,MATCH(1,($A68='Offer Statistics'!$BB$2:$BB$600)*($AC$2='Offer Statistics'!$BC$2:$BC$600),0)),"/")</f>
        <v>37</v>
      </c>
      <c r="AE68" s="63" cm="1">
        <f t="array" ref="AE68">IFERROR(INDEX('Offer Statistics'!BL$2:BL$600,MATCH(1,($A68='Offer Statistics'!$BB$2:$BB$600)*($AC$2='Offer Statistics'!$BC$2:$BC$600),0)),"/")</f>
        <v>37</v>
      </c>
      <c r="AF68" s="63" cm="1">
        <f t="array" ref="AF68">IFERROR(INDEX('Offer Statistics'!BM$2:BM$600,MATCH(1,($A68='Offer Statistics'!$BB$2:$BB$600)*($AC$2='Offer Statistics'!$BC$2:$BC$600),0)),"/")</f>
        <v>0</v>
      </c>
      <c r="AG68" s="63" cm="1">
        <f t="array" ref="AG68">IFERROR(INDEX('Offer Statistics'!BN$2:BN$600,MATCH(1,($A68='Offer Statistics'!$BB$2:$BB$600)*($AC$2='Offer Statistics'!$BC$2:$BC$600),0)),"/")</f>
        <v>0</v>
      </c>
      <c r="AH68" s="63" cm="1">
        <f t="array" ref="AH68">IFERROR(INDEX('Offer Statistics'!BO$2:BO$600,MATCH(1,($A68='Offer Statistics'!$BB$2:$BB$600)*($AC$2='Offer Statistics'!$BC$2:$BC$600),0)),"/")</f>
        <v>0</v>
      </c>
      <c r="AI68" s="63" cm="1">
        <f t="array" ref="AI68">IFERROR(INDEX('Offer Statistics'!BP$2:BP$600,MATCH(1,($A68='Offer Statistics'!$BB$2:$BB$600)*($AC$2='Offer Statistics'!$BC$2:$BC$600),0)),"/")</f>
        <v>0</v>
      </c>
      <c r="AJ68" s="538"/>
      <c r="AK68" s="36" cm="1">
        <f t="array" ref="AK68">IFERROR(INDEX('Offer Statistics'!$BI$2:$BI$600,MATCH(1,($A68='Offer Statistics'!$BB$2:$BB$600)*($AC$2='Offer Statistics'!$BC$2:$BC$600),0)),"/")</f>
        <v>3011</v>
      </c>
      <c r="AL68" s="63" cm="1">
        <f t="array" ref="AL68">IFERROR(INDEX('Offer Statistics'!BD$2:BD$600,MATCH(1,($A68='Offer Statistics'!$BB$2:$BB$600)*($AC$2='Offer Statistics'!$BC$2:$BC$600),0)),"/")</f>
        <v>323</v>
      </c>
      <c r="AM68" s="63" cm="1">
        <f t="array" ref="AM68">IFERROR(INDEX('Offer Statistics'!BE$2:BE$600,MATCH(1,($A68='Offer Statistics'!$BB$2:$BB$600)*($AC$2='Offer Statistics'!$BC$2:$BC$600),0)),"/")</f>
        <v>340</v>
      </c>
      <c r="AN68" s="63" cm="1">
        <f t="array" ref="AN68">IFERROR(INDEX('Offer Statistics'!BF$2:BF$600,MATCH(1,($A68='Offer Statistics'!$BB$2:$BB$600)*($AC$2='Offer Statistics'!$BC$2:$BC$600),0)),"/")</f>
        <v>643</v>
      </c>
      <c r="AO68" s="63" cm="1">
        <f t="array" ref="AO68">IFERROR(INDEX('Offer Statistics'!BG$2:BG$600,MATCH(1,($A68='Offer Statistics'!$BB$2:$BB$600)*($AC$2='Offer Statistics'!$BC$2:$BC$600),0)),"/")</f>
        <v>888</v>
      </c>
      <c r="AP68" s="63" cm="1">
        <f t="array" ref="AP68">IFERROR(INDEX('Offer Statistics'!BH$2:BH$600,MATCH(1,($A68='Offer Statistics'!$BB$2:$BB$600)*($AC$2='Offer Statistics'!$BC$2:$BC$600),0)),"/")</f>
        <v>817</v>
      </c>
      <c r="AQ68" s="15"/>
      <c r="AR68" s="15" t="str">
        <f>A68</f>
        <v>JS4874</v>
      </c>
    </row>
    <row r="69" spans="1:44" s="10" customFormat="1" ht="18" customHeight="1">
      <c r="A69" s="4" t="str">
        <f>'Reference Score Calculation'!B212</f>
        <v>JS4886</v>
      </c>
      <c r="B69" s="4" t="str">
        <f>'Reference Score Calculation'!D212</f>
        <v>社會科學院</v>
      </c>
      <c r="C69" s="4" t="str">
        <f>'Reference Score Calculation'!E212</f>
        <v>社會學</v>
      </c>
      <c r="D69" s="4" t="str">
        <f>'Reference Score Calculation'!S212</f>
        <v>SOCIOLOGY</v>
      </c>
      <c r="E69" s="352" t="str">
        <f>'Reference Score Calculation'!AC212</f>
        <v>Best 5</v>
      </c>
      <c r="F69" s="354" t="str">
        <f>'Reference Score Calculation'!F212</f>
        <v>Best 5</v>
      </c>
      <c r="G69" s="6">
        <f>'Reference Score Calculation'!H212</f>
        <v>26.5</v>
      </c>
      <c r="H69" s="6">
        <f>'Reference Score Calculation'!I212</f>
        <v>25.5</v>
      </c>
      <c r="I69" s="6">
        <f>'Reference Score Calculation'!J212</f>
        <v>25</v>
      </c>
      <c r="J69" s="45">
        <f>計分版!J235</f>
        <v>3.4999999999999999E-9</v>
      </c>
      <c r="K69" s="25">
        <f>IFERROR(IF(K$1="差距(Median)",J69-H69,IF(K$1="差距(UQ)",J69-G69,IF(K$1="差距(LQ)",J69-I69))),"/")</f>
        <v>-25.499999996500001</v>
      </c>
      <c r="L69" s="26">
        <f>IFERROR(IF(K$1="差距(Median)",(J69-H69)/J69,IF(K$1="差距(UQ)",(J69-G69)/J69,IF(K$1="差距(LQ)",(J69-I69)/J69))),"/")</f>
        <v>-7285714284.7142868</v>
      </c>
      <c r="M69" s="36">
        <f>'Reference Score Calculation'!U212</f>
        <v>38</v>
      </c>
      <c r="N69" s="84">
        <f>入學要求!Z221</f>
        <v>0</v>
      </c>
      <c r="O69" s="544"/>
      <c r="P69" s="161">
        <f>入學要求!L221</f>
        <v>3</v>
      </c>
      <c r="Q69" s="161">
        <f>入學要求!M221</f>
        <v>3</v>
      </c>
      <c r="R69" s="161">
        <f>入學要求!N221</f>
        <v>2</v>
      </c>
      <c r="S69" s="161">
        <f>入學要求!O221</f>
        <v>1</v>
      </c>
      <c r="T69" s="161">
        <f>入學要求!P221</f>
        <v>3</v>
      </c>
      <c r="U69" s="161">
        <f>入學要求!Q221</f>
        <v>3</v>
      </c>
      <c r="V69" s="236">
        <f>入學要求!S221</f>
        <v>0</v>
      </c>
      <c r="W69" s="236">
        <f>入學要求!T221</f>
        <v>0</v>
      </c>
      <c r="X69" s="236">
        <f>入學要求!U221</f>
        <v>0</v>
      </c>
      <c r="Y69" s="236">
        <f>入學要求!V221</f>
        <v>0</v>
      </c>
      <c r="Z69" s="236">
        <f>入學要求!W221</f>
        <v>0</v>
      </c>
      <c r="AA69" s="236">
        <f>入學要求!X221</f>
        <v>0</v>
      </c>
      <c r="AB69" s="36">
        <f>IFERROR(ROUND(AL69/AE69,2),"/")</f>
        <v>6.38</v>
      </c>
      <c r="AC69" s="537"/>
      <c r="AD69" s="36" cm="1">
        <f t="array" ref="AD69">IFERROR(INDEX('Offer Statistics'!$BQ$2:$BQ$600,MATCH(1,($A69='Offer Statistics'!$BB$2:$BB$600)*($AC$2='Offer Statistics'!$BC$2:$BC$600),0)),"/")</f>
        <v>38</v>
      </c>
      <c r="AE69" s="63" cm="1">
        <f t="array" ref="AE69">IFERROR(INDEX('Offer Statistics'!BL$2:BL$600,MATCH(1,($A69='Offer Statistics'!$BB$2:$BB$600)*($AC$2='Offer Statistics'!$BC$2:$BC$600),0)),"/")</f>
        <v>37</v>
      </c>
      <c r="AF69" s="63" cm="1">
        <f t="array" ref="AF69">IFERROR(INDEX('Offer Statistics'!BM$2:BM$600,MATCH(1,($A69='Offer Statistics'!$BB$2:$BB$600)*($AC$2='Offer Statistics'!$BC$2:$BC$600),0)),"/")</f>
        <v>1</v>
      </c>
      <c r="AG69" s="63" cm="1">
        <f t="array" ref="AG69">IFERROR(INDEX('Offer Statistics'!BN$2:BN$600,MATCH(1,($A69='Offer Statistics'!$BB$2:$BB$600)*($AC$2='Offer Statistics'!$BC$2:$BC$600),0)),"/")</f>
        <v>0</v>
      </c>
      <c r="AH69" s="63" cm="1">
        <f t="array" ref="AH69">IFERROR(INDEX('Offer Statistics'!BO$2:BO$600,MATCH(1,($A69='Offer Statistics'!$BB$2:$BB$600)*($AC$2='Offer Statistics'!$BC$2:$BC$600),0)),"/")</f>
        <v>0</v>
      </c>
      <c r="AI69" s="63" cm="1">
        <f t="array" ref="AI69">IFERROR(INDEX('Offer Statistics'!BP$2:BP$600,MATCH(1,($A69='Offer Statistics'!$BB$2:$BB$600)*($AC$2='Offer Statistics'!$BC$2:$BC$600),0)),"/")</f>
        <v>0</v>
      </c>
      <c r="AJ69" s="538"/>
      <c r="AK69" s="36" cm="1">
        <f t="array" ref="AK69">IFERROR(INDEX('Offer Statistics'!$BI$2:$BI$600,MATCH(1,($A69='Offer Statistics'!$BB$2:$BB$600)*($AC$2='Offer Statistics'!$BC$2:$BC$600),0)),"/")</f>
        <v>2356</v>
      </c>
      <c r="AL69" s="63" cm="1">
        <f t="array" ref="AL69">IFERROR(INDEX('Offer Statistics'!BD$2:BD$600,MATCH(1,($A69='Offer Statistics'!$BB$2:$BB$600)*($AC$2='Offer Statistics'!$BC$2:$BC$600),0)),"/")</f>
        <v>236</v>
      </c>
      <c r="AM69" s="63" cm="1">
        <f t="array" ref="AM69">IFERROR(INDEX('Offer Statistics'!BE$2:BE$600,MATCH(1,($A69='Offer Statistics'!$BB$2:$BB$600)*($AC$2='Offer Statistics'!$BC$2:$BC$600),0)),"/")</f>
        <v>252</v>
      </c>
      <c r="AN69" s="63" cm="1">
        <f t="array" ref="AN69">IFERROR(INDEX('Offer Statistics'!BF$2:BF$600,MATCH(1,($A69='Offer Statistics'!$BB$2:$BB$600)*($AC$2='Offer Statistics'!$BC$2:$BC$600),0)),"/")</f>
        <v>488</v>
      </c>
      <c r="AO69" s="63" cm="1">
        <f t="array" ref="AO69">IFERROR(INDEX('Offer Statistics'!BG$2:BG$600,MATCH(1,($A69='Offer Statistics'!$BB$2:$BB$600)*($AC$2='Offer Statistics'!$BC$2:$BC$600),0)),"/")</f>
        <v>699</v>
      </c>
      <c r="AP69" s="63" cm="1">
        <f t="array" ref="AP69">IFERROR(INDEX('Offer Statistics'!BH$2:BH$600,MATCH(1,($A69='Offer Statistics'!$BB$2:$BB$600)*($AC$2='Offer Statistics'!$BC$2:$BC$600),0)),"/")</f>
        <v>681</v>
      </c>
      <c r="AQ69" s="15"/>
      <c r="AR69" s="15" t="str">
        <f>A69</f>
        <v>JS4886</v>
      </c>
    </row>
    <row r="70" spans="1:44" s="10" customFormat="1" ht="18" customHeight="1">
      <c r="A70" s="4" t="str">
        <f>'Reference Score Calculation'!B213</f>
        <v>JS4892</v>
      </c>
      <c r="B70" s="4" t="str">
        <f>'Reference Score Calculation'!D213</f>
        <v>社會科學院</v>
      </c>
      <c r="C70" s="4" t="str">
        <f>'Reference Score Calculation'!E213</f>
        <v>全球研究</v>
      </c>
      <c r="D70" s="4" t="str">
        <f>'Reference Score Calculation'!S213</f>
        <v>GLOBAL STUDIES</v>
      </c>
      <c r="E70" s="352" t="str">
        <f>'Reference Score Calculation'!AC213</f>
        <v>Best 5</v>
      </c>
      <c r="F70" s="354" t="str">
        <f>'Reference Score Calculation'!F213</f>
        <v>Best 5</v>
      </c>
      <c r="G70" s="6">
        <f>'Reference Score Calculation'!H213</f>
        <v>30.25</v>
      </c>
      <c r="H70" s="6">
        <f>'Reference Score Calculation'!I213</f>
        <v>25.5</v>
      </c>
      <c r="I70" s="6">
        <f>'Reference Score Calculation'!J213</f>
        <v>24.25</v>
      </c>
      <c r="J70" s="45">
        <f>計分版!J236</f>
        <v>3.4999999999999999E-9</v>
      </c>
      <c r="K70" s="25">
        <f>IFERROR(IF(K$1="差距(Median)",J70-H70,IF(K$1="差距(UQ)",J70-G70,IF(K$1="差距(LQ)",J70-I70))),"/")</f>
        <v>-25.499999996500001</v>
      </c>
      <c r="L70" s="26">
        <f>IFERROR(IF(K$1="差距(Median)",(J70-H70)/J70,IF(K$1="差距(UQ)",(J70-G70)/J70,IF(K$1="差距(LQ)",(J70-I70)/J70))),"/")</f>
        <v>-7285714284.7142868</v>
      </c>
      <c r="M70" s="36">
        <f>'Reference Score Calculation'!U213</f>
        <v>19</v>
      </c>
      <c r="N70" s="84">
        <f>入學要求!Z222</f>
        <v>0</v>
      </c>
      <c r="O70" s="544"/>
      <c r="P70" s="161">
        <f>入學要求!L222</f>
        <v>3</v>
      </c>
      <c r="Q70" s="161">
        <f>入學要求!M222</f>
        <v>3</v>
      </c>
      <c r="R70" s="161">
        <f>入學要求!N222</f>
        <v>2</v>
      </c>
      <c r="S70" s="161">
        <f>入學要求!O222</f>
        <v>1</v>
      </c>
      <c r="T70" s="161">
        <f>入學要求!P222</f>
        <v>3</v>
      </c>
      <c r="U70" s="161">
        <f>入學要求!Q222</f>
        <v>3</v>
      </c>
      <c r="V70" s="236">
        <f>入學要求!S222</f>
        <v>0</v>
      </c>
      <c r="W70" s="236">
        <f>入學要求!T222</f>
        <v>0</v>
      </c>
      <c r="X70" s="236">
        <f>入學要求!U222</f>
        <v>0</v>
      </c>
      <c r="Y70" s="236">
        <f>入學要求!V222</f>
        <v>0</v>
      </c>
      <c r="Z70" s="236">
        <f>入學要求!W222</f>
        <v>0</v>
      </c>
      <c r="AA70" s="236">
        <f>入學要求!X222</f>
        <v>0</v>
      </c>
      <c r="AB70" s="36">
        <f>IFERROR(ROUND(AL70/AE70,2),"/")</f>
        <v>3.1</v>
      </c>
      <c r="AC70" s="537"/>
      <c r="AD70" s="36" cm="1">
        <f t="array" ref="AD70">IFERROR(INDEX('Offer Statistics'!$BQ$2:$BQ$600,MATCH(1,($A70='Offer Statistics'!$BB$2:$BB$600)*($AC$2='Offer Statistics'!$BC$2:$BC$600),0)),"/")</f>
        <v>20</v>
      </c>
      <c r="AE70" s="63" cm="1">
        <f t="array" ref="AE70">IFERROR(INDEX('Offer Statistics'!BL$2:BL$600,MATCH(1,($A70='Offer Statistics'!$BB$2:$BB$600)*($AC$2='Offer Statistics'!$BC$2:$BC$600),0)),"/")</f>
        <v>20</v>
      </c>
      <c r="AF70" s="63" cm="1">
        <f t="array" ref="AF70">IFERROR(INDEX('Offer Statistics'!BM$2:BM$600,MATCH(1,($A70='Offer Statistics'!$BB$2:$BB$600)*($AC$2='Offer Statistics'!$BC$2:$BC$600),0)),"/")</f>
        <v>0</v>
      </c>
      <c r="AG70" s="63" cm="1">
        <f t="array" ref="AG70">IFERROR(INDEX('Offer Statistics'!BN$2:BN$600,MATCH(1,($A70='Offer Statistics'!$BB$2:$BB$600)*($AC$2='Offer Statistics'!$BC$2:$BC$600),0)),"/")</f>
        <v>0</v>
      </c>
      <c r="AH70" s="63" cm="1">
        <f t="array" ref="AH70">IFERROR(INDEX('Offer Statistics'!BO$2:BO$600,MATCH(1,($A70='Offer Statistics'!$BB$2:$BB$600)*($AC$2='Offer Statistics'!$BC$2:$BC$600),0)),"/")</f>
        <v>0</v>
      </c>
      <c r="AI70" s="63" cm="1">
        <f t="array" ref="AI70">IFERROR(INDEX('Offer Statistics'!BP$2:BP$600,MATCH(1,($A70='Offer Statistics'!$BB$2:$BB$600)*($AC$2='Offer Statistics'!$BC$2:$BC$600),0)),"/")</f>
        <v>0</v>
      </c>
      <c r="AJ70" s="538"/>
      <c r="AK70" s="36" cm="1">
        <f t="array" ref="AK70">IFERROR(INDEX('Offer Statistics'!$BI$2:$BI$600,MATCH(1,($A70='Offer Statistics'!$BB$2:$BB$600)*($AC$2='Offer Statistics'!$BC$2:$BC$600),0)),"/")</f>
        <v>956</v>
      </c>
      <c r="AL70" s="63" cm="1">
        <f t="array" ref="AL70">IFERROR(INDEX('Offer Statistics'!BD$2:BD$600,MATCH(1,($A70='Offer Statistics'!$BB$2:$BB$600)*($AC$2='Offer Statistics'!$BC$2:$BC$600),0)),"/")</f>
        <v>62</v>
      </c>
      <c r="AM70" s="63" cm="1">
        <f t="array" ref="AM70">IFERROR(INDEX('Offer Statistics'!BE$2:BE$600,MATCH(1,($A70='Offer Statistics'!$BB$2:$BB$600)*($AC$2='Offer Statistics'!$BC$2:$BC$600),0)),"/")</f>
        <v>72</v>
      </c>
      <c r="AN70" s="63" cm="1">
        <f t="array" ref="AN70">IFERROR(INDEX('Offer Statistics'!BF$2:BF$600,MATCH(1,($A70='Offer Statistics'!$BB$2:$BB$600)*($AC$2='Offer Statistics'!$BC$2:$BC$600),0)),"/")</f>
        <v>207</v>
      </c>
      <c r="AO70" s="63" cm="1">
        <f t="array" ref="AO70">IFERROR(INDEX('Offer Statistics'!BG$2:BG$600,MATCH(1,($A70='Offer Statistics'!$BB$2:$BB$600)*($AC$2='Offer Statistics'!$BC$2:$BC$600),0)),"/")</f>
        <v>318</v>
      </c>
      <c r="AP70" s="63" cm="1">
        <f t="array" ref="AP70">IFERROR(INDEX('Offer Statistics'!BH$2:BH$600,MATCH(1,($A70='Offer Statistics'!$BB$2:$BB$600)*($AC$2='Offer Statistics'!$BC$2:$BC$600),0)),"/")</f>
        <v>297</v>
      </c>
      <c r="AQ70" s="15"/>
      <c r="AR70" s="15" t="str">
        <f>A70</f>
        <v>JS4892</v>
      </c>
    </row>
    <row r="71" spans="1:44" s="10" customFormat="1" ht="18" customHeight="1">
      <c r="A71" s="4" t="str">
        <f>'Reference Score Calculation'!B214</f>
        <v>JS4893</v>
      </c>
      <c r="B71" s="4" t="str">
        <f>'Reference Score Calculation'!D214</f>
        <v>社會科學院</v>
      </c>
      <c r="C71" s="4" t="str">
        <f>'Reference Score Calculation'!E214</f>
        <v>數據科學與政策研究</v>
      </c>
      <c r="D71" s="4" t="str">
        <f>'Reference Score Calculation'!S214</f>
        <v>DSPS</v>
      </c>
      <c r="E71" s="352" t="str">
        <f>'Reference Score Calculation'!AC214</f>
        <v>Best 5</v>
      </c>
      <c r="F71" s="354" t="str">
        <f>'Reference Score Calculation'!F214</f>
        <v>Best 5</v>
      </c>
      <c r="G71" s="6">
        <f>'Reference Score Calculation'!H214</f>
        <v>23</v>
      </c>
      <c r="H71" s="6">
        <f>'Reference Score Calculation'!I214</f>
        <v>23</v>
      </c>
      <c r="I71" s="6">
        <f>'Reference Score Calculation'!J214</f>
        <v>23</v>
      </c>
      <c r="J71" s="45">
        <f>計分版!J237</f>
        <v>3.4999999999999999E-9</v>
      </c>
      <c r="K71" s="25">
        <f>IFERROR(IF(K$1="差距(Median)",J71-H71,IF(K$1="差距(UQ)",J71-G71,IF(K$1="差距(LQ)",J71-I71))),"/")</f>
        <v>-22.999999996500001</v>
      </c>
      <c r="L71" s="26">
        <f>IFERROR(IF(K$1="差距(Median)",(J71-H71)/J71,IF(K$1="差距(UQ)",(J71-G71)/J71,IF(K$1="差距(LQ)",(J71-I71)/J71))),"/")</f>
        <v>-6571428570.4285717</v>
      </c>
      <c r="M71" s="36">
        <f>'Reference Score Calculation'!U214</f>
        <v>19</v>
      </c>
      <c r="N71" s="84">
        <f>入學要求!Z223</f>
        <v>0</v>
      </c>
      <c r="O71" s="544"/>
      <c r="P71" s="161">
        <f>入學要求!L223</f>
        <v>3</v>
      </c>
      <c r="Q71" s="161">
        <f>入學要求!M223</f>
        <v>3</v>
      </c>
      <c r="R71" s="161">
        <f>入學要求!N223</f>
        <v>3</v>
      </c>
      <c r="S71" s="161">
        <f>入學要求!O223</f>
        <v>1</v>
      </c>
      <c r="T71" s="161">
        <f>入學要求!P223</f>
        <v>3</v>
      </c>
      <c r="U71" s="161">
        <f>入學要求!Q223</f>
        <v>3</v>
      </c>
      <c r="V71" s="236">
        <f>入學要求!S223</f>
        <v>0</v>
      </c>
      <c r="W71" s="236">
        <f>入學要求!T223</f>
        <v>0</v>
      </c>
      <c r="X71" s="236">
        <f>入學要求!U223</f>
        <v>0</v>
      </c>
      <c r="Y71" s="236">
        <f>入學要求!V223</f>
        <v>0</v>
      </c>
      <c r="Z71" s="236">
        <f>入學要求!W223</f>
        <v>0</v>
      </c>
      <c r="AA71" s="236">
        <f>入學要求!X223</f>
        <v>0</v>
      </c>
      <c r="AB71" s="36">
        <f>IFERROR(ROUND(AL71/AE71,2),"/")</f>
        <v>4.79</v>
      </c>
      <c r="AC71" s="537"/>
      <c r="AD71" s="36" cm="1">
        <f t="array" ref="AD71">IFERROR(INDEX('Offer Statistics'!$BQ$2:$BQ$600,MATCH(1,($A71='Offer Statistics'!$BB$2:$BB$600)*($AC$2='Offer Statistics'!$BC$2:$BC$600),0)),"/")</f>
        <v>19</v>
      </c>
      <c r="AE71" s="63" cm="1">
        <f t="array" ref="AE71">IFERROR(INDEX('Offer Statistics'!BL$2:BL$600,MATCH(1,($A71='Offer Statistics'!$BB$2:$BB$600)*($AC$2='Offer Statistics'!$BC$2:$BC$600),0)),"/")</f>
        <v>19</v>
      </c>
      <c r="AF71" s="63" cm="1">
        <f t="array" ref="AF71">IFERROR(INDEX('Offer Statistics'!BM$2:BM$600,MATCH(1,($A71='Offer Statistics'!$BB$2:$BB$600)*($AC$2='Offer Statistics'!$BC$2:$BC$600),0)),"/")</f>
        <v>0</v>
      </c>
      <c r="AG71" s="63" cm="1">
        <f t="array" ref="AG71">IFERROR(INDEX('Offer Statistics'!BN$2:BN$600,MATCH(1,($A71='Offer Statistics'!$BB$2:$BB$600)*($AC$2='Offer Statistics'!$BC$2:$BC$600),0)),"/")</f>
        <v>0</v>
      </c>
      <c r="AH71" s="63" cm="1">
        <f t="array" ref="AH71">IFERROR(INDEX('Offer Statistics'!BO$2:BO$600,MATCH(1,($A71='Offer Statistics'!$BB$2:$BB$600)*($AC$2='Offer Statistics'!$BC$2:$BC$600),0)),"/")</f>
        <v>0</v>
      </c>
      <c r="AI71" s="63" cm="1">
        <f t="array" ref="AI71">IFERROR(INDEX('Offer Statistics'!BP$2:BP$600,MATCH(1,($A71='Offer Statistics'!$BB$2:$BB$600)*($AC$2='Offer Statistics'!$BC$2:$BC$600),0)),"/")</f>
        <v>0</v>
      </c>
      <c r="AJ71" s="538"/>
      <c r="AK71" s="36" cm="1">
        <f t="array" ref="AK71">IFERROR(INDEX('Offer Statistics'!$BI$2:$BI$600,MATCH(1,($A71='Offer Statistics'!$BB$2:$BB$600)*($AC$2='Offer Statistics'!$BC$2:$BC$600),0)),"/")</f>
        <v>906</v>
      </c>
      <c r="AL71" s="63" cm="1">
        <f t="array" ref="AL71">IFERROR(INDEX('Offer Statistics'!BD$2:BD$600,MATCH(1,($A71='Offer Statistics'!$BB$2:$BB$600)*($AC$2='Offer Statistics'!$BC$2:$BC$600),0)),"/")</f>
        <v>91</v>
      </c>
      <c r="AM71" s="63" cm="1">
        <f t="array" ref="AM71">IFERROR(INDEX('Offer Statistics'!BE$2:BE$600,MATCH(1,($A71='Offer Statistics'!$BB$2:$BB$600)*($AC$2='Offer Statistics'!$BC$2:$BC$600),0)),"/")</f>
        <v>83</v>
      </c>
      <c r="AN71" s="63" cm="1">
        <f t="array" ref="AN71">IFERROR(INDEX('Offer Statistics'!BF$2:BF$600,MATCH(1,($A71='Offer Statistics'!$BB$2:$BB$600)*($AC$2='Offer Statistics'!$BC$2:$BC$600),0)),"/")</f>
        <v>165</v>
      </c>
      <c r="AO71" s="63" cm="1">
        <f t="array" ref="AO71">IFERROR(INDEX('Offer Statistics'!BG$2:BG$600,MATCH(1,($A71='Offer Statistics'!$BB$2:$BB$600)*($AC$2='Offer Statistics'!$BC$2:$BC$600),0)),"/")</f>
        <v>283</v>
      </c>
      <c r="AP71" s="63" cm="1">
        <f t="array" ref="AP71">IFERROR(INDEX('Offer Statistics'!BH$2:BH$600,MATCH(1,($A71='Offer Statistics'!$BB$2:$BB$600)*($AC$2='Offer Statistics'!$BC$2:$BC$600),0)),"/")</f>
        <v>284</v>
      </c>
      <c r="AQ71" s="15"/>
      <c r="AR71" s="15" t="str">
        <f>A71</f>
        <v>JS4893</v>
      </c>
    </row>
    <row r="72" spans="1:44" s="10" customFormat="1" ht="18" customHeight="1">
      <c r="A72" s="4" t="str">
        <f>'Reference Score Calculation'!B215</f>
        <v>JS4903</v>
      </c>
      <c r="B72" s="4" t="str">
        <f>'Reference Score Calculation'!D215</f>
        <v>法學院</v>
      </c>
      <c r="C72" s="4" t="str">
        <f>'Reference Score Calculation'!E215</f>
        <v>法學士</v>
      </c>
      <c r="D72" s="4" t="str">
        <f>'Reference Score Calculation'!S215</f>
        <v>LLB</v>
      </c>
      <c r="E72" s="352" t="str">
        <f>'Reference Score Calculation'!AC215</f>
        <v>3C2X</v>
      </c>
      <c r="F72" s="354" t="str">
        <f>'Reference Score Calculation'!F215</f>
        <v>3C2X</v>
      </c>
      <c r="G72" s="6">
        <f>'Reference Score Calculation'!H215</f>
        <v>34.5</v>
      </c>
      <c r="H72" s="6">
        <f>'Reference Score Calculation'!I215</f>
        <v>33</v>
      </c>
      <c r="I72" s="6">
        <f>'Reference Score Calculation'!J215</f>
        <v>33</v>
      </c>
      <c r="J72" s="45">
        <f>計分版!J238</f>
        <v>3.4999999999999999E-9</v>
      </c>
      <c r="K72" s="25">
        <f>IFERROR(IF(K$1="差距(Median)",J72-H72,IF(K$1="差距(UQ)",J72-G72,IF(K$1="差距(LQ)",J72-I72))),"/")</f>
        <v>-32.999999996500001</v>
      </c>
      <c r="L72" s="26">
        <f>IFERROR(IF(K$1="差距(Median)",(J72-H72)/J72,IF(K$1="差距(UQ)",(J72-G72)/J72,IF(K$1="差距(LQ)",(J72-I72)/J72))),"/")</f>
        <v>-9428571427.5714283</v>
      </c>
      <c r="M72" s="36">
        <f>'Reference Score Calculation'!U215</f>
        <v>73</v>
      </c>
      <c r="N72" s="84">
        <f>入學要求!Z224</f>
        <v>0</v>
      </c>
      <c r="O72" s="544"/>
      <c r="P72" s="161">
        <f>入學要求!L224</f>
        <v>4</v>
      </c>
      <c r="Q72" s="161">
        <f>入學要求!M224</f>
        <v>5</v>
      </c>
      <c r="R72" s="161">
        <f>入學要求!N224</f>
        <v>3</v>
      </c>
      <c r="S72" s="161">
        <f>入學要求!O224</f>
        <v>1</v>
      </c>
      <c r="T72" s="161">
        <f>入學要求!P224</f>
        <v>3</v>
      </c>
      <c r="U72" s="161">
        <f>入學要求!Q224</f>
        <v>3</v>
      </c>
      <c r="V72" s="236">
        <f>入學要求!S224</f>
        <v>0</v>
      </c>
      <c r="W72" s="236">
        <f>入學要求!T224</f>
        <v>0</v>
      </c>
      <c r="X72" s="236">
        <f>入學要求!U224</f>
        <v>0</v>
      </c>
      <c r="Y72" s="236">
        <f>入學要求!V224</f>
        <v>0</v>
      </c>
      <c r="Z72" s="236">
        <f>入學要求!W224</f>
        <v>0</v>
      </c>
      <c r="AA72" s="236">
        <f>入學要求!X224</f>
        <v>0</v>
      </c>
      <c r="AB72" s="36">
        <f>IFERROR(ROUND(AL72/AE72,2),"/")</f>
        <v>5.83</v>
      </c>
      <c r="AC72" s="537"/>
      <c r="AD72" s="36" cm="1">
        <f t="array" ref="AD72">IFERROR(INDEX('Offer Statistics'!$BQ$2:$BQ$600,MATCH(1,($A72='Offer Statistics'!$BB$2:$BB$600)*($AC$2='Offer Statistics'!$BC$2:$BC$600),0)),"/")</f>
        <v>40</v>
      </c>
      <c r="AE72" s="63" cm="1">
        <f t="array" ref="AE72">IFERROR(INDEX('Offer Statistics'!BL$2:BL$600,MATCH(1,($A72='Offer Statistics'!$BB$2:$BB$600)*($AC$2='Offer Statistics'!$BC$2:$BC$600),0)),"/")</f>
        <v>40</v>
      </c>
      <c r="AF72" s="63" cm="1">
        <f t="array" ref="AF72">IFERROR(INDEX('Offer Statistics'!BM$2:BM$600,MATCH(1,($A72='Offer Statistics'!$BB$2:$BB$600)*($AC$2='Offer Statistics'!$BC$2:$BC$600),0)),"/")</f>
        <v>0</v>
      </c>
      <c r="AG72" s="63" cm="1">
        <f t="array" ref="AG72">IFERROR(INDEX('Offer Statistics'!BN$2:BN$600,MATCH(1,($A72='Offer Statistics'!$BB$2:$BB$600)*($AC$2='Offer Statistics'!$BC$2:$BC$600),0)),"/")</f>
        <v>0</v>
      </c>
      <c r="AH72" s="63" cm="1">
        <f t="array" ref="AH72">IFERROR(INDEX('Offer Statistics'!BO$2:BO$600,MATCH(1,($A72='Offer Statistics'!$BB$2:$BB$600)*($AC$2='Offer Statistics'!$BC$2:$BC$600),0)),"/")</f>
        <v>0</v>
      </c>
      <c r="AI72" s="63" cm="1">
        <f t="array" ref="AI72">IFERROR(INDEX('Offer Statistics'!BP$2:BP$600,MATCH(1,($A72='Offer Statistics'!$BB$2:$BB$600)*($AC$2='Offer Statistics'!$BC$2:$BC$600),0)),"/")</f>
        <v>0</v>
      </c>
      <c r="AJ72" s="538"/>
      <c r="AK72" s="36" cm="1">
        <f t="array" ref="AK72">IFERROR(INDEX('Offer Statistics'!$BI$2:$BI$600,MATCH(1,($A72='Offer Statistics'!$BB$2:$BB$600)*($AC$2='Offer Statistics'!$BC$2:$BC$600),0)),"/")</f>
        <v>883</v>
      </c>
      <c r="AL72" s="63" cm="1">
        <f t="array" ref="AL72">IFERROR(INDEX('Offer Statistics'!BD$2:BD$600,MATCH(1,($A72='Offer Statistics'!$BB$2:$BB$600)*($AC$2='Offer Statistics'!$BC$2:$BC$600),0)),"/")</f>
        <v>233</v>
      </c>
      <c r="AM72" s="63" cm="1">
        <f t="array" ref="AM72">IFERROR(INDEX('Offer Statistics'!BE$2:BE$600,MATCH(1,($A72='Offer Statistics'!$BB$2:$BB$600)*($AC$2='Offer Statistics'!$BC$2:$BC$600),0)),"/")</f>
        <v>100</v>
      </c>
      <c r="AN72" s="63" cm="1">
        <f t="array" ref="AN72">IFERROR(INDEX('Offer Statistics'!BF$2:BF$600,MATCH(1,($A72='Offer Statistics'!$BB$2:$BB$600)*($AC$2='Offer Statistics'!$BC$2:$BC$600),0)),"/")</f>
        <v>135</v>
      </c>
      <c r="AO72" s="63" cm="1">
        <f t="array" ref="AO72">IFERROR(INDEX('Offer Statistics'!BG$2:BG$600,MATCH(1,($A72='Offer Statistics'!$BB$2:$BB$600)*($AC$2='Offer Statistics'!$BC$2:$BC$600),0)),"/")</f>
        <v>178</v>
      </c>
      <c r="AP72" s="63" cm="1">
        <f t="array" ref="AP72">IFERROR(INDEX('Offer Statistics'!BH$2:BH$600,MATCH(1,($A72='Offer Statistics'!$BB$2:$BB$600)*($AC$2='Offer Statistics'!$BC$2:$BC$600),0)),"/")</f>
        <v>237</v>
      </c>
      <c r="AQ72" s="15"/>
      <c r="AR72" s="15" t="str">
        <f>A72</f>
        <v>JS4903</v>
      </c>
    </row>
    <row r="73" spans="1:44" ht="18" customHeight="1"/>
    <row r="74" spans="1:44" ht="18" customHeight="1">
      <c r="A74" s="23" t="s">
        <v>2463</v>
      </c>
    </row>
    <row r="75" spans="1:44" ht="18" customHeight="1">
      <c r="A75" s="4" t="s">
        <v>152</v>
      </c>
    </row>
    <row r="76" spans="1:44" ht="18" customHeight="1"/>
    <row r="77" spans="1:44" ht="18" customHeight="1">
      <c r="A77" s="4" t="s">
        <v>3131</v>
      </c>
    </row>
    <row r="78" spans="1:44" ht="18" customHeight="1"/>
    <row r="79" spans="1:44" ht="18" customHeight="1">
      <c r="A79" s="23" t="s">
        <v>2962</v>
      </c>
      <c r="C79" s="23"/>
      <c r="F79" s="15"/>
      <c r="G79" s="4"/>
      <c r="H79" s="4"/>
      <c r="J79" s="4"/>
      <c r="L79" s="83"/>
      <c r="N79" s="4"/>
      <c r="O79" s="4"/>
      <c r="V79" s="4"/>
      <c r="W79" s="4"/>
      <c r="X79" s="4"/>
      <c r="Y79" s="4"/>
      <c r="Z79" s="4"/>
      <c r="AA79" s="4"/>
      <c r="AB79" s="4"/>
      <c r="AC79" s="4"/>
    </row>
    <row r="80" spans="1:44" ht="18" customHeight="1">
      <c r="A80" s="254" t="s">
        <v>2457</v>
      </c>
      <c r="N80" s="4"/>
      <c r="P80" s="15"/>
      <c r="Q80" s="15"/>
      <c r="R80" s="15"/>
      <c r="S80" s="15"/>
      <c r="T80" s="15"/>
      <c r="U80" s="15"/>
      <c r="AD80" s="15"/>
      <c r="AE80" s="15"/>
      <c r="AF80" s="15"/>
      <c r="AG80" s="15"/>
      <c r="AH80" s="15"/>
      <c r="AI80" s="15"/>
      <c r="AJ80" s="15"/>
      <c r="AK80" s="15"/>
      <c r="AL80" s="15"/>
      <c r="AM80" s="15"/>
      <c r="AN80" s="15"/>
      <c r="AO80" s="15"/>
      <c r="AP80" s="15"/>
      <c r="AR80" s="15"/>
    </row>
    <row r="81" spans="1:44" ht="18" customHeight="1">
      <c r="A81" s="254"/>
      <c r="N81" s="4"/>
      <c r="P81" s="15"/>
      <c r="Q81" s="15"/>
      <c r="R81" s="15"/>
      <c r="S81" s="15"/>
      <c r="T81" s="15"/>
      <c r="U81" s="15"/>
      <c r="AD81" s="15"/>
      <c r="AE81" s="15"/>
      <c r="AF81" s="15"/>
      <c r="AG81" s="15"/>
      <c r="AH81" s="15"/>
      <c r="AI81" s="15"/>
      <c r="AJ81" s="15"/>
      <c r="AK81" s="15"/>
      <c r="AL81" s="15"/>
      <c r="AM81" s="15"/>
      <c r="AN81" s="15"/>
      <c r="AO81" s="15"/>
      <c r="AP81" s="15"/>
      <c r="AR81" s="15"/>
    </row>
    <row r="82" spans="1:44" ht="18" customHeight="1">
      <c r="A82" s="3" t="s">
        <v>127</v>
      </c>
    </row>
    <row r="83" spans="1:44" ht="18" customHeight="1">
      <c r="A83" s="23" t="s">
        <v>2458</v>
      </c>
    </row>
    <row r="84" spans="1:44" ht="18" customHeight="1">
      <c r="A84" s="4" t="s">
        <v>2455</v>
      </c>
    </row>
    <row r="85" spans="1:44" ht="18" customHeight="1"/>
    <row r="86" spans="1:44" ht="18" customHeight="1">
      <c r="A86" s="46"/>
      <c r="AC86" s="4"/>
    </row>
    <row r="87" spans="1:44" ht="18" customHeight="1">
      <c r="A87" s="3" t="s">
        <v>129</v>
      </c>
    </row>
    <row r="88" spans="1:44" ht="18" customHeight="1">
      <c r="A88" s="247" t="s">
        <v>3286</v>
      </c>
    </row>
    <row r="89" spans="1:44" ht="18" customHeight="1">
      <c r="A89" s="247" t="s">
        <v>3287</v>
      </c>
    </row>
    <row r="90" spans="1:44" ht="18" customHeight="1">
      <c r="A90" s="244" t="s">
        <v>3288</v>
      </c>
    </row>
    <row r="91" spans="1:44" ht="18" customHeight="1">
      <c r="A91" s="247"/>
    </row>
  </sheetData>
  <sheetProtection sheet="1" sort="0" autoFilter="0" pivotTables="0"/>
  <mergeCells count="4">
    <mergeCell ref="K1:L1"/>
    <mergeCell ref="AC2:AC72"/>
    <mergeCell ref="AJ2:AJ72"/>
    <mergeCell ref="O2:O72"/>
  </mergeCells>
  <phoneticPr fontId="3" type="noConversion"/>
  <conditionalFormatting sqref="A2:AR2 A3:N72 AK3:AR72 P3:AB72 AD3:AI72">
    <cfRule type="expression" dxfId="185" priority="21720">
      <formula>MOD(ROW(),2)=0</formula>
    </cfRule>
  </conditionalFormatting>
  <conditionalFormatting sqref="G2:I72">
    <cfRule type="expression" dxfId="184" priority="130">
      <formula>$K$1="差距(UQ)"</formula>
    </cfRule>
  </conditionalFormatting>
  <conditionalFormatting sqref="H2:H72">
    <cfRule type="expression" dxfId="183" priority="129">
      <formula>$K$1="差距(Median)"</formula>
    </cfRule>
  </conditionalFormatting>
  <conditionalFormatting sqref="I2:I72">
    <cfRule type="expression" dxfId="182" priority="128">
      <formula>$K$1="差距(LQ)"</formula>
    </cfRule>
  </conditionalFormatting>
  <conditionalFormatting sqref="K2:L72">
    <cfRule type="cellIs" dxfId="181" priority="131" operator="equal">
      <formula>"/"</formula>
    </cfRule>
    <cfRule type="cellIs" dxfId="180" priority="132" operator="lessThan">
      <formula>0</formula>
    </cfRule>
    <cfRule type="cellIs" dxfId="179" priority="133" operator="greaterThan">
      <formula>0</formula>
    </cfRule>
  </conditionalFormatting>
  <conditionalFormatting sqref="N2:N72">
    <cfRule type="cellIs" dxfId="178" priority="125" operator="equal">
      <formula>2</formula>
    </cfRule>
    <cfRule type="cellIs" dxfId="177" priority="126" operator="equal">
      <formula>1</formula>
    </cfRule>
    <cfRule type="cellIs" dxfId="176" priority="127" operator="equal">
      <formula>0</formula>
    </cfRule>
  </conditionalFormatting>
  <conditionalFormatting sqref="P2:U72">
    <cfRule type="expression" dxfId="175" priority="2">
      <formula>V2=0</formula>
    </cfRule>
    <cfRule type="expression" dxfId="174" priority="3">
      <formula>V2=2</formula>
    </cfRule>
    <cfRule type="expression" dxfId="173" priority="4">
      <formula>V2=1</formula>
    </cfRule>
  </conditionalFormatting>
  <conditionalFormatting sqref="AC2 AJ2 AQ2:AQ72">
    <cfRule type="expression" dxfId="172" priority="62">
      <formula>TRUE</formula>
    </cfRule>
  </conditionalFormatting>
  <hyperlinks>
    <hyperlink ref="A88" r:id="rId1" xr:uid="{00000000-0004-0000-0A00-000003000000}"/>
    <hyperlink ref="A89" r:id="rId2" xr:uid="{00000000-0004-0000-0A00-000002000000}"/>
    <hyperlink ref="A90" r:id="rId3" xr:uid="{13EEB010-81EF-44F9-8A19-41630BB9C2DC}"/>
  </hyperlinks>
  <pageMargins left="0.7" right="0.7" top="0.75" bottom="0.75" header="0.3" footer="0.3"/>
  <pageSetup paperSize="9" orientation="portrait" r:id="rId4"/>
  <drawing r:id="rId5"/>
  <legacyDrawing r:id="rId6"/>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選單!$K$1:$K$3</xm:f>
          </x14:formula1>
          <xm:sqref>K1:L1</xm:sqref>
        </x14:dataValidation>
        <x14:dataValidation type="list" allowBlank="1" showInputMessage="1" showErrorMessage="1" xr:uid="{C70C0710-DB5F-485E-98A1-67DEB8F8CC53}">
          <x14:formula1>
            <xm:f>選單!$J$1:$J$7</xm:f>
          </x14:formula1>
          <xm:sqref>AC2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9">
    <tabColor theme="4" tint="0.59999389629810485"/>
  </sheetPr>
  <dimension ref="A1:BD69"/>
  <sheetViews>
    <sheetView workbookViewId="0">
      <selection activeCell="B50" sqref="B50"/>
    </sheetView>
  </sheetViews>
  <sheetFormatPr defaultColWidth="0" defaultRowHeight="13.8" zeroHeight="1"/>
  <cols>
    <col min="1" max="1" width="7.19921875" style="4" customWidth="1"/>
    <col min="2" max="2" width="9.19921875" style="4" customWidth="1"/>
    <col min="3" max="3" width="19.3984375" style="4" customWidth="1"/>
    <col min="4" max="4" width="8.69921875" style="4" customWidth="1"/>
    <col min="5" max="5" width="12.3984375" style="4" customWidth="1"/>
    <col min="6" max="6" width="12.8984375" style="36" customWidth="1"/>
    <col min="7" max="9" width="7.69921875" style="15" customWidth="1"/>
    <col min="10" max="10" width="7.69921875" style="22" customWidth="1"/>
    <col min="11" max="11" width="7.69921875" style="23" customWidth="1"/>
    <col min="12" max="13" width="4.69921875" style="15" customWidth="1"/>
    <col min="14" max="14" width="15.69921875" style="15" customWidth="1"/>
    <col min="15" max="20" width="2.19921875" style="15" customWidth="1"/>
    <col min="21" max="26" width="2.19921875" style="15" hidden="1" customWidth="1"/>
    <col min="27" max="27" width="11.19921875" style="15" customWidth="1"/>
    <col min="28" max="28" width="8.69921875" style="4" customWidth="1"/>
    <col min="29" max="34" width="6.19921875" style="4" customWidth="1"/>
    <col min="35" max="35" width="8.69921875" style="4" customWidth="1"/>
    <col min="36" max="41" width="6.19921875" style="4" customWidth="1"/>
    <col min="42" max="42" width="3.19921875" style="4" customWidth="1"/>
    <col min="43" max="43" width="8.19921875" style="15" customWidth="1"/>
    <col min="44" max="56" width="0" style="4" hidden="1" customWidth="1"/>
    <col min="57" max="16384" width="9" style="4" hidden="1"/>
  </cols>
  <sheetData>
    <row r="1" spans="1:43" s="31" customFormat="1" ht="18" customHeight="1">
      <c r="A1" s="31" t="s">
        <v>104</v>
      </c>
      <c r="B1" s="31" t="s">
        <v>105</v>
      </c>
      <c r="C1" s="31" t="s">
        <v>106</v>
      </c>
      <c r="E1" s="32" t="s">
        <v>2319</v>
      </c>
      <c r="F1" s="32" t="s">
        <v>2277</v>
      </c>
      <c r="G1" s="71" t="s">
        <v>102</v>
      </c>
      <c r="H1" s="71" t="s">
        <v>100</v>
      </c>
      <c r="I1" s="32" t="s">
        <v>108</v>
      </c>
      <c r="J1" s="546" t="s">
        <v>109</v>
      </c>
      <c r="K1" s="546"/>
      <c r="L1" s="32" t="s">
        <v>36</v>
      </c>
      <c r="M1" s="32" t="s">
        <v>110</v>
      </c>
      <c r="N1" s="32"/>
      <c r="O1" s="32" t="s">
        <v>111</v>
      </c>
      <c r="P1" s="32" t="s">
        <v>112</v>
      </c>
      <c r="Q1" s="32" t="s">
        <v>113</v>
      </c>
      <c r="R1" s="32" t="s">
        <v>2251</v>
      </c>
      <c r="S1" s="32" t="s">
        <v>115</v>
      </c>
      <c r="T1" s="32" t="s">
        <v>116</v>
      </c>
      <c r="U1" s="32"/>
      <c r="V1" s="32"/>
      <c r="W1" s="32"/>
      <c r="X1" s="32"/>
      <c r="Y1" s="32"/>
      <c r="Z1" s="32"/>
      <c r="AA1" s="32" t="s">
        <v>117</v>
      </c>
      <c r="AB1" s="32" t="s">
        <v>118</v>
      </c>
      <c r="AC1" s="32" t="s">
        <v>135</v>
      </c>
      <c r="AD1" s="32" t="s">
        <v>120</v>
      </c>
      <c r="AE1" s="32" t="s">
        <v>121</v>
      </c>
      <c r="AF1" s="32" t="s">
        <v>122</v>
      </c>
      <c r="AG1" s="32" t="s">
        <v>123</v>
      </c>
      <c r="AH1" s="32" t="s">
        <v>124</v>
      </c>
      <c r="AI1" s="32" t="s">
        <v>136</v>
      </c>
      <c r="AJ1" s="32" t="s">
        <v>135</v>
      </c>
      <c r="AK1" s="32" t="s">
        <v>120</v>
      </c>
      <c r="AL1" s="32" t="s">
        <v>121</v>
      </c>
      <c r="AM1" s="32" t="s">
        <v>122</v>
      </c>
      <c r="AN1" s="32" t="s">
        <v>123</v>
      </c>
      <c r="AO1" s="32" t="s">
        <v>124</v>
      </c>
      <c r="AQ1" s="32"/>
    </row>
    <row r="2" spans="1:43" s="10" customFormat="1" ht="18" customHeight="1">
      <c r="A2" s="4" t="str">
        <f>'Reference Score Calculation'!B218</f>
        <v>JS5101</v>
      </c>
      <c r="B2" s="4" t="str">
        <f>'Reference Score Calculation'!D218</f>
        <v>理學院</v>
      </c>
      <c r="C2" s="4" t="str">
        <f>'Reference Score Calculation'!E218</f>
        <v>國際科研</v>
      </c>
      <c r="D2" s="4" t="str">
        <f>'Reference Score Calculation'!S218</f>
        <v>IRE</v>
      </c>
      <c r="E2" s="352" t="str">
        <f>'Reference Score Calculation'!AC218</f>
        <v>英數Best3</v>
      </c>
      <c r="F2" s="450" t="str">
        <f>'Reference Score Calculation'!F218</f>
        <v>英數Best3</v>
      </c>
      <c r="G2" s="6">
        <f>'Reference Score Calculation'!I218</f>
        <v>36.75</v>
      </c>
      <c r="H2" s="6">
        <f>'Reference Score Calculation'!J218</f>
        <v>34.5</v>
      </c>
      <c r="I2" s="45">
        <f>計分版!J241</f>
        <v>2.5000000000000001E-9</v>
      </c>
      <c r="J2" s="167">
        <f>IFERROR(IF(J$1="差距(Median)",I2-G2,IF(J$1="差距(UQ)",I2-#REF!,IF(J$1="差距(LQ)",I2-H2))),"/")</f>
        <v>-36.749999997499998</v>
      </c>
      <c r="K2" s="168">
        <f>IFERROR(IF(J$1="差距(Median)",(I2-G2)/I2,IF(J$1="差距(UQ)",(I2-#REF!)/I2,IF(J$1="差距(LQ)",(I2-H2)/I2))),"/")</f>
        <v>-14699999998.999998</v>
      </c>
      <c r="L2" s="36">
        <f>'Reference Score Calculation'!U218</f>
        <v>20</v>
      </c>
      <c r="M2" s="84">
        <f>入學要求!Z227</f>
        <v>0</v>
      </c>
      <c r="N2" s="544" t="s">
        <v>2104</v>
      </c>
      <c r="O2" s="159">
        <f>入學要求!L227</f>
        <v>3</v>
      </c>
      <c r="P2" s="159">
        <f>入學要求!M227</f>
        <v>3</v>
      </c>
      <c r="Q2" s="159">
        <f>入學要求!N227</f>
        <v>2</v>
      </c>
      <c r="R2" s="159">
        <f>入學要求!O227</f>
        <v>1</v>
      </c>
      <c r="S2" s="159">
        <f>入學要求!P227</f>
        <v>3</v>
      </c>
      <c r="T2" s="159">
        <f>入學要求!Q227</f>
        <v>3</v>
      </c>
      <c r="U2" s="236">
        <f>入學要求!S227</f>
        <v>0</v>
      </c>
      <c r="V2" s="236">
        <f>入學要求!T227</f>
        <v>0</v>
      </c>
      <c r="W2" s="236">
        <f>入學要求!U227</f>
        <v>0</v>
      </c>
      <c r="X2" s="236">
        <f>入學要求!V227</f>
        <v>0</v>
      </c>
      <c r="Y2" s="236">
        <f>入學要求!W227</f>
        <v>0</v>
      </c>
      <c r="Z2" s="236">
        <f>入學要求!X227</f>
        <v>0</v>
      </c>
      <c r="AA2" s="36">
        <f>IFERROR(ROUND(AK2/AD2,2),"/")</f>
        <v>3.29</v>
      </c>
      <c r="AB2" s="537" t="s">
        <v>2253</v>
      </c>
      <c r="AC2" s="36" cm="1">
        <f t="array" ref="AC2">IFERROR(INDEX('Offer Statistics'!CH$2:CH$400,MATCH(1,($A2='Offer Statistics'!$BS$2:$BS$400)*($AB$2='Offer Statistics'!$BT$2:$BT$400),0)),"/")</f>
        <v>21</v>
      </c>
      <c r="AD2" s="63" cm="1">
        <f t="array" ref="AD2">IFERROR(INDEX('Offer Statistics'!CC$2:CC$400,MATCH(1,($A2='Offer Statistics'!$BS$2:$BS$400)*($AB$2='Offer Statistics'!$BT$2:$BT$400),0)),"/")</f>
        <v>21</v>
      </c>
      <c r="AE2" s="63" cm="1">
        <f t="array" ref="AE2">IFERROR(INDEX('Offer Statistics'!CD$2:CD$400,MATCH(1,($A2='Offer Statistics'!$BS$2:$BS$400)*($AB$2='Offer Statistics'!$BT$2:$BT$400),0)),"/")</f>
        <v>0</v>
      </c>
      <c r="AF2" s="63" cm="1">
        <f t="array" ref="AF2">IFERROR(INDEX('Offer Statistics'!CE$2:CE$400,MATCH(1,($A2='Offer Statistics'!$BS$2:$BS$400)*($AB$2='Offer Statistics'!$BT$2:$BT$400),0)),"/")</f>
        <v>0</v>
      </c>
      <c r="AG2" s="63" cm="1">
        <f t="array" ref="AG2">IFERROR(INDEX('Offer Statistics'!CF$2:CF$400,MATCH(1,($A2='Offer Statistics'!$BS$2:$BS$400)*($AB$2='Offer Statistics'!$BT$2:$BT$400),0)),"/")</f>
        <v>0</v>
      </c>
      <c r="AH2" s="63" cm="1">
        <f t="array" ref="AH2">IFERROR(INDEX('Offer Statistics'!CG$2:CG$400,MATCH(1,($A2='Offer Statistics'!$BS$2:$BS$400)*($AB$2='Offer Statistics'!$BT$2:$BT$400),0)),"/")</f>
        <v>0</v>
      </c>
      <c r="AI2" s="538" t="str">
        <f>AB2</f>
        <v>2024年</v>
      </c>
      <c r="AJ2" s="36" cm="1">
        <f t="array" ref="AJ2">IFERROR(INDEX('Offer Statistics'!BZ$2:BZ$400,MATCH(1,($A2='Offer Statistics'!$BS$2:$BS$400)*($AB$2='Offer Statistics'!$BT$2:$BT$400),0)),"/")</f>
        <v>372</v>
      </c>
      <c r="AK2" s="63" cm="1">
        <f t="array" ref="AK2">IFERROR(INDEX('Offer Statistics'!BU$2:BU$400,MATCH(1,($A2='Offer Statistics'!$BS$2:$BS$400)*($AB$2='Offer Statistics'!$BT$2:$BT$400),0)),"/")</f>
        <v>69</v>
      </c>
      <c r="AL2" s="63" cm="1">
        <f t="array" ref="AL2">IFERROR(INDEX('Offer Statistics'!BV$2:BV$400,MATCH(1,($A2='Offer Statistics'!$BS$2:$BS$400)*($AB$2='Offer Statistics'!$BT$2:$BT$400),0)),"/")</f>
        <v>45</v>
      </c>
      <c r="AM2" s="63" cm="1">
        <f t="array" ref="AM2">IFERROR(INDEX('Offer Statistics'!BW$2:BW$400,MATCH(1,($A2='Offer Statistics'!$BS$2:$BS$400)*($AB$2='Offer Statistics'!$BT$2:$BT$400),0)),"/")</f>
        <v>63</v>
      </c>
      <c r="AN2" s="63" cm="1">
        <f t="array" ref="AN2">IFERROR(INDEX('Offer Statistics'!BX$2:BX$400,MATCH(1,($A2='Offer Statistics'!$BS$2:$BS$400)*($AB$2='Offer Statistics'!$BT$2:$BT$400),0)),"/")</f>
        <v>91</v>
      </c>
      <c r="AO2" s="63" cm="1">
        <f t="array" ref="AO2">IFERROR(INDEX('Offer Statistics'!BY$2:BY$400,MATCH(1,($A2='Offer Statistics'!$BS$2:$BS$400)*($AB$2='Offer Statistics'!$BT$2:$BT$400),0)),"/")</f>
        <v>104</v>
      </c>
      <c r="AP2" s="4"/>
      <c r="AQ2" s="15" t="str">
        <f>A2</f>
        <v>JS5101</v>
      </c>
    </row>
    <row r="3" spans="1:43" ht="18" customHeight="1">
      <c r="A3" s="4" t="str">
        <f>'Reference Score Calculation'!B219</f>
        <v>JS5102</v>
      </c>
      <c r="B3" s="4" t="str">
        <f>'Reference Score Calculation'!D219</f>
        <v>理學院</v>
      </c>
      <c r="C3" s="4" t="str">
        <f>'Reference Score Calculation'!E219</f>
        <v>理學Ａ組</v>
      </c>
      <c r="D3" s="4" t="str">
        <f>'Reference Score Calculation'!S219</f>
        <v>SSCI-A</v>
      </c>
      <c r="E3" s="352" t="str">
        <f>'Reference Score Calculation'!AC219</f>
        <v>英數Best3</v>
      </c>
      <c r="F3" s="450" t="str">
        <f>'Reference Score Calculation'!F219</f>
        <v>英數Best3</v>
      </c>
      <c r="G3" s="6">
        <f>'Reference Score Calculation'!I219</f>
        <v>31.13</v>
      </c>
      <c r="H3" s="6">
        <f>'Reference Score Calculation'!J219</f>
        <v>29.66</v>
      </c>
      <c r="I3" s="45">
        <f>計分版!J242</f>
        <v>3.2999999999999998E-9</v>
      </c>
      <c r="J3" s="167">
        <f>IFERROR(IF(J$1="差距(Median)",I3-G3,IF(J$1="差距(UQ)",I3-#REF!,IF(J$1="差距(LQ)",I3-H3))),"/")</f>
        <v>-31.129999996700001</v>
      </c>
      <c r="K3" s="168">
        <f>IFERROR(IF(J$1="差距(Median)",(I3-G3)/I3,IF(J$1="差距(UQ)",(I3-#REF!)/I3,IF(J$1="差距(LQ)",(I3-H3)/I3))),"/")</f>
        <v>-9433333332.333334</v>
      </c>
      <c r="L3" s="538" t="str">
        <f>'Reference Score Calculation'!U219</f>
        <v>408*</v>
      </c>
      <c r="M3" s="84">
        <f>入學要求!Z228</f>
        <v>0</v>
      </c>
      <c r="N3" s="544"/>
      <c r="O3" s="166">
        <f>入學要求!L228</f>
        <v>3</v>
      </c>
      <c r="P3" s="166">
        <f>入學要求!M228</f>
        <v>3</v>
      </c>
      <c r="Q3" s="166">
        <f>入學要求!N228</f>
        <v>2</v>
      </c>
      <c r="R3" s="166">
        <f>入學要求!O228</f>
        <v>1</v>
      </c>
      <c r="S3" s="166">
        <f>入學要求!P228</f>
        <v>3</v>
      </c>
      <c r="T3" s="166">
        <f>入學要求!Q228</f>
        <v>3</v>
      </c>
      <c r="U3" s="236">
        <f>入學要求!S228</f>
        <v>0</v>
      </c>
      <c r="V3" s="236">
        <f>入學要求!T228</f>
        <v>0</v>
      </c>
      <c r="W3" s="236">
        <f>入學要求!U228</f>
        <v>0</v>
      </c>
      <c r="X3" s="236">
        <f>入學要求!V228</f>
        <v>0</v>
      </c>
      <c r="Y3" s="236">
        <f>入學要求!W228</f>
        <v>0</v>
      </c>
      <c r="Z3" s="236">
        <f>入學要求!X228</f>
        <v>0</v>
      </c>
      <c r="AA3" s="36">
        <f>IFERROR(ROUND(AK3/AD3,2),"/")</f>
        <v>5.12</v>
      </c>
      <c r="AB3" s="537"/>
      <c r="AC3" s="36" cm="1">
        <f t="array" ref="AC3">IFERROR(INDEX('Offer Statistics'!CH$2:CH$400,MATCH(1,($A3='Offer Statistics'!$BS$2:$BS$400)*($AB$2='Offer Statistics'!$BT$2:$BT$400),0)),"/")</f>
        <v>188</v>
      </c>
      <c r="AD3" s="63" cm="1">
        <f t="array" ref="AD3">IFERROR(INDEX('Offer Statistics'!CC$2:CC$400,MATCH(1,($A3='Offer Statistics'!$BS$2:$BS$400)*($AB$2='Offer Statistics'!$BT$2:$BT$400),0)),"/")</f>
        <v>181</v>
      </c>
      <c r="AE3" s="63" cm="1">
        <f t="array" ref="AE3">IFERROR(INDEX('Offer Statistics'!CD$2:CD$400,MATCH(1,($A3='Offer Statistics'!$BS$2:$BS$400)*($AB$2='Offer Statistics'!$BT$2:$BT$400),0)),"/")</f>
        <v>7</v>
      </c>
      <c r="AF3" s="63" cm="1">
        <f t="array" ref="AF3">IFERROR(INDEX('Offer Statistics'!CE$2:CE$400,MATCH(1,($A3='Offer Statistics'!$BS$2:$BS$400)*($AB$2='Offer Statistics'!$BT$2:$BT$400),0)),"/")</f>
        <v>0</v>
      </c>
      <c r="AG3" s="63" cm="1">
        <f t="array" ref="AG3">IFERROR(INDEX('Offer Statistics'!CF$2:CF$400,MATCH(1,($A3='Offer Statistics'!$BS$2:$BS$400)*($AB$2='Offer Statistics'!$BT$2:$BT$400),0)),"/")</f>
        <v>0</v>
      </c>
      <c r="AH3" s="63" cm="1">
        <f t="array" ref="AH3">IFERROR(INDEX('Offer Statistics'!CG$2:CG$400,MATCH(1,($A3='Offer Statistics'!$BS$2:$BS$400)*($AB$2='Offer Statistics'!$BT$2:$BT$400),0)),"/")</f>
        <v>0</v>
      </c>
      <c r="AI3" s="538"/>
      <c r="AJ3" s="36" cm="1">
        <f t="array" ref="AJ3">IFERROR(INDEX('Offer Statistics'!BZ$2:BZ$400,MATCH(1,($A3='Offer Statistics'!$BS$2:$BS$400)*($AB$2='Offer Statistics'!$BT$2:$BT$400),0)),"/")</f>
        <v>3139</v>
      </c>
      <c r="AK3" s="63" cm="1">
        <f t="array" ref="AK3">IFERROR(INDEX('Offer Statistics'!BU$2:BU$400,MATCH(1,($A3='Offer Statistics'!$BS$2:$BS$400)*($AB$2='Offer Statistics'!$BT$2:$BT$400),0)),"/")</f>
        <v>927</v>
      </c>
      <c r="AL3" s="63" cm="1">
        <f t="array" ref="AL3">IFERROR(INDEX('Offer Statistics'!BV$2:BV$400,MATCH(1,($A3='Offer Statistics'!$BS$2:$BS$400)*($AB$2='Offer Statistics'!$BT$2:$BT$400),0)),"/")</f>
        <v>729</v>
      </c>
      <c r="AM3" s="63" cm="1">
        <f t="array" ref="AM3">IFERROR(INDEX('Offer Statistics'!BW$2:BW$400,MATCH(1,($A3='Offer Statistics'!$BS$2:$BS$400)*($AB$2='Offer Statistics'!$BT$2:$BT$400),0)),"/")</f>
        <v>620</v>
      </c>
      <c r="AN3" s="63" cm="1">
        <f t="array" ref="AN3">IFERROR(INDEX('Offer Statistics'!BX$2:BX$400,MATCH(1,($A3='Offer Statistics'!$BS$2:$BS$400)*($AB$2='Offer Statistics'!$BT$2:$BT$400),0)),"/")</f>
        <v>510</v>
      </c>
      <c r="AO3" s="63" cm="1">
        <f t="array" ref="AO3">IFERROR(INDEX('Offer Statistics'!BY$2:BY$400,MATCH(1,($A3='Offer Statistics'!$BS$2:$BS$400)*($AB$2='Offer Statistics'!$BT$2:$BT$400),0)),"/")</f>
        <v>353</v>
      </c>
      <c r="AQ3" s="15" t="str">
        <f>A3</f>
        <v>JS5102</v>
      </c>
    </row>
    <row r="4" spans="1:43" s="10" customFormat="1" ht="18" customHeight="1">
      <c r="A4" s="4" t="str">
        <f>'Reference Score Calculation'!B220</f>
        <v>JS5103</v>
      </c>
      <c r="B4" s="4" t="str">
        <f>'Reference Score Calculation'!D220</f>
        <v>理學院</v>
      </c>
      <c r="C4" s="4" t="str">
        <f>'Reference Score Calculation'!E220</f>
        <v>理學Ｂ組</v>
      </c>
      <c r="D4" s="4" t="str">
        <f>'Reference Score Calculation'!S220</f>
        <v>SSCI-B</v>
      </c>
      <c r="E4" s="352" t="str">
        <f>'Reference Score Calculation'!AC220</f>
        <v>英數Best3</v>
      </c>
      <c r="F4" s="450" t="str">
        <f>'Reference Score Calculation'!F220</f>
        <v>英數Best3</v>
      </c>
      <c r="G4" s="6">
        <f>'Reference Score Calculation'!I220</f>
        <v>32</v>
      </c>
      <c r="H4" s="6">
        <f>'Reference Score Calculation'!J220</f>
        <v>30.44</v>
      </c>
      <c r="I4" s="45">
        <f>計分版!J243</f>
        <v>3.05E-9</v>
      </c>
      <c r="J4" s="167">
        <f>IFERROR(IF(J$1="差距(Median)",I4-G4,IF(J$1="差距(UQ)",I4-#REF!,IF(J$1="差距(LQ)",I4-H4))),"/")</f>
        <v>-31.999999996949999</v>
      </c>
      <c r="K4" s="168">
        <f>IFERROR(IF(J$1="差距(Median)",(I4-G4)/I4,IF(J$1="差距(UQ)",(I4-#REF!)/I4,IF(J$1="差距(LQ)",(I4-H4)/I4))),"/")</f>
        <v>-10491803277.688524</v>
      </c>
      <c r="L4" s="538"/>
      <c r="M4" s="84">
        <f>入學要求!Z229</f>
        <v>0</v>
      </c>
      <c r="N4" s="544"/>
      <c r="O4" s="166">
        <f>入學要求!L229</f>
        <v>3</v>
      </c>
      <c r="P4" s="166">
        <f>入學要求!M229</f>
        <v>3</v>
      </c>
      <c r="Q4" s="166">
        <f>入學要求!N229</f>
        <v>2</v>
      </c>
      <c r="R4" s="166">
        <f>入學要求!O229</f>
        <v>1</v>
      </c>
      <c r="S4" s="166">
        <f>入學要求!P229</f>
        <v>3</v>
      </c>
      <c r="T4" s="166">
        <f>入學要求!Q229</f>
        <v>3</v>
      </c>
      <c r="U4" s="236">
        <f>入學要求!S229</f>
        <v>0</v>
      </c>
      <c r="V4" s="236">
        <f>入學要求!T229</f>
        <v>0</v>
      </c>
      <c r="W4" s="236">
        <f>入學要求!U229</f>
        <v>0</v>
      </c>
      <c r="X4" s="236">
        <f>入學要求!V229</f>
        <v>0</v>
      </c>
      <c r="Y4" s="236">
        <f>入學要求!W229</f>
        <v>0</v>
      </c>
      <c r="Z4" s="236">
        <f>入學要求!X229</f>
        <v>0</v>
      </c>
      <c r="AA4" s="36">
        <f t="shared" ref="AA4:AA34" si="0">IFERROR(ROUND(AK4/AD4,2),"/")</f>
        <v>5.48</v>
      </c>
      <c r="AB4" s="537"/>
      <c r="AC4" s="36" cm="1">
        <f t="array" ref="AC4">IFERROR(INDEX('Offer Statistics'!CH$2:CH$400,MATCH(1,($A4='Offer Statistics'!$BS$2:$BS$400)*($AB$2='Offer Statistics'!$BT$2:$BT$400),0)),"/")</f>
        <v>203</v>
      </c>
      <c r="AD4" s="63" cm="1">
        <f t="array" ref="AD4">IFERROR(INDEX('Offer Statistics'!CC$2:CC$400,MATCH(1,($A4='Offer Statistics'!$BS$2:$BS$400)*($AB$2='Offer Statistics'!$BT$2:$BT$400),0)),"/")</f>
        <v>193</v>
      </c>
      <c r="AE4" s="63" cm="1">
        <f t="array" ref="AE4">IFERROR(INDEX('Offer Statistics'!CD$2:CD$400,MATCH(1,($A4='Offer Statistics'!$BS$2:$BS$400)*($AB$2='Offer Statistics'!$BT$2:$BT$400),0)),"/")</f>
        <v>10</v>
      </c>
      <c r="AF4" s="63" cm="1">
        <f t="array" ref="AF4">IFERROR(INDEX('Offer Statistics'!CE$2:CE$400,MATCH(1,($A4='Offer Statistics'!$BS$2:$BS$400)*($AB$2='Offer Statistics'!$BT$2:$BT$400),0)),"/")</f>
        <v>0</v>
      </c>
      <c r="AG4" s="63" cm="1">
        <f t="array" ref="AG4">IFERROR(INDEX('Offer Statistics'!CF$2:CF$400,MATCH(1,($A4='Offer Statistics'!$BS$2:$BS$400)*($AB$2='Offer Statistics'!$BT$2:$BT$400),0)),"/")</f>
        <v>0</v>
      </c>
      <c r="AH4" s="63" cm="1">
        <f t="array" ref="AH4">IFERROR(INDEX('Offer Statistics'!CG$2:CG$400,MATCH(1,($A4='Offer Statistics'!$BS$2:$BS$400)*($AB$2='Offer Statistics'!$BT$2:$BT$400),0)),"/")</f>
        <v>0</v>
      </c>
      <c r="AI4" s="538"/>
      <c r="AJ4" s="36" cm="1">
        <f t="array" ref="AJ4">IFERROR(INDEX('Offer Statistics'!BZ$2:BZ$400,MATCH(1,($A4='Offer Statistics'!$BS$2:$BS$400)*($AB$2='Offer Statistics'!$BT$2:$BT$400),0)),"/")</f>
        <v>3568</v>
      </c>
      <c r="AK4" s="63" cm="1">
        <f t="array" ref="AK4">IFERROR(INDEX('Offer Statistics'!BU$2:BU$400,MATCH(1,($A4='Offer Statistics'!$BS$2:$BS$400)*($AB$2='Offer Statistics'!$BT$2:$BT$400),0)),"/")</f>
        <v>1057</v>
      </c>
      <c r="AL4" s="63" cm="1">
        <f t="array" ref="AL4">IFERROR(INDEX('Offer Statistics'!BV$2:BV$400,MATCH(1,($A4='Offer Statistics'!$BS$2:$BS$400)*($AB$2='Offer Statistics'!$BT$2:$BT$400),0)),"/")</f>
        <v>857</v>
      </c>
      <c r="AM4" s="63" cm="1">
        <f t="array" ref="AM4">IFERROR(INDEX('Offer Statistics'!BW$2:BW$400,MATCH(1,($A4='Offer Statistics'!$BS$2:$BS$400)*($AB$2='Offer Statistics'!$BT$2:$BT$400),0)),"/")</f>
        <v>679</v>
      </c>
      <c r="AN4" s="63" cm="1">
        <f t="array" ref="AN4">IFERROR(INDEX('Offer Statistics'!BX$2:BX$400,MATCH(1,($A4='Offer Statistics'!$BS$2:$BS$400)*($AB$2='Offer Statistics'!$BT$2:$BT$400),0)),"/")</f>
        <v>573</v>
      </c>
      <c r="AO4" s="63" cm="1">
        <f t="array" ref="AO4">IFERROR(INDEX('Offer Statistics'!BY$2:BY$400,MATCH(1,($A4='Offer Statistics'!$BS$2:$BS$400)*($AB$2='Offer Statistics'!$BT$2:$BT$400),0)),"/")</f>
        <v>402</v>
      </c>
      <c r="AP4" s="4"/>
      <c r="AQ4" s="15" t="str">
        <f t="shared" ref="AQ4:AQ34" si="1">A4</f>
        <v>JS5103</v>
      </c>
    </row>
    <row r="5" spans="1:43" s="10" customFormat="1" ht="18" customHeight="1">
      <c r="A5" s="4" t="str">
        <f>'Reference Score Calculation'!B221</f>
        <v>JS5118</v>
      </c>
      <c r="B5" s="4" t="str">
        <f>'Reference Score Calculation'!D221</f>
        <v>理學院</v>
      </c>
      <c r="C5" s="4" t="str">
        <f>'Reference Score Calculation'!E221</f>
        <v>理學士（生物醫學及健康科學）</v>
      </c>
      <c r="D5" s="4" t="str">
        <f>'Reference Score Calculation'!S221</f>
        <v>BMH</v>
      </c>
      <c r="E5" s="352" t="str">
        <f>'Reference Score Calculation'!AC221</f>
        <v>英數Best3</v>
      </c>
      <c r="F5" s="450" t="str">
        <f>'Reference Score Calculation'!F221</f>
        <v>25年新科目</v>
      </c>
      <c r="G5" s="6" t="str">
        <f>'Reference Score Calculation'!I221</f>
        <v>/</v>
      </c>
      <c r="H5" s="6" t="str">
        <f>'Reference Score Calculation'!J221</f>
        <v>/</v>
      </c>
      <c r="I5" s="45">
        <f>計分版!J244</f>
        <v>3.05E-9</v>
      </c>
      <c r="J5" s="167" t="str">
        <f>IFERROR(IF(J$1="差距(Median)",I5-G5,IF(J$1="差距(UQ)",I5-#REF!,IF(J$1="差距(LQ)",I5-H5))),"/")</f>
        <v>/</v>
      </c>
      <c r="K5" s="168" t="str">
        <f>IFERROR(IF(J$1="差距(Median)",(I5-G5)/I5,IF(J$1="差距(UQ)",(I5-#REF!)/I5,IF(J$1="差距(LQ)",(I5-H5)/I5))),"/")</f>
        <v>/</v>
      </c>
      <c r="L5" s="36">
        <f>'Reference Score Calculation'!U221</f>
        <v>25</v>
      </c>
      <c r="M5" s="84">
        <f>入學要求!Z230</f>
        <v>0</v>
      </c>
      <c r="N5" s="544"/>
      <c r="O5" s="166">
        <f>入學要求!L230</f>
        <v>3</v>
      </c>
      <c r="P5" s="166">
        <f>入學要求!M230</f>
        <v>3</v>
      </c>
      <c r="Q5" s="166">
        <f>入學要求!N230</f>
        <v>2</v>
      </c>
      <c r="R5" s="166">
        <f>入學要求!O230</f>
        <v>1</v>
      </c>
      <c r="S5" s="166">
        <f>入學要求!P230</f>
        <v>3</v>
      </c>
      <c r="T5" s="166">
        <f>入學要求!Q230</f>
        <v>3</v>
      </c>
      <c r="U5" s="236">
        <f>入學要求!S230</f>
        <v>0</v>
      </c>
      <c r="V5" s="236">
        <f>入學要求!T230</f>
        <v>0</v>
      </c>
      <c r="W5" s="236">
        <f>入學要求!U230</f>
        <v>0</v>
      </c>
      <c r="X5" s="236">
        <f>入學要求!V230</f>
        <v>0</v>
      </c>
      <c r="Y5" s="236">
        <f>入學要求!W230</f>
        <v>0</v>
      </c>
      <c r="Z5" s="236">
        <f>入學要求!X230</f>
        <v>0</v>
      </c>
      <c r="AA5" s="36" t="str">
        <f t="shared" si="0"/>
        <v>/</v>
      </c>
      <c r="AB5" s="537"/>
      <c r="AC5" s="36" t="str" cm="1">
        <f t="array" ref="AC5">IFERROR(INDEX('Offer Statistics'!CH$2:CH$400,MATCH(1,($A5='Offer Statistics'!$BS$2:$BS$400)*($AB$2='Offer Statistics'!$BT$2:$BT$400),0)),"/")</f>
        <v>/</v>
      </c>
      <c r="AD5" s="63" t="str" cm="1">
        <f t="array" ref="AD5">IFERROR(INDEX('Offer Statistics'!CC$2:CC$400,MATCH(1,($A5='Offer Statistics'!$BS$2:$BS$400)*($AB$2='Offer Statistics'!$BT$2:$BT$400),0)),"/")</f>
        <v>/</v>
      </c>
      <c r="AE5" s="63" t="str" cm="1">
        <f t="array" ref="AE5">IFERROR(INDEX('Offer Statistics'!CD$2:CD$400,MATCH(1,($A5='Offer Statistics'!$BS$2:$BS$400)*($AB$2='Offer Statistics'!$BT$2:$BT$400),0)),"/")</f>
        <v>/</v>
      </c>
      <c r="AF5" s="63" t="str" cm="1">
        <f t="array" ref="AF5">IFERROR(INDEX('Offer Statistics'!CE$2:CE$400,MATCH(1,($A5='Offer Statistics'!$BS$2:$BS$400)*($AB$2='Offer Statistics'!$BT$2:$BT$400),0)),"/")</f>
        <v>/</v>
      </c>
      <c r="AG5" s="63" t="str" cm="1">
        <f t="array" ref="AG5">IFERROR(INDEX('Offer Statistics'!CF$2:CF$400,MATCH(1,($A5='Offer Statistics'!$BS$2:$BS$400)*($AB$2='Offer Statistics'!$BT$2:$BT$400),0)),"/")</f>
        <v>/</v>
      </c>
      <c r="AH5" s="63" t="str" cm="1">
        <f t="array" ref="AH5">IFERROR(INDEX('Offer Statistics'!CG$2:CG$400,MATCH(1,($A5='Offer Statistics'!$BS$2:$BS$400)*($AB$2='Offer Statistics'!$BT$2:$BT$400),0)),"/")</f>
        <v>/</v>
      </c>
      <c r="AI5" s="538"/>
      <c r="AJ5" s="36" t="str" cm="1">
        <f t="array" ref="AJ5">IFERROR(INDEX('Offer Statistics'!BZ$2:BZ$400,MATCH(1,($A5='Offer Statistics'!$BS$2:$BS$400)*($AB$2='Offer Statistics'!$BT$2:$BT$400),0)),"/")</f>
        <v>/</v>
      </c>
      <c r="AK5" s="63" t="str" cm="1">
        <f t="array" ref="AK5">IFERROR(INDEX('Offer Statistics'!BU$2:BU$400,MATCH(1,($A5='Offer Statistics'!$BS$2:$BS$400)*($AB$2='Offer Statistics'!$BT$2:$BT$400),0)),"/")</f>
        <v>/</v>
      </c>
      <c r="AL5" s="63" t="str" cm="1">
        <f t="array" ref="AL5">IFERROR(INDEX('Offer Statistics'!BV$2:BV$400,MATCH(1,($A5='Offer Statistics'!$BS$2:$BS$400)*($AB$2='Offer Statistics'!$BT$2:$BT$400),0)),"/")</f>
        <v>/</v>
      </c>
      <c r="AM5" s="63" t="str" cm="1">
        <f t="array" ref="AM5">IFERROR(INDEX('Offer Statistics'!BW$2:BW$400,MATCH(1,($A5='Offer Statistics'!$BS$2:$BS$400)*($AB$2='Offer Statistics'!$BT$2:$BT$400),0)),"/")</f>
        <v>/</v>
      </c>
      <c r="AN5" s="63" t="str" cm="1">
        <f t="array" ref="AN5">IFERROR(INDEX('Offer Statistics'!BX$2:BX$400,MATCH(1,($A5='Offer Statistics'!$BS$2:$BS$400)*($AB$2='Offer Statistics'!$BT$2:$BT$400),0)),"/")</f>
        <v>/</v>
      </c>
      <c r="AO5" s="63" t="str" cm="1">
        <f t="array" ref="AO5">IFERROR(INDEX('Offer Statistics'!BY$2:BY$400,MATCH(1,($A5='Offer Statistics'!$BS$2:$BS$400)*($AB$2='Offer Statistics'!$BT$2:$BT$400),0)),"/")</f>
        <v>/</v>
      </c>
      <c r="AP5" s="4"/>
      <c r="AQ5" s="15" t="str">
        <f t="shared" si="1"/>
        <v>JS5118</v>
      </c>
    </row>
    <row r="6" spans="1:43" s="10" customFormat="1" ht="18" customHeight="1">
      <c r="A6" s="4" t="str">
        <f>'Reference Score Calculation'!B222</f>
        <v>JS5181</v>
      </c>
      <c r="B6" s="4" t="str">
        <f>'Reference Score Calculation'!D222</f>
        <v>理學院</v>
      </c>
      <c r="C6" s="4" t="str">
        <f>'Reference Score Calculation'!E222</f>
        <v>理學Ａ組– 延伸主修人工智能</v>
      </c>
      <c r="D6" s="4" t="str">
        <f>'Reference Score Calculation'!S222</f>
        <v>SSCI-A (AI)</v>
      </c>
      <c r="E6" s="352" t="str">
        <f>'Reference Score Calculation'!AC222</f>
        <v>英數Best3</v>
      </c>
      <c r="F6" s="450" t="str">
        <f>'Reference Score Calculation'!F222</f>
        <v>英數Best3</v>
      </c>
      <c r="G6" s="6">
        <f>'Reference Score Calculation'!I222</f>
        <v>37.380000000000003</v>
      </c>
      <c r="H6" s="6">
        <f>'Reference Score Calculation'!J222</f>
        <v>34</v>
      </c>
      <c r="I6" s="45">
        <f>計分版!J245</f>
        <v>3.2999999999999998E-9</v>
      </c>
      <c r="J6" s="167">
        <f>IFERROR(IF(J$1="差距(Median)",I6-G6,IF(J$1="差距(UQ)",I6-#REF!,IF(J$1="差距(LQ)",I6-H6))),"/")</f>
        <v>-37.379999996700001</v>
      </c>
      <c r="K6" s="168">
        <f>IFERROR(IF(J$1="差距(Median)",(I6-G6)/I6,IF(J$1="差距(UQ)",(I6-#REF!)/I6,IF(J$1="差距(LQ)",(I6-H6)/I6))),"/")</f>
        <v>-11327272726.272728</v>
      </c>
      <c r="L6" s="36">
        <f>'Reference Score Calculation'!U222</f>
        <v>40</v>
      </c>
      <c r="M6" s="84">
        <f>入學要求!Z231</f>
        <v>0</v>
      </c>
      <c r="N6" s="544"/>
      <c r="O6" s="166">
        <f>入學要求!L231</f>
        <v>3</v>
      </c>
      <c r="P6" s="166">
        <f>入學要求!M231</f>
        <v>3</v>
      </c>
      <c r="Q6" s="166">
        <f>入學要求!N231</f>
        <v>3</v>
      </c>
      <c r="R6" s="166">
        <f>入學要求!O231</f>
        <v>1</v>
      </c>
      <c r="S6" s="166">
        <f>入學要求!P231</f>
        <v>3</v>
      </c>
      <c r="T6" s="166">
        <f>入學要求!Q231</f>
        <v>3</v>
      </c>
      <c r="U6" s="236">
        <f>入學要求!S231</f>
        <v>0</v>
      </c>
      <c r="V6" s="236">
        <f>入學要求!T231</f>
        <v>0</v>
      </c>
      <c r="W6" s="236">
        <f>入學要求!U231</f>
        <v>0</v>
      </c>
      <c r="X6" s="236">
        <f>入學要求!V231</f>
        <v>0</v>
      </c>
      <c r="Y6" s="236">
        <f>入學要求!W231</f>
        <v>0</v>
      </c>
      <c r="Z6" s="236">
        <f>入學要求!X231</f>
        <v>0</v>
      </c>
      <c r="AA6" s="36">
        <f t="shared" si="0"/>
        <v>4.03</v>
      </c>
      <c r="AB6" s="537"/>
      <c r="AC6" s="36" cm="1">
        <f t="array" ref="AC6">IFERROR(INDEX('Offer Statistics'!CH$2:CH$400,MATCH(1,($A6='Offer Statistics'!$BS$2:$BS$400)*($AB$2='Offer Statistics'!$BT$2:$BT$400),0)),"/")</f>
        <v>36</v>
      </c>
      <c r="AD6" s="63" cm="1">
        <f t="array" ref="AD6">IFERROR(INDEX('Offer Statistics'!CC$2:CC$400,MATCH(1,($A6='Offer Statistics'!$BS$2:$BS$400)*($AB$2='Offer Statistics'!$BT$2:$BT$400),0)),"/")</f>
        <v>36</v>
      </c>
      <c r="AE6" s="63" cm="1">
        <f t="array" ref="AE6">IFERROR(INDEX('Offer Statistics'!CD$2:CD$400,MATCH(1,($A6='Offer Statistics'!$BS$2:$BS$400)*($AB$2='Offer Statistics'!$BT$2:$BT$400),0)),"/")</f>
        <v>0</v>
      </c>
      <c r="AF6" s="63" cm="1">
        <f t="array" ref="AF6">IFERROR(INDEX('Offer Statistics'!CE$2:CE$400,MATCH(1,($A6='Offer Statistics'!$BS$2:$BS$400)*($AB$2='Offer Statistics'!$BT$2:$BT$400),0)),"/")</f>
        <v>0</v>
      </c>
      <c r="AG6" s="63" cm="1">
        <f t="array" ref="AG6">IFERROR(INDEX('Offer Statistics'!CF$2:CF$400,MATCH(1,($A6='Offer Statistics'!$BS$2:$BS$400)*($AB$2='Offer Statistics'!$BT$2:$BT$400),0)),"/")</f>
        <v>0</v>
      </c>
      <c r="AH6" s="63" cm="1">
        <f t="array" ref="AH6">IFERROR(INDEX('Offer Statistics'!CG$2:CG$400,MATCH(1,($A6='Offer Statistics'!$BS$2:$BS$400)*($AB$2='Offer Statistics'!$BT$2:$BT$400),0)),"/")</f>
        <v>0</v>
      </c>
      <c r="AI6" s="538"/>
      <c r="AJ6" s="36" cm="1">
        <f t="array" ref="AJ6">IFERROR(INDEX('Offer Statistics'!BZ$2:BZ$400,MATCH(1,($A6='Offer Statistics'!$BS$2:$BS$400)*($AB$2='Offer Statistics'!$BT$2:$BT$400),0)),"/")</f>
        <v>1209</v>
      </c>
      <c r="AK6" s="63" cm="1">
        <f t="array" ref="AK6">IFERROR(INDEX('Offer Statistics'!BU$2:BU$400,MATCH(1,($A6='Offer Statistics'!$BS$2:$BS$400)*($AB$2='Offer Statistics'!$BT$2:$BT$400),0)),"/")</f>
        <v>145</v>
      </c>
      <c r="AL6" s="63" cm="1">
        <f t="array" ref="AL6">IFERROR(INDEX('Offer Statistics'!BV$2:BV$400,MATCH(1,($A6='Offer Statistics'!$BS$2:$BS$400)*($AB$2='Offer Statistics'!$BT$2:$BT$400),0)),"/")</f>
        <v>221</v>
      </c>
      <c r="AM6" s="63" cm="1">
        <f t="array" ref="AM6">IFERROR(INDEX('Offer Statistics'!BW$2:BW$400,MATCH(1,($A6='Offer Statistics'!$BS$2:$BS$400)*($AB$2='Offer Statistics'!$BT$2:$BT$400),0)),"/")</f>
        <v>288</v>
      </c>
      <c r="AN6" s="63" cm="1">
        <f t="array" ref="AN6">IFERROR(INDEX('Offer Statistics'!BX$2:BX$400,MATCH(1,($A6='Offer Statistics'!$BS$2:$BS$400)*($AB$2='Offer Statistics'!$BT$2:$BT$400),0)),"/")</f>
        <v>309</v>
      </c>
      <c r="AO6" s="63" cm="1">
        <f t="array" ref="AO6">IFERROR(INDEX('Offer Statistics'!BY$2:BY$400,MATCH(1,($A6='Offer Statistics'!$BS$2:$BS$400)*($AB$2='Offer Statistics'!$BT$2:$BT$400),0)),"/")</f>
        <v>246</v>
      </c>
      <c r="AP6" s="4"/>
      <c r="AQ6" s="15" t="str">
        <f t="shared" si="1"/>
        <v>JS5181</v>
      </c>
    </row>
    <row r="7" spans="1:43" ht="18" customHeight="1">
      <c r="A7" s="4" t="str">
        <f>'Reference Score Calculation'!B223</f>
        <v>JS5212</v>
      </c>
      <c r="B7" s="4" t="str">
        <f>'Reference Score Calculation'!D223</f>
        <v>工學院</v>
      </c>
      <c r="C7" s="4" t="str">
        <f>'Reference Score Calculation'!E223</f>
        <v>工學士（計算機工程學）</v>
      </c>
      <c r="D7" s="4" t="str">
        <f>'Reference Score Calculation'!S223</f>
        <v>CPEG</v>
      </c>
      <c r="E7" s="352" t="str">
        <f>'Reference Score Calculation'!AC223</f>
        <v>英數Best3</v>
      </c>
      <c r="F7" s="450" t="str">
        <f>'Reference Score Calculation'!F223</f>
        <v>英數Best3</v>
      </c>
      <c r="G7" s="6">
        <f>'Reference Score Calculation'!I223</f>
        <v>48.45</v>
      </c>
      <c r="H7" s="6">
        <f>'Reference Score Calculation'!J223</f>
        <v>45.7</v>
      </c>
      <c r="I7" s="45">
        <f>計分版!J246</f>
        <v>3.2999999999999998E-9</v>
      </c>
      <c r="J7" s="167">
        <f>IFERROR(IF(J$1="差距(Median)",I7-G7,IF(J$1="差距(UQ)",I7-#REF!,IF(J$1="差距(LQ)",I7-H7))),"/")</f>
        <v>-48.449999996700001</v>
      </c>
      <c r="K7" s="168">
        <f>IFERROR(IF(J$1="差距(Median)",(I7-G7)/I7,IF(J$1="差距(UQ)",(I7-#REF!)/I7,IF(J$1="差距(LQ)",(I7-H7)/I7))),"/")</f>
        <v>-14681818180.818184</v>
      </c>
      <c r="L7" s="36">
        <f>'Reference Score Calculation'!U223</f>
        <v>93</v>
      </c>
      <c r="M7" s="84">
        <f>入學要求!Z232</f>
        <v>0</v>
      </c>
      <c r="N7" s="544"/>
      <c r="O7" s="166">
        <f>入學要求!L232</f>
        <v>3</v>
      </c>
      <c r="P7" s="166">
        <f>入學要求!M232</f>
        <v>3</v>
      </c>
      <c r="Q7" s="166">
        <f>入學要求!N232</f>
        <v>3</v>
      </c>
      <c r="R7" s="166">
        <f>入學要求!O232</f>
        <v>1</v>
      </c>
      <c r="S7" s="166">
        <f>入學要求!P232</f>
        <v>3</v>
      </c>
      <c r="T7" s="166">
        <f>入學要求!Q232</f>
        <v>3</v>
      </c>
      <c r="U7" s="236">
        <f>入學要求!S232</f>
        <v>0</v>
      </c>
      <c r="V7" s="236">
        <f>入學要求!T232</f>
        <v>0</v>
      </c>
      <c r="W7" s="236">
        <f>入學要求!U232</f>
        <v>0</v>
      </c>
      <c r="X7" s="236">
        <f>入學要求!V232</f>
        <v>0</v>
      </c>
      <c r="Y7" s="236">
        <f>入學要求!W232</f>
        <v>0</v>
      </c>
      <c r="Z7" s="236">
        <f>入學要求!X232</f>
        <v>0</v>
      </c>
      <c r="AA7" s="36" t="str">
        <f t="shared" si="0"/>
        <v>/</v>
      </c>
      <c r="AB7" s="537"/>
      <c r="AC7" s="36" t="str" cm="1">
        <f t="array" ref="AC7">IFERROR(INDEX('Offer Statistics'!CH$2:CH$400,MATCH(1,($A7='Offer Statistics'!$BS$2:$BS$400)*($AB$2='Offer Statistics'!$BT$2:$BT$400),0)),"/")</f>
        <v>/</v>
      </c>
      <c r="AD7" s="63" t="str" cm="1">
        <f t="array" ref="AD7">IFERROR(INDEX('Offer Statistics'!CC$2:CC$400,MATCH(1,($A7='Offer Statistics'!$BS$2:$BS$400)*($AB$2='Offer Statistics'!$BT$2:$BT$400),0)),"/")</f>
        <v>/</v>
      </c>
      <c r="AE7" s="63" t="str" cm="1">
        <f t="array" ref="AE7">IFERROR(INDEX('Offer Statistics'!CD$2:CD$400,MATCH(1,($A7='Offer Statistics'!$BS$2:$BS$400)*($AB$2='Offer Statistics'!$BT$2:$BT$400),0)),"/")</f>
        <v>/</v>
      </c>
      <c r="AF7" s="63" t="str" cm="1">
        <f t="array" ref="AF7">IFERROR(INDEX('Offer Statistics'!CE$2:CE$400,MATCH(1,($A7='Offer Statistics'!$BS$2:$BS$400)*($AB$2='Offer Statistics'!$BT$2:$BT$400),0)),"/")</f>
        <v>/</v>
      </c>
      <c r="AG7" s="63" t="str" cm="1">
        <f t="array" ref="AG7">IFERROR(INDEX('Offer Statistics'!CF$2:CF$400,MATCH(1,($A7='Offer Statistics'!$BS$2:$BS$400)*($AB$2='Offer Statistics'!$BT$2:$BT$400),0)),"/")</f>
        <v>/</v>
      </c>
      <c r="AH7" s="63" t="str" cm="1">
        <f t="array" ref="AH7">IFERROR(INDEX('Offer Statistics'!CG$2:CG$400,MATCH(1,($A7='Offer Statistics'!$BS$2:$BS$400)*($AB$2='Offer Statistics'!$BT$2:$BT$400),0)),"/")</f>
        <v>/</v>
      </c>
      <c r="AI7" s="538"/>
      <c r="AJ7" s="36" t="str" cm="1">
        <f t="array" ref="AJ7">IFERROR(INDEX('Offer Statistics'!BZ$2:BZ$400,MATCH(1,($A7='Offer Statistics'!$BS$2:$BS$400)*($AB$2='Offer Statistics'!$BT$2:$BT$400),0)),"/")</f>
        <v>/</v>
      </c>
      <c r="AK7" s="63" t="str" cm="1">
        <f t="array" ref="AK7">IFERROR(INDEX('Offer Statistics'!BU$2:BU$400,MATCH(1,($A7='Offer Statistics'!$BS$2:$BS$400)*($AB$2='Offer Statistics'!$BT$2:$BT$400),0)),"/")</f>
        <v>/</v>
      </c>
      <c r="AL7" s="63" t="str" cm="1">
        <f t="array" ref="AL7">IFERROR(INDEX('Offer Statistics'!BV$2:BV$400,MATCH(1,($A7='Offer Statistics'!$BS$2:$BS$400)*($AB$2='Offer Statistics'!$BT$2:$BT$400),0)),"/")</f>
        <v>/</v>
      </c>
      <c r="AM7" s="63" t="str" cm="1">
        <f t="array" ref="AM7">IFERROR(INDEX('Offer Statistics'!BW$2:BW$400,MATCH(1,($A7='Offer Statistics'!$BS$2:$BS$400)*($AB$2='Offer Statistics'!$BT$2:$BT$400),0)),"/")</f>
        <v>/</v>
      </c>
      <c r="AN7" s="63" t="str" cm="1">
        <f t="array" ref="AN7">IFERROR(INDEX('Offer Statistics'!BX$2:BX$400,MATCH(1,($A7='Offer Statistics'!$BS$2:$BS$400)*($AB$2='Offer Statistics'!$BT$2:$BT$400),0)),"/")</f>
        <v>/</v>
      </c>
      <c r="AO7" s="63" t="str" cm="1">
        <f t="array" ref="AO7">IFERROR(INDEX('Offer Statistics'!BY$2:BY$400,MATCH(1,($A7='Offer Statistics'!$BS$2:$BS$400)*($AB$2='Offer Statistics'!$BT$2:$BT$400),0)),"/")</f>
        <v>/</v>
      </c>
      <c r="AQ7" s="15" t="str">
        <f t="shared" si="1"/>
        <v>JS5212</v>
      </c>
    </row>
    <row r="8" spans="1:43" ht="18" customHeight="1">
      <c r="A8" s="4" t="str">
        <f>'Reference Score Calculation'!B224</f>
        <v>JS5220</v>
      </c>
      <c r="B8" s="4" t="str">
        <f>'Reference Score Calculation'!D224</f>
        <v>工學院</v>
      </c>
      <c r="C8" s="4" t="str">
        <f>'Reference Score Calculation'!E224</f>
        <v>化學及生物工程學系</v>
      </c>
      <c r="D8" s="4" t="str">
        <f>'Reference Score Calculation'!S224</f>
        <v>CBE</v>
      </c>
      <c r="E8" s="352" t="str">
        <f>'Reference Score Calculation'!AC224</f>
        <v>英數Best3</v>
      </c>
      <c r="F8" s="450" t="str">
        <f>'Reference Score Calculation'!F224</f>
        <v>英數Best3</v>
      </c>
      <c r="G8" s="6">
        <f>'Reference Score Calculation'!I224</f>
        <v>39.78</v>
      </c>
      <c r="H8" s="6">
        <f>'Reference Score Calculation'!J224</f>
        <v>38.21</v>
      </c>
      <c r="I8" s="45">
        <f>計分版!J247</f>
        <v>3.2999999999999998E-9</v>
      </c>
      <c r="J8" s="167">
        <f>IFERROR(IF(J$1="差距(Median)",I8-G8,IF(J$1="差距(UQ)",I8-#REF!,IF(J$1="差距(LQ)",I8-H8))),"/")</f>
        <v>-39.779999996699999</v>
      </c>
      <c r="K8" s="168">
        <f>IFERROR(IF(J$1="差距(Median)",(I8-G8)/I8,IF(J$1="差距(UQ)",(I8-#REF!)/I8,IF(J$1="差距(LQ)",(I8-H8)/I8))),"/")</f>
        <v>-12054545453.545456</v>
      </c>
      <c r="L8" s="36">
        <f>'Reference Score Calculation'!U224</f>
        <v>47</v>
      </c>
      <c r="M8" s="84">
        <f>入學要求!Z233</f>
        <v>0</v>
      </c>
      <c r="N8" s="544"/>
      <c r="O8" s="166">
        <f>入學要求!L233</f>
        <v>3</v>
      </c>
      <c r="P8" s="166">
        <f>入學要求!M233</f>
        <v>3</v>
      </c>
      <c r="Q8" s="166">
        <f>入學要求!N233</f>
        <v>3</v>
      </c>
      <c r="R8" s="166">
        <f>入學要求!O233</f>
        <v>1</v>
      </c>
      <c r="S8" s="166">
        <f>入學要求!P233</f>
        <v>3</v>
      </c>
      <c r="T8" s="166">
        <f>入學要求!Q233</f>
        <v>3</v>
      </c>
      <c r="U8" s="236">
        <f>入學要求!S233</f>
        <v>0</v>
      </c>
      <c r="V8" s="236">
        <f>入學要求!T233</f>
        <v>0</v>
      </c>
      <c r="W8" s="236">
        <f>入學要求!U233</f>
        <v>0</v>
      </c>
      <c r="X8" s="236">
        <f>入學要求!V233</f>
        <v>0</v>
      </c>
      <c r="Y8" s="236">
        <f>入學要求!W233</f>
        <v>0</v>
      </c>
      <c r="Z8" s="236">
        <f>入學要求!X233</f>
        <v>0</v>
      </c>
      <c r="AA8" s="36" t="str">
        <f t="shared" si="0"/>
        <v>/</v>
      </c>
      <c r="AB8" s="537"/>
      <c r="AC8" s="36" t="str" cm="1">
        <f t="array" ref="AC8">IFERROR(INDEX('Offer Statistics'!CH$2:CH$400,MATCH(1,($A8='Offer Statistics'!$BS$2:$BS$400)*($AB$2='Offer Statistics'!$BT$2:$BT$400),0)),"/")</f>
        <v>/</v>
      </c>
      <c r="AD8" s="63" t="str" cm="1">
        <f t="array" ref="AD8">IFERROR(INDEX('Offer Statistics'!CC$2:CC$400,MATCH(1,($A8='Offer Statistics'!$BS$2:$BS$400)*($AB$2='Offer Statistics'!$BT$2:$BT$400),0)),"/")</f>
        <v>/</v>
      </c>
      <c r="AE8" s="63" t="str" cm="1">
        <f t="array" ref="AE8">IFERROR(INDEX('Offer Statistics'!CD$2:CD$400,MATCH(1,($A8='Offer Statistics'!$BS$2:$BS$400)*($AB$2='Offer Statistics'!$BT$2:$BT$400),0)),"/")</f>
        <v>/</v>
      </c>
      <c r="AF8" s="63" t="str" cm="1">
        <f t="array" ref="AF8">IFERROR(INDEX('Offer Statistics'!CE$2:CE$400,MATCH(1,($A8='Offer Statistics'!$BS$2:$BS$400)*($AB$2='Offer Statistics'!$BT$2:$BT$400),0)),"/")</f>
        <v>/</v>
      </c>
      <c r="AG8" s="63" t="str" cm="1">
        <f t="array" ref="AG8">IFERROR(INDEX('Offer Statistics'!CF$2:CF$400,MATCH(1,($A8='Offer Statistics'!$BS$2:$BS$400)*($AB$2='Offer Statistics'!$BT$2:$BT$400),0)),"/")</f>
        <v>/</v>
      </c>
      <c r="AH8" s="63" t="str" cm="1">
        <f t="array" ref="AH8">IFERROR(INDEX('Offer Statistics'!CG$2:CG$400,MATCH(1,($A8='Offer Statistics'!$BS$2:$BS$400)*($AB$2='Offer Statistics'!$BT$2:$BT$400),0)),"/")</f>
        <v>/</v>
      </c>
      <c r="AI8" s="538"/>
      <c r="AJ8" s="36" t="str" cm="1">
        <f t="array" ref="AJ8">IFERROR(INDEX('Offer Statistics'!BZ$2:BZ$400,MATCH(1,($A8='Offer Statistics'!$BS$2:$BS$400)*($AB$2='Offer Statistics'!$BT$2:$BT$400),0)),"/")</f>
        <v>/</v>
      </c>
      <c r="AK8" s="63" t="str" cm="1">
        <f t="array" ref="AK8">IFERROR(INDEX('Offer Statistics'!BU$2:BU$400,MATCH(1,($A8='Offer Statistics'!$BS$2:$BS$400)*($AB$2='Offer Statistics'!$BT$2:$BT$400),0)),"/")</f>
        <v>/</v>
      </c>
      <c r="AL8" s="63" t="str" cm="1">
        <f t="array" ref="AL8">IFERROR(INDEX('Offer Statistics'!BV$2:BV$400,MATCH(1,($A8='Offer Statistics'!$BS$2:$BS$400)*($AB$2='Offer Statistics'!$BT$2:$BT$400),0)),"/")</f>
        <v>/</v>
      </c>
      <c r="AM8" s="63" t="str" cm="1">
        <f t="array" ref="AM8">IFERROR(INDEX('Offer Statistics'!BW$2:BW$400,MATCH(1,($A8='Offer Statistics'!$BS$2:$BS$400)*($AB$2='Offer Statistics'!$BT$2:$BT$400),0)),"/")</f>
        <v>/</v>
      </c>
      <c r="AN8" s="63" t="str" cm="1">
        <f t="array" ref="AN8">IFERROR(INDEX('Offer Statistics'!BX$2:BX$400,MATCH(1,($A8='Offer Statistics'!$BS$2:$BS$400)*($AB$2='Offer Statistics'!$BT$2:$BT$400),0)),"/")</f>
        <v>/</v>
      </c>
      <c r="AO8" s="63" t="str" cm="1">
        <f t="array" ref="AO8">IFERROR(INDEX('Offer Statistics'!BY$2:BY$400,MATCH(1,($A8='Offer Statistics'!$BS$2:$BS$400)*($AB$2='Offer Statistics'!$BT$2:$BT$400),0)),"/")</f>
        <v>/</v>
      </c>
      <c r="AQ8" s="15" t="str">
        <f t="shared" si="1"/>
        <v>JS5220</v>
      </c>
    </row>
    <row r="9" spans="1:43" ht="18" customHeight="1">
      <c r="A9" s="4" t="str">
        <f>'Reference Score Calculation'!B225</f>
        <v>JS5230</v>
      </c>
      <c r="B9" s="4" t="str">
        <f>'Reference Score Calculation'!D225</f>
        <v>工學院</v>
      </c>
      <c r="C9" s="4" t="str">
        <f>'Reference Score Calculation'!E225</f>
        <v>土木及環境工程學系</v>
      </c>
      <c r="D9" s="4" t="str">
        <f>'Reference Score Calculation'!S225</f>
        <v>CIVL</v>
      </c>
      <c r="E9" s="352" t="str">
        <f>'Reference Score Calculation'!AC225</f>
        <v>英數Best3</v>
      </c>
      <c r="F9" s="450" t="str">
        <f>'Reference Score Calculation'!F225</f>
        <v>英數Best3</v>
      </c>
      <c r="G9" s="6">
        <f>'Reference Score Calculation'!I225</f>
        <v>39.78</v>
      </c>
      <c r="H9" s="6">
        <f>'Reference Score Calculation'!J225</f>
        <v>38.21</v>
      </c>
      <c r="I9" s="45">
        <f>計分版!J248</f>
        <v>3.2999999999999998E-9</v>
      </c>
      <c r="J9" s="167">
        <f>IFERROR(IF(J$1="差距(Median)",I9-G9,IF(J$1="差距(UQ)",I9-#REF!,IF(J$1="差距(LQ)",I9-H9))),"/")</f>
        <v>-39.779999996699999</v>
      </c>
      <c r="K9" s="168">
        <f>IFERROR(IF(J$1="差距(Median)",(I9-G9)/I9,IF(J$1="差距(UQ)",(I9-#REF!)/I9,IF(J$1="差距(LQ)",(I9-H9)/I9))),"/")</f>
        <v>-12054545453.545456</v>
      </c>
      <c r="L9" s="36">
        <f>'Reference Score Calculation'!U225</f>
        <v>121</v>
      </c>
      <c r="M9" s="84">
        <f>入學要求!Z234</f>
        <v>0</v>
      </c>
      <c r="N9" s="544"/>
      <c r="O9" s="166">
        <f>入學要求!L234</f>
        <v>3</v>
      </c>
      <c r="P9" s="166">
        <f>入學要求!M234</f>
        <v>3</v>
      </c>
      <c r="Q9" s="166">
        <f>入學要求!N234</f>
        <v>3</v>
      </c>
      <c r="R9" s="166">
        <f>入學要求!O234</f>
        <v>1</v>
      </c>
      <c r="S9" s="166">
        <f>入學要求!P234</f>
        <v>3</v>
      </c>
      <c r="T9" s="166">
        <f>入學要求!Q234</f>
        <v>3</v>
      </c>
      <c r="U9" s="236">
        <f>入學要求!S234</f>
        <v>0</v>
      </c>
      <c r="V9" s="236">
        <f>入學要求!T234</f>
        <v>0</v>
      </c>
      <c r="W9" s="236">
        <f>入學要求!U234</f>
        <v>0</v>
      </c>
      <c r="X9" s="236">
        <f>入學要求!V234</f>
        <v>0</v>
      </c>
      <c r="Y9" s="236">
        <f>入學要求!W234</f>
        <v>0</v>
      </c>
      <c r="Z9" s="236">
        <f>入學要求!X234</f>
        <v>0</v>
      </c>
      <c r="AA9" s="36" t="str">
        <f t="shared" si="0"/>
        <v>/</v>
      </c>
      <c r="AB9" s="537"/>
      <c r="AC9" s="36" t="str" cm="1">
        <f t="array" ref="AC9">IFERROR(INDEX('Offer Statistics'!CH$2:CH$400,MATCH(1,($A9='Offer Statistics'!$BS$2:$BS$400)*($AB$2='Offer Statistics'!$BT$2:$BT$400),0)),"/")</f>
        <v>/</v>
      </c>
      <c r="AD9" s="63" t="str" cm="1">
        <f t="array" ref="AD9">IFERROR(INDEX('Offer Statistics'!CC$2:CC$400,MATCH(1,($A9='Offer Statistics'!$BS$2:$BS$400)*($AB$2='Offer Statistics'!$BT$2:$BT$400),0)),"/")</f>
        <v>/</v>
      </c>
      <c r="AE9" s="63" t="str" cm="1">
        <f t="array" ref="AE9">IFERROR(INDEX('Offer Statistics'!CD$2:CD$400,MATCH(1,($A9='Offer Statistics'!$BS$2:$BS$400)*($AB$2='Offer Statistics'!$BT$2:$BT$400),0)),"/")</f>
        <v>/</v>
      </c>
      <c r="AF9" s="63" t="str" cm="1">
        <f t="array" ref="AF9">IFERROR(INDEX('Offer Statistics'!CE$2:CE$400,MATCH(1,($A9='Offer Statistics'!$BS$2:$BS$400)*($AB$2='Offer Statistics'!$BT$2:$BT$400),0)),"/")</f>
        <v>/</v>
      </c>
      <c r="AG9" s="63" t="str" cm="1">
        <f t="array" ref="AG9">IFERROR(INDEX('Offer Statistics'!CF$2:CF$400,MATCH(1,($A9='Offer Statistics'!$BS$2:$BS$400)*($AB$2='Offer Statistics'!$BT$2:$BT$400),0)),"/")</f>
        <v>/</v>
      </c>
      <c r="AH9" s="63" t="str" cm="1">
        <f t="array" ref="AH9">IFERROR(INDEX('Offer Statistics'!CG$2:CG$400,MATCH(1,($A9='Offer Statistics'!$BS$2:$BS$400)*($AB$2='Offer Statistics'!$BT$2:$BT$400),0)),"/")</f>
        <v>/</v>
      </c>
      <c r="AI9" s="538"/>
      <c r="AJ9" s="36" t="str" cm="1">
        <f t="array" ref="AJ9">IFERROR(INDEX('Offer Statistics'!BZ$2:BZ$400,MATCH(1,($A9='Offer Statistics'!$BS$2:$BS$400)*($AB$2='Offer Statistics'!$BT$2:$BT$400),0)),"/")</f>
        <v>/</v>
      </c>
      <c r="AK9" s="63" t="str" cm="1">
        <f t="array" ref="AK9">IFERROR(INDEX('Offer Statistics'!BU$2:BU$400,MATCH(1,($A9='Offer Statistics'!$BS$2:$BS$400)*($AB$2='Offer Statistics'!$BT$2:$BT$400),0)),"/")</f>
        <v>/</v>
      </c>
      <c r="AL9" s="63" t="str" cm="1">
        <f t="array" ref="AL9">IFERROR(INDEX('Offer Statistics'!BV$2:BV$400,MATCH(1,($A9='Offer Statistics'!$BS$2:$BS$400)*($AB$2='Offer Statistics'!$BT$2:$BT$400),0)),"/")</f>
        <v>/</v>
      </c>
      <c r="AM9" s="63" t="str" cm="1">
        <f t="array" ref="AM9">IFERROR(INDEX('Offer Statistics'!BW$2:BW$400,MATCH(1,($A9='Offer Statistics'!$BS$2:$BS$400)*($AB$2='Offer Statistics'!$BT$2:$BT$400),0)),"/")</f>
        <v>/</v>
      </c>
      <c r="AN9" s="63" t="str" cm="1">
        <f t="array" ref="AN9">IFERROR(INDEX('Offer Statistics'!BX$2:BX$400,MATCH(1,($A9='Offer Statistics'!$BS$2:$BS$400)*($AB$2='Offer Statistics'!$BT$2:$BT$400),0)),"/")</f>
        <v>/</v>
      </c>
      <c r="AO9" s="63" t="str" cm="1">
        <f t="array" ref="AO9">IFERROR(INDEX('Offer Statistics'!BY$2:BY$400,MATCH(1,($A9='Offer Statistics'!$BS$2:$BS$400)*($AB$2='Offer Statistics'!$BT$2:$BT$400),0)),"/")</f>
        <v>/</v>
      </c>
      <c r="AQ9" s="15" t="str">
        <f t="shared" si="1"/>
        <v>JS5230</v>
      </c>
    </row>
    <row r="10" spans="1:43" ht="18" customHeight="1">
      <c r="A10" s="4" t="str">
        <f>'Reference Score Calculation'!B226</f>
        <v>JS5240</v>
      </c>
      <c r="B10" s="4" t="str">
        <f>'Reference Score Calculation'!D226</f>
        <v>工學院</v>
      </c>
      <c r="C10" s="4" t="str">
        <f>'Reference Score Calculation'!E226</f>
        <v>計算機科學及工程學系</v>
      </c>
      <c r="D10" s="4" t="str">
        <f>'Reference Score Calculation'!S226</f>
        <v>CSE</v>
      </c>
      <c r="E10" s="352" t="str">
        <f>'Reference Score Calculation'!AC226</f>
        <v>英數Best3</v>
      </c>
      <c r="F10" s="450" t="str">
        <f>'Reference Score Calculation'!F226</f>
        <v>英數Best3</v>
      </c>
      <c r="G10" s="6">
        <f>'Reference Score Calculation'!I226</f>
        <v>48.45</v>
      </c>
      <c r="H10" s="6">
        <f>'Reference Score Calculation'!J226</f>
        <v>45.7</v>
      </c>
      <c r="I10" s="45">
        <f>計分版!J249</f>
        <v>3.2999999999999998E-9</v>
      </c>
      <c r="J10" s="167">
        <f>IFERROR(IF(J$1="差距(Median)",I10-G10,IF(J$1="差距(UQ)",I10-#REF!,IF(J$1="差距(LQ)",I10-H10))),"/")</f>
        <v>-48.449999996700001</v>
      </c>
      <c r="K10" s="168">
        <f>IFERROR(IF(J$1="差距(Median)",(I10-G10)/I10,IF(J$1="差距(UQ)",(I10-#REF!)/I10,IF(J$1="差距(LQ)",(I10-H10)/I10))),"/")</f>
        <v>-14681818180.818184</v>
      </c>
      <c r="L10" s="36">
        <f>'Reference Score Calculation'!U226</f>
        <v>119</v>
      </c>
      <c r="M10" s="84">
        <f>入學要求!Z235</f>
        <v>0</v>
      </c>
      <c r="N10" s="544"/>
      <c r="O10" s="166">
        <f>入學要求!L235</f>
        <v>3</v>
      </c>
      <c r="P10" s="166">
        <f>入學要求!M235</f>
        <v>3</v>
      </c>
      <c r="Q10" s="166">
        <f>入學要求!N235</f>
        <v>3</v>
      </c>
      <c r="R10" s="166">
        <f>入學要求!O235</f>
        <v>1</v>
      </c>
      <c r="S10" s="166">
        <f>入學要求!P235</f>
        <v>3</v>
      </c>
      <c r="T10" s="166">
        <f>入學要求!Q235</f>
        <v>3</v>
      </c>
      <c r="U10" s="236">
        <f>入學要求!S235</f>
        <v>0</v>
      </c>
      <c r="V10" s="236">
        <f>入學要求!T235</f>
        <v>0</v>
      </c>
      <c r="W10" s="236">
        <f>入學要求!U235</f>
        <v>0</v>
      </c>
      <c r="X10" s="236">
        <f>入學要求!V235</f>
        <v>0</v>
      </c>
      <c r="Y10" s="236">
        <f>入學要求!W235</f>
        <v>0</v>
      </c>
      <c r="Z10" s="236">
        <f>入學要求!X235</f>
        <v>0</v>
      </c>
      <c r="AA10" s="36" t="str">
        <f t="shared" si="0"/>
        <v>/</v>
      </c>
      <c r="AB10" s="537"/>
      <c r="AC10" s="36" t="str" cm="1">
        <f t="array" ref="AC10">IFERROR(INDEX('Offer Statistics'!CH$2:CH$400,MATCH(1,($A10='Offer Statistics'!$BS$2:$BS$400)*($AB$2='Offer Statistics'!$BT$2:$BT$400),0)),"/")</f>
        <v>/</v>
      </c>
      <c r="AD10" s="63" t="str" cm="1">
        <f t="array" ref="AD10">IFERROR(INDEX('Offer Statistics'!CC$2:CC$400,MATCH(1,($A10='Offer Statistics'!$BS$2:$BS$400)*($AB$2='Offer Statistics'!$BT$2:$BT$400),0)),"/")</f>
        <v>/</v>
      </c>
      <c r="AE10" s="63" t="str" cm="1">
        <f t="array" ref="AE10">IFERROR(INDEX('Offer Statistics'!CD$2:CD$400,MATCH(1,($A10='Offer Statistics'!$BS$2:$BS$400)*($AB$2='Offer Statistics'!$BT$2:$BT$400),0)),"/")</f>
        <v>/</v>
      </c>
      <c r="AF10" s="63" t="str" cm="1">
        <f t="array" ref="AF10">IFERROR(INDEX('Offer Statistics'!CE$2:CE$400,MATCH(1,($A10='Offer Statistics'!$BS$2:$BS$400)*($AB$2='Offer Statistics'!$BT$2:$BT$400),0)),"/")</f>
        <v>/</v>
      </c>
      <c r="AG10" s="63" t="str" cm="1">
        <f t="array" ref="AG10">IFERROR(INDEX('Offer Statistics'!CF$2:CF$400,MATCH(1,($A10='Offer Statistics'!$BS$2:$BS$400)*($AB$2='Offer Statistics'!$BT$2:$BT$400),0)),"/")</f>
        <v>/</v>
      </c>
      <c r="AH10" s="63" t="str" cm="1">
        <f t="array" ref="AH10">IFERROR(INDEX('Offer Statistics'!CG$2:CG$400,MATCH(1,($A10='Offer Statistics'!$BS$2:$BS$400)*($AB$2='Offer Statistics'!$BT$2:$BT$400),0)),"/")</f>
        <v>/</v>
      </c>
      <c r="AI10" s="538"/>
      <c r="AJ10" s="36" t="str" cm="1">
        <f t="array" ref="AJ10">IFERROR(INDEX('Offer Statistics'!BZ$2:BZ$400,MATCH(1,($A10='Offer Statistics'!$BS$2:$BS$400)*($AB$2='Offer Statistics'!$BT$2:$BT$400),0)),"/")</f>
        <v>/</v>
      </c>
      <c r="AK10" s="63" t="str" cm="1">
        <f t="array" ref="AK10">IFERROR(INDEX('Offer Statistics'!BU$2:BU$400,MATCH(1,($A10='Offer Statistics'!$BS$2:$BS$400)*($AB$2='Offer Statistics'!$BT$2:$BT$400),0)),"/")</f>
        <v>/</v>
      </c>
      <c r="AL10" s="63" t="str" cm="1">
        <f t="array" ref="AL10">IFERROR(INDEX('Offer Statistics'!BV$2:BV$400,MATCH(1,($A10='Offer Statistics'!$BS$2:$BS$400)*($AB$2='Offer Statistics'!$BT$2:$BT$400),0)),"/")</f>
        <v>/</v>
      </c>
      <c r="AM10" s="63" t="str" cm="1">
        <f t="array" ref="AM10">IFERROR(INDEX('Offer Statistics'!BW$2:BW$400,MATCH(1,($A10='Offer Statistics'!$BS$2:$BS$400)*($AB$2='Offer Statistics'!$BT$2:$BT$400),0)),"/")</f>
        <v>/</v>
      </c>
      <c r="AN10" s="63" t="str" cm="1">
        <f t="array" ref="AN10">IFERROR(INDEX('Offer Statistics'!BX$2:BX$400,MATCH(1,($A10='Offer Statistics'!$BS$2:$BS$400)*($AB$2='Offer Statistics'!$BT$2:$BT$400),0)),"/")</f>
        <v>/</v>
      </c>
      <c r="AO10" s="63" t="str" cm="1">
        <f t="array" ref="AO10">IFERROR(INDEX('Offer Statistics'!BY$2:BY$400,MATCH(1,($A10='Offer Statistics'!$BS$2:$BS$400)*($AB$2='Offer Statistics'!$BT$2:$BT$400),0)),"/")</f>
        <v>/</v>
      </c>
      <c r="AQ10" s="15" t="str">
        <f t="shared" si="1"/>
        <v>JS5240</v>
      </c>
    </row>
    <row r="11" spans="1:43" ht="18" customHeight="1">
      <c r="A11" s="4" t="str">
        <f>'Reference Score Calculation'!B227</f>
        <v>JS5250</v>
      </c>
      <c r="B11" s="4" t="str">
        <f>'Reference Score Calculation'!D227</f>
        <v>工學院</v>
      </c>
      <c r="C11" s="4" t="str">
        <f>'Reference Score Calculation'!E227</f>
        <v>電子及計算機工程學系</v>
      </c>
      <c r="D11" s="4" t="str">
        <f>'Reference Score Calculation'!S227</f>
        <v>ECE</v>
      </c>
      <c r="E11" s="352" t="str">
        <f>'Reference Score Calculation'!AC227</f>
        <v>英數Best3</v>
      </c>
      <c r="F11" s="450" t="str">
        <f>'Reference Score Calculation'!F227</f>
        <v>英數Best3</v>
      </c>
      <c r="G11" s="6">
        <f>'Reference Score Calculation'!I227</f>
        <v>39.78</v>
      </c>
      <c r="H11" s="6">
        <f>'Reference Score Calculation'!J227</f>
        <v>38.21</v>
      </c>
      <c r="I11" s="45">
        <f>計分版!J250</f>
        <v>3.2999999999999998E-9</v>
      </c>
      <c r="J11" s="167">
        <f>IFERROR(IF(J$1="差距(Median)",I11-G11,IF(J$1="差距(UQ)",I11-#REF!,IF(J$1="差距(LQ)",I11-H11))),"/")</f>
        <v>-39.779999996699999</v>
      </c>
      <c r="K11" s="168">
        <f>IFERROR(IF(J$1="差距(Median)",(I11-G11)/I11,IF(J$1="差距(UQ)",(I11-#REF!)/I11,IF(J$1="差距(LQ)",(I11-H11)/I11))),"/")</f>
        <v>-12054545453.545456</v>
      </c>
      <c r="L11" s="36">
        <f>'Reference Score Calculation'!U227</f>
        <v>72</v>
      </c>
      <c r="M11" s="84">
        <f>入學要求!Z236</f>
        <v>0</v>
      </c>
      <c r="N11" s="544"/>
      <c r="O11" s="166">
        <f>入學要求!L236</f>
        <v>3</v>
      </c>
      <c r="P11" s="166">
        <f>入學要求!M236</f>
        <v>3</v>
      </c>
      <c r="Q11" s="166">
        <f>入學要求!N236</f>
        <v>3</v>
      </c>
      <c r="R11" s="166">
        <f>入學要求!O236</f>
        <v>1</v>
      </c>
      <c r="S11" s="166">
        <f>入學要求!P236</f>
        <v>3</v>
      </c>
      <c r="T11" s="166">
        <f>入學要求!Q236</f>
        <v>3</v>
      </c>
      <c r="U11" s="236">
        <f>入學要求!S236</f>
        <v>0</v>
      </c>
      <c r="V11" s="236">
        <f>入學要求!T236</f>
        <v>0</v>
      </c>
      <c r="W11" s="236">
        <f>入學要求!U236</f>
        <v>0</v>
      </c>
      <c r="X11" s="236">
        <f>入學要求!V236</f>
        <v>0</v>
      </c>
      <c r="Y11" s="236">
        <f>入學要求!W236</f>
        <v>0</v>
      </c>
      <c r="Z11" s="236">
        <f>入學要求!X236</f>
        <v>0</v>
      </c>
      <c r="AA11" s="36" t="str">
        <f t="shared" si="0"/>
        <v>/</v>
      </c>
      <c r="AB11" s="537"/>
      <c r="AC11" s="36" t="str" cm="1">
        <f t="array" ref="AC11">IFERROR(INDEX('Offer Statistics'!CH$2:CH$400,MATCH(1,($A11='Offer Statistics'!$BS$2:$BS$400)*($AB$2='Offer Statistics'!$BT$2:$BT$400),0)),"/")</f>
        <v>/</v>
      </c>
      <c r="AD11" s="63" t="str" cm="1">
        <f t="array" ref="AD11">IFERROR(INDEX('Offer Statistics'!CC$2:CC$400,MATCH(1,($A11='Offer Statistics'!$BS$2:$BS$400)*($AB$2='Offer Statistics'!$BT$2:$BT$400),0)),"/")</f>
        <v>/</v>
      </c>
      <c r="AE11" s="63" t="str" cm="1">
        <f t="array" ref="AE11">IFERROR(INDEX('Offer Statistics'!CD$2:CD$400,MATCH(1,($A11='Offer Statistics'!$BS$2:$BS$400)*($AB$2='Offer Statistics'!$BT$2:$BT$400),0)),"/")</f>
        <v>/</v>
      </c>
      <c r="AF11" s="63" t="str" cm="1">
        <f t="array" ref="AF11">IFERROR(INDEX('Offer Statistics'!CE$2:CE$400,MATCH(1,($A11='Offer Statistics'!$BS$2:$BS$400)*($AB$2='Offer Statistics'!$BT$2:$BT$400),0)),"/")</f>
        <v>/</v>
      </c>
      <c r="AG11" s="63" t="str" cm="1">
        <f t="array" ref="AG11">IFERROR(INDEX('Offer Statistics'!CF$2:CF$400,MATCH(1,($A11='Offer Statistics'!$BS$2:$BS$400)*($AB$2='Offer Statistics'!$BT$2:$BT$400),0)),"/")</f>
        <v>/</v>
      </c>
      <c r="AH11" s="63" t="str" cm="1">
        <f t="array" ref="AH11">IFERROR(INDEX('Offer Statistics'!CG$2:CG$400,MATCH(1,($A11='Offer Statistics'!$BS$2:$BS$400)*($AB$2='Offer Statistics'!$BT$2:$BT$400),0)),"/")</f>
        <v>/</v>
      </c>
      <c r="AI11" s="538"/>
      <c r="AJ11" s="36" t="str" cm="1">
        <f t="array" ref="AJ11">IFERROR(INDEX('Offer Statistics'!BZ$2:BZ$400,MATCH(1,($A11='Offer Statistics'!$BS$2:$BS$400)*($AB$2='Offer Statistics'!$BT$2:$BT$400),0)),"/")</f>
        <v>/</v>
      </c>
      <c r="AK11" s="63" t="str" cm="1">
        <f t="array" ref="AK11">IFERROR(INDEX('Offer Statistics'!BU$2:BU$400,MATCH(1,($A11='Offer Statistics'!$BS$2:$BS$400)*($AB$2='Offer Statistics'!$BT$2:$BT$400),0)),"/")</f>
        <v>/</v>
      </c>
      <c r="AL11" s="63" t="str" cm="1">
        <f t="array" ref="AL11">IFERROR(INDEX('Offer Statistics'!BV$2:BV$400,MATCH(1,($A11='Offer Statistics'!$BS$2:$BS$400)*($AB$2='Offer Statistics'!$BT$2:$BT$400),0)),"/")</f>
        <v>/</v>
      </c>
      <c r="AM11" s="63" t="str" cm="1">
        <f t="array" ref="AM11">IFERROR(INDEX('Offer Statistics'!BW$2:BW$400,MATCH(1,($A11='Offer Statistics'!$BS$2:$BS$400)*($AB$2='Offer Statistics'!$BT$2:$BT$400),0)),"/")</f>
        <v>/</v>
      </c>
      <c r="AN11" s="63" t="str" cm="1">
        <f t="array" ref="AN11">IFERROR(INDEX('Offer Statistics'!BX$2:BX$400,MATCH(1,($A11='Offer Statistics'!$BS$2:$BS$400)*($AB$2='Offer Statistics'!$BT$2:$BT$400),0)),"/")</f>
        <v>/</v>
      </c>
      <c r="AO11" s="63" t="str" cm="1">
        <f t="array" ref="AO11">IFERROR(INDEX('Offer Statistics'!BY$2:BY$400,MATCH(1,($A11='Offer Statistics'!$BS$2:$BS$400)*($AB$2='Offer Statistics'!$BT$2:$BT$400),0)),"/")</f>
        <v>/</v>
      </c>
      <c r="AQ11" s="15" t="str">
        <f t="shared" si="1"/>
        <v>JS5250</v>
      </c>
    </row>
    <row r="12" spans="1:43" ht="18" customHeight="1">
      <c r="A12" s="4" t="str">
        <f>'Reference Score Calculation'!B228</f>
        <v>JS5260</v>
      </c>
      <c r="B12" s="4" t="str">
        <f>'Reference Score Calculation'!D228</f>
        <v>工學院</v>
      </c>
      <c r="C12" s="4" t="str">
        <f>'Reference Score Calculation'!E228</f>
        <v>工業工程及決策分析學系</v>
      </c>
      <c r="D12" s="4" t="str">
        <f>'Reference Score Calculation'!S228</f>
        <v>IEDA</v>
      </c>
      <c r="E12" s="352" t="str">
        <f>'Reference Score Calculation'!AC228</f>
        <v>英數Best3</v>
      </c>
      <c r="F12" s="450" t="str">
        <f>'Reference Score Calculation'!F228</f>
        <v>英數Best3</v>
      </c>
      <c r="G12" s="6">
        <f>'Reference Score Calculation'!I228</f>
        <v>39.78</v>
      </c>
      <c r="H12" s="6">
        <f>'Reference Score Calculation'!J228</f>
        <v>38.21</v>
      </c>
      <c r="I12" s="45">
        <f>計分版!J251</f>
        <v>3.2999999999999998E-9</v>
      </c>
      <c r="J12" s="167">
        <f>IFERROR(IF(J$1="差距(Median)",I12-G12,IF(J$1="差距(UQ)",I12-#REF!,IF(J$1="差距(LQ)",I12-H12))),"/")</f>
        <v>-39.779999996699999</v>
      </c>
      <c r="K12" s="168">
        <f>IFERROR(IF(J$1="差距(Median)",(I12-G12)/I12,IF(J$1="差距(UQ)",(I12-#REF!)/I12,IF(J$1="差距(LQ)",(I12-H12)/I12))),"/")</f>
        <v>-12054545453.545456</v>
      </c>
      <c r="L12" s="36">
        <f>'Reference Score Calculation'!U228</f>
        <v>37</v>
      </c>
      <c r="M12" s="84">
        <f>入學要求!Z237</f>
        <v>0</v>
      </c>
      <c r="N12" s="544"/>
      <c r="O12" s="166">
        <f>入學要求!L237</f>
        <v>3</v>
      </c>
      <c r="P12" s="166">
        <f>入學要求!M237</f>
        <v>3</v>
      </c>
      <c r="Q12" s="166">
        <f>入學要求!N237</f>
        <v>3</v>
      </c>
      <c r="R12" s="166">
        <f>入學要求!O237</f>
        <v>1</v>
      </c>
      <c r="S12" s="166">
        <f>入學要求!P237</f>
        <v>3</v>
      </c>
      <c r="T12" s="166">
        <f>入學要求!Q237</f>
        <v>3</v>
      </c>
      <c r="U12" s="236">
        <f>入學要求!S237</f>
        <v>0</v>
      </c>
      <c r="V12" s="236">
        <f>入學要求!T237</f>
        <v>0</v>
      </c>
      <c r="W12" s="236">
        <f>入學要求!U237</f>
        <v>0</v>
      </c>
      <c r="X12" s="236">
        <f>入學要求!V237</f>
        <v>0</v>
      </c>
      <c r="Y12" s="236">
        <f>入學要求!W237</f>
        <v>0</v>
      </c>
      <c r="Z12" s="236">
        <f>入學要求!X237</f>
        <v>0</v>
      </c>
      <c r="AA12" s="36" t="str">
        <f t="shared" si="0"/>
        <v>/</v>
      </c>
      <c r="AB12" s="537"/>
      <c r="AC12" s="36" t="str" cm="1">
        <f t="array" ref="AC12">IFERROR(INDEX('Offer Statistics'!CH$2:CH$400,MATCH(1,($A12='Offer Statistics'!$BS$2:$BS$400)*($AB$2='Offer Statistics'!$BT$2:$BT$400),0)),"/")</f>
        <v>/</v>
      </c>
      <c r="AD12" s="63" t="str" cm="1">
        <f t="array" ref="AD12">IFERROR(INDEX('Offer Statistics'!CC$2:CC$400,MATCH(1,($A12='Offer Statistics'!$BS$2:$BS$400)*($AB$2='Offer Statistics'!$BT$2:$BT$400),0)),"/")</f>
        <v>/</v>
      </c>
      <c r="AE12" s="63" t="str" cm="1">
        <f t="array" ref="AE12">IFERROR(INDEX('Offer Statistics'!CD$2:CD$400,MATCH(1,($A12='Offer Statistics'!$BS$2:$BS$400)*($AB$2='Offer Statistics'!$BT$2:$BT$400),0)),"/")</f>
        <v>/</v>
      </c>
      <c r="AF12" s="63" t="str" cm="1">
        <f t="array" ref="AF12">IFERROR(INDEX('Offer Statistics'!CE$2:CE$400,MATCH(1,($A12='Offer Statistics'!$BS$2:$BS$400)*($AB$2='Offer Statistics'!$BT$2:$BT$400),0)),"/")</f>
        <v>/</v>
      </c>
      <c r="AG12" s="63" t="str" cm="1">
        <f t="array" ref="AG12">IFERROR(INDEX('Offer Statistics'!CF$2:CF$400,MATCH(1,($A12='Offer Statistics'!$BS$2:$BS$400)*($AB$2='Offer Statistics'!$BT$2:$BT$400),0)),"/")</f>
        <v>/</v>
      </c>
      <c r="AH12" s="63" t="str" cm="1">
        <f t="array" ref="AH12">IFERROR(INDEX('Offer Statistics'!CG$2:CG$400,MATCH(1,($A12='Offer Statistics'!$BS$2:$BS$400)*($AB$2='Offer Statistics'!$BT$2:$BT$400),0)),"/")</f>
        <v>/</v>
      </c>
      <c r="AI12" s="538"/>
      <c r="AJ12" s="36" t="str" cm="1">
        <f t="array" ref="AJ12">IFERROR(INDEX('Offer Statistics'!BZ$2:BZ$400,MATCH(1,($A12='Offer Statistics'!$BS$2:$BS$400)*($AB$2='Offer Statistics'!$BT$2:$BT$400),0)),"/")</f>
        <v>/</v>
      </c>
      <c r="AK12" s="63" t="str" cm="1">
        <f t="array" ref="AK12">IFERROR(INDEX('Offer Statistics'!BU$2:BU$400,MATCH(1,($A12='Offer Statistics'!$BS$2:$BS$400)*($AB$2='Offer Statistics'!$BT$2:$BT$400),0)),"/")</f>
        <v>/</v>
      </c>
      <c r="AL12" s="63" t="str" cm="1">
        <f t="array" ref="AL12">IFERROR(INDEX('Offer Statistics'!BV$2:BV$400,MATCH(1,($A12='Offer Statistics'!$BS$2:$BS$400)*($AB$2='Offer Statistics'!$BT$2:$BT$400),0)),"/")</f>
        <v>/</v>
      </c>
      <c r="AM12" s="63" t="str" cm="1">
        <f t="array" ref="AM12">IFERROR(INDEX('Offer Statistics'!BW$2:BW$400,MATCH(1,($A12='Offer Statistics'!$BS$2:$BS$400)*($AB$2='Offer Statistics'!$BT$2:$BT$400),0)),"/")</f>
        <v>/</v>
      </c>
      <c r="AN12" s="63" t="str" cm="1">
        <f t="array" ref="AN12">IFERROR(INDEX('Offer Statistics'!BX$2:BX$400,MATCH(1,($A12='Offer Statistics'!$BS$2:$BS$400)*($AB$2='Offer Statistics'!$BT$2:$BT$400),0)),"/")</f>
        <v>/</v>
      </c>
      <c r="AO12" s="63" t="str" cm="1">
        <f t="array" ref="AO12">IFERROR(INDEX('Offer Statistics'!BY$2:BY$400,MATCH(1,($A12='Offer Statistics'!$BS$2:$BS$400)*($AB$2='Offer Statistics'!$BT$2:$BT$400),0)),"/")</f>
        <v>/</v>
      </c>
      <c r="AQ12" s="15" t="str">
        <f t="shared" si="1"/>
        <v>JS5260</v>
      </c>
    </row>
    <row r="13" spans="1:43" ht="18" customHeight="1">
      <c r="A13" s="4" t="str">
        <f>'Reference Score Calculation'!B229</f>
        <v>JS5270</v>
      </c>
      <c r="B13" s="4" t="str">
        <f>'Reference Score Calculation'!D229</f>
        <v>工學院</v>
      </c>
      <c r="C13" s="4" t="str">
        <f>'Reference Score Calculation'!E229</f>
        <v>機械及航空航天工程學系</v>
      </c>
      <c r="D13" s="4" t="str">
        <f>'Reference Score Calculation'!S229</f>
        <v>MAE</v>
      </c>
      <c r="E13" s="352" t="str">
        <f>'Reference Score Calculation'!AC229</f>
        <v>英數Best3</v>
      </c>
      <c r="F13" s="450" t="str">
        <f>'Reference Score Calculation'!F229</f>
        <v>英數Best3</v>
      </c>
      <c r="G13" s="6">
        <f>'Reference Score Calculation'!I229</f>
        <v>39.78</v>
      </c>
      <c r="H13" s="6">
        <f>'Reference Score Calculation'!J229</f>
        <v>38.21</v>
      </c>
      <c r="I13" s="45">
        <f>計分版!J252</f>
        <v>3.2999999999999998E-9</v>
      </c>
      <c r="J13" s="167">
        <f>IFERROR(IF(J$1="差距(Median)",I13-G13,IF(J$1="差距(UQ)",I13-#REF!,IF(J$1="差距(LQ)",I13-H13))),"/")</f>
        <v>-39.779999996699999</v>
      </c>
      <c r="K13" s="168">
        <f>IFERROR(IF(J$1="差距(Median)",(I13-G13)/I13,IF(J$1="差距(UQ)",(I13-#REF!)/I13,IF(J$1="差距(LQ)",(I13-H13)/I13))),"/")</f>
        <v>-12054545453.545456</v>
      </c>
      <c r="L13" s="36">
        <f>'Reference Score Calculation'!U229</f>
        <v>79</v>
      </c>
      <c r="M13" s="84">
        <f>入學要求!Z238</f>
        <v>0</v>
      </c>
      <c r="N13" s="544"/>
      <c r="O13" s="166">
        <f>入學要求!L238</f>
        <v>3</v>
      </c>
      <c r="P13" s="166">
        <f>入學要求!M238</f>
        <v>3</v>
      </c>
      <c r="Q13" s="166">
        <f>入學要求!N238</f>
        <v>3</v>
      </c>
      <c r="R13" s="166">
        <f>入學要求!O238</f>
        <v>1</v>
      </c>
      <c r="S13" s="166">
        <f>入學要求!P238</f>
        <v>3</v>
      </c>
      <c r="T13" s="166">
        <f>入學要求!Q238</f>
        <v>3</v>
      </c>
      <c r="U13" s="236">
        <f>入學要求!S238</f>
        <v>0</v>
      </c>
      <c r="V13" s="236">
        <f>入學要求!T238</f>
        <v>0</v>
      </c>
      <c r="W13" s="236">
        <f>入學要求!U238</f>
        <v>0</v>
      </c>
      <c r="X13" s="236">
        <f>入學要求!V238</f>
        <v>0</v>
      </c>
      <c r="Y13" s="236">
        <f>入學要求!W238</f>
        <v>0</v>
      </c>
      <c r="Z13" s="236">
        <f>入學要求!X238</f>
        <v>0</v>
      </c>
      <c r="AA13" s="36" t="str">
        <f t="shared" si="0"/>
        <v>/</v>
      </c>
      <c r="AB13" s="537"/>
      <c r="AC13" s="36" t="str" cm="1">
        <f t="array" ref="AC13">IFERROR(INDEX('Offer Statistics'!CH$2:CH$400,MATCH(1,($A13='Offer Statistics'!$BS$2:$BS$400)*($AB$2='Offer Statistics'!$BT$2:$BT$400),0)),"/")</f>
        <v>/</v>
      </c>
      <c r="AD13" s="63" t="str" cm="1">
        <f t="array" ref="AD13">IFERROR(INDEX('Offer Statistics'!CC$2:CC$400,MATCH(1,($A13='Offer Statistics'!$BS$2:$BS$400)*($AB$2='Offer Statistics'!$BT$2:$BT$400),0)),"/")</f>
        <v>/</v>
      </c>
      <c r="AE13" s="63" t="str" cm="1">
        <f t="array" ref="AE13">IFERROR(INDEX('Offer Statistics'!CD$2:CD$400,MATCH(1,($A13='Offer Statistics'!$BS$2:$BS$400)*($AB$2='Offer Statistics'!$BT$2:$BT$400),0)),"/")</f>
        <v>/</v>
      </c>
      <c r="AF13" s="63" t="str" cm="1">
        <f t="array" ref="AF13">IFERROR(INDEX('Offer Statistics'!CE$2:CE$400,MATCH(1,($A13='Offer Statistics'!$BS$2:$BS$400)*($AB$2='Offer Statistics'!$BT$2:$BT$400),0)),"/")</f>
        <v>/</v>
      </c>
      <c r="AG13" s="63" t="str" cm="1">
        <f t="array" ref="AG13">IFERROR(INDEX('Offer Statistics'!CF$2:CF$400,MATCH(1,($A13='Offer Statistics'!$BS$2:$BS$400)*($AB$2='Offer Statistics'!$BT$2:$BT$400),0)),"/")</f>
        <v>/</v>
      </c>
      <c r="AH13" s="63" t="str" cm="1">
        <f t="array" ref="AH13">IFERROR(INDEX('Offer Statistics'!CG$2:CG$400,MATCH(1,($A13='Offer Statistics'!$BS$2:$BS$400)*($AB$2='Offer Statistics'!$BT$2:$BT$400),0)),"/")</f>
        <v>/</v>
      </c>
      <c r="AI13" s="538"/>
      <c r="AJ13" s="36" t="str" cm="1">
        <f t="array" ref="AJ13">IFERROR(INDEX('Offer Statistics'!BZ$2:BZ$400,MATCH(1,($A13='Offer Statistics'!$BS$2:$BS$400)*($AB$2='Offer Statistics'!$BT$2:$BT$400),0)),"/")</f>
        <v>/</v>
      </c>
      <c r="AK13" s="63" t="str" cm="1">
        <f t="array" ref="AK13">IFERROR(INDEX('Offer Statistics'!BU$2:BU$400,MATCH(1,($A13='Offer Statistics'!$BS$2:$BS$400)*($AB$2='Offer Statistics'!$BT$2:$BT$400),0)),"/")</f>
        <v>/</v>
      </c>
      <c r="AL13" s="63" t="str" cm="1">
        <f t="array" ref="AL13">IFERROR(INDEX('Offer Statistics'!BV$2:BV$400,MATCH(1,($A13='Offer Statistics'!$BS$2:$BS$400)*($AB$2='Offer Statistics'!$BT$2:$BT$400),0)),"/")</f>
        <v>/</v>
      </c>
      <c r="AM13" s="63" t="str" cm="1">
        <f t="array" ref="AM13">IFERROR(INDEX('Offer Statistics'!BW$2:BW$400,MATCH(1,($A13='Offer Statistics'!$BS$2:$BS$400)*($AB$2='Offer Statistics'!$BT$2:$BT$400),0)),"/")</f>
        <v>/</v>
      </c>
      <c r="AN13" s="63" t="str" cm="1">
        <f t="array" ref="AN13">IFERROR(INDEX('Offer Statistics'!BX$2:BX$400,MATCH(1,($A13='Offer Statistics'!$BS$2:$BS$400)*($AB$2='Offer Statistics'!$BT$2:$BT$400),0)),"/")</f>
        <v>/</v>
      </c>
      <c r="AO13" s="63" t="str" cm="1">
        <f t="array" ref="AO13">IFERROR(INDEX('Offer Statistics'!BY$2:BY$400,MATCH(1,($A13='Offer Statistics'!$BS$2:$BS$400)*($AB$2='Offer Statistics'!$BT$2:$BT$400),0)),"/")</f>
        <v>/</v>
      </c>
      <c r="AQ13" s="15" t="str">
        <f t="shared" si="1"/>
        <v>JS5270</v>
      </c>
    </row>
    <row r="14" spans="1:43" s="10" customFormat="1" ht="18" customHeight="1">
      <c r="A14" s="4" t="str">
        <f>'Reference Score Calculation'!B230</f>
        <v>JS5282</v>
      </c>
      <c r="B14" s="4" t="str">
        <f>'Reference Score Calculation'!D230</f>
        <v>工學院</v>
      </c>
      <c r="C14" s="4" t="str">
        <f>'Reference Score Calculation'!E230</f>
        <v>工程學– 延伸主修人工智能</v>
      </c>
      <c r="D14" s="4" t="str">
        <f>'Reference Score Calculation'!S230</f>
        <v>ENGG+AI</v>
      </c>
      <c r="E14" s="352" t="str">
        <f>'Reference Score Calculation'!AC230</f>
        <v>英數Best3</v>
      </c>
      <c r="F14" s="450" t="str">
        <f>'Reference Score Calculation'!F230</f>
        <v>英數Best3</v>
      </c>
      <c r="G14" s="6">
        <f>'Reference Score Calculation'!I230</f>
        <v>48.45</v>
      </c>
      <c r="H14" s="6">
        <f>'Reference Score Calculation'!J230</f>
        <v>45.7</v>
      </c>
      <c r="I14" s="45">
        <f>計分版!J253</f>
        <v>3.2999999999999998E-9</v>
      </c>
      <c r="J14" s="167">
        <f>IFERROR(IF(J$1="差距(Median)",I14-G14,IF(J$1="差距(UQ)",I14-#REF!,IF(J$1="差距(LQ)",I14-H14))),"/")</f>
        <v>-48.449999996700001</v>
      </c>
      <c r="K14" s="168">
        <f>IFERROR(IF(J$1="差距(Median)",(I14-G14)/I14,IF(J$1="差距(UQ)",(I14-#REF!)/I14,IF(J$1="差距(LQ)",(I14-H14)/I14))),"/")</f>
        <v>-14681818180.818184</v>
      </c>
      <c r="L14" s="36">
        <f>'Reference Score Calculation'!U230</f>
        <v>116</v>
      </c>
      <c r="M14" s="84">
        <f>入學要求!Z239</f>
        <v>0</v>
      </c>
      <c r="N14" s="544"/>
      <c r="O14" s="166">
        <f>入學要求!L239</f>
        <v>3</v>
      </c>
      <c r="P14" s="166">
        <f>入學要求!M239</f>
        <v>3</v>
      </c>
      <c r="Q14" s="166">
        <f>入學要求!N239</f>
        <v>3</v>
      </c>
      <c r="R14" s="166">
        <f>入學要求!O239</f>
        <v>1</v>
      </c>
      <c r="S14" s="166">
        <f>入學要求!P239</f>
        <v>3</v>
      </c>
      <c r="T14" s="166">
        <f>入學要求!Q239</f>
        <v>3</v>
      </c>
      <c r="U14" s="236">
        <f>入學要求!S239</f>
        <v>0</v>
      </c>
      <c r="V14" s="236">
        <f>入學要求!T239</f>
        <v>0</v>
      </c>
      <c r="W14" s="236">
        <f>入學要求!U239</f>
        <v>0</v>
      </c>
      <c r="X14" s="236">
        <f>入學要求!V239</f>
        <v>0</v>
      </c>
      <c r="Y14" s="236">
        <f>入學要求!W239</f>
        <v>0</v>
      </c>
      <c r="Z14" s="236">
        <f>入學要求!X239</f>
        <v>0</v>
      </c>
      <c r="AA14" s="36">
        <f t="shared" si="0"/>
        <v>3.3</v>
      </c>
      <c r="AB14" s="537"/>
      <c r="AC14" s="36" cm="1">
        <f t="array" ref="AC14">IFERROR(INDEX('Offer Statistics'!CH$2:CH$400,MATCH(1,($A14='Offer Statistics'!$BS$2:$BS$400)*($AB$2='Offer Statistics'!$BT$2:$BT$400),0)),"/")</f>
        <v>161</v>
      </c>
      <c r="AD14" s="63" cm="1">
        <f t="array" ref="AD14">IFERROR(INDEX('Offer Statistics'!CC$2:CC$400,MATCH(1,($A14='Offer Statistics'!$BS$2:$BS$400)*($AB$2='Offer Statistics'!$BT$2:$BT$400),0)),"/")</f>
        <v>158</v>
      </c>
      <c r="AE14" s="63" cm="1">
        <f t="array" ref="AE14">IFERROR(INDEX('Offer Statistics'!CD$2:CD$400,MATCH(1,($A14='Offer Statistics'!$BS$2:$BS$400)*($AB$2='Offer Statistics'!$BT$2:$BT$400),0)),"/")</f>
        <v>1</v>
      </c>
      <c r="AF14" s="63" cm="1">
        <f t="array" ref="AF14">IFERROR(INDEX('Offer Statistics'!CE$2:CE$400,MATCH(1,($A14='Offer Statistics'!$BS$2:$BS$400)*($AB$2='Offer Statistics'!$BT$2:$BT$400),0)),"/")</f>
        <v>1</v>
      </c>
      <c r="AG14" s="63" cm="1">
        <f t="array" ref="AG14">IFERROR(INDEX('Offer Statistics'!CF$2:CF$400,MATCH(1,($A14='Offer Statistics'!$BS$2:$BS$400)*($AB$2='Offer Statistics'!$BT$2:$BT$400),0)),"/")</f>
        <v>1</v>
      </c>
      <c r="AH14" s="63" cm="1">
        <f t="array" ref="AH14">IFERROR(INDEX('Offer Statistics'!CG$2:CG$400,MATCH(1,($A14='Offer Statistics'!$BS$2:$BS$400)*($AB$2='Offer Statistics'!$BT$2:$BT$400),0)),"/")</f>
        <v>0</v>
      </c>
      <c r="AI14" s="538"/>
      <c r="AJ14" s="36" cm="1">
        <f t="array" ref="AJ14">IFERROR(INDEX('Offer Statistics'!BZ$2:BZ$400,MATCH(1,($A14='Offer Statistics'!$BS$2:$BS$400)*($AB$2='Offer Statistics'!$BT$2:$BT$400),0)),"/")</f>
        <v>1865</v>
      </c>
      <c r="AK14" s="63" cm="1">
        <f t="array" ref="AK14">IFERROR(INDEX('Offer Statistics'!BU$2:BU$400,MATCH(1,($A14='Offer Statistics'!$BS$2:$BS$400)*($AB$2='Offer Statistics'!$BT$2:$BT$400),0)),"/")</f>
        <v>522</v>
      </c>
      <c r="AL14" s="63" cm="1">
        <f t="array" ref="AL14">IFERROR(INDEX('Offer Statistics'!BV$2:BV$400,MATCH(1,($A14='Offer Statistics'!$BS$2:$BS$400)*($AB$2='Offer Statistics'!$BT$2:$BT$400),0)),"/")</f>
        <v>264</v>
      </c>
      <c r="AM14" s="63" cm="1">
        <f t="array" ref="AM14">IFERROR(INDEX('Offer Statistics'!BW$2:BW$400,MATCH(1,($A14='Offer Statistics'!$BS$2:$BS$400)*($AB$2='Offer Statistics'!$BT$2:$BT$400),0)),"/")</f>
        <v>330</v>
      </c>
      <c r="AN14" s="63" cm="1">
        <f t="array" ref="AN14">IFERROR(INDEX('Offer Statistics'!BX$2:BX$400,MATCH(1,($A14='Offer Statistics'!$BS$2:$BS$400)*($AB$2='Offer Statistics'!$BT$2:$BT$400),0)),"/")</f>
        <v>404</v>
      </c>
      <c r="AO14" s="63" cm="1">
        <f t="array" ref="AO14">IFERROR(INDEX('Offer Statistics'!BY$2:BY$400,MATCH(1,($A14='Offer Statistics'!$BS$2:$BS$400)*($AB$2='Offer Statistics'!$BT$2:$BT$400),0)),"/")</f>
        <v>345</v>
      </c>
      <c r="AP14" s="4"/>
      <c r="AQ14" s="15" t="str">
        <f t="shared" si="1"/>
        <v>JS5282</v>
      </c>
    </row>
    <row r="15" spans="1:43" ht="18" customHeight="1">
      <c r="A15" s="4" t="str">
        <f>'Reference Score Calculation'!B231</f>
        <v>JS5300</v>
      </c>
      <c r="B15" s="4" t="str">
        <f>'Reference Score Calculation'!D231</f>
        <v>商學院</v>
      </c>
      <c r="C15" s="4" t="str">
        <f>'Reference Score Calculation'!E231</f>
        <v>工商管理</v>
      </c>
      <c r="D15" s="4" t="str">
        <f>'Reference Score Calculation'!S231</f>
        <v>B&amp;M</v>
      </c>
      <c r="E15" s="352" t="str">
        <f>'Reference Score Calculation'!AC231</f>
        <v>英數Best3</v>
      </c>
      <c r="F15" s="450" t="str">
        <f>'Reference Score Calculation'!F231</f>
        <v>英數Best3</v>
      </c>
      <c r="G15" s="6">
        <f>'Reference Score Calculation'!I231</f>
        <v>32.5</v>
      </c>
      <c r="H15" s="6">
        <f>'Reference Score Calculation'!J231</f>
        <v>32.049999999999997</v>
      </c>
      <c r="I15" s="45">
        <f>計分版!J254</f>
        <v>3.3999999999999998E-9</v>
      </c>
      <c r="J15" s="167">
        <f>IFERROR(IF(J$1="差距(Median)",I15-G15,IF(J$1="差距(UQ)",I15-#REF!,IF(J$1="差距(LQ)",I15-H15))),"/")</f>
        <v>-32.499999996600003</v>
      </c>
      <c r="K15" s="168">
        <f>IFERROR(IF(J$1="差距(Median)",(I15-G15)/I15,IF(J$1="差距(UQ)",(I15-#REF!)/I15,IF(J$1="差距(LQ)",(I15-H15)/I15))),"/")</f>
        <v>-9558823528.4117661</v>
      </c>
      <c r="L15" s="36">
        <f>'Reference Score Calculation'!U231</f>
        <v>350</v>
      </c>
      <c r="M15" s="84">
        <f>入學要求!Z240</f>
        <v>0</v>
      </c>
      <c r="N15" s="544"/>
      <c r="O15" s="166">
        <f>入學要求!L240</f>
        <v>3</v>
      </c>
      <c r="P15" s="166">
        <f>入學要求!M240</f>
        <v>4</v>
      </c>
      <c r="Q15" s="166">
        <f>入學要求!N240</f>
        <v>3</v>
      </c>
      <c r="R15" s="166">
        <f>入學要求!O240</f>
        <v>1</v>
      </c>
      <c r="S15" s="166">
        <f>入學要求!P240</f>
        <v>3</v>
      </c>
      <c r="T15" s="166">
        <f>入學要求!Q240</f>
        <v>3</v>
      </c>
      <c r="U15" s="236">
        <f>入學要求!S240</f>
        <v>0</v>
      </c>
      <c r="V15" s="236">
        <f>入學要求!T240</f>
        <v>0</v>
      </c>
      <c r="W15" s="236">
        <f>入學要求!U240</f>
        <v>0</v>
      </c>
      <c r="X15" s="236">
        <f>入學要求!V240</f>
        <v>0</v>
      </c>
      <c r="Y15" s="236">
        <f>入學要求!W240</f>
        <v>0</v>
      </c>
      <c r="Z15" s="236">
        <f>入學要求!X240</f>
        <v>0</v>
      </c>
      <c r="AA15" s="36">
        <f t="shared" si="0"/>
        <v>4.4000000000000004</v>
      </c>
      <c r="AB15" s="537"/>
      <c r="AC15" s="36" cm="1">
        <f t="array" ref="AC15">IFERROR(INDEX('Offer Statistics'!CH$2:CH$400,MATCH(1,($A15='Offer Statistics'!$BS$2:$BS$400)*($AB$2='Offer Statistics'!$BT$2:$BT$400),0)),"/")</f>
        <v>235</v>
      </c>
      <c r="AD15" s="63" cm="1">
        <f t="array" ref="AD15">IFERROR(INDEX('Offer Statistics'!CC$2:CC$400,MATCH(1,($A15='Offer Statistics'!$BS$2:$BS$400)*($AB$2='Offer Statistics'!$BT$2:$BT$400),0)),"/")</f>
        <v>235</v>
      </c>
      <c r="AE15" s="63" cm="1">
        <f t="array" ref="AE15">IFERROR(INDEX('Offer Statistics'!CD$2:CD$400,MATCH(1,($A15='Offer Statistics'!$BS$2:$BS$400)*($AB$2='Offer Statistics'!$BT$2:$BT$400),0)),"/")</f>
        <v>0</v>
      </c>
      <c r="AF15" s="63" cm="1">
        <f t="array" ref="AF15">IFERROR(INDEX('Offer Statistics'!CE$2:CE$400,MATCH(1,($A15='Offer Statistics'!$BS$2:$BS$400)*($AB$2='Offer Statistics'!$BT$2:$BT$400),0)),"/")</f>
        <v>0</v>
      </c>
      <c r="AG15" s="63" cm="1">
        <f t="array" ref="AG15">IFERROR(INDEX('Offer Statistics'!CF$2:CF$400,MATCH(1,($A15='Offer Statistics'!$BS$2:$BS$400)*($AB$2='Offer Statistics'!$BT$2:$BT$400),0)),"/")</f>
        <v>0</v>
      </c>
      <c r="AH15" s="63" cm="1">
        <f t="array" ref="AH15">IFERROR(INDEX('Offer Statistics'!CG$2:CG$400,MATCH(1,($A15='Offer Statistics'!$BS$2:$BS$400)*($AB$2='Offer Statistics'!$BT$2:$BT$400),0)),"/")</f>
        <v>0</v>
      </c>
      <c r="AI15" s="538"/>
      <c r="AJ15" s="36" cm="1">
        <f t="array" ref="AJ15">IFERROR(INDEX('Offer Statistics'!BZ$2:BZ$400,MATCH(1,($A15='Offer Statistics'!$BS$2:$BS$400)*($AB$2='Offer Statistics'!$BT$2:$BT$400),0)),"/")</f>
        <v>3202</v>
      </c>
      <c r="AK15" s="63" cm="1">
        <f t="array" ref="AK15">IFERROR(INDEX('Offer Statistics'!BU$2:BU$400,MATCH(1,($A15='Offer Statistics'!$BS$2:$BS$400)*($AB$2='Offer Statistics'!$BT$2:$BT$400),0)),"/")</f>
        <v>1035</v>
      </c>
      <c r="AL15" s="63" cm="1">
        <f t="array" ref="AL15">IFERROR(INDEX('Offer Statistics'!BV$2:BV$400,MATCH(1,($A15='Offer Statistics'!$BS$2:$BS$400)*($AB$2='Offer Statistics'!$BT$2:$BT$400),0)),"/")</f>
        <v>375</v>
      </c>
      <c r="AM15" s="63" cm="1">
        <f t="array" ref="AM15">IFERROR(INDEX('Offer Statistics'!BW$2:BW$400,MATCH(1,($A15='Offer Statistics'!$BS$2:$BS$400)*($AB$2='Offer Statistics'!$BT$2:$BT$400),0)),"/")</f>
        <v>518</v>
      </c>
      <c r="AN15" s="63" cm="1">
        <f t="array" ref="AN15">IFERROR(INDEX('Offer Statistics'!BX$2:BX$400,MATCH(1,($A15='Offer Statistics'!$BS$2:$BS$400)*($AB$2='Offer Statistics'!$BT$2:$BT$400),0)),"/")</f>
        <v>655</v>
      </c>
      <c r="AO15" s="63" cm="1">
        <f t="array" ref="AO15">IFERROR(INDEX('Offer Statistics'!BY$2:BY$400,MATCH(1,($A15='Offer Statistics'!$BS$2:$BS$400)*($AB$2='Offer Statistics'!$BT$2:$BT$400),0)),"/")</f>
        <v>619</v>
      </c>
      <c r="AQ15" s="15" t="str">
        <f t="shared" si="1"/>
        <v>JS5300</v>
      </c>
    </row>
    <row r="16" spans="1:43" s="10" customFormat="1" ht="18" customHeight="1">
      <c r="A16" s="4" t="str">
        <f>'Reference Score Calculation'!B232</f>
        <v>JS5311</v>
      </c>
      <c r="B16" s="4" t="str">
        <f>'Reference Score Calculation'!D232</f>
        <v>商學院</v>
      </c>
      <c r="C16" s="4" t="str">
        <f>'Reference Score Calculation'!E232</f>
        <v>工商管理學士（經濟學）</v>
      </c>
      <c r="D16" s="4" t="str">
        <f>'Reference Score Calculation'!S232</f>
        <v>ECON</v>
      </c>
      <c r="E16" s="352" t="str">
        <f>'Reference Score Calculation'!AC232</f>
        <v>英數Best3</v>
      </c>
      <c r="F16" s="450" t="str">
        <f>'Reference Score Calculation'!F232</f>
        <v>英數Best3</v>
      </c>
      <c r="G16" s="6">
        <f>'Reference Score Calculation'!I232</f>
        <v>35.049999999999997</v>
      </c>
      <c r="H16" s="6">
        <f>'Reference Score Calculation'!J232</f>
        <v>34.14</v>
      </c>
      <c r="I16" s="45">
        <f>計分版!J255</f>
        <v>3.3999999999999998E-9</v>
      </c>
      <c r="J16" s="167">
        <f>IFERROR(IF(J$1="差距(Median)",I16-G16,IF(J$1="差距(UQ)",I16-#REF!,IF(J$1="差距(LQ)",I16-H16))),"/")</f>
        <v>-35.0499999966</v>
      </c>
      <c r="K16" s="168">
        <f>IFERROR(IF(J$1="差距(Median)",(I16-G16)/I16,IF(J$1="差距(UQ)",(I16-#REF!)/I16,IF(J$1="差距(LQ)",(I16-H16)/I16))),"/")</f>
        <v>-10308823528.411766</v>
      </c>
      <c r="L16" s="36" t="str">
        <f>'Reference Score Calculation'!U232</f>
        <v>125*</v>
      </c>
      <c r="M16" s="84">
        <f>入學要求!Z241</f>
        <v>0</v>
      </c>
      <c r="N16" s="544"/>
      <c r="O16" s="166">
        <f>入學要求!L241</f>
        <v>3</v>
      </c>
      <c r="P16" s="166">
        <f>入學要求!M241</f>
        <v>4</v>
      </c>
      <c r="Q16" s="166">
        <f>入學要求!N241</f>
        <v>3</v>
      </c>
      <c r="R16" s="166">
        <f>入學要求!O241</f>
        <v>1</v>
      </c>
      <c r="S16" s="166">
        <f>入學要求!P241</f>
        <v>3</v>
      </c>
      <c r="T16" s="166">
        <f>入學要求!Q241</f>
        <v>3</v>
      </c>
      <c r="U16" s="236">
        <f>入學要求!S241</f>
        <v>0</v>
      </c>
      <c r="V16" s="236">
        <f>入學要求!T241</f>
        <v>0</v>
      </c>
      <c r="W16" s="236">
        <f>入學要求!U241</f>
        <v>0</v>
      </c>
      <c r="X16" s="236">
        <f>入學要求!V241</f>
        <v>0</v>
      </c>
      <c r="Y16" s="236">
        <f>入學要求!W241</f>
        <v>0</v>
      </c>
      <c r="Z16" s="236">
        <f>入學要求!X241</f>
        <v>0</v>
      </c>
      <c r="AA16" s="36">
        <f t="shared" si="0"/>
        <v>3.6</v>
      </c>
      <c r="AB16" s="537"/>
      <c r="AC16" s="36" cm="1">
        <f t="array" ref="AC16">IFERROR(INDEX('Offer Statistics'!CH$2:CH$400,MATCH(1,($A16='Offer Statistics'!$BS$2:$BS$400)*($AB$2='Offer Statistics'!$BT$2:$BT$400),0)),"/")</f>
        <v>30</v>
      </c>
      <c r="AD16" s="63" cm="1">
        <f t="array" ref="AD16">IFERROR(INDEX('Offer Statistics'!CC$2:CC$400,MATCH(1,($A16='Offer Statistics'!$BS$2:$BS$400)*($AB$2='Offer Statistics'!$BT$2:$BT$400),0)),"/")</f>
        <v>30</v>
      </c>
      <c r="AE16" s="63" cm="1">
        <f t="array" ref="AE16">IFERROR(INDEX('Offer Statistics'!CD$2:CD$400,MATCH(1,($A16='Offer Statistics'!$BS$2:$BS$400)*($AB$2='Offer Statistics'!$BT$2:$BT$400),0)),"/")</f>
        <v>0</v>
      </c>
      <c r="AF16" s="63" cm="1">
        <f t="array" ref="AF16">IFERROR(INDEX('Offer Statistics'!CE$2:CE$400,MATCH(1,($A16='Offer Statistics'!$BS$2:$BS$400)*($AB$2='Offer Statistics'!$BT$2:$BT$400),0)),"/")</f>
        <v>0</v>
      </c>
      <c r="AG16" s="63" cm="1">
        <f t="array" ref="AG16">IFERROR(INDEX('Offer Statistics'!CF$2:CF$400,MATCH(1,($A16='Offer Statistics'!$BS$2:$BS$400)*($AB$2='Offer Statistics'!$BT$2:$BT$400),0)),"/")</f>
        <v>0</v>
      </c>
      <c r="AH16" s="63" cm="1">
        <f t="array" ref="AH16">IFERROR(INDEX('Offer Statistics'!CG$2:CG$400,MATCH(1,($A16='Offer Statistics'!$BS$2:$BS$400)*($AB$2='Offer Statistics'!$BT$2:$BT$400),0)),"/")</f>
        <v>0</v>
      </c>
      <c r="AI16" s="538"/>
      <c r="AJ16" s="36" cm="1">
        <f t="array" ref="AJ16">IFERROR(INDEX('Offer Statistics'!BZ$2:BZ$400,MATCH(1,($A16='Offer Statistics'!$BS$2:$BS$400)*($AB$2='Offer Statistics'!$BT$2:$BT$400),0)),"/")</f>
        <v>1274</v>
      </c>
      <c r="AK16" s="63" cm="1">
        <f t="array" ref="AK16">IFERROR(INDEX('Offer Statistics'!BU$2:BU$400,MATCH(1,($A16='Offer Statistics'!$BS$2:$BS$400)*($AB$2='Offer Statistics'!$BT$2:$BT$400),0)),"/")</f>
        <v>108</v>
      </c>
      <c r="AL16" s="63" cm="1">
        <f t="array" ref="AL16">IFERROR(INDEX('Offer Statistics'!BV$2:BV$400,MATCH(1,($A16='Offer Statistics'!$BS$2:$BS$400)*($AB$2='Offer Statistics'!$BT$2:$BT$400),0)),"/")</f>
        <v>144</v>
      </c>
      <c r="AM16" s="63" cm="1">
        <f t="array" ref="AM16">IFERROR(INDEX('Offer Statistics'!BW$2:BW$400,MATCH(1,($A16='Offer Statistics'!$BS$2:$BS$400)*($AB$2='Offer Statistics'!$BT$2:$BT$400),0)),"/")</f>
        <v>287</v>
      </c>
      <c r="AN16" s="63" cm="1">
        <f t="array" ref="AN16">IFERROR(INDEX('Offer Statistics'!BX$2:BX$400,MATCH(1,($A16='Offer Statistics'!$BS$2:$BS$400)*($AB$2='Offer Statistics'!$BT$2:$BT$400),0)),"/")</f>
        <v>393</v>
      </c>
      <c r="AO16" s="63" cm="1">
        <f t="array" ref="AO16">IFERROR(INDEX('Offer Statistics'!BY$2:BY$400,MATCH(1,($A16='Offer Statistics'!$BS$2:$BS$400)*($AB$2='Offer Statistics'!$BT$2:$BT$400),0)),"/")</f>
        <v>342</v>
      </c>
      <c r="AP16" s="4"/>
      <c r="AQ16" s="15" t="str">
        <f t="shared" si="1"/>
        <v>JS5311</v>
      </c>
    </row>
    <row r="17" spans="1:43" ht="18" customHeight="1">
      <c r="A17" s="4" t="str">
        <f>'Reference Score Calculation'!B233</f>
        <v>JS5312</v>
      </c>
      <c r="B17" s="4" t="str">
        <f>'Reference Score Calculation'!D233</f>
        <v>商學院</v>
      </c>
      <c r="C17" s="4" t="str">
        <f>'Reference Score Calculation'!E233</f>
        <v>工商管理學士（金融學）</v>
      </c>
      <c r="D17" s="4" t="str">
        <f>'Reference Score Calculation'!S233</f>
        <v>FINA</v>
      </c>
      <c r="E17" s="352" t="str">
        <f>'Reference Score Calculation'!AC233</f>
        <v>英數Best3</v>
      </c>
      <c r="F17" s="450" t="str">
        <f>'Reference Score Calculation'!F233</f>
        <v>英數Best3</v>
      </c>
      <c r="G17" s="6">
        <f>'Reference Score Calculation'!I233</f>
        <v>43.5</v>
      </c>
      <c r="H17" s="6">
        <f>'Reference Score Calculation'!J233</f>
        <v>42.75</v>
      </c>
      <c r="I17" s="45">
        <f>計分版!J256</f>
        <v>3.3999999999999998E-9</v>
      </c>
      <c r="J17" s="167">
        <f>IFERROR(IF(J$1="差距(Median)",I17-G17,IF(J$1="差距(UQ)",I17-#REF!,IF(J$1="差距(LQ)",I17-H17))),"/")</f>
        <v>-43.499999996600003</v>
      </c>
      <c r="K17" s="168">
        <f>IFERROR(IF(J$1="差距(Median)",(I17-G17)/I17,IF(J$1="差距(UQ)",(I17-#REF!)/I17,IF(J$1="差距(LQ)",(I17-H17)/I17))),"/")</f>
        <v>-12794117646.058825</v>
      </c>
      <c r="L17" s="36">
        <f>'Reference Score Calculation'!U233</f>
        <v>45</v>
      </c>
      <c r="M17" s="84">
        <f>入學要求!Z242</f>
        <v>0</v>
      </c>
      <c r="N17" s="544"/>
      <c r="O17" s="166">
        <f>入學要求!L242</f>
        <v>3</v>
      </c>
      <c r="P17" s="166">
        <f>入學要求!M242</f>
        <v>4</v>
      </c>
      <c r="Q17" s="166">
        <f>入學要求!N242</f>
        <v>3</v>
      </c>
      <c r="R17" s="166">
        <f>入學要求!O242</f>
        <v>1</v>
      </c>
      <c r="S17" s="166">
        <f>入學要求!P242</f>
        <v>3</v>
      </c>
      <c r="T17" s="166">
        <f>入學要求!Q242</f>
        <v>3</v>
      </c>
      <c r="U17" s="236">
        <f>入學要求!S242</f>
        <v>0</v>
      </c>
      <c r="V17" s="236">
        <f>入學要求!T242</f>
        <v>0</v>
      </c>
      <c r="W17" s="236">
        <f>入學要求!U242</f>
        <v>0</v>
      </c>
      <c r="X17" s="236">
        <f>入學要求!V242</f>
        <v>0</v>
      </c>
      <c r="Y17" s="236">
        <f>入學要求!W242</f>
        <v>0</v>
      </c>
      <c r="Z17" s="236">
        <f>入學要求!X242</f>
        <v>0</v>
      </c>
      <c r="AA17" s="36">
        <f t="shared" si="0"/>
        <v>3.13</v>
      </c>
      <c r="AB17" s="537"/>
      <c r="AC17" s="36" cm="1">
        <f t="array" ref="AC17">IFERROR(INDEX('Offer Statistics'!CH$2:CH$400,MATCH(1,($A17='Offer Statistics'!$BS$2:$BS$400)*($AB$2='Offer Statistics'!$BT$2:$BT$400),0)),"/")</f>
        <v>45</v>
      </c>
      <c r="AD17" s="63" cm="1">
        <f t="array" ref="AD17">IFERROR(INDEX('Offer Statistics'!CC$2:CC$400,MATCH(1,($A17='Offer Statistics'!$BS$2:$BS$400)*($AB$2='Offer Statistics'!$BT$2:$BT$400),0)),"/")</f>
        <v>45</v>
      </c>
      <c r="AE17" s="63" cm="1">
        <f t="array" ref="AE17">IFERROR(INDEX('Offer Statistics'!CD$2:CD$400,MATCH(1,($A17='Offer Statistics'!$BS$2:$BS$400)*($AB$2='Offer Statistics'!$BT$2:$BT$400),0)),"/")</f>
        <v>0</v>
      </c>
      <c r="AF17" s="63" cm="1">
        <f t="array" ref="AF17">IFERROR(INDEX('Offer Statistics'!CE$2:CE$400,MATCH(1,($A17='Offer Statistics'!$BS$2:$BS$400)*($AB$2='Offer Statistics'!$BT$2:$BT$400),0)),"/")</f>
        <v>0</v>
      </c>
      <c r="AG17" s="63" cm="1">
        <f t="array" ref="AG17">IFERROR(INDEX('Offer Statistics'!CF$2:CF$400,MATCH(1,($A17='Offer Statistics'!$BS$2:$BS$400)*($AB$2='Offer Statistics'!$BT$2:$BT$400),0)),"/")</f>
        <v>0</v>
      </c>
      <c r="AH17" s="63" cm="1">
        <f t="array" ref="AH17">IFERROR(INDEX('Offer Statistics'!CG$2:CG$400,MATCH(1,($A17='Offer Statistics'!$BS$2:$BS$400)*($AB$2='Offer Statistics'!$BT$2:$BT$400),0)),"/")</f>
        <v>0</v>
      </c>
      <c r="AI17" s="538"/>
      <c r="AJ17" s="36" cm="1">
        <f t="array" ref="AJ17">IFERROR(INDEX('Offer Statistics'!BZ$2:BZ$400,MATCH(1,($A17='Offer Statistics'!$BS$2:$BS$400)*($AB$2='Offer Statistics'!$BT$2:$BT$400),0)),"/")</f>
        <v>1215</v>
      </c>
      <c r="AK17" s="63" cm="1">
        <f t="array" ref="AK17">IFERROR(INDEX('Offer Statistics'!BU$2:BU$400,MATCH(1,($A17='Offer Statistics'!$BS$2:$BS$400)*($AB$2='Offer Statistics'!$BT$2:$BT$400),0)),"/")</f>
        <v>141</v>
      </c>
      <c r="AL17" s="63" cm="1">
        <f t="array" ref="AL17">IFERROR(INDEX('Offer Statistics'!BV$2:BV$400,MATCH(1,($A17='Offer Statistics'!$BS$2:$BS$400)*($AB$2='Offer Statistics'!$BT$2:$BT$400),0)),"/")</f>
        <v>129</v>
      </c>
      <c r="AM17" s="63" cm="1">
        <f t="array" ref="AM17">IFERROR(INDEX('Offer Statistics'!BW$2:BW$400,MATCH(1,($A17='Offer Statistics'!$BS$2:$BS$400)*($AB$2='Offer Statistics'!$BT$2:$BT$400),0)),"/")</f>
        <v>265</v>
      </c>
      <c r="AN17" s="63" cm="1">
        <f t="array" ref="AN17">IFERROR(INDEX('Offer Statistics'!BX$2:BX$400,MATCH(1,($A17='Offer Statistics'!$BS$2:$BS$400)*($AB$2='Offer Statistics'!$BT$2:$BT$400),0)),"/")</f>
        <v>373</v>
      </c>
      <c r="AO17" s="63" cm="1">
        <f t="array" ref="AO17">IFERROR(INDEX('Offer Statistics'!BY$2:BY$400,MATCH(1,($A17='Offer Statistics'!$BS$2:$BS$400)*($AB$2='Offer Statistics'!$BT$2:$BT$400),0)),"/")</f>
        <v>307</v>
      </c>
      <c r="AQ17" s="15" t="str">
        <f t="shared" si="1"/>
        <v>JS5312</v>
      </c>
    </row>
    <row r="18" spans="1:43" s="10" customFormat="1" ht="18" customHeight="1">
      <c r="A18" s="4" t="str">
        <f>'Reference Score Calculation'!B234</f>
        <v>JS5313</v>
      </c>
      <c r="B18" s="4" t="str">
        <f>'Reference Score Calculation'!D234</f>
        <v>商學院</v>
      </c>
      <c r="C18" s="4" t="str">
        <f>'Reference Score Calculation'!E234</f>
        <v>工商管理學士（環球商業管理）</v>
      </c>
      <c r="D18" s="4" t="str">
        <f>'Reference Score Calculation'!S234</f>
        <v>GBUS</v>
      </c>
      <c r="E18" s="352" t="str">
        <f>'Reference Score Calculation'!AC234</f>
        <v>英數Best3</v>
      </c>
      <c r="F18" s="450" t="str">
        <f>'Reference Score Calculation'!F234</f>
        <v>英數Best3</v>
      </c>
      <c r="G18" s="6">
        <f>'Reference Score Calculation'!I234</f>
        <v>53.44</v>
      </c>
      <c r="H18" s="6">
        <f>'Reference Score Calculation'!J234</f>
        <v>50.06</v>
      </c>
      <c r="I18" s="45">
        <f>計分版!J257</f>
        <v>3.3999999999999998E-9</v>
      </c>
      <c r="J18" s="167">
        <f>IFERROR(IF(J$1="差距(Median)",I18-G18,IF(J$1="差距(UQ)",I18-#REF!,IF(J$1="差距(LQ)",I18-H18))),"/")</f>
        <v>-53.439999996600001</v>
      </c>
      <c r="K18" s="168">
        <f>IFERROR(IF(J$1="差距(Median)",(I18-G18)/I18,IF(J$1="差距(UQ)",(I18-#REF!)/I18,IF(J$1="差距(LQ)",(I18-H18)/I18))),"/")</f>
        <v>-15717647057.82353</v>
      </c>
      <c r="L18" s="36">
        <f>'Reference Score Calculation'!U234</f>
        <v>30</v>
      </c>
      <c r="M18" s="84">
        <f>入學要求!Z243</f>
        <v>0</v>
      </c>
      <c r="N18" s="544"/>
      <c r="O18" s="166">
        <f>入學要求!L243</f>
        <v>3</v>
      </c>
      <c r="P18" s="166">
        <f>入學要求!M243</f>
        <v>4</v>
      </c>
      <c r="Q18" s="166">
        <f>入學要求!N243</f>
        <v>3</v>
      </c>
      <c r="R18" s="166">
        <f>入學要求!O243</f>
        <v>1</v>
      </c>
      <c r="S18" s="166">
        <f>入學要求!P243</f>
        <v>3</v>
      </c>
      <c r="T18" s="166">
        <f>入學要求!Q243</f>
        <v>3</v>
      </c>
      <c r="U18" s="236">
        <f>入學要求!S243</f>
        <v>0</v>
      </c>
      <c r="V18" s="236">
        <f>入學要求!T243</f>
        <v>0</v>
      </c>
      <c r="W18" s="236">
        <f>入學要求!U243</f>
        <v>0</v>
      </c>
      <c r="X18" s="236">
        <f>入學要求!V243</f>
        <v>0</v>
      </c>
      <c r="Y18" s="236">
        <f>入學要求!W243</f>
        <v>0</v>
      </c>
      <c r="Z18" s="236">
        <f>入學要求!X243</f>
        <v>0</v>
      </c>
      <c r="AA18" s="36">
        <f t="shared" si="0"/>
        <v>3.56</v>
      </c>
      <c r="AB18" s="537"/>
      <c r="AC18" s="36" cm="1">
        <f t="array" ref="AC18">IFERROR(INDEX('Offer Statistics'!CH$2:CH$400,MATCH(1,($A18='Offer Statistics'!$BS$2:$BS$400)*($AB$2='Offer Statistics'!$BT$2:$BT$400),0)),"/")</f>
        <v>18</v>
      </c>
      <c r="AD18" s="63" cm="1">
        <f t="array" ref="AD18">IFERROR(INDEX('Offer Statistics'!CC$2:CC$400,MATCH(1,($A18='Offer Statistics'!$BS$2:$BS$400)*($AB$2='Offer Statistics'!$BT$2:$BT$400),0)),"/")</f>
        <v>18</v>
      </c>
      <c r="AE18" s="63" cm="1">
        <f t="array" ref="AE18">IFERROR(INDEX('Offer Statistics'!CD$2:CD$400,MATCH(1,($A18='Offer Statistics'!$BS$2:$BS$400)*($AB$2='Offer Statistics'!$BT$2:$BT$400),0)),"/")</f>
        <v>0</v>
      </c>
      <c r="AF18" s="63" cm="1">
        <f t="array" ref="AF18">IFERROR(INDEX('Offer Statistics'!CE$2:CE$400,MATCH(1,($A18='Offer Statistics'!$BS$2:$BS$400)*($AB$2='Offer Statistics'!$BT$2:$BT$400),0)),"/")</f>
        <v>0</v>
      </c>
      <c r="AG18" s="63" cm="1">
        <f t="array" ref="AG18">IFERROR(INDEX('Offer Statistics'!CF$2:CF$400,MATCH(1,($A18='Offer Statistics'!$BS$2:$BS$400)*($AB$2='Offer Statistics'!$BT$2:$BT$400),0)),"/")</f>
        <v>0</v>
      </c>
      <c r="AH18" s="63" cm="1">
        <f t="array" ref="AH18">IFERROR(INDEX('Offer Statistics'!CG$2:CG$400,MATCH(1,($A18='Offer Statistics'!$BS$2:$BS$400)*($AB$2='Offer Statistics'!$BT$2:$BT$400),0)),"/")</f>
        <v>0</v>
      </c>
      <c r="AI18" s="538"/>
      <c r="AJ18" s="36" cm="1">
        <f t="array" ref="AJ18">IFERROR(INDEX('Offer Statistics'!BZ$2:BZ$400,MATCH(1,($A18='Offer Statistics'!$BS$2:$BS$400)*($AB$2='Offer Statistics'!$BT$2:$BT$400),0)),"/")</f>
        <v>625</v>
      </c>
      <c r="AK18" s="63" cm="1">
        <f t="array" ref="AK18">IFERROR(INDEX('Offer Statistics'!BU$2:BU$400,MATCH(1,($A18='Offer Statistics'!$BS$2:$BS$400)*($AB$2='Offer Statistics'!$BT$2:$BT$400),0)),"/")</f>
        <v>64</v>
      </c>
      <c r="AL18" s="63" cm="1">
        <f t="array" ref="AL18">IFERROR(INDEX('Offer Statistics'!BV$2:BV$400,MATCH(1,($A18='Offer Statistics'!$BS$2:$BS$400)*($AB$2='Offer Statistics'!$BT$2:$BT$400),0)),"/")</f>
        <v>37</v>
      </c>
      <c r="AM18" s="63" cm="1">
        <f t="array" ref="AM18">IFERROR(INDEX('Offer Statistics'!BW$2:BW$400,MATCH(1,($A18='Offer Statistics'!$BS$2:$BS$400)*($AB$2='Offer Statistics'!$BT$2:$BT$400),0)),"/")</f>
        <v>134</v>
      </c>
      <c r="AN18" s="63" cm="1">
        <f t="array" ref="AN18">IFERROR(INDEX('Offer Statistics'!BX$2:BX$400,MATCH(1,($A18='Offer Statistics'!$BS$2:$BS$400)*($AB$2='Offer Statistics'!$BT$2:$BT$400),0)),"/")</f>
        <v>174</v>
      </c>
      <c r="AO18" s="63" cm="1">
        <f t="array" ref="AO18">IFERROR(INDEX('Offer Statistics'!BY$2:BY$400,MATCH(1,($A18='Offer Statistics'!$BS$2:$BS$400)*($AB$2='Offer Statistics'!$BT$2:$BT$400),0)),"/")</f>
        <v>216</v>
      </c>
      <c r="AP18" s="4"/>
      <c r="AQ18" s="15" t="str">
        <f t="shared" si="1"/>
        <v>JS5313</v>
      </c>
    </row>
    <row r="19" spans="1:43" ht="18" customHeight="1">
      <c r="A19" s="4" t="str">
        <f>'Reference Score Calculation'!B235</f>
        <v>JS5314</v>
      </c>
      <c r="B19" s="4" t="str">
        <f>'Reference Score Calculation'!D235</f>
        <v>商學院</v>
      </c>
      <c r="C19" s="4" t="str">
        <f>'Reference Score Calculation'!E235</f>
        <v>工商管理學士（資訊系統學）</v>
      </c>
      <c r="D19" s="4" t="str">
        <f>'Reference Score Calculation'!S235</f>
        <v>IS</v>
      </c>
      <c r="E19" s="352" t="str">
        <f>'Reference Score Calculation'!AC235</f>
        <v>英數Best3</v>
      </c>
      <c r="F19" s="450" t="str">
        <f>'Reference Score Calculation'!F235</f>
        <v>英數Best3</v>
      </c>
      <c r="G19" s="6">
        <f>'Reference Score Calculation'!I235</f>
        <v>35.4</v>
      </c>
      <c r="H19" s="6">
        <f>'Reference Score Calculation'!J235</f>
        <v>34</v>
      </c>
      <c r="I19" s="45">
        <f>計分版!J258</f>
        <v>3.3999999999999998E-9</v>
      </c>
      <c r="J19" s="167">
        <f>IFERROR(IF(J$1="差距(Median)",I19-G19,IF(J$1="差距(UQ)",I19-#REF!,IF(J$1="差距(LQ)",I19-H19))),"/")</f>
        <v>-35.399999996600002</v>
      </c>
      <c r="K19" s="168">
        <f>IFERROR(IF(J$1="差距(Median)",(I19-G19)/I19,IF(J$1="差距(UQ)",(I19-#REF!)/I19,IF(J$1="差距(LQ)",(I19-H19)/I19))),"/")</f>
        <v>-10411764704.882355</v>
      </c>
      <c r="L19" s="538" t="str">
        <f>'Reference Score Calculation'!U235</f>
        <v>125*</v>
      </c>
      <c r="M19" s="84">
        <f>入學要求!Z244</f>
        <v>0</v>
      </c>
      <c r="N19" s="544"/>
      <c r="O19" s="166">
        <f>入學要求!L244</f>
        <v>3</v>
      </c>
      <c r="P19" s="166">
        <f>入學要求!M244</f>
        <v>4</v>
      </c>
      <c r="Q19" s="166">
        <f>入學要求!N244</f>
        <v>3</v>
      </c>
      <c r="R19" s="166">
        <f>入學要求!O244</f>
        <v>1</v>
      </c>
      <c r="S19" s="166">
        <f>入學要求!P244</f>
        <v>3</v>
      </c>
      <c r="T19" s="166">
        <f>入學要求!Q244</f>
        <v>3</v>
      </c>
      <c r="U19" s="236">
        <f>入學要求!S244</f>
        <v>0</v>
      </c>
      <c r="V19" s="236">
        <f>入學要求!T244</f>
        <v>0</v>
      </c>
      <c r="W19" s="236">
        <f>入學要求!U244</f>
        <v>0</v>
      </c>
      <c r="X19" s="236">
        <f>入學要求!V244</f>
        <v>0</v>
      </c>
      <c r="Y19" s="236">
        <f>入學要求!W244</f>
        <v>0</v>
      </c>
      <c r="Z19" s="236">
        <f>入學要求!X244</f>
        <v>0</v>
      </c>
      <c r="AA19" s="36">
        <f t="shared" si="0"/>
        <v>3.07</v>
      </c>
      <c r="AB19" s="537"/>
      <c r="AC19" s="36" cm="1">
        <f t="array" ref="AC19">IFERROR(INDEX('Offer Statistics'!CH$2:CH$400,MATCH(1,($A19='Offer Statistics'!$BS$2:$BS$400)*($AB$2='Offer Statistics'!$BT$2:$BT$400),0)),"/")</f>
        <v>30</v>
      </c>
      <c r="AD19" s="63" cm="1">
        <f t="array" ref="AD19">IFERROR(INDEX('Offer Statistics'!CC$2:CC$400,MATCH(1,($A19='Offer Statistics'!$BS$2:$BS$400)*($AB$2='Offer Statistics'!$BT$2:$BT$400),0)),"/")</f>
        <v>30</v>
      </c>
      <c r="AE19" s="63" cm="1">
        <f t="array" ref="AE19">IFERROR(INDEX('Offer Statistics'!CD$2:CD$400,MATCH(1,($A19='Offer Statistics'!$BS$2:$BS$400)*($AB$2='Offer Statistics'!$BT$2:$BT$400),0)),"/")</f>
        <v>0</v>
      </c>
      <c r="AF19" s="63" cm="1">
        <f t="array" ref="AF19">IFERROR(INDEX('Offer Statistics'!CE$2:CE$400,MATCH(1,($A19='Offer Statistics'!$BS$2:$BS$400)*($AB$2='Offer Statistics'!$BT$2:$BT$400),0)),"/")</f>
        <v>0</v>
      </c>
      <c r="AG19" s="63" cm="1">
        <f t="array" ref="AG19">IFERROR(INDEX('Offer Statistics'!CF$2:CF$400,MATCH(1,($A19='Offer Statistics'!$BS$2:$BS$400)*($AB$2='Offer Statistics'!$BT$2:$BT$400),0)),"/")</f>
        <v>0</v>
      </c>
      <c r="AH19" s="63" cm="1">
        <f t="array" ref="AH19">IFERROR(INDEX('Offer Statistics'!CG$2:CG$400,MATCH(1,($A19='Offer Statistics'!$BS$2:$BS$400)*($AB$2='Offer Statistics'!$BT$2:$BT$400),0)),"/")</f>
        <v>0</v>
      </c>
      <c r="AI19" s="538"/>
      <c r="AJ19" s="36" cm="1">
        <f t="array" ref="AJ19">IFERROR(INDEX('Offer Statistics'!BZ$2:BZ$400,MATCH(1,($A19='Offer Statistics'!$BS$2:$BS$400)*($AB$2='Offer Statistics'!$BT$2:$BT$400),0)),"/")</f>
        <v>680</v>
      </c>
      <c r="AK19" s="63" cm="1">
        <f t="array" ref="AK19">IFERROR(INDEX('Offer Statistics'!BU$2:BU$400,MATCH(1,($A19='Offer Statistics'!$BS$2:$BS$400)*($AB$2='Offer Statistics'!$BT$2:$BT$400),0)),"/")</f>
        <v>92</v>
      </c>
      <c r="AL19" s="63" cm="1">
        <f t="array" ref="AL19">IFERROR(INDEX('Offer Statistics'!BV$2:BV$400,MATCH(1,($A19='Offer Statistics'!$BS$2:$BS$400)*($AB$2='Offer Statistics'!$BT$2:$BT$400),0)),"/")</f>
        <v>63</v>
      </c>
      <c r="AM19" s="63" cm="1">
        <f t="array" ref="AM19">IFERROR(INDEX('Offer Statistics'!BW$2:BW$400,MATCH(1,($A19='Offer Statistics'!$BS$2:$BS$400)*($AB$2='Offer Statistics'!$BT$2:$BT$400),0)),"/")</f>
        <v>128</v>
      </c>
      <c r="AN19" s="63" cm="1">
        <f t="array" ref="AN19">IFERROR(INDEX('Offer Statistics'!BX$2:BX$400,MATCH(1,($A19='Offer Statistics'!$BS$2:$BS$400)*($AB$2='Offer Statistics'!$BT$2:$BT$400),0)),"/")</f>
        <v>207</v>
      </c>
      <c r="AO19" s="63" cm="1">
        <f t="array" ref="AO19">IFERROR(INDEX('Offer Statistics'!BY$2:BY$400,MATCH(1,($A19='Offer Statistics'!$BS$2:$BS$400)*($AB$2='Offer Statistics'!$BT$2:$BT$400),0)),"/")</f>
        <v>190</v>
      </c>
      <c r="AQ19" s="15" t="str">
        <f t="shared" si="1"/>
        <v>JS5314</v>
      </c>
    </row>
    <row r="20" spans="1:43" s="10" customFormat="1" ht="18" customHeight="1">
      <c r="A20" s="4" t="str">
        <f>'Reference Score Calculation'!B236</f>
        <v>JS5315</v>
      </c>
      <c r="B20" s="4" t="str">
        <f>'Reference Score Calculation'!D236</f>
        <v>商學院</v>
      </c>
      <c r="C20" s="4" t="str">
        <f>'Reference Score Calculation'!E236</f>
        <v>工商管理學士（管理學）</v>
      </c>
      <c r="D20" s="4" t="str">
        <f>'Reference Score Calculation'!S236</f>
        <v>MGMT</v>
      </c>
      <c r="E20" s="352" t="str">
        <f>'Reference Score Calculation'!AC236</f>
        <v>英數Best3</v>
      </c>
      <c r="F20" s="450" t="str">
        <f>'Reference Score Calculation'!F236</f>
        <v>英數Best3</v>
      </c>
      <c r="G20" s="6">
        <f>'Reference Score Calculation'!I236</f>
        <v>33.549999999999997</v>
      </c>
      <c r="H20" s="6">
        <f>'Reference Score Calculation'!J236</f>
        <v>32.04</v>
      </c>
      <c r="I20" s="45">
        <f>計分版!J259</f>
        <v>3.3999999999999998E-9</v>
      </c>
      <c r="J20" s="167">
        <f>IFERROR(IF(J$1="差距(Median)",I20-G20,IF(J$1="差距(UQ)",I20-#REF!,IF(J$1="差距(LQ)",I20-H20))),"/")</f>
        <v>-33.5499999966</v>
      </c>
      <c r="K20" s="168">
        <f>IFERROR(IF(J$1="差距(Median)",(I20-G20)/I20,IF(J$1="差距(UQ)",(I20-#REF!)/I20,IF(J$1="差距(LQ)",(I20-H20)/I20))),"/")</f>
        <v>-9867647057.8235302</v>
      </c>
      <c r="L20" s="538"/>
      <c r="M20" s="84">
        <f>入學要求!Z245</f>
        <v>0</v>
      </c>
      <c r="N20" s="544"/>
      <c r="O20" s="166">
        <f>入學要求!L245</f>
        <v>3</v>
      </c>
      <c r="P20" s="166">
        <f>入學要求!M245</f>
        <v>4</v>
      </c>
      <c r="Q20" s="166">
        <f>入學要求!N245</f>
        <v>3</v>
      </c>
      <c r="R20" s="166">
        <f>入學要求!O245</f>
        <v>1</v>
      </c>
      <c r="S20" s="166">
        <f>入學要求!P245</f>
        <v>3</v>
      </c>
      <c r="T20" s="166">
        <f>入學要求!Q245</f>
        <v>3</v>
      </c>
      <c r="U20" s="236">
        <f>入學要求!S245</f>
        <v>0</v>
      </c>
      <c r="V20" s="236">
        <f>入學要求!T245</f>
        <v>0</v>
      </c>
      <c r="W20" s="236">
        <f>入學要求!U245</f>
        <v>0</v>
      </c>
      <c r="X20" s="236">
        <f>入學要求!V245</f>
        <v>0</v>
      </c>
      <c r="Y20" s="236">
        <f>入學要求!W245</f>
        <v>0</v>
      </c>
      <c r="Z20" s="236">
        <f>入學要求!X245</f>
        <v>0</v>
      </c>
      <c r="AA20" s="36">
        <f t="shared" si="0"/>
        <v>2.79</v>
      </c>
      <c r="AB20" s="537"/>
      <c r="AC20" s="36" cm="1">
        <f t="array" ref="AC20">IFERROR(INDEX('Offer Statistics'!CH$2:CH$400,MATCH(1,($A20='Offer Statistics'!$BS$2:$BS$400)*($AB$2='Offer Statistics'!$BT$2:$BT$400),0)),"/")</f>
        <v>24</v>
      </c>
      <c r="AD20" s="63" cm="1">
        <f t="array" ref="AD20">IFERROR(INDEX('Offer Statistics'!CC$2:CC$400,MATCH(1,($A20='Offer Statistics'!$BS$2:$BS$400)*($AB$2='Offer Statistics'!$BT$2:$BT$400),0)),"/")</f>
        <v>24</v>
      </c>
      <c r="AE20" s="63" cm="1">
        <f t="array" ref="AE20">IFERROR(INDEX('Offer Statistics'!CD$2:CD$400,MATCH(1,($A20='Offer Statistics'!$BS$2:$BS$400)*($AB$2='Offer Statistics'!$BT$2:$BT$400),0)),"/")</f>
        <v>0</v>
      </c>
      <c r="AF20" s="63" cm="1">
        <f t="array" ref="AF20">IFERROR(INDEX('Offer Statistics'!CE$2:CE$400,MATCH(1,($A20='Offer Statistics'!$BS$2:$BS$400)*($AB$2='Offer Statistics'!$BT$2:$BT$400),0)),"/")</f>
        <v>0</v>
      </c>
      <c r="AG20" s="63" cm="1">
        <f t="array" ref="AG20">IFERROR(INDEX('Offer Statistics'!CF$2:CF$400,MATCH(1,($A20='Offer Statistics'!$BS$2:$BS$400)*($AB$2='Offer Statistics'!$BT$2:$BT$400),0)),"/")</f>
        <v>0</v>
      </c>
      <c r="AH20" s="63" cm="1">
        <f t="array" ref="AH20">IFERROR(INDEX('Offer Statistics'!CG$2:CG$400,MATCH(1,($A20='Offer Statistics'!$BS$2:$BS$400)*($AB$2='Offer Statistics'!$BT$2:$BT$400),0)),"/")</f>
        <v>0</v>
      </c>
      <c r="AI20" s="538"/>
      <c r="AJ20" s="36" cm="1">
        <f t="array" ref="AJ20">IFERROR(INDEX('Offer Statistics'!BZ$2:BZ$400,MATCH(1,($A20='Offer Statistics'!$BS$2:$BS$400)*($AB$2='Offer Statistics'!$BT$2:$BT$400),0)),"/")</f>
        <v>1406</v>
      </c>
      <c r="AK20" s="63" cm="1">
        <f t="array" ref="AK20">IFERROR(INDEX('Offer Statistics'!BU$2:BU$400,MATCH(1,($A20='Offer Statistics'!$BS$2:$BS$400)*($AB$2='Offer Statistics'!$BT$2:$BT$400),0)),"/")</f>
        <v>67</v>
      </c>
      <c r="AL20" s="63" cm="1">
        <f t="array" ref="AL20">IFERROR(INDEX('Offer Statistics'!BV$2:BV$400,MATCH(1,($A20='Offer Statistics'!$BS$2:$BS$400)*($AB$2='Offer Statistics'!$BT$2:$BT$400),0)),"/")</f>
        <v>146</v>
      </c>
      <c r="AM20" s="63" cm="1">
        <f t="array" ref="AM20">IFERROR(INDEX('Offer Statistics'!BW$2:BW$400,MATCH(1,($A20='Offer Statistics'!$BS$2:$BS$400)*($AB$2='Offer Statistics'!$BT$2:$BT$400),0)),"/")</f>
        <v>287</v>
      </c>
      <c r="AN20" s="63" cm="1">
        <f t="array" ref="AN20">IFERROR(INDEX('Offer Statistics'!BX$2:BX$400,MATCH(1,($A20='Offer Statistics'!$BS$2:$BS$400)*($AB$2='Offer Statistics'!$BT$2:$BT$400),0)),"/")</f>
        <v>477</v>
      </c>
      <c r="AO20" s="63" cm="1">
        <f t="array" ref="AO20">IFERROR(INDEX('Offer Statistics'!BY$2:BY$400,MATCH(1,($A20='Offer Statistics'!$BS$2:$BS$400)*($AB$2='Offer Statistics'!$BT$2:$BT$400),0)),"/")</f>
        <v>429</v>
      </c>
      <c r="AP20" s="4"/>
      <c r="AQ20" s="15" t="str">
        <f t="shared" si="1"/>
        <v>JS5315</v>
      </c>
    </row>
    <row r="21" spans="1:43" ht="18" customHeight="1">
      <c r="A21" s="4" t="str">
        <f>'Reference Score Calculation'!B237</f>
        <v>JS5316</v>
      </c>
      <c r="B21" s="4" t="str">
        <f>'Reference Score Calculation'!D237</f>
        <v>商學院</v>
      </c>
      <c r="C21" s="4" t="str">
        <f>'Reference Score Calculation'!E237</f>
        <v>工商管理學士（市場學）</v>
      </c>
      <c r="D21" s="4" t="str">
        <f>'Reference Score Calculation'!S237</f>
        <v>MARK</v>
      </c>
      <c r="E21" s="352" t="str">
        <f>'Reference Score Calculation'!AC237</f>
        <v>英數Best3</v>
      </c>
      <c r="F21" s="450" t="str">
        <f>'Reference Score Calculation'!F237</f>
        <v>英數Best3</v>
      </c>
      <c r="G21" s="6">
        <f>'Reference Score Calculation'!I237</f>
        <v>32.5</v>
      </c>
      <c r="H21" s="6">
        <f>'Reference Score Calculation'!J237</f>
        <v>32.049999999999997</v>
      </c>
      <c r="I21" s="45">
        <f>計分版!J260</f>
        <v>3.3999999999999998E-9</v>
      </c>
      <c r="J21" s="167">
        <f>IFERROR(IF(J$1="差距(Median)",I21-G21,IF(J$1="差距(UQ)",I21-#REF!,IF(J$1="差距(LQ)",I21-H21))),"/")</f>
        <v>-32.499999996600003</v>
      </c>
      <c r="K21" s="168">
        <f>IFERROR(IF(J$1="差距(Median)",(I21-G21)/I21,IF(J$1="差距(UQ)",(I21-#REF!)/I21,IF(J$1="差距(LQ)",(I21-H21)/I21))),"/")</f>
        <v>-9558823528.4117661</v>
      </c>
      <c r="L21" s="538"/>
      <c r="M21" s="84">
        <f>入學要求!Z246</f>
        <v>0</v>
      </c>
      <c r="N21" s="544"/>
      <c r="O21" s="166">
        <f>入學要求!L246</f>
        <v>3</v>
      </c>
      <c r="P21" s="166">
        <f>入學要求!M246</f>
        <v>4</v>
      </c>
      <c r="Q21" s="166">
        <f>入學要求!N246</f>
        <v>3</v>
      </c>
      <c r="R21" s="166">
        <f>入學要求!O246</f>
        <v>1</v>
      </c>
      <c r="S21" s="166">
        <f>入學要求!P246</f>
        <v>3</v>
      </c>
      <c r="T21" s="166">
        <f>入學要求!Q246</f>
        <v>3</v>
      </c>
      <c r="U21" s="236">
        <f>入學要求!S246</f>
        <v>0</v>
      </c>
      <c r="V21" s="236">
        <f>入學要求!T246</f>
        <v>0</v>
      </c>
      <c r="W21" s="236">
        <f>入學要求!U246</f>
        <v>0</v>
      </c>
      <c r="X21" s="236">
        <f>入學要求!V246</f>
        <v>0</v>
      </c>
      <c r="Y21" s="236">
        <f>入學要求!W246</f>
        <v>0</v>
      </c>
      <c r="Z21" s="236">
        <f>入學要求!X246</f>
        <v>0</v>
      </c>
      <c r="AA21" s="36">
        <f t="shared" si="0"/>
        <v>4.29</v>
      </c>
      <c r="AB21" s="537"/>
      <c r="AC21" s="36" cm="1">
        <f t="array" ref="AC21">IFERROR(INDEX('Offer Statistics'!CH$2:CH$400,MATCH(1,($A21='Offer Statistics'!$BS$2:$BS$400)*($AB$2='Offer Statistics'!$BT$2:$BT$400),0)),"/")</f>
        <v>17</v>
      </c>
      <c r="AD21" s="63" cm="1">
        <f t="array" ref="AD21">IFERROR(INDEX('Offer Statistics'!CC$2:CC$400,MATCH(1,($A21='Offer Statistics'!$BS$2:$BS$400)*($AB$2='Offer Statistics'!$BT$2:$BT$400),0)),"/")</f>
        <v>17</v>
      </c>
      <c r="AE21" s="63" cm="1">
        <f t="array" ref="AE21">IFERROR(INDEX('Offer Statistics'!CD$2:CD$400,MATCH(1,($A21='Offer Statistics'!$BS$2:$BS$400)*($AB$2='Offer Statistics'!$BT$2:$BT$400),0)),"/")</f>
        <v>0</v>
      </c>
      <c r="AF21" s="63" cm="1">
        <f t="array" ref="AF21">IFERROR(INDEX('Offer Statistics'!CE$2:CE$400,MATCH(1,($A21='Offer Statistics'!$BS$2:$BS$400)*($AB$2='Offer Statistics'!$BT$2:$BT$400),0)),"/")</f>
        <v>0</v>
      </c>
      <c r="AG21" s="63" cm="1">
        <f t="array" ref="AG21">IFERROR(INDEX('Offer Statistics'!CF$2:CF$400,MATCH(1,($A21='Offer Statistics'!$BS$2:$BS$400)*($AB$2='Offer Statistics'!$BT$2:$BT$400),0)),"/")</f>
        <v>0</v>
      </c>
      <c r="AH21" s="63" cm="1">
        <f t="array" ref="AH21">IFERROR(INDEX('Offer Statistics'!CG$2:CG$400,MATCH(1,($A21='Offer Statistics'!$BS$2:$BS$400)*($AB$2='Offer Statistics'!$BT$2:$BT$400),0)),"/")</f>
        <v>0</v>
      </c>
      <c r="AI21" s="538"/>
      <c r="AJ21" s="36" cm="1">
        <f t="array" ref="AJ21">IFERROR(INDEX('Offer Statistics'!BZ$2:BZ$400,MATCH(1,($A21='Offer Statistics'!$BS$2:$BS$400)*($AB$2='Offer Statistics'!$BT$2:$BT$400),0)),"/")</f>
        <v>1521</v>
      </c>
      <c r="AK21" s="63" cm="1">
        <f t="array" ref="AK21">IFERROR(INDEX('Offer Statistics'!BU$2:BU$400,MATCH(1,($A21='Offer Statistics'!$BS$2:$BS$400)*($AB$2='Offer Statistics'!$BT$2:$BT$400),0)),"/")</f>
        <v>73</v>
      </c>
      <c r="AL21" s="63" cm="1">
        <f t="array" ref="AL21">IFERROR(INDEX('Offer Statistics'!BV$2:BV$400,MATCH(1,($A21='Offer Statistics'!$BS$2:$BS$400)*($AB$2='Offer Statistics'!$BT$2:$BT$400),0)),"/")</f>
        <v>146</v>
      </c>
      <c r="AM21" s="63" cm="1">
        <f t="array" ref="AM21">IFERROR(INDEX('Offer Statistics'!BW$2:BW$400,MATCH(1,($A21='Offer Statistics'!$BS$2:$BS$400)*($AB$2='Offer Statistics'!$BT$2:$BT$400),0)),"/")</f>
        <v>302</v>
      </c>
      <c r="AN21" s="63" cm="1">
        <f t="array" ref="AN21">IFERROR(INDEX('Offer Statistics'!BX$2:BX$400,MATCH(1,($A21='Offer Statistics'!$BS$2:$BS$400)*($AB$2='Offer Statistics'!$BT$2:$BT$400),0)),"/")</f>
        <v>548</v>
      </c>
      <c r="AO21" s="63" cm="1">
        <f t="array" ref="AO21">IFERROR(INDEX('Offer Statistics'!BY$2:BY$400,MATCH(1,($A21='Offer Statistics'!$BS$2:$BS$400)*($AB$2='Offer Statistics'!$BT$2:$BT$400),0)),"/")</f>
        <v>452</v>
      </c>
      <c r="AQ21" s="15" t="str">
        <f t="shared" si="1"/>
        <v>JS5316</v>
      </c>
    </row>
    <row r="22" spans="1:43" s="10" customFormat="1" ht="18" customHeight="1">
      <c r="A22" s="4" t="str">
        <f>'Reference Score Calculation'!B238</f>
        <v>JS5317</v>
      </c>
      <c r="B22" s="4" t="str">
        <f>'Reference Score Calculation'!D238</f>
        <v>商學院</v>
      </c>
      <c r="C22" s="4" t="str">
        <f>'Reference Score Calculation'!E238</f>
        <v>工商管理學士（營運管理學）</v>
      </c>
      <c r="D22" s="4" t="str">
        <f>'Reference Score Calculation'!S238</f>
        <v>OM</v>
      </c>
      <c r="E22" s="352" t="str">
        <f>'Reference Score Calculation'!AC238</f>
        <v>英數Best3</v>
      </c>
      <c r="F22" s="450" t="str">
        <f>'Reference Score Calculation'!F238</f>
        <v>英數Best3</v>
      </c>
      <c r="G22" s="6">
        <f>'Reference Score Calculation'!I238</f>
        <v>32.479999999999997</v>
      </c>
      <c r="H22" s="6">
        <f>'Reference Score Calculation'!J238</f>
        <v>31.3</v>
      </c>
      <c r="I22" s="45">
        <f>計分版!J261</f>
        <v>3.3999999999999998E-9</v>
      </c>
      <c r="J22" s="167">
        <f>IFERROR(IF(J$1="差距(Median)",I22-G22,IF(J$1="差距(UQ)",I22-#REF!,IF(J$1="差距(LQ)",I22-H22))),"/")</f>
        <v>-32.4799999966</v>
      </c>
      <c r="K22" s="168">
        <f>IFERROR(IF(J$1="差距(Median)",(I22-G22)/I22,IF(J$1="差距(UQ)",(I22-#REF!)/I22,IF(J$1="差距(LQ)",(I22-H22)/I22))),"/")</f>
        <v>-9552941175.4705887</v>
      </c>
      <c r="L22" s="538"/>
      <c r="M22" s="84">
        <f>入學要求!Z247</f>
        <v>0</v>
      </c>
      <c r="N22" s="544"/>
      <c r="O22" s="166">
        <f>入學要求!L247</f>
        <v>3</v>
      </c>
      <c r="P22" s="166">
        <f>入學要求!M247</f>
        <v>4</v>
      </c>
      <c r="Q22" s="166">
        <f>入學要求!N247</f>
        <v>3</v>
      </c>
      <c r="R22" s="166">
        <f>入學要求!O247</f>
        <v>1</v>
      </c>
      <c r="S22" s="166">
        <f>入學要求!P247</f>
        <v>3</v>
      </c>
      <c r="T22" s="166">
        <f>入學要求!Q247</f>
        <v>3</v>
      </c>
      <c r="U22" s="236">
        <f>入學要求!S247</f>
        <v>0</v>
      </c>
      <c r="V22" s="236">
        <f>入學要求!T247</f>
        <v>0</v>
      </c>
      <c r="W22" s="236">
        <f>入學要求!U247</f>
        <v>0</v>
      </c>
      <c r="X22" s="236">
        <f>入學要求!V247</f>
        <v>0</v>
      </c>
      <c r="Y22" s="236">
        <f>入學要求!W247</f>
        <v>0</v>
      </c>
      <c r="Z22" s="236">
        <f>入學要求!X247</f>
        <v>0</v>
      </c>
      <c r="AA22" s="36">
        <f t="shared" si="0"/>
        <v>2.8</v>
      </c>
      <c r="AB22" s="537"/>
      <c r="AC22" s="36" cm="1">
        <f t="array" ref="AC22">IFERROR(INDEX('Offer Statistics'!CH$2:CH$400,MATCH(1,($A22='Offer Statistics'!$BS$2:$BS$400)*($AB$2='Offer Statistics'!$BT$2:$BT$400),0)),"/")</f>
        <v>10</v>
      </c>
      <c r="AD22" s="63" cm="1">
        <f t="array" ref="AD22">IFERROR(INDEX('Offer Statistics'!CC$2:CC$400,MATCH(1,($A22='Offer Statistics'!$BS$2:$BS$400)*($AB$2='Offer Statistics'!$BT$2:$BT$400),0)),"/")</f>
        <v>10</v>
      </c>
      <c r="AE22" s="63" cm="1">
        <f t="array" ref="AE22">IFERROR(INDEX('Offer Statistics'!CD$2:CD$400,MATCH(1,($A22='Offer Statistics'!$BS$2:$BS$400)*($AB$2='Offer Statistics'!$BT$2:$BT$400),0)),"/")</f>
        <v>0</v>
      </c>
      <c r="AF22" s="63" cm="1">
        <f t="array" ref="AF22">IFERROR(INDEX('Offer Statistics'!CE$2:CE$400,MATCH(1,($A22='Offer Statistics'!$BS$2:$BS$400)*($AB$2='Offer Statistics'!$BT$2:$BT$400),0)),"/")</f>
        <v>0</v>
      </c>
      <c r="AG22" s="63" cm="1">
        <f t="array" ref="AG22">IFERROR(INDEX('Offer Statistics'!CF$2:CF$400,MATCH(1,($A22='Offer Statistics'!$BS$2:$BS$400)*($AB$2='Offer Statistics'!$BT$2:$BT$400),0)),"/")</f>
        <v>0</v>
      </c>
      <c r="AH22" s="63" cm="1">
        <f t="array" ref="AH22">IFERROR(INDEX('Offer Statistics'!CG$2:CG$400,MATCH(1,($A22='Offer Statistics'!$BS$2:$BS$400)*($AB$2='Offer Statistics'!$BT$2:$BT$400),0)),"/")</f>
        <v>0</v>
      </c>
      <c r="AI22" s="538"/>
      <c r="AJ22" s="36" cm="1">
        <f t="array" ref="AJ22">IFERROR(INDEX('Offer Statistics'!BZ$2:BZ$400,MATCH(1,($A22='Offer Statistics'!$BS$2:$BS$400)*($AB$2='Offer Statistics'!$BT$2:$BT$400),0)),"/")</f>
        <v>606</v>
      </c>
      <c r="AK22" s="63" cm="1">
        <f t="array" ref="AK22">IFERROR(INDEX('Offer Statistics'!BU$2:BU$400,MATCH(1,($A22='Offer Statistics'!$BS$2:$BS$400)*($AB$2='Offer Statistics'!$BT$2:$BT$400),0)),"/")</f>
        <v>28</v>
      </c>
      <c r="AL22" s="63" cm="1">
        <f t="array" ref="AL22">IFERROR(INDEX('Offer Statistics'!BV$2:BV$400,MATCH(1,($A22='Offer Statistics'!$BS$2:$BS$400)*($AB$2='Offer Statistics'!$BT$2:$BT$400),0)),"/")</f>
        <v>47</v>
      </c>
      <c r="AM22" s="63" cm="1">
        <f t="array" ref="AM22">IFERROR(INDEX('Offer Statistics'!BW$2:BW$400,MATCH(1,($A22='Offer Statistics'!$BS$2:$BS$400)*($AB$2='Offer Statistics'!$BT$2:$BT$400),0)),"/")</f>
        <v>123</v>
      </c>
      <c r="AN22" s="63" cm="1">
        <f t="array" ref="AN22">IFERROR(INDEX('Offer Statistics'!BX$2:BX$400,MATCH(1,($A22='Offer Statistics'!$BS$2:$BS$400)*($AB$2='Offer Statistics'!$BT$2:$BT$400),0)),"/")</f>
        <v>216</v>
      </c>
      <c r="AO22" s="63" cm="1">
        <f t="array" ref="AO22">IFERROR(INDEX('Offer Statistics'!BY$2:BY$400,MATCH(1,($A22='Offer Statistics'!$BS$2:$BS$400)*($AB$2='Offer Statistics'!$BT$2:$BT$400),0)),"/")</f>
        <v>192</v>
      </c>
      <c r="AP22" s="4"/>
      <c r="AQ22" s="15" t="str">
        <f t="shared" si="1"/>
        <v>JS5317</v>
      </c>
    </row>
    <row r="23" spans="1:43" ht="18" customHeight="1">
      <c r="A23" s="4" t="str">
        <f>'Reference Score Calculation'!B239</f>
        <v>JS5318</v>
      </c>
      <c r="B23" s="4" t="str">
        <f>'Reference Score Calculation'!D239</f>
        <v>商學院</v>
      </c>
      <c r="C23" s="4" t="str">
        <f>'Reference Score Calculation'!E239</f>
        <v>工商管理學士（專業會計學）</v>
      </c>
      <c r="D23" s="4" t="str">
        <f>'Reference Score Calculation'!S239</f>
        <v>ACCT</v>
      </c>
      <c r="E23" s="352" t="str">
        <f>'Reference Score Calculation'!AC239</f>
        <v>英數Best3</v>
      </c>
      <c r="F23" s="450" t="str">
        <f>'Reference Score Calculation'!F239</f>
        <v>英數Best3</v>
      </c>
      <c r="G23" s="6">
        <f>'Reference Score Calculation'!I239</f>
        <v>32.4</v>
      </c>
      <c r="H23" s="6">
        <f>'Reference Score Calculation'!J239</f>
        <v>31.93</v>
      </c>
      <c r="I23" s="45">
        <f>計分版!J262</f>
        <v>3.3999999999999998E-9</v>
      </c>
      <c r="J23" s="167">
        <f>IFERROR(IF(J$1="差距(Median)",I23-G23,IF(J$1="差距(UQ)",I23-#REF!,IF(J$1="差距(LQ)",I23-H23))),"/")</f>
        <v>-32.399999996600002</v>
      </c>
      <c r="K23" s="168">
        <f>IFERROR(IF(J$1="差距(Median)",(I23-G23)/I23,IF(J$1="差距(UQ)",(I23-#REF!)/I23,IF(J$1="差距(LQ)",(I23-H23)/I23))),"/")</f>
        <v>-9529411763.705883</v>
      </c>
      <c r="L23" s="36">
        <f>'Reference Score Calculation'!U239</f>
        <v>60</v>
      </c>
      <c r="M23" s="84">
        <f>入學要求!Z248</f>
        <v>0</v>
      </c>
      <c r="N23" s="544"/>
      <c r="O23" s="166">
        <f>入學要求!L248</f>
        <v>3</v>
      </c>
      <c r="P23" s="166">
        <f>入學要求!M248</f>
        <v>4</v>
      </c>
      <c r="Q23" s="166">
        <f>入學要求!N248</f>
        <v>3</v>
      </c>
      <c r="R23" s="166">
        <f>入學要求!O248</f>
        <v>1</v>
      </c>
      <c r="S23" s="166">
        <f>入學要求!P248</f>
        <v>3</v>
      </c>
      <c r="T23" s="166">
        <f>入學要求!Q248</f>
        <v>3</v>
      </c>
      <c r="U23" s="236">
        <f>入學要求!S248</f>
        <v>0</v>
      </c>
      <c r="V23" s="236">
        <f>入學要求!T248</f>
        <v>0</v>
      </c>
      <c r="W23" s="236">
        <f>入學要求!U248</f>
        <v>0</v>
      </c>
      <c r="X23" s="236">
        <f>入學要求!V248</f>
        <v>0</v>
      </c>
      <c r="Y23" s="236">
        <f>入學要求!W248</f>
        <v>0</v>
      </c>
      <c r="Z23" s="236">
        <f>入學要求!X248</f>
        <v>0</v>
      </c>
      <c r="AA23" s="36">
        <f t="shared" si="0"/>
        <v>3.09</v>
      </c>
      <c r="AB23" s="537"/>
      <c r="AC23" s="36" cm="1">
        <f t="array" ref="AC23">IFERROR(INDEX('Offer Statistics'!CH$2:CH$400,MATCH(1,($A23='Offer Statistics'!$BS$2:$BS$400)*($AB$2='Offer Statistics'!$BT$2:$BT$400),0)),"/")</f>
        <v>56</v>
      </c>
      <c r="AD23" s="63" cm="1">
        <f t="array" ref="AD23">IFERROR(INDEX('Offer Statistics'!CC$2:CC$400,MATCH(1,($A23='Offer Statistics'!$BS$2:$BS$400)*($AB$2='Offer Statistics'!$BT$2:$BT$400),0)),"/")</f>
        <v>56</v>
      </c>
      <c r="AE23" s="63" cm="1">
        <f t="array" ref="AE23">IFERROR(INDEX('Offer Statistics'!CD$2:CD$400,MATCH(1,($A23='Offer Statistics'!$BS$2:$BS$400)*($AB$2='Offer Statistics'!$BT$2:$BT$400),0)),"/")</f>
        <v>0</v>
      </c>
      <c r="AF23" s="63" cm="1">
        <f t="array" ref="AF23">IFERROR(INDEX('Offer Statistics'!CE$2:CE$400,MATCH(1,($A23='Offer Statistics'!$BS$2:$BS$400)*($AB$2='Offer Statistics'!$BT$2:$BT$400),0)),"/")</f>
        <v>0</v>
      </c>
      <c r="AG23" s="63" cm="1">
        <f t="array" ref="AG23">IFERROR(INDEX('Offer Statistics'!CF$2:CF$400,MATCH(1,($A23='Offer Statistics'!$BS$2:$BS$400)*($AB$2='Offer Statistics'!$BT$2:$BT$400),0)),"/")</f>
        <v>0</v>
      </c>
      <c r="AH23" s="63" cm="1">
        <f t="array" ref="AH23">IFERROR(INDEX('Offer Statistics'!CG$2:CG$400,MATCH(1,($A23='Offer Statistics'!$BS$2:$BS$400)*($AB$2='Offer Statistics'!$BT$2:$BT$400),0)),"/")</f>
        <v>0</v>
      </c>
      <c r="AI23" s="538"/>
      <c r="AJ23" s="36" cm="1">
        <f t="array" ref="AJ23">IFERROR(INDEX('Offer Statistics'!BZ$2:BZ$400,MATCH(1,($A23='Offer Statistics'!$BS$2:$BS$400)*($AB$2='Offer Statistics'!$BT$2:$BT$400),0)),"/")</f>
        <v>1191</v>
      </c>
      <c r="AK23" s="63" cm="1">
        <f t="array" ref="AK23">IFERROR(INDEX('Offer Statistics'!BU$2:BU$400,MATCH(1,($A23='Offer Statistics'!$BS$2:$BS$400)*($AB$2='Offer Statistics'!$BT$2:$BT$400),0)),"/")</f>
        <v>173</v>
      </c>
      <c r="AL23" s="63" cm="1">
        <f t="array" ref="AL23">IFERROR(INDEX('Offer Statistics'!BV$2:BV$400,MATCH(1,($A23='Offer Statistics'!$BS$2:$BS$400)*($AB$2='Offer Statistics'!$BT$2:$BT$400),0)),"/")</f>
        <v>168</v>
      </c>
      <c r="AM23" s="63" cm="1">
        <f t="array" ref="AM23">IFERROR(INDEX('Offer Statistics'!BW$2:BW$400,MATCH(1,($A23='Offer Statistics'!$BS$2:$BS$400)*($AB$2='Offer Statistics'!$BT$2:$BT$400),0)),"/")</f>
        <v>259</v>
      </c>
      <c r="AN23" s="63" cm="1">
        <f t="array" ref="AN23">IFERROR(INDEX('Offer Statistics'!BX$2:BX$400,MATCH(1,($A23='Offer Statistics'!$BS$2:$BS$400)*($AB$2='Offer Statistics'!$BT$2:$BT$400),0)),"/")</f>
        <v>332</v>
      </c>
      <c r="AO23" s="63" cm="1">
        <f t="array" ref="AO23">IFERROR(INDEX('Offer Statistics'!BY$2:BY$400,MATCH(1,($A23='Offer Statistics'!$BS$2:$BS$400)*($AB$2='Offer Statistics'!$BT$2:$BT$400),0)),"/")</f>
        <v>259</v>
      </c>
      <c r="AQ23" s="15" t="str">
        <f t="shared" si="1"/>
        <v>JS5318</v>
      </c>
    </row>
    <row r="24" spans="1:43" s="10" customFormat="1" ht="18" customHeight="1">
      <c r="A24" s="4" t="str">
        <f>'Reference Score Calculation'!B240</f>
        <v>JS5331</v>
      </c>
      <c r="B24" s="4" t="str">
        <f>'Reference Score Calculation'!D240</f>
        <v>商學院</v>
      </c>
      <c r="C24" s="4" t="str">
        <f>'Reference Score Calculation'!E240</f>
        <v>理學士（經濟及金融學）</v>
      </c>
      <c r="D24" s="4" t="str">
        <f>'Reference Score Calculation'!S240</f>
        <v>ECOF</v>
      </c>
      <c r="E24" s="352" t="str">
        <f>'Reference Score Calculation'!AC240</f>
        <v>英數Best3</v>
      </c>
      <c r="F24" s="450" t="str">
        <f>'Reference Score Calculation'!F240</f>
        <v>英數Best3</v>
      </c>
      <c r="G24" s="6">
        <f>'Reference Score Calculation'!I240</f>
        <v>50.06</v>
      </c>
      <c r="H24" s="6">
        <f>'Reference Score Calculation'!J240</f>
        <v>48.56</v>
      </c>
      <c r="I24" s="45">
        <f>計分版!J263</f>
        <v>3.3999999999999998E-9</v>
      </c>
      <c r="J24" s="167">
        <f>IFERROR(IF(J$1="差距(Median)",I24-G24,IF(J$1="差距(UQ)",I24-#REF!,IF(J$1="差距(LQ)",I24-H24))),"/")</f>
        <v>-50.059999996600006</v>
      </c>
      <c r="K24" s="168">
        <f>IFERROR(IF(J$1="差距(Median)",(I24-G24)/I24,IF(J$1="差距(UQ)",(I24-#REF!)/I24,IF(J$1="差距(LQ)",(I24-H24)/I24))),"/")</f>
        <v>-14723529410.764708</v>
      </c>
      <c r="L24" s="36">
        <f>'Reference Score Calculation'!U240</f>
        <v>30</v>
      </c>
      <c r="M24" s="84">
        <f>入學要求!Z249</f>
        <v>0</v>
      </c>
      <c r="N24" s="544"/>
      <c r="O24" s="166">
        <f>入學要求!L249</f>
        <v>3</v>
      </c>
      <c r="P24" s="166">
        <f>入學要求!M249</f>
        <v>4</v>
      </c>
      <c r="Q24" s="166">
        <f>入學要求!N249</f>
        <v>3</v>
      </c>
      <c r="R24" s="166">
        <f>入學要求!O249</f>
        <v>1</v>
      </c>
      <c r="S24" s="166">
        <f>入學要求!P249</f>
        <v>3</v>
      </c>
      <c r="T24" s="166">
        <f>入學要求!Q249</f>
        <v>3</v>
      </c>
      <c r="U24" s="236">
        <f>入學要求!S249</f>
        <v>0</v>
      </c>
      <c r="V24" s="236">
        <f>入學要求!T249</f>
        <v>0</v>
      </c>
      <c r="W24" s="236">
        <f>入學要求!U249</f>
        <v>0</v>
      </c>
      <c r="X24" s="236">
        <f>入學要求!V249</f>
        <v>0</v>
      </c>
      <c r="Y24" s="236">
        <f>入學要求!W249</f>
        <v>0</v>
      </c>
      <c r="Z24" s="236">
        <f>入學要求!X249</f>
        <v>0</v>
      </c>
      <c r="AA24" s="36">
        <f t="shared" si="0"/>
        <v>3.18</v>
      </c>
      <c r="AB24" s="537"/>
      <c r="AC24" s="36" cm="1">
        <f t="array" ref="AC24">IFERROR(INDEX('Offer Statistics'!CH$2:CH$400,MATCH(1,($A24='Offer Statistics'!$BS$2:$BS$400)*($AB$2='Offer Statistics'!$BT$2:$BT$400),0)),"/")</f>
        <v>33</v>
      </c>
      <c r="AD24" s="63" cm="1">
        <f t="array" ref="AD24">IFERROR(INDEX('Offer Statistics'!CC$2:CC$400,MATCH(1,($A24='Offer Statistics'!$BS$2:$BS$400)*($AB$2='Offer Statistics'!$BT$2:$BT$400),0)),"/")</f>
        <v>33</v>
      </c>
      <c r="AE24" s="63" cm="1">
        <f t="array" ref="AE24">IFERROR(INDEX('Offer Statistics'!CD$2:CD$400,MATCH(1,($A24='Offer Statistics'!$BS$2:$BS$400)*($AB$2='Offer Statistics'!$BT$2:$BT$400),0)),"/")</f>
        <v>0</v>
      </c>
      <c r="AF24" s="63" cm="1">
        <f t="array" ref="AF24">IFERROR(INDEX('Offer Statistics'!CE$2:CE$400,MATCH(1,($A24='Offer Statistics'!$BS$2:$BS$400)*($AB$2='Offer Statistics'!$BT$2:$BT$400),0)),"/")</f>
        <v>0</v>
      </c>
      <c r="AG24" s="63" cm="1">
        <f t="array" ref="AG24">IFERROR(INDEX('Offer Statistics'!CF$2:CF$400,MATCH(1,($A24='Offer Statistics'!$BS$2:$BS$400)*($AB$2='Offer Statistics'!$BT$2:$BT$400),0)),"/")</f>
        <v>0</v>
      </c>
      <c r="AH24" s="63" cm="1">
        <f t="array" ref="AH24">IFERROR(INDEX('Offer Statistics'!CG$2:CG$400,MATCH(1,($A24='Offer Statistics'!$BS$2:$BS$400)*($AB$2='Offer Statistics'!$BT$2:$BT$400),0)),"/")</f>
        <v>0</v>
      </c>
      <c r="AI24" s="538"/>
      <c r="AJ24" s="36" cm="1">
        <f t="array" ref="AJ24">IFERROR(INDEX('Offer Statistics'!BZ$2:BZ$400,MATCH(1,($A24='Offer Statistics'!$BS$2:$BS$400)*($AB$2='Offer Statistics'!$BT$2:$BT$400),0)),"/")</f>
        <v>830</v>
      </c>
      <c r="AK24" s="63" cm="1">
        <f t="array" ref="AK24">IFERROR(INDEX('Offer Statistics'!BU$2:BU$400,MATCH(1,($A24='Offer Statistics'!$BS$2:$BS$400)*($AB$2='Offer Statistics'!$BT$2:$BT$400),0)),"/")</f>
        <v>105</v>
      </c>
      <c r="AL24" s="63" cm="1">
        <f t="array" ref="AL24">IFERROR(INDEX('Offer Statistics'!BV$2:BV$400,MATCH(1,($A24='Offer Statistics'!$BS$2:$BS$400)*($AB$2='Offer Statistics'!$BT$2:$BT$400),0)),"/")</f>
        <v>70</v>
      </c>
      <c r="AM24" s="63" cm="1">
        <f t="array" ref="AM24">IFERROR(INDEX('Offer Statistics'!BW$2:BW$400,MATCH(1,($A24='Offer Statistics'!$BS$2:$BS$400)*($AB$2='Offer Statistics'!$BT$2:$BT$400),0)),"/")</f>
        <v>173</v>
      </c>
      <c r="AN24" s="63" cm="1">
        <f t="array" ref="AN24">IFERROR(INDEX('Offer Statistics'!BX$2:BX$400,MATCH(1,($A24='Offer Statistics'!$BS$2:$BS$400)*($AB$2='Offer Statistics'!$BT$2:$BT$400),0)),"/")</f>
        <v>267</v>
      </c>
      <c r="AO24" s="63" cm="1">
        <f t="array" ref="AO24">IFERROR(INDEX('Offer Statistics'!BY$2:BY$400,MATCH(1,($A24='Offer Statistics'!$BS$2:$BS$400)*($AB$2='Offer Statistics'!$BT$2:$BT$400),0)),"/")</f>
        <v>215</v>
      </c>
      <c r="AP24" s="4"/>
      <c r="AQ24" s="15" t="str">
        <f t="shared" si="1"/>
        <v>JS5331</v>
      </c>
    </row>
    <row r="25" spans="1:43" ht="18" customHeight="1">
      <c r="A25" s="4" t="str">
        <f>'Reference Score Calculation'!B241</f>
        <v>JS5332</v>
      </c>
      <c r="B25" s="4" t="str">
        <f>'Reference Score Calculation'!D241</f>
        <v>商學院</v>
      </c>
      <c r="C25" s="4" t="str">
        <f>'Reference Score Calculation'!E241</f>
        <v>理學士（量化金融學）</v>
      </c>
      <c r="D25" s="4" t="str">
        <f>'Reference Score Calculation'!S241</f>
        <v>QFIN</v>
      </c>
      <c r="E25" s="352" t="str">
        <f>'Reference Score Calculation'!AC241</f>
        <v>英數Best3</v>
      </c>
      <c r="F25" s="450" t="str">
        <f>'Reference Score Calculation'!F241</f>
        <v>英數Best3</v>
      </c>
      <c r="G25" s="6">
        <f>'Reference Score Calculation'!I241</f>
        <v>60.94</v>
      </c>
      <c r="H25" s="6">
        <f>'Reference Score Calculation'!J241</f>
        <v>59.11</v>
      </c>
      <c r="I25" s="45">
        <f>計分版!J264</f>
        <v>3.3999999999999998E-9</v>
      </c>
      <c r="J25" s="167">
        <f>IFERROR(IF(J$1="差距(Median)",I25-G25,IF(J$1="差距(UQ)",I25-#REF!,IF(J$1="差距(LQ)",I25-H25))),"/")</f>
        <v>-60.939999996600001</v>
      </c>
      <c r="K25" s="168">
        <f>IFERROR(IF(J$1="差距(Median)",(I25-G25)/I25,IF(J$1="差距(UQ)",(I25-#REF!)/I25,IF(J$1="差距(LQ)",(I25-H25)/I25))),"/")</f>
        <v>-17923529410.764706</v>
      </c>
      <c r="L25" s="36">
        <f>'Reference Score Calculation'!U241</f>
        <v>20</v>
      </c>
      <c r="M25" s="84">
        <f>入學要求!Z250</f>
        <v>0</v>
      </c>
      <c r="N25" s="544"/>
      <c r="O25" s="166">
        <f>入學要求!L250</f>
        <v>3</v>
      </c>
      <c r="P25" s="166">
        <f>入學要求!M250</f>
        <v>4</v>
      </c>
      <c r="Q25" s="166">
        <f>入學要求!N250</f>
        <v>3</v>
      </c>
      <c r="R25" s="166">
        <f>入學要求!O250</f>
        <v>1</v>
      </c>
      <c r="S25" s="166">
        <f>入學要求!P250</f>
        <v>3</v>
      </c>
      <c r="T25" s="166">
        <f>入學要求!Q250</f>
        <v>3</v>
      </c>
      <c r="U25" s="236">
        <f>入學要求!S250</f>
        <v>0</v>
      </c>
      <c r="V25" s="236">
        <f>入學要求!T250</f>
        <v>0</v>
      </c>
      <c r="W25" s="236">
        <f>入學要求!U250</f>
        <v>0</v>
      </c>
      <c r="X25" s="236">
        <f>入學要求!V250</f>
        <v>0</v>
      </c>
      <c r="Y25" s="236">
        <f>入學要求!W250</f>
        <v>0</v>
      </c>
      <c r="Z25" s="236">
        <f>入學要求!X250</f>
        <v>0</v>
      </c>
      <c r="AA25" s="36">
        <f t="shared" si="0"/>
        <v>3.61</v>
      </c>
      <c r="AB25" s="537"/>
      <c r="AC25" s="36" cm="1">
        <f t="array" ref="AC25">IFERROR(INDEX('Offer Statistics'!CH$2:CH$400,MATCH(1,($A25='Offer Statistics'!$BS$2:$BS$400)*($AB$2='Offer Statistics'!$BT$2:$BT$400),0)),"/")</f>
        <v>18</v>
      </c>
      <c r="AD25" s="63" cm="1">
        <f t="array" ref="AD25">IFERROR(INDEX('Offer Statistics'!CC$2:CC$400,MATCH(1,($A25='Offer Statistics'!$BS$2:$BS$400)*($AB$2='Offer Statistics'!$BT$2:$BT$400),0)),"/")</f>
        <v>18</v>
      </c>
      <c r="AE25" s="63" cm="1">
        <f t="array" ref="AE25">IFERROR(INDEX('Offer Statistics'!CD$2:CD$400,MATCH(1,($A25='Offer Statistics'!$BS$2:$BS$400)*($AB$2='Offer Statistics'!$BT$2:$BT$400),0)),"/")</f>
        <v>0</v>
      </c>
      <c r="AF25" s="63" cm="1">
        <f t="array" ref="AF25">IFERROR(INDEX('Offer Statistics'!CE$2:CE$400,MATCH(1,($A25='Offer Statistics'!$BS$2:$BS$400)*($AB$2='Offer Statistics'!$BT$2:$BT$400),0)),"/")</f>
        <v>0</v>
      </c>
      <c r="AG25" s="63" cm="1">
        <f t="array" ref="AG25">IFERROR(INDEX('Offer Statistics'!CF$2:CF$400,MATCH(1,($A25='Offer Statistics'!$BS$2:$BS$400)*($AB$2='Offer Statistics'!$BT$2:$BT$400),0)),"/")</f>
        <v>0</v>
      </c>
      <c r="AH25" s="63" cm="1">
        <f t="array" ref="AH25">IFERROR(INDEX('Offer Statistics'!CG$2:CG$400,MATCH(1,($A25='Offer Statistics'!$BS$2:$BS$400)*($AB$2='Offer Statistics'!$BT$2:$BT$400),0)),"/")</f>
        <v>0</v>
      </c>
      <c r="AI25" s="538"/>
      <c r="AJ25" s="36" cm="1">
        <f t="array" ref="AJ25">IFERROR(INDEX('Offer Statistics'!BZ$2:BZ$400,MATCH(1,($A25='Offer Statistics'!$BS$2:$BS$400)*($AB$2='Offer Statistics'!$BT$2:$BT$400),0)),"/")</f>
        <v>418</v>
      </c>
      <c r="AK25" s="63" cm="1">
        <f t="array" ref="AK25">IFERROR(INDEX('Offer Statistics'!BU$2:BU$400,MATCH(1,($A25='Offer Statistics'!$BS$2:$BS$400)*($AB$2='Offer Statistics'!$BT$2:$BT$400),0)),"/")</f>
        <v>65</v>
      </c>
      <c r="AL25" s="63" cm="1">
        <f t="array" ref="AL25">IFERROR(INDEX('Offer Statistics'!BV$2:BV$400,MATCH(1,($A25='Offer Statistics'!$BS$2:$BS$400)*($AB$2='Offer Statistics'!$BT$2:$BT$400),0)),"/")</f>
        <v>40</v>
      </c>
      <c r="AM25" s="63" cm="1">
        <f t="array" ref="AM25">IFERROR(INDEX('Offer Statistics'!BW$2:BW$400,MATCH(1,($A25='Offer Statistics'!$BS$2:$BS$400)*($AB$2='Offer Statistics'!$BT$2:$BT$400),0)),"/")</f>
        <v>86</v>
      </c>
      <c r="AN25" s="63" cm="1">
        <f t="array" ref="AN25">IFERROR(INDEX('Offer Statistics'!BX$2:BX$400,MATCH(1,($A25='Offer Statistics'!$BS$2:$BS$400)*($AB$2='Offer Statistics'!$BT$2:$BT$400),0)),"/")</f>
        <v>111</v>
      </c>
      <c r="AO25" s="63" cm="1">
        <f t="array" ref="AO25">IFERROR(INDEX('Offer Statistics'!BY$2:BY$400,MATCH(1,($A25='Offer Statistics'!$BS$2:$BS$400)*($AB$2='Offer Statistics'!$BT$2:$BT$400),0)),"/")</f>
        <v>116</v>
      </c>
      <c r="AQ25" s="15" t="str">
        <f t="shared" si="1"/>
        <v>JS5332</v>
      </c>
    </row>
    <row r="26" spans="1:43" s="10" customFormat="1" ht="18" customHeight="1">
      <c r="A26" s="4" t="str">
        <f>'Reference Score Calculation'!B242</f>
        <v>JS5411</v>
      </c>
      <c r="B26" s="4" t="str">
        <f>'Reference Score Calculation'!D242</f>
        <v>人文社會科學學院</v>
      </c>
      <c r="C26" s="4" t="str">
        <f>'Reference Score Calculation'!E242</f>
        <v>理學士（環球中國研究）</v>
      </c>
      <c r="D26" s="4" t="str">
        <f>'Reference Score Calculation'!S242</f>
        <v>GCS</v>
      </c>
      <c r="E26" s="352" t="str">
        <f>'Reference Score Calculation'!AC242</f>
        <v>中英Best3</v>
      </c>
      <c r="F26" s="450" t="str">
        <f>'Reference Score Calculation'!F242</f>
        <v>中英Best3</v>
      </c>
      <c r="G26" s="6">
        <f>'Reference Score Calculation'!I242</f>
        <v>28</v>
      </c>
      <c r="H26" s="6">
        <f>'Reference Score Calculation'!J242</f>
        <v>27.5</v>
      </c>
      <c r="I26" s="45">
        <f>計分版!J265</f>
        <v>2.9499999999999999E-9</v>
      </c>
      <c r="J26" s="167">
        <f>IFERROR(IF(J$1="差距(Median)",I26-G26,IF(J$1="差距(UQ)",I26-#REF!,IF(J$1="差距(LQ)",I26-H26))),"/")</f>
        <v>-27.999999997050001</v>
      </c>
      <c r="K26" s="168">
        <f>IFERROR(IF(J$1="差距(Median)",(I26-G26)/I26,IF(J$1="差距(UQ)",(I26-#REF!)/I26,IF(J$1="差距(LQ)",(I26-H26)/I26))),"/")</f>
        <v>-9491525422.7288132</v>
      </c>
      <c r="L26" s="36">
        <f>'Reference Score Calculation'!U242</f>
        <v>50</v>
      </c>
      <c r="M26" s="84">
        <f>入學要求!Z251</f>
        <v>0</v>
      </c>
      <c r="N26" s="544"/>
      <c r="O26" s="166">
        <f>入學要求!L251</f>
        <v>3</v>
      </c>
      <c r="P26" s="166">
        <f>入學要求!M251</f>
        <v>3</v>
      </c>
      <c r="Q26" s="166">
        <f>入學要求!N251</f>
        <v>2</v>
      </c>
      <c r="R26" s="166">
        <f>入學要求!O251</f>
        <v>1</v>
      </c>
      <c r="S26" s="166">
        <f>入學要求!P251</f>
        <v>3</v>
      </c>
      <c r="T26" s="166">
        <f>入學要求!Q251</f>
        <v>3</v>
      </c>
      <c r="U26" s="236">
        <f>入學要求!S251</f>
        <v>0</v>
      </c>
      <c r="V26" s="236">
        <f>入學要求!T251</f>
        <v>0</v>
      </c>
      <c r="W26" s="236">
        <f>入學要求!U251</f>
        <v>0</v>
      </c>
      <c r="X26" s="236">
        <f>入學要求!V251</f>
        <v>0</v>
      </c>
      <c r="Y26" s="236">
        <f>入學要求!W251</f>
        <v>0</v>
      </c>
      <c r="Z26" s="236">
        <f>入學要求!X251</f>
        <v>0</v>
      </c>
      <c r="AA26" s="36">
        <f t="shared" si="0"/>
        <v>4.75</v>
      </c>
      <c r="AB26" s="537"/>
      <c r="AC26" s="36" cm="1">
        <f t="array" ref="AC26">IFERROR(INDEX('Offer Statistics'!CH$2:CH$400,MATCH(1,($A26='Offer Statistics'!$BS$2:$BS$400)*($AB$2='Offer Statistics'!$BT$2:$BT$400),0)),"/")</f>
        <v>53</v>
      </c>
      <c r="AD26" s="63" cm="1">
        <f t="array" ref="AD26">IFERROR(INDEX('Offer Statistics'!CC$2:CC$400,MATCH(1,($A26='Offer Statistics'!$BS$2:$BS$400)*($AB$2='Offer Statistics'!$BT$2:$BT$400),0)),"/")</f>
        <v>51</v>
      </c>
      <c r="AE26" s="63" cm="1">
        <f t="array" ref="AE26">IFERROR(INDEX('Offer Statistics'!CD$2:CD$400,MATCH(1,($A26='Offer Statistics'!$BS$2:$BS$400)*($AB$2='Offer Statistics'!$BT$2:$BT$400),0)),"/")</f>
        <v>2</v>
      </c>
      <c r="AF26" s="63" cm="1">
        <f t="array" ref="AF26">IFERROR(INDEX('Offer Statistics'!CE$2:CE$400,MATCH(1,($A26='Offer Statistics'!$BS$2:$BS$400)*($AB$2='Offer Statistics'!$BT$2:$BT$400),0)),"/")</f>
        <v>0</v>
      </c>
      <c r="AG26" s="63" cm="1">
        <f t="array" ref="AG26">IFERROR(INDEX('Offer Statistics'!CF$2:CF$400,MATCH(1,($A26='Offer Statistics'!$BS$2:$BS$400)*($AB$2='Offer Statistics'!$BT$2:$BT$400),0)),"/")</f>
        <v>0</v>
      </c>
      <c r="AH26" s="63" cm="1">
        <f t="array" ref="AH26">IFERROR(INDEX('Offer Statistics'!CG$2:CG$400,MATCH(1,($A26='Offer Statistics'!$BS$2:$BS$400)*($AB$2='Offer Statistics'!$BT$2:$BT$400),0)),"/")</f>
        <v>0</v>
      </c>
      <c r="AI26" s="538"/>
      <c r="AJ26" s="36" cm="1">
        <f t="array" ref="AJ26">IFERROR(INDEX('Offer Statistics'!BZ$2:BZ$400,MATCH(1,($A26='Offer Statistics'!$BS$2:$BS$400)*($AB$2='Offer Statistics'!$BT$2:$BT$400),0)),"/")</f>
        <v>736</v>
      </c>
      <c r="AK26" s="63" cm="1">
        <f t="array" ref="AK26">IFERROR(INDEX('Offer Statistics'!BU$2:BU$400,MATCH(1,($A26='Offer Statistics'!$BS$2:$BS$400)*($AB$2='Offer Statistics'!$BT$2:$BT$400),0)),"/")</f>
        <v>242</v>
      </c>
      <c r="AL26" s="63" cm="1">
        <f t="array" ref="AL26">IFERROR(INDEX('Offer Statistics'!BV$2:BV$400,MATCH(1,($A26='Offer Statistics'!$BS$2:$BS$400)*($AB$2='Offer Statistics'!$BT$2:$BT$400),0)),"/")</f>
        <v>118</v>
      </c>
      <c r="AM26" s="63" cm="1">
        <f t="array" ref="AM26">IFERROR(INDEX('Offer Statistics'!BW$2:BW$400,MATCH(1,($A26='Offer Statistics'!$BS$2:$BS$400)*($AB$2='Offer Statistics'!$BT$2:$BT$400),0)),"/")</f>
        <v>112</v>
      </c>
      <c r="AN26" s="63" cm="1">
        <f t="array" ref="AN26">IFERROR(INDEX('Offer Statistics'!BX$2:BX$400,MATCH(1,($A26='Offer Statistics'!$BS$2:$BS$400)*($AB$2='Offer Statistics'!$BT$2:$BT$400),0)),"/")</f>
        <v>144</v>
      </c>
      <c r="AO26" s="63" cm="1">
        <f t="array" ref="AO26">IFERROR(INDEX('Offer Statistics'!BY$2:BY$400,MATCH(1,($A26='Offer Statistics'!$BS$2:$BS$400)*($AB$2='Offer Statistics'!$BT$2:$BT$400),0)),"/")</f>
        <v>120</v>
      </c>
      <c r="AP26" s="4"/>
      <c r="AQ26" s="15" t="str">
        <f t="shared" si="1"/>
        <v>JS5411</v>
      </c>
    </row>
    <row r="27" spans="1:43" ht="18" customHeight="1">
      <c r="A27" s="4" t="str">
        <f>'Reference Score Calculation'!B243</f>
        <v>JS5412</v>
      </c>
      <c r="B27" s="4" t="str">
        <f>'Reference Score Calculation'!D243</f>
        <v>人文社會科學學院</v>
      </c>
      <c r="C27" s="4" t="str">
        <f>'Reference Score Calculation'!E243</f>
        <v>理學士（定量社會數據分析）</v>
      </c>
      <c r="D27" s="4" t="str">
        <f>'Reference Score Calculation'!S243</f>
        <v>QSA</v>
      </c>
      <c r="E27" s="352" t="str">
        <f>'Reference Score Calculation'!AC243</f>
        <v>英數Best3</v>
      </c>
      <c r="F27" s="450" t="str">
        <f>'Reference Score Calculation'!F243</f>
        <v>英數Best3</v>
      </c>
      <c r="G27" s="6">
        <f>'Reference Score Calculation'!I243</f>
        <v>30.88</v>
      </c>
      <c r="H27" s="6">
        <f>'Reference Score Calculation'!J243</f>
        <v>30</v>
      </c>
      <c r="I27" s="45">
        <f>計分版!J266</f>
        <v>3.4500000000000003E-9</v>
      </c>
      <c r="J27" s="167">
        <f>IFERROR(IF(J$1="差距(Median)",I27-G27,IF(J$1="差距(UQ)",I27-#REF!,IF(J$1="差距(LQ)",I27-H27))),"/")</f>
        <v>-30.879999996549998</v>
      </c>
      <c r="K27" s="168">
        <f>IFERROR(IF(J$1="差距(Median)",(I27-G27)/I27,IF(J$1="差距(UQ)",(I27-#REF!)/I27,IF(J$1="差距(LQ)",(I27-H27)/I27))),"/")</f>
        <v>-8950724636.6811581</v>
      </c>
      <c r="L27" s="36">
        <f>'Reference Score Calculation'!U243</f>
        <v>26</v>
      </c>
      <c r="M27" s="84">
        <f>入學要求!Z252</f>
        <v>0</v>
      </c>
      <c r="N27" s="544"/>
      <c r="O27" s="166">
        <f>入學要求!L252</f>
        <v>3</v>
      </c>
      <c r="P27" s="166">
        <f>入學要求!M252</f>
        <v>3</v>
      </c>
      <c r="Q27" s="166">
        <f>入學要求!N252</f>
        <v>3</v>
      </c>
      <c r="R27" s="166">
        <f>入學要求!O252</f>
        <v>1</v>
      </c>
      <c r="S27" s="166">
        <f>入學要求!P252</f>
        <v>3</v>
      </c>
      <c r="T27" s="166">
        <f>入學要求!Q252</f>
        <v>3</v>
      </c>
      <c r="U27" s="236">
        <f>入學要求!S252</f>
        <v>0</v>
      </c>
      <c r="V27" s="236">
        <f>入學要求!T252</f>
        <v>0</v>
      </c>
      <c r="W27" s="236">
        <f>入學要求!U252</f>
        <v>0</v>
      </c>
      <c r="X27" s="236">
        <f>入學要求!V252</f>
        <v>0</v>
      </c>
      <c r="Y27" s="236">
        <f>入學要求!W252</f>
        <v>0</v>
      </c>
      <c r="Z27" s="236">
        <f>入學要求!X252</f>
        <v>0</v>
      </c>
      <c r="AA27" s="36">
        <f t="shared" si="0"/>
        <v>2.85</v>
      </c>
      <c r="AB27" s="537"/>
      <c r="AC27" s="36" cm="1">
        <f t="array" ref="AC27">IFERROR(INDEX('Offer Statistics'!CH$2:CH$400,MATCH(1,($A27='Offer Statistics'!$BS$2:$BS$400)*($AB$2='Offer Statistics'!$BT$2:$BT$400),0)),"/")</f>
        <v>28</v>
      </c>
      <c r="AD27" s="63" cm="1">
        <f t="array" ref="AD27">IFERROR(INDEX('Offer Statistics'!CC$2:CC$400,MATCH(1,($A27='Offer Statistics'!$BS$2:$BS$400)*($AB$2='Offer Statistics'!$BT$2:$BT$400),0)),"/")</f>
        <v>27</v>
      </c>
      <c r="AE27" s="63" cm="1">
        <f t="array" ref="AE27">IFERROR(INDEX('Offer Statistics'!CD$2:CD$400,MATCH(1,($A27='Offer Statistics'!$BS$2:$BS$400)*($AB$2='Offer Statistics'!$BT$2:$BT$400),0)),"/")</f>
        <v>1</v>
      </c>
      <c r="AF27" s="63" cm="1">
        <f t="array" ref="AF27">IFERROR(INDEX('Offer Statistics'!CE$2:CE$400,MATCH(1,($A27='Offer Statistics'!$BS$2:$BS$400)*($AB$2='Offer Statistics'!$BT$2:$BT$400),0)),"/")</f>
        <v>0</v>
      </c>
      <c r="AG27" s="63" cm="1">
        <f t="array" ref="AG27">IFERROR(INDEX('Offer Statistics'!CF$2:CF$400,MATCH(1,($A27='Offer Statistics'!$BS$2:$BS$400)*($AB$2='Offer Statistics'!$BT$2:$BT$400),0)),"/")</f>
        <v>0</v>
      </c>
      <c r="AH27" s="63" cm="1">
        <f t="array" ref="AH27">IFERROR(INDEX('Offer Statistics'!CG$2:CG$400,MATCH(1,($A27='Offer Statistics'!$BS$2:$BS$400)*($AB$2='Offer Statistics'!$BT$2:$BT$400),0)),"/")</f>
        <v>0</v>
      </c>
      <c r="AI27" s="538"/>
      <c r="AJ27" s="36" cm="1">
        <f t="array" ref="AJ27">IFERROR(INDEX('Offer Statistics'!BZ$2:BZ$400,MATCH(1,($A27='Offer Statistics'!$BS$2:$BS$400)*($AB$2='Offer Statistics'!$BT$2:$BT$400),0)),"/")</f>
        <v>383</v>
      </c>
      <c r="AK27" s="63" cm="1">
        <f t="array" ref="AK27">IFERROR(INDEX('Offer Statistics'!BU$2:BU$400,MATCH(1,($A27='Offer Statistics'!$BS$2:$BS$400)*($AB$2='Offer Statistics'!$BT$2:$BT$400),0)),"/")</f>
        <v>77</v>
      </c>
      <c r="AL27" s="63" cm="1">
        <f t="array" ref="AL27">IFERROR(INDEX('Offer Statistics'!BV$2:BV$400,MATCH(1,($A27='Offer Statistics'!$BS$2:$BS$400)*($AB$2='Offer Statistics'!$BT$2:$BT$400),0)),"/")</f>
        <v>61</v>
      </c>
      <c r="AM27" s="63" cm="1">
        <f t="array" ref="AM27">IFERROR(INDEX('Offer Statistics'!BW$2:BW$400,MATCH(1,($A27='Offer Statistics'!$BS$2:$BS$400)*($AB$2='Offer Statistics'!$BT$2:$BT$400),0)),"/")</f>
        <v>75</v>
      </c>
      <c r="AN27" s="63" cm="1">
        <f t="array" ref="AN27">IFERROR(INDEX('Offer Statistics'!BX$2:BX$400,MATCH(1,($A27='Offer Statistics'!$BS$2:$BS$400)*($AB$2='Offer Statistics'!$BT$2:$BT$400),0)),"/")</f>
        <v>90</v>
      </c>
      <c r="AO27" s="63" cm="1">
        <f t="array" ref="AO27">IFERROR(INDEX('Offer Statistics'!BY$2:BY$400,MATCH(1,($A27='Offer Statistics'!$BS$2:$BS$400)*($AB$2='Offer Statistics'!$BT$2:$BT$400),0)),"/")</f>
        <v>80</v>
      </c>
      <c r="AQ27" s="15" t="str">
        <f t="shared" si="1"/>
        <v>JS5412</v>
      </c>
    </row>
    <row r="28" spans="1:43" s="10" customFormat="1" ht="18" customHeight="1">
      <c r="A28" s="4" t="str">
        <f>'Reference Score Calculation'!B244</f>
        <v>JS5711</v>
      </c>
      <c r="B28" s="4" t="str">
        <f>'Reference Score Calculation'!D244</f>
        <v>工學院</v>
      </c>
      <c r="C28" s="4" t="str">
        <f>'Reference Score Calculation'!E244</f>
        <v>理學士（綜合系統與設計）</v>
      </c>
      <c r="D28" s="4" t="str">
        <f>'Reference Score Calculation'!S244</f>
        <v>ISDN</v>
      </c>
      <c r="E28" s="352" t="str">
        <f>'Reference Score Calculation'!AC244</f>
        <v>英數Best3</v>
      </c>
      <c r="F28" s="450" t="str">
        <f>'Reference Score Calculation'!F244</f>
        <v>英數Best3</v>
      </c>
      <c r="G28" s="6">
        <f>'Reference Score Calculation'!I244</f>
        <v>39.28</v>
      </c>
      <c r="H28" s="6">
        <f>'Reference Score Calculation'!J244</f>
        <v>33.24</v>
      </c>
      <c r="I28" s="45">
        <f>計分版!J267</f>
        <v>3.2999999999999998E-9</v>
      </c>
      <c r="J28" s="167">
        <f>IFERROR(IF(J$1="差距(Median)",I28-G28,IF(J$1="差距(UQ)",I28-#REF!,IF(J$1="差距(LQ)",I28-H28))),"/")</f>
        <v>-39.279999996699999</v>
      </c>
      <c r="K28" s="168">
        <f>IFERROR(IF(J$1="差距(Median)",(I28-G28)/I28,IF(J$1="差距(UQ)",(I28-#REF!)/I28,IF(J$1="差距(LQ)",(I28-H28)/I28))),"/")</f>
        <v>-11903030302.030304</v>
      </c>
      <c r="L28" s="36">
        <f>'Reference Score Calculation'!U244</f>
        <v>20</v>
      </c>
      <c r="M28" s="84">
        <f>入學要求!Z253</f>
        <v>0</v>
      </c>
      <c r="N28" s="544"/>
      <c r="O28" s="166">
        <f>入學要求!L253</f>
        <v>3</v>
      </c>
      <c r="P28" s="166">
        <f>入學要求!M253</f>
        <v>3</v>
      </c>
      <c r="Q28" s="166">
        <f>入學要求!N253</f>
        <v>3</v>
      </c>
      <c r="R28" s="166">
        <f>入學要求!O253</f>
        <v>1</v>
      </c>
      <c r="S28" s="166">
        <f>入學要求!P253</f>
        <v>3</v>
      </c>
      <c r="T28" s="166">
        <f>入學要求!Q253</f>
        <v>3</v>
      </c>
      <c r="U28" s="236">
        <f>入學要求!S253</f>
        <v>0</v>
      </c>
      <c r="V28" s="236">
        <f>入學要求!T253</f>
        <v>0</v>
      </c>
      <c r="W28" s="236">
        <f>入學要求!U253</f>
        <v>0</v>
      </c>
      <c r="X28" s="236">
        <f>入學要求!V253</f>
        <v>0</v>
      </c>
      <c r="Y28" s="236">
        <f>入學要求!W253</f>
        <v>0</v>
      </c>
      <c r="Z28" s="236">
        <f>入學要求!X253</f>
        <v>0</v>
      </c>
      <c r="AA28" s="36">
        <f t="shared" si="0"/>
        <v>3.57</v>
      </c>
      <c r="AB28" s="537"/>
      <c r="AC28" s="36" cm="1">
        <f t="array" ref="AC28">IFERROR(INDEX('Offer Statistics'!CH$2:CH$400,MATCH(1,($A28='Offer Statistics'!$BS$2:$BS$400)*($AB$2='Offer Statistics'!$BT$2:$BT$400),0)),"/")</f>
        <v>7</v>
      </c>
      <c r="AD28" s="63" cm="1">
        <f t="array" ref="AD28">IFERROR(INDEX('Offer Statistics'!CC$2:CC$400,MATCH(1,($A28='Offer Statistics'!$BS$2:$BS$400)*($AB$2='Offer Statistics'!$BT$2:$BT$400),0)),"/")</f>
        <v>7</v>
      </c>
      <c r="AE28" s="63" cm="1">
        <f t="array" ref="AE28">IFERROR(INDEX('Offer Statistics'!CD$2:CD$400,MATCH(1,($A28='Offer Statistics'!$BS$2:$BS$400)*($AB$2='Offer Statistics'!$BT$2:$BT$400),0)),"/")</f>
        <v>0</v>
      </c>
      <c r="AF28" s="63" cm="1">
        <f t="array" ref="AF28">IFERROR(INDEX('Offer Statistics'!CE$2:CE$400,MATCH(1,($A28='Offer Statistics'!$BS$2:$BS$400)*($AB$2='Offer Statistics'!$BT$2:$BT$400),0)),"/")</f>
        <v>0</v>
      </c>
      <c r="AG28" s="63" cm="1">
        <f t="array" ref="AG28">IFERROR(INDEX('Offer Statistics'!CF$2:CF$400,MATCH(1,($A28='Offer Statistics'!$BS$2:$BS$400)*($AB$2='Offer Statistics'!$BT$2:$BT$400),0)),"/")</f>
        <v>0</v>
      </c>
      <c r="AH28" s="63" cm="1">
        <f t="array" ref="AH28">IFERROR(INDEX('Offer Statistics'!CG$2:CG$400,MATCH(1,($A28='Offer Statistics'!$BS$2:$BS$400)*($AB$2='Offer Statistics'!$BT$2:$BT$400),0)),"/")</f>
        <v>0</v>
      </c>
      <c r="AI28" s="538"/>
      <c r="AJ28" s="36" cm="1">
        <f t="array" ref="AJ28">IFERROR(INDEX('Offer Statistics'!BZ$2:BZ$400,MATCH(1,($A28='Offer Statistics'!$BS$2:$BS$400)*($AB$2='Offer Statistics'!$BT$2:$BT$400),0)),"/")</f>
        <v>195</v>
      </c>
      <c r="AK28" s="63" cm="1">
        <f t="array" ref="AK28">IFERROR(INDEX('Offer Statistics'!BU$2:BU$400,MATCH(1,($A28='Offer Statistics'!$BS$2:$BS$400)*($AB$2='Offer Statistics'!$BT$2:$BT$400),0)),"/")</f>
        <v>25</v>
      </c>
      <c r="AL28" s="63" cm="1">
        <f t="array" ref="AL28">IFERROR(INDEX('Offer Statistics'!BV$2:BV$400,MATCH(1,($A28='Offer Statistics'!$BS$2:$BS$400)*($AB$2='Offer Statistics'!$BT$2:$BT$400),0)),"/")</f>
        <v>17</v>
      </c>
      <c r="AM28" s="63" cm="1">
        <f t="array" ref="AM28">IFERROR(INDEX('Offer Statistics'!BW$2:BW$400,MATCH(1,($A28='Offer Statistics'!$BS$2:$BS$400)*($AB$2='Offer Statistics'!$BT$2:$BT$400),0)),"/")</f>
        <v>33</v>
      </c>
      <c r="AN28" s="63" cm="1">
        <f t="array" ref="AN28">IFERROR(INDEX('Offer Statistics'!BX$2:BX$400,MATCH(1,($A28='Offer Statistics'!$BS$2:$BS$400)*($AB$2='Offer Statistics'!$BT$2:$BT$400),0)),"/")</f>
        <v>65</v>
      </c>
      <c r="AO28" s="63" cm="1">
        <f t="array" ref="AO28">IFERROR(INDEX('Offer Statistics'!BY$2:BY$400,MATCH(1,($A28='Offer Statistics'!$BS$2:$BS$400)*($AB$2='Offer Statistics'!$BT$2:$BT$400),0)),"/")</f>
        <v>55</v>
      </c>
      <c r="AP28" s="4"/>
      <c r="AQ28" s="15" t="str">
        <f t="shared" si="1"/>
        <v>JS5711</v>
      </c>
    </row>
    <row r="29" spans="1:43" s="10" customFormat="1" ht="18" customHeight="1">
      <c r="A29" s="4" t="str">
        <f>'Reference Score Calculation'!B245</f>
        <v>JS5811</v>
      </c>
      <c r="B29" s="4" t="str">
        <f>'Reference Score Calculation'!D245</f>
        <v>跨學科課程</v>
      </c>
      <c r="C29" s="4" t="str">
        <f>'Reference Score Calculation'!E245</f>
        <v>理學士（生物科技及商學）</v>
      </c>
      <c r="D29" s="4" t="str">
        <f>'Reference Score Calculation'!S245</f>
        <v>BIBU</v>
      </c>
      <c r="E29" s="352" t="str">
        <f>'Reference Score Calculation'!AC245</f>
        <v>英數Best3</v>
      </c>
      <c r="F29" s="450" t="str">
        <f>'Reference Score Calculation'!F245</f>
        <v>英數Best3</v>
      </c>
      <c r="G29" s="6">
        <f>'Reference Score Calculation'!I245</f>
        <v>39.75</v>
      </c>
      <c r="H29" s="6">
        <f>'Reference Score Calculation'!J245</f>
        <v>38.909999999999997</v>
      </c>
      <c r="I29" s="45">
        <f>計分版!J268</f>
        <v>3.2999999999999998E-9</v>
      </c>
      <c r="J29" s="167">
        <f>IFERROR(IF(J$1="差距(Median)",I29-G29,IF(J$1="差距(UQ)",I29-#REF!,IF(J$1="差距(LQ)",I29-H29))),"/")</f>
        <v>-39.749999996699998</v>
      </c>
      <c r="K29" s="168">
        <f>IFERROR(IF(J$1="差距(Median)",(I29-G29)/I29,IF(J$1="差距(UQ)",(I29-#REF!)/I29,IF(J$1="差距(LQ)",(I29-H29)/I29))),"/")</f>
        <v>-12045454544.454546</v>
      </c>
      <c r="L29" s="36">
        <f>'Reference Score Calculation'!U245</f>
        <v>25</v>
      </c>
      <c r="M29" s="84">
        <f>入學要求!Z254</f>
        <v>0</v>
      </c>
      <c r="N29" s="544"/>
      <c r="O29" s="166">
        <f>入學要求!L254</f>
        <v>3</v>
      </c>
      <c r="P29" s="166">
        <f>入學要求!M254</f>
        <v>4</v>
      </c>
      <c r="Q29" s="166">
        <f>入學要求!N254</f>
        <v>3</v>
      </c>
      <c r="R29" s="166">
        <f>入學要求!O254</f>
        <v>1</v>
      </c>
      <c r="S29" s="166">
        <f>入學要求!P254</f>
        <v>3</v>
      </c>
      <c r="T29" s="166">
        <f>入學要求!Q254</f>
        <v>3</v>
      </c>
      <c r="U29" s="236">
        <f>入學要求!S254</f>
        <v>0</v>
      </c>
      <c r="V29" s="236">
        <f>入學要求!T254</f>
        <v>0</v>
      </c>
      <c r="W29" s="236">
        <f>入學要求!U254</f>
        <v>0</v>
      </c>
      <c r="X29" s="236">
        <f>入學要求!V254</f>
        <v>0</v>
      </c>
      <c r="Y29" s="236">
        <f>入學要求!W254</f>
        <v>0</v>
      </c>
      <c r="Z29" s="236">
        <f>入學要求!X254</f>
        <v>0</v>
      </c>
      <c r="AA29" s="36">
        <f t="shared" si="0"/>
        <v>2.71</v>
      </c>
      <c r="AB29" s="537"/>
      <c r="AC29" s="36" cm="1">
        <f t="array" ref="AC29">IFERROR(INDEX('Offer Statistics'!CH$2:CH$400,MATCH(1,($A29='Offer Statistics'!$BS$2:$BS$400)*($AB$2='Offer Statistics'!$BT$2:$BT$400),0)),"/")</f>
        <v>24</v>
      </c>
      <c r="AD29" s="63" cm="1">
        <f t="array" ref="AD29">IFERROR(INDEX('Offer Statistics'!CC$2:CC$400,MATCH(1,($A29='Offer Statistics'!$BS$2:$BS$400)*($AB$2='Offer Statistics'!$BT$2:$BT$400),0)),"/")</f>
        <v>24</v>
      </c>
      <c r="AE29" s="63" cm="1">
        <f t="array" ref="AE29">IFERROR(INDEX('Offer Statistics'!CD$2:CD$400,MATCH(1,($A29='Offer Statistics'!$BS$2:$BS$400)*($AB$2='Offer Statistics'!$BT$2:$BT$400),0)),"/")</f>
        <v>0</v>
      </c>
      <c r="AF29" s="63" cm="1">
        <f t="array" ref="AF29">IFERROR(INDEX('Offer Statistics'!CE$2:CE$400,MATCH(1,($A29='Offer Statistics'!$BS$2:$BS$400)*($AB$2='Offer Statistics'!$BT$2:$BT$400),0)),"/")</f>
        <v>0</v>
      </c>
      <c r="AG29" s="63" cm="1">
        <f t="array" ref="AG29">IFERROR(INDEX('Offer Statistics'!CF$2:CF$400,MATCH(1,($A29='Offer Statistics'!$BS$2:$BS$400)*($AB$2='Offer Statistics'!$BT$2:$BT$400),0)),"/")</f>
        <v>0</v>
      </c>
      <c r="AH29" s="63" cm="1">
        <f t="array" ref="AH29">IFERROR(INDEX('Offer Statistics'!CG$2:CG$400,MATCH(1,($A29='Offer Statistics'!$BS$2:$BS$400)*($AB$2='Offer Statistics'!$BT$2:$BT$400),0)),"/")</f>
        <v>0</v>
      </c>
      <c r="AI29" s="538"/>
      <c r="AJ29" s="36" cm="1">
        <f t="array" ref="AJ29">IFERROR(INDEX('Offer Statistics'!BZ$2:BZ$400,MATCH(1,($A29='Offer Statistics'!$BS$2:$BS$400)*($AB$2='Offer Statistics'!$BT$2:$BT$400),0)),"/")</f>
        <v>685</v>
      </c>
      <c r="AK29" s="63" cm="1">
        <f t="array" ref="AK29">IFERROR(INDEX('Offer Statistics'!BU$2:BU$400,MATCH(1,($A29='Offer Statistics'!$BS$2:$BS$400)*($AB$2='Offer Statistics'!$BT$2:$BT$400),0)),"/")</f>
        <v>65</v>
      </c>
      <c r="AL29" s="63" cm="1">
        <f t="array" ref="AL29">IFERROR(INDEX('Offer Statistics'!BV$2:BV$400,MATCH(1,($A29='Offer Statistics'!$BS$2:$BS$400)*($AB$2='Offer Statistics'!$BT$2:$BT$400),0)),"/")</f>
        <v>78</v>
      </c>
      <c r="AM29" s="63" cm="1">
        <f t="array" ref="AM29">IFERROR(INDEX('Offer Statistics'!BW$2:BW$400,MATCH(1,($A29='Offer Statistics'!$BS$2:$BS$400)*($AB$2='Offer Statistics'!$BT$2:$BT$400),0)),"/")</f>
        <v>139</v>
      </c>
      <c r="AN29" s="63" cm="1">
        <f t="array" ref="AN29">IFERROR(INDEX('Offer Statistics'!BX$2:BX$400,MATCH(1,($A29='Offer Statistics'!$BS$2:$BS$400)*($AB$2='Offer Statistics'!$BT$2:$BT$400),0)),"/")</f>
        <v>208</v>
      </c>
      <c r="AO29" s="63" cm="1">
        <f t="array" ref="AO29">IFERROR(INDEX('Offer Statistics'!BY$2:BY$400,MATCH(1,($A29='Offer Statistics'!$BS$2:$BS$400)*($AB$2='Offer Statistics'!$BT$2:$BT$400),0)),"/")</f>
        <v>195</v>
      </c>
      <c r="AP29" s="4"/>
      <c r="AQ29" s="15" t="str">
        <f t="shared" si="1"/>
        <v>JS5811</v>
      </c>
    </row>
    <row r="30" spans="1:43" ht="18" customHeight="1">
      <c r="A30" s="4" t="str">
        <f>'Reference Score Calculation'!B246</f>
        <v>JS5812</v>
      </c>
      <c r="B30" s="4" t="str">
        <f>'Reference Score Calculation'!D246</f>
        <v>跨學科課程</v>
      </c>
      <c r="C30" s="4" t="str">
        <f>'Reference Score Calculation'!E246</f>
        <v>理學士（環境管理及科技）</v>
      </c>
      <c r="D30" s="4" t="str">
        <f>'Reference Score Calculation'!S246</f>
        <v>EVMT</v>
      </c>
      <c r="E30" s="352" t="str">
        <f>'Reference Score Calculation'!AC246</f>
        <v>英數Best3</v>
      </c>
      <c r="F30" s="450" t="str">
        <f>'Reference Score Calculation'!F246</f>
        <v>英數Best3</v>
      </c>
      <c r="G30" s="6">
        <f>'Reference Score Calculation'!I246</f>
        <v>31.4</v>
      </c>
      <c r="H30" s="6">
        <f>'Reference Score Calculation'!J246</f>
        <v>30.55</v>
      </c>
      <c r="I30" s="45">
        <f>計分版!J269</f>
        <v>3.3999999999999998E-9</v>
      </c>
      <c r="J30" s="167">
        <f>IFERROR(IF(J$1="差距(Median)",I30-G30,IF(J$1="差距(UQ)",I30-#REF!,IF(J$1="差距(LQ)",I30-H30))),"/")</f>
        <v>-31.399999996599998</v>
      </c>
      <c r="K30" s="168">
        <f>IFERROR(IF(J$1="差距(Median)",(I30-G30)/I30,IF(J$1="差距(UQ)",(I30-#REF!)/I30,IF(J$1="差距(LQ)",(I30-H30)/I30))),"/")</f>
        <v>-9235294116.6470585</v>
      </c>
      <c r="L30" s="36">
        <f>'Reference Score Calculation'!U246</f>
        <v>21</v>
      </c>
      <c r="M30" s="84">
        <f>入學要求!Z255</f>
        <v>0</v>
      </c>
      <c r="N30" s="544"/>
      <c r="O30" s="166">
        <f>入學要求!L255</f>
        <v>3</v>
      </c>
      <c r="P30" s="166">
        <f>入學要求!M255</f>
        <v>4</v>
      </c>
      <c r="Q30" s="166">
        <f>入學要求!N255</f>
        <v>3</v>
      </c>
      <c r="R30" s="166">
        <f>入學要求!O255</f>
        <v>1</v>
      </c>
      <c r="S30" s="166">
        <f>入學要求!P255</f>
        <v>3</v>
      </c>
      <c r="T30" s="166">
        <f>入學要求!Q255</f>
        <v>3</v>
      </c>
      <c r="U30" s="236">
        <f>入學要求!S255</f>
        <v>0</v>
      </c>
      <c r="V30" s="236">
        <f>入學要求!T255</f>
        <v>0</v>
      </c>
      <c r="W30" s="236">
        <f>入學要求!U255</f>
        <v>0</v>
      </c>
      <c r="X30" s="236">
        <f>入學要求!V255</f>
        <v>0</v>
      </c>
      <c r="Y30" s="236">
        <f>入學要求!W255</f>
        <v>0</v>
      </c>
      <c r="Z30" s="236">
        <f>入學要求!X255</f>
        <v>0</v>
      </c>
      <c r="AA30" s="36">
        <f t="shared" si="0"/>
        <v>6.48</v>
      </c>
      <c r="AB30" s="537"/>
      <c r="AC30" s="36" cm="1">
        <f t="array" ref="AC30">IFERROR(INDEX('Offer Statistics'!CH$2:CH$400,MATCH(1,($A30='Offer Statistics'!$BS$2:$BS$400)*($AB$2='Offer Statistics'!$BT$2:$BT$400),0)),"/")</f>
        <v>23</v>
      </c>
      <c r="AD30" s="63" cm="1">
        <f t="array" ref="AD30">IFERROR(INDEX('Offer Statistics'!CC$2:CC$400,MATCH(1,($A30='Offer Statistics'!$BS$2:$BS$400)*($AB$2='Offer Statistics'!$BT$2:$BT$400),0)),"/")</f>
        <v>23</v>
      </c>
      <c r="AE30" s="63" cm="1">
        <f t="array" ref="AE30">IFERROR(INDEX('Offer Statistics'!CD$2:CD$400,MATCH(1,($A30='Offer Statistics'!$BS$2:$BS$400)*($AB$2='Offer Statistics'!$BT$2:$BT$400),0)),"/")</f>
        <v>0</v>
      </c>
      <c r="AF30" s="63" cm="1">
        <f t="array" ref="AF30">IFERROR(INDEX('Offer Statistics'!CE$2:CE$400,MATCH(1,($A30='Offer Statistics'!$BS$2:$BS$400)*($AB$2='Offer Statistics'!$BT$2:$BT$400),0)),"/")</f>
        <v>0</v>
      </c>
      <c r="AG30" s="63" cm="1">
        <f t="array" ref="AG30">IFERROR(INDEX('Offer Statistics'!CF$2:CF$400,MATCH(1,($A30='Offer Statistics'!$BS$2:$BS$400)*($AB$2='Offer Statistics'!$BT$2:$BT$400),0)),"/")</f>
        <v>0</v>
      </c>
      <c r="AH30" s="63" cm="1">
        <f t="array" ref="AH30">IFERROR(INDEX('Offer Statistics'!CG$2:CG$400,MATCH(1,($A30='Offer Statistics'!$BS$2:$BS$400)*($AB$2='Offer Statistics'!$BT$2:$BT$400),0)),"/")</f>
        <v>0</v>
      </c>
      <c r="AI30" s="538"/>
      <c r="AJ30" s="36" cm="1">
        <f t="array" ref="AJ30">IFERROR(INDEX('Offer Statistics'!BZ$2:BZ$400,MATCH(1,($A30='Offer Statistics'!$BS$2:$BS$400)*($AB$2='Offer Statistics'!$BT$2:$BT$400),0)),"/")</f>
        <v>769</v>
      </c>
      <c r="AK30" s="63" cm="1">
        <f t="array" ref="AK30">IFERROR(INDEX('Offer Statistics'!BU$2:BU$400,MATCH(1,($A30='Offer Statistics'!$BS$2:$BS$400)*($AB$2='Offer Statistics'!$BT$2:$BT$400),0)),"/")</f>
        <v>149</v>
      </c>
      <c r="AL30" s="63" cm="1">
        <f t="array" ref="AL30">IFERROR(INDEX('Offer Statistics'!BV$2:BV$400,MATCH(1,($A30='Offer Statistics'!$BS$2:$BS$400)*($AB$2='Offer Statistics'!$BT$2:$BT$400),0)),"/")</f>
        <v>85</v>
      </c>
      <c r="AM30" s="63" cm="1">
        <f t="array" ref="AM30">IFERROR(INDEX('Offer Statistics'!BW$2:BW$400,MATCH(1,($A30='Offer Statistics'!$BS$2:$BS$400)*($AB$2='Offer Statistics'!$BT$2:$BT$400),0)),"/")</f>
        <v>134</v>
      </c>
      <c r="AN30" s="63" cm="1">
        <f t="array" ref="AN30">IFERROR(INDEX('Offer Statistics'!BX$2:BX$400,MATCH(1,($A30='Offer Statistics'!$BS$2:$BS$400)*($AB$2='Offer Statistics'!$BT$2:$BT$400),0)),"/")</f>
        <v>207</v>
      </c>
      <c r="AO30" s="63" cm="1">
        <f t="array" ref="AO30">IFERROR(INDEX('Offer Statistics'!BY$2:BY$400,MATCH(1,($A30='Offer Statistics'!$BS$2:$BS$400)*($AB$2='Offer Statistics'!$BT$2:$BT$400),0)),"/")</f>
        <v>194</v>
      </c>
      <c r="AQ30" s="15" t="str">
        <f t="shared" si="1"/>
        <v>JS5812</v>
      </c>
    </row>
    <row r="31" spans="1:43" s="10" customFormat="1" ht="18" customHeight="1">
      <c r="A31" s="4" t="str">
        <f>'Reference Score Calculation'!B247</f>
        <v>JS5813</v>
      </c>
      <c r="B31" s="4" t="str">
        <f>'Reference Score Calculation'!D247</f>
        <v>跨學科課程</v>
      </c>
      <c r="C31" s="4" t="str">
        <f>'Reference Score Calculation'!E247</f>
        <v>理學士（數學與經濟學）</v>
      </c>
      <c r="D31" s="4" t="str">
        <f>'Reference Score Calculation'!S247</f>
        <v>MAEC</v>
      </c>
      <c r="E31" s="352" t="str">
        <f>'Reference Score Calculation'!AC247</f>
        <v>英數Best4</v>
      </c>
      <c r="F31" s="450" t="str">
        <f>'Reference Score Calculation'!F247</f>
        <v>英數Best3</v>
      </c>
      <c r="G31" s="6">
        <f>'Reference Score Calculation'!I247</f>
        <v>42.6</v>
      </c>
      <c r="H31" s="6">
        <f>'Reference Score Calculation'!J247</f>
        <v>39.200000000000003</v>
      </c>
      <c r="I31" s="45">
        <f>計分版!J270</f>
        <v>3.7E-9</v>
      </c>
      <c r="J31" s="167">
        <f>IFERROR(IF(J$1="差距(Median)",I31-G31,IF(J$1="差距(UQ)",I31-#REF!,IF(J$1="差距(LQ)",I31-H31))),"/")</f>
        <v>-42.599999996299999</v>
      </c>
      <c r="K31" s="168">
        <f>IFERROR(IF(J$1="差距(Median)",(I31-G31)/I31,IF(J$1="差距(UQ)",(I31-#REF!)/I31,IF(J$1="差距(LQ)",(I31-H31)/I31))),"/")</f>
        <v>-11513513512.513514</v>
      </c>
      <c r="L31" s="36">
        <f>'Reference Score Calculation'!U247</f>
        <v>15</v>
      </c>
      <c r="M31" s="84">
        <f>入學要求!Z256</f>
        <v>0</v>
      </c>
      <c r="N31" s="544"/>
      <c r="O31" s="166">
        <f>入學要求!L256</f>
        <v>3</v>
      </c>
      <c r="P31" s="166">
        <f>入學要求!M256</f>
        <v>4</v>
      </c>
      <c r="Q31" s="166">
        <f>入學要求!N256</f>
        <v>3</v>
      </c>
      <c r="R31" s="166">
        <f>入學要求!O256</f>
        <v>1</v>
      </c>
      <c r="S31" s="166">
        <f>入學要求!P256</f>
        <v>3</v>
      </c>
      <c r="T31" s="166">
        <f>入學要求!Q256</f>
        <v>3</v>
      </c>
      <c r="U31" s="236">
        <f>入學要求!S256</f>
        <v>0</v>
      </c>
      <c r="V31" s="236">
        <f>入學要求!T256</f>
        <v>0</v>
      </c>
      <c r="W31" s="236">
        <f>入學要求!U256</f>
        <v>0</v>
      </c>
      <c r="X31" s="236">
        <f>入學要求!V256</f>
        <v>0</v>
      </c>
      <c r="Y31" s="236">
        <f>入學要求!W256</f>
        <v>0</v>
      </c>
      <c r="Z31" s="236">
        <f>入學要求!X256</f>
        <v>0</v>
      </c>
      <c r="AA31" s="36">
        <f t="shared" si="0"/>
        <v>3.5</v>
      </c>
      <c r="AB31" s="537"/>
      <c r="AC31" s="36" cm="1">
        <f t="array" ref="AC31">IFERROR(INDEX('Offer Statistics'!CH$2:CH$400,MATCH(1,($A31='Offer Statistics'!$BS$2:$BS$400)*($AB$2='Offer Statistics'!$BT$2:$BT$400),0)),"/")</f>
        <v>14</v>
      </c>
      <c r="AD31" s="63" cm="1">
        <f t="array" ref="AD31">IFERROR(INDEX('Offer Statistics'!CC$2:CC$400,MATCH(1,($A31='Offer Statistics'!$BS$2:$BS$400)*($AB$2='Offer Statistics'!$BT$2:$BT$400),0)),"/")</f>
        <v>14</v>
      </c>
      <c r="AE31" s="63" cm="1">
        <f t="array" ref="AE31">IFERROR(INDEX('Offer Statistics'!CD$2:CD$400,MATCH(1,($A31='Offer Statistics'!$BS$2:$BS$400)*($AB$2='Offer Statistics'!$BT$2:$BT$400),0)),"/")</f>
        <v>0</v>
      </c>
      <c r="AF31" s="63" cm="1">
        <f t="array" ref="AF31">IFERROR(INDEX('Offer Statistics'!CE$2:CE$400,MATCH(1,($A31='Offer Statistics'!$BS$2:$BS$400)*($AB$2='Offer Statistics'!$BT$2:$BT$400),0)),"/")</f>
        <v>0</v>
      </c>
      <c r="AG31" s="63" cm="1">
        <f t="array" ref="AG31">IFERROR(INDEX('Offer Statistics'!CF$2:CF$400,MATCH(1,($A31='Offer Statistics'!$BS$2:$BS$400)*($AB$2='Offer Statistics'!$BT$2:$BT$400),0)),"/")</f>
        <v>0</v>
      </c>
      <c r="AH31" s="63" cm="1">
        <f t="array" ref="AH31">IFERROR(INDEX('Offer Statistics'!CG$2:CG$400,MATCH(1,($A31='Offer Statistics'!$BS$2:$BS$400)*($AB$2='Offer Statistics'!$BT$2:$BT$400),0)),"/")</f>
        <v>0</v>
      </c>
      <c r="AI31" s="538"/>
      <c r="AJ31" s="36" cm="1">
        <f t="array" ref="AJ31">IFERROR(INDEX('Offer Statistics'!BZ$2:BZ$400,MATCH(1,($A31='Offer Statistics'!$BS$2:$BS$400)*($AB$2='Offer Statistics'!$BT$2:$BT$400),0)),"/")</f>
        <v>576</v>
      </c>
      <c r="AK31" s="63" cm="1">
        <f t="array" ref="AK31">IFERROR(INDEX('Offer Statistics'!BU$2:BU$400,MATCH(1,($A31='Offer Statistics'!$BS$2:$BS$400)*($AB$2='Offer Statistics'!$BT$2:$BT$400),0)),"/")</f>
        <v>49</v>
      </c>
      <c r="AL31" s="63" cm="1">
        <f t="array" ref="AL31">IFERROR(INDEX('Offer Statistics'!BV$2:BV$400,MATCH(1,($A31='Offer Statistics'!$BS$2:$BS$400)*($AB$2='Offer Statistics'!$BT$2:$BT$400),0)),"/")</f>
        <v>69</v>
      </c>
      <c r="AM31" s="63" cm="1">
        <f t="array" ref="AM31">IFERROR(INDEX('Offer Statistics'!BW$2:BW$400,MATCH(1,($A31='Offer Statistics'!$BS$2:$BS$400)*($AB$2='Offer Statistics'!$BT$2:$BT$400),0)),"/")</f>
        <v>147</v>
      </c>
      <c r="AN31" s="63" cm="1">
        <f t="array" ref="AN31">IFERROR(INDEX('Offer Statistics'!BX$2:BX$400,MATCH(1,($A31='Offer Statistics'!$BS$2:$BS$400)*($AB$2='Offer Statistics'!$BT$2:$BT$400),0)),"/")</f>
        <v>164</v>
      </c>
      <c r="AO31" s="63" cm="1">
        <f t="array" ref="AO31">IFERROR(INDEX('Offer Statistics'!BY$2:BY$400,MATCH(1,($A31='Offer Statistics'!$BS$2:$BS$400)*($AB$2='Offer Statistics'!$BT$2:$BT$400),0)),"/")</f>
        <v>147</v>
      </c>
      <c r="AP31" s="4"/>
      <c r="AQ31" s="15" t="str">
        <f t="shared" si="1"/>
        <v>JS5813</v>
      </c>
    </row>
    <row r="32" spans="1:43" ht="18" customHeight="1">
      <c r="A32" s="4" t="str">
        <f>'Reference Score Calculation'!B248</f>
        <v>JS5814</v>
      </c>
      <c r="B32" s="4" t="str">
        <f>'Reference Score Calculation'!D248</f>
        <v>跨學科課程</v>
      </c>
      <c r="C32" s="4" t="str">
        <f>'Reference Score Calculation'!E248</f>
        <v>理學士（風險管理及商業智能學）</v>
      </c>
      <c r="D32" s="4" t="str">
        <f>'Reference Score Calculation'!S248</f>
        <v>RMBI</v>
      </c>
      <c r="E32" s="352" t="str">
        <f>'Reference Score Calculation'!AC248</f>
        <v>英數Best4</v>
      </c>
      <c r="F32" s="450" t="str">
        <f>'Reference Score Calculation'!F248</f>
        <v>英數Best3</v>
      </c>
      <c r="G32" s="6">
        <f>'Reference Score Calculation'!I248</f>
        <v>45</v>
      </c>
      <c r="H32" s="6">
        <f>'Reference Score Calculation'!J248</f>
        <v>42.88</v>
      </c>
      <c r="I32" s="45">
        <f>計分版!J271</f>
        <v>3.4500000000000003E-9</v>
      </c>
      <c r="J32" s="167">
        <f>IFERROR(IF(J$1="差距(Median)",I32-G32,IF(J$1="差距(UQ)",I32-#REF!,IF(J$1="差距(LQ)",I32-H32))),"/")</f>
        <v>-44.999999996550002</v>
      </c>
      <c r="K32" s="168">
        <f>IFERROR(IF(J$1="差距(Median)",(I32-G32)/I32,IF(J$1="差距(UQ)",(I32-#REF!)/I32,IF(J$1="差距(LQ)",(I32-H32)/I32))),"/")</f>
        <v>-13043478259.869564</v>
      </c>
      <c r="L32" s="36">
        <f>'Reference Score Calculation'!U248</f>
        <v>22</v>
      </c>
      <c r="M32" s="84">
        <f>入學要求!Z257</f>
        <v>0</v>
      </c>
      <c r="N32" s="544"/>
      <c r="O32" s="166">
        <f>入學要求!L257</f>
        <v>3</v>
      </c>
      <c r="P32" s="166">
        <f>入學要求!M257</f>
        <v>4</v>
      </c>
      <c r="Q32" s="166">
        <f>入學要求!N257</f>
        <v>3</v>
      </c>
      <c r="R32" s="166">
        <f>入學要求!O257</f>
        <v>1</v>
      </c>
      <c r="S32" s="166">
        <f>入學要求!P257</f>
        <v>3</v>
      </c>
      <c r="T32" s="166">
        <f>入學要求!Q257</f>
        <v>3</v>
      </c>
      <c r="U32" s="236">
        <f>入學要求!S257</f>
        <v>0</v>
      </c>
      <c r="V32" s="236">
        <f>入學要求!T257</f>
        <v>0</v>
      </c>
      <c r="W32" s="236">
        <f>入學要求!U257</f>
        <v>0</v>
      </c>
      <c r="X32" s="236">
        <f>入學要求!V257</f>
        <v>0</v>
      </c>
      <c r="Y32" s="236">
        <f>入學要求!W257</f>
        <v>0</v>
      </c>
      <c r="Z32" s="236">
        <f>入學要求!X257</f>
        <v>0</v>
      </c>
      <c r="AA32" s="36">
        <f t="shared" si="0"/>
        <v>2.96</v>
      </c>
      <c r="AB32" s="537"/>
      <c r="AC32" s="36" cm="1">
        <f t="array" ref="AC32">IFERROR(INDEX('Offer Statistics'!CH$2:CH$400,MATCH(1,($A32='Offer Statistics'!$BS$2:$BS$400)*($AB$2='Offer Statistics'!$BT$2:$BT$400),0)),"/")</f>
        <v>23</v>
      </c>
      <c r="AD32" s="63" cm="1">
        <f t="array" ref="AD32">IFERROR(INDEX('Offer Statistics'!CC$2:CC$400,MATCH(1,($A32='Offer Statistics'!$BS$2:$BS$400)*($AB$2='Offer Statistics'!$BT$2:$BT$400),0)),"/")</f>
        <v>23</v>
      </c>
      <c r="AE32" s="63" cm="1">
        <f t="array" ref="AE32">IFERROR(INDEX('Offer Statistics'!CD$2:CD$400,MATCH(1,($A32='Offer Statistics'!$BS$2:$BS$400)*($AB$2='Offer Statistics'!$BT$2:$BT$400),0)),"/")</f>
        <v>0</v>
      </c>
      <c r="AF32" s="63" cm="1">
        <f t="array" ref="AF32">IFERROR(INDEX('Offer Statistics'!CE$2:CE$400,MATCH(1,($A32='Offer Statistics'!$BS$2:$BS$400)*($AB$2='Offer Statistics'!$BT$2:$BT$400),0)),"/")</f>
        <v>0</v>
      </c>
      <c r="AG32" s="63" cm="1">
        <f t="array" ref="AG32">IFERROR(INDEX('Offer Statistics'!CF$2:CF$400,MATCH(1,($A32='Offer Statistics'!$BS$2:$BS$400)*($AB$2='Offer Statistics'!$BT$2:$BT$400),0)),"/")</f>
        <v>0</v>
      </c>
      <c r="AH32" s="63" cm="1">
        <f t="array" ref="AH32">IFERROR(INDEX('Offer Statistics'!CG$2:CG$400,MATCH(1,($A32='Offer Statistics'!$BS$2:$BS$400)*($AB$2='Offer Statistics'!$BT$2:$BT$400),0)),"/")</f>
        <v>0</v>
      </c>
      <c r="AI32" s="538"/>
      <c r="AJ32" s="36" cm="1">
        <f t="array" ref="AJ32">IFERROR(INDEX('Offer Statistics'!BZ$2:BZ$400,MATCH(1,($A32='Offer Statistics'!$BS$2:$BS$400)*($AB$2='Offer Statistics'!$BT$2:$BT$400),0)),"/")</f>
        <v>561</v>
      </c>
      <c r="AK32" s="63" cm="1">
        <f t="array" ref="AK32">IFERROR(INDEX('Offer Statistics'!BU$2:BU$400,MATCH(1,($A32='Offer Statistics'!$BS$2:$BS$400)*($AB$2='Offer Statistics'!$BT$2:$BT$400),0)),"/")</f>
        <v>68</v>
      </c>
      <c r="AL32" s="63" cm="1">
        <f t="array" ref="AL32">IFERROR(INDEX('Offer Statistics'!BV$2:BV$400,MATCH(1,($A32='Offer Statistics'!$BS$2:$BS$400)*($AB$2='Offer Statistics'!$BT$2:$BT$400),0)),"/")</f>
        <v>42</v>
      </c>
      <c r="AM32" s="63" cm="1">
        <f t="array" ref="AM32">IFERROR(INDEX('Offer Statistics'!BW$2:BW$400,MATCH(1,($A32='Offer Statistics'!$BS$2:$BS$400)*($AB$2='Offer Statistics'!$BT$2:$BT$400),0)),"/")</f>
        <v>94</v>
      </c>
      <c r="AN32" s="63" cm="1">
        <f t="array" ref="AN32">IFERROR(INDEX('Offer Statistics'!BX$2:BX$400,MATCH(1,($A32='Offer Statistics'!$BS$2:$BS$400)*($AB$2='Offer Statistics'!$BT$2:$BT$400),0)),"/")</f>
        <v>169</v>
      </c>
      <c r="AO32" s="63" cm="1">
        <f t="array" ref="AO32">IFERROR(INDEX('Offer Statistics'!BY$2:BY$400,MATCH(1,($A32='Offer Statistics'!$BS$2:$BS$400)*($AB$2='Offer Statistics'!$BT$2:$BT$400),0)),"/")</f>
        <v>188</v>
      </c>
      <c r="AQ32" s="15" t="str">
        <f t="shared" si="1"/>
        <v>JS5814</v>
      </c>
    </row>
    <row r="33" spans="1:44" ht="18" customHeight="1">
      <c r="A33" s="4" t="str">
        <f>'Reference Score Calculation'!B249</f>
        <v>JS5822</v>
      </c>
      <c r="B33" s="4" t="str">
        <f>'Reference Score Calculation'!D249</f>
        <v>跨學科課程</v>
      </c>
      <c r="C33" s="4" t="str">
        <f>'Reference Score Calculation'!E249</f>
        <v>理學士（可持續發展及綠色金融）</v>
      </c>
      <c r="D33" s="4" t="str">
        <f>'Reference Score Calculation'!S249</f>
        <v>SGFN</v>
      </c>
      <c r="E33" s="352" t="str">
        <f>'Reference Score Calculation'!AC249</f>
        <v>英數Best4</v>
      </c>
      <c r="F33" s="450" t="str">
        <f>'Reference Score Calculation'!F249</f>
        <v>英數Best3</v>
      </c>
      <c r="G33" s="6">
        <f>'Reference Score Calculation'!I249</f>
        <v>38.630000000000003</v>
      </c>
      <c r="H33" s="6">
        <f>'Reference Score Calculation'!J249</f>
        <v>37.130000000000003</v>
      </c>
      <c r="I33" s="45">
        <f>計分版!J272</f>
        <v>3.3999999999999998E-9</v>
      </c>
      <c r="J33" s="167">
        <f>IFERROR(IF(J$1="差距(Median)",I33-G33,IF(J$1="差距(UQ)",I33-#REF!,IF(J$1="差距(LQ)",I33-H33))),"/")</f>
        <v>-38.629999996600006</v>
      </c>
      <c r="K33" s="168">
        <f>IFERROR(IF(J$1="差距(Median)",(I33-G33)/I33,IF(J$1="差距(UQ)",(I33-#REF!)/I33,IF(J$1="差距(LQ)",(I33-H33)/I33))),"/")</f>
        <v>-11361764704.882355</v>
      </c>
      <c r="L33" s="36">
        <f>'Reference Score Calculation'!U249</f>
        <v>18</v>
      </c>
      <c r="M33" s="84">
        <f>入學要求!Z258</f>
        <v>0</v>
      </c>
      <c r="N33" s="544"/>
      <c r="O33" s="166">
        <f>入學要求!L258</f>
        <v>3</v>
      </c>
      <c r="P33" s="166">
        <f>入學要求!M258</f>
        <v>4</v>
      </c>
      <c r="Q33" s="166">
        <f>入學要求!N258</f>
        <v>3</v>
      </c>
      <c r="R33" s="166">
        <f>入學要求!O258</f>
        <v>1</v>
      </c>
      <c r="S33" s="166">
        <f>入學要求!P258</f>
        <v>3</v>
      </c>
      <c r="T33" s="166">
        <f>入學要求!Q258</f>
        <v>3</v>
      </c>
      <c r="U33" s="236">
        <f>入學要求!S258</f>
        <v>0</v>
      </c>
      <c r="V33" s="236">
        <f>入學要求!T258</f>
        <v>0</v>
      </c>
      <c r="W33" s="236">
        <f>入學要求!U258</f>
        <v>0</v>
      </c>
      <c r="X33" s="236">
        <f>入學要求!V258</f>
        <v>0</v>
      </c>
      <c r="Y33" s="236">
        <f>入學要求!W258</f>
        <v>0</v>
      </c>
      <c r="Z33" s="236">
        <f>入學要求!X258</f>
        <v>0</v>
      </c>
      <c r="AA33" s="36">
        <f t="shared" si="0"/>
        <v>1.82</v>
      </c>
      <c r="AB33" s="537"/>
      <c r="AC33" s="36" cm="1">
        <f t="array" ref="AC33">IFERROR(INDEX('Offer Statistics'!CH$2:CH$400,MATCH(1,($A33='Offer Statistics'!$BS$2:$BS$400)*($AB$2='Offer Statistics'!$BT$2:$BT$400),0)),"/")</f>
        <v>17</v>
      </c>
      <c r="AD33" s="63" cm="1">
        <f t="array" ref="AD33">IFERROR(INDEX('Offer Statistics'!CC$2:CC$400,MATCH(1,($A33='Offer Statistics'!$BS$2:$BS$400)*($AB$2='Offer Statistics'!$BT$2:$BT$400),0)),"/")</f>
        <v>17</v>
      </c>
      <c r="AE33" s="63" cm="1">
        <f t="array" ref="AE33">IFERROR(INDEX('Offer Statistics'!CD$2:CD$400,MATCH(1,($A33='Offer Statistics'!$BS$2:$BS$400)*($AB$2='Offer Statistics'!$BT$2:$BT$400),0)),"/")</f>
        <v>0</v>
      </c>
      <c r="AF33" s="63" cm="1">
        <f t="array" ref="AF33">IFERROR(INDEX('Offer Statistics'!CE$2:CE$400,MATCH(1,($A33='Offer Statistics'!$BS$2:$BS$400)*($AB$2='Offer Statistics'!$BT$2:$BT$400),0)),"/")</f>
        <v>0</v>
      </c>
      <c r="AG33" s="63" cm="1">
        <f t="array" ref="AG33">IFERROR(INDEX('Offer Statistics'!CF$2:CF$400,MATCH(1,($A33='Offer Statistics'!$BS$2:$BS$400)*($AB$2='Offer Statistics'!$BT$2:$BT$400),0)),"/")</f>
        <v>0</v>
      </c>
      <c r="AH33" s="63" cm="1">
        <f t="array" ref="AH33">IFERROR(INDEX('Offer Statistics'!CG$2:CG$400,MATCH(1,($A33='Offer Statistics'!$BS$2:$BS$400)*($AB$2='Offer Statistics'!$BT$2:$BT$400),0)),"/")</f>
        <v>0</v>
      </c>
      <c r="AI33" s="538"/>
      <c r="AJ33" s="36" cm="1">
        <f t="array" ref="AJ33">IFERROR(INDEX('Offer Statistics'!BZ$2:BZ$400,MATCH(1,($A33='Offer Statistics'!$BS$2:$BS$400)*($AB$2='Offer Statistics'!$BT$2:$BT$400),0)),"/")</f>
        <v>335</v>
      </c>
      <c r="AK33" s="63" cm="1">
        <f t="array" ref="AK33">IFERROR(INDEX('Offer Statistics'!BU$2:BU$400,MATCH(1,($A33='Offer Statistics'!$BS$2:$BS$400)*($AB$2='Offer Statistics'!$BT$2:$BT$400),0)),"/")</f>
        <v>31</v>
      </c>
      <c r="AL33" s="63" cm="1">
        <f t="array" ref="AL33">IFERROR(INDEX('Offer Statistics'!BV$2:BV$400,MATCH(1,($A33='Offer Statistics'!$BS$2:$BS$400)*($AB$2='Offer Statistics'!$BT$2:$BT$400),0)),"/")</f>
        <v>40</v>
      </c>
      <c r="AM33" s="63" cm="1">
        <f t="array" ref="AM33">IFERROR(INDEX('Offer Statistics'!BW$2:BW$400,MATCH(1,($A33='Offer Statistics'!$BS$2:$BS$400)*($AB$2='Offer Statistics'!$BT$2:$BT$400),0)),"/")</f>
        <v>55</v>
      </c>
      <c r="AN33" s="63" cm="1">
        <f t="array" ref="AN33">IFERROR(INDEX('Offer Statistics'!BX$2:BX$400,MATCH(1,($A33='Offer Statistics'!$BS$2:$BS$400)*($AB$2='Offer Statistics'!$BT$2:$BT$400),0)),"/")</f>
        <v>106</v>
      </c>
      <c r="AO33" s="63" cm="1">
        <f t="array" ref="AO33">IFERROR(INDEX('Offer Statistics'!BY$2:BY$400,MATCH(1,($A33='Offer Statistics'!$BS$2:$BS$400)*($AB$2='Offer Statistics'!$BT$2:$BT$400),0)),"/")</f>
        <v>103</v>
      </c>
      <c r="AQ33" s="15" t="str">
        <f t="shared" si="1"/>
        <v>JS5822</v>
      </c>
    </row>
    <row r="34" spans="1:44" s="10" customFormat="1" ht="18" customHeight="1">
      <c r="A34" s="4" t="str">
        <f>'Reference Score Calculation'!B250</f>
        <v>JS5901</v>
      </c>
      <c r="B34" s="4" t="str">
        <f>'Reference Score Calculation'!D250</f>
        <v>跨學科課程</v>
      </c>
      <c r="C34" s="4" t="str">
        <f>'Reference Score Calculation'!E250</f>
        <v>科技及管理學雙學位課程</v>
      </c>
      <c r="D34" s="4" t="str">
        <f>'Reference Score Calculation'!S250</f>
        <v>T&amp;M-DDP</v>
      </c>
      <c r="E34" s="352" t="str">
        <f>'Reference Score Calculation'!AC250</f>
        <v>英數Best4</v>
      </c>
      <c r="F34" s="450" t="str">
        <f>'Reference Score Calculation'!F250</f>
        <v>英數Best3</v>
      </c>
      <c r="G34" s="6">
        <f>'Reference Score Calculation'!I250</f>
        <v>61.66</v>
      </c>
      <c r="H34" s="6">
        <f>'Reference Score Calculation'!J250</f>
        <v>58.55</v>
      </c>
      <c r="I34" s="45">
        <f>計分版!J273</f>
        <v>3.2999999999999998E-9</v>
      </c>
      <c r="J34" s="167">
        <f>IFERROR(IF(J$1="差距(Median)",I34-G34,IF(J$1="差距(UQ)",I34-#REF!,IF(J$1="差距(LQ)",I34-H34))),"/")</f>
        <v>-61.659999996699995</v>
      </c>
      <c r="K34" s="168">
        <f>IFERROR(IF(J$1="差距(Median)",(I34-G34)/I34,IF(J$1="差距(UQ)",(I34-#REF!)/I34,IF(J$1="差距(LQ)",(I34-H34)/I34))),"/")</f>
        <v>-18684848483.848484</v>
      </c>
      <c r="L34" s="36">
        <f>'Reference Score Calculation'!U250</f>
        <v>22</v>
      </c>
      <c r="M34" s="84">
        <f>入學要求!Z259</f>
        <v>0</v>
      </c>
      <c r="N34" s="544"/>
      <c r="O34" s="166">
        <f>入學要求!L259</f>
        <v>3</v>
      </c>
      <c r="P34" s="166">
        <f>入學要求!M259</f>
        <v>4</v>
      </c>
      <c r="Q34" s="166">
        <f>入學要求!N259</f>
        <v>3</v>
      </c>
      <c r="R34" s="166">
        <f>入學要求!O259</f>
        <v>1</v>
      </c>
      <c r="S34" s="166">
        <f>入學要求!P259</f>
        <v>3</v>
      </c>
      <c r="T34" s="166">
        <f>入學要求!Q259</f>
        <v>3</v>
      </c>
      <c r="U34" s="236">
        <f>入學要求!S259</f>
        <v>0</v>
      </c>
      <c r="V34" s="236">
        <f>入學要求!T259</f>
        <v>0</v>
      </c>
      <c r="W34" s="236">
        <f>入學要求!U259</f>
        <v>0</v>
      </c>
      <c r="X34" s="236">
        <f>入學要求!V259</f>
        <v>0</v>
      </c>
      <c r="Y34" s="236">
        <f>入學要求!W259</f>
        <v>0</v>
      </c>
      <c r="Z34" s="236">
        <f>入學要求!X259</f>
        <v>0</v>
      </c>
      <c r="AA34" s="36">
        <f t="shared" si="0"/>
        <v>2.5499999999999998</v>
      </c>
      <c r="AB34" s="537"/>
      <c r="AC34" s="36" cm="1">
        <f t="array" ref="AC34">IFERROR(INDEX('Offer Statistics'!CH$2:CH$400,MATCH(1,($A34='Offer Statistics'!$BS$2:$BS$400)*($AB$2='Offer Statistics'!$BT$2:$BT$400),0)),"/")</f>
        <v>20</v>
      </c>
      <c r="AD34" s="63" cm="1">
        <f t="array" ref="AD34">IFERROR(INDEX('Offer Statistics'!CC$2:CC$400,MATCH(1,($A34='Offer Statistics'!$BS$2:$BS$400)*($AB$2='Offer Statistics'!$BT$2:$BT$400),0)),"/")</f>
        <v>20</v>
      </c>
      <c r="AE34" s="63" cm="1">
        <f t="array" ref="AE34">IFERROR(INDEX('Offer Statistics'!CD$2:CD$400,MATCH(1,($A34='Offer Statistics'!$BS$2:$BS$400)*($AB$2='Offer Statistics'!$BT$2:$BT$400),0)),"/")</f>
        <v>0</v>
      </c>
      <c r="AF34" s="63" cm="1">
        <f t="array" ref="AF34">IFERROR(INDEX('Offer Statistics'!CE$2:CE$400,MATCH(1,($A34='Offer Statistics'!$BS$2:$BS$400)*($AB$2='Offer Statistics'!$BT$2:$BT$400),0)),"/")</f>
        <v>0</v>
      </c>
      <c r="AG34" s="63" cm="1">
        <f t="array" ref="AG34">IFERROR(INDEX('Offer Statistics'!CF$2:CF$400,MATCH(1,($A34='Offer Statistics'!$BS$2:$BS$400)*($AB$2='Offer Statistics'!$BT$2:$BT$400),0)),"/")</f>
        <v>0</v>
      </c>
      <c r="AH34" s="63" cm="1">
        <f t="array" ref="AH34">IFERROR(INDEX('Offer Statistics'!CG$2:CG$400,MATCH(1,($A34='Offer Statistics'!$BS$2:$BS$400)*($AB$2='Offer Statistics'!$BT$2:$BT$400),0)),"/")</f>
        <v>0</v>
      </c>
      <c r="AI34" s="538"/>
      <c r="AJ34" s="36" cm="1">
        <f t="array" ref="AJ34">IFERROR(INDEX('Offer Statistics'!BZ$2:BZ$400,MATCH(1,($A34='Offer Statistics'!$BS$2:$BS$400)*($AB$2='Offer Statistics'!$BT$2:$BT$400),0)),"/")</f>
        <v>367</v>
      </c>
      <c r="AK34" s="63" cm="1">
        <f t="array" ref="AK34">IFERROR(INDEX('Offer Statistics'!BU$2:BU$400,MATCH(1,($A34='Offer Statistics'!$BS$2:$BS$400)*($AB$2='Offer Statistics'!$BT$2:$BT$400),0)),"/")</f>
        <v>51</v>
      </c>
      <c r="AL34" s="63" cm="1">
        <f t="array" ref="AL34">IFERROR(INDEX('Offer Statistics'!BV$2:BV$400,MATCH(1,($A34='Offer Statistics'!$BS$2:$BS$400)*($AB$2='Offer Statistics'!$BT$2:$BT$400),0)),"/")</f>
        <v>34</v>
      </c>
      <c r="AM34" s="63" cm="1">
        <f t="array" ref="AM34">IFERROR(INDEX('Offer Statistics'!BW$2:BW$400,MATCH(1,($A34='Offer Statistics'!$BS$2:$BS$400)*($AB$2='Offer Statistics'!$BT$2:$BT$400),0)),"/")</f>
        <v>67</v>
      </c>
      <c r="AN34" s="63" cm="1">
        <f t="array" ref="AN34">IFERROR(INDEX('Offer Statistics'!BX$2:BX$400,MATCH(1,($A34='Offer Statistics'!$BS$2:$BS$400)*($AB$2='Offer Statistics'!$BT$2:$BT$400),0)),"/")</f>
        <v>98</v>
      </c>
      <c r="AO34" s="63" cm="1">
        <f t="array" ref="AO34">IFERROR(INDEX('Offer Statistics'!BY$2:BY$400,MATCH(1,($A34='Offer Statistics'!$BS$2:$BS$400)*($AB$2='Offer Statistics'!$BT$2:$BT$400),0)),"/")</f>
        <v>117</v>
      </c>
      <c r="AP34" s="4"/>
      <c r="AQ34" s="15" t="str">
        <f t="shared" si="1"/>
        <v>JS5901</v>
      </c>
    </row>
    <row r="35" spans="1:44" ht="18" customHeight="1"/>
    <row r="36" spans="1:44" ht="18" customHeight="1">
      <c r="A36" s="3" t="s">
        <v>2462</v>
      </c>
    </row>
    <row r="37" spans="1:44" ht="18" customHeight="1">
      <c r="A37" s="4" t="s">
        <v>178</v>
      </c>
    </row>
    <row r="38" spans="1:44" ht="18" customHeight="1"/>
    <row r="39" spans="1:44" ht="17.7" customHeight="1">
      <c r="A39" s="4" t="s">
        <v>3131</v>
      </c>
    </row>
    <row r="40" spans="1:44" ht="18" customHeight="1">
      <c r="C40" s="23"/>
      <c r="F40" s="15"/>
      <c r="G40" s="4"/>
      <c r="H40" s="4"/>
      <c r="J40" s="4"/>
      <c r="K40" s="4"/>
      <c r="L40" s="36"/>
      <c r="N40" s="4"/>
      <c r="O40" s="4"/>
      <c r="P40" s="4"/>
      <c r="Q40" s="4"/>
      <c r="R40" s="4"/>
      <c r="S40" s="4"/>
      <c r="T40" s="4"/>
      <c r="U40" s="4"/>
      <c r="V40" s="4"/>
      <c r="W40" s="4"/>
      <c r="X40" s="4"/>
      <c r="Y40" s="4"/>
      <c r="Z40" s="4"/>
      <c r="AA40" s="4"/>
      <c r="AQ40" s="4"/>
    </row>
    <row r="41" spans="1:44" ht="18" customHeight="1">
      <c r="A41" s="23" t="s">
        <v>2962</v>
      </c>
      <c r="J41" s="15"/>
      <c r="K41" s="22"/>
      <c r="L41" s="23"/>
      <c r="N41" s="4"/>
      <c r="U41" s="4"/>
      <c r="V41" s="4"/>
      <c r="W41" s="4"/>
      <c r="X41" s="4"/>
      <c r="Y41" s="4"/>
      <c r="Z41" s="4"/>
      <c r="AA41" s="4"/>
      <c r="AB41" s="15"/>
      <c r="AC41" s="15"/>
      <c r="AD41" s="15"/>
      <c r="AE41" s="15"/>
      <c r="AF41" s="15"/>
      <c r="AG41" s="15"/>
      <c r="AH41" s="15"/>
      <c r="AI41" s="15"/>
      <c r="AJ41" s="15"/>
      <c r="AK41" s="15"/>
      <c r="AL41" s="15"/>
      <c r="AM41" s="15"/>
      <c r="AN41" s="15"/>
      <c r="AO41" s="15"/>
      <c r="AP41" s="15"/>
      <c r="AQ41" s="4"/>
      <c r="AR41" s="15"/>
    </row>
    <row r="42" spans="1:44" ht="18" customHeight="1">
      <c r="A42" s="254" t="s">
        <v>2457</v>
      </c>
    </row>
    <row r="43" spans="1:44" ht="18" customHeight="1">
      <c r="A43" s="254"/>
    </row>
    <row r="44" spans="1:44" ht="18" customHeight="1">
      <c r="A44" s="254"/>
    </row>
    <row r="45" spans="1:44" ht="18" customHeight="1">
      <c r="A45" s="254" t="s">
        <v>3319</v>
      </c>
    </row>
    <row r="46" spans="1:44" ht="18" customHeight="1">
      <c r="A46" s="254" t="s">
        <v>3310</v>
      </c>
    </row>
    <row r="47" spans="1:44" ht="18" customHeight="1">
      <c r="A47" s="254"/>
    </row>
    <row r="48" spans="1:44" ht="18" customHeight="1">
      <c r="A48" s="555" t="s">
        <v>3318</v>
      </c>
    </row>
    <row r="49" spans="1:9" ht="18" customHeight="1">
      <c r="A49" s="254" t="s">
        <v>3320</v>
      </c>
    </row>
    <row r="50" spans="1:9" ht="18" customHeight="1">
      <c r="A50" s="254"/>
    </row>
    <row r="51" spans="1:9" ht="18" customHeight="1">
      <c r="A51" s="3" t="s">
        <v>127</v>
      </c>
    </row>
    <row r="52" spans="1:9" ht="18" customHeight="1">
      <c r="A52" s="4" t="s">
        <v>179</v>
      </c>
    </row>
    <row r="53" spans="1:9" ht="18" customHeight="1">
      <c r="A53" s="4" t="s">
        <v>2455</v>
      </c>
    </row>
    <row r="54" spans="1:9" ht="18" customHeight="1"/>
    <row r="55" spans="1:9" ht="18" customHeight="1">
      <c r="A55" s="3" t="s">
        <v>129</v>
      </c>
    </row>
    <row r="56" spans="1:9" ht="18" customHeight="1">
      <c r="A56" s="244" t="s">
        <v>2461</v>
      </c>
      <c r="B56" s="165"/>
      <c r="C56" s="165"/>
    </row>
    <row r="57" spans="1:9" ht="18" customHeight="1">
      <c r="A57" s="247" t="s">
        <v>2460</v>
      </c>
      <c r="B57" s="165"/>
      <c r="C57" s="165"/>
      <c r="I57" s="3"/>
    </row>
    <row r="58" spans="1:9" ht="18" customHeight="1">
      <c r="A58" s="244" t="s">
        <v>3289</v>
      </c>
      <c r="B58" s="165"/>
      <c r="C58" s="165"/>
      <c r="I58" s="4"/>
    </row>
    <row r="59" spans="1:9" ht="18" customHeight="1">
      <c r="A59" s="165"/>
      <c r="B59" s="165"/>
      <c r="C59" s="165"/>
    </row>
    <row r="60" spans="1:9">
      <c r="A60" s="165"/>
      <c r="B60" s="165"/>
      <c r="C60" s="165"/>
    </row>
    <row r="61" spans="1:9"/>
    <row r="62" spans="1:9"/>
    <row r="63" spans="1:9"/>
    <row r="64" spans="1:9"/>
    <row r="65"/>
    <row r="66"/>
    <row r="67"/>
    <row r="68"/>
    <row r="69"/>
  </sheetData>
  <sheetProtection sheet="1" sort="0" autoFilter="0" pivotTables="0"/>
  <mergeCells count="6">
    <mergeCell ref="J1:K1"/>
    <mergeCell ref="L3:L4"/>
    <mergeCell ref="AB2:AB34"/>
    <mergeCell ref="AI2:AI34"/>
    <mergeCell ref="N2:N34"/>
    <mergeCell ref="L19:L22"/>
  </mergeCells>
  <phoneticPr fontId="3" type="noConversion"/>
  <conditionalFormatting sqref="A2:XFD2 A3:M3 M4 A5:M19 M20:M22 A23:M34 A4:K4 A20:K22 AJ3:XFD34 O3:AA34 AC3:AH34">
    <cfRule type="expression" dxfId="171" priority="1365">
      <formula>MOD(ROW(),2)=0</formula>
    </cfRule>
  </conditionalFormatting>
  <conditionalFormatting sqref="G2:G34">
    <cfRule type="expression" dxfId="170" priority="116">
      <formula>$J$1="差距(Median)"</formula>
    </cfRule>
  </conditionalFormatting>
  <conditionalFormatting sqref="H2:H34">
    <cfRule type="expression" dxfId="169" priority="103">
      <formula>$J$1="差距(LQ)"</formula>
    </cfRule>
  </conditionalFormatting>
  <conditionalFormatting sqref="J2:K34">
    <cfRule type="cellIs" dxfId="168" priority="56" operator="equal">
      <formula>"/"</formula>
    </cfRule>
    <cfRule type="cellIs" dxfId="167" priority="57" operator="lessThan">
      <formula>0</formula>
    </cfRule>
    <cfRule type="cellIs" dxfId="166" priority="58" operator="greaterThan">
      <formula>0</formula>
    </cfRule>
  </conditionalFormatting>
  <conditionalFormatting sqref="M2:M34">
    <cfRule type="cellIs" dxfId="165" priority="100" operator="equal">
      <formula>2</formula>
    </cfRule>
    <cfRule type="cellIs" dxfId="164" priority="101" operator="equal">
      <formula>1</formula>
    </cfRule>
    <cfRule type="cellIs" dxfId="163" priority="102" operator="equal">
      <formula>0</formula>
    </cfRule>
  </conditionalFormatting>
  <conditionalFormatting sqref="O2:T34">
    <cfRule type="expression" dxfId="162" priority="5">
      <formula>U2=0</formula>
    </cfRule>
    <cfRule type="expression" dxfId="161" priority="6">
      <formula>U2=2</formula>
    </cfRule>
    <cfRule type="expression" dxfId="160" priority="7">
      <formula>U2=1</formula>
    </cfRule>
  </conditionalFormatting>
  <conditionalFormatting sqref="AB2 AI2 AP2:AP35">
    <cfRule type="expression" dxfId="159" priority="8">
      <formula>TRUE</formula>
    </cfRule>
  </conditionalFormatting>
  <hyperlinks>
    <hyperlink ref="A57" r:id="rId1" location="jupas-interview" xr:uid="{00000000-0004-0000-0B00-000000000000}"/>
    <hyperlink ref="A58" r:id="rId2" xr:uid="{00000000-0004-0000-0B00-000001000000}"/>
    <hyperlink ref="A56" r:id="rId3" xr:uid="{00000000-0004-0000-0B00-000002000000}"/>
  </hyperlinks>
  <pageMargins left="0.7" right="0.7" top="0.75" bottom="0.75" header="0.3" footer="0.3"/>
  <drawing r:id="rId4"/>
  <legacyDrawing r:id="rId5"/>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0000000}">
          <x14:formula1>
            <xm:f>選單!$K$2:$K$3</xm:f>
          </x14:formula1>
          <xm:sqref>J1:K1</xm:sqref>
        </x14:dataValidation>
        <x14:dataValidation type="list" allowBlank="1" showInputMessage="1" showErrorMessage="1" xr:uid="{849A14F2-71E3-4523-85D4-7389DDF6CF04}">
          <x14:formula1>
            <xm:f>選單!$J$1:$J$7</xm:f>
          </x14:formula1>
          <xm:sqref>AB2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0">
    <tabColor theme="9" tint="-0.249977111117893"/>
  </sheetPr>
  <dimension ref="A1:AZ99"/>
  <sheetViews>
    <sheetView workbookViewId="0">
      <selection activeCell="B1" sqref="B1"/>
    </sheetView>
  </sheetViews>
  <sheetFormatPr defaultColWidth="0" defaultRowHeight="13.8" zeroHeight="1"/>
  <cols>
    <col min="1" max="1" width="7.19921875" style="4" customWidth="1"/>
    <col min="2" max="2" width="8.69921875" style="4" customWidth="1"/>
    <col min="3" max="3" width="22.19921875" style="4" customWidth="1"/>
    <col min="4" max="4" width="7.69921875" style="4" customWidth="1"/>
    <col min="5" max="5" width="12.296875" style="4" customWidth="1"/>
    <col min="6" max="6" width="11.5" style="36" customWidth="1"/>
    <col min="7" max="10" width="7.69921875" style="15" customWidth="1"/>
    <col min="11" max="11" width="7.69921875" style="22" customWidth="1"/>
    <col min="12" max="12" width="7.69921875" style="23" customWidth="1"/>
    <col min="13" max="13" width="4.69921875" style="15" customWidth="1"/>
    <col min="14" max="14" width="4.69921875" style="4" customWidth="1"/>
    <col min="15" max="15" width="14.5" style="15" customWidth="1"/>
    <col min="16" max="21" width="2.19921875" style="15" customWidth="1"/>
    <col min="22" max="27" width="2.19921875" style="15" hidden="1" customWidth="1"/>
    <col min="28" max="28" width="10.69921875" style="15" customWidth="1"/>
    <col min="29" max="29" width="8.69921875" style="15" customWidth="1"/>
    <col min="30" max="30" width="6.19921875" style="15" customWidth="1"/>
    <col min="31" max="31" width="6.19921875" style="16" customWidth="1"/>
    <col min="32" max="35" width="6.19921875" style="15" customWidth="1"/>
    <col min="36" max="36" width="8.69921875" style="15" customWidth="1"/>
    <col min="37" max="42" width="6.19921875" style="15" customWidth="1"/>
    <col min="43" max="43" width="3.19921875" style="4" customWidth="1"/>
    <col min="44" max="44" width="8.19921875" style="15" customWidth="1"/>
    <col min="45" max="52" width="0" style="4" hidden="1" customWidth="1"/>
    <col min="53" max="16384" width="9" style="4" hidden="1"/>
  </cols>
  <sheetData>
    <row r="1" spans="1:44" s="24" customFormat="1" ht="18" customHeight="1">
      <c r="A1" s="24" t="s">
        <v>104</v>
      </c>
      <c r="B1" s="24" t="s">
        <v>105</v>
      </c>
      <c r="C1" s="24" t="s">
        <v>106</v>
      </c>
      <c r="E1" s="24" t="s">
        <v>2973</v>
      </c>
      <c r="F1" s="73" t="s">
        <v>2319</v>
      </c>
      <c r="G1" s="73" t="s">
        <v>32</v>
      </c>
      <c r="H1" s="73" t="s">
        <v>102</v>
      </c>
      <c r="I1" s="73" t="s">
        <v>100</v>
      </c>
      <c r="J1" s="73" t="s">
        <v>108</v>
      </c>
      <c r="K1" s="547" t="s">
        <v>109</v>
      </c>
      <c r="L1" s="547"/>
      <c r="M1" s="73" t="s">
        <v>36</v>
      </c>
      <c r="N1" s="24" t="s">
        <v>110</v>
      </c>
      <c r="O1" s="73"/>
      <c r="P1" s="73" t="s">
        <v>111</v>
      </c>
      <c r="Q1" s="73" t="s">
        <v>112</v>
      </c>
      <c r="R1" s="73" t="s">
        <v>113</v>
      </c>
      <c r="S1" s="73" t="s">
        <v>114</v>
      </c>
      <c r="T1" s="73" t="s">
        <v>115</v>
      </c>
      <c r="U1" s="73" t="s">
        <v>116</v>
      </c>
      <c r="V1" s="73"/>
      <c r="W1" s="73"/>
      <c r="X1" s="73"/>
      <c r="Y1" s="73"/>
      <c r="Z1" s="73"/>
      <c r="AA1" s="73"/>
      <c r="AB1" s="73" t="s">
        <v>117</v>
      </c>
      <c r="AC1" s="73" t="s">
        <v>118</v>
      </c>
      <c r="AD1" s="73" t="s">
        <v>135</v>
      </c>
      <c r="AE1" s="73" t="s">
        <v>120</v>
      </c>
      <c r="AF1" s="73" t="s">
        <v>121</v>
      </c>
      <c r="AG1" s="73" t="s">
        <v>122</v>
      </c>
      <c r="AH1" s="73" t="s">
        <v>123</v>
      </c>
      <c r="AI1" s="73" t="s">
        <v>124</v>
      </c>
      <c r="AJ1" s="73" t="s">
        <v>136</v>
      </c>
      <c r="AK1" s="73" t="s">
        <v>135</v>
      </c>
      <c r="AL1" s="73" t="s">
        <v>120</v>
      </c>
      <c r="AM1" s="73" t="s">
        <v>121</v>
      </c>
      <c r="AN1" s="73" t="s">
        <v>122</v>
      </c>
      <c r="AO1" s="73" t="s">
        <v>123</v>
      </c>
      <c r="AP1" s="73" t="s">
        <v>124</v>
      </c>
      <c r="AR1" s="73"/>
    </row>
    <row r="2" spans="1:44" ht="18" customHeight="1">
      <c r="A2" s="4" t="str">
        <f>'Reference Score Calculation'!B253</f>
        <v>JS6004</v>
      </c>
      <c r="B2" s="4" t="str">
        <f>'Reference Score Calculation'!D253</f>
        <v>建築學院</v>
      </c>
      <c r="C2" s="4" t="str">
        <f>'Reference Score Calculation'!E253</f>
        <v>建築學文學士</v>
      </c>
      <c r="D2" s="4" t="str">
        <f>'Reference Score Calculation'!S253</f>
        <v>BA(AS)</v>
      </c>
      <c r="E2" s="352" t="str">
        <f>'Reference Score Calculation'!AC253</f>
        <v>Best 5</v>
      </c>
      <c r="F2" s="334" t="str">
        <f>'Reference Score Calculation'!F253</f>
        <v>Best 5</v>
      </c>
      <c r="G2" s="6">
        <f>'Reference Score Calculation'!H253</f>
        <v>31</v>
      </c>
      <c r="H2" s="6">
        <f>'Reference Score Calculation'!I253</f>
        <v>29</v>
      </c>
      <c r="I2" s="6">
        <f>'Reference Score Calculation'!J253</f>
        <v>28</v>
      </c>
      <c r="J2" s="45">
        <f>計分版!J276</f>
        <v>3.4999999999999999E-9</v>
      </c>
      <c r="K2" s="25">
        <f>IFERROR(IF(K$1="差距(Median)",J2-H2,IF(K$1="差距(UQ)",J2-G2,IF(K$1="差距(LQ)",J2-I2))),"/")</f>
        <v>-28.999999996500001</v>
      </c>
      <c r="L2" s="26">
        <f>IFERROR(IF(K$1="差距(Median)",(J2-H2)/J2,IF(K$1="差距(UQ)",(J2-G2)/J2,IF(K$1="差距(LQ)",(J2-I2)/J2))),"/")</f>
        <v>-8285714284.7142868</v>
      </c>
      <c r="M2" s="36">
        <f>'Reference Score Calculation'!U253</f>
        <v>56</v>
      </c>
      <c r="N2" s="54">
        <f>入學要求!Z262</f>
        <v>0</v>
      </c>
      <c r="O2" s="544" t="s">
        <v>2104</v>
      </c>
      <c r="P2" s="245">
        <f>入學要求!L262</f>
        <v>3</v>
      </c>
      <c r="Q2" s="245">
        <f>入學要求!M262</f>
        <v>3</v>
      </c>
      <c r="R2" s="245">
        <f>入學要求!N262</f>
        <v>2</v>
      </c>
      <c r="S2" s="245">
        <f>入學要求!O262</f>
        <v>1</v>
      </c>
      <c r="T2" s="245">
        <f>入學要求!P262</f>
        <v>3</v>
      </c>
      <c r="U2" s="245">
        <f>入學要求!Q262</f>
        <v>3</v>
      </c>
      <c r="V2" s="236">
        <f>入學要求!S262</f>
        <v>0</v>
      </c>
      <c r="W2" s="236">
        <f>入學要求!T262</f>
        <v>0</v>
      </c>
      <c r="X2" s="236">
        <f>入學要求!U262</f>
        <v>0</v>
      </c>
      <c r="Y2" s="236">
        <f>入學要求!V262</f>
        <v>0</v>
      </c>
      <c r="Z2" s="236">
        <f>入學要求!W262</f>
        <v>0</v>
      </c>
      <c r="AA2" s="236">
        <f>入學要求!X262</f>
        <v>0</v>
      </c>
      <c r="AB2" s="36">
        <f>IFERROR(ROUND(AK2/AD2,2),"/")</f>
        <v>19.05</v>
      </c>
      <c r="AC2" s="537" t="s">
        <v>2253</v>
      </c>
      <c r="AD2" s="36" cm="1">
        <f t="array" ref="AD2">IFERROR(INDEX('Offer Statistics'!DA$2:DA$400,MATCH(1,($A2='Offer Statistics'!$CL$2:$CL$400)*($AC$2='Offer Statistics'!$CM$2:$CM$400),0)),"/")</f>
        <v>37</v>
      </c>
      <c r="AE2" s="63" cm="1">
        <f t="array" ref="AE2">IFERROR(INDEX('Offer Statistics'!CV$2:CV$400,MATCH(1,($A2='Offer Statistics'!$CL$2:$CL$400)*($AC$2='Offer Statistics'!$CM$2:$CM$400),0)),"/")</f>
        <v>37</v>
      </c>
      <c r="AF2" s="63" cm="1">
        <f t="array" ref="AF2">IFERROR(INDEX('Offer Statistics'!CW$2:CW$400,MATCH(1,($A2='Offer Statistics'!$CL$2:$CL$400)*($AC$2='Offer Statistics'!$CM$2:$CM$400),0)),"/")</f>
        <v>0</v>
      </c>
      <c r="AG2" s="63" cm="1">
        <f t="array" ref="AG2">IFERROR(INDEX('Offer Statistics'!CX$2:CX$400,MATCH(1,($A2='Offer Statistics'!$CL$2:$CL$400)*($AC$2='Offer Statistics'!$CM$2:$CM$400),0)),"/")</f>
        <v>0</v>
      </c>
      <c r="AH2" s="63" cm="1">
        <f t="array" ref="AH2">IFERROR(INDEX('Offer Statistics'!CY$2:CY$400,MATCH(1,($A2='Offer Statistics'!$CL$2:$CL$400)*($AC$2='Offer Statistics'!$CM$2:$CM$400),0)),"/")</f>
        <v>0</v>
      </c>
      <c r="AI2" s="63" cm="1">
        <f t="array" ref="AI2">IFERROR(INDEX('Offer Statistics'!CZ$2:CZ$400,MATCH(1,($A2='Offer Statistics'!$CL$2:$CL$400)*($AC$2='Offer Statistics'!$CM$2:$CM$400),0)),"/")</f>
        <v>0</v>
      </c>
      <c r="AJ2" s="538" t="str">
        <f>AC2</f>
        <v>2024年</v>
      </c>
      <c r="AK2" s="36" cm="1">
        <f t="array" ref="AK2">IFERROR(INDEX('Offer Statistics'!CS$2:CS$400,MATCH(1,($A2='Offer Statistics'!$CL$2:$CL$400)*($AC$2='Offer Statistics'!$CM$2:$CM$400),0)),"/")</f>
        <v>705</v>
      </c>
      <c r="AL2" s="63" cm="1">
        <f t="array" ref="AL2">IFERROR(INDEX('Offer Statistics'!CN$2:CN$400,MATCH(1,($A2='Offer Statistics'!$CL$2:$CL$400)*($AC$2='Offer Statistics'!$CM$2:$CM$400),0)),"/")</f>
        <v>102</v>
      </c>
      <c r="AM2" s="63" cm="1">
        <f t="array" ref="AM2">IFERROR(INDEX('Offer Statistics'!CO$2:CO$400,MATCH(1,($A2='Offer Statistics'!$CL$2:$CL$400)*($AC$2='Offer Statistics'!$CM$2:$CM$400),0)),"/")</f>
        <v>54</v>
      </c>
      <c r="AN2" s="63" cm="1">
        <f t="array" ref="AN2">IFERROR(INDEX('Offer Statistics'!CP$2:CP$400,MATCH(1,($A2='Offer Statistics'!$CL$2:$CL$400)*($AC$2='Offer Statistics'!$CM$2:$CM$400),0)),"/")</f>
        <v>143</v>
      </c>
      <c r="AO2" s="63" cm="1">
        <f t="array" ref="AO2">IFERROR(INDEX('Offer Statistics'!CQ$2:CQ$400,MATCH(1,($A2='Offer Statistics'!$CL$2:$CL$400)*($AC$2='Offer Statistics'!$CM$2:$CM$400),0)),"/")</f>
        <v>197</v>
      </c>
      <c r="AP2" s="63" cm="1">
        <f t="array" ref="AP2">IFERROR(INDEX('Offer Statistics'!CR$2:CR$400,MATCH(1,($A2='Offer Statistics'!$CL$2:$CL$400)*($AC$2='Offer Statistics'!$CM$2:$CM$400),0)),"/")</f>
        <v>209</v>
      </c>
      <c r="AR2" s="15" t="str">
        <f>A2</f>
        <v>JS6004</v>
      </c>
    </row>
    <row r="3" spans="1:44" ht="18" customHeight="1">
      <c r="A3" s="4" t="str">
        <f>'Reference Score Calculation'!B254</f>
        <v>JS6016</v>
      </c>
      <c r="B3" s="4" t="str">
        <f>'Reference Score Calculation'!D254</f>
        <v>建築學院</v>
      </c>
      <c r="C3" s="4" t="str">
        <f>'Reference Score Calculation'!E254</f>
        <v>理學士(測量學)</v>
      </c>
      <c r="D3" s="4" t="str">
        <f>'Reference Score Calculation'!S254</f>
        <v>BSc(Surv)</v>
      </c>
      <c r="E3" s="352" t="str">
        <f>'Reference Score Calculation'!AC254</f>
        <v>Best 5</v>
      </c>
      <c r="F3" s="334" t="str">
        <f>'Reference Score Calculation'!F254</f>
        <v>Best 5</v>
      </c>
      <c r="G3" s="6">
        <f>'Reference Score Calculation'!H254</f>
        <v>31</v>
      </c>
      <c r="H3" s="6">
        <f>'Reference Score Calculation'!I254</f>
        <v>29</v>
      </c>
      <c r="I3" s="6">
        <f>'Reference Score Calculation'!J254</f>
        <v>29</v>
      </c>
      <c r="J3" s="45">
        <f>計分版!J277</f>
        <v>3.4999999999999999E-9</v>
      </c>
      <c r="K3" s="25">
        <f t="shared" ref="K3" si="0">IFERROR(IF(K$1="差距(Median)",J3-H3,IF(K$1="差距(UQ)",J3-G3,IF(K$1="差距(LQ)",J3-I3))),"/")</f>
        <v>-28.999999996500001</v>
      </c>
      <c r="L3" s="26">
        <f t="shared" ref="L3" si="1">IFERROR(IF(K$1="差距(Median)",(J3-H3)/J3,IF(K$1="差距(UQ)",(J3-G3)/J3,IF(K$1="差距(LQ)",(J3-I3)/J3))),"/")</f>
        <v>-8285714284.7142868</v>
      </c>
      <c r="M3" s="36">
        <f>'Reference Score Calculation'!U254</f>
        <v>42</v>
      </c>
      <c r="N3" s="54">
        <f>入學要求!Z263</f>
        <v>0</v>
      </c>
      <c r="O3" s="544"/>
      <c r="P3" s="246">
        <f>入學要求!L263</f>
        <v>3</v>
      </c>
      <c r="Q3" s="246">
        <f>入學要求!M263</f>
        <v>3</v>
      </c>
      <c r="R3" s="246">
        <f>入學要求!N263</f>
        <v>2</v>
      </c>
      <c r="S3" s="246">
        <f>入學要求!O263</f>
        <v>1</v>
      </c>
      <c r="T3" s="246">
        <f>入學要求!P263</f>
        <v>3</v>
      </c>
      <c r="U3" s="246">
        <f>入學要求!Q263</f>
        <v>3</v>
      </c>
      <c r="V3" s="236">
        <f>入學要求!S263</f>
        <v>0</v>
      </c>
      <c r="W3" s="236">
        <f>入學要求!T263</f>
        <v>0</v>
      </c>
      <c r="X3" s="236">
        <f>入學要求!U263</f>
        <v>0</v>
      </c>
      <c r="Y3" s="236">
        <f>入學要求!V263</f>
        <v>0</v>
      </c>
      <c r="Z3" s="236">
        <f>入學要求!W263</f>
        <v>0</v>
      </c>
      <c r="AA3" s="236">
        <f>入學要求!X263</f>
        <v>0</v>
      </c>
      <c r="AB3" s="36">
        <f t="shared" ref="AB3" si="2">IFERROR(ROUND(AK3/AD3,2),"/")</f>
        <v>16.329999999999998</v>
      </c>
      <c r="AC3" s="537"/>
      <c r="AD3" s="36" cm="1">
        <f t="array" ref="AD3">IFERROR(INDEX('Offer Statistics'!DA$2:DA$400,MATCH(1,($A3='Offer Statistics'!$CL$2:$CL$400)*($AC$2='Offer Statistics'!$CM$2:$CM$400),0)),"/")</f>
        <v>61</v>
      </c>
      <c r="AE3" s="63" cm="1">
        <f t="array" ref="AE3">IFERROR(INDEX('Offer Statistics'!CV$2:CV$400,MATCH(1,($A3='Offer Statistics'!$CL$2:$CL$400)*($AC$2='Offer Statistics'!$CM$2:$CM$400),0)),"/")</f>
        <v>61</v>
      </c>
      <c r="AF3" s="63" cm="1">
        <f t="array" ref="AF3">IFERROR(INDEX('Offer Statistics'!CW$2:CW$400,MATCH(1,($A3='Offer Statistics'!$CL$2:$CL$400)*($AC$2='Offer Statistics'!$CM$2:$CM$400),0)),"/")</f>
        <v>0</v>
      </c>
      <c r="AG3" s="63" cm="1">
        <f t="array" ref="AG3">IFERROR(INDEX('Offer Statistics'!CX$2:CX$400,MATCH(1,($A3='Offer Statistics'!$CL$2:$CL$400)*($AC$2='Offer Statistics'!$CM$2:$CM$400),0)),"/")</f>
        <v>0</v>
      </c>
      <c r="AH3" s="63" cm="1">
        <f t="array" ref="AH3">IFERROR(INDEX('Offer Statistics'!CY$2:CY$400,MATCH(1,($A3='Offer Statistics'!$CL$2:$CL$400)*($AC$2='Offer Statistics'!$CM$2:$CM$400),0)),"/")</f>
        <v>0</v>
      </c>
      <c r="AI3" s="63" cm="1">
        <f t="array" ref="AI3">IFERROR(INDEX('Offer Statistics'!CZ$2:CZ$400,MATCH(1,($A3='Offer Statistics'!$CL$2:$CL$400)*($AC$2='Offer Statistics'!$CM$2:$CM$400),0)),"/")</f>
        <v>0</v>
      </c>
      <c r="AJ3" s="538"/>
      <c r="AK3" s="36" cm="1">
        <f t="array" ref="AK3">IFERROR(INDEX('Offer Statistics'!CS$2:CS$400,MATCH(1,($A3='Offer Statistics'!$CL$2:$CL$400)*($AC$2='Offer Statistics'!$CM$2:$CM$400),0)),"/")</f>
        <v>996</v>
      </c>
      <c r="AL3" s="63" cm="1">
        <f t="array" ref="AL3">IFERROR(INDEX('Offer Statistics'!CN$2:CN$400,MATCH(1,($A3='Offer Statistics'!$CL$2:$CL$400)*($AC$2='Offer Statistics'!$CM$2:$CM$400),0)),"/")</f>
        <v>178</v>
      </c>
      <c r="AM3" s="63" cm="1">
        <f t="array" ref="AM3">IFERROR(INDEX('Offer Statistics'!CO$2:CO$400,MATCH(1,($A3='Offer Statistics'!$CL$2:$CL$400)*($AC$2='Offer Statistics'!$CM$2:$CM$400),0)),"/")</f>
        <v>93</v>
      </c>
      <c r="AN3" s="63" cm="1">
        <f t="array" ref="AN3">IFERROR(INDEX('Offer Statistics'!CP$2:CP$400,MATCH(1,($A3='Offer Statistics'!$CL$2:$CL$400)*($AC$2='Offer Statistics'!$CM$2:$CM$400),0)),"/")</f>
        <v>189</v>
      </c>
      <c r="AO3" s="63" cm="1">
        <f t="array" ref="AO3">IFERROR(INDEX('Offer Statistics'!CQ$2:CQ$400,MATCH(1,($A3='Offer Statistics'!$CL$2:$CL$400)*($AC$2='Offer Statistics'!$CM$2:$CM$400),0)),"/")</f>
        <v>264</v>
      </c>
      <c r="AP3" s="63" cm="1">
        <f t="array" ref="AP3">IFERROR(INDEX('Offer Statistics'!CR$2:CR$400,MATCH(1,($A3='Offer Statistics'!$CL$2:$CL$400)*($AC$2='Offer Statistics'!$CM$2:$CM$400),0)),"/")</f>
        <v>272</v>
      </c>
      <c r="AR3" s="15" t="str">
        <f t="shared" ref="AR3" si="3">A3</f>
        <v>JS6016</v>
      </c>
    </row>
    <row r="4" spans="1:44" ht="18" customHeight="1">
      <c r="A4" s="4" t="str">
        <f>'Reference Score Calculation'!B255</f>
        <v>JS6028</v>
      </c>
      <c r="B4" s="4" t="str">
        <f>'Reference Score Calculation'!D255</f>
        <v>建築學院</v>
      </c>
      <c r="C4" s="4" t="str">
        <f>'Reference Score Calculation'!E255</f>
        <v>園境學文學士</v>
      </c>
      <c r="D4" s="4" t="str">
        <f>'Reference Score Calculation'!S255</f>
        <v>BA(LS)</v>
      </c>
      <c r="E4" s="352" t="str">
        <f>'Reference Score Calculation'!AC255</f>
        <v>Best 5</v>
      </c>
      <c r="F4" s="334" t="str">
        <f>'Reference Score Calculation'!F255</f>
        <v>Best 5</v>
      </c>
      <c r="G4" s="6">
        <f>'Reference Score Calculation'!H255</f>
        <v>33</v>
      </c>
      <c r="H4" s="6">
        <f>'Reference Score Calculation'!I255</f>
        <v>32</v>
      </c>
      <c r="I4" s="6">
        <f>'Reference Score Calculation'!J255</f>
        <v>30</v>
      </c>
      <c r="J4" s="45">
        <f>計分版!J278</f>
        <v>3.4999999999999999E-9</v>
      </c>
      <c r="K4" s="25">
        <f t="shared" ref="K4:K28" si="4">IFERROR(IF(K$1="差距(Median)",J4-H4,IF(K$1="差距(UQ)",J4-G4,IF(K$1="差距(LQ)",J4-I4))),"/")</f>
        <v>-31.999999996500001</v>
      </c>
      <c r="L4" s="26">
        <f t="shared" ref="L4:L28" si="5">IFERROR(IF(K$1="差距(Median)",(J4-H4)/J4,IF(K$1="差距(UQ)",(J4-G4)/J4,IF(K$1="差距(LQ)",(J4-I4)/J4))),"/")</f>
        <v>-9142857141.8571434</v>
      </c>
      <c r="M4" s="36">
        <f>'Reference Score Calculation'!U255</f>
        <v>12</v>
      </c>
      <c r="N4" s="54">
        <f>入學要求!Z264</f>
        <v>0</v>
      </c>
      <c r="O4" s="544"/>
      <c r="P4" s="246">
        <f>入學要求!L264</f>
        <v>3</v>
      </c>
      <c r="Q4" s="246">
        <f>入學要求!M264</f>
        <v>3</v>
      </c>
      <c r="R4" s="246">
        <f>入學要求!N264</f>
        <v>2</v>
      </c>
      <c r="S4" s="246">
        <f>入學要求!O264</f>
        <v>1</v>
      </c>
      <c r="T4" s="246">
        <f>入學要求!P264</f>
        <v>3</v>
      </c>
      <c r="U4" s="246">
        <f>入學要求!Q264</f>
        <v>3</v>
      </c>
      <c r="V4" s="236">
        <f>入學要求!S264</f>
        <v>0</v>
      </c>
      <c r="W4" s="236">
        <f>入學要求!T264</f>
        <v>0</v>
      </c>
      <c r="X4" s="236">
        <f>入學要求!U264</f>
        <v>0</v>
      </c>
      <c r="Y4" s="236">
        <f>入學要求!V264</f>
        <v>0</v>
      </c>
      <c r="Z4" s="236">
        <f>入學要求!W264</f>
        <v>0</v>
      </c>
      <c r="AA4" s="236">
        <f>入學要求!X264</f>
        <v>0</v>
      </c>
      <c r="AB4" s="36">
        <f t="shared" ref="AB4:AB28" si="6">IFERROR(ROUND(AK4/AD4,2),"/")</f>
        <v>74.86</v>
      </c>
      <c r="AC4" s="537"/>
      <c r="AD4" s="36" cm="1">
        <f t="array" ref="AD4">IFERROR(INDEX('Offer Statistics'!DA$2:DA$400,MATCH(1,($A4='Offer Statistics'!$CL$2:$CL$400)*($AC$2='Offer Statistics'!$CM$2:$CM$400),0)),"/")</f>
        <v>7</v>
      </c>
      <c r="AE4" s="63" cm="1">
        <f t="array" ref="AE4">IFERROR(INDEX('Offer Statistics'!CV$2:CV$400,MATCH(1,($A4='Offer Statistics'!$CL$2:$CL$400)*($AC$2='Offer Statistics'!$CM$2:$CM$400),0)),"/")</f>
        <v>7</v>
      </c>
      <c r="AF4" s="63" cm="1">
        <f t="array" ref="AF4">IFERROR(INDEX('Offer Statistics'!CW$2:CW$400,MATCH(1,($A4='Offer Statistics'!$CL$2:$CL$400)*($AC$2='Offer Statistics'!$CM$2:$CM$400),0)),"/")</f>
        <v>0</v>
      </c>
      <c r="AG4" s="63" cm="1">
        <f t="array" ref="AG4">IFERROR(INDEX('Offer Statistics'!CX$2:CX$400,MATCH(1,($A4='Offer Statistics'!$CL$2:$CL$400)*($AC$2='Offer Statistics'!$CM$2:$CM$400),0)),"/")</f>
        <v>0</v>
      </c>
      <c r="AH4" s="63" cm="1">
        <f t="array" ref="AH4">IFERROR(INDEX('Offer Statistics'!CY$2:CY$400,MATCH(1,($A4='Offer Statistics'!$CL$2:$CL$400)*($AC$2='Offer Statistics'!$CM$2:$CM$400),0)),"/")</f>
        <v>0</v>
      </c>
      <c r="AI4" s="63" cm="1">
        <f t="array" ref="AI4">IFERROR(INDEX('Offer Statistics'!CZ$2:CZ$400,MATCH(1,($A4='Offer Statistics'!$CL$2:$CL$400)*($AC$2='Offer Statistics'!$CM$2:$CM$400),0)),"/")</f>
        <v>0</v>
      </c>
      <c r="AJ4" s="538"/>
      <c r="AK4" s="36" cm="1">
        <f t="array" ref="AK4">IFERROR(INDEX('Offer Statistics'!CS$2:CS$400,MATCH(1,($A4='Offer Statistics'!$CL$2:$CL$400)*($AC$2='Offer Statistics'!$CM$2:$CM$400),0)),"/")</f>
        <v>524</v>
      </c>
      <c r="AL4" s="63" cm="1">
        <f t="array" ref="AL4">IFERROR(INDEX('Offer Statistics'!CN$2:CN$400,MATCH(1,($A4='Offer Statistics'!$CL$2:$CL$400)*($AC$2='Offer Statistics'!$CM$2:$CM$400),0)),"/")</f>
        <v>38</v>
      </c>
      <c r="AM4" s="63" cm="1">
        <f t="array" ref="AM4">IFERROR(INDEX('Offer Statistics'!CO$2:CO$400,MATCH(1,($A4='Offer Statistics'!$CL$2:$CL$400)*($AC$2='Offer Statistics'!$CM$2:$CM$400),0)),"/")</f>
        <v>54</v>
      </c>
      <c r="AN4" s="63" cm="1">
        <f t="array" ref="AN4">IFERROR(INDEX('Offer Statistics'!CP$2:CP$400,MATCH(1,($A4='Offer Statistics'!$CL$2:$CL$400)*($AC$2='Offer Statistics'!$CM$2:$CM$400),0)),"/")</f>
        <v>110</v>
      </c>
      <c r="AO4" s="63" cm="1">
        <f t="array" ref="AO4">IFERROR(INDEX('Offer Statistics'!CQ$2:CQ$400,MATCH(1,($A4='Offer Statistics'!$CL$2:$CL$400)*($AC$2='Offer Statistics'!$CM$2:$CM$400),0)),"/")</f>
        <v>160</v>
      </c>
      <c r="AP4" s="63" cm="1">
        <f t="array" ref="AP4">IFERROR(INDEX('Offer Statistics'!CR$2:CR$400,MATCH(1,($A4='Offer Statistics'!$CL$2:$CL$400)*($AC$2='Offer Statistics'!$CM$2:$CM$400),0)),"/")</f>
        <v>162</v>
      </c>
      <c r="AR4" s="15" t="str">
        <f t="shared" ref="AR4:AR28" si="7">A4</f>
        <v>JS6028</v>
      </c>
    </row>
    <row r="5" spans="1:44" ht="18" customHeight="1">
      <c r="A5" s="4" t="str">
        <f>'Reference Score Calculation'!B256</f>
        <v>JS6042</v>
      </c>
      <c r="B5" s="4" t="str">
        <f>'Reference Score Calculation'!D256</f>
        <v>建築學院</v>
      </c>
      <c r="C5" s="4" t="str">
        <f>'Reference Score Calculation'!E256</f>
        <v>文學士(城市研究)</v>
      </c>
      <c r="D5" s="4" t="str">
        <f>'Reference Score Calculation'!S256</f>
        <v>BA(US)</v>
      </c>
      <c r="E5" s="352" t="str">
        <f>'Reference Score Calculation'!AC256</f>
        <v>Best 5</v>
      </c>
      <c r="F5" s="334" t="str">
        <f>'Reference Score Calculation'!F256</f>
        <v>Best 5</v>
      </c>
      <c r="G5" s="6">
        <f>'Reference Score Calculation'!H256</f>
        <v>31</v>
      </c>
      <c r="H5" s="6">
        <f>'Reference Score Calculation'!I256</f>
        <v>28</v>
      </c>
      <c r="I5" s="6">
        <f>'Reference Score Calculation'!J256</f>
        <v>26</v>
      </c>
      <c r="J5" s="45">
        <f>計分版!J279</f>
        <v>3.4999999999999999E-9</v>
      </c>
      <c r="K5" s="25">
        <f t="shared" si="4"/>
        <v>-27.999999996500001</v>
      </c>
      <c r="L5" s="26">
        <f t="shared" si="5"/>
        <v>-7999999999.000001</v>
      </c>
      <c r="M5" s="36">
        <f>'Reference Score Calculation'!U256</f>
        <v>17</v>
      </c>
      <c r="N5" s="54">
        <f>入學要求!Z265</f>
        <v>0</v>
      </c>
      <c r="O5" s="544"/>
      <c r="P5" s="246">
        <f>入學要求!L265</f>
        <v>3</v>
      </c>
      <c r="Q5" s="246">
        <f>入學要求!M265</f>
        <v>3</v>
      </c>
      <c r="R5" s="246">
        <f>入學要求!N265</f>
        <v>2</v>
      </c>
      <c r="S5" s="246">
        <f>入學要求!O265</f>
        <v>1</v>
      </c>
      <c r="T5" s="246">
        <f>入學要求!P265</f>
        <v>3</v>
      </c>
      <c r="U5" s="246">
        <f>入學要求!Q265</f>
        <v>3</v>
      </c>
      <c r="V5" s="236">
        <f>入學要求!S265</f>
        <v>0</v>
      </c>
      <c r="W5" s="236">
        <f>入學要求!T265</f>
        <v>0</v>
      </c>
      <c r="X5" s="236">
        <f>入學要求!U265</f>
        <v>0</v>
      </c>
      <c r="Y5" s="236">
        <f>入學要求!V265</f>
        <v>0</v>
      </c>
      <c r="Z5" s="236">
        <f>入學要求!W265</f>
        <v>0</v>
      </c>
      <c r="AA5" s="236">
        <f>入學要求!X265</f>
        <v>0</v>
      </c>
      <c r="AB5" s="36">
        <f t="shared" si="6"/>
        <v>39.33</v>
      </c>
      <c r="AC5" s="537"/>
      <c r="AD5" s="36" cm="1">
        <f t="array" ref="AD5">IFERROR(INDEX('Offer Statistics'!DA$2:DA$400,MATCH(1,($A5='Offer Statistics'!$CL$2:$CL$400)*($AC$2='Offer Statistics'!$CM$2:$CM$400),0)),"/")</f>
        <v>21</v>
      </c>
      <c r="AE5" s="63" cm="1">
        <f t="array" ref="AE5">IFERROR(INDEX('Offer Statistics'!CV$2:CV$400,MATCH(1,($A5='Offer Statistics'!$CL$2:$CL$400)*($AC$2='Offer Statistics'!$CM$2:$CM$400),0)),"/")</f>
        <v>21</v>
      </c>
      <c r="AF5" s="63" cm="1">
        <f t="array" ref="AF5">IFERROR(INDEX('Offer Statistics'!CW$2:CW$400,MATCH(1,($A5='Offer Statistics'!$CL$2:$CL$400)*($AC$2='Offer Statistics'!$CM$2:$CM$400),0)),"/")</f>
        <v>0</v>
      </c>
      <c r="AG5" s="63" cm="1">
        <f t="array" ref="AG5">IFERROR(INDEX('Offer Statistics'!CX$2:CX$400,MATCH(1,($A5='Offer Statistics'!$CL$2:$CL$400)*($AC$2='Offer Statistics'!$CM$2:$CM$400),0)),"/")</f>
        <v>0</v>
      </c>
      <c r="AH5" s="63" cm="1">
        <f t="array" ref="AH5">IFERROR(INDEX('Offer Statistics'!CY$2:CY$400,MATCH(1,($A5='Offer Statistics'!$CL$2:$CL$400)*($AC$2='Offer Statistics'!$CM$2:$CM$400),0)),"/")</f>
        <v>0</v>
      </c>
      <c r="AI5" s="63" cm="1">
        <f t="array" ref="AI5">IFERROR(INDEX('Offer Statistics'!CZ$2:CZ$400,MATCH(1,($A5='Offer Statistics'!$CL$2:$CL$400)*($AC$2='Offer Statistics'!$CM$2:$CM$400),0)),"/")</f>
        <v>0</v>
      </c>
      <c r="AJ5" s="538"/>
      <c r="AK5" s="36" cm="1">
        <f t="array" ref="AK5">IFERROR(INDEX('Offer Statistics'!CS$2:CS$400,MATCH(1,($A5='Offer Statistics'!$CL$2:$CL$400)*($AC$2='Offer Statistics'!$CM$2:$CM$400),0)),"/")</f>
        <v>826</v>
      </c>
      <c r="AL5" s="63" cm="1">
        <f t="array" ref="AL5">IFERROR(INDEX('Offer Statistics'!CN$2:CN$400,MATCH(1,($A5='Offer Statistics'!$CL$2:$CL$400)*($AC$2='Offer Statistics'!$CM$2:$CM$400),0)),"/")</f>
        <v>100</v>
      </c>
      <c r="AM5" s="63" cm="1">
        <f t="array" ref="AM5">IFERROR(INDEX('Offer Statistics'!CO$2:CO$400,MATCH(1,($A5='Offer Statistics'!$CL$2:$CL$400)*($AC$2='Offer Statistics'!$CM$2:$CM$400),0)),"/")</f>
        <v>73</v>
      </c>
      <c r="AN5" s="63" cm="1">
        <f t="array" ref="AN5">IFERROR(INDEX('Offer Statistics'!CP$2:CP$400,MATCH(1,($A5='Offer Statistics'!$CL$2:$CL$400)*($AC$2='Offer Statistics'!$CM$2:$CM$400),0)),"/")</f>
        <v>158</v>
      </c>
      <c r="AO5" s="63" cm="1">
        <f t="array" ref="AO5">IFERROR(INDEX('Offer Statistics'!CQ$2:CQ$400,MATCH(1,($A5='Offer Statistics'!$CL$2:$CL$400)*($AC$2='Offer Statistics'!$CM$2:$CM$400),0)),"/")</f>
        <v>254</v>
      </c>
      <c r="AP5" s="63" cm="1">
        <f t="array" ref="AP5">IFERROR(INDEX('Offer Statistics'!CR$2:CR$400,MATCH(1,($A5='Offer Statistics'!$CL$2:$CL$400)*($AC$2='Offer Statistics'!$CM$2:$CM$400),0)),"/")</f>
        <v>241</v>
      </c>
      <c r="AR5" s="15" t="str">
        <f t="shared" si="7"/>
        <v>JS6042</v>
      </c>
    </row>
    <row r="6" spans="1:44" ht="18" customHeight="1">
      <c r="A6" s="4" t="str">
        <f>'Reference Score Calculation'!B257</f>
        <v>JS6054</v>
      </c>
      <c r="B6" s="4" t="str">
        <f>'Reference Score Calculation'!D257</f>
        <v>文學院</v>
      </c>
      <c r="C6" s="4" t="str">
        <f>'Reference Score Calculation'!E257</f>
        <v>文學士</v>
      </c>
      <c r="D6" s="4" t="str">
        <f>'Reference Score Calculation'!S257</f>
        <v>BA</v>
      </c>
      <c r="E6" s="352" t="str">
        <f>'Reference Score Calculation'!AC257</f>
        <v>Best 5</v>
      </c>
      <c r="F6" s="351" t="str">
        <f>'Reference Score Calculation'!F257</f>
        <v>Best 5</v>
      </c>
      <c r="G6" s="6">
        <f>'Reference Score Calculation'!H257</f>
        <v>33</v>
      </c>
      <c r="H6" s="6">
        <f>'Reference Score Calculation'!I257</f>
        <v>31</v>
      </c>
      <c r="I6" s="6">
        <f>'Reference Score Calculation'!J257</f>
        <v>29</v>
      </c>
      <c r="J6" s="45">
        <f>計分版!J280</f>
        <v>3.2999999999999998E-9</v>
      </c>
      <c r="K6" s="25">
        <f t="shared" si="4"/>
        <v>-30.999999996700002</v>
      </c>
      <c r="L6" s="26">
        <f t="shared" si="5"/>
        <v>-9393939392.9393959</v>
      </c>
      <c r="M6" s="36">
        <f>'Reference Score Calculation'!U257</f>
        <v>217</v>
      </c>
      <c r="N6" s="54">
        <f>入學要求!Z266</f>
        <v>0</v>
      </c>
      <c r="O6" s="544"/>
      <c r="P6" s="246">
        <f>入學要求!L266</f>
        <v>3</v>
      </c>
      <c r="Q6" s="246">
        <f>入學要求!M266</f>
        <v>3</v>
      </c>
      <c r="R6" s="246">
        <f>入學要求!N266</f>
        <v>2</v>
      </c>
      <c r="S6" s="246">
        <f>入學要求!O266</f>
        <v>1</v>
      </c>
      <c r="T6" s="246">
        <f>入學要求!P266</f>
        <v>3</v>
      </c>
      <c r="U6" s="246">
        <f>入學要求!Q266</f>
        <v>3</v>
      </c>
      <c r="V6" s="236">
        <f>入學要求!S266</f>
        <v>0</v>
      </c>
      <c r="W6" s="236">
        <f>入學要求!T266</f>
        <v>0</v>
      </c>
      <c r="X6" s="236">
        <f>入學要求!U266</f>
        <v>0</v>
      </c>
      <c r="Y6" s="236">
        <f>入學要求!V266</f>
        <v>0</v>
      </c>
      <c r="Z6" s="236">
        <f>入學要求!W266</f>
        <v>0</v>
      </c>
      <c r="AA6" s="236">
        <f>入學要求!X266</f>
        <v>0</v>
      </c>
      <c r="AB6" s="36">
        <f t="shared" si="6"/>
        <v>16.059999999999999</v>
      </c>
      <c r="AC6" s="537"/>
      <c r="AD6" s="36" cm="1">
        <f t="array" ref="AD6">IFERROR(INDEX('Offer Statistics'!DA$2:DA$400,MATCH(1,($A6='Offer Statistics'!$CL$2:$CL$400)*($AC$2='Offer Statistics'!$CM$2:$CM$400),0)),"/")</f>
        <v>176</v>
      </c>
      <c r="AE6" s="63" cm="1">
        <f t="array" ref="AE6">IFERROR(INDEX('Offer Statistics'!CV$2:CV$400,MATCH(1,($A6='Offer Statistics'!$CL$2:$CL$400)*($AC$2='Offer Statistics'!$CM$2:$CM$400),0)),"/")</f>
        <v>176</v>
      </c>
      <c r="AF6" s="63" cm="1">
        <f t="array" ref="AF6">IFERROR(INDEX('Offer Statistics'!CW$2:CW$400,MATCH(1,($A6='Offer Statistics'!$CL$2:$CL$400)*($AC$2='Offer Statistics'!$CM$2:$CM$400),0)),"/")</f>
        <v>0</v>
      </c>
      <c r="AG6" s="63" cm="1">
        <f t="array" ref="AG6">IFERROR(INDEX('Offer Statistics'!CX$2:CX$400,MATCH(1,($A6='Offer Statistics'!$CL$2:$CL$400)*($AC$2='Offer Statistics'!$CM$2:$CM$400),0)),"/")</f>
        <v>0</v>
      </c>
      <c r="AH6" s="63" cm="1">
        <f t="array" ref="AH6">IFERROR(INDEX('Offer Statistics'!CY$2:CY$400,MATCH(1,($A6='Offer Statistics'!$CL$2:$CL$400)*($AC$2='Offer Statistics'!$CM$2:$CM$400),0)),"/")</f>
        <v>0</v>
      </c>
      <c r="AI6" s="63" cm="1">
        <f t="array" ref="AI6">IFERROR(INDEX('Offer Statistics'!CZ$2:CZ$400,MATCH(1,($A6='Offer Statistics'!$CL$2:$CL$400)*($AC$2='Offer Statistics'!$CM$2:$CM$400),0)),"/")</f>
        <v>0</v>
      </c>
      <c r="AJ6" s="538"/>
      <c r="AK6" s="36" cm="1">
        <f t="array" ref="AK6">IFERROR(INDEX('Offer Statistics'!CS$2:CS$400,MATCH(1,($A6='Offer Statistics'!$CL$2:$CL$400)*($AC$2='Offer Statistics'!$CM$2:$CM$400),0)),"/")</f>
        <v>2827</v>
      </c>
      <c r="AL6" s="63" cm="1">
        <f t="array" ref="AL6">IFERROR(INDEX('Offer Statistics'!CN$2:CN$400,MATCH(1,($A6='Offer Statistics'!$CL$2:$CL$400)*($AC$2='Offer Statistics'!$CM$2:$CM$400),0)),"/")</f>
        <v>884</v>
      </c>
      <c r="AM6" s="63" cm="1">
        <f t="array" ref="AM6">IFERROR(INDEX('Offer Statistics'!CO$2:CO$400,MATCH(1,($A6='Offer Statistics'!$CL$2:$CL$400)*($AC$2='Offer Statistics'!$CM$2:$CM$400),0)),"/")</f>
        <v>345</v>
      </c>
      <c r="AN6" s="63" cm="1">
        <f t="array" ref="AN6">IFERROR(INDEX('Offer Statistics'!CP$2:CP$400,MATCH(1,($A6='Offer Statistics'!$CL$2:$CL$400)*($AC$2='Offer Statistics'!$CM$2:$CM$400),0)),"/")</f>
        <v>502</v>
      </c>
      <c r="AO6" s="63" cm="1">
        <f t="array" ref="AO6">IFERROR(INDEX('Offer Statistics'!CQ$2:CQ$400,MATCH(1,($A6='Offer Statistics'!$CL$2:$CL$400)*($AC$2='Offer Statistics'!$CM$2:$CM$400),0)),"/")</f>
        <v>599</v>
      </c>
      <c r="AP6" s="63" cm="1">
        <f t="array" ref="AP6">IFERROR(INDEX('Offer Statistics'!CR$2:CR$400,MATCH(1,($A6='Offer Statistics'!$CL$2:$CL$400)*($AC$2='Offer Statistics'!$CM$2:$CM$400),0)),"/")</f>
        <v>497</v>
      </c>
      <c r="AR6" s="15" t="str">
        <f t="shared" si="7"/>
        <v>JS6054</v>
      </c>
    </row>
    <row r="7" spans="1:44" ht="18" customHeight="1">
      <c r="A7" s="4" t="str">
        <f>'Reference Score Calculation'!B258</f>
        <v>JS6274</v>
      </c>
      <c r="B7" s="4" t="str">
        <f>'Reference Score Calculation'!D258</f>
        <v>文學院</v>
      </c>
      <c r="C7" s="4" t="str">
        <f>'Reference Score Calculation'!E258</f>
        <v>文學士（全球創意產業）</v>
      </c>
      <c r="D7" s="4" t="str">
        <f>'Reference Score Calculation'!S258</f>
        <v>BA(GCIN)</v>
      </c>
      <c r="E7" s="352" t="str">
        <f>'Reference Score Calculation'!AC258</f>
        <v>Best 5</v>
      </c>
      <c r="F7" s="351" t="str">
        <f>'Reference Score Calculation'!F258</f>
        <v>25年新科目</v>
      </c>
      <c r="G7" s="6" t="str">
        <f>'Reference Score Calculation'!H258</f>
        <v>/</v>
      </c>
      <c r="H7" s="6" t="str">
        <f>'Reference Score Calculation'!I258</f>
        <v>/</v>
      </c>
      <c r="I7" s="6" t="str">
        <f>'Reference Score Calculation'!J258</f>
        <v>/</v>
      </c>
      <c r="J7" s="45">
        <f>計分版!J281</f>
        <v>3.4999999999999999E-9</v>
      </c>
      <c r="K7" s="7" t="str">
        <f t="shared" si="4"/>
        <v>/</v>
      </c>
      <c r="L7" s="8" t="str">
        <f t="shared" si="5"/>
        <v>/</v>
      </c>
      <c r="M7" s="36">
        <f>'Reference Score Calculation'!U258</f>
        <v>20</v>
      </c>
      <c r="N7" s="54">
        <f>入學要求!Z267</f>
        <v>0</v>
      </c>
      <c r="O7" s="544"/>
      <c r="P7" s="246">
        <f>入學要求!L267</f>
        <v>3</v>
      </c>
      <c r="Q7" s="246">
        <f>入學要求!M267</f>
        <v>4</v>
      </c>
      <c r="R7" s="246">
        <f>入學要求!N267</f>
        <v>3</v>
      </c>
      <c r="S7" s="246">
        <f>入學要求!O267</f>
        <v>1</v>
      </c>
      <c r="T7" s="246">
        <f>入學要求!P267</f>
        <v>3</v>
      </c>
      <c r="U7" s="246">
        <f>入學要求!Q267</f>
        <v>3</v>
      </c>
      <c r="V7" s="236">
        <f>入學要求!S267</f>
        <v>0</v>
      </c>
      <c r="W7" s="236">
        <f>入學要求!T267</f>
        <v>0</v>
      </c>
      <c r="X7" s="236">
        <f>入學要求!U267</f>
        <v>0</v>
      </c>
      <c r="Y7" s="236">
        <f>入學要求!V267</f>
        <v>0</v>
      </c>
      <c r="Z7" s="236">
        <f>入學要求!W267</f>
        <v>0</v>
      </c>
      <c r="AA7" s="236">
        <f>入學要求!X267</f>
        <v>0</v>
      </c>
      <c r="AB7" s="36" t="str">
        <f t="shared" si="6"/>
        <v>/</v>
      </c>
      <c r="AC7" s="537"/>
      <c r="AD7" s="36" t="str" cm="1">
        <f t="array" ref="AD7">IFERROR(INDEX('Offer Statistics'!DA$2:DA$400,MATCH(1,($A7='Offer Statistics'!$CL$2:$CL$400)*($AC$2='Offer Statistics'!$CM$2:$CM$400),0)),"/")</f>
        <v>/</v>
      </c>
      <c r="AE7" s="63" t="str" cm="1">
        <f t="array" ref="AE7">IFERROR(INDEX('Offer Statistics'!CV$2:CV$400,MATCH(1,($A7='Offer Statistics'!$CL$2:$CL$400)*($AC$2='Offer Statistics'!$CM$2:$CM$400),0)),"/")</f>
        <v>/</v>
      </c>
      <c r="AF7" s="63" t="str" cm="1">
        <f t="array" ref="AF7">IFERROR(INDEX('Offer Statistics'!CW$2:CW$400,MATCH(1,($A7='Offer Statistics'!$CL$2:$CL$400)*($AC$2='Offer Statistics'!$CM$2:$CM$400),0)),"/")</f>
        <v>/</v>
      </c>
      <c r="AG7" s="63" t="str" cm="1">
        <f t="array" ref="AG7">IFERROR(INDEX('Offer Statistics'!CX$2:CX$400,MATCH(1,($A7='Offer Statistics'!$CL$2:$CL$400)*($AC$2='Offer Statistics'!$CM$2:$CM$400),0)),"/")</f>
        <v>/</v>
      </c>
      <c r="AH7" s="63" t="str" cm="1">
        <f t="array" ref="AH7">IFERROR(INDEX('Offer Statistics'!CY$2:CY$400,MATCH(1,($A7='Offer Statistics'!$CL$2:$CL$400)*($AC$2='Offer Statistics'!$CM$2:$CM$400),0)),"/")</f>
        <v>/</v>
      </c>
      <c r="AI7" s="63" t="str" cm="1">
        <f t="array" ref="AI7">IFERROR(INDEX('Offer Statistics'!CZ$2:CZ$400,MATCH(1,($A7='Offer Statistics'!$CL$2:$CL$400)*($AC$2='Offer Statistics'!$CM$2:$CM$400),0)),"/")</f>
        <v>/</v>
      </c>
      <c r="AJ7" s="538"/>
      <c r="AK7" s="36" t="str" cm="1">
        <f t="array" ref="AK7">IFERROR(INDEX('Offer Statistics'!CS$2:CS$400,MATCH(1,($A7='Offer Statistics'!$CL$2:$CL$400)*($AC$2='Offer Statistics'!$CM$2:$CM$400),0)),"/")</f>
        <v>/</v>
      </c>
      <c r="AL7" s="63" t="str" cm="1">
        <f t="array" ref="AL7">IFERROR(INDEX('Offer Statistics'!CN$2:CN$400,MATCH(1,($A7='Offer Statistics'!$CL$2:$CL$400)*($AC$2='Offer Statistics'!$CM$2:$CM$400),0)),"/")</f>
        <v>/</v>
      </c>
      <c r="AM7" s="63" t="str" cm="1">
        <f t="array" ref="AM7">IFERROR(INDEX('Offer Statistics'!CO$2:CO$400,MATCH(1,($A7='Offer Statistics'!$CL$2:$CL$400)*($AC$2='Offer Statistics'!$CM$2:$CM$400),0)),"/")</f>
        <v>/</v>
      </c>
      <c r="AN7" s="63" t="str" cm="1">
        <f t="array" ref="AN7">IFERROR(INDEX('Offer Statistics'!CP$2:CP$400,MATCH(1,($A7='Offer Statistics'!$CL$2:$CL$400)*($AC$2='Offer Statistics'!$CM$2:$CM$400),0)),"/")</f>
        <v>/</v>
      </c>
      <c r="AO7" s="63" t="str" cm="1">
        <f t="array" ref="AO7">IFERROR(INDEX('Offer Statistics'!CQ$2:CQ$400,MATCH(1,($A7='Offer Statistics'!$CL$2:$CL$400)*($AC$2='Offer Statistics'!$CM$2:$CM$400),0)),"/")</f>
        <v>/</v>
      </c>
      <c r="AP7" s="63" t="str" cm="1">
        <f t="array" ref="AP7">IFERROR(INDEX('Offer Statistics'!CR$2:CR$400,MATCH(1,($A7='Offer Statistics'!$CL$2:$CL$400)*($AC$2='Offer Statistics'!$CM$2:$CM$400),0)),"/")</f>
        <v>/</v>
      </c>
      <c r="AR7" s="15" t="str">
        <f t="shared" si="7"/>
        <v>JS6274</v>
      </c>
    </row>
    <row r="8" spans="1:44" ht="18" customHeight="1">
      <c r="A8" s="4" t="str">
        <f>'Reference Score Calculation'!B259</f>
        <v>JS6286</v>
      </c>
      <c r="B8" s="4" t="str">
        <f>'Reference Score Calculation'!D259</f>
        <v>文學院</v>
      </c>
      <c r="C8" s="4" t="str">
        <f>'Reference Score Calculation'!E259</f>
        <v>文學士(人文及數碼科技)</v>
      </c>
      <c r="D8" s="4" t="str">
        <f>'Reference Score Calculation'!S259</f>
        <v>BA(HDT)</v>
      </c>
      <c r="E8" s="352" t="str">
        <f>'Reference Score Calculation'!AC259</f>
        <v>Best 5</v>
      </c>
      <c r="F8" s="351" t="str">
        <f>'Reference Score Calculation'!F259</f>
        <v>Best 5</v>
      </c>
      <c r="G8" s="6">
        <f>'Reference Score Calculation'!H259</f>
        <v>34</v>
      </c>
      <c r="H8" s="6">
        <f>'Reference Score Calculation'!I259</f>
        <v>32</v>
      </c>
      <c r="I8" s="6">
        <f>'Reference Score Calculation'!J259</f>
        <v>30</v>
      </c>
      <c r="J8" s="45">
        <f>計分版!J282</f>
        <v>3.2999999999999998E-9</v>
      </c>
      <c r="K8" s="25">
        <f t="shared" si="4"/>
        <v>-31.999999996700002</v>
      </c>
      <c r="L8" s="26">
        <f t="shared" si="5"/>
        <v>-9696969695.969698</v>
      </c>
      <c r="M8" s="36">
        <f>'Reference Score Calculation'!U259</f>
        <v>30</v>
      </c>
      <c r="N8" s="54">
        <f>入學要求!Z268</f>
        <v>0</v>
      </c>
      <c r="O8" s="544"/>
      <c r="P8" s="246">
        <f>入學要求!L268</f>
        <v>3</v>
      </c>
      <c r="Q8" s="246">
        <f>入學要求!M268</f>
        <v>3</v>
      </c>
      <c r="R8" s="246">
        <f>入學要求!N268</f>
        <v>3</v>
      </c>
      <c r="S8" s="246">
        <f>入學要求!O268</f>
        <v>1</v>
      </c>
      <c r="T8" s="246">
        <f>入學要求!P268</f>
        <v>3</v>
      </c>
      <c r="U8" s="246">
        <f>入學要求!Q268</f>
        <v>3</v>
      </c>
      <c r="V8" s="236">
        <f>入學要求!S268</f>
        <v>0</v>
      </c>
      <c r="W8" s="236">
        <f>入學要求!T268</f>
        <v>0</v>
      </c>
      <c r="X8" s="236">
        <f>入學要求!U268</f>
        <v>0</v>
      </c>
      <c r="Y8" s="236">
        <f>入學要求!V268</f>
        <v>0</v>
      </c>
      <c r="Z8" s="236">
        <f>入學要求!W268</f>
        <v>0</v>
      </c>
      <c r="AA8" s="236">
        <f>入學要求!X268</f>
        <v>0</v>
      </c>
      <c r="AB8" s="36">
        <f t="shared" si="6"/>
        <v>20.47</v>
      </c>
      <c r="AC8" s="537"/>
      <c r="AD8" s="36" cm="1">
        <f t="array" ref="AD8">IFERROR(INDEX('Offer Statistics'!DA$2:DA$400,MATCH(1,($A8='Offer Statistics'!$CL$2:$CL$400)*($AC$2='Offer Statistics'!$CM$2:$CM$400),0)),"/")</f>
        <v>15</v>
      </c>
      <c r="AE8" s="63" cm="1">
        <f t="array" ref="AE8">IFERROR(INDEX('Offer Statistics'!CV$2:CV$400,MATCH(1,($A8='Offer Statistics'!$CL$2:$CL$400)*($AC$2='Offer Statistics'!$CM$2:$CM$400),0)),"/")</f>
        <v>15</v>
      </c>
      <c r="AF8" s="63" cm="1">
        <f t="array" ref="AF8">IFERROR(INDEX('Offer Statistics'!CW$2:CW$400,MATCH(1,($A8='Offer Statistics'!$CL$2:$CL$400)*($AC$2='Offer Statistics'!$CM$2:$CM$400),0)),"/")</f>
        <v>0</v>
      </c>
      <c r="AG8" s="63" cm="1">
        <f t="array" ref="AG8">IFERROR(INDEX('Offer Statistics'!CX$2:CX$400,MATCH(1,($A8='Offer Statistics'!$CL$2:$CL$400)*($AC$2='Offer Statistics'!$CM$2:$CM$400),0)),"/")</f>
        <v>0</v>
      </c>
      <c r="AH8" s="63" cm="1">
        <f t="array" ref="AH8">IFERROR(INDEX('Offer Statistics'!CY$2:CY$400,MATCH(1,($A8='Offer Statistics'!$CL$2:$CL$400)*($AC$2='Offer Statistics'!$CM$2:$CM$400),0)),"/")</f>
        <v>0</v>
      </c>
      <c r="AI8" s="63" cm="1">
        <f t="array" ref="AI8">IFERROR(INDEX('Offer Statistics'!CZ$2:CZ$400,MATCH(1,($A8='Offer Statistics'!$CL$2:$CL$400)*($AC$2='Offer Statistics'!$CM$2:$CM$400),0)),"/")</f>
        <v>0</v>
      </c>
      <c r="AJ8" s="538"/>
      <c r="AK8" s="36" cm="1">
        <f t="array" ref="AK8">IFERROR(INDEX('Offer Statistics'!CS$2:CS$400,MATCH(1,($A8='Offer Statistics'!$CL$2:$CL$400)*($AC$2='Offer Statistics'!$CM$2:$CM$400),0)),"/")</f>
        <v>307</v>
      </c>
      <c r="AL8" s="63" cm="1">
        <f t="array" ref="AL8">IFERROR(INDEX('Offer Statistics'!CN$2:CN$400,MATCH(1,($A8='Offer Statistics'!$CL$2:$CL$400)*($AC$2='Offer Statistics'!$CM$2:$CM$400),0)),"/")</f>
        <v>46</v>
      </c>
      <c r="AM8" s="63" cm="1">
        <f t="array" ref="AM8">IFERROR(INDEX('Offer Statistics'!CO$2:CO$400,MATCH(1,($A8='Offer Statistics'!$CL$2:$CL$400)*($AC$2='Offer Statistics'!$CM$2:$CM$400),0)),"/")</f>
        <v>37</v>
      </c>
      <c r="AN8" s="63" cm="1">
        <f t="array" ref="AN8">IFERROR(INDEX('Offer Statistics'!CP$2:CP$400,MATCH(1,($A8='Offer Statistics'!$CL$2:$CL$400)*($AC$2='Offer Statistics'!$CM$2:$CM$400),0)),"/")</f>
        <v>51</v>
      </c>
      <c r="AO8" s="63" cm="1">
        <f t="array" ref="AO8">IFERROR(INDEX('Offer Statistics'!CQ$2:CQ$400,MATCH(1,($A8='Offer Statistics'!$CL$2:$CL$400)*($AC$2='Offer Statistics'!$CM$2:$CM$400),0)),"/")</f>
        <v>74</v>
      </c>
      <c r="AP8" s="63" cm="1">
        <f t="array" ref="AP8">IFERROR(INDEX('Offer Statistics'!CR$2:CR$400,MATCH(1,($A8='Offer Statistics'!$CL$2:$CL$400)*($AC$2='Offer Statistics'!$CM$2:$CM$400),0)),"/")</f>
        <v>99</v>
      </c>
      <c r="AR8" s="15" t="str">
        <f t="shared" si="7"/>
        <v>JS6286</v>
      </c>
    </row>
    <row r="9" spans="1:44" ht="18" customHeight="1">
      <c r="A9" s="4" t="str">
        <f>'Reference Score Calculation'!B260</f>
        <v>JS6298</v>
      </c>
      <c r="B9" s="4" t="str">
        <f>'Reference Score Calculation'!D260</f>
        <v>文學院</v>
      </c>
      <c r="C9" s="4" t="str">
        <f>'Reference Score Calculation'!E260</f>
        <v>文學士及工學學士(人工智能及數據科學)</v>
      </c>
      <c r="D9" s="4" t="str">
        <f>'Reference Score Calculation'!S260</f>
        <v>BA&amp;BEng(AI&amp;DataSc)</v>
      </c>
      <c r="E9" s="352" t="str">
        <f>'Reference Score Calculation'!AC260</f>
        <v>Best 5</v>
      </c>
      <c r="F9" s="351" t="str">
        <f>'Reference Score Calculation'!F260</f>
        <v>25年新科目</v>
      </c>
      <c r="G9" s="6" t="str">
        <f>'Reference Score Calculation'!H260</f>
        <v>/</v>
      </c>
      <c r="H9" s="6" t="str">
        <f>'Reference Score Calculation'!I260</f>
        <v>/</v>
      </c>
      <c r="I9" s="6" t="str">
        <f>'Reference Score Calculation'!J260</f>
        <v>/</v>
      </c>
      <c r="J9" s="45">
        <f>計分版!J283</f>
        <v>4.0499999999999999E-9</v>
      </c>
      <c r="K9" s="7" t="str">
        <f t="shared" si="4"/>
        <v>/</v>
      </c>
      <c r="L9" s="8" t="str">
        <f t="shared" si="5"/>
        <v>/</v>
      </c>
      <c r="M9" s="36">
        <f>'Reference Score Calculation'!U260</f>
        <v>20</v>
      </c>
      <c r="N9" s="54">
        <f>入學要求!Z269</f>
        <v>0</v>
      </c>
      <c r="O9" s="544"/>
      <c r="P9" s="246">
        <f>入學要求!L269</f>
        <v>3</v>
      </c>
      <c r="Q9" s="246">
        <f>入學要求!M269</f>
        <v>3</v>
      </c>
      <c r="R9" s="246">
        <f>入學要求!N269</f>
        <v>3</v>
      </c>
      <c r="S9" s="246">
        <f>入學要求!O269</f>
        <v>1</v>
      </c>
      <c r="T9" s="246">
        <f>入學要求!P269</f>
        <v>3</v>
      </c>
      <c r="U9" s="246">
        <f>入學要求!Q269</f>
        <v>3</v>
      </c>
      <c r="V9" s="236">
        <f>入學要求!S269</f>
        <v>0</v>
      </c>
      <c r="W9" s="236">
        <f>入學要求!T269</f>
        <v>0</v>
      </c>
      <c r="X9" s="236">
        <f>入學要求!U269</f>
        <v>0</v>
      </c>
      <c r="Y9" s="236">
        <f>入學要求!V269</f>
        <v>0</v>
      </c>
      <c r="Z9" s="236">
        <f>入學要求!W269</f>
        <v>0</v>
      </c>
      <c r="AA9" s="236">
        <f>入學要求!X269</f>
        <v>0</v>
      </c>
      <c r="AB9" s="36" t="str">
        <f t="shared" si="6"/>
        <v>/</v>
      </c>
      <c r="AC9" s="537"/>
      <c r="AD9" s="36" t="str" cm="1">
        <f t="array" ref="AD9">IFERROR(INDEX('Offer Statistics'!DA$2:DA$400,MATCH(1,($A9='Offer Statistics'!$CL$2:$CL$400)*($AC$2='Offer Statistics'!$CM$2:$CM$400),0)),"/")</f>
        <v>/</v>
      </c>
      <c r="AE9" s="63" t="str" cm="1">
        <f t="array" ref="AE9">IFERROR(INDEX('Offer Statistics'!CV$2:CV$400,MATCH(1,($A9='Offer Statistics'!$CL$2:$CL$400)*($AC$2='Offer Statistics'!$CM$2:$CM$400),0)),"/")</f>
        <v>/</v>
      </c>
      <c r="AF9" s="63" t="str" cm="1">
        <f t="array" ref="AF9">IFERROR(INDEX('Offer Statistics'!CW$2:CW$400,MATCH(1,($A9='Offer Statistics'!$CL$2:$CL$400)*($AC$2='Offer Statistics'!$CM$2:$CM$400),0)),"/")</f>
        <v>/</v>
      </c>
      <c r="AG9" s="63" t="str" cm="1">
        <f t="array" ref="AG9">IFERROR(INDEX('Offer Statistics'!CX$2:CX$400,MATCH(1,($A9='Offer Statistics'!$CL$2:$CL$400)*($AC$2='Offer Statistics'!$CM$2:$CM$400),0)),"/")</f>
        <v>/</v>
      </c>
      <c r="AH9" s="63" t="str" cm="1">
        <f t="array" ref="AH9">IFERROR(INDEX('Offer Statistics'!CY$2:CY$400,MATCH(1,($A9='Offer Statistics'!$CL$2:$CL$400)*($AC$2='Offer Statistics'!$CM$2:$CM$400),0)),"/")</f>
        <v>/</v>
      </c>
      <c r="AI9" s="63" t="str" cm="1">
        <f t="array" ref="AI9">IFERROR(INDEX('Offer Statistics'!CZ$2:CZ$400,MATCH(1,($A9='Offer Statistics'!$CL$2:$CL$400)*($AC$2='Offer Statistics'!$CM$2:$CM$400),0)),"/")</f>
        <v>/</v>
      </c>
      <c r="AJ9" s="538"/>
      <c r="AK9" s="36" t="str" cm="1">
        <f t="array" ref="AK9">IFERROR(INDEX('Offer Statistics'!CS$2:CS$400,MATCH(1,($A9='Offer Statistics'!$CL$2:$CL$400)*($AC$2='Offer Statistics'!$CM$2:$CM$400),0)),"/")</f>
        <v>/</v>
      </c>
      <c r="AL9" s="63" t="str" cm="1">
        <f t="array" ref="AL9">IFERROR(INDEX('Offer Statistics'!CN$2:CN$400,MATCH(1,($A9='Offer Statistics'!$CL$2:$CL$400)*($AC$2='Offer Statistics'!$CM$2:$CM$400),0)),"/")</f>
        <v>/</v>
      </c>
      <c r="AM9" s="63" t="str" cm="1">
        <f t="array" ref="AM9">IFERROR(INDEX('Offer Statistics'!CO$2:CO$400,MATCH(1,($A9='Offer Statistics'!$CL$2:$CL$400)*($AC$2='Offer Statistics'!$CM$2:$CM$400),0)),"/")</f>
        <v>/</v>
      </c>
      <c r="AN9" s="63" t="str" cm="1">
        <f t="array" ref="AN9">IFERROR(INDEX('Offer Statistics'!CP$2:CP$400,MATCH(1,($A9='Offer Statistics'!$CL$2:$CL$400)*($AC$2='Offer Statistics'!$CM$2:$CM$400),0)),"/")</f>
        <v>/</v>
      </c>
      <c r="AO9" s="63" t="str" cm="1">
        <f t="array" ref="AO9">IFERROR(INDEX('Offer Statistics'!CQ$2:CQ$400,MATCH(1,($A9='Offer Statistics'!$CL$2:$CL$400)*($AC$2='Offer Statistics'!$CM$2:$CM$400),0)),"/")</f>
        <v>/</v>
      </c>
      <c r="AP9" s="63" t="str" cm="1">
        <f t="array" ref="AP9">IFERROR(INDEX('Offer Statistics'!CR$2:CR$400,MATCH(1,($A9='Offer Statistics'!$CL$2:$CL$400)*($AC$2='Offer Statistics'!$CM$2:$CM$400),0)),"/")</f>
        <v>/</v>
      </c>
      <c r="AR9" s="15" t="str">
        <f t="shared" si="7"/>
        <v>JS6298</v>
      </c>
    </row>
    <row r="10" spans="1:44" ht="18" customHeight="1">
      <c r="A10" s="4" t="str">
        <f>'Reference Score Calculation'!B261</f>
        <v>JS6755</v>
      </c>
      <c r="B10" s="4" t="str">
        <f>'Reference Score Calculation'!D261</f>
        <v>經濟及工商管理學院</v>
      </c>
      <c r="C10" s="4" t="str">
        <f>'Reference Score Calculation'!E261</f>
        <v>工商管理學學士</v>
      </c>
      <c r="D10" s="4" t="str">
        <f>'Reference Score Calculation'!S261</f>
        <v>BBA</v>
      </c>
      <c r="E10" s="352" t="str">
        <f>'Reference Score Calculation'!AC261</f>
        <v>Best 5</v>
      </c>
      <c r="F10" s="347" t="str">
        <f>'Reference Score Calculation'!F261</f>
        <v>Best 5</v>
      </c>
      <c r="G10" s="6">
        <f>'Reference Score Calculation'!H261</f>
        <v>34</v>
      </c>
      <c r="H10" s="6">
        <f>'Reference Score Calculation'!I261</f>
        <v>33</v>
      </c>
      <c r="I10" s="6">
        <f>'Reference Score Calculation'!J261</f>
        <v>32</v>
      </c>
      <c r="J10" s="45">
        <f>計分版!J284</f>
        <v>3.2700000000000001E-9</v>
      </c>
      <c r="K10" s="25">
        <f t="shared" si="4"/>
        <v>-32.999999996729997</v>
      </c>
      <c r="L10" s="26">
        <f t="shared" si="5"/>
        <v>-10091743118.266054</v>
      </c>
      <c r="M10" s="36" t="str">
        <f>'Reference Score Calculation'!U261</f>
        <v>226*</v>
      </c>
      <c r="N10" s="54">
        <f>入學要求!Z270</f>
        <v>0</v>
      </c>
      <c r="O10" s="544"/>
      <c r="P10" s="246">
        <f>入學要求!L270</f>
        <v>3</v>
      </c>
      <c r="Q10" s="246">
        <f>入學要求!M270</f>
        <v>4</v>
      </c>
      <c r="R10" s="246">
        <f>入學要求!N270</f>
        <v>3</v>
      </c>
      <c r="S10" s="246">
        <f>入學要求!O270</f>
        <v>1</v>
      </c>
      <c r="T10" s="246">
        <f>入學要求!P270</f>
        <v>3</v>
      </c>
      <c r="U10" s="246">
        <f>入學要求!Q270</f>
        <v>3</v>
      </c>
      <c r="V10" s="236">
        <f>入學要求!S270</f>
        <v>0</v>
      </c>
      <c r="W10" s="236">
        <f>入學要求!T270</f>
        <v>0</v>
      </c>
      <c r="X10" s="236">
        <f>入學要求!U270</f>
        <v>0</v>
      </c>
      <c r="Y10" s="236">
        <f>入學要求!V270</f>
        <v>0</v>
      </c>
      <c r="Z10" s="236">
        <f>入學要求!W270</f>
        <v>0</v>
      </c>
      <c r="AA10" s="236">
        <f>入學要求!X270</f>
        <v>0</v>
      </c>
      <c r="AB10" s="36">
        <f t="shared" si="6"/>
        <v>45.04</v>
      </c>
      <c r="AC10" s="537"/>
      <c r="AD10" s="36" cm="1">
        <f t="array" ref="AD10">IFERROR(INDEX('Offer Statistics'!DA$2:DA$400,MATCH(1,($A10='Offer Statistics'!$CL$2:$CL$400)*($AC$2='Offer Statistics'!$CM$2:$CM$400),0)),"/")</f>
        <v>53</v>
      </c>
      <c r="AE10" s="63" cm="1">
        <f t="array" ref="AE10">IFERROR(INDEX('Offer Statistics'!CV$2:CV$400,MATCH(1,($A10='Offer Statistics'!$CL$2:$CL$400)*($AC$2='Offer Statistics'!$CM$2:$CM$400),0)),"/")</f>
        <v>53</v>
      </c>
      <c r="AF10" s="63" cm="1">
        <f t="array" ref="AF10">IFERROR(INDEX('Offer Statistics'!CW$2:CW$400,MATCH(1,($A10='Offer Statistics'!$CL$2:$CL$400)*($AC$2='Offer Statistics'!$CM$2:$CM$400),0)),"/")</f>
        <v>0</v>
      </c>
      <c r="AG10" s="63" cm="1">
        <f t="array" ref="AG10">IFERROR(INDEX('Offer Statistics'!CX$2:CX$400,MATCH(1,($A10='Offer Statistics'!$CL$2:$CL$400)*($AC$2='Offer Statistics'!$CM$2:$CM$400),0)),"/")</f>
        <v>0</v>
      </c>
      <c r="AH10" s="63" cm="1">
        <f t="array" ref="AH10">IFERROR(INDEX('Offer Statistics'!CY$2:CY$400,MATCH(1,($A10='Offer Statistics'!$CL$2:$CL$400)*($AC$2='Offer Statistics'!$CM$2:$CM$400),0)),"/")</f>
        <v>0</v>
      </c>
      <c r="AI10" s="63" cm="1">
        <f t="array" ref="AI10">IFERROR(INDEX('Offer Statistics'!CZ$2:CZ$400,MATCH(1,($A10='Offer Statistics'!$CL$2:$CL$400)*($AC$2='Offer Statistics'!$CM$2:$CM$400),0)),"/")</f>
        <v>0</v>
      </c>
      <c r="AJ10" s="538"/>
      <c r="AK10" s="36" cm="1">
        <f t="array" ref="AK10">IFERROR(INDEX('Offer Statistics'!CS$2:CS$400,MATCH(1,($A10='Offer Statistics'!$CL$2:$CL$400)*($AC$2='Offer Statistics'!$CM$2:$CM$400),0)),"/")</f>
        <v>2387</v>
      </c>
      <c r="AL10" s="63" cm="1">
        <f t="array" ref="AL10">IFERROR(INDEX('Offer Statistics'!CN$2:CN$400,MATCH(1,($A10='Offer Statistics'!$CL$2:$CL$400)*($AC$2='Offer Statistics'!$CM$2:$CM$400),0)),"/")</f>
        <v>472</v>
      </c>
      <c r="AM10" s="63" cm="1">
        <f t="array" ref="AM10">IFERROR(INDEX('Offer Statistics'!CO$2:CO$400,MATCH(1,($A10='Offer Statistics'!$CL$2:$CL$400)*($AC$2='Offer Statistics'!$CM$2:$CM$400),0)),"/")</f>
        <v>295</v>
      </c>
      <c r="AN10" s="63" cm="1">
        <f t="array" ref="AN10">IFERROR(INDEX('Offer Statistics'!CP$2:CP$400,MATCH(1,($A10='Offer Statistics'!$CL$2:$CL$400)*($AC$2='Offer Statistics'!$CM$2:$CM$400),0)),"/")</f>
        <v>451</v>
      </c>
      <c r="AO10" s="63" cm="1">
        <f t="array" ref="AO10">IFERROR(INDEX('Offer Statistics'!CQ$2:CQ$400,MATCH(1,($A10='Offer Statistics'!$CL$2:$CL$400)*($AC$2='Offer Statistics'!$CM$2:$CM$400),0)),"/")</f>
        <v>614</v>
      </c>
      <c r="AP10" s="63" cm="1">
        <f t="array" ref="AP10">IFERROR(INDEX('Offer Statistics'!CR$2:CR$400,MATCH(1,($A10='Offer Statistics'!$CL$2:$CL$400)*($AC$2='Offer Statistics'!$CM$2:$CM$400),0)),"/")</f>
        <v>555</v>
      </c>
      <c r="AR10" s="15" t="str">
        <f t="shared" si="7"/>
        <v>JS6755</v>
      </c>
    </row>
    <row r="11" spans="1:44" ht="18" customHeight="1">
      <c r="A11" s="4" t="str">
        <f>'Reference Score Calculation'!B262</f>
        <v>JS6767</v>
      </c>
      <c r="B11" s="4" t="str">
        <f>'Reference Score Calculation'!D262</f>
        <v>經濟及工商管理學院</v>
      </c>
      <c r="C11" s="4" t="str">
        <f>'Reference Score Calculation'!E262</f>
        <v>經濟學學士 / 經濟金融學學士</v>
      </c>
      <c r="D11" s="4" t="str">
        <f>'Reference Score Calculation'!S262</f>
        <v>BEcon/BEcon&amp;Fin</v>
      </c>
      <c r="E11" s="352" t="str">
        <f>'Reference Score Calculation'!AC262</f>
        <v>Best 5</v>
      </c>
      <c r="F11" s="347" t="str">
        <f>'Reference Score Calculation'!F262</f>
        <v>Best 5</v>
      </c>
      <c r="G11" s="6">
        <f>'Reference Score Calculation'!H262</f>
        <v>38</v>
      </c>
      <c r="H11" s="6">
        <f>'Reference Score Calculation'!I262</f>
        <v>36</v>
      </c>
      <c r="I11" s="6">
        <f>'Reference Score Calculation'!J262</f>
        <v>35</v>
      </c>
      <c r="J11" s="45">
        <f>計分版!J285</f>
        <v>3.2700000000000001E-9</v>
      </c>
      <c r="K11" s="25">
        <f t="shared" si="4"/>
        <v>-35.999999996729997</v>
      </c>
      <c r="L11" s="26">
        <f t="shared" si="5"/>
        <v>-11009174310.926605</v>
      </c>
      <c r="M11" s="36" t="str">
        <f>'Reference Score Calculation'!U262</f>
        <v>226*</v>
      </c>
      <c r="N11" s="54">
        <f>入學要求!Z271</f>
        <v>0</v>
      </c>
      <c r="O11" s="544"/>
      <c r="P11" s="246">
        <f>入學要求!L271</f>
        <v>3</v>
      </c>
      <c r="Q11" s="246">
        <f>入學要求!M271</f>
        <v>4</v>
      </c>
      <c r="R11" s="246">
        <f>入學要求!N271</f>
        <v>3</v>
      </c>
      <c r="S11" s="246">
        <f>入學要求!O271</f>
        <v>1</v>
      </c>
      <c r="T11" s="246">
        <f>入學要求!P271</f>
        <v>3</v>
      </c>
      <c r="U11" s="246">
        <f>入學要求!Q271</f>
        <v>3</v>
      </c>
      <c r="V11" s="236">
        <f>入學要求!S271</f>
        <v>0</v>
      </c>
      <c r="W11" s="236">
        <f>入學要求!T271</f>
        <v>0</v>
      </c>
      <c r="X11" s="236">
        <f>入學要求!U271</f>
        <v>0</v>
      </c>
      <c r="Y11" s="236">
        <f>入學要求!V271</f>
        <v>0</v>
      </c>
      <c r="Z11" s="236">
        <f>入學要求!W271</f>
        <v>0</v>
      </c>
      <c r="AA11" s="236">
        <f>入學要求!X271</f>
        <v>0</v>
      </c>
      <c r="AB11" s="36">
        <f t="shared" si="6"/>
        <v>27.07</v>
      </c>
      <c r="AC11" s="537"/>
      <c r="AD11" s="36" cm="1">
        <f t="array" ref="AD11">IFERROR(INDEX('Offer Statistics'!DA$2:DA$400,MATCH(1,($A11='Offer Statistics'!$CL$2:$CL$400)*($AC$2='Offer Statistics'!$CM$2:$CM$400),0)),"/")</f>
        <v>56</v>
      </c>
      <c r="AE11" s="63" cm="1">
        <f t="array" ref="AE11">IFERROR(INDEX('Offer Statistics'!CV$2:CV$400,MATCH(1,($A11='Offer Statistics'!$CL$2:$CL$400)*($AC$2='Offer Statistics'!$CM$2:$CM$400),0)),"/")</f>
        <v>56</v>
      </c>
      <c r="AF11" s="63" cm="1">
        <f t="array" ref="AF11">IFERROR(INDEX('Offer Statistics'!CW$2:CW$400,MATCH(1,($A11='Offer Statistics'!$CL$2:$CL$400)*($AC$2='Offer Statistics'!$CM$2:$CM$400),0)),"/")</f>
        <v>0</v>
      </c>
      <c r="AG11" s="63" cm="1">
        <f t="array" ref="AG11">IFERROR(INDEX('Offer Statistics'!CX$2:CX$400,MATCH(1,($A11='Offer Statistics'!$CL$2:$CL$400)*($AC$2='Offer Statistics'!$CM$2:$CM$400),0)),"/")</f>
        <v>0</v>
      </c>
      <c r="AH11" s="63" cm="1">
        <f t="array" ref="AH11">IFERROR(INDEX('Offer Statistics'!CY$2:CY$400,MATCH(1,($A11='Offer Statistics'!$CL$2:$CL$400)*($AC$2='Offer Statistics'!$CM$2:$CM$400),0)),"/")</f>
        <v>0</v>
      </c>
      <c r="AI11" s="63" cm="1">
        <f t="array" ref="AI11">IFERROR(INDEX('Offer Statistics'!CZ$2:CZ$400,MATCH(1,($A11='Offer Statistics'!$CL$2:$CL$400)*($AC$2='Offer Statistics'!$CM$2:$CM$400),0)),"/")</f>
        <v>0</v>
      </c>
      <c r="AJ11" s="538"/>
      <c r="AK11" s="36" cm="1">
        <f t="array" ref="AK11">IFERROR(INDEX('Offer Statistics'!CS$2:CS$400,MATCH(1,($A11='Offer Statistics'!$CL$2:$CL$400)*($AC$2='Offer Statistics'!$CM$2:$CM$400),0)),"/")</f>
        <v>1516</v>
      </c>
      <c r="AL11" s="63" cm="1">
        <f t="array" ref="AL11">IFERROR(INDEX('Offer Statistics'!CN$2:CN$400,MATCH(1,($A11='Offer Statistics'!$CL$2:$CL$400)*($AC$2='Offer Statistics'!$CM$2:$CM$400),0)),"/")</f>
        <v>282</v>
      </c>
      <c r="AM11" s="63" cm="1">
        <f t="array" ref="AM11">IFERROR(INDEX('Offer Statistics'!CO$2:CO$400,MATCH(1,($A11='Offer Statistics'!$CL$2:$CL$400)*($AC$2='Offer Statistics'!$CM$2:$CM$400),0)),"/")</f>
        <v>161</v>
      </c>
      <c r="AN11" s="63" cm="1">
        <f t="array" ref="AN11">IFERROR(INDEX('Offer Statistics'!CP$2:CP$400,MATCH(1,($A11='Offer Statistics'!$CL$2:$CL$400)*($AC$2='Offer Statistics'!$CM$2:$CM$400),0)),"/")</f>
        <v>298</v>
      </c>
      <c r="AO11" s="63" cm="1">
        <f t="array" ref="AO11">IFERROR(INDEX('Offer Statistics'!CQ$2:CQ$400,MATCH(1,($A11='Offer Statistics'!$CL$2:$CL$400)*($AC$2='Offer Statistics'!$CM$2:$CM$400),0)),"/")</f>
        <v>395</v>
      </c>
      <c r="AP11" s="63" cm="1">
        <f t="array" ref="AP11">IFERROR(INDEX('Offer Statistics'!CR$2:CR$400,MATCH(1,($A11='Offer Statistics'!$CL$2:$CL$400)*($AC$2='Offer Statistics'!$CM$2:$CM$400),0)),"/")</f>
        <v>380</v>
      </c>
      <c r="AR11" s="15" t="str">
        <f t="shared" si="7"/>
        <v>JS6767</v>
      </c>
    </row>
    <row r="12" spans="1:44" ht="18" customHeight="1">
      <c r="A12" s="4" t="str">
        <f>'Reference Score Calculation'!B263</f>
        <v>JS6781</v>
      </c>
      <c r="B12" s="4" t="str">
        <f>'Reference Score Calculation'!D263</f>
        <v>經濟及工商管理學院</v>
      </c>
      <c r="C12" s="4" t="str">
        <f>'Reference Score Calculation'!E263</f>
        <v>工商管理學學士(會計及財務) / 工商管理學學士(會計數據分析)</v>
      </c>
      <c r="D12" s="4" t="str">
        <f>'Reference Score Calculation'!S263</f>
        <v>BBA(Acc&amp;Fin)/BBA(ADA)</v>
      </c>
      <c r="E12" s="352" t="str">
        <f>'Reference Score Calculation'!AC263</f>
        <v>Best 5</v>
      </c>
      <c r="F12" s="347" t="str">
        <f>'Reference Score Calculation'!F263</f>
        <v>Best 5</v>
      </c>
      <c r="G12" s="6">
        <f>'Reference Score Calculation'!H263</f>
        <v>35</v>
      </c>
      <c r="H12" s="6">
        <f>'Reference Score Calculation'!I263</f>
        <v>34</v>
      </c>
      <c r="I12" s="6">
        <f>'Reference Score Calculation'!J263</f>
        <v>33</v>
      </c>
      <c r="J12" s="45">
        <f>計分版!J286</f>
        <v>3.2700000000000001E-9</v>
      </c>
      <c r="K12" s="25">
        <f t="shared" si="4"/>
        <v>-33.999999996729997</v>
      </c>
      <c r="L12" s="26">
        <f t="shared" si="5"/>
        <v>-10397553515.819571</v>
      </c>
      <c r="M12" s="36" t="str">
        <f>'Reference Score Calculation'!U263</f>
        <v>226*</v>
      </c>
      <c r="N12" s="54">
        <f>入學要求!Z272</f>
        <v>0</v>
      </c>
      <c r="O12" s="544"/>
      <c r="P12" s="246">
        <f>入學要求!L272</f>
        <v>3</v>
      </c>
      <c r="Q12" s="246">
        <f>入學要求!M272</f>
        <v>4</v>
      </c>
      <c r="R12" s="246">
        <f>入學要求!N272</f>
        <v>3</v>
      </c>
      <c r="S12" s="246">
        <f>入學要求!O272</f>
        <v>1</v>
      </c>
      <c r="T12" s="246">
        <f>入學要求!P272</f>
        <v>3</v>
      </c>
      <c r="U12" s="246">
        <f>入學要求!Q272</f>
        <v>3</v>
      </c>
      <c r="V12" s="236">
        <f>入學要求!S272</f>
        <v>0</v>
      </c>
      <c r="W12" s="236">
        <f>入學要求!T272</f>
        <v>0</v>
      </c>
      <c r="X12" s="236">
        <f>入學要求!U272</f>
        <v>0</v>
      </c>
      <c r="Y12" s="236">
        <f>入學要求!V272</f>
        <v>0</v>
      </c>
      <c r="Z12" s="236">
        <f>入學要求!W272</f>
        <v>0</v>
      </c>
      <c r="AA12" s="236">
        <f>入學要求!X272</f>
        <v>0</v>
      </c>
      <c r="AB12" s="36">
        <f t="shared" si="6"/>
        <v>17.239999999999998</v>
      </c>
      <c r="AC12" s="537"/>
      <c r="AD12" s="36" cm="1">
        <f t="array" ref="AD12">IFERROR(INDEX('Offer Statistics'!DA$2:DA$400,MATCH(1,($A12='Offer Statistics'!$CL$2:$CL$400)*($AC$2='Offer Statistics'!$CM$2:$CM$400),0)),"/")</f>
        <v>83</v>
      </c>
      <c r="AE12" s="63" cm="1">
        <f t="array" ref="AE12">IFERROR(INDEX('Offer Statistics'!CV$2:CV$400,MATCH(1,($A12='Offer Statistics'!$CL$2:$CL$400)*($AC$2='Offer Statistics'!$CM$2:$CM$400),0)),"/")</f>
        <v>83</v>
      </c>
      <c r="AF12" s="63" cm="1">
        <f t="array" ref="AF12">IFERROR(INDEX('Offer Statistics'!CW$2:CW$400,MATCH(1,($A12='Offer Statistics'!$CL$2:$CL$400)*($AC$2='Offer Statistics'!$CM$2:$CM$400),0)),"/")</f>
        <v>0</v>
      </c>
      <c r="AG12" s="63" cm="1">
        <f t="array" ref="AG12">IFERROR(INDEX('Offer Statistics'!CX$2:CX$400,MATCH(1,($A12='Offer Statistics'!$CL$2:$CL$400)*($AC$2='Offer Statistics'!$CM$2:$CM$400),0)),"/")</f>
        <v>0</v>
      </c>
      <c r="AH12" s="63" cm="1">
        <f t="array" ref="AH12">IFERROR(INDEX('Offer Statistics'!CY$2:CY$400,MATCH(1,($A12='Offer Statistics'!$CL$2:$CL$400)*($AC$2='Offer Statistics'!$CM$2:$CM$400),0)),"/")</f>
        <v>0</v>
      </c>
      <c r="AI12" s="63" cm="1">
        <f t="array" ref="AI12">IFERROR(INDEX('Offer Statistics'!CZ$2:CZ$400,MATCH(1,($A12='Offer Statistics'!$CL$2:$CL$400)*($AC$2='Offer Statistics'!$CM$2:$CM$400),0)),"/")</f>
        <v>0</v>
      </c>
      <c r="AJ12" s="538"/>
      <c r="AK12" s="36" cm="1">
        <f t="array" ref="AK12">IFERROR(INDEX('Offer Statistics'!CS$2:CS$400,MATCH(1,($A12='Offer Statistics'!$CL$2:$CL$400)*($AC$2='Offer Statistics'!$CM$2:$CM$400),0)),"/")</f>
        <v>1431</v>
      </c>
      <c r="AL12" s="63" cm="1">
        <f t="array" ref="AL12">IFERROR(INDEX('Offer Statistics'!CN$2:CN$400,MATCH(1,($A12='Offer Statistics'!$CL$2:$CL$400)*($AC$2='Offer Statistics'!$CM$2:$CM$400),0)),"/")</f>
        <v>257</v>
      </c>
      <c r="AM12" s="63" cm="1">
        <f t="array" ref="AM12">IFERROR(INDEX('Offer Statistics'!CO$2:CO$400,MATCH(1,($A12='Offer Statistics'!$CL$2:$CL$400)*($AC$2='Offer Statistics'!$CM$2:$CM$400),0)),"/")</f>
        <v>153</v>
      </c>
      <c r="AN12" s="63" cm="1">
        <f t="array" ref="AN12">IFERROR(INDEX('Offer Statistics'!CP$2:CP$400,MATCH(1,($A12='Offer Statistics'!$CL$2:$CL$400)*($AC$2='Offer Statistics'!$CM$2:$CM$400),0)),"/")</f>
        <v>285</v>
      </c>
      <c r="AO12" s="63" cm="1">
        <f t="array" ref="AO12">IFERROR(INDEX('Offer Statistics'!CQ$2:CQ$400,MATCH(1,($A12='Offer Statistics'!$CL$2:$CL$400)*($AC$2='Offer Statistics'!$CM$2:$CM$400),0)),"/")</f>
        <v>379</v>
      </c>
      <c r="AP12" s="63" cm="1">
        <f t="array" ref="AP12">IFERROR(INDEX('Offer Statistics'!CR$2:CR$400,MATCH(1,($A12='Offer Statistics'!$CL$2:$CL$400)*($AC$2='Offer Statistics'!$CM$2:$CM$400),0)),"/")</f>
        <v>357</v>
      </c>
      <c r="AR12" s="15" t="str">
        <f t="shared" si="7"/>
        <v>JS6781</v>
      </c>
    </row>
    <row r="13" spans="1:44" ht="18" customHeight="1">
      <c r="A13" s="4" t="str">
        <f>'Reference Score Calculation'!B264</f>
        <v>JS6860</v>
      </c>
      <c r="B13" s="4" t="str">
        <f>'Reference Score Calculation'!D264</f>
        <v>經濟及工商管理學院</v>
      </c>
      <c r="C13" s="4" t="str">
        <f>'Reference Score Calculation'!E264</f>
        <v>金融學學士(資產管理及私人銀行)</v>
      </c>
      <c r="D13" s="4" t="str">
        <f>'Reference Score Calculation'!S264</f>
        <v>BFin(AMPB)</v>
      </c>
      <c r="E13" s="352" t="str">
        <f>'Reference Score Calculation'!AC264</f>
        <v>Best 6</v>
      </c>
      <c r="F13" s="347" t="str">
        <f>'Reference Score Calculation'!F264</f>
        <v>Best 6</v>
      </c>
      <c r="G13" s="6">
        <f>'Reference Score Calculation'!H264</f>
        <v>48</v>
      </c>
      <c r="H13" s="6">
        <f>'Reference Score Calculation'!I264</f>
        <v>47</v>
      </c>
      <c r="I13" s="6">
        <f>'Reference Score Calculation'!J264</f>
        <v>47</v>
      </c>
      <c r="J13" s="45">
        <f>計分版!J287</f>
        <v>3.8500000000000006E-9</v>
      </c>
      <c r="K13" s="25">
        <f t="shared" si="4"/>
        <v>-46.999999996150002</v>
      </c>
      <c r="L13" s="26">
        <f t="shared" si="5"/>
        <v>-12207792206.792206</v>
      </c>
      <c r="M13" s="36">
        <f>'Reference Score Calculation'!U264</f>
        <v>30</v>
      </c>
      <c r="N13" s="54">
        <f>入學要求!Z273</f>
        <v>0</v>
      </c>
      <c r="O13" s="544"/>
      <c r="P13" s="246">
        <f>入學要求!L273</f>
        <v>3</v>
      </c>
      <c r="Q13" s="246">
        <f>入學要求!M273</f>
        <v>4</v>
      </c>
      <c r="R13" s="246">
        <f>入學要求!N273</f>
        <v>3</v>
      </c>
      <c r="S13" s="246">
        <f>入學要求!O273</f>
        <v>1</v>
      </c>
      <c r="T13" s="246">
        <f>入學要求!P273</f>
        <v>3</v>
      </c>
      <c r="U13" s="246">
        <f>入學要求!Q273</f>
        <v>3</v>
      </c>
      <c r="V13" s="236">
        <f>入學要求!S273</f>
        <v>0</v>
      </c>
      <c r="W13" s="236">
        <f>入學要求!T273</f>
        <v>0</v>
      </c>
      <c r="X13" s="236">
        <f>入學要求!U273</f>
        <v>0</v>
      </c>
      <c r="Y13" s="236">
        <f>入學要求!V273</f>
        <v>0</v>
      </c>
      <c r="Z13" s="236">
        <f>入學要求!W273</f>
        <v>0</v>
      </c>
      <c r="AA13" s="236">
        <f>入學要求!X273</f>
        <v>0</v>
      </c>
      <c r="AB13" s="36">
        <f t="shared" si="6"/>
        <v>37.47</v>
      </c>
      <c r="AC13" s="537"/>
      <c r="AD13" s="36" cm="1">
        <f t="array" ref="AD13">IFERROR(INDEX('Offer Statistics'!DA$2:DA$400,MATCH(1,($A13='Offer Statistics'!$CL$2:$CL$400)*($AC$2='Offer Statistics'!$CM$2:$CM$400),0)),"/")</f>
        <v>17</v>
      </c>
      <c r="AE13" s="63" cm="1">
        <f t="array" ref="AE13">IFERROR(INDEX('Offer Statistics'!CV$2:CV$400,MATCH(1,($A13='Offer Statistics'!$CL$2:$CL$400)*($AC$2='Offer Statistics'!$CM$2:$CM$400),0)),"/")</f>
        <v>17</v>
      </c>
      <c r="AF13" s="63" cm="1">
        <f t="array" ref="AF13">IFERROR(INDEX('Offer Statistics'!CW$2:CW$400,MATCH(1,($A13='Offer Statistics'!$CL$2:$CL$400)*($AC$2='Offer Statistics'!$CM$2:$CM$400),0)),"/")</f>
        <v>0</v>
      </c>
      <c r="AG13" s="63" cm="1">
        <f t="array" ref="AG13">IFERROR(INDEX('Offer Statistics'!CX$2:CX$400,MATCH(1,($A13='Offer Statistics'!$CL$2:$CL$400)*($AC$2='Offer Statistics'!$CM$2:$CM$400),0)),"/")</f>
        <v>0</v>
      </c>
      <c r="AH13" s="63" cm="1">
        <f t="array" ref="AH13">IFERROR(INDEX('Offer Statistics'!CY$2:CY$400,MATCH(1,($A13='Offer Statistics'!$CL$2:$CL$400)*($AC$2='Offer Statistics'!$CM$2:$CM$400),0)),"/")</f>
        <v>0</v>
      </c>
      <c r="AI13" s="63" cm="1">
        <f t="array" ref="AI13">IFERROR(INDEX('Offer Statistics'!CZ$2:CZ$400,MATCH(1,($A13='Offer Statistics'!$CL$2:$CL$400)*($AC$2='Offer Statistics'!$CM$2:$CM$400),0)),"/")</f>
        <v>0</v>
      </c>
      <c r="AJ13" s="538"/>
      <c r="AK13" s="36" cm="1">
        <f t="array" ref="AK13">IFERROR(INDEX('Offer Statistics'!CS$2:CS$400,MATCH(1,($A13='Offer Statistics'!$CL$2:$CL$400)*($AC$2='Offer Statistics'!$CM$2:$CM$400),0)),"/")</f>
        <v>637</v>
      </c>
      <c r="AL13" s="63" cm="1">
        <f t="array" ref="AL13">IFERROR(INDEX('Offer Statistics'!CN$2:CN$400,MATCH(1,($A13='Offer Statistics'!$CL$2:$CL$400)*($AC$2='Offer Statistics'!$CM$2:$CM$400),0)),"/")</f>
        <v>104</v>
      </c>
      <c r="AM13" s="63" cm="1">
        <f t="array" ref="AM13">IFERROR(INDEX('Offer Statistics'!CO$2:CO$400,MATCH(1,($A13='Offer Statistics'!$CL$2:$CL$400)*($AC$2='Offer Statistics'!$CM$2:$CM$400),0)),"/")</f>
        <v>65</v>
      </c>
      <c r="AN13" s="63" cm="1">
        <f t="array" ref="AN13">IFERROR(INDEX('Offer Statistics'!CP$2:CP$400,MATCH(1,($A13='Offer Statistics'!$CL$2:$CL$400)*($AC$2='Offer Statistics'!$CM$2:$CM$400),0)),"/")</f>
        <v>119</v>
      </c>
      <c r="AO13" s="63" cm="1">
        <f t="array" ref="AO13">IFERROR(INDEX('Offer Statistics'!CQ$2:CQ$400,MATCH(1,($A13='Offer Statistics'!$CL$2:$CL$400)*($AC$2='Offer Statistics'!$CM$2:$CM$400),0)),"/")</f>
        <v>174</v>
      </c>
      <c r="AP13" s="63" cm="1">
        <f t="array" ref="AP13">IFERROR(INDEX('Offer Statistics'!CR$2:CR$400,MATCH(1,($A13='Offer Statistics'!$CL$2:$CL$400)*($AC$2='Offer Statistics'!$CM$2:$CM$400),0)),"/")</f>
        <v>175</v>
      </c>
      <c r="AR13" s="15" t="str">
        <f t="shared" si="7"/>
        <v>JS6860</v>
      </c>
    </row>
    <row r="14" spans="1:44" ht="18" customHeight="1">
      <c r="A14" s="4" t="str">
        <f>'Reference Score Calculation'!B265</f>
        <v>JS6793</v>
      </c>
      <c r="B14" s="4" t="str">
        <f>'Reference Score Calculation'!D265</f>
        <v>經濟及工商管理學院</v>
      </c>
      <c r="C14" s="4" t="str">
        <f>'Reference Score Calculation'!E265</f>
        <v>工商管理學學士(商業分析)</v>
      </c>
      <c r="D14" s="4" t="str">
        <f>'Reference Score Calculation'!S265</f>
        <v>BBA(BA)</v>
      </c>
      <c r="E14" s="352" t="str">
        <f>'Reference Score Calculation'!AC265</f>
        <v>Best 5</v>
      </c>
      <c r="F14" s="347" t="str">
        <f>'Reference Score Calculation'!F265</f>
        <v>Best 5</v>
      </c>
      <c r="G14" s="6">
        <f>'Reference Score Calculation'!H265</f>
        <v>34</v>
      </c>
      <c r="H14" s="6">
        <f>'Reference Score Calculation'!I265</f>
        <v>32</v>
      </c>
      <c r="I14" s="6">
        <f>'Reference Score Calculation'!J265</f>
        <v>31</v>
      </c>
      <c r="J14" s="45">
        <f>計分版!J288</f>
        <v>3.2700000000000001E-9</v>
      </c>
      <c r="K14" s="25">
        <f t="shared" si="4"/>
        <v>-31.999999996730001</v>
      </c>
      <c r="L14" s="26">
        <f t="shared" si="5"/>
        <v>-9785932720.7125378</v>
      </c>
      <c r="M14" s="36">
        <f>'Reference Score Calculation'!U265</f>
        <v>15</v>
      </c>
      <c r="N14" s="54">
        <f>入學要求!Z274</f>
        <v>0</v>
      </c>
      <c r="O14" s="544"/>
      <c r="P14" s="246">
        <f>入學要求!L274</f>
        <v>3</v>
      </c>
      <c r="Q14" s="246">
        <f>入學要求!M274</f>
        <v>4</v>
      </c>
      <c r="R14" s="246">
        <f>入學要求!N274</f>
        <v>3</v>
      </c>
      <c r="S14" s="246">
        <f>入學要求!O274</f>
        <v>1</v>
      </c>
      <c r="T14" s="246">
        <f>入學要求!P274</f>
        <v>3</v>
      </c>
      <c r="U14" s="246">
        <f>入學要求!Q274</f>
        <v>3</v>
      </c>
      <c r="V14" s="236">
        <f>入學要求!S274</f>
        <v>0</v>
      </c>
      <c r="W14" s="236">
        <f>入學要求!T274</f>
        <v>0</v>
      </c>
      <c r="X14" s="236">
        <f>入學要求!U274</f>
        <v>0</v>
      </c>
      <c r="Y14" s="236">
        <f>入學要求!V274</f>
        <v>0</v>
      </c>
      <c r="Z14" s="236">
        <f>入學要求!W274</f>
        <v>0</v>
      </c>
      <c r="AA14" s="236">
        <f>入學要求!X274</f>
        <v>0</v>
      </c>
      <c r="AB14" s="36">
        <f t="shared" si="6"/>
        <v>40.78</v>
      </c>
      <c r="AC14" s="537"/>
      <c r="AD14" s="36" cm="1">
        <f t="array" ref="AD14">IFERROR(INDEX('Offer Statistics'!DA$2:DA$400,MATCH(1,($A14='Offer Statistics'!$CL$2:$CL$400)*($AC$2='Offer Statistics'!$CM$2:$CM$400),0)),"/")</f>
        <v>23</v>
      </c>
      <c r="AE14" s="63" cm="1">
        <f t="array" ref="AE14">IFERROR(INDEX('Offer Statistics'!CV$2:CV$400,MATCH(1,($A14='Offer Statistics'!$CL$2:$CL$400)*($AC$2='Offer Statistics'!$CM$2:$CM$400),0)),"/")</f>
        <v>23</v>
      </c>
      <c r="AF14" s="63" cm="1">
        <f t="array" ref="AF14">IFERROR(INDEX('Offer Statistics'!CW$2:CW$400,MATCH(1,($A14='Offer Statistics'!$CL$2:$CL$400)*($AC$2='Offer Statistics'!$CM$2:$CM$400),0)),"/")</f>
        <v>0</v>
      </c>
      <c r="AG14" s="63" cm="1">
        <f t="array" ref="AG14">IFERROR(INDEX('Offer Statistics'!CX$2:CX$400,MATCH(1,($A14='Offer Statistics'!$CL$2:$CL$400)*($AC$2='Offer Statistics'!$CM$2:$CM$400),0)),"/")</f>
        <v>0</v>
      </c>
      <c r="AH14" s="63" cm="1">
        <f t="array" ref="AH14">IFERROR(INDEX('Offer Statistics'!CY$2:CY$400,MATCH(1,($A14='Offer Statistics'!$CL$2:$CL$400)*($AC$2='Offer Statistics'!$CM$2:$CM$400),0)),"/")</f>
        <v>0</v>
      </c>
      <c r="AI14" s="63" cm="1">
        <f t="array" ref="AI14">IFERROR(INDEX('Offer Statistics'!CZ$2:CZ$400,MATCH(1,($A14='Offer Statistics'!$CL$2:$CL$400)*($AC$2='Offer Statistics'!$CM$2:$CM$400),0)),"/")</f>
        <v>0</v>
      </c>
      <c r="AJ14" s="538"/>
      <c r="AK14" s="36" cm="1">
        <f t="array" ref="AK14">IFERROR(INDEX('Offer Statistics'!CS$2:CS$400,MATCH(1,($A14='Offer Statistics'!$CL$2:$CL$400)*($AC$2='Offer Statistics'!$CM$2:$CM$400),0)),"/")</f>
        <v>938</v>
      </c>
      <c r="AL14" s="63" cm="1">
        <f t="array" ref="AL14">IFERROR(INDEX('Offer Statistics'!CN$2:CN$400,MATCH(1,($A14='Offer Statistics'!$CL$2:$CL$400)*($AC$2='Offer Statistics'!$CM$2:$CM$400),0)),"/")</f>
        <v>81</v>
      </c>
      <c r="AM14" s="63" cm="1">
        <f t="array" ref="AM14">IFERROR(INDEX('Offer Statistics'!CO$2:CO$400,MATCH(1,($A14='Offer Statistics'!$CL$2:$CL$400)*($AC$2='Offer Statistics'!$CM$2:$CM$400),0)),"/")</f>
        <v>82</v>
      </c>
      <c r="AN14" s="63" cm="1">
        <f t="array" ref="AN14">IFERROR(INDEX('Offer Statistics'!CP$2:CP$400,MATCH(1,($A14='Offer Statistics'!$CL$2:$CL$400)*($AC$2='Offer Statistics'!$CM$2:$CM$400),0)),"/")</f>
        <v>191</v>
      </c>
      <c r="AO14" s="63" cm="1">
        <f t="array" ref="AO14">IFERROR(INDEX('Offer Statistics'!CQ$2:CQ$400,MATCH(1,($A14='Offer Statistics'!$CL$2:$CL$400)*($AC$2='Offer Statistics'!$CM$2:$CM$400),0)),"/")</f>
        <v>314</v>
      </c>
      <c r="AP14" s="63" cm="1">
        <f t="array" ref="AP14">IFERROR(INDEX('Offer Statistics'!CR$2:CR$400,MATCH(1,($A14='Offer Statistics'!$CL$2:$CL$400)*($AC$2='Offer Statistics'!$CM$2:$CM$400),0)),"/")</f>
        <v>270</v>
      </c>
      <c r="AR14" s="15" t="str">
        <f t="shared" si="7"/>
        <v>JS6793</v>
      </c>
    </row>
    <row r="15" spans="1:44" ht="18" customHeight="1">
      <c r="A15" s="4" t="str">
        <f>'Reference Score Calculation'!B266</f>
        <v>JS6808</v>
      </c>
      <c r="B15" s="4" t="str">
        <f>'Reference Score Calculation'!D266</f>
        <v>經濟及工商管理學院</v>
      </c>
      <c r="C15" s="4" t="str">
        <f>'Reference Score Calculation'!E266</f>
        <v>工商管理學學士(法學)及法學士</v>
      </c>
      <c r="D15" s="4" t="str">
        <f>'Reference Score Calculation'!S266</f>
        <v>BBA(Law)&amp;LLB</v>
      </c>
      <c r="E15" s="352" t="str">
        <f>'Reference Score Calculation'!AC266</f>
        <v>Best 6</v>
      </c>
      <c r="F15" s="347" t="str">
        <f>'Reference Score Calculation'!F266</f>
        <v>Best 6</v>
      </c>
      <c r="G15" s="6">
        <f>'Reference Score Calculation'!H266</f>
        <v>48</v>
      </c>
      <c r="H15" s="6">
        <f>'Reference Score Calculation'!I266</f>
        <v>46</v>
      </c>
      <c r="I15" s="6">
        <f>'Reference Score Calculation'!J266</f>
        <v>45</v>
      </c>
      <c r="J15" s="45">
        <f>計分版!J289</f>
        <v>3.8500000000000006E-9</v>
      </c>
      <c r="K15" s="25">
        <f t="shared" si="4"/>
        <v>-45.999999996150002</v>
      </c>
      <c r="L15" s="26">
        <f t="shared" si="5"/>
        <v>-11948051947.051947</v>
      </c>
      <c r="M15" s="36">
        <f>'Reference Score Calculation'!U266</f>
        <v>80</v>
      </c>
      <c r="N15" s="54">
        <f>入學要求!Z275</f>
        <v>0</v>
      </c>
      <c r="O15" s="544"/>
      <c r="P15" s="246">
        <f>入學要求!L275</f>
        <v>4</v>
      </c>
      <c r="Q15" s="246">
        <f>入學要求!M275</f>
        <v>5</v>
      </c>
      <c r="R15" s="246">
        <f>入學要求!N275</f>
        <v>4</v>
      </c>
      <c r="S15" s="246">
        <f>入學要求!O275</f>
        <v>1</v>
      </c>
      <c r="T15" s="246">
        <f>入學要求!P275</f>
        <v>3</v>
      </c>
      <c r="U15" s="246">
        <f>入學要求!Q275</f>
        <v>3</v>
      </c>
      <c r="V15" s="236">
        <f>入學要求!S275</f>
        <v>0</v>
      </c>
      <c r="W15" s="236">
        <f>入學要求!T275</f>
        <v>0</v>
      </c>
      <c r="X15" s="236">
        <f>入學要求!U275</f>
        <v>0</v>
      </c>
      <c r="Y15" s="236">
        <f>入學要求!V275</f>
        <v>0</v>
      </c>
      <c r="Z15" s="236">
        <f>入學要求!W275</f>
        <v>0</v>
      </c>
      <c r="AA15" s="236">
        <f>入學要求!X275</f>
        <v>0</v>
      </c>
      <c r="AB15" s="36">
        <f t="shared" si="6"/>
        <v>13.53</v>
      </c>
      <c r="AC15" s="537"/>
      <c r="AD15" s="36" cm="1">
        <f t="array" ref="AD15">IFERROR(INDEX('Offer Statistics'!DA$2:DA$400,MATCH(1,($A15='Offer Statistics'!$CL$2:$CL$400)*($AC$2='Offer Statistics'!$CM$2:$CM$400),0)),"/")</f>
        <v>40</v>
      </c>
      <c r="AE15" s="63" cm="1">
        <f t="array" ref="AE15">IFERROR(INDEX('Offer Statistics'!CV$2:CV$400,MATCH(1,($A15='Offer Statistics'!$CL$2:$CL$400)*($AC$2='Offer Statistics'!$CM$2:$CM$400),0)),"/")</f>
        <v>40</v>
      </c>
      <c r="AF15" s="63" cm="1">
        <f t="array" ref="AF15">IFERROR(INDEX('Offer Statistics'!CW$2:CW$400,MATCH(1,($A15='Offer Statistics'!$CL$2:$CL$400)*($AC$2='Offer Statistics'!$CM$2:$CM$400),0)),"/")</f>
        <v>0</v>
      </c>
      <c r="AG15" s="63" cm="1">
        <f t="array" ref="AG15">IFERROR(INDEX('Offer Statistics'!CX$2:CX$400,MATCH(1,($A15='Offer Statistics'!$CL$2:$CL$400)*($AC$2='Offer Statistics'!$CM$2:$CM$400),0)),"/")</f>
        <v>0</v>
      </c>
      <c r="AH15" s="63" cm="1">
        <f t="array" ref="AH15">IFERROR(INDEX('Offer Statistics'!CY$2:CY$400,MATCH(1,($A15='Offer Statistics'!$CL$2:$CL$400)*($AC$2='Offer Statistics'!$CM$2:$CM$400),0)),"/")</f>
        <v>0</v>
      </c>
      <c r="AI15" s="63" cm="1">
        <f t="array" ref="AI15">IFERROR(INDEX('Offer Statistics'!CZ$2:CZ$400,MATCH(1,($A15='Offer Statistics'!$CL$2:$CL$400)*($AC$2='Offer Statistics'!$CM$2:$CM$400),0)),"/")</f>
        <v>0</v>
      </c>
      <c r="AJ15" s="538"/>
      <c r="AK15" s="36" cm="1">
        <f t="array" ref="AK15">IFERROR(INDEX('Offer Statistics'!CS$2:CS$400,MATCH(1,($A15='Offer Statistics'!$CL$2:$CL$400)*($AC$2='Offer Statistics'!$CM$2:$CM$400),0)),"/")</f>
        <v>541</v>
      </c>
      <c r="AL15" s="63" cm="1">
        <f t="array" ref="AL15">IFERROR(INDEX('Offer Statistics'!CN$2:CN$400,MATCH(1,($A15='Offer Statistics'!$CL$2:$CL$400)*($AC$2='Offer Statistics'!$CM$2:$CM$400),0)),"/")</f>
        <v>100</v>
      </c>
      <c r="AM15" s="63" cm="1">
        <f t="array" ref="AM15">IFERROR(INDEX('Offer Statistics'!CO$2:CO$400,MATCH(1,($A15='Offer Statistics'!$CL$2:$CL$400)*($AC$2='Offer Statistics'!$CM$2:$CM$400),0)),"/")</f>
        <v>74</v>
      </c>
      <c r="AN15" s="63" cm="1">
        <f t="array" ref="AN15">IFERROR(INDEX('Offer Statistics'!CP$2:CP$400,MATCH(1,($A15='Offer Statistics'!$CL$2:$CL$400)*($AC$2='Offer Statistics'!$CM$2:$CM$400),0)),"/")</f>
        <v>96</v>
      </c>
      <c r="AO15" s="63" cm="1">
        <f t="array" ref="AO15">IFERROR(INDEX('Offer Statistics'!CQ$2:CQ$400,MATCH(1,($A15='Offer Statistics'!$CL$2:$CL$400)*($AC$2='Offer Statistics'!$CM$2:$CM$400),0)),"/")</f>
        <v>136</v>
      </c>
      <c r="AP15" s="63" cm="1">
        <f t="array" ref="AP15">IFERROR(INDEX('Offer Statistics'!CR$2:CR$400,MATCH(1,($A15='Offer Statistics'!$CL$2:$CL$400)*($AC$2='Offer Statistics'!$CM$2:$CM$400),0)),"/")</f>
        <v>135</v>
      </c>
      <c r="AR15" s="15" t="str">
        <f t="shared" si="7"/>
        <v>JS6808</v>
      </c>
    </row>
    <row r="16" spans="1:44" ht="18" customHeight="1">
      <c r="A16" s="4" t="str">
        <f>'Reference Score Calculation'!B267</f>
        <v>JS6846</v>
      </c>
      <c r="B16" s="4" t="str">
        <f>'Reference Score Calculation'!D267</f>
        <v>經濟及工商管理學院</v>
      </c>
      <c r="C16" s="4" t="str">
        <f>'Reference Score Calculation'!E267</f>
        <v>理學士(營銷分析及科技)</v>
      </c>
      <c r="D16" s="4" t="str">
        <f>'Reference Score Calculation'!S267</f>
        <v>BSc(MAT)</v>
      </c>
      <c r="E16" s="352" t="str">
        <f>'Reference Score Calculation'!AC267</f>
        <v>Best 5</v>
      </c>
      <c r="F16" s="347" t="str">
        <f>'Reference Score Calculation'!F267</f>
        <v>Best 5</v>
      </c>
      <c r="G16" s="6">
        <f>'Reference Score Calculation'!H267</f>
        <v>33</v>
      </c>
      <c r="H16" s="6">
        <f>'Reference Score Calculation'!I267</f>
        <v>32</v>
      </c>
      <c r="I16" s="6">
        <f>'Reference Score Calculation'!J267</f>
        <v>31</v>
      </c>
      <c r="J16" s="45">
        <f>計分版!J290</f>
        <v>3.2700000000000001E-9</v>
      </c>
      <c r="K16" s="25">
        <f t="shared" si="4"/>
        <v>-31.999999996730001</v>
      </c>
      <c r="L16" s="26">
        <f t="shared" si="5"/>
        <v>-9785932720.7125378</v>
      </c>
      <c r="M16" s="36">
        <f>'Reference Score Calculation'!U267</f>
        <v>25</v>
      </c>
      <c r="N16" s="54">
        <f>入學要求!Z276</f>
        <v>0</v>
      </c>
      <c r="O16" s="544"/>
      <c r="P16" s="246">
        <f>入學要求!L276</f>
        <v>3</v>
      </c>
      <c r="Q16" s="246">
        <f>入學要求!M276</f>
        <v>4</v>
      </c>
      <c r="R16" s="246">
        <f>入學要求!N276</f>
        <v>3</v>
      </c>
      <c r="S16" s="246">
        <f>入學要求!O276</f>
        <v>1</v>
      </c>
      <c r="T16" s="246">
        <f>入學要求!P276</f>
        <v>3</v>
      </c>
      <c r="U16" s="246">
        <f>入學要求!Q276</f>
        <v>3</v>
      </c>
      <c r="V16" s="236">
        <f>入學要求!S276</f>
        <v>0</v>
      </c>
      <c r="W16" s="236">
        <f>入學要求!T276</f>
        <v>0</v>
      </c>
      <c r="X16" s="236">
        <f>入學要求!U276</f>
        <v>0</v>
      </c>
      <c r="Y16" s="236">
        <f>入學要求!V276</f>
        <v>0</v>
      </c>
      <c r="Z16" s="236">
        <f>入學要求!W276</f>
        <v>0</v>
      </c>
      <c r="AA16" s="236">
        <f>入學要求!X276</f>
        <v>0</v>
      </c>
      <c r="AB16" s="36">
        <f t="shared" si="6"/>
        <v>31.29</v>
      </c>
      <c r="AC16" s="537"/>
      <c r="AD16" s="36" cm="1">
        <f t="array" ref="AD16">IFERROR(INDEX('Offer Statistics'!DA$2:DA$400,MATCH(1,($A16='Offer Statistics'!$CL$2:$CL$400)*($AC$2='Offer Statistics'!$CM$2:$CM$400),0)),"/")</f>
        <v>21</v>
      </c>
      <c r="AE16" s="63" cm="1">
        <f t="array" ref="AE16">IFERROR(INDEX('Offer Statistics'!CV$2:CV$400,MATCH(1,($A16='Offer Statistics'!$CL$2:$CL$400)*($AC$2='Offer Statistics'!$CM$2:$CM$400),0)),"/")</f>
        <v>21</v>
      </c>
      <c r="AF16" s="63" cm="1">
        <f t="array" ref="AF16">IFERROR(INDEX('Offer Statistics'!CW$2:CW$400,MATCH(1,($A16='Offer Statistics'!$CL$2:$CL$400)*($AC$2='Offer Statistics'!$CM$2:$CM$400),0)),"/")</f>
        <v>0</v>
      </c>
      <c r="AG16" s="63" cm="1">
        <f t="array" ref="AG16">IFERROR(INDEX('Offer Statistics'!CX$2:CX$400,MATCH(1,($A16='Offer Statistics'!$CL$2:$CL$400)*($AC$2='Offer Statistics'!$CM$2:$CM$400),0)),"/")</f>
        <v>0</v>
      </c>
      <c r="AH16" s="63" cm="1">
        <f t="array" ref="AH16">IFERROR(INDEX('Offer Statistics'!CY$2:CY$400,MATCH(1,($A16='Offer Statistics'!$CL$2:$CL$400)*($AC$2='Offer Statistics'!$CM$2:$CM$400),0)),"/")</f>
        <v>0</v>
      </c>
      <c r="AI16" s="63" cm="1">
        <f t="array" ref="AI16">IFERROR(INDEX('Offer Statistics'!CZ$2:CZ$400,MATCH(1,($A16='Offer Statistics'!$CL$2:$CL$400)*($AC$2='Offer Statistics'!$CM$2:$CM$400),0)),"/")</f>
        <v>0</v>
      </c>
      <c r="AJ16" s="538"/>
      <c r="AK16" s="36" cm="1">
        <f t="array" ref="AK16">IFERROR(INDEX('Offer Statistics'!CS$2:CS$400,MATCH(1,($A16='Offer Statistics'!$CL$2:$CL$400)*($AC$2='Offer Statistics'!$CM$2:$CM$400),0)),"/")</f>
        <v>657</v>
      </c>
      <c r="AL16" s="63" cm="1">
        <f t="array" ref="AL16">IFERROR(INDEX('Offer Statistics'!CN$2:CN$400,MATCH(1,($A16='Offer Statistics'!$CL$2:$CL$400)*($AC$2='Offer Statistics'!$CM$2:$CM$400),0)),"/")</f>
        <v>87</v>
      </c>
      <c r="AM16" s="63" cm="1">
        <f t="array" ref="AM16">IFERROR(INDEX('Offer Statistics'!CO$2:CO$400,MATCH(1,($A16='Offer Statistics'!$CL$2:$CL$400)*($AC$2='Offer Statistics'!$CM$2:$CM$400),0)),"/")</f>
        <v>64</v>
      </c>
      <c r="AN16" s="63" cm="1">
        <f t="array" ref="AN16">IFERROR(INDEX('Offer Statistics'!CP$2:CP$400,MATCH(1,($A16='Offer Statistics'!$CL$2:$CL$400)*($AC$2='Offer Statistics'!$CM$2:$CM$400),0)),"/")</f>
        <v>129</v>
      </c>
      <c r="AO16" s="63" cm="1">
        <f t="array" ref="AO16">IFERROR(INDEX('Offer Statistics'!CQ$2:CQ$400,MATCH(1,($A16='Offer Statistics'!$CL$2:$CL$400)*($AC$2='Offer Statistics'!$CM$2:$CM$400),0)),"/")</f>
        <v>175</v>
      </c>
      <c r="AP16" s="63" cm="1">
        <f t="array" ref="AP16">IFERROR(INDEX('Offer Statistics'!CR$2:CR$400,MATCH(1,($A16='Offer Statistics'!$CL$2:$CL$400)*($AC$2='Offer Statistics'!$CM$2:$CM$400),0)),"/")</f>
        <v>202</v>
      </c>
      <c r="AR16" s="15" t="str">
        <f t="shared" si="7"/>
        <v>JS6846</v>
      </c>
    </row>
    <row r="17" spans="1:44" ht="18" customHeight="1">
      <c r="A17" s="4" t="str">
        <f>'Reference Score Calculation'!B268</f>
        <v>JS6884</v>
      </c>
      <c r="B17" s="4" t="str">
        <f>'Reference Score Calculation'!D268</f>
        <v>經濟及工商管理學院</v>
      </c>
      <c r="C17" s="4" t="str">
        <f>'Reference Score Calculation'!E268</f>
        <v>理學士(計量金融)</v>
      </c>
      <c r="D17" s="4" t="str">
        <f>'Reference Score Calculation'!S268</f>
        <v>BSc(QFin)</v>
      </c>
      <c r="E17" s="352" t="str">
        <f>'Reference Score Calculation'!AC268</f>
        <v>Best 6</v>
      </c>
      <c r="F17" s="347" t="str">
        <f>'Reference Score Calculation'!F268</f>
        <v>Best 6</v>
      </c>
      <c r="G17" s="6">
        <f>'Reference Score Calculation'!H268</f>
        <v>51</v>
      </c>
      <c r="H17" s="6">
        <f>'Reference Score Calculation'!I268</f>
        <v>49</v>
      </c>
      <c r="I17" s="6">
        <f>'Reference Score Calculation'!J268</f>
        <v>48</v>
      </c>
      <c r="J17" s="45">
        <f>計分版!J291</f>
        <v>3.8200000000000005E-9</v>
      </c>
      <c r="K17" s="25">
        <f t="shared" si="4"/>
        <v>-48.999999996180001</v>
      </c>
      <c r="L17" s="26">
        <f t="shared" si="5"/>
        <v>-12827225129.890051</v>
      </c>
      <c r="M17" s="36">
        <f>'Reference Score Calculation'!U268</f>
        <v>25</v>
      </c>
      <c r="N17" s="54">
        <f>入學要求!Z277</f>
        <v>0</v>
      </c>
      <c r="O17" s="544"/>
      <c r="P17" s="246">
        <f>入學要求!L277</f>
        <v>3</v>
      </c>
      <c r="Q17" s="246">
        <f>入學要求!M277</f>
        <v>4</v>
      </c>
      <c r="R17" s="246">
        <f>入學要求!N277</f>
        <v>3</v>
      </c>
      <c r="S17" s="246">
        <f>入學要求!O277</f>
        <v>1</v>
      </c>
      <c r="T17" s="246">
        <f>入學要求!P277</f>
        <v>3</v>
      </c>
      <c r="U17" s="246">
        <f>入學要求!Q277</f>
        <v>3</v>
      </c>
      <c r="V17" s="236">
        <f>入學要求!S277</f>
        <v>0</v>
      </c>
      <c r="W17" s="236">
        <f>入學要求!T277</f>
        <v>0</v>
      </c>
      <c r="X17" s="236">
        <f>入學要求!U277</f>
        <v>0</v>
      </c>
      <c r="Y17" s="236">
        <f>入學要求!V277</f>
        <v>0</v>
      </c>
      <c r="Z17" s="236">
        <f>入學要求!W277</f>
        <v>0</v>
      </c>
      <c r="AA17" s="236">
        <f>入學要求!X277</f>
        <v>0</v>
      </c>
      <c r="AB17" s="36">
        <f t="shared" si="6"/>
        <v>22.67</v>
      </c>
      <c r="AC17" s="537"/>
      <c r="AD17" s="36" cm="1">
        <f t="array" ref="AD17">IFERROR(INDEX('Offer Statistics'!DA$2:DA$400,MATCH(1,($A17='Offer Statistics'!$CL$2:$CL$400)*($AC$2='Offer Statistics'!$CM$2:$CM$400),0)),"/")</f>
        <v>24</v>
      </c>
      <c r="AE17" s="63" cm="1">
        <f t="array" ref="AE17">IFERROR(INDEX('Offer Statistics'!CV$2:CV$400,MATCH(1,($A17='Offer Statistics'!$CL$2:$CL$400)*($AC$2='Offer Statistics'!$CM$2:$CM$400),0)),"/")</f>
        <v>24</v>
      </c>
      <c r="AF17" s="63" cm="1">
        <f t="array" ref="AF17">IFERROR(INDEX('Offer Statistics'!CW$2:CW$400,MATCH(1,($A17='Offer Statistics'!$CL$2:$CL$400)*($AC$2='Offer Statistics'!$CM$2:$CM$400),0)),"/")</f>
        <v>0</v>
      </c>
      <c r="AG17" s="63" cm="1">
        <f t="array" ref="AG17">IFERROR(INDEX('Offer Statistics'!CX$2:CX$400,MATCH(1,($A17='Offer Statistics'!$CL$2:$CL$400)*($AC$2='Offer Statistics'!$CM$2:$CM$400),0)),"/")</f>
        <v>0</v>
      </c>
      <c r="AH17" s="63" cm="1">
        <f t="array" ref="AH17">IFERROR(INDEX('Offer Statistics'!CY$2:CY$400,MATCH(1,($A17='Offer Statistics'!$CL$2:$CL$400)*($AC$2='Offer Statistics'!$CM$2:$CM$400),0)),"/")</f>
        <v>0</v>
      </c>
      <c r="AI17" s="63" cm="1">
        <f t="array" ref="AI17">IFERROR(INDEX('Offer Statistics'!CZ$2:CZ$400,MATCH(1,($A17='Offer Statistics'!$CL$2:$CL$400)*($AC$2='Offer Statistics'!$CM$2:$CM$400),0)),"/")</f>
        <v>0</v>
      </c>
      <c r="AJ17" s="538"/>
      <c r="AK17" s="36" cm="1">
        <f t="array" ref="AK17">IFERROR(INDEX('Offer Statistics'!CS$2:CS$400,MATCH(1,($A17='Offer Statistics'!$CL$2:$CL$400)*($AC$2='Offer Statistics'!$CM$2:$CM$400),0)),"/")</f>
        <v>544</v>
      </c>
      <c r="AL17" s="63" cm="1">
        <f t="array" ref="AL17">IFERROR(INDEX('Offer Statistics'!CN$2:CN$400,MATCH(1,($A17='Offer Statistics'!$CL$2:$CL$400)*($AC$2='Offer Statistics'!$CM$2:$CM$400),0)),"/")</f>
        <v>123</v>
      </c>
      <c r="AM17" s="63" cm="1">
        <f t="array" ref="AM17">IFERROR(INDEX('Offer Statistics'!CO$2:CO$400,MATCH(1,($A17='Offer Statistics'!$CL$2:$CL$400)*($AC$2='Offer Statistics'!$CM$2:$CM$400),0)),"/")</f>
        <v>61</v>
      </c>
      <c r="AN17" s="63" cm="1">
        <f t="array" ref="AN17">IFERROR(INDEX('Offer Statistics'!CP$2:CP$400,MATCH(1,($A17='Offer Statistics'!$CL$2:$CL$400)*($AC$2='Offer Statistics'!$CM$2:$CM$400),0)),"/")</f>
        <v>104</v>
      </c>
      <c r="AO17" s="63" cm="1">
        <f t="array" ref="AO17">IFERROR(INDEX('Offer Statistics'!CQ$2:CQ$400,MATCH(1,($A17='Offer Statistics'!$CL$2:$CL$400)*($AC$2='Offer Statistics'!$CM$2:$CM$400),0)),"/")</f>
        <v>120</v>
      </c>
      <c r="AP17" s="63" cm="1">
        <f t="array" ref="AP17">IFERROR(INDEX('Offer Statistics'!CR$2:CR$400,MATCH(1,($A17='Offer Statistics'!$CL$2:$CL$400)*($AC$2='Offer Statistics'!$CM$2:$CM$400),0)),"/")</f>
        <v>136</v>
      </c>
      <c r="AR17" s="15" t="str">
        <f t="shared" si="7"/>
        <v>JS6884</v>
      </c>
    </row>
    <row r="18" spans="1:44" ht="18" customHeight="1">
      <c r="A18" s="4" t="str">
        <f>'Reference Score Calculation'!B269</f>
        <v>JS6896</v>
      </c>
      <c r="B18" s="4" t="str">
        <f>'Reference Score Calculation'!D269</f>
        <v>經濟及工商管理學院</v>
      </c>
      <c r="C18" s="4" t="str">
        <f>'Reference Score Calculation'!E269</f>
        <v>工商管理學學士(國際商業及環球管理)</v>
      </c>
      <c r="D18" s="4" t="str">
        <f>'Reference Score Calculation'!S269</f>
        <v>BBA(IBGM)</v>
      </c>
      <c r="E18" s="352" t="str">
        <f>'Reference Score Calculation'!AC269</f>
        <v>Best 6</v>
      </c>
      <c r="F18" s="347" t="str">
        <f>'Reference Score Calculation'!F269</f>
        <v>Best 6</v>
      </c>
      <c r="G18" s="6">
        <f>'Reference Score Calculation'!H269</f>
        <v>52</v>
      </c>
      <c r="H18" s="6">
        <f>'Reference Score Calculation'!I269</f>
        <v>51</v>
      </c>
      <c r="I18" s="6">
        <f>'Reference Score Calculation'!J269</f>
        <v>49</v>
      </c>
      <c r="J18" s="45">
        <f>計分版!J292</f>
        <v>3.8500000000000006E-9</v>
      </c>
      <c r="K18" s="25">
        <f t="shared" si="4"/>
        <v>-50.999999996150002</v>
      </c>
      <c r="L18" s="26">
        <f t="shared" si="5"/>
        <v>-13246753245.753246</v>
      </c>
      <c r="M18" s="36">
        <f>'Reference Score Calculation'!U269</f>
        <v>25</v>
      </c>
      <c r="N18" s="54">
        <f>入學要求!Z278</f>
        <v>0</v>
      </c>
      <c r="O18" s="544"/>
      <c r="P18" s="246">
        <f>入學要求!L278</f>
        <v>3</v>
      </c>
      <c r="Q18" s="246">
        <f>入學要求!M278</f>
        <v>5</v>
      </c>
      <c r="R18" s="246">
        <f>入學要求!N278</f>
        <v>4</v>
      </c>
      <c r="S18" s="246">
        <f>入學要求!O278</f>
        <v>1</v>
      </c>
      <c r="T18" s="246">
        <f>入學要求!P278</f>
        <v>3</v>
      </c>
      <c r="U18" s="246">
        <f>入學要求!Q278</f>
        <v>3</v>
      </c>
      <c r="V18" s="236">
        <f>入學要求!S278</f>
        <v>0</v>
      </c>
      <c r="W18" s="236">
        <f>入學要求!T278</f>
        <v>0</v>
      </c>
      <c r="X18" s="236">
        <f>入學要求!U278</f>
        <v>0</v>
      </c>
      <c r="Y18" s="236">
        <f>入學要求!V278</f>
        <v>0</v>
      </c>
      <c r="Z18" s="236">
        <f>入學要求!W278</f>
        <v>0</v>
      </c>
      <c r="AA18" s="236">
        <f>入學要求!X278</f>
        <v>0</v>
      </c>
      <c r="AB18" s="36">
        <f t="shared" si="6"/>
        <v>27.28</v>
      </c>
      <c r="AC18" s="537"/>
      <c r="AD18" s="36" cm="1">
        <f t="array" ref="AD18">IFERROR(INDEX('Offer Statistics'!DA$2:DA$400,MATCH(1,($A18='Offer Statistics'!$CL$2:$CL$400)*($AC$2='Offer Statistics'!$CM$2:$CM$400),0)),"/")</f>
        <v>18</v>
      </c>
      <c r="AE18" s="63" cm="1">
        <f t="array" ref="AE18">IFERROR(INDEX('Offer Statistics'!CV$2:CV$400,MATCH(1,($A18='Offer Statistics'!$CL$2:$CL$400)*($AC$2='Offer Statistics'!$CM$2:$CM$400),0)),"/")</f>
        <v>18</v>
      </c>
      <c r="AF18" s="63" cm="1">
        <f t="array" ref="AF18">IFERROR(INDEX('Offer Statistics'!CW$2:CW$400,MATCH(1,($A18='Offer Statistics'!$CL$2:$CL$400)*($AC$2='Offer Statistics'!$CM$2:$CM$400),0)),"/")</f>
        <v>0</v>
      </c>
      <c r="AG18" s="63" cm="1">
        <f t="array" ref="AG18">IFERROR(INDEX('Offer Statistics'!CX$2:CX$400,MATCH(1,($A18='Offer Statistics'!$CL$2:$CL$400)*($AC$2='Offer Statistics'!$CM$2:$CM$400),0)),"/")</f>
        <v>0</v>
      </c>
      <c r="AH18" s="63" cm="1">
        <f t="array" ref="AH18">IFERROR(INDEX('Offer Statistics'!CY$2:CY$400,MATCH(1,($A18='Offer Statistics'!$CL$2:$CL$400)*($AC$2='Offer Statistics'!$CM$2:$CM$400),0)),"/")</f>
        <v>0</v>
      </c>
      <c r="AI18" s="63" cm="1">
        <f t="array" ref="AI18">IFERROR(INDEX('Offer Statistics'!CZ$2:CZ$400,MATCH(1,($A18='Offer Statistics'!$CL$2:$CL$400)*($AC$2='Offer Statistics'!$CM$2:$CM$400),0)),"/")</f>
        <v>0</v>
      </c>
      <c r="AJ18" s="538"/>
      <c r="AK18" s="36" cm="1">
        <f t="array" ref="AK18">IFERROR(INDEX('Offer Statistics'!CS$2:CS$400,MATCH(1,($A18='Offer Statistics'!$CL$2:$CL$400)*($AC$2='Offer Statistics'!$CM$2:$CM$400),0)),"/")</f>
        <v>491</v>
      </c>
      <c r="AL18" s="63" cm="1">
        <f t="array" ref="AL18">IFERROR(INDEX('Offer Statistics'!CN$2:CN$400,MATCH(1,($A18='Offer Statistics'!$CL$2:$CL$400)*($AC$2='Offer Statistics'!$CM$2:$CM$400),0)),"/")</f>
        <v>52</v>
      </c>
      <c r="AM18" s="63" cm="1">
        <f t="array" ref="AM18">IFERROR(INDEX('Offer Statistics'!CO$2:CO$400,MATCH(1,($A18='Offer Statistics'!$CL$2:$CL$400)*($AC$2='Offer Statistics'!$CM$2:$CM$400),0)),"/")</f>
        <v>46</v>
      </c>
      <c r="AN18" s="63" cm="1">
        <f t="array" ref="AN18">IFERROR(INDEX('Offer Statistics'!CP$2:CP$400,MATCH(1,($A18='Offer Statistics'!$CL$2:$CL$400)*($AC$2='Offer Statistics'!$CM$2:$CM$400),0)),"/")</f>
        <v>75</v>
      </c>
      <c r="AO18" s="63" cm="1">
        <f t="array" ref="AO18">IFERROR(INDEX('Offer Statistics'!CQ$2:CQ$400,MATCH(1,($A18='Offer Statistics'!$CL$2:$CL$400)*($AC$2='Offer Statistics'!$CM$2:$CM$400),0)),"/")</f>
        <v>142</v>
      </c>
      <c r="AP18" s="63" cm="1">
        <f t="array" ref="AP18">IFERROR(INDEX('Offer Statistics'!CR$2:CR$400,MATCH(1,($A18='Offer Statistics'!$CL$2:$CL$400)*($AC$2='Offer Statistics'!$CM$2:$CM$400),0)),"/")</f>
        <v>176</v>
      </c>
      <c r="AR18" s="15" t="str">
        <f t="shared" si="7"/>
        <v>JS6896</v>
      </c>
    </row>
    <row r="19" spans="1:44" ht="18" customHeight="1">
      <c r="A19" s="4" t="str">
        <f>'Reference Score Calculation'!B270</f>
        <v>JS6107</v>
      </c>
      <c r="B19" s="4" t="str">
        <f>'Reference Score Calculation'!D270</f>
        <v>牙醫學院</v>
      </c>
      <c r="C19" s="4" t="str">
        <f>'Reference Score Calculation'!E270</f>
        <v>牙醫學士</v>
      </c>
      <c r="D19" s="4" t="str">
        <f>'Reference Score Calculation'!S270</f>
        <v>BDS</v>
      </c>
      <c r="E19" s="352" t="str">
        <f>'Reference Score Calculation'!AC270</f>
        <v>Best 6</v>
      </c>
      <c r="F19" s="347" t="str">
        <f>'Reference Score Calculation'!F270</f>
        <v>Best 6</v>
      </c>
      <c r="G19" s="6">
        <f>'Reference Score Calculation'!H270</f>
        <v>49</v>
      </c>
      <c r="H19" s="6">
        <f>'Reference Score Calculation'!I270</f>
        <v>46</v>
      </c>
      <c r="I19" s="6">
        <f>'Reference Score Calculation'!J270</f>
        <v>45</v>
      </c>
      <c r="J19" s="45">
        <f>計分版!J293</f>
        <v>3.9799999999999999E-9</v>
      </c>
      <c r="K19" s="25">
        <f t="shared" si="4"/>
        <v>-45.999999996020001</v>
      </c>
      <c r="L19" s="26">
        <f t="shared" si="5"/>
        <v>-11557788943.723619</v>
      </c>
      <c r="M19" s="36">
        <f>'Reference Score Calculation'!U270</f>
        <v>90</v>
      </c>
      <c r="N19" s="54">
        <f>入學要求!Z279</f>
        <v>0</v>
      </c>
      <c r="O19" s="544"/>
      <c r="P19" s="246">
        <f>入學要求!L279</f>
        <v>3</v>
      </c>
      <c r="Q19" s="246">
        <f>入學要求!M279</f>
        <v>4</v>
      </c>
      <c r="R19" s="246">
        <f>入學要求!N279</f>
        <v>3</v>
      </c>
      <c r="S19" s="246">
        <f>入學要求!O279</f>
        <v>1</v>
      </c>
      <c r="T19" s="246">
        <f>入學要求!P279</f>
        <v>3</v>
      </c>
      <c r="U19" s="246">
        <f>入學要求!Q279</f>
        <v>3</v>
      </c>
      <c r="V19" s="236">
        <f>入學要求!S279</f>
        <v>0</v>
      </c>
      <c r="W19" s="236">
        <f>入學要求!T279</f>
        <v>0</v>
      </c>
      <c r="X19" s="236">
        <f>入學要求!U279</f>
        <v>0</v>
      </c>
      <c r="Y19" s="236">
        <f>入學要求!V279</f>
        <v>0</v>
      </c>
      <c r="Z19" s="236">
        <f>入學要求!W279</f>
        <v>0</v>
      </c>
      <c r="AA19" s="236">
        <f>入學要求!X279</f>
        <v>0</v>
      </c>
      <c r="AB19" s="36">
        <f t="shared" si="6"/>
        <v>18.760000000000002</v>
      </c>
      <c r="AC19" s="537"/>
      <c r="AD19" s="36" cm="1">
        <f t="array" ref="AD19">IFERROR(INDEX('Offer Statistics'!DA$2:DA$400,MATCH(1,($A19='Offer Statistics'!$CL$2:$CL$400)*($AC$2='Offer Statistics'!$CM$2:$CM$400),0)),"/")</f>
        <v>55</v>
      </c>
      <c r="AE19" s="63" cm="1">
        <f t="array" ref="AE19">IFERROR(INDEX('Offer Statistics'!CV$2:CV$400,MATCH(1,($A19='Offer Statistics'!$CL$2:$CL$400)*($AC$2='Offer Statistics'!$CM$2:$CM$400),0)),"/")</f>
        <v>55</v>
      </c>
      <c r="AF19" s="63" cm="1">
        <f t="array" ref="AF19">IFERROR(INDEX('Offer Statistics'!CW$2:CW$400,MATCH(1,($A19='Offer Statistics'!$CL$2:$CL$400)*($AC$2='Offer Statistics'!$CM$2:$CM$400),0)),"/")</f>
        <v>0</v>
      </c>
      <c r="AG19" s="63" cm="1">
        <f t="array" ref="AG19">IFERROR(INDEX('Offer Statistics'!CX$2:CX$400,MATCH(1,($A19='Offer Statistics'!$CL$2:$CL$400)*($AC$2='Offer Statistics'!$CM$2:$CM$400),0)),"/")</f>
        <v>0</v>
      </c>
      <c r="AH19" s="63" cm="1">
        <f t="array" ref="AH19">IFERROR(INDEX('Offer Statistics'!CY$2:CY$400,MATCH(1,($A19='Offer Statistics'!$CL$2:$CL$400)*($AC$2='Offer Statistics'!$CM$2:$CM$400),0)),"/")</f>
        <v>0</v>
      </c>
      <c r="AI19" s="63" cm="1">
        <f t="array" ref="AI19">IFERROR(INDEX('Offer Statistics'!CZ$2:CZ$400,MATCH(1,($A19='Offer Statistics'!$CL$2:$CL$400)*($AC$2='Offer Statistics'!$CM$2:$CM$400),0)),"/")</f>
        <v>0</v>
      </c>
      <c r="AJ19" s="538"/>
      <c r="AK19" s="36" cm="1">
        <f t="array" ref="AK19">IFERROR(INDEX('Offer Statistics'!CS$2:CS$400,MATCH(1,($A19='Offer Statistics'!$CL$2:$CL$400)*($AC$2='Offer Statistics'!$CM$2:$CM$400),0)),"/")</f>
        <v>1032</v>
      </c>
      <c r="AL19" s="63" cm="1">
        <f t="array" ref="AL19">IFERROR(INDEX('Offer Statistics'!CN$2:CN$400,MATCH(1,($A19='Offer Statistics'!$CL$2:$CL$400)*($AC$2='Offer Statistics'!$CM$2:$CM$400),0)),"/")</f>
        <v>203</v>
      </c>
      <c r="AM19" s="63" cm="1">
        <f t="array" ref="AM19">IFERROR(INDEX('Offer Statistics'!CO$2:CO$400,MATCH(1,($A19='Offer Statistics'!$CL$2:$CL$400)*($AC$2='Offer Statistics'!$CM$2:$CM$400),0)),"/")</f>
        <v>107</v>
      </c>
      <c r="AN19" s="63" cm="1">
        <f t="array" ref="AN19">IFERROR(INDEX('Offer Statistics'!CP$2:CP$400,MATCH(1,($A19='Offer Statistics'!$CL$2:$CL$400)*($AC$2='Offer Statistics'!$CM$2:$CM$400),0)),"/")</f>
        <v>140</v>
      </c>
      <c r="AO19" s="63" cm="1">
        <f t="array" ref="AO19">IFERROR(INDEX('Offer Statistics'!CQ$2:CQ$400,MATCH(1,($A19='Offer Statistics'!$CL$2:$CL$400)*($AC$2='Offer Statistics'!$CM$2:$CM$400),0)),"/")</f>
        <v>201</v>
      </c>
      <c r="AP19" s="63" cm="1">
        <f t="array" ref="AP19">IFERROR(INDEX('Offer Statistics'!CR$2:CR$400,MATCH(1,($A19='Offer Statistics'!$CL$2:$CL$400)*($AC$2='Offer Statistics'!$CM$2:$CM$400),0)),"/")</f>
        <v>381</v>
      </c>
      <c r="AR19" s="15" t="str">
        <f t="shared" si="7"/>
        <v>JS6107</v>
      </c>
    </row>
    <row r="20" spans="1:44" ht="18" customHeight="1">
      <c r="A20" s="4" t="str">
        <f>'Reference Score Calculation'!B271</f>
        <v>JS6066</v>
      </c>
      <c r="B20" s="4" t="str">
        <f>'Reference Score Calculation'!D271</f>
        <v>教育學院</v>
      </c>
      <c r="C20" s="4" t="str">
        <f>'Reference Score Calculation'!E271</f>
        <v>文學士及教育學士(語文教育) - 英文教育</v>
      </c>
      <c r="D20" s="4" t="str">
        <f>'Reference Score Calculation'!S271</f>
        <v>BA&amp;BEd(LangEd)-Eng</v>
      </c>
      <c r="E20" s="352" t="str">
        <f>'Reference Score Calculation'!AC271</f>
        <v>Best 5</v>
      </c>
      <c r="F20" s="347" t="str">
        <f>'Reference Score Calculation'!F271</f>
        <v>Best 5</v>
      </c>
      <c r="G20" s="6">
        <f>'Reference Score Calculation'!H271</f>
        <v>39</v>
      </c>
      <c r="H20" s="6">
        <f>'Reference Score Calculation'!I271</f>
        <v>36</v>
      </c>
      <c r="I20" s="6">
        <f>'Reference Score Calculation'!J271</f>
        <v>32</v>
      </c>
      <c r="J20" s="45">
        <f>計分版!J294</f>
        <v>3.2999999999999998E-9</v>
      </c>
      <c r="K20" s="25">
        <f t="shared" si="4"/>
        <v>-35.999999996699998</v>
      </c>
      <c r="L20" s="26">
        <f t="shared" si="5"/>
        <v>-10909090908.09091</v>
      </c>
      <c r="M20" s="36">
        <f>'Reference Score Calculation'!U271</f>
        <v>17</v>
      </c>
      <c r="N20" s="54">
        <f>入學要求!Z280</f>
        <v>0</v>
      </c>
      <c r="O20" s="544"/>
      <c r="P20" s="246">
        <f>入學要求!L280</f>
        <v>3</v>
      </c>
      <c r="Q20" s="246">
        <f>入學要求!M280</f>
        <v>3</v>
      </c>
      <c r="R20" s="246">
        <f>入學要求!N280</f>
        <v>2</v>
      </c>
      <c r="S20" s="246">
        <f>入學要求!O280</f>
        <v>1</v>
      </c>
      <c r="T20" s="246">
        <f>入學要求!P280</f>
        <v>3</v>
      </c>
      <c r="U20" s="246">
        <f>入學要求!Q280</f>
        <v>3</v>
      </c>
      <c r="V20" s="236">
        <f>入學要求!S280</f>
        <v>0</v>
      </c>
      <c r="W20" s="236">
        <f>入學要求!T280</f>
        <v>0</v>
      </c>
      <c r="X20" s="236">
        <f>入學要求!U280</f>
        <v>0</v>
      </c>
      <c r="Y20" s="236">
        <f>入學要求!V280</f>
        <v>0</v>
      </c>
      <c r="Z20" s="236">
        <f>入學要求!W280</f>
        <v>0</v>
      </c>
      <c r="AA20" s="236">
        <f>入學要求!X280</f>
        <v>0</v>
      </c>
      <c r="AB20" s="36">
        <f t="shared" si="6"/>
        <v>45.12</v>
      </c>
      <c r="AC20" s="537"/>
      <c r="AD20" s="36" cm="1">
        <f t="array" ref="AD20">IFERROR(INDEX('Offer Statistics'!DA$2:DA$400,MATCH(1,($A20='Offer Statistics'!$CL$2:$CL$400)*($AC$2='Offer Statistics'!$CM$2:$CM$400),0)),"/")</f>
        <v>17</v>
      </c>
      <c r="AE20" s="63" cm="1">
        <f t="array" ref="AE20">IFERROR(INDEX('Offer Statistics'!CV$2:CV$400,MATCH(1,($A20='Offer Statistics'!$CL$2:$CL$400)*($AC$2='Offer Statistics'!$CM$2:$CM$400),0)),"/")</f>
        <v>17</v>
      </c>
      <c r="AF20" s="63" cm="1">
        <f t="array" ref="AF20">IFERROR(INDEX('Offer Statistics'!CW$2:CW$400,MATCH(1,($A20='Offer Statistics'!$CL$2:$CL$400)*($AC$2='Offer Statistics'!$CM$2:$CM$400),0)),"/")</f>
        <v>0</v>
      </c>
      <c r="AG20" s="63" cm="1">
        <f t="array" ref="AG20">IFERROR(INDEX('Offer Statistics'!CX$2:CX$400,MATCH(1,($A20='Offer Statistics'!$CL$2:$CL$400)*($AC$2='Offer Statistics'!$CM$2:$CM$400),0)),"/")</f>
        <v>0</v>
      </c>
      <c r="AH20" s="63" cm="1">
        <f t="array" ref="AH20">IFERROR(INDEX('Offer Statistics'!CY$2:CY$400,MATCH(1,($A20='Offer Statistics'!$CL$2:$CL$400)*($AC$2='Offer Statistics'!$CM$2:$CM$400),0)),"/")</f>
        <v>0</v>
      </c>
      <c r="AI20" s="63" cm="1">
        <f t="array" ref="AI20">IFERROR(INDEX('Offer Statistics'!CZ$2:CZ$400,MATCH(1,($A20='Offer Statistics'!$CL$2:$CL$400)*($AC$2='Offer Statistics'!$CM$2:$CM$400),0)),"/")</f>
        <v>0</v>
      </c>
      <c r="AJ20" s="538"/>
      <c r="AK20" s="36" cm="1">
        <f t="array" ref="AK20">IFERROR(INDEX('Offer Statistics'!CS$2:CS$400,MATCH(1,($A20='Offer Statistics'!$CL$2:$CL$400)*($AC$2='Offer Statistics'!$CM$2:$CM$400),0)),"/")</f>
        <v>767</v>
      </c>
      <c r="AL20" s="63" cm="1">
        <f t="array" ref="AL20">IFERROR(INDEX('Offer Statistics'!CN$2:CN$400,MATCH(1,($A20='Offer Statistics'!$CL$2:$CL$400)*($AC$2='Offer Statistics'!$CM$2:$CM$400),0)),"/")</f>
        <v>138</v>
      </c>
      <c r="AM20" s="63" cm="1">
        <f t="array" ref="AM20">IFERROR(INDEX('Offer Statistics'!CO$2:CO$400,MATCH(1,($A20='Offer Statistics'!$CL$2:$CL$400)*($AC$2='Offer Statistics'!$CM$2:$CM$400),0)),"/")</f>
        <v>108</v>
      </c>
      <c r="AN20" s="63" cm="1">
        <f t="array" ref="AN20">IFERROR(INDEX('Offer Statistics'!CP$2:CP$400,MATCH(1,($A20='Offer Statistics'!$CL$2:$CL$400)*($AC$2='Offer Statistics'!$CM$2:$CM$400),0)),"/")</f>
        <v>154</v>
      </c>
      <c r="AO20" s="63" cm="1">
        <f t="array" ref="AO20">IFERROR(INDEX('Offer Statistics'!CQ$2:CQ$400,MATCH(1,($A20='Offer Statistics'!$CL$2:$CL$400)*($AC$2='Offer Statistics'!$CM$2:$CM$400),0)),"/")</f>
        <v>192</v>
      </c>
      <c r="AP20" s="63" cm="1">
        <f t="array" ref="AP20">IFERROR(INDEX('Offer Statistics'!CR$2:CR$400,MATCH(1,($A20='Offer Statistics'!$CL$2:$CL$400)*($AC$2='Offer Statistics'!$CM$2:$CM$400),0)),"/")</f>
        <v>175</v>
      </c>
      <c r="AR20" s="15" t="str">
        <f t="shared" si="7"/>
        <v>JS6066</v>
      </c>
    </row>
    <row r="21" spans="1:44" ht="18" customHeight="1">
      <c r="A21" s="4" t="str">
        <f>'Reference Score Calculation'!B272</f>
        <v>JS6080</v>
      </c>
      <c r="B21" s="4" t="str">
        <f>'Reference Score Calculation'!D272</f>
        <v>教育學院</v>
      </c>
      <c r="C21" s="4" t="str">
        <f>'Reference Score Calculation'!E272</f>
        <v>文學士及教育學士(語文教育) - 中文教育</v>
      </c>
      <c r="D21" s="4" t="str">
        <f>'Reference Score Calculation'!S272</f>
        <v>BA&amp;BEd(LangEd)-Chin</v>
      </c>
      <c r="E21" s="352" t="str">
        <f>'Reference Score Calculation'!AC272</f>
        <v>Best 5</v>
      </c>
      <c r="F21" s="347" t="str">
        <f>'Reference Score Calculation'!F272</f>
        <v>Best 5</v>
      </c>
      <c r="G21" s="6">
        <f>'Reference Score Calculation'!H272</f>
        <v>36</v>
      </c>
      <c r="H21" s="6">
        <f>'Reference Score Calculation'!I272</f>
        <v>35</v>
      </c>
      <c r="I21" s="6">
        <f>'Reference Score Calculation'!J272</f>
        <v>34</v>
      </c>
      <c r="J21" s="45">
        <f>計分版!J295</f>
        <v>3.1500000000000001E-9</v>
      </c>
      <c r="K21" s="25">
        <f t="shared" si="4"/>
        <v>-34.999999996850001</v>
      </c>
      <c r="L21" s="26">
        <f t="shared" si="5"/>
        <v>-11111111110.111111</v>
      </c>
      <c r="M21" s="36">
        <f>'Reference Score Calculation'!U272</f>
        <v>17</v>
      </c>
      <c r="N21" s="54">
        <f>入學要求!Z281</f>
        <v>0</v>
      </c>
      <c r="O21" s="544"/>
      <c r="P21" s="246">
        <f>入學要求!L281</f>
        <v>3</v>
      </c>
      <c r="Q21" s="246">
        <f>入學要求!M281</f>
        <v>3</v>
      </c>
      <c r="R21" s="246">
        <f>入學要求!N281</f>
        <v>2</v>
      </c>
      <c r="S21" s="246">
        <f>入學要求!O281</f>
        <v>1</v>
      </c>
      <c r="T21" s="246">
        <f>入學要求!P281</f>
        <v>3</v>
      </c>
      <c r="U21" s="246">
        <f>入學要求!Q281</f>
        <v>3</v>
      </c>
      <c r="V21" s="236">
        <f>入學要求!S281</f>
        <v>0</v>
      </c>
      <c r="W21" s="236">
        <f>入學要求!T281</f>
        <v>0</v>
      </c>
      <c r="X21" s="236">
        <f>入學要求!U281</f>
        <v>0</v>
      </c>
      <c r="Y21" s="236">
        <f>入學要求!V281</f>
        <v>0</v>
      </c>
      <c r="Z21" s="236">
        <f>入學要求!W281</f>
        <v>0</v>
      </c>
      <c r="AA21" s="236">
        <f>入學要求!X281</f>
        <v>0</v>
      </c>
      <c r="AB21" s="36">
        <f t="shared" si="6"/>
        <v>45.47</v>
      </c>
      <c r="AC21" s="537"/>
      <c r="AD21" s="36" cm="1">
        <f t="array" ref="AD21">IFERROR(INDEX('Offer Statistics'!DA$2:DA$400,MATCH(1,($A21='Offer Statistics'!$CL$2:$CL$400)*($AC$2='Offer Statistics'!$CM$2:$CM$400),0)),"/")</f>
        <v>17</v>
      </c>
      <c r="AE21" s="63" cm="1">
        <f t="array" ref="AE21">IFERROR(INDEX('Offer Statistics'!CV$2:CV$400,MATCH(1,($A21='Offer Statistics'!$CL$2:$CL$400)*($AC$2='Offer Statistics'!$CM$2:$CM$400),0)),"/")</f>
        <v>17</v>
      </c>
      <c r="AF21" s="63" cm="1">
        <f t="array" ref="AF21">IFERROR(INDEX('Offer Statistics'!CW$2:CW$400,MATCH(1,($A21='Offer Statistics'!$CL$2:$CL$400)*($AC$2='Offer Statistics'!$CM$2:$CM$400),0)),"/")</f>
        <v>0</v>
      </c>
      <c r="AG21" s="63" cm="1">
        <f t="array" ref="AG21">IFERROR(INDEX('Offer Statistics'!CX$2:CX$400,MATCH(1,($A21='Offer Statistics'!$CL$2:$CL$400)*($AC$2='Offer Statistics'!$CM$2:$CM$400),0)),"/")</f>
        <v>0</v>
      </c>
      <c r="AH21" s="63" cm="1">
        <f t="array" ref="AH21">IFERROR(INDEX('Offer Statistics'!CY$2:CY$400,MATCH(1,($A21='Offer Statistics'!$CL$2:$CL$400)*($AC$2='Offer Statistics'!$CM$2:$CM$400),0)),"/")</f>
        <v>0</v>
      </c>
      <c r="AI21" s="63" cm="1">
        <f t="array" ref="AI21">IFERROR(INDEX('Offer Statistics'!CZ$2:CZ$400,MATCH(1,($A21='Offer Statistics'!$CL$2:$CL$400)*($AC$2='Offer Statistics'!$CM$2:$CM$400),0)),"/")</f>
        <v>0</v>
      </c>
      <c r="AJ21" s="538"/>
      <c r="AK21" s="36" cm="1">
        <f t="array" ref="AK21">IFERROR(INDEX('Offer Statistics'!CS$2:CS$400,MATCH(1,($A21='Offer Statistics'!$CL$2:$CL$400)*($AC$2='Offer Statistics'!$CM$2:$CM$400),0)),"/")</f>
        <v>773</v>
      </c>
      <c r="AL21" s="63" cm="1">
        <f t="array" ref="AL21">IFERROR(INDEX('Offer Statistics'!CN$2:CN$400,MATCH(1,($A21='Offer Statistics'!$CL$2:$CL$400)*($AC$2='Offer Statistics'!$CM$2:$CM$400),0)),"/")</f>
        <v>102</v>
      </c>
      <c r="AM21" s="63" cm="1">
        <f t="array" ref="AM21">IFERROR(INDEX('Offer Statistics'!CO$2:CO$400,MATCH(1,($A21='Offer Statistics'!$CL$2:$CL$400)*($AC$2='Offer Statistics'!$CM$2:$CM$400),0)),"/")</f>
        <v>78</v>
      </c>
      <c r="AN21" s="63" cm="1">
        <f t="array" ref="AN21">IFERROR(INDEX('Offer Statistics'!CP$2:CP$400,MATCH(1,($A21='Offer Statistics'!$CL$2:$CL$400)*($AC$2='Offer Statistics'!$CM$2:$CM$400),0)),"/")</f>
        <v>154</v>
      </c>
      <c r="AO21" s="63" cm="1">
        <f t="array" ref="AO21">IFERROR(INDEX('Offer Statistics'!CQ$2:CQ$400,MATCH(1,($A21='Offer Statistics'!$CL$2:$CL$400)*($AC$2='Offer Statistics'!$CM$2:$CM$400),0)),"/")</f>
        <v>215</v>
      </c>
      <c r="AP21" s="63" cm="1">
        <f t="array" ref="AP21">IFERROR(INDEX('Offer Statistics'!CR$2:CR$400,MATCH(1,($A21='Offer Statistics'!$CL$2:$CL$400)*($AC$2='Offer Statistics'!$CM$2:$CM$400),0)),"/")</f>
        <v>224</v>
      </c>
      <c r="AR21" s="15" t="str">
        <f t="shared" si="7"/>
        <v>JS6080</v>
      </c>
    </row>
    <row r="22" spans="1:44" ht="18" customHeight="1">
      <c r="A22" s="4" t="str">
        <f>'Reference Score Calculation'!B273</f>
        <v>JS6092</v>
      </c>
      <c r="B22" s="4" t="str">
        <f>'Reference Score Calculation'!D273</f>
        <v>教育學院</v>
      </c>
      <c r="C22" s="4" t="str">
        <f>'Reference Score Calculation'!E273</f>
        <v>教育學士(幼兒教育及特殊教育)</v>
      </c>
      <c r="D22" s="4" t="str">
        <f>'Reference Score Calculation'!S273</f>
        <v>BEd(ECE&amp;SE)</v>
      </c>
      <c r="E22" s="352" t="str">
        <f>'Reference Score Calculation'!AC273</f>
        <v>Best 5</v>
      </c>
      <c r="F22" s="351" t="str">
        <f>'Reference Score Calculation'!F273</f>
        <v>Best 5</v>
      </c>
      <c r="G22" s="6">
        <f>'Reference Score Calculation'!H273</f>
        <v>28</v>
      </c>
      <c r="H22" s="6">
        <f>'Reference Score Calculation'!I273</f>
        <v>27</v>
      </c>
      <c r="I22" s="6">
        <f>'Reference Score Calculation'!J273</f>
        <v>26</v>
      </c>
      <c r="J22" s="45">
        <f>計分版!J296</f>
        <v>3.2999999999999998E-9</v>
      </c>
      <c r="K22" s="25">
        <f t="shared" si="4"/>
        <v>-26.999999996700002</v>
      </c>
      <c r="L22" s="26">
        <f t="shared" si="5"/>
        <v>-8181818180.8181829</v>
      </c>
      <c r="M22" s="36">
        <f>'Reference Score Calculation'!U273</f>
        <v>16</v>
      </c>
      <c r="N22" s="54">
        <f>入學要求!Z282</f>
        <v>0</v>
      </c>
      <c r="O22" s="544"/>
      <c r="P22" s="246">
        <f>入學要求!L282</f>
        <v>3</v>
      </c>
      <c r="Q22" s="246">
        <f>入學要求!M282</f>
        <v>3</v>
      </c>
      <c r="R22" s="246">
        <f>入學要求!N282</f>
        <v>2</v>
      </c>
      <c r="S22" s="246">
        <f>入學要求!O282</f>
        <v>1</v>
      </c>
      <c r="T22" s="246">
        <f>入學要求!P282</f>
        <v>3</v>
      </c>
      <c r="U22" s="246">
        <f>入學要求!Q282</f>
        <v>3</v>
      </c>
      <c r="V22" s="236">
        <f>入學要求!S282</f>
        <v>0</v>
      </c>
      <c r="W22" s="236">
        <f>入學要求!T282</f>
        <v>0</v>
      </c>
      <c r="X22" s="236">
        <f>入學要求!U282</f>
        <v>0</v>
      </c>
      <c r="Y22" s="236">
        <f>入學要求!V282</f>
        <v>0</v>
      </c>
      <c r="Z22" s="236">
        <f>入學要求!W282</f>
        <v>0</v>
      </c>
      <c r="AA22" s="236">
        <f>入學要求!X282</f>
        <v>0</v>
      </c>
      <c r="AB22" s="36">
        <f t="shared" si="6"/>
        <v>149.31</v>
      </c>
      <c r="AC22" s="537"/>
      <c r="AD22" s="36" cm="1">
        <f t="array" ref="AD22">IFERROR(INDEX('Offer Statistics'!DA$2:DA$400,MATCH(1,($A22='Offer Statistics'!$CL$2:$CL$400)*($AC$2='Offer Statistics'!$CM$2:$CM$400),0)),"/")</f>
        <v>13</v>
      </c>
      <c r="AE22" s="63" cm="1">
        <f t="array" ref="AE22">IFERROR(INDEX('Offer Statistics'!CV$2:CV$400,MATCH(1,($A22='Offer Statistics'!$CL$2:$CL$400)*($AC$2='Offer Statistics'!$CM$2:$CM$400),0)),"/")</f>
        <v>13</v>
      </c>
      <c r="AF22" s="63" cm="1">
        <f t="array" ref="AF22">IFERROR(INDEX('Offer Statistics'!CW$2:CW$400,MATCH(1,($A22='Offer Statistics'!$CL$2:$CL$400)*($AC$2='Offer Statistics'!$CM$2:$CM$400),0)),"/")</f>
        <v>0</v>
      </c>
      <c r="AG22" s="63" cm="1">
        <f t="array" ref="AG22">IFERROR(INDEX('Offer Statistics'!CX$2:CX$400,MATCH(1,($A22='Offer Statistics'!$CL$2:$CL$400)*($AC$2='Offer Statistics'!$CM$2:$CM$400),0)),"/")</f>
        <v>0</v>
      </c>
      <c r="AH22" s="63" cm="1">
        <f t="array" ref="AH22">IFERROR(INDEX('Offer Statistics'!CY$2:CY$400,MATCH(1,($A22='Offer Statistics'!$CL$2:$CL$400)*($AC$2='Offer Statistics'!$CM$2:$CM$400),0)),"/")</f>
        <v>0</v>
      </c>
      <c r="AI22" s="63" cm="1">
        <f t="array" ref="AI22">IFERROR(INDEX('Offer Statistics'!CZ$2:CZ$400,MATCH(1,($A22='Offer Statistics'!$CL$2:$CL$400)*($AC$2='Offer Statistics'!$CM$2:$CM$400),0)),"/")</f>
        <v>0</v>
      </c>
      <c r="AJ22" s="538"/>
      <c r="AK22" s="36" cm="1">
        <f t="array" ref="AK22">IFERROR(INDEX('Offer Statistics'!CS$2:CS$400,MATCH(1,($A22='Offer Statistics'!$CL$2:$CL$400)*($AC$2='Offer Statistics'!$CM$2:$CM$400),0)),"/")</f>
        <v>1941</v>
      </c>
      <c r="AL22" s="63" cm="1">
        <f t="array" ref="AL22">IFERROR(INDEX('Offer Statistics'!CN$2:CN$400,MATCH(1,($A22='Offer Statistics'!$CL$2:$CL$400)*($AC$2='Offer Statistics'!$CM$2:$CM$400),0)),"/")</f>
        <v>178</v>
      </c>
      <c r="AM22" s="63" cm="1">
        <f t="array" ref="AM22">IFERROR(INDEX('Offer Statistics'!CO$2:CO$400,MATCH(1,($A22='Offer Statistics'!$CL$2:$CL$400)*($AC$2='Offer Statistics'!$CM$2:$CM$400),0)),"/")</f>
        <v>278</v>
      </c>
      <c r="AN22" s="63" cm="1">
        <f t="array" ref="AN22">IFERROR(INDEX('Offer Statistics'!CP$2:CP$400,MATCH(1,($A22='Offer Statistics'!$CL$2:$CL$400)*($AC$2='Offer Statistics'!$CM$2:$CM$400),0)),"/")</f>
        <v>414</v>
      </c>
      <c r="AO22" s="63" cm="1">
        <f t="array" ref="AO22">IFERROR(INDEX('Offer Statistics'!CQ$2:CQ$400,MATCH(1,($A22='Offer Statistics'!$CL$2:$CL$400)*($AC$2='Offer Statistics'!$CM$2:$CM$400),0)),"/")</f>
        <v>536</v>
      </c>
      <c r="AP22" s="63" cm="1">
        <f t="array" ref="AP22">IFERROR(INDEX('Offer Statistics'!CR$2:CR$400,MATCH(1,($A22='Offer Statistics'!$CL$2:$CL$400)*($AC$2='Offer Statistics'!$CM$2:$CM$400),0)),"/")</f>
        <v>535</v>
      </c>
      <c r="AR22" s="15" t="str">
        <f t="shared" si="7"/>
        <v>JS6092</v>
      </c>
    </row>
    <row r="23" spans="1:44" ht="18" customHeight="1">
      <c r="A23" s="4" t="str">
        <f>'Reference Score Calculation'!B274</f>
        <v>JS6119</v>
      </c>
      <c r="B23" s="4" t="str">
        <f>'Reference Score Calculation'!D274</f>
        <v>教育學院</v>
      </c>
      <c r="C23" s="4" t="str">
        <f>'Reference Score Calculation'!E274</f>
        <v>教育學士及理學士</v>
      </c>
      <c r="D23" s="4" t="str">
        <f>'Reference Score Calculation'!S274</f>
        <v>BEd&amp;BSc</v>
      </c>
      <c r="E23" s="352" t="str">
        <f>'Reference Score Calculation'!AC274</f>
        <v>Best 5</v>
      </c>
      <c r="F23" s="351" t="str">
        <f>'Reference Score Calculation'!F274</f>
        <v>Best 5</v>
      </c>
      <c r="G23" s="6">
        <f>'Reference Score Calculation'!H274</f>
        <v>44</v>
      </c>
      <c r="H23" s="6">
        <f>'Reference Score Calculation'!I274</f>
        <v>42</v>
      </c>
      <c r="I23" s="6">
        <f>'Reference Score Calculation'!J274</f>
        <v>40</v>
      </c>
      <c r="J23" s="45">
        <f>計分版!J297</f>
        <v>2.9499999999999999E-9</v>
      </c>
      <c r="K23" s="25">
        <f t="shared" si="4"/>
        <v>-41.999999997049997</v>
      </c>
      <c r="L23" s="26">
        <f t="shared" si="5"/>
        <v>-14237288134.59322</v>
      </c>
      <c r="M23" s="36">
        <f>'Reference Score Calculation'!U274</f>
        <v>16</v>
      </c>
      <c r="N23" s="54">
        <f>入學要求!Z283</f>
        <v>0</v>
      </c>
      <c r="O23" s="544"/>
      <c r="P23" s="246">
        <f>入學要求!L283</f>
        <v>3</v>
      </c>
      <c r="Q23" s="246">
        <f>入學要求!M283</f>
        <v>3</v>
      </c>
      <c r="R23" s="246">
        <f>入學要求!N283</f>
        <v>2</v>
      </c>
      <c r="S23" s="246">
        <f>入學要求!O283</f>
        <v>1</v>
      </c>
      <c r="T23" s="246">
        <f>入學要求!P283</f>
        <v>3</v>
      </c>
      <c r="U23" s="246">
        <f>入學要求!Q283</f>
        <v>3</v>
      </c>
      <c r="V23" s="236">
        <f>入學要求!S283</f>
        <v>0</v>
      </c>
      <c r="W23" s="236">
        <f>入學要求!T283</f>
        <v>0</v>
      </c>
      <c r="X23" s="236">
        <f>入學要求!U283</f>
        <v>0</v>
      </c>
      <c r="Y23" s="236">
        <f>入學要求!V283</f>
        <v>0</v>
      </c>
      <c r="Z23" s="236">
        <f>入學要求!W283</f>
        <v>0</v>
      </c>
      <c r="AA23" s="236">
        <f>入學要求!X283</f>
        <v>0</v>
      </c>
      <c r="AB23" s="36">
        <f t="shared" si="6"/>
        <v>66.38</v>
      </c>
      <c r="AC23" s="537"/>
      <c r="AD23" s="36" cm="1">
        <f t="array" ref="AD23">IFERROR(INDEX('Offer Statistics'!DA$2:DA$400,MATCH(1,($A23='Offer Statistics'!$CL$2:$CL$400)*($AC$2='Offer Statistics'!$CM$2:$CM$400),0)),"/")</f>
        <v>13</v>
      </c>
      <c r="AE23" s="63" cm="1">
        <f t="array" ref="AE23">IFERROR(INDEX('Offer Statistics'!CV$2:CV$400,MATCH(1,($A23='Offer Statistics'!$CL$2:$CL$400)*($AC$2='Offer Statistics'!$CM$2:$CM$400),0)),"/")</f>
        <v>13</v>
      </c>
      <c r="AF23" s="63" cm="1">
        <f t="array" ref="AF23">IFERROR(INDEX('Offer Statistics'!CW$2:CW$400,MATCH(1,($A23='Offer Statistics'!$CL$2:$CL$400)*($AC$2='Offer Statistics'!$CM$2:$CM$400),0)),"/")</f>
        <v>0</v>
      </c>
      <c r="AG23" s="63" cm="1">
        <f t="array" ref="AG23">IFERROR(INDEX('Offer Statistics'!CX$2:CX$400,MATCH(1,($A23='Offer Statistics'!$CL$2:$CL$400)*($AC$2='Offer Statistics'!$CM$2:$CM$400),0)),"/")</f>
        <v>0</v>
      </c>
      <c r="AH23" s="63" cm="1">
        <f t="array" ref="AH23">IFERROR(INDEX('Offer Statistics'!CY$2:CY$400,MATCH(1,($A23='Offer Statistics'!$CL$2:$CL$400)*($AC$2='Offer Statistics'!$CM$2:$CM$400),0)),"/")</f>
        <v>0</v>
      </c>
      <c r="AI23" s="63" cm="1">
        <f t="array" ref="AI23">IFERROR(INDEX('Offer Statistics'!CZ$2:CZ$400,MATCH(1,($A23='Offer Statistics'!$CL$2:$CL$400)*($AC$2='Offer Statistics'!$CM$2:$CM$400),0)),"/")</f>
        <v>0</v>
      </c>
      <c r="AJ23" s="538"/>
      <c r="AK23" s="36" cm="1">
        <f t="array" ref="AK23">IFERROR(INDEX('Offer Statistics'!CS$2:CS$400,MATCH(1,($A23='Offer Statistics'!$CL$2:$CL$400)*($AC$2='Offer Statistics'!$CM$2:$CM$400),0)),"/")</f>
        <v>863</v>
      </c>
      <c r="AL23" s="63" cm="1">
        <f t="array" ref="AL23">IFERROR(INDEX('Offer Statistics'!CN$2:CN$400,MATCH(1,($A23='Offer Statistics'!$CL$2:$CL$400)*($AC$2='Offer Statistics'!$CM$2:$CM$400),0)),"/")</f>
        <v>143</v>
      </c>
      <c r="AM23" s="63" cm="1">
        <f t="array" ref="AM23">IFERROR(INDEX('Offer Statistics'!CO$2:CO$400,MATCH(1,($A23='Offer Statistics'!$CL$2:$CL$400)*($AC$2='Offer Statistics'!$CM$2:$CM$400),0)),"/")</f>
        <v>93</v>
      </c>
      <c r="AN23" s="63" cm="1">
        <f t="array" ref="AN23">IFERROR(INDEX('Offer Statistics'!CP$2:CP$400,MATCH(1,($A23='Offer Statistics'!$CL$2:$CL$400)*($AC$2='Offer Statistics'!$CM$2:$CM$400),0)),"/")</f>
        <v>189</v>
      </c>
      <c r="AO23" s="63" cm="1">
        <f t="array" ref="AO23">IFERROR(INDEX('Offer Statistics'!CQ$2:CQ$400,MATCH(1,($A23='Offer Statistics'!$CL$2:$CL$400)*($AC$2='Offer Statistics'!$CM$2:$CM$400),0)),"/")</f>
        <v>226</v>
      </c>
      <c r="AP23" s="63" cm="1">
        <f t="array" ref="AP23">IFERROR(INDEX('Offer Statistics'!CR$2:CR$400,MATCH(1,($A23='Offer Statistics'!$CL$2:$CL$400)*($AC$2='Offer Statistics'!$CM$2:$CM$400),0)),"/")</f>
        <v>212</v>
      </c>
      <c r="AR23" s="15" t="str">
        <f t="shared" si="7"/>
        <v>JS6119</v>
      </c>
    </row>
    <row r="24" spans="1:44" ht="18" customHeight="1">
      <c r="A24" s="4" t="str">
        <f>'Reference Score Calculation'!B275</f>
        <v>JS6157</v>
      </c>
      <c r="B24" s="4" t="str">
        <f>'Reference Score Calculation'!D275</f>
        <v>教育學院</v>
      </c>
      <c r="C24" s="4" t="str">
        <f>'Reference Score Calculation'!E275</f>
        <v>理學士(言語及語言病理學)</v>
      </c>
      <c r="D24" s="4" t="str">
        <f>'Reference Score Calculation'!S275</f>
        <v>BSc(SLP)</v>
      </c>
      <c r="E24" s="352" t="str">
        <f>'Reference Score Calculation'!AC275</f>
        <v>Best 5</v>
      </c>
      <c r="F24" s="334" t="str">
        <f>'Reference Score Calculation'!F275</f>
        <v>Best 5</v>
      </c>
      <c r="G24" s="6">
        <f>'Reference Score Calculation'!H275</f>
        <v>34</v>
      </c>
      <c r="H24" s="6">
        <f>'Reference Score Calculation'!I275</f>
        <v>32</v>
      </c>
      <c r="I24" s="6">
        <f>'Reference Score Calculation'!J275</f>
        <v>32</v>
      </c>
      <c r="J24" s="45">
        <f>計分版!J298</f>
        <v>3.4999999999999999E-9</v>
      </c>
      <c r="K24" s="25">
        <f t="shared" si="4"/>
        <v>-31.999999996500001</v>
      </c>
      <c r="L24" s="26">
        <f t="shared" si="5"/>
        <v>-9142857141.8571434</v>
      </c>
      <c r="M24" s="36">
        <f>'Reference Score Calculation'!U275</f>
        <v>48</v>
      </c>
      <c r="N24" s="54">
        <f>入學要求!Z284</f>
        <v>0</v>
      </c>
      <c r="O24" s="544"/>
      <c r="P24" s="246">
        <f>入學要求!L284</f>
        <v>3</v>
      </c>
      <c r="Q24" s="246">
        <f>入學要求!M284</f>
        <v>4</v>
      </c>
      <c r="R24" s="246">
        <f>入學要求!N284</f>
        <v>2</v>
      </c>
      <c r="S24" s="246">
        <f>入學要求!O284</f>
        <v>1</v>
      </c>
      <c r="T24" s="246">
        <f>入學要求!P284</f>
        <v>3</v>
      </c>
      <c r="U24" s="246">
        <f>入學要求!Q284</f>
        <v>3</v>
      </c>
      <c r="V24" s="236">
        <f>入學要求!S284</f>
        <v>0</v>
      </c>
      <c r="W24" s="236">
        <f>入學要求!T284</f>
        <v>0</v>
      </c>
      <c r="X24" s="236">
        <f>入學要求!U284</f>
        <v>0</v>
      </c>
      <c r="Y24" s="236">
        <f>入學要求!V284</f>
        <v>0</v>
      </c>
      <c r="Z24" s="236">
        <f>入學要求!W284</f>
        <v>0</v>
      </c>
      <c r="AA24" s="236">
        <f>入學要求!X284</f>
        <v>0</v>
      </c>
      <c r="AB24" s="36">
        <f t="shared" si="6"/>
        <v>18.82</v>
      </c>
      <c r="AC24" s="537"/>
      <c r="AD24" s="36" cm="1">
        <f t="array" ref="AD24">IFERROR(INDEX('Offer Statistics'!DA$2:DA$400,MATCH(1,($A24='Offer Statistics'!$CL$2:$CL$400)*($AC$2='Offer Statistics'!$CM$2:$CM$400),0)),"/")</f>
        <v>49</v>
      </c>
      <c r="AE24" s="63" cm="1">
        <f t="array" ref="AE24">IFERROR(INDEX('Offer Statistics'!CV$2:CV$400,MATCH(1,($A24='Offer Statistics'!$CL$2:$CL$400)*($AC$2='Offer Statistics'!$CM$2:$CM$400),0)),"/")</f>
        <v>49</v>
      </c>
      <c r="AF24" s="63" cm="1">
        <f t="array" ref="AF24">IFERROR(INDEX('Offer Statistics'!CW$2:CW$400,MATCH(1,($A24='Offer Statistics'!$CL$2:$CL$400)*($AC$2='Offer Statistics'!$CM$2:$CM$400),0)),"/")</f>
        <v>0</v>
      </c>
      <c r="AG24" s="63" cm="1">
        <f t="array" ref="AG24">IFERROR(INDEX('Offer Statistics'!CX$2:CX$400,MATCH(1,($A24='Offer Statistics'!$CL$2:$CL$400)*($AC$2='Offer Statistics'!$CM$2:$CM$400),0)),"/")</f>
        <v>0</v>
      </c>
      <c r="AH24" s="63" cm="1">
        <f t="array" ref="AH24">IFERROR(INDEX('Offer Statistics'!CY$2:CY$400,MATCH(1,($A24='Offer Statistics'!$CL$2:$CL$400)*($AC$2='Offer Statistics'!$CM$2:$CM$400),0)),"/")</f>
        <v>0</v>
      </c>
      <c r="AI24" s="63" cm="1">
        <f t="array" ref="AI24">IFERROR(INDEX('Offer Statistics'!CZ$2:CZ$400,MATCH(1,($A24='Offer Statistics'!$CL$2:$CL$400)*($AC$2='Offer Statistics'!$CM$2:$CM$400),0)),"/")</f>
        <v>0</v>
      </c>
      <c r="AJ24" s="538"/>
      <c r="AK24" s="36" cm="1">
        <f t="array" ref="AK24">IFERROR(INDEX('Offer Statistics'!CS$2:CS$400,MATCH(1,($A24='Offer Statistics'!$CL$2:$CL$400)*($AC$2='Offer Statistics'!$CM$2:$CM$400),0)),"/")</f>
        <v>922</v>
      </c>
      <c r="AL24" s="63" cm="1">
        <f t="array" ref="AL24">IFERROR(INDEX('Offer Statistics'!CN$2:CN$400,MATCH(1,($A24='Offer Statistics'!$CL$2:$CL$400)*($AC$2='Offer Statistics'!$CM$2:$CM$400),0)),"/")</f>
        <v>223</v>
      </c>
      <c r="AM24" s="63" cm="1">
        <f t="array" ref="AM24">IFERROR(INDEX('Offer Statistics'!CO$2:CO$400,MATCH(1,($A24='Offer Statistics'!$CL$2:$CL$400)*($AC$2='Offer Statistics'!$CM$2:$CM$400),0)),"/")</f>
        <v>98</v>
      </c>
      <c r="AN24" s="63" cm="1">
        <f t="array" ref="AN24">IFERROR(INDEX('Offer Statistics'!CP$2:CP$400,MATCH(1,($A24='Offer Statistics'!$CL$2:$CL$400)*($AC$2='Offer Statistics'!$CM$2:$CM$400),0)),"/")</f>
        <v>161</v>
      </c>
      <c r="AO24" s="63" cm="1">
        <f t="array" ref="AO24">IFERROR(INDEX('Offer Statistics'!CQ$2:CQ$400,MATCH(1,($A24='Offer Statistics'!$CL$2:$CL$400)*($AC$2='Offer Statistics'!$CM$2:$CM$400),0)),"/")</f>
        <v>226</v>
      </c>
      <c r="AP24" s="63" cm="1">
        <f t="array" ref="AP24">IFERROR(INDEX('Offer Statistics'!CR$2:CR$400,MATCH(1,($A24='Offer Statistics'!$CL$2:$CL$400)*($AC$2='Offer Statistics'!$CM$2:$CM$400),0)),"/")</f>
        <v>214</v>
      </c>
      <c r="AR24" s="15" t="str">
        <f t="shared" si="7"/>
        <v>JS6157</v>
      </c>
    </row>
    <row r="25" spans="1:44" ht="18" customHeight="1">
      <c r="A25" s="4" t="str">
        <f>'Reference Score Calculation'!B276</f>
        <v>JS6303</v>
      </c>
      <c r="B25" s="4" t="str">
        <f>'Reference Score Calculation'!D276</f>
        <v>工程學院</v>
      </c>
      <c r="C25" s="4" t="str">
        <f>'Reference Score Calculation'!E276</f>
        <v>工學學士精英課程</v>
      </c>
      <c r="D25" s="4" t="str">
        <f>'Reference Score Calculation'!S276</f>
        <v>BEng(Elite)</v>
      </c>
      <c r="E25" s="352" t="str">
        <f>'Reference Score Calculation'!AC276</f>
        <v>Best 5</v>
      </c>
      <c r="F25" s="443" t="str">
        <f>'Reference Score Calculation'!F276</f>
        <v>25年新科目</v>
      </c>
      <c r="G25" s="6" t="str">
        <f>'Reference Score Calculation'!H276</f>
        <v>/</v>
      </c>
      <c r="H25" s="6" t="str">
        <f>'Reference Score Calculation'!I276</f>
        <v>/</v>
      </c>
      <c r="I25" s="6" t="str">
        <f>'Reference Score Calculation'!J276</f>
        <v>/</v>
      </c>
      <c r="J25" s="45">
        <f>計分版!J299</f>
        <v>2.9000000000000003E-9</v>
      </c>
      <c r="K25" s="7" t="str">
        <f t="shared" si="4"/>
        <v>/</v>
      </c>
      <c r="L25" s="8" t="str">
        <f t="shared" si="5"/>
        <v>/</v>
      </c>
      <c r="M25" s="36" t="str">
        <f>'Reference Score Calculation'!U276</f>
        <v>327*</v>
      </c>
      <c r="N25" s="54">
        <f>入學要求!Z285</f>
        <v>0</v>
      </c>
      <c r="O25" s="544"/>
      <c r="P25" s="246">
        <f>入學要求!L285</f>
        <v>3</v>
      </c>
      <c r="Q25" s="246">
        <f>入學要求!M285</f>
        <v>4</v>
      </c>
      <c r="R25" s="246">
        <f>入學要求!N285</f>
        <v>4</v>
      </c>
      <c r="S25" s="246">
        <f>入學要求!O285</f>
        <v>1</v>
      </c>
      <c r="T25" s="246">
        <f>入學要求!P285</f>
        <v>3</v>
      </c>
      <c r="U25" s="246">
        <f>入學要求!Q285</f>
        <v>3</v>
      </c>
      <c r="V25" s="236">
        <f>入學要求!S285</f>
        <v>0</v>
      </c>
      <c r="W25" s="236">
        <f>入學要求!T285</f>
        <v>0</v>
      </c>
      <c r="X25" s="236">
        <f>入學要求!U285</f>
        <v>0</v>
      </c>
      <c r="Y25" s="236">
        <f>入學要求!V285</f>
        <v>0</v>
      </c>
      <c r="Z25" s="236">
        <f>入學要求!W285</f>
        <v>0</v>
      </c>
      <c r="AA25" s="236">
        <f>入學要求!X285</f>
        <v>0</v>
      </c>
      <c r="AB25" s="36" t="str">
        <f t="shared" si="6"/>
        <v>/</v>
      </c>
      <c r="AC25" s="537"/>
      <c r="AD25" s="36" t="str" cm="1">
        <f t="array" ref="AD25">IFERROR(INDEX('Offer Statistics'!DA$2:DA$400,MATCH(1,($A25='Offer Statistics'!$CL$2:$CL$400)*($AC$2='Offer Statistics'!$CM$2:$CM$400),0)),"/")</f>
        <v>/</v>
      </c>
      <c r="AE25" s="63" t="str" cm="1">
        <f t="array" ref="AE25">IFERROR(INDEX('Offer Statistics'!CV$2:CV$400,MATCH(1,($A25='Offer Statistics'!$CL$2:$CL$400)*($AC$2='Offer Statistics'!$CM$2:$CM$400),0)),"/")</f>
        <v>/</v>
      </c>
      <c r="AF25" s="63" t="str" cm="1">
        <f t="array" ref="AF25">IFERROR(INDEX('Offer Statistics'!CW$2:CW$400,MATCH(1,($A25='Offer Statistics'!$CL$2:$CL$400)*($AC$2='Offer Statistics'!$CM$2:$CM$400),0)),"/")</f>
        <v>/</v>
      </c>
      <c r="AG25" s="63" t="str" cm="1">
        <f t="array" ref="AG25">IFERROR(INDEX('Offer Statistics'!CX$2:CX$400,MATCH(1,($A25='Offer Statistics'!$CL$2:$CL$400)*($AC$2='Offer Statistics'!$CM$2:$CM$400),0)),"/")</f>
        <v>/</v>
      </c>
      <c r="AH25" s="63" t="str" cm="1">
        <f t="array" ref="AH25">IFERROR(INDEX('Offer Statistics'!CY$2:CY$400,MATCH(1,($A25='Offer Statistics'!$CL$2:$CL$400)*($AC$2='Offer Statistics'!$CM$2:$CM$400),0)),"/")</f>
        <v>/</v>
      </c>
      <c r="AI25" s="63" t="str" cm="1">
        <f t="array" ref="AI25">IFERROR(INDEX('Offer Statistics'!CZ$2:CZ$400,MATCH(1,($A25='Offer Statistics'!$CL$2:$CL$400)*($AC$2='Offer Statistics'!$CM$2:$CM$400),0)),"/")</f>
        <v>/</v>
      </c>
      <c r="AJ25" s="538"/>
      <c r="AK25" s="36" t="str" cm="1">
        <f t="array" ref="AK25">IFERROR(INDEX('Offer Statistics'!CS$2:CS$400,MATCH(1,($A25='Offer Statistics'!$CL$2:$CL$400)*($AC$2='Offer Statistics'!$CM$2:$CM$400),0)),"/")</f>
        <v>/</v>
      </c>
      <c r="AL25" s="63" t="str" cm="1">
        <f t="array" ref="AL25">IFERROR(INDEX('Offer Statistics'!CN$2:CN$400,MATCH(1,($A25='Offer Statistics'!$CL$2:$CL$400)*($AC$2='Offer Statistics'!$CM$2:$CM$400),0)),"/")</f>
        <v>/</v>
      </c>
      <c r="AM25" s="63" t="str" cm="1">
        <f t="array" ref="AM25">IFERROR(INDEX('Offer Statistics'!CO$2:CO$400,MATCH(1,($A25='Offer Statistics'!$CL$2:$CL$400)*($AC$2='Offer Statistics'!$CM$2:$CM$400),0)),"/")</f>
        <v>/</v>
      </c>
      <c r="AN25" s="63" t="str" cm="1">
        <f t="array" ref="AN25">IFERROR(INDEX('Offer Statistics'!CP$2:CP$400,MATCH(1,($A25='Offer Statistics'!$CL$2:$CL$400)*($AC$2='Offer Statistics'!$CM$2:$CM$400),0)),"/")</f>
        <v>/</v>
      </c>
      <c r="AO25" s="63" t="str" cm="1">
        <f t="array" ref="AO25">IFERROR(INDEX('Offer Statistics'!CQ$2:CQ$400,MATCH(1,($A25='Offer Statistics'!$CL$2:$CL$400)*($AC$2='Offer Statistics'!$CM$2:$CM$400),0)),"/")</f>
        <v>/</v>
      </c>
      <c r="AP25" s="63" t="str" cm="1">
        <f t="array" ref="AP25">IFERROR(INDEX('Offer Statistics'!CR$2:CR$400,MATCH(1,($A25='Offer Statistics'!$CL$2:$CL$400)*($AC$2='Offer Statistics'!$CM$2:$CM$400),0)),"/")</f>
        <v>/</v>
      </c>
      <c r="AR25" s="15" t="str">
        <f t="shared" si="7"/>
        <v>JS6303</v>
      </c>
    </row>
    <row r="26" spans="1:44" ht="18" customHeight="1">
      <c r="A26" s="4" t="str">
        <f>'Reference Score Calculation'!B277</f>
        <v>JS6315</v>
      </c>
      <c r="B26" s="4" t="str">
        <f>'Reference Score Calculation'!D277</f>
        <v>工程學院</v>
      </c>
      <c r="C26" s="4" t="str">
        <f>'Reference Score Calculation'!E277</f>
        <v>工學學士(數據與系統工程)</v>
      </c>
      <c r="D26" s="4" t="str">
        <f>'Reference Score Calculation'!S277</f>
        <v>BEng(DASE)</v>
      </c>
      <c r="E26" s="352" t="str">
        <f>'Reference Score Calculation'!AC277</f>
        <v>Best 5</v>
      </c>
      <c r="F26" s="443" t="str">
        <f>'Reference Score Calculation'!F277</f>
        <v>25年新科目</v>
      </c>
      <c r="G26" s="6" t="str">
        <f>'Reference Score Calculation'!H277</f>
        <v>/</v>
      </c>
      <c r="H26" s="6" t="str">
        <f>'Reference Score Calculation'!I277</f>
        <v>/</v>
      </c>
      <c r="I26" s="6" t="str">
        <f>'Reference Score Calculation'!J277</f>
        <v>/</v>
      </c>
      <c r="J26" s="45">
        <f>計分版!J300</f>
        <v>2.9000000000000003E-9</v>
      </c>
      <c r="K26" s="7" t="str">
        <f t="shared" si="4"/>
        <v>/</v>
      </c>
      <c r="L26" s="8" t="str">
        <f t="shared" si="5"/>
        <v>/</v>
      </c>
      <c r="M26" s="36" t="str">
        <f>'Reference Score Calculation'!U277</f>
        <v>327*</v>
      </c>
      <c r="N26" s="54">
        <f>入學要求!Z286</f>
        <v>0</v>
      </c>
      <c r="O26" s="544"/>
      <c r="P26" s="246">
        <f>入學要求!L286</f>
        <v>3</v>
      </c>
      <c r="Q26" s="246">
        <f>入學要求!M286</f>
        <v>3</v>
      </c>
      <c r="R26" s="246">
        <f>入學要求!N286</f>
        <v>3</v>
      </c>
      <c r="S26" s="246">
        <f>入學要求!O286</f>
        <v>1</v>
      </c>
      <c r="T26" s="246">
        <f>入學要求!P286</f>
        <v>3</v>
      </c>
      <c r="U26" s="246">
        <f>入學要求!Q286</f>
        <v>3</v>
      </c>
      <c r="V26" s="236">
        <f>入學要求!S286</f>
        <v>0</v>
      </c>
      <c r="W26" s="236">
        <f>入學要求!T286</f>
        <v>0</v>
      </c>
      <c r="X26" s="236">
        <f>入學要求!U286</f>
        <v>0</v>
      </c>
      <c r="Y26" s="236">
        <f>入學要求!V286</f>
        <v>0</v>
      </c>
      <c r="Z26" s="236">
        <f>入學要求!W286</f>
        <v>0</v>
      </c>
      <c r="AA26" s="236">
        <f>入學要求!X286</f>
        <v>0</v>
      </c>
      <c r="AB26" s="36" t="str">
        <f t="shared" si="6"/>
        <v>/</v>
      </c>
      <c r="AC26" s="537"/>
      <c r="AD26" s="36" t="str" cm="1">
        <f t="array" ref="AD26">IFERROR(INDEX('Offer Statistics'!DA$2:DA$400,MATCH(1,($A26='Offer Statistics'!$CL$2:$CL$400)*($AC$2='Offer Statistics'!$CM$2:$CM$400),0)),"/")</f>
        <v>/</v>
      </c>
      <c r="AE26" s="63" t="str" cm="1">
        <f t="array" ref="AE26">IFERROR(INDEX('Offer Statistics'!CV$2:CV$400,MATCH(1,($A26='Offer Statistics'!$CL$2:$CL$400)*($AC$2='Offer Statistics'!$CM$2:$CM$400),0)),"/")</f>
        <v>/</v>
      </c>
      <c r="AF26" s="63" t="str" cm="1">
        <f t="array" ref="AF26">IFERROR(INDEX('Offer Statistics'!CW$2:CW$400,MATCH(1,($A26='Offer Statistics'!$CL$2:$CL$400)*($AC$2='Offer Statistics'!$CM$2:$CM$400),0)),"/")</f>
        <v>/</v>
      </c>
      <c r="AG26" s="63" t="str" cm="1">
        <f t="array" ref="AG26">IFERROR(INDEX('Offer Statistics'!CX$2:CX$400,MATCH(1,($A26='Offer Statistics'!$CL$2:$CL$400)*($AC$2='Offer Statistics'!$CM$2:$CM$400),0)),"/")</f>
        <v>/</v>
      </c>
      <c r="AH26" s="63" t="str" cm="1">
        <f t="array" ref="AH26">IFERROR(INDEX('Offer Statistics'!CY$2:CY$400,MATCH(1,($A26='Offer Statistics'!$CL$2:$CL$400)*($AC$2='Offer Statistics'!$CM$2:$CM$400),0)),"/")</f>
        <v>/</v>
      </c>
      <c r="AI26" s="63" t="str" cm="1">
        <f t="array" ref="AI26">IFERROR(INDEX('Offer Statistics'!CZ$2:CZ$400,MATCH(1,($A26='Offer Statistics'!$CL$2:$CL$400)*($AC$2='Offer Statistics'!$CM$2:$CM$400),0)),"/")</f>
        <v>/</v>
      </c>
      <c r="AJ26" s="538"/>
      <c r="AK26" s="36" t="str" cm="1">
        <f t="array" ref="AK26">IFERROR(INDEX('Offer Statistics'!CS$2:CS$400,MATCH(1,($A26='Offer Statistics'!$CL$2:$CL$400)*($AC$2='Offer Statistics'!$CM$2:$CM$400),0)),"/")</f>
        <v>/</v>
      </c>
      <c r="AL26" s="63" t="str" cm="1">
        <f t="array" ref="AL26">IFERROR(INDEX('Offer Statistics'!CN$2:CN$400,MATCH(1,($A26='Offer Statistics'!$CL$2:$CL$400)*($AC$2='Offer Statistics'!$CM$2:$CM$400),0)),"/")</f>
        <v>/</v>
      </c>
      <c r="AM26" s="63" t="str" cm="1">
        <f t="array" ref="AM26">IFERROR(INDEX('Offer Statistics'!CO$2:CO$400,MATCH(1,($A26='Offer Statistics'!$CL$2:$CL$400)*($AC$2='Offer Statistics'!$CM$2:$CM$400),0)),"/")</f>
        <v>/</v>
      </c>
      <c r="AN26" s="63" t="str" cm="1">
        <f t="array" ref="AN26">IFERROR(INDEX('Offer Statistics'!CP$2:CP$400,MATCH(1,($A26='Offer Statistics'!$CL$2:$CL$400)*($AC$2='Offer Statistics'!$CM$2:$CM$400),0)),"/")</f>
        <v>/</v>
      </c>
      <c r="AO26" s="63" t="str" cm="1">
        <f t="array" ref="AO26">IFERROR(INDEX('Offer Statistics'!CQ$2:CQ$400,MATCH(1,($A26='Offer Statistics'!$CL$2:$CL$400)*($AC$2='Offer Statistics'!$CM$2:$CM$400),0)),"/")</f>
        <v>/</v>
      </c>
      <c r="AP26" s="63" t="str" cm="1">
        <f t="array" ref="AP26">IFERROR(INDEX('Offer Statistics'!CR$2:CR$400,MATCH(1,($A26='Offer Statistics'!$CL$2:$CL$400)*($AC$2='Offer Statistics'!$CM$2:$CM$400),0)),"/")</f>
        <v>/</v>
      </c>
      <c r="AR26" s="15" t="str">
        <f t="shared" si="7"/>
        <v>JS6315</v>
      </c>
    </row>
    <row r="27" spans="1:44" ht="18" customHeight="1">
      <c r="A27" s="4" t="str">
        <f>'Reference Score Calculation'!B278</f>
        <v>JS6339</v>
      </c>
      <c r="B27" s="4" t="str">
        <f>'Reference Score Calculation'!D278</f>
        <v>工程學院</v>
      </c>
      <c r="C27" s="4" t="str">
        <f>'Reference Score Calculation'!E278</f>
        <v>工學學士(機械工程)</v>
      </c>
      <c r="D27" s="4" t="str">
        <f>'Reference Score Calculation'!S278</f>
        <v>BEng(ME)</v>
      </c>
      <c r="E27" s="352" t="str">
        <f>'Reference Score Calculation'!AC278</f>
        <v>Best 5</v>
      </c>
      <c r="F27" s="443" t="str">
        <f>'Reference Score Calculation'!F278</f>
        <v>25年新科目</v>
      </c>
      <c r="G27" s="6" t="str">
        <f>'Reference Score Calculation'!H278</f>
        <v>/</v>
      </c>
      <c r="H27" s="6" t="str">
        <f>'Reference Score Calculation'!I278</f>
        <v>/</v>
      </c>
      <c r="I27" s="6" t="str">
        <f>'Reference Score Calculation'!J278</f>
        <v>/</v>
      </c>
      <c r="J27" s="45">
        <f>計分版!J301</f>
        <v>2.9000000000000003E-9</v>
      </c>
      <c r="K27" s="7" t="str">
        <f t="shared" si="4"/>
        <v>/</v>
      </c>
      <c r="L27" s="8" t="str">
        <f t="shared" si="5"/>
        <v>/</v>
      </c>
      <c r="M27" s="36" t="str">
        <f>'Reference Score Calculation'!U278</f>
        <v>327*</v>
      </c>
      <c r="N27" s="54">
        <f>入學要求!Z287</f>
        <v>0</v>
      </c>
      <c r="O27" s="544"/>
      <c r="P27" s="246">
        <f>入學要求!L287</f>
        <v>3</v>
      </c>
      <c r="Q27" s="246">
        <f>入學要求!M287</f>
        <v>3</v>
      </c>
      <c r="R27" s="246">
        <f>入學要求!N287</f>
        <v>3</v>
      </c>
      <c r="S27" s="246">
        <f>入學要求!O287</f>
        <v>1</v>
      </c>
      <c r="T27" s="246">
        <f>入學要求!P287</f>
        <v>3</v>
      </c>
      <c r="U27" s="246">
        <f>入學要求!Q287</f>
        <v>3</v>
      </c>
      <c r="V27" s="236">
        <f>入學要求!S287</f>
        <v>0</v>
      </c>
      <c r="W27" s="236">
        <f>入學要求!T287</f>
        <v>0</v>
      </c>
      <c r="X27" s="236">
        <f>入學要求!U287</f>
        <v>0</v>
      </c>
      <c r="Y27" s="236">
        <f>入學要求!V287</f>
        <v>0</v>
      </c>
      <c r="Z27" s="236">
        <f>入學要求!W287</f>
        <v>0</v>
      </c>
      <c r="AA27" s="236">
        <f>入學要求!X287</f>
        <v>0</v>
      </c>
      <c r="AB27" s="36" t="str">
        <f t="shared" si="6"/>
        <v>/</v>
      </c>
      <c r="AC27" s="537"/>
      <c r="AD27" s="36" t="str" cm="1">
        <f t="array" ref="AD27">IFERROR(INDEX('Offer Statistics'!DA$2:DA$400,MATCH(1,($A27='Offer Statistics'!$CL$2:$CL$400)*($AC$2='Offer Statistics'!$CM$2:$CM$400),0)),"/")</f>
        <v>/</v>
      </c>
      <c r="AE27" s="63" t="str" cm="1">
        <f t="array" ref="AE27">IFERROR(INDEX('Offer Statistics'!CV$2:CV$400,MATCH(1,($A27='Offer Statistics'!$CL$2:$CL$400)*($AC$2='Offer Statistics'!$CM$2:$CM$400),0)),"/")</f>
        <v>/</v>
      </c>
      <c r="AF27" s="63" t="str" cm="1">
        <f t="array" ref="AF27">IFERROR(INDEX('Offer Statistics'!CW$2:CW$400,MATCH(1,($A27='Offer Statistics'!$CL$2:$CL$400)*($AC$2='Offer Statistics'!$CM$2:$CM$400),0)),"/")</f>
        <v>/</v>
      </c>
      <c r="AG27" s="63" t="str" cm="1">
        <f t="array" ref="AG27">IFERROR(INDEX('Offer Statistics'!CX$2:CX$400,MATCH(1,($A27='Offer Statistics'!$CL$2:$CL$400)*($AC$2='Offer Statistics'!$CM$2:$CM$400),0)),"/")</f>
        <v>/</v>
      </c>
      <c r="AH27" s="63" t="str" cm="1">
        <f t="array" ref="AH27">IFERROR(INDEX('Offer Statistics'!CY$2:CY$400,MATCH(1,($A27='Offer Statistics'!$CL$2:$CL$400)*($AC$2='Offer Statistics'!$CM$2:$CM$400),0)),"/")</f>
        <v>/</v>
      </c>
      <c r="AI27" s="63" t="str" cm="1">
        <f t="array" ref="AI27">IFERROR(INDEX('Offer Statistics'!CZ$2:CZ$400,MATCH(1,($A27='Offer Statistics'!$CL$2:$CL$400)*($AC$2='Offer Statistics'!$CM$2:$CM$400),0)),"/")</f>
        <v>/</v>
      </c>
      <c r="AJ27" s="538"/>
      <c r="AK27" s="36" t="str" cm="1">
        <f t="array" ref="AK27">IFERROR(INDEX('Offer Statistics'!CS$2:CS$400,MATCH(1,($A27='Offer Statistics'!$CL$2:$CL$400)*($AC$2='Offer Statistics'!$CM$2:$CM$400),0)),"/")</f>
        <v>/</v>
      </c>
      <c r="AL27" s="63" t="str" cm="1">
        <f t="array" ref="AL27">IFERROR(INDEX('Offer Statistics'!CN$2:CN$400,MATCH(1,($A27='Offer Statistics'!$CL$2:$CL$400)*($AC$2='Offer Statistics'!$CM$2:$CM$400),0)),"/")</f>
        <v>/</v>
      </c>
      <c r="AM27" s="63" t="str" cm="1">
        <f t="array" ref="AM27">IFERROR(INDEX('Offer Statistics'!CO$2:CO$400,MATCH(1,($A27='Offer Statistics'!$CL$2:$CL$400)*($AC$2='Offer Statistics'!$CM$2:$CM$400),0)),"/")</f>
        <v>/</v>
      </c>
      <c r="AN27" s="63" t="str" cm="1">
        <f t="array" ref="AN27">IFERROR(INDEX('Offer Statistics'!CP$2:CP$400,MATCH(1,($A27='Offer Statistics'!$CL$2:$CL$400)*($AC$2='Offer Statistics'!$CM$2:$CM$400),0)),"/")</f>
        <v>/</v>
      </c>
      <c r="AO27" s="63" t="str" cm="1">
        <f t="array" ref="AO27">IFERROR(INDEX('Offer Statistics'!CQ$2:CQ$400,MATCH(1,($A27='Offer Statistics'!$CL$2:$CL$400)*($AC$2='Offer Statistics'!$CM$2:$CM$400),0)),"/")</f>
        <v>/</v>
      </c>
      <c r="AP27" s="63" t="str" cm="1">
        <f t="array" ref="AP27">IFERROR(INDEX('Offer Statistics'!CR$2:CR$400,MATCH(1,($A27='Offer Statistics'!$CL$2:$CL$400)*($AC$2='Offer Statistics'!$CM$2:$CM$400),0)),"/")</f>
        <v>/</v>
      </c>
      <c r="AR27" s="15" t="str">
        <f t="shared" si="7"/>
        <v>JS6339</v>
      </c>
    </row>
    <row r="28" spans="1:44" ht="18" customHeight="1">
      <c r="A28" s="4" t="str">
        <f>'Reference Score Calculation'!B279</f>
        <v>JS6353</v>
      </c>
      <c r="B28" s="4" t="str">
        <f>'Reference Score Calculation'!D279</f>
        <v>工程學院</v>
      </c>
      <c r="C28" s="4" t="str">
        <f>'Reference Score Calculation'!E279</f>
        <v>工學學士(土木工程)</v>
      </c>
      <c r="D28" s="4" t="str">
        <f>'Reference Score Calculation'!S279</f>
        <v>BEng(CivE)</v>
      </c>
      <c r="E28" s="352" t="str">
        <f>'Reference Score Calculation'!AC279</f>
        <v>Best 5</v>
      </c>
      <c r="F28" s="443" t="str">
        <f>'Reference Score Calculation'!F279</f>
        <v>25年新科目</v>
      </c>
      <c r="G28" s="6" t="str">
        <f>'Reference Score Calculation'!H279</f>
        <v>/</v>
      </c>
      <c r="H28" s="6" t="str">
        <f>'Reference Score Calculation'!I279</f>
        <v>/</v>
      </c>
      <c r="I28" s="6" t="str">
        <f>'Reference Score Calculation'!J279</f>
        <v>/</v>
      </c>
      <c r="J28" s="45">
        <f>計分版!J302</f>
        <v>2.9000000000000003E-9</v>
      </c>
      <c r="K28" s="7" t="str">
        <f t="shared" si="4"/>
        <v>/</v>
      </c>
      <c r="L28" s="8" t="str">
        <f t="shared" si="5"/>
        <v>/</v>
      </c>
      <c r="M28" s="36" t="str">
        <f>'Reference Score Calculation'!U279</f>
        <v>327*</v>
      </c>
      <c r="N28" s="54">
        <f>入學要求!Z288</f>
        <v>0</v>
      </c>
      <c r="O28" s="544"/>
      <c r="P28" s="246">
        <f>入學要求!L288</f>
        <v>3</v>
      </c>
      <c r="Q28" s="246">
        <f>入學要求!M288</f>
        <v>3</v>
      </c>
      <c r="R28" s="246">
        <f>入學要求!N288</f>
        <v>3</v>
      </c>
      <c r="S28" s="246">
        <f>入學要求!O288</f>
        <v>1</v>
      </c>
      <c r="T28" s="246">
        <f>入學要求!P288</f>
        <v>3</v>
      </c>
      <c r="U28" s="246">
        <f>入學要求!Q288</f>
        <v>3</v>
      </c>
      <c r="V28" s="236">
        <f>入學要求!S288</f>
        <v>0</v>
      </c>
      <c r="W28" s="236">
        <f>入學要求!T288</f>
        <v>0</v>
      </c>
      <c r="X28" s="236">
        <f>入學要求!U288</f>
        <v>0</v>
      </c>
      <c r="Y28" s="236">
        <f>入學要求!V288</f>
        <v>0</v>
      </c>
      <c r="Z28" s="236">
        <f>入學要求!W288</f>
        <v>0</v>
      </c>
      <c r="AA28" s="236">
        <f>入學要求!X288</f>
        <v>0</v>
      </c>
      <c r="AB28" s="36" t="str">
        <f t="shared" si="6"/>
        <v>/</v>
      </c>
      <c r="AC28" s="537"/>
      <c r="AD28" s="36" t="str" cm="1">
        <f t="array" ref="AD28">IFERROR(INDEX('Offer Statistics'!DA$2:DA$400,MATCH(1,($A28='Offer Statistics'!$CL$2:$CL$400)*($AC$2='Offer Statistics'!$CM$2:$CM$400),0)),"/")</f>
        <v>/</v>
      </c>
      <c r="AE28" s="63" t="str" cm="1">
        <f t="array" ref="AE28">IFERROR(INDEX('Offer Statistics'!CV$2:CV$400,MATCH(1,($A28='Offer Statistics'!$CL$2:$CL$400)*($AC$2='Offer Statistics'!$CM$2:$CM$400),0)),"/")</f>
        <v>/</v>
      </c>
      <c r="AF28" s="63" t="str" cm="1">
        <f t="array" ref="AF28">IFERROR(INDEX('Offer Statistics'!CW$2:CW$400,MATCH(1,($A28='Offer Statistics'!$CL$2:$CL$400)*($AC$2='Offer Statistics'!$CM$2:$CM$400),0)),"/")</f>
        <v>/</v>
      </c>
      <c r="AG28" s="63" t="str" cm="1">
        <f t="array" ref="AG28">IFERROR(INDEX('Offer Statistics'!CX$2:CX$400,MATCH(1,($A28='Offer Statistics'!$CL$2:$CL$400)*($AC$2='Offer Statistics'!$CM$2:$CM$400),0)),"/")</f>
        <v>/</v>
      </c>
      <c r="AH28" s="63" t="str" cm="1">
        <f t="array" ref="AH28">IFERROR(INDEX('Offer Statistics'!CY$2:CY$400,MATCH(1,($A28='Offer Statistics'!$CL$2:$CL$400)*($AC$2='Offer Statistics'!$CM$2:$CM$400),0)),"/")</f>
        <v>/</v>
      </c>
      <c r="AI28" s="63" t="str" cm="1">
        <f t="array" ref="AI28">IFERROR(INDEX('Offer Statistics'!CZ$2:CZ$400,MATCH(1,($A28='Offer Statistics'!$CL$2:$CL$400)*($AC$2='Offer Statistics'!$CM$2:$CM$400),0)),"/")</f>
        <v>/</v>
      </c>
      <c r="AJ28" s="538"/>
      <c r="AK28" s="36" t="str" cm="1">
        <f t="array" ref="AK28">IFERROR(INDEX('Offer Statistics'!CS$2:CS$400,MATCH(1,($A28='Offer Statistics'!$CL$2:$CL$400)*($AC$2='Offer Statistics'!$CM$2:$CM$400),0)),"/")</f>
        <v>/</v>
      </c>
      <c r="AL28" s="63" t="str" cm="1">
        <f t="array" ref="AL28">IFERROR(INDEX('Offer Statistics'!CN$2:CN$400,MATCH(1,($A28='Offer Statistics'!$CL$2:$CL$400)*($AC$2='Offer Statistics'!$CM$2:$CM$400),0)),"/")</f>
        <v>/</v>
      </c>
      <c r="AM28" s="63" t="str" cm="1">
        <f t="array" ref="AM28">IFERROR(INDEX('Offer Statistics'!CO$2:CO$400,MATCH(1,($A28='Offer Statistics'!$CL$2:$CL$400)*($AC$2='Offer Statistics'!$CM$2:$CM$400),0)),"/")</f>
        <v>/</v>
      </c>
      <c r="AN28" s="63" t="str" cm="1">
        <f t="array" ref="AN28">IFERROR(INDEX('Offer Statistics'!CP$2:CP$400,MATCH(1,($A28='Offer Statistics'!$CL$2:$CL$400)*($AC$2='Offer Statistics'!$CM$2:$CM$400),0)),"/")</f>
        <v>/</v>
      </c>
      <c r="AO28" s="63" t="str" cm="1">
        <f t="array" ref="AO28">IFERROR(INDEX('Offer Statistics'!CQ$2:CQ$400,MATCH(1,($A28='Offer Statistics'!$CL$2:$CL$400)*($AC$2='Offer Statistics'!$CM$2:$CM$400),0)),"/")</f>
        <v>/</v>
      </c>
      <c r="AP28" s="63" t="str" cm="1">
        <f t="array" ref="AP28">IFERROR(INDEX('Offer Statistics'!CR$2:CR$400,MATCH(1,($A28='Offer Statistics'!$CL$2:$CL$400)*($AC$2='Offer Statistics'!$CM$2:$CM$400),0)),"/")</f>
        <v>/</v>
      </c>
      <c r="AR28" s="15" t="str">
        <f t="shared" si="7"/>
        <v>JS6353</v>
      </c>
    </row>
    <row r="29" spans="1:44" ht="18" customHeight="1">
      <c r="A29" s="4" t="str">
        <f>'Reference Score Calculation'!B280</f>
        <v>JS6377</v>
      </c>
      <c r="B29" s="4" t="str">
        <f>'Reference Score Calculation'!D280</f>
        <v>工程學院</v>
      </c>
      <c r="C29" s="4" t="str">
        <f>'Reference Score Calculation'!E280</f>
        <v>工學學士與人工智能理學碩士聯合課程</v>
      </c>
      <c r="D29" s="4" t="str">
        <f>'Reference Score Calculation'!S280</f>
        <v>BEng X + MScEng AIE</v>
      </c>
      <c r="E29" s="352" t="str">
        <f>'Reference Score Calculation'!AC280</f>
        <v>Best 5</v>
      </c>
      <c r="F29" s="443" t="str">
        <f>'Reference Score Calculation'!F280</f>
        <v>25年新科目</v>
      </c>
      <c r="G29" s="6" t="str">
        <f>'Reference Score Calculation'!H280</f>
        <v>/</v>
      </c>
      <c r="H29" s="6" t="str">
        <f>'Reference Score Calculation'!I280</f>
        <v>/</v>
      </c>
      <c r="I29" s="6" t="str">
        <f>'Reference Score Calculation'!J280</f>
        <v>/</v>
      </c>
      <c r="J29" s="45">
        <f>計分版!J303</f>
        <v>2.9000000000000003E-9</v>
      </c>
      <c r="K29" s="7" t="str">
        <f t="shared" ref="K29:K49" si="8">IFERROR(IF(K$1="差距(Median)",J29-H29,IF(K$1="差距(UQ)",J29-G29,IF(K$1="差距(LQ)",J29-I29))),"/")</f>
        <v>/</v>
      </c>
      <c r="L29" s="8" t="str">
        <f t="shared" ref="L29:L49" si="9">IFERROR(IF(K$1="差距(Median)",(J29-H29)/J29,IF(K$1="差距(UQ)",(J29-G29)/J29,IF(K$1="差距(LQ)",(J29-I29)/J29))),"/")</f>
        <v>/</v>
      </c>
      <c r="M29" s="36" t="str">
        <f>'Reference Score Calculation'!U280</f>
        <v>327*</v>
      </c>
      <c r="N29" s="54">
        <f>入學要求!Z289</f>
        <v>0</v>
      </c>
      <c r="O29" s="544"/>
      <c r="P29" s="246">
        <f>入學要求!L289</f>
        <v>3</v>
      </c>
      <c r="Q29" s="246">
        <f>入學要求!M289</f>
        <v>4</v>
      </c>
      <c r="R29" s="246">
        <f>入學要求!N289</f>
        <v>4</v>
      </c>
      <c r="S29" s="246">
        <f>入學要求!O289</f>
        <v>1</v>
      </c>
      <c r="T29" s="246">
        <f>入學要求!P289</f>
        <v>3</v>
      </c>
      <c r="U29" s="246">
        <f>入學要求!Q289</f>
        <v>3</v>
      </c>
      <c r="V29" s="236">
        <f>入學要求!S289</f>
        <v>0</v>
      </c>
      <c r="W29" s="236">
        <f>入學要求!T289</f>
        <v>0</v>
      </c>
      <c r="X29" s="236">
        <f>入學要求!U289</f>
        <v>0</v>
      </c>
      <c r="Y29" s="236">
        <f>入學要求!V289</f>
        <v>0</v>
      </c>
      <c r="Z29" s="236">
        <f>入學要求!W289</f>
        <v>0</v>
      </c>
      <c r="AA29" s="236">
        <f>入學要求!X289</f>
        <v>0</v>
      </c>
      <c r="AB29" s="36" t="str">
        <f t="shared" ref="AB29:AB49" si="10">IFERROR(ROUND(AK29/AD29,2),"/")</f>
        <v>/</v>
      </c>
      <c r="AC29" s="537"/>
      <c r="AD29" s="36" t="str" cm="1">
        <f t="array" ref="AD29">IFERROR(INDEX('Offer Statistics'!DA$2:DA$400,MATCH(1,($A29='Offer Statistics'!$CL$2:$CL$400)*($AC$2='Offer Statistics'!$CM$2:$CM$400),0)),"/")</f>
        <v>/</v>
      </c>
      <c r="AE29" s="63" t="str" cm="1">
        <f t="array" ref="AE29">IFERROR(INDEX('Offer Statistics'!CV$2:CV$400,MATCH(1,($A29='Offer Statistics'!$CL$2:$CL$400)*($AC$2='Offer Statistics'!$CM$2:$CM$400),0)),"/")</f>
        <v>/</v>
      </c>
      <c r="AF29" s="63" t="str" cm="1">
        <f t="array" ref="AF29">IFERROR(INDEX('Offer Statistics'!CW$2:CW$400,MATCH(1,($A29='Offer Statistics'!$CL$2:$CL$400)*($AC$2='Offer Statistics'!$CM$2:$CM$400),0)),"/")</f>
        <v>/</v>
      </c>
      <c r="AG29" s="63" t="str" cm="1">
        <f t="array" ref="AG29">IFERROR(INDEX('Offer Statistics'!CX$2:CX$400,MATCH(1,($A29='Offer Statistics'!$CL$2:$CL$400)*($AC$2='Offer Statistics'!$CM$2:$CM$400),0)),"/")</f>
        <v>/</v>
      </c>
      <c r="AH29" s="63" t="str" cm="1">
        <f t="array" ref="AH29">IFERROR(INDEX('Offer Statistics'!CY$2:CY$400,MATCH(1,($A29='Offer Statistics'!$CL$2:$CL$400)*($AC$2='Offer Statistics'!$CM$2:$CM$400),0)),"/")</f>
        <v>/</v>
      </c>
      <c r="AI29" s="63" t="str" cm="1">
        <f t="array" ref="AI29">IFERROR(INDEX('Offer Statistics'!CZ$2:CZ$400,MATCH(1,($A29='Offer Statistics'!$CL$2:$CL$400)*($AC$2='Offer Statistics'!$CM$2:$CM$400),0)),"/")</f>
        <v>/</v>
      </c>
      <c r="AJ29" s="538"/>
      <c r="AK29" s="36" t="str" cm="1">
        <f t="array" ref="AK29">IFERROR(INDEX('Offer Statistics'!CS$2:CS$400,MATCH(1,($A29='Offer Statistics'!$CL$2:$CL$400)*($AC$2='Offer Statistics'!$CM$2:$CM$400),0)),"/")</f>
        <v>/</v>
      </c>
      <c r="AL29" s="63" t="str" cm="1">
        <f t="array" ref="AL29">IFERROR(INDEX('Offer Statistics'!CN$2:CN$400,MATCH(1,($A29='Offer Statistics'!$CL$2:$CL$400)*($AC$2='Offer Statistics'!$CM$2:$CM$400),0)),"/")</f>
        <v>/</v>
      </c>
      <c r="AM29" s="63" t="str" cm="1">
        <f t="array" ref="AM29">IFERROR(INDEX('Offer Statistics'!CO$2:CO$400,MATCH(1,($A29='Offer Statistics'!$CL$2:$CL$400)*($AC$2='Offer Statistics'!$CM$2:$CM$400),0)),"/")</f>
        <v>/</v>
      </c>
      <c r="AN29" s="63" t="str" cm="1">
        <f t="array" ref="AN29">IFERROR(INDEX('Offer Statistics'!CP$2:CP$400,MATCH(1,($A29='Offer Statistics'!$CL$2:$CL$400)*($AC$2='Offer Statistics'!$CM$2:$CM$400),0)),"/")</f>
        <v>/</v>
      </c>
      <c r="AO29" s="63" t="str" cm="1">
        <f t="array" ref="AO29">IFERROR(INDEX('Offer Statistics'!CQ$2:CQ$400,MATCH(1,($A29='Offer Statistics'!$CL$2:$CL$400)*($AC$2='Offer Statistics'!$CM$2:$CM$400),0)),"/")</f>
        <v>/</v>
      </c>
      <c r="AP29" s="63" t="str" cm="1">
        <f t="array" ref="AP29">IFERROR(INDEX('Offer Statistics'!CR$2:CR$400,MATCH(1,($A29='Offer Statistics'!$CL$2:$CL$400)*($AC$2='Offer Statistics'!$CM$2:$CM$400),0)),"/")</f>
        <v>/</v>
      </c>
      <c r="AR29" s="15" t="str">
        <f t="shared" ref="AR29:AR49" si="11">A29</f>
        <v>JS6377</v>
      </c>
    </row>
    <row r="30" spans="1:44" ht="18" customHeight="1">
      <c r="A30" s="4" t="str">
        <f>'Reference Score Calculation'!B281</f>
        <v>JS6925</v>
      </c>
      <c r="B30" s="4" t="str">
        <f>'Reference Score Calculation'!D281</f>
        <v>工程學院</v>
      </c>
      <c r="C30" s="4" t="str">
        <f>'Reference Score Calculation'!E281</f>
        <v>工學學士(生物醫學工程)</v>
      </c>
      <c r="D30" s="4" t="str">
        <f>'Reference Score Calculation'!S281</f>
        <v>BEng(BME)</v>
      </c>
      <c r="E30" s="352" t="str">
        <f>'Reference Score Calculation'!AC281</f>
        <v>Best 5</v>
      </c>
      <c r="F30" s="334" t="str">
        <f>'Reference Score Calculation'!F281</f>
        <v>Best 5</v>
      </c>
      <c r="G30" s="6">
        <f>'Reference Score Calculation'!H281</f>
        <v>32</v>
      </c>
      <c r="H30" s="6">
        <f>'Reference Score Calculation'!I281</f>
        <v>29</v>
      </c>
      <c r="I30" s="6">
        <f>'Reference Score Calculation'!J281</f>
        <v>28</v>
      </c>
      <c r="J30" s="45">
        <f>計分版!J304</f>
        <v>2.9000000000000003E-9</v>
      </c>
      <c r="K30" s="25">
        <f t="shared" si="8"/>
        <v>-28.999999997100002</v>
      </c>
      <c r="L30" s="26">
        <f t="shared" si="9"/>
        <v>-9999999999</v>
      </c>
      <c r="M30" s="36">
        <f>'Reference Score Calculation'!U281</f>
        <v>75</v>
      </c>
      <c r="N30" s="54">
        <f>入學要求!Z290</f>
        <v>0</v>
      </c>
      <c r="O30" s="544"/>
      <c r="P30" s="246">
        <f>入學要求!L290</f>
        <v>3</v>
      </c>
      <c r="Q30" s="246">
        <f>入學要求!M290</f>
        <v>3</v>
      </c>
      <c r="R30" s="246">
        <f>入學要求!N290</f>
        <v>3</v>
      </c>
      <c r="S30" s="246">
        <f>入學要求!O290</f>
        <v>1</v>
      </c>
      <c r="T30" s="246">
        <f>入學要求!P290</f>
        <v>3</v>
      </c>
      <c r="U30" s="246">
        <f>入學要求!Q290</f>
        <v>3</v>
      </c>
      <c r="V30" s="236">
        <f>入學要求!S290</f>
        <v>0</v>
      </c>
      <c r="W30" s="236">
        <f>入學要求!T290</f>
        <v>0</v>
      </c>
      <c r="X30" s="236">
        <f>入學要求!U290</f>
        <v>0</v>
      </c>
      <c r="Y30" s="236">
        <f>入學要求!V290</f>
        <v>0</v>
      </c>
      <c r="Z30" s="236">
        <f>入學要求!W290</f>
        <v>0</v>
      </c>
      <c r="AA30" s="236">
        <f>入學要求!X290</f>
        <v>0</v>
      </c>
      <c r="AB30" s="36">
        <f t="shared" si="10"/>
        <v>46.58</v>
      </c>
      <c r="AC30" s="537"/>
      <c r="AD30" s="36" cm="1">
        <f t="array" ref="AD30">IFERROR(INDEX('Offer Statistics'!DA$2:DA$400,MATCH(1,($A30='Offer Statistics'!$CL$2:$CL$400)*($AC$2='Offer Statistics'!$CM$2:$CM$400),0)),"/")</f>
        <v>24</v>
      </c>
      <c r="AE30" s="63" cm="1">
        <f t="array" ref="AE30">IFERROR(INDEX('Offer Statistics'!CV$2:CV$400,MATCH(1,($A30='Offer Statistics'!$CL$2:$CL$400)*($AC$2='Offer Statistics'!$CM$2:$CM$400),0)),"/")</f>
        <v>24</v>
      </c>
      <c r="AF30" s="63" cm="1">
        <f t="array" ref="AF30">IFERROR(INDEX('Offer Statistics'!CW$2:CW$400,MATCH(1,($A30='Offer Statistics'!$CL$2:$CL$400)*($AC$2='Offer Statistics'!$CM$2:$CM$400),0)),"/")</f>
        <v>0</v>
      </c>
      <c r="AG30" s="63" cm="1">
        <f t="array" ref="AG30">IFERROR(INDEX('Offer Statistics'!CX$2:CX$400,MATCH(1,($A30='Offer Statistics'!$CL$2:$CL$400)*($AC$2='Offer Statistics'!$CM$2:$CM$400),0)),"/")</f>
        <v>0</v>
      </c>
      <c r="AH30" s="63" cm="1">
        <f t="array" ref="AH30">IFERROR(INDEX('Offer Statistics'!CY$2:CY$400,MATCH(1,($A30='Offer Statistics'!$CL$2:$CL$400)*($AC$2='Offer Statistics'!$CM$2:$CM$400),0)),"/")</f>
        <v>0</v>
      </c>
      <c r="AI30" s="63" cm="1">
        <f t="array" ref="AI30">IFERROR(INDEX('Offer Statistics'!CZ$2:CZ$400,MATCH(1,($A30='Offer Statistics'!$CL$2:$CL$400)*($AC$2='Offer Statistics'!$CM$2:$CM$400),0)),"/")</f>
        <v>0</v>
      </c>
      <c r="AJ30" s="538"/>
      <c r="AK30" s="36" cm="1">
        <f t="array" ref="AK30">IFERROR(INDEX('Offer Statistics'!CS$2:CS$400,MATCH(1,($A30='Offer Statistics'!$CL$2:$CL$400)*($AC$2='Offer Statistics'!$CM$2:$CM$400),0)),"/")</f>
        <v>1118</v>
      </c>
      <c r="AL30" s="63" cm="1">
        <f t="array" ref="AL30">IFERROR(INDEX('Offer Statistics'!CN$2:CN$400,MATCH(1,($A30='Offer Statistics'!$CL$2:$CL$400)*($AC$2='Offer Statistics'!$CM$2:$CM$400),0)),"/")</f>
        <v>119</v>
      </c>
      <c r="AM30" s="63" cm="1">
        <f t="array" ref="AM30">IFERROR(INDEX('Offer Statistics'!CO$2:CO$400,MATCH(1,($A30='Offer Statistics'!$CL$2:$CL$400)*($AC$2='Offer Statistics'!$CM$2:$CM$400),0)),"/")</f>
        <v>99</v>
      </c>
      <c r="AN30" s="63" cm="1">
        <f t="array" ref="AN30">IFERROR(INDEX('Offer Statistics'!CP$2:CP$400,MATCH(1,($A30='Offer Statistics'!$CL$2:$CL$400)*($AC$2='Offer Statistics'!$CM$2:$CM$400),0)),"/")</f>
        <v>225</v>
      </c>
      <c r="AO30" s="63" cm="1">
        <f t="array" ref="AO30">IFERROR(INDEX('Offer Statistics'!CQ$2:CQ$400,MATCH(1,($A30='Offer Statistics'!$CL$2:$CL$400)*($AC$2='Offer Statistics'!$CM$2:$CM$400),0)),"/")</f>
        <v>358</v>
      </c>
      <c r="AP30" s="63" cm="1">
        <f t="array" ref="AP30">IFERROR(INDEX('Offer Statistics'!CR$2:CR$400,MATCH(1,($A30='Offer Statistics'!$CL$2:$CL$400)*($AC$2='Offer Statistics'!$CM$2:$CM$400),0)),"/")</f>
        <v>317</v>
      </c>
      <c r="AR30" s="15" t="str">
        <f t="shared" si="11"/>
        <v>JS6925</v>
      </c>
    </row>
    <row r="31" spans="1:44" ht="18" customHeight="1">
      <c r="A31" s="4" t="str">
        <f>'Reference Score Calculation'!B282</f>
        <v>JS6937</v>
      </c>
      <c r="B31" s="4" t="str">
        <f>'Reference Score Calculation'!D282</f>
        <v>工程學院</v>
      </c>
      <c r="C31" s="4" t="str">
        <f>'Reference Score Calculation'!E282</f>
        <v>環球工程與商業課程</v>
      </c>
      <c r="D31" s="4" t="str">
        <f>'Reference Score Calculation'!S282</f>
        <v>GEBP</v>
      </c>
      <c r="E31" s="352" t="str">
        <f>'Reference Score Calculation'!AC282</f>
        <v>Best 5</v>
      </c>
      <c r="F31" s="334" t="str">
        <f>'Reference Score Calculation'!F282</f>
        <v>Best 5</v>
      </c>
      <c r="G31" s="6">
        <f>'Reference Score Calculation'!H282</f>
        <v>34</v>
      </c>
      <c r="H31" s="6">
        <f>'Reference Score Calculation'!I282</f>
        <v>32</v>
      </c>
      <c r="I31" s="6">
        <f>'Reference Score Calculation'!J282</f>
        <v>31</v>
      </c>
      <c r="J31" s="45">
        <f>計分版!J305</f>
        <v>2.9000000000000003E-9</v>
      </c>
      <c r="K31" s="25">
        <f t="shared" si="8"/>
        <v>-31.999999997100002</v>
      </c>
      <c r="L31" s="26">
        <f t="shared" si="9"/>
        <v>-11034482757.620689</v>
      </c>
      <c r="M31" s="36" t="str">
        <f>'Reference Score Calculation'!U282</f>
        <v>327*</v>
      </c>
      <c r="N31" s="54">
        <f>入學要求!Z291</f>
        <v>0</v>
      </c>
      <c r="O31" s="544"/>
      <c r="P31" s="246">
        <f>入學要求!L291</f>
        <v>3</v>
      </c>
      <c r="Q31" s="246">
        <f>入學要求!M291</f>
        <v>4</v>
      </c>
      <c r="R31" s="246">
        <f>入學要求!N291</f>
        <v>4</v>
      </c>
      <c r="S31" s="246">
        <f>入學要求!O291</f>
        <v>1</v>
      </c>
      <c r="T31" s="246">
        <f>入學要求!P291</f>
        <v>3</v>
      </c>
      <c r="U31" s="246">
        <f>入學要求!Q291</f>
        <v>3</v>
      </c>
      <c r="V31" s="236">
        <f>入學要求!S291</f>
        <v>0</v>
      </c>
      <c r="W31" s="236">
        <f>入學要求!T291</f>
        <v>0</v>
      </c>
      <c r="X31" s="236">
        <f>入學要求!U291</f>
        <v>0</v>
      </c>
      <c r="Y31" s="236">
        <f>入學要求!V291</f>
        <v>0</v>
      </c>
      <c r="Z31" s="236">
        <f>入學要求!W291</f>
        <v>0</v>
      </c>
      <c r="AA31" s="236">
        <f>入學要求!X291</f>
        <v>0</v>
      </c>
      <c r="AB31" s="36">
        <f t="shared" si="10"/>
        <v>16.54</v>
      </c>
      <c r="AC31" s="537"/>
      <c r="AD31" s="36" cm="1">
        <f t="array" ref="AD31">IFERROR(INDEX('Offer Statistics'!DA$2:DA$400,MATCH(1,($A31='Offer Statistics'!$CL$2:$CL$400)*($AC$2='Offer Statistics'!$CM$2:$CM$400),0)),"/")</f>
        <v>26</v>
      </c>
      <c r="AE31" s="63" cm="1">
        <f t="array" ref="AE31">IFERROR(INDEX('Offer Statistics'!CV$2:CV$400,MATCH(1,($A31='Offer Statistics'!$CL$2:$CL$400)*($AC$2='Offer Statistics'!$CM$2:$CM$400),0)),"/")</f>
        <v>26</v>
      </c>
      <c r="AF31" s="63" cm="1">
        <f t="array" ref="AF31">IFERROR(INDEX('Offer Statistics'!CW$2:CW$400,MATCH(1,($A31='Offer Statistics'!$CL$2:$CL$400)*($AC$2='Offer Statistics'!$CM$2:$CM$400),0)),"/")</f>
        <v>0</v>
      </c>
      <c r="AG31" s="63" cm="1">
        <f t="array" ref="AG31">IFERROR(INDEX('Offer Statistics'!CX$2:CX$400,MATCH(1,($A31='Offer Statistics'!$CL$2:$CL$400)*($AC$2='Offer Statistics'!$CM$2:$CM$400),0)),"/")</f>
        <v>0</v>
      </c>
      <c r="AH31" s="63" cm="1">
        <f t="array" ref="AH31">IFERROR(INDEX('Offer Statistics'!CY$2:CY$400,MATCH(1,($A31='Offer Statistics'!$CL$2:$CL$400)*($AC$2='Offer Statistics'!$CM$2:$CM$400),0)),"/")</f>
        <v>0</v>
      </c>
      <c r="AI31" s="63" cm="1">
        <f t="array" ref="AI31">IFERROR(INDEX('Offer Statistics'!CZ$2:CZ$400,MATCH(1,($A31='Offer Statistics'!$CL$2:$CL$400)*($AC$2='Offer Statistics'!$CM$2:$CM$400),0)),"/")</f>
        <v>0</v>
      </c>
      <c r="AJ31" s="538"/>
      <c r="AK31" s="36" cm="1">
        <f t="array" ref="AK31">IFERROR(INDEX('Offer Statistics'!CS$2:CS$400,MATCH(1,($A31='Offer Statistics'!$CL$2:$CL$400)*($AC$2='Offer Statistics'!$CM$2:$CM$400),0)),"/")</f>
        <v>430</v>
      </c>
      <c r="AL31" s="63" cm="1">
        <f t="array" ref="AL31">IFERROR(INDEX('Offer Statistics'!CN$2:CN$400,MATCH(1,($A31='Offer Statistics'!$CL$2:$CL$400)*($AC$2='Offer Statistics'!$CM$2:$CM$400),0)),"/")</f>
        <v>96</v>
      </c>
      <c r="AM31" s="63" cm="1">
        <f t="array" ref="AM31">IFERROR(INDEX('Offer Statistics'!CO$2:CO$400,MATCH(1,($A31='Offer Statistics'!$CL$2:$CL$400)*($AC$2='Offer Statistics'!$CM$2:$CM$400),0)),"/")</f>
        <v>40</v>
      </c>
      <c r="AN31" s="63" cm="1">
        <f t="array" ref="AN31">IFERROR(INDEX('Offer Statistics'!CP$2:CP$400,MATCH(1,($A31='Offer Statistics'!$CL$2:$CL$400)*($AC$2='Offer Statistics'!$CM$2:$CM$400),0)),"/")</f>
        <v>79</v>
      </c>
      <c r="AO31" s="63" cm="1">
        <f t="array" ref="AO31">IFERROR(INDEX('Offer Statistics'!CQ$2:CQ$400,MATCH(1,($A31='Offer Statistics'!$CL$2:$CL$400)*($AC$2='Offer Statistics'!$CM$2:$CM$400),0)),"/")</f>
        <v>106</v>
      </c>
      <c r="AP31" s="63" cm="1">
        <f t="array" ref="AP31">IFERROR(INDEX('Offer Statistics'!CR$2:CR$400,MATCH(1,($A31='Offer Statistics'!$CL$2:$CL$400)*($AC$2='Offer Statistics'!$CM$2:$CM$400),0)),"/")</f>
        <v>109</v>
      </c>
      <c r="AR31" s="15" t="str">
        <f t="shared" si="11"/>
        <v>JS6937</v>
      </c>
    </row>
    <row r="32" spans="1:44" ht="18" customHeight="1">
      <c r="A32" s="4" t="str">
        <f>'Reference Score Calculation'!B283</f>
        <v>JS6987</v>
      </c>
      <c r="B32" s="4" t="str">
        <f>'Reference Score Calculation'!D283</f>
        <v>工程學院</v>
      </c>
      <c r="C32" s="4" t="str">
        <f>'Reference Score Calculation'!E283</f>
        <v>工學學士(計算機工程/電機工程/電子工程)</v>
      </c>
      <c r="D32" s="4" t="str">
        <f>'Reference Score Calculation'!S283</f>
        <v>BEng(CE/EE/ElecE)</v>
      </c>
      <c r="E32" s="352" t="str">
        <f>'Reference Score Calculation'!AC283</f>
        <v>Best 5</v>
      </c>
      <c r="F32" s="443" t="str">
        <f>'Reference Score Calculation'!F283</f>
        <v>25年新科目</v>
      </c>
      <c r="G32" s="6" t="str">
        <f>'Reference Score Calculation'!H283</f>
        <v>/</v>
      </c>
      <c r="H32" s="6" t="str">
        <f>'Reference Score Calculation'!I283</f>
        <v>/</v>
      </c>
      <c r="I32" s="6" t="str">
        <f>'Reference Score Calculation'!J283</f>
        <v>/</v>
      </c>
      <c r="J32" s="45">
        <f>計分版!J306</f>
        <v>2.9000000000000003E-9</v>
      </c>
      <c r="K32" s="7" t="str">
        <f t="shared" si="8"/>
        <v>/</v>
      </c>
      <c r="L32" s="8" t="str">
        <f t="shared" si="9"/>
        <v>/</v>
      </c>
      <c r="M32" s="36" t="str">
        <f>'Reference Score Calculation'!U283</f>
        <v>327*</v>
      </c>
      <c r="N32" s="54">
        <f>入學要求!Z292</f>
        <v>0</v>
      </c>
      <c r="O32" s="544"/>
      <c r="P32" s="246">
        <f>入學要求!L292</f>
        <v>3</v>
      </c>
      <c r="Q32" s="246">
        <f>入學要求!M292</f>
        <v>3</v>
      </c>
      <c r="R32" s="246">
        <f>入學要求!N292</f>
        <v>3</v>
      </c>
      <c r="S32" s="246">
        <f>入學要求!O292</f>
        <v>1</v>
      </c>
      <c r="T32" s="246">
        <f>入學要求!P292</f>
        <v>3</v>
      </c>
      <c r="U32" s="246">
        <f>入學要求!Q292</f>
        <v>3</v>
      </c>
      <c r="V32" s="236">
        <f>入學要求!S292</f>
        <v>0</v>
      </c>
      <c r="W32" s="236">
        <f>入學要求!T292</f>
        <v>0</v>
      </c>
      <c r="X32" s="236">
        <f>入學要求!U292</f>
        <v>0</v>
      </c>
      <c r="Y32" s="236">
        <f>入學要求!V292</f>
        <v>0</v>
      </c>
      <c r="Z32" s="236">
        <f>入學要求!W292</f>
        <v>0</v>
      </c>
      <c r="AA32" s="236">
        <f>入學要求!X292</f>
        <v>0</v>
      </c>
      <c r="AB32" s="36" t="str">
        <f t="shared" si="10"/>
        <v>/</v>
      </c>
      <c r="AC32" s="537"/>
      <c r="AD32" s="36" t="str" cm="1">
        <f t="array" ref="AD32">IFERROR(INDEX('Offer Statistics'!DA$2:DA$400,MATCH(1,($A32='Offer Statistics'!$CL$2:$CL$400)*($AC$2='Offer Statistics'!$CM$2:$CM$400),0)),"/")</f>
        <v>/</v>
      </c>
      <c r="AE32" s="63" t="str" cm="1">
        <f t="array" ref="AE32">IFERROR(INDEX('Offer Statistics'!CV$2:CV$400,MATCH(1,($A32='Offer Statistics'!$CL$2:$CL$400)*($AC$2='Offer Statistics'!$CM$2:$CM$400),0)),"/")</f>
        <v>/</v>
      </c>
      <c r="AF32" s="63" t="str" cm="1">
        <f t="array" ref="AF32">IFERROR(INDEX('Offer Statistics'!CW$2:CW$400,MATCH(1,($A32='Offer Statistics'!$CL$2:$CL$400)*($AC$2='Offer Statistics'!$CM$2:$CM$400),0)),"/")</f>
        <v>/</v>
      </c>
      <c r="AG32" s="63" t="str" cm="1">
        <f t="array" ref="AG32">IFERROR(INDEX('Offer Statistics'!CX$2:CX$400,MATCH(1,($A32='Offer Statistics'!$CL$2:$CL$400)*($AC$2='Offer Statistics'!$CM$2:$CM$400),0)),"/")</f>
        <v>/</v>
      </c>
      <c r="AH32" s="63" t="str" cm="1">
        <f t="array" ref="AH32">IFERROR(INDEX('Offer Statistics'!CY$2:CY$400,MATCH(1,($A32='Offer Statistics'!$CL$2:$CL$400)*($AC$2='Offer Statistics'!$CM$2:$CM$400),0)),"/")</f>
        <v>/</v>
      </c>
      <c r="AI32" s="63" t="str" cm="1">
        <f t="array" ref="AI32">IFERROR(INDEX('Offer Statistics'!CZ$2:CZ$400,MATCH(1,($A32='Offer Statistics'!$CL$2:$CL$400)*($AC$2='Offer Statistics'!$CM$2:$CM$400),0)),"/")</f>
        <v>/</v>
      </c>
      <c r="AJ32" s="538"/>
      <c r="AK32" s="36" t="str" cm="1">
        <f t="array" ref="AK32">IFERROR(INDEX('Offer Statistics'!CS$2:CS$400,MATCH(1,($A32='Offer Statistics'!$CL$2:$CL$400)*($AC$2='Offer Statistics'!$CM$2:$CM$400),0)),"/")</f>
        <v>/</v>
      </c>
      <c r="AL32" s="63" t="str" cm="1">
        <f t="array" ref="AL32">IFERROR(INDEX('Offer Statistics'!CN$2:CN$400,MATCH(1,($A32='Offer Statistics'!$CL$2:$CL$400)*($AC$2='Offer Statistics'!$CM$2:$CM$400),0)),"/")</f>
        <v>/</v>
      </c>
      <c r="AM32" s="63" t="str" cm="1">
        <f t="array" ref="AM32">IFERROR(INDEX('Offer Statistics'!CO$2:CO$400,MATCH(1,($A32='Offer Statistics'!$CL$2:$CL$400)*($AC$2='Offer Statistics'!$CM$2:$CM$400),0)),"/")</f>
        <v>/</v>
      </c>
      <c r="AN32" s="63" t="str" cm="1">
        <f t="array" ref="AN32">IFERROR(INDEX('Offer Statistics'!CP$2:CP$400,MATCH(1,($A32='Offer Statistics'!$CL$2:$CL$400)*($AC$2='Offer Statistics'!$CM$2:$CM$400),0)),"/")</f>
        <v>/</v>
      </c>
      <c r="AO32" s="63" t="str" cm="1">
        <f t="array" ref="AO32">IFERROR(INDEX('Offer Statistics'!CQ$2:CQ$400,MATCH(1,($A32='Offer Statistics'!$CL$2:$CL$400)*($AC$2='Offer Statistics'!$CM$2:$CM$400),0)),"/")</f>
        <v>/</v>
      </c>
      <c r="AP32" s="63" t="str" cm="1">
        <f t="array" ref="AP32">IFERROR(INDEX('Offer Statistics'!CR$2:CR$400,MATCH(1,($A32='Offer Statistics'!$CL$2:$CL$400)*($AC$2='Offer Statistics'!$CM$2:$CM$400),0)),"/")</f>
        <v>/</v>
      </c>
      <c r="AR32" s="15" t="str">
        <f t="shared" si="11"/>
        <v>JS6987</v>
      </c>
    </row>
    <row r="33" spans="1:44" ht="18" customHeight="1">
      <c r="A33" s="4" t="str">
        <f>'Reference Score Calculation'!B284</f>
        <v>JS6078</v>
      </c>
      <c r="B33" s="4" t="str">
        <f>'Reference Score Calculation'!D284</f>
        <v>法律學院</v>
      </c>
      <c r="C33" s="4" t="str">
        <f>'Reference Score Calculation'!E284</f>
        <v>文學士及法學士</v>
      </c>
      <c r="D33" s="4" t="str">
        <f>'Reference Score Calculation'!S284</f>
        <v>BA&amp;LLB</v>
      </c>
      <c r="E33" s="352" t="str">
        <f>'Reference Score Calculation'!AC284</f>
        <v>Best 6</v>
      </c>
      <c r="F33" s="334" t="str">
        <f>'Reference Score Calculation'!F284</f>
        <v>Best 6</v>
      </c>
      <c r="G33" s="6">
        <f>'Reference Score Calculation'!H284</f>
        <v>41</v>
      </c>
      <c r="H33" s="6">
        <f>'Reference Score Calculation'!I284</f>
        <v>38</v>
      </c>
      <c r="I33" s="6">
        <f>'Reference Score Calculation'!J284</f>
        <v>38</v>
      </c>
      <c r="J33" s="45">
        <f>計分版!J307</f>
        <v>3.7E-9</v>
      </c>
      <c r="K33" s="25">
        <f t="shared" si="8"/>
        <v>-37.999999996299998</v>
      </c>
      <c r="L33" s="26">
        <f t="shared" si="9"/>
        <v>-10270270269.270269</v>
      </c>
      <c r="M33" s="36">
        <f>'Reference Score Calculation'!U284</f>
        <v>20</v>
      </c>
      <c r="N33" s="54">
        <f>入學要求!Z293</f>
        <v>0</v>
      </c>
      <c r="O33" s="544"/>
      <c r="P33" s="246">
        <f>入學要求!L293</f>
        <v>4</v>
      </c>
      <c r="Q33" s="246">
        <f>入學要求!M293</f>
        <v>5</v>
      </c>
      <c r="R33" s="246">
        <f>入學要求!N293</f>
        <v>3</v>
      </c>
      <c r="S33" s="246">
        <f>入學要求!O293</f>
        <v>1</v>
      </c>
      <c r="T33" s="246">
        <f>入學要求!P293</f>
        <v>3</v>
      </c>
      <c r="U33" s="246">
        <f>入學要求!Q293</f>
        <v>3</v>
      </c>
      <c r="V33" s="236">
        <f>入學要求!S293</f>
        <v>0</v>
      </c>
      <c r="W33" s="236">
        <f>入學要求!T293</f>
        <v>0</v>
      </c>
      <c r="X33" s="236">
        <f>入學要求!U293</f>
        <v>0</v>
      </c>
      <c r="Y33" s="236">
        <f>入學要求!V293</f>
        <v>0</v>
      </c>
      <c r="Z33" s="236">
        <f>入學要求!W293</f>
        <v>0</v>
      </c>
      <c r="AA33" s="236">
        <f>入學要求!X293</f>
        <v>0</v>
      </c>
      <c r="AB33" s="36">
        <f t="shared" si="10"/>
        <v>15.48</v>
      </c>
      <c r="AC33" s="537"/>
      <c r="AD33" s="36" cm="1">
        <f t="array" ref="AD33">IFERROR(INDEX('Offer Statistics'!DA$2:DA$400,MATCH(1,($A33='Offer Statistics'!$CL$2:$CL$400)*($AC$2='Offer Statistics'!$CM$2:$CM$400),0)),"/")</f>
        <v>21</v>
      </c>
      <c r="AE33" s="63" cm="1">
        <f t="array" ref="AE33">IFERROR(INDEX('Offer Statistics'!CV$2:CV$400,MATCH(1,($A33='Offer Statistics'!$CL$2:$CL$400)*($AC$2='Offer Statistics'!$CM$2:$CM$400),0)),"/")</f>
        <v>21</v>
      </c>
      <c r="AF33" s="63" cm="1">
        <f t="array" ref="AF33">IFERROR(INDEX('Offer Statistics'!CW$2:CW$400,MATCH(1,($A33='Offer Statistics'!$CL$2:$CL$400)*($AC$2='Offer Statistics'!$CM$2:$CM$400),0)),"/")</f>
        <v>0</v>
      </c>
      <c r="AG33" s="63" cm="1">
        <f t="array" ref="AG33">IFERROR(INDEX('Offer Statistics'!CX$2:CX$400,MATCH(1,($A33='Offer Statistics'!$CL$2:$CL$400)*($AC$2='Offer Statistics'!$CM$2:$CM$400),0)),"/")</f>
        <v>0</v>
      </c>
      <c r="AH33" s="63" cm="1">
        <f t="array" ref="AH33">IFERROR(INDEX('Offer Statistics'!CY$2:CY$400,MATCH(1,($A33='Offer Statistics'!$CL$2:$CL$400)*($AC$2='Offer Statistics'!$CM$2:$CM$400),0)),"/")</f>
        <v>0</v>
      </c>
      <c r="AI33" s="63" cm="1">
        <f t="array" ref="AI33">IFERROR(INDEX('Offer Statistics'!CZ$2:CZ$400,MATCH(1,($A33='Offer Statistics'!$CL$2:$CL$400)*($AC$2='Offer Statistics'!$CM$2:$CM$400),0)),"/")</f>
        <v>0</v>
      </c>
      <c r="AJ33" s="538"/>
      <c r="AK33" s="36" cm="1">
        <f t="array" ref="AK33">IFERROR(INDEX('Offer Statistics'!CS$2:CS$400,MATCH(1,($A33='Offer Statistics'!$CL$2:$CL$400)*($AC$2='Offer Statistics'!$CM$2:$CM$400),0)),"/")</f>
        <v>325</v>
      </c>
      <c r="AL33" s="63" cm="1">
        <f t="array" ref="AL33">IFERROR(INDEX('Offer Statistics'!CN$2:CN$400,MATCH(1,($A33='Offer Statistics'!$CL$2:$CL$400)*($AC$2='Offer Statistics'!$CM$2:$CM$400),0)),"/")</f>
        <v>42</v>
      </c>
      <c r="AM33" s="63" cm="1">
        <f t="array" ref="AM33">IFERROR(INDEX('Offer Statistics'!CO$2:CO$400,MATCH(1,($A33='Offer Statistics'!$CL$2:$CL$400)*($AC$2='Offer Statistics'!$CM$2:$CM$400),0)),"/")</f>
        <v>32</v>
      </c>
      <c r="AN33" s="63" cm="1">
        <f t="array" ref="AN33">IFERROR(INDEX('Offer Statistics'!CP$2:CP$400,MATCH(1,($A33='Offer Statistics'!$CL$2:$CL$400)*($AC$2='Offer Statistics'!$CM$2:$CM$400),0)),"/")</f>
        <v>65</v>
      </c>
      <c r="AO33" s="63" cm="1">
        <f t="array" ref="AO33">IFERROR(INDEX('Offer Statistics'!CQ$2:CQ$400,MATCH(1,($A33='Offer Statistics'!$CL$2:$CL$400)*($AC$2='Offer Statistics'!$CM$2:$CM$400),0)),"/")</f>
        <v>84</v>
      </c>
      <c r="AP33" s="63" cm="1">
        <f t="array" ref="AP33">IFERROR(INDEX('Offer Statistics'!CR$2:CR$400,MATCH(1,($A33='Offer Statistics'!$CL$2:$CL$400)*($AC$2='Offer Statistics'!$CM$2:$CM$400),0)),"/")</f>
        <v>102</v>
      </c>
      <c r="AR33" s="15" t="str">
        <f t="shared" si="11"/>
        <v>JS6078</v>
      </c>
    </row>
    <row r="34" spans="1:44" ht="18" customHeight="1">
      <c r="A34" s="4" t="str">
        <f>'Reference Score Calculation'!B285</f>
        <v>JS6406</v>
      </c>
      <c r="B34" s="4" t="str">
        <f>'Reference Score Calculation'!D285</f>
        <v>法律學院</v>
      </c>
      <c r="C34" s="4" t="str">
        <f>'Reference Score Calculation'!E285</f>
        <v>法學士</v>
      </c>
      <c r="D34" s="4" t="str">
        <f>'Reference Score Calculation'!S285</f>
        <v>LLB</v>
      </c>
      <c r="E34" s="352" t="str">
        <f>'Reference Score Calculation'!AC285</f>
        <v>Best 6</v>
      </c>
      <c r="F34" s="334" t="str">
        <f>'Reference Score Calculation'!F285</f>
        <v>Best 6</v>
      </c>
      <c r="G34" s="6">
        <f>'Reference Score Calculation'!H285</f>
        <v>36</v>
      </c>
      <c r="H34" s="6">
        <f>'Reference Score Calculation'!I285</f>
        <v>35</v>
      </c>
      <c r="I34" s="6">
        <f>'Reference Score Calculation'!J285</f>
        <v>33</v>
      </c>
      <c r="J34" s="45">
        <f>計分版!J308</f>
        <v>3.7E-9</v>
      </c>
      <c r="K34" s="25">
        <f t="shared" si="8"/>
        <v>-34.999999996299998</v>
      </c>
      <c r="L34" s="26">
        <f t="shared" si="9"/>
        <v>-9459459458.4594593</v>
      </c>
      <c r="M34" s="36">
        <f>'Reference Score Calculation'!U285</f>
        <v>92</v>
      </c>
      <c r="N34" s="54">
        <f>入學要求!Z294</f>
        <v>0</v>
      </c>
      <c r="O34" s="544"/>
      <c r="P34" s="246">
        <f>入學要求!L294</f>
        <v>4</v>
      </c>
      <c r="Q34" s="246">
        <f>入學要求!M294</f>
        <v>5</v>
      </c>
      <c r="R34" s="246">
        <f>入學要求!N294</f>
        <v>3</v>
      </c>
      <c r="S34" s="246">
        <f>入學要求!O294</f>
        <v>1</v>
      </c>
      <c r="T34" s="246">
        <f>入學要求!P294</f>
        <v>3</v>
      </c>
      <c r="U34" s="246">
        <f>入學要求!Q294</f>
        <v>3</v>
      </c>
      <c r="V34" s="236">
        <f>入學要求!S294</f>
        <v>0</v>
      </c>
      <c r="W34" s="236">
        <f>入學要求!T294</f>
        <v>0</v>
      </c>
      <c r="X34" s="236">
        <f>入學要求!U294</f>
        <v>0</v>
      </c>
      <c r="Y34" s="236">
        <f>入學要求!V294</f>
        <v>0</v>
      </c>
      <c r="Z34" s="236">
        <f>入學要求!W294</f>
        <v>0</v>
      </c>
      <c r="AA34" s="236">
        <f>入學要求!X294</f>
        <v>0</v>
      </c>
      <c r="AB34" s="36">
        <f t="shared" si="10"/>
        <v>16.309999999999999</v>
      </c>
      <c r="AC34" s="537"/>
      <c r="AD34" s="36" cm="1">
        <f t="array" ref="AD34">IFERROR(INDEX('Offer Statistics'!DA$2:DA$400,MATCH(1,($A34='Offer Statistics'!$CL$2:$CL$400)*($AC$2='Offer Statistics'!$CM$2:$CM$400),0)),"/")</f>
        <v>62</v>
      </c>
      <c r="AE34" s="63" cm="1">
        <f t="array" ref="AE34">IFERROR(INDEX('Offer Statistics'!CV$2:CV$400,MATCH(1,($A34='Offer Statistics'!$CL$2:$CL$400)*($AC$2='Offer Statistics'!$CM$2:$CM$400),0)),"/")</f>
        <v>61</v>
      </c>
      <c r="AF34" s="63" cm="1">
        <f t="array" ref="AF34">IFERROR(INDEX('Offer Statistics'!CW$2:CW$400,MATCH(1,($A34='Offer Statistics'!$CL$2:$CL$400)*($AC$2='Offer Statistics'!$CM$2:$CM$400),0)),"/")</f>
        <v>1</v>
      </c>
      <c r="AG34" s="63" cm="1">
        <f t="array" ref="AG34">IFERROR(INDEX('Offer Statistics'!CX$2:CX$400,MATCH(1,($A34='Offer Statistics'!$CL$2:$CL$400)*($AC$2='Offer Statistics'!$CM$2:$CM$400),0)),"/")</f>
        <v>0</v>
      </c>
      <c r="AH34" s="63" cm="1">
        <f t="array" ref="AH34">IFERROR(INDEX('Offer Statistics'!CY$2:CY$400,MATCH(1,($A34='Offer Statistics'!$CL$2:$CL$400)*($AC$2='Offer Statistics'!$CM$2:$CM$400),0)),"/")</f>
        <v>0</v>
      </c>
      <c r="AI34" s="63" cm="1">
        <f t="array" ref="AI34">IFERROR(INDEX('Offer Statistics'!CZ$2:CZ$400,MATCH(1,($A34='Offer Statistics'!$CL$2:$CL$400)*($AC$2='Offer Statistics'!$CM$2:$CM$400),0)),"/")</f>
        <v>0</v>
      </c>
      <c r="AJ34" s="538"/>
      <c r="AK34" s="36" cm="1">
        <f t="array" ref="AK34">IFERROR(INDEX('Offer Statistics'!CS$2:CS$400,MATCH(1,($A34='Offer Statistics'!$CL$2:$CL$400)*($AC$2='Offer Statistics'!$CM$2:$CM$400),0)),"/")</f>
        <v>1011</v>
      </c>
      <c r="AL34" s="63" cm="1">
        <f t="array" ref="AL34">IFERROR(INDEX('Offer Statistics'!CN$2:CN$400,MATCH(1,($A34='Offer Statistics'!$CL$2:$CL$400)*($AC$2='Offer Statistics'!$CM$2:$CM$400),0)),"/")</f>
        <v>237</v>
      </c>
      <c r="AM34" s="63" cm="1">
        <f t="array" ref="AM34">IFERROR(INDEX('Offer Statistics'!CO$2:CO$400,MATCH(1,($A34='Offer Statistics'!$CL$2:$CL$400)*($AC$2='Offer Statistics'!$CM$2:$CM$400),0)),"/")</f>
        <v>93</v>
      </c>
      <c r="AN34" s="63" cm="1">
        <f t="array" ref="AN34">IFERROR(INDEX('Offer Statistics'!CP$2:CP$400,MATCH(1,($A34='Offer Statistics'!$CL$2:$CL$400)*($AC$2='Offer Statistics'!$CM$2:$CM$400),0)),"/")</f>
        <v>149</v>
      </c>
      <c r="AO34" s="63" cm="1">
        <f t="array" ref="AO34">IFERROR(INDEX('Offer Statistics'!CQ$2:CQ$400,MATCH(1,($A34='Offer Statistics'!$CL$2:$CL$400)*($AC$2='Offer Statistics'!$CM$2:$CM$400),0)),"/")</f>
        <v>244</v>
      </c>
      <c r="AP34" s="63" cm="1">
        <f t="array" ref="AP34">IFERROR(INDEX('Offer Statistics'!CR$2:CR$400,MATCH(1,($A34='Offer Statistics'!$CL$2:$CL$400)*($AC$2='Offer Statistics'!$CM$2:$CM$400),0)),"/")</f>
        <v>288</v>
      </c>
      <c r="AR34" s="15" t="str">
        <f t="shared" si="11"/>
        <v>JS6406</v>
      </c>
    </row>
    <row r="35" spans="1:44" ht="18" customHeight="1">
      <c r="A35" s="4" t="str">
        <f>'Reference Score Calculation'!B286</f>
        <v>JS6418</v>
      </c>
      <c r="B35" s="4" t="str">
        <f>'Reference Score Calculation'!D286</f>
        <v>醫學院</v>
      </c>
      <c r="C35" s="4" t="str">
        <f>'Reference Score Calculation'!E286</f>
        <v>護理學學士菁英領袖培育專修組別</v>
      </c>
      <c r="D35" s="4" t="str">
        <f>'Reference Score Calculation'!S286</f>
        <v>BNurs-ALT</v>
      </c>
      <c r="E35" s="352" t="str">
        <f>'Reference Score Calculation'!AC286</f>
        <v>Best 5</v>
      </c>
      <c r="F35" s="334" t="str">
        <f>'Reference Score Calculation'!F286</f>
        <v>Best 5</v>
      </c>
      <c r="G35" s="6">
        <f>'Reference Score Calculation'!H286</f>
        <v>36</v>
      </c>
      <c r="H35" s="6">
        <f>'Reference Score Calculation'!I286</f>
        <v>35</v>
      </c>
      <c r="I35" s="6">
        <f>'Reference Score Calculation'!J286</f>
        <v>34</v>
      </c>
      <c r="J35" s="45">
        <f>計分版!J309</f>
        <v>3.65E-9</v>
      </c>
      <c r="K35" s="25">
        <f t="shared" si="8"/>
        <v>-34.999999996349999</v>
      </c>
      <c r="L35" s="26">
        <f t="shared" si="9"/>
        <v>-9589041094.8904114</v>
      </c>
      <c r="M35" s="36" t="str">
        <f>'Reference Score Calculation'!U286</f>
        <v>210*</v>
      </c>
      <c r="N35" s="54">
        <f>入學要求!Z295</f>
        <v>0</v>
      </c>
      <c r="O35" s="544"/>
      <c r="P35" s="246">
        <f>入學要求!L295</f>
        <v>3</v>
      </c>
      <c r="Q35" s="246">
        <f>入學要求!M295</f>
        <v>3</v>
      </c>
      <c r="R35" s="246">
        <f>入學要求!N295</f>
        <v>2</v>
      </c>
      <c r="S35" s="246">
        <f>入學要求!O295</f>
        <v>1</v>
      </c>
      <c r="T35" s="246">
        <f>入學要求!P295</f>
        <v>3</v>
      </c>
      <c r="U35" s="246">
        <f>入學要求!Q295</f>
        <v>3</v>
      </c>
      <c r="V35" s="236">
        <f>入學要求!S295</f>
        <v>0</v>
      </c>
      <c r="W35" s="236">
        <f>入學要求!T295</f>
        <v>0</v>
      </c>
      <c r="X35" s="236">
        <f>入學要求!U295</f>
        <v>0</v>
      </c>
      <c r="Y35" s="236">
        <f>入學要求!V295</f>
        <v>0</v>
      </c>
      <c r="Z35" s="236">
        <f>入學要求!W295</f>
        <v>0</v>
      </c>
      <c r="AA35" s="236">
        <f>入學要求!X295</f>
        <v>0</v>
      </c>
      <c r="AB35" s="36">
        <f t="shared" si="10"/>
        <v>197.5</v>
      </c>
      <c r="AC35" s="537"/>
      <c r="AD35" s="36" cm="1">
        <f t="array" ref="AD35">IFERROR(INDEX('Offer Statistics'!DA$2:DA$400,MATCH(1,($A35='Offer Statistics'!$CL$2:$CL$400)*($AC$2='Offer Statistics'!$CM$2:$CM$400),0)),"/")</f>
        <v>4</v>
      </c>
      <c r="AE35" s="63" cm="1">
        <f t="array" ref="AE35">IFERROR(INDEX('Offer Statistics'!CV$2:CV$400,MATCH(1,($A35='Offer Statistics'!$CL$2:$CL$400)*($AC$2='Offer Statistics'!$CM$2:$CM$400),0)),"/")</f>
        <v>4</v>
      </c>
      <c r="AF35" s="63" cm="1">
        <f t="array" ref="AF35">IFERROR(INDEX('Offer Statistics'!CW$2:CW$400,MATCH(1,($A35='Offer Statistics'!$CL$2:$CL$400)*($AC$2='Offer Statistics'!$CM$2:$CM$400),0)),"/")</f>
        <v>0</v>
      </c>
      <c r="AG35" s="63" cm="1">
        <f t="array" ref="AG35">IFERROR(INDEX('Offer Statistics'!CX$2:CX$400,MATCH(1,($A35='Offer Statistics'!$CL$2:$CL$400)*($AC$2='Offer Statistics'!$CM$2:$CM$400),0)),"/")</f>
        <v>0</v>
      </c>
      <c r="AH35" s="63" cm="1">
        <f t="array" ref="AH35">IFERROR(INDEX('Offer Statistics'!CY$2:CY$400,MATCH(1,($A35='Offer Statistics'!$CL$2:$CL$400)*($AC$2='Offer Statistics'!$CM$2:$CM$400),0)),"/")</f>
        <v>0</v>
      </c>
      <c r="AI35" s="63" cm="1">
        <f t="array" ref="AI35">IFERROR(INDEX('Offer Statistics'!CZ$2:CZ$400,MATCH(1,($A35='Offer Statistics'!$CL$2:$CL$400)*($AC$2='Offer Statistics'!$CM$2:$CM$400),0)),"/")</f>
        <v>0</v>
      </c>
      <c r="AJ35" s="538"/>
      <c r="AK35" s="36" cm="1">
        <f t="array" ref="AK35">IFERROR(INDEX('Offer Statistics'!CS$2:CS$400,MATCH(1,($A35='Offer Statistics'!$CL$2:$CL$400)*($AC$2='Offer Statistics'!$CM$2:$CM$400),0)),"/")</f>
        <v>790</v>
      </c>
      <c r="AL35" s="63" cm="1">
        <f t="array" ref="AL35">IFERROR(INDEX('Offer Statistics'!CN$2:CN$400,MATCH(1,($A35='Offer Statistics'!$CL$2:$CL$400)*($AC$2='Offer Statistics'!$CM$2:$CM$400),0)),"/")</f>
        <v>63</v>
      </c>
      <c r="AM35" s="63" cm="1">
        <f t="array" ref="AM35">IFERROR(INDEX('Offer Statistics'!CO$2:CO$400,MATCH(1,($A35='Offer Statistics'!$CL$2:$CL$400)*($AC$2='Offer Statistics'!$CM$2:$CM$400),0)),"/")</f>
        <v>104</v>
      </c>
      <c r="AN35" s="63" cm="1">
        <f t="array" ref="AN35">IFERROR(INDEX('Offer Statistics'!CP$2:CP$400,MATCH(1,($A35='Offer Statistics'!$CL$2:$CL$400)*($AC$2='Offer Statistics'!$CM$2:$CM$400),0)),"/")</f>
        <v>186</v>
      </c>
      <c r="AO35" s="63" cm="1">
        <f t="array" ref="AO35">IFERROR(INDEX('Offer Statistics'!CQ$2:CQ$400,MATCH(1,($A35='Offer Statistics'!$CL$2:$CL$400)*($AC$2='Offer Statistics'!$CM$2:$CM$400),0)),"/")</f>
        <v>218</v>
      </c>
      <c r="AP35" s="63" cm="1">
        <f t="array" ref="AP35">IFERROR(INDEX('Offer Statistics'!CR$2:CR$400,MATCH(1,($A35='Offer Statistics'!$CL$2:$CL$400)*($AC$2='Offer Statistics'!$CM$2:$CM$400),0)),"/")</f>
        <v>219</v>
      </c>
      <c r="AR35" s="15" t="str">
        <f t="shared" si="11"/>
        <v>JS6418</v>
      </c>
    </row>
    <row r="36" spans="1:44" ht="18" customHeight="1">
      <c r="A36" s="4" t="str">
        <f>'Reference Score Calculation'!B287</f>
        <v>JS6456</v>
      </c>
      <c r="B36" s="4" t="str">
        <f>'Reference Score Calculation'!D287</f>
        <v>醫學院</v>
      </c>
      <c r="C36" s="4" t="str">
        <f>'Reference Score Calculation'!E287</f>
        <v>內外全科醫學士</v>
      </c>
      <c r="D36" s="4" t="str">
        <f>'Reference Score Calculation'!S287</f>
        <v>MBBS</v>
      </c>
      <c r="E36" s="352" t="str">
        <f>'Reference Score Calculation'!AC287</f>
        <v>Best 6</v>
      </c>
      <c r="F36" s="334" t="str">
        <f>'Reference Score Calculation'!F287</f>
        <v>Best 6</v>
      </c>
      <c r="G36" s="6">
        <f>'Reference Score Calculation'!H287</f>
        <v>45</v>
      </c>
      <c r="H36" s="6">
        <f>'Reference Score Calculation'!I287</f>
        <v>44</v>
      </c>
      <c r="I36" s="6">
        <f>'Reference Score Calculation'!J287</f>
        <v>42</v>
      </c>
      <c r="J36" s="45">
        <f>計分版!J310</f>
        <v>3.8000000000000001E-9</v>
      </c>
      <c r="K36" s="25">
        <f t="shared" si="8"/>
        <v>-43.999999996200003</v>
      </c>
      <c r="L36" s="26">
        <f t="shared" si="9"/>
        <v>-11578947367.421053</v>
      </c>
      <c r="M36" s="36">
        <f>'Reference Score Calculation'!U287</f>
        <v>300</v>
      </c>
      <c r="N36" s="54">
        <f>入學要求!Z296</f>
        <v>0</v>
      </c>
      <c r="O36" s="544"/>
      <c r="P36" s="246">
        <f>入學要求!L296</f>
        <v>3</v>
      </c>
      <c r="Q36" s="246">
        <f>入學要求!M296</f>
        <v>4</v>
      </c>
      <c r="R36" s="246">
        <f>入學要求!N296</f>
        <v>2</v>
      </c>
      <c r="S36" s="246">
        <f>入學要求!O296</f>
        <v>1</v>
      </c>
      <c r="T36" s="246">
        <f>入學要求!P296</f>
        <v>3</v>
      </c>
      <c r="U36" s="246">
        <f>入學要求!Q296</f>
        <v>3</v>
      </c>
      <c r="V36" s="236">
        <f>入學要求!S296</f>
        <v>0</v>
      </c>
      <c r="W36" s="236">
        <f>入學要求!T296</f>
        <v>0</v>
      </c>
      <c r="X36" s="236">
        <f>入學要求!U296</f>
        <v>0</v>
      </c>
      <c r="Y36" s="236">
        <f>入學要求!V296</f>
        <v>0</v>
      </c>
      <c r="Z36" s="236">
        <f>入學要求!W296</f>
        <v>0</v>
      </c>
      <c r="AA36" s="236">
        <f>入學要求!X296</f>
        <v>0</v>
      </c>
      <c r="AB36" s="36">
        <f t="shared" si="10"/>
        <v>9.42</v>
      </c>
      <c r="AC36" s="537"/>
      <c r="AD36" s="36" cm="1">
        <f t="array" ref="AD36">IFERROR(INDEX('Offer Statistics'!DA$2:DA$400,MATCH(1,($A36='Offer Statistics'!$CL$2:$CL$400)*($AC$2='Offer Statistics'!$CM$2:$CM$400),0)),"/")</f>
        <v>155</v>
      </c>
      <c r="AE36" s="63" cm="1">
        <f t="array" ref="AE36">IFERROR(INDEX('Offer Statistics'!CV$2:CV$400,MATCH(1,($A36='Offer Statistics'!$CL$2:$CL$400)*($AC$2='Offer Statistics'!$CM$2:$CM$400),0)),"/")</f>
        <v>155</v>
      </c>
      <c r="AF36" s="63" cm="1">
        <f t="array" ref="AF36">IFERROR(INDEX('Offer Statistics'!CW$2:CW$400,MATCH(1,($A36='Offer Statistics'!$CL$2:$CL$400)*($AC$2='Offer Statistics'!$CM$2:$CM$400),0)),"/")</f>
        <v>0</v>
      </c>
      <c r="AG36" s="63" cm="1">
        <f t="array" ref="AG36">IFERROR(INDEX('Offer Statistics'!CX$2:CX$400,MATCH(1,($A36='Offer Statistics'!$CL$2:$CL$400)*($AC$2='Offer Statistics'!$CM$2:$CM$400),0)),"/")</f>
        <v>0</v>
      </c>
      <c r="AH36" s="63" cm="1">
        <f t="array" ref="AH36">IFERROR(INDEX('Offer Statistics'!CY$2:CY$400,MATCH(1,($A36='Offer Statistics'!$CL$2:$CL$400)*($AC$2='Offer Statistics'!$CM$2:$CM$400),0)),"/")</f>
        <v>0</v>
      </c>
      <c r="AI36" s="63" cm="1">
        <f t="array" ref="AI36">IFERROR(INDEX('Offer Statistics'!CZ$2:CZ$400,MATCH(1,($A36='Offer Statistics'!$CL$2:$CL$400)*($AC$2='Offer Statistics'!$CM$2:$CM$400),0)),"/")</f>
        <v>0</v>
      </c>
      <c r="AJ36" s="538"/>
      <c r="AK36" s="36" cm="1">
        <f t="array" ref="AK36">IFERROR(INDEX('Offer Statistics'!CS$2:CS$400,MATCH(1,($A36='Offer Statistics'!$CL$2:$CL$400)*($AC$2='Offer Statistics'!$CM$2:$CM$400),0)),"/")</f>
        <v>1460</v>
      </c>
      <c r="AL36" s="63" cm="1">
        <f t="array" ref="AL36">IFERROR(INDEX('Offer Statistics'!CN$2:CN$400,MATCH(1,($A36='Offer Statistics'!$CL$2:$CL$400)*($AC$2='Offer Statistics'!$CM$2:$CM$400),0)),"/")</f>
        <v>482</v>
      </c>
      <c r="AM36" s="63" cm="1">
        <f t="array" ref="AM36">IFERROR(INDEX('Offer Statistics'!CO$2:CO$400,MATCH(1,($A36='Offer Statistics'!$CL$2:$CL$400)*($AC$2='Offer Statistics'!$CM$2:$CM$400),0)),"/")</f>
        <v>94</v>
      </c>
      <c r="AN36" s="63" cm="1">
        <f t="array" ref="AN36">IFERROR(INDEX('Offer Statistics'!CP$2:CP$400,MATCH(1,($A36='Offer Statistics'!$CL$2:$CL$400)*($AC$2='Offer Statistics'!$CM$2:$CM$400),0)),"/")</f>
        <v>169</v>
      </c>
      <c r="AO36" s="63" cm="1">
        <f t="array" ref="AO36">IFERROR(INDEX('Offer Statistics'!CQ$2:CQ$400,MATCH(1,($A36='Offer Statistics'!$CL$2:$CL$400)*($AC$2='Offer Statistics'!$CM$2:$CM$400),0)),"/")</f>
        <v>238</v>
      </c>
      <c r="AP36" s="63" cm="1">
        <f t="array" ref="AP36">IFERROR(INDEX('Offer Statistics'!CR$2:CR$400,MATCH(1,($A36='Offer Statistics'!$CL$2:$CL$400)*($AC$2='Offer Statistics'!$CM$2:$CM$400),0)),"/")</f>
        <v>477</v>
      </c>
      <c r="AR36" s="15" t="str">
        <f t="shared" si="11"/>
        <v>JS6456</v>
      </c>
    </row>
    <row r="37" spans="1:44" ht="18" customHeight="1">
      <c r="A37" s="4" t="str">
        <f>'Reference Score Calculation'!B288</f>
        <v>JS6468</v>
      </c>
      <c r="B37" s="4" t="str">
        <f>'Reference Score Calculation'!D288</f>
        <v>醫學院</v>
      </c>
      <c r="C37" s="4" t="str">
        <f>'Reference Score Calculation'!E288</f>
        <v>護理學學士</v>
      </c>
      <c r="D37" s="4" t="str">
        <f>'Reference Score Calculation'!S288</f>
        <v>BNurs</v>
      </c>
      <c r="E37" s="352" t="str">
        <f>'Reference Score Calculation'!AC288</f>
        <v>Best 5</v>
      </c>
      <c r="F37" s="334" t="str">
        <f>'Reference Score Calculation'!F288</f>
        <v>Best 5</v>
      </c>
      <c r="G37" s="6">
        <f>'Reference Score Calculation'!H288</f>
        <v>27</v>
      </c>
      <c r="H37" s="6">
        <f>'Reference Score Calculation'!I288</f>
        <v>26</v>
      </c>
      <c r="I37" s="6">
        <f>'Reference Score Calculation'!J288</f>
        <v>25</v>
      </c>
      <c r="J37" s="45">
        <f>計分版!J311</f>
        <v>3.65E-9</v>
      </c>
      <c r="K37" s="25">
        <f t="shared" si="8"/>
        <v>-25.999999996349999</v>
      </c>
      <c r="L37" s="26">
        <f t="shared" si="9"/>
        <v>-7123287670.2328768</v>
      </c>
      <c r="M37" s="36" t="str">
        <f>'Reference Score Calculation'!U288</f>
        <v>210*</v>
      </c>
      <c r="N37" s="54">
        <f>入學要求!Z297</f>
        <v>0</v>
      </c>
      <c r="O37" s="544"/>
      <c r="P37" s="246">
        <f>入學要求!L297</f>
        <v>3</v>
      </c>
      <c r="Q37" s="246">
        <f>入學要求!M297</f>
        <v>3</v>
      </c>
      <c r="R37" s="246">
        <f>入學要求!N297</f>
        <v>2</v>
      </c>
      <c r="S37" s="246">
        <f>入學要求!O297</f>
        <v>1</v>
      </c>
      <c r="T37" s="246">
        <f>入學要求!P297</f>
        <v>3</v>
      </c>
      <c r="U37" s="246">
        <f>入學要求!Q297</f>
        <v>3</v>
      </c>
      <c r="V37" s="236">
        <f>入學要求!S297</f>
        <v>0</v>
      </c>
      <c r="W37" s="236">
        <f>入學要求!T297</f>
        <v>0</v>
      </c>
      <c r="X37" s="236">
        <f>入學要求!U297</f>
        <v>0</v>
      </c>
      <c r="Y37" s="236">
        <f>入學要求!V297</f>
        <v>0</v>
      </c>
      <c r="Z37" s="236">
        <f>入學要求!W297</f>
        <v>0</v>
      </c>
      <c r="AA37" s="236">
        <f>入學要求!X297</f>
        <v>0</v>
      </c>
      <c r="AB37" s="36">
        <f t="shared" si="10"/>
        <v>20.95</v>
      </c>
      <c r="AC37" s="537"/>
      <c r="AD37" s="36" cm="1">
        <f t="array" ref="AD37">IFERROR(INDEX('Offer Statistics'!DA$2:DA$400,MATCH(1,($A37='Offer Statistics'!$CL$2:$CL$400)*($AC$2='Offer Statistics'!$CM$2:$CM$400),0)),"/")</f>
        <v>189</v>
      </c>
      <c r="AE37" s="63" cm="1">
        <f t="array" ref="AE37">IFERROR(INDEX('Offer Statistics'!CV$2:CV$400,MATCH(1,($A37='Offer Statistics'!$CL$2:$CL$400)*($AC$2='Offer Statistics'!$CM$2:$CM$400),0)),"/")</f>
        <v>189</v>
      </c>
      <c r="AF37" s="63" cm="1">
        <f t="array" ref="AF37">IFERROR(INDEX('Offer Statistics'!CW$2:CW$400,MATCH(1,($A37='Offer Statistics'!$CL$2:$CL$400)*($AC$2='Offer Statistics'!$CM$2:$CM$400),0)),"/")</f>
        <v>0</v>
      </c>
      <c r="AG37" s="63" cm="1">
        <f t="array" ref="AG37">IFERROR(INDEX('Offer Statistics'!CX$2:CX$400,MATCH(1,($A37='Offer Statistics'!$CL$2:$CL$400)*($AC$2='Offer Statistics'!$CM$2:$CM$400),0)),"/")</f>
        <v>0</v>
      </c>
      <c r="AH37" s="63" cm="1">
        <f t="array" ref="AH37">IFERROR(INDEX('Offer Statistics'!CY$2:CY$400,MATCH(1,($A37='Offer Statistics'!$CL$2:$CL$400)*($AC$2='Offer Statistics'!$CM$2:$CM$400),0)),"/")</f>
        <v>0</v>
      </c>
      <c r="AI37" s="63" cm="1">
        <f t="array" ref="AI37">IFERROR(INDEX('Offer Statistics'!CZ$2:CZ$400,MATCH(1,($A37='Offer Statistics'!$CL$2:$CL$400)*($AC$2='Offer Statistics'!$CM$2:$CM$400),0)),"/")</f>
        <v>0</v>
      </c>
      <c r="AJ37" s="538"/>
      <c r="AK37" s="36" cm="1">
        <f t="array" ref="AK37">IFERROR(INDEX('Offer Statistics'!CS$2:CS$400,MATCH(1,($A37='Offer Statistics'!$CL$2:$CL$400)*($AC$2='Offer Statistics'!$CM$2:$CM$400),0)),"/")</f>
        <v>3960</v>
      </c>
      <c r="AL37" s="63" cm="1">
        <f t="array" ref="AL37">IFERROR(INDEX('Offer Statistics'!CN$2:CN$400,MATCH(1,($A37='Offer Statistics'!$CL$2:$CL$400)*($AC$2='Offer Statistics'!$CM$2:$CM$400),0)),"/")</f>
        <v>769</v>
      </c>
      <c r="AM37" s="63" cm="1">
        <f t="array" ref="AM37">IFERROR(INDEX('Offer Statistics'!CO$2:CO$400,MATCH(1,($A37='Offer Statistics'!$CL$2:$CL$400)*($AC$2='Offer Statistics'!$CM$2:$CM$400),0)),"/")</f>
        <v>655</v>
      </c>
      <c r="AN37" s="63" cm="1">
        <f t="array" ref="AN37">IFERROR(INDEX('Offer Statistics'!CP$2:CP$400,MATCH(1,($A37='Offer Statistics'!$CL$2:$CL$400)*($AC$2='Offer Statistics'!$CM$2:$CM$400),0)),"/")</f>
        <v>845</v>
      </c>
      <c r="AO37" s="63" cm="1">
        <f t="array" ref="AO37">IFERROR(INDEX('Offer Statistics'!CQ$2:CQ$400,MATCH(1,($A37='Offer Statistics'!$CL$2:$CL$400)*($AC$2='Offer Statistics'!$CM$2:$CM$400),0)),"/")</f>
        <v>883</v>
      </c>
      <c r="AP37" s="63" cm="1">
        <f t="array" ref="AP37">IFERROR(INDEX('Offer Statistics'!CR$2:CR$400,MATCH(1,($A37='Offer Statistics'!$CL$2:$CL$400)*($AC$2='Offer Statistics'!$CM$2:$CM$400),0)),"/")</f>
        <v>808</v>
      </c>
      <c r="AR37" s="15" t="str">
        <f t="shared" si="11"/>
        <v>JS6468</v>
      </c>
    </row>
    <row r="38" spans="1:44" ht="18" customHeight="1">
      <c r="A38" s="4" t="str">
        <f>'Reference Score Calculation'!B289</f>
        <v>JS6482</v>
      </c>
      <c r="B38" s="4" t="str">
        <f>'Reference Score Calculation'!D289</f>
        <v>醫學院</v>
      </c>
      <c r="C38" s="4" t="str">
        <f>'Reference Score Calculation'!E289</f>
        <v>中醫全科學士</v>
      </c>
      <c r="D38" s="4" t="str">
        <f>'Reference Score Calculation'!S289</f>
        <v>BChinMed</v>
      </c>
      <c r="E38" s="352" t="str">
        <f>'Reference Score Calculation'!AC289</f>
        <v>Best 5</v>
      </c>
      <c r="F38" s="334" t="str">
        <f>'Reference Score Calculation'!F289</f>
        <v>Best 5</v>
      </c>
      <c r="G38" s="6">
        <f>'Reference Score Calculation'!H289</f>
        <v>33</v>
      </c>
      <c r="H38" s="6">
        <f>'Reference Score Calculation'!I289</f>
        <v>32</v>
      </c>
      <c r="I38" s="6">
        <f>'Reference Score Calculation'!J289</f>
        <v>31</v>
      </c>
      <c r="J38" s="45">
        <f>計分版!J312</f>
        <v>3.65E-9</v>
      </c>
      <c r="K38" s="25">
        <f t="shared" si="8"/>
        <v>-31.999999996349999</v>
      </c>
      <c r="L38" s="26">
        <f t="shared" si="9"/>
        <v>-8767123286.6712322</v>
      </c>
      <c r="M38" s="36">
        <f>'Reference Score Calculation'!U289</f>
        <v>25</v>
      </c>
      <c r="N38" s="54">
        <f>入學要求!Z298</f>
        <v>0</v>
      </c>
      <c r="O38" s="544"/>
      <c r="P38" s="246">
        <f>入學要求!L298</f>
        <v>3</v>
      </c>
      <c r="Q38" s="246">
        <f>入學要求!M298</f>
        <v>3</v>
      </c>
      <c r="R38" s="246">
        <f>入學要求!N298</f>
        <v>2</v>
      </c>
      <c r="S38" s="246">
        <f>入學要求!O298</f>
        <v>1</v>
      </c>
      <c r="T38" s="246">
        <f>入學要求!P298</f>
        <v>3</v>
      </c>
      <c r="U38" s="246">
        <f>入學要求!Q298</f>
        <v>3</v>
      </c>
      <c r="V38" s="236">
        <f>入學要求!S298</f>
        <v>0</v>
      </c>
      <c r="W38" s="236">
        <f>入學要求!T298</f>
        <v>0</v>
      </c>
      <c r="X38" s="236">
        <f>入學要求!U298</f>
        <v>0</v>
      </c>
      <c r="Y38" s="236">
        <f>入學要求!V298</f>
        <v>0</v>
      </c>
      <c r="Z38" s="236">
        <f>入學要求!W298</f>
        <v>0</v>
      </c>
      <c r="AA38" s="236">
        <f>入學要求!X298</f>
        <v>0</v>
      </c>
      <c r="AB38" s="36">
        <f t="shared" si="10"/>
        <v>60.55</v>
      </c>
      <c r="AC38" s="537"/>
      <c r="AD38" s="36" cm="1">
        <f t="array" ref="AD38">IFERROR(INDEX('Offer Statistics'!DA$2:DA$400,MATCH(1,($A38='Offer Statistics'!$CL$2:$CL$400)*($AC$2='Offer Statistics'!$CM$2:$CM$400),0)),"/")</f>
        <v>22</v>
      </c>
      <c r="AE38" s="63" cm="1">
        <f t="array" ref="AE38">IFERROR(INDEX('Offer Statistics'!CV$2:CV$400,MATCH(1,($A38='Offer Statistics'!$CL$2:$CL$400)*($AC$2='Offer Statistics'!$CM$2:$CM$400),0)),"/")</f>
        <v>22</v>
      </c>
      <c r="AF38" s="63" cm="1">
        <f t="array" ref="AF38">IFERROR(INDEX('Offer Statistics'!CW$2:CW$400,MATCH(1,($A38='Offer Statistics'!$CL$2:$CL$400)*($AC$2='Offer Statistics'!$CM$2:$CM$400),0)),"/")</f>
        <v>0</v>
      </c>
      <c r="AG38" s="63" cm="1">
        <f t="array" ref="AG38">IFERROR(INDEX('Offer Statistics'!CX$2:CX$400,MATCH(1,($A38='Offer Statistics'!$CL$2:$CL$400)*($AC$2='Offer Statistics'!$CM$2:$CM$400),0)),"/")</f>
        <v>0</v>
      </c>
      <c r="AH38" s="63" cm="1">
        <f t="array" ref="AH38">IFERROR(INDEX('Offer Statistics'!CY$2:CY$400,MATCH(1,($A38='Offer Statistics'!$CL$2:$CL$400)*($AC$2='Offer Statistics'!$CM$2:$CM$400),0)),"/")</f>
        <v>0</v>
      </c>
      <c r="AI38" s="63" cm="1">
        <f t="array" ref="AI38">IFERROR(INDEX('Offer Statistics'!CZ$2:CZ$400,MATCH(1,($A38='Offer Statistics'!$CL$2:$CL$400)*($AC$2='Offer Statistics'!$CM$2:$CM$400),0)),"/")</f>
        <v>0</v>
      </c>
      <c r="AJ38" s="538"/>
      <c r="AK38" s="36" cm="1">
        <f t="array" ref="AK38">IFERROR(INDEX('Offer Statistics'!CS$2:CS$400,MATCH(1,($A38='Offer Statistics'!$CL$2:$CL$400)*($AC$2='Offer Statistics'!$CM$2:$CM$400),0)),"/")</f>
        <v>1332</v>
      </c>
      <c r="AL38" s="63" cm="1">
        <f t="array" ref="AL38">IFERROR(INDEX('Offer Statistics'!CN$2:CN$400,MATCH(1,($A38='Offer Statistics'!$CL$2:$CL$400)*($AC$2='Offer Statistics'!$CM$2:$CM$400),0)),"/")</f>
        <v>166</v>
      </c>
      <c r="AM38" s="63" cm="1">
        <f t="array" ref="AM38">IFERROR(INDEX('Offer Statistics'!CO$2:CO$400,MATCH(1,($A38='Offer Statistics'!$CL$2:$CL$400)*($AC$2='Offer Statistics'!$CM$2:$CM$400),0)),"/")</f>
        <v>132</v>
      </c>
      <c r="AN38" s="63" cm="1">
        <f t="array" ref="AN38">IFERROR(INDEX('Offer Statistics'!CP$2:CP$400,MATCH(1,($A38='Offer Statistics'!$CL$2:$CL$400)*($AC$2='Offer Statistics'!$CM$2:$CM$400),0)),"/")</f>
        <v>258</v>
      </c>
      <c r="AO38" s="63" cm="1">
        <f t="array" ref="AO38">IFERROR(INDEX('Offer Statistics'!CQ$2:CQ$400,MATCH(1,($A38='Offer Statistics'!$CL$2:$CL$400)*($AC$2='Offer Statistics'!$CM$2:$CM$400),0)),"/")</f>
        <v>392</v>
      </c>
      <c r="AP38" s="63" cm="1">
        <f t="array" ref="AP38">IFERROR(INDEX('Offer Statistics'!CR$2:CR$400,MATCH(1,($A38='Offer Statistics'!$CL$2:$CL$400)*($AC$2='Offer Statistics'!$CM$2:$CM$400),0)),"/")</f>
        <v>384</v>
      </c>
      <c r="AR38" s="15" t="str">
        <f t="shared" si="11"/>
        <v>JS6482</v>
      </c>
    </row>
    <row r="39" spans="1:44" ht="18" customHeight="1">
      <c r="A39" s="4" t="str">
        <f>'Reference Score Calculation'!B290</f>
        <v>JS6494</v>
      </c>
      <c r="B39" s="4" t="str">
        <f>'Reference Score Calculation'!D290</f>
        <v>醫學院</v>
      </c>
      <c r="C39" s="4" t="str">
        <f>'Reference Score Calculation'!E290</f>
        <v>藥劑學學士</v>
      </c>
      <c r="D39" s="4" t="str">
        <f>'Reference Score Calculation'!S290</f>
        <v>BPharm</v>
      </c>
      <c r="E39" s="352" t="str">
        <f>'Reference Score Calculation'!AC290</f>
        <v>Best 6</v>
      </c>
      <c r="F39" s="334" t="str">
        <f>'Reference Score Calculation'!F290</f>
        <v>Best 6</v>
      </c>
      <c r="G39" s="6">
        <f>'Reference Score Calculation'!H290</f>
        <v>39</v>
      </c>
      <c r="H39" s="6">
        <f>'Reference Score Calculation'!I290</f>
        <v>39</v>
      </c>
      <c r="I39" s="6">
        <f>'Reference Score Calculation'!J290</f>
        <v>37</v>
      </c>
      <c r="J39" s="45">
        <f>計分版!J313</f>
        <v>3.8000000000000001E-9</v>
      </c>
      <c r="K39" s="25">
        <f t="shared" si="8"/>
        <v>-38.999999996200003</v>
      </c>
      <c r="L39" s="26">
        <f t="shared" si="9"/>
        <v>-10263157893.736843</v>
      </c>
      <c r="M39" s="36">
        <f>'Reference Score Calculation'!U290</f>
        <v>35</v>
      </c>
      <c r="N39" s="54">
        <f>入學要求!Z299</f>
        <v>0</v>
      </c>
      <c r="O39" s="544"/>
      <c r="P39" s="246">
        <f>入學要求!L299</f>
        <v>3</v>
      </c>
      <c r="Q39" s="246">
        <f>入學要求!M299</f>
        <v>4</v>
      </c>
      <c r="R39" s="246">
        <f>入學要求!N299</f>
        <v>2</v>
      </c>
      <c r="S39" s="246">
        <f>入學要求!O299</f>
        <v>1</v>
      </c>
      <c r="T39" s="246">
        <f>入學要求!P299</f>
        <v>3</v>
      </c>
      <c r="U39" s="246">
        <f>入學要求!Q299</f>
        <v>3</v>
      </c>
      <c r="V39" s="236">
        <f>入學要求!S299</f>
        <v>0</v>
      </c>
      <c r="W39" s="236">
        <f>入學要求!T299</f>
        <v>0</v>
      </c>
      <c r="X39" s="236">
        <f>入學要求!U299</f>
        <v>0</v>
      </c>
      <c r="Y39" s="236">
        <f>入學要求!V299</f>
        <v>0</v>
      </c>
      <c r="Z39" s="236">
        <f>入學要求!W299</f>
        <v>0</v>
      </c>
      <c r="AA39" s="236">
        <f>入學要求!X299</f>
        <v>0</v>
      </c>
      <c r="AB39" s="36">
        <f t="shared" si="10"/>
        <v>43.77</v>
      </c>
      <c r="AC39" s="537"/>
      <c r="AD39" s="36" cm="1">
        <f t="array" ref="AD39">IFERROR(INDEX('Offer Statistics'!DA$2:DA$400,MATCH(1,($A39='Offer Statistics'!$CL$2:$CL$400)*($AC$2='Offer Statistics'!$CM$2:$CM$400),0)),"/")</f>
        <v>30</v>
      </c>
      <c r="AE39" s="63" cm="1">
        <f t="array" ref="AE39">IFERROR(INDEX('Offer Statistics'!CV$2:CV$400,MATCH(1,($A39='Offer Statistics'!$CL$2:$CL$400)*($AC$2='Offer Statistics'!$CM$2:$CM$400),0)),"/")</f>
        <v>30</v>
      </c>
      <c r="AF39" s="63" cm="1">
        <f t="array" ref="AF39">IFERROR(INDEX('Offer Statistics'!CW$2:CW$400,MATCH(1,($A39='Offer Statistics'!$CL$2:$CL$400)*($AC$2='Offer Statistics'!$CM$2:$CM$400),0)),"/")</f>
        <v>0</v>
      </c>
      <c r="AG39" s="63" cm="1">
        <f t="array" ref="AG39">IFERROR(INDEX('Offer Statistics'!CX$2:CX$400,MATCH(1,($A39='Offer Statistics'!$CL$2:$CL$400)*($AC$2='Offer Statistics'!$CM$2:$CM$400),0)),"/")</f>
        <v>0</v>
      </c>
      <c r="AH39" s="63" cm="1">
        <f t="array" ref="AH39">IFERROR(INDEX('Offer Statistics'!CY$2:CY$400,MATCH(1,($A39='Offer Statistics'!$CL$2:$CL$400)*($AC$2='Offer Statistics'!$CM$2:$CM$400),0)),"/")</f>
        <v>0</v>
      </c>
      <c r="AI39" s="63" cm="1">
        <f t="array" ref="AI39">IFERROR(INDEX('Offer Statistics'!CZ$2:CZ$400,MATCH(1,($A39='Offer Statistics'!$CL$2:$CL$400)*($AC$2='Offer Statistics'!$CM$2:$CM$400),0)),"/")</f>
        <v>0</v>
      </c>
      <c r="AJ39" s="538"/>
      <c r="AK39" s="36" cm="1">
        <f t="array" ref="AK39">IFERROR(INDEX('Offer Statistics'!CS$2:CS$400,MATCH(1,($A39='Offer Statistics'!$CL$2:$CL$400)*($AC$2='Offer Statistics'!$CM$2:$CM$400),0)),"/")</f>
        <v>1313</v>
      </c>
      <c r="AL39" s="63" cm="1">
        <f t="array" ref="AL39">IFERROR(INDEX('Offer Statistics'!CN$2:CN$400,MATCH(1,($A39='Offer Statistics'!$CL$2:$CL$400)*($AC$2='Offer Statistics'!$CM$2:$CM$400),0)),"/")</f>
        <v>121</v>
      </c>
      <c r="AM39" s="63" cm="1">
        <f t="array" ref="AM39">IFERROR(INDEX('Offer Statistics'!CO$2:CO$400,MATCH(1,($A39='Offer Statistics'!$CL$2:$CL$400)*($AC$2='Offer Statistics'!$CM$2:$CM$400),0)),"/")</f>
        <v>149</v>
      </c>
      <c r="AN39" s="63" cm="1">
        <f t="array" ref="AN39">IFERROR(INDEX('Offer Statistics'!CP$2:CP$400,MATCH(1,($A39='Offer Statistics'!$CL$2:$CL$400)*($AC$2='Offer Statistics'!$CM$2:$CM$400),0)),"/")</f>
        <v>282</v>
      </c>
      <c r="AO39" s="63" cm="1">
        <f t="array" ref="AO39">IFERROR(INDEX('Offer Statistics'!CQ$2:CQ$400,MATCH(1,($A39='Offer Statistics'!$CL$2:$CL$400)*($AC$2='Offer Statistics'!$CM$2:$CM$400),0)),"/")</f>
        <v>387</v>
      </c>
      <c r="AP39" s="63" cm="1">
        <f t="array" ref="AP39">IFERROR(INDEX('Offer Statistics'!CR$2:CR$400,MATCH(1,($A39='Offer Statistics'!$CL$2:$CL$400)*($AC$2='Offer Statistics'!$CM$2:$CM$400),0)),"/")</f>
        <v>374</v>
      </c>
      <c r="AR39" s="15" t="str">
        <f t="shared" si="11"/>
        <v>JS6494</v>
      </c>
    </row>
    <row r="40" spans="1:44" ht="18" customHeight="1">
      <c r="A40" s="4" t="str">
        <f>'Reference Score Calculation'!B291</f>
        <v>JS6949</v>
      </c>
      <c r="B40" s="4" t="str">
        <f>'Reference Score Calculation'!D291</f>
        <v>醫學院</v>
      </c>
      <c r="C40" s="4" t="str">
        <f>'Reference Score Calculation'!E291</f>
        <v>生物醫學學士</v>
      </c>
      <c r="D40" s="4" t="str">
        <f>'Reference Score Calculation'!S291</f>
        <v>BBiomedSc</v>
      </c>
      <c r="E40" s="352" t="str">
        <f>'Reference Score Calculation'!AC291</f>
        <v>Best 6</v>
      </c>
      <c r="F40" s="334" t="str">
        <f>'Reference Score Calculation'!F291</f>
        <v>Best 6</v>
      </c>
      <c r="G40" s="6">
        <f>'Reference Score Calculation'!H291</f>
        <v>41</v>
      </c>
      <c r="H40" s="6">
        <f>'Reference Score Calculation'!I291</f>
        <v>39</v>
      </c>
      <c r="I40" s="6">
        <f>'Reference Score Calculation'!J291</f>
        <v>39</v>
      </c>
      <c r="J40" s="45">
        <f>計分版!J314</f>
        <v>3.8000000000000001E-9</v>
      </c>
      <c r="K40" s="25">
        <f t="shared" si="8"/>
        <v>-38.999999996200003</v>
      </c>
      <c r="L40" s="26">
        <f t="shared" si="9"/>
        <v>-10263157893.736843</v>
      </c>
      <c r="M40" s="36">
        <f>'Reference Score Calculation'!U291</f>
        <v>53</v>
      </c>
      <c r="N40" s="54">
        <f>入學要求!Z300</f>
        <v>0</v>
      </c>
      <c r="O40" s="544"/>
      <c r="P40" s="246">
        <f>入學要求!L300</f>
        <v>3</v>
      </c>
      <c r="Q40" s="246">
        <f>入學要求!M300</f>
        <v>4</v>
      </c>
      <c r="R40" s="246">
        <f>入學要求!N300</f>
        <v>2</v>
      </c>
      <c r="S40" s="246">
        <f>入學要求!O300</f>
        <v>1</v>
      </c>
      <c r="T40" s="246">
        <f>入學要求!P300</f>
        <v>3</v>
      </c>
      <c r="U40" s="246">
        <f>入學要求!Q300</f>
        <v>3</v>
      </c>
      <c r="V40" s="236">
        <f>入學要求!S300</f>
        <v>0</v>
      </c>
      <c r="W40" s="236">
        <f>入學要求!T300</f>
        <v>0</v>
      </c>
      <c r="X40" s="236">
        <f>入學要求!U300</f>
        <v>0</v>
      </c>
      <c r="Y40" s="236">
        <f>入學要求!V300</f>
        <v>0</v>
      </c>
      <c r="Z40" s="236">
        <f>入學要求!W300</f>
        <v>0</v>
      </c>
      <c r="AA40" s="236">
        <f>入學要求!X300</f>
        <v>0</v>
      </c>
      <c r="AB40" s="36">
        <f t="shared" si="10"/>
        <v>44.67</v>
      </c>
      <c r="AC40" s="537"/>
      <c r="AD40" s="36" cm="1">
        <f t="array" ref="AD40">IFERROR(INDEX('Offer Statistics'!DA$2:DA$400,MATCH(1,($A40='Offer Statistics'!$CL$2:$CL$400)*($AC$2='Offer Statistics'!$CM$2:$CM$400),0)),"/")</f>
        <v>30</v>
      </c>
      <c r="AE40" s="63" cm="1">
        <f t="array" ref="AE40">IFERROR(INDEX('Offer Statistics'!CV$2:CV$400,MATCH(1,($A40='Offer Statistics'!$CL$2:$CL$400)*($AC$2='Offer Statistics'!$CM$2:$CM$400),0)),"/")</f>
        <v>30</v>
      </c>
      <c r="AF40" s="63" cm="1">
        <f t="array" ref="AF40">IFERROR(INDEX('Offer Statistics'!CW$2:CW$400,MATCH(1,($A40='Offer Statistics'!$CL$2:$CL$400)*($AC$2='Offer Statistics'!$CM$2:$CM$400),0)),"/")</f>
        <v>0</v>
      </c>
      <c r="AG40" s="63" cm="1">
        <f t="array" ref="AG40">IFERROR(INDEX('Offer Statistics'!CX$2:CX$400,MATCH(1,($A40='Offer Statistics'!$CL$2:$CL$400)*($AC$2='Offer Statistics'!$CM$2:$CM$400),0)),"/")</f>
        <v>0</v>
      </c>
      <c r="AH40" s="63" cm="1">
        <f t="array" ref="AH40">IFERROR(INDEX('Offer Statistics'!CY$2:CY$400,MATCH(1,($A40='Offer Statistics'!$CL$2:$CL$400)*($AC$2='Offer Statistics'!$CM$2:$CM$400),0)),"/")</f>
        <v>0</v>
      </c>
      <c r="AI40" s="63" cm="1">
        <f t="array" ref="AI40">IFERROR(INDEX('Offer Statistics'!CZ$2:CZ$400,MATCH(1,($A40='Offer Statistics'!$CL$2:$CL$400)*($AC$2='Offer Statistics'!$CM$2:$CM$400),0)),"/")</f>
        <v>0</v>
      </c>
      <c r="AJ40" s="538"/>
      <c r="AK40" s="36" cm="1">
        <f t="array" ref="AK40">IFERROR(INDEX('Offer Statistics'!CS$2:CS$400,MATCH(1,($A40='Offer Statistics'!$CL$2:$CL$400)*($AC$2='Offer Statistics'!$CM$2:$CM$400),0)),"/")</f>
        <v>1340</v>
      </c>
      <c r="AL40" s="63" cm="1">
        <f t="array" ref="AL40">IFERROR(INDEX('Offer Statistics'!CN$2:CN$400,MATCH(1,($A40='Offer Statistics'!$CL$2:$CL$400)*($AC$2='Offer Statistics'!$CM$2:$CM$400),0)),"/")</f>
        <v>122</v>
      </c>
      <c r="AM40" s="63" cm="1">
        <f t="array" ref="AM40">IFERROR(INDEX('Offer Statistics'!CO$2:CO$400,MATCH(1,($A40='Offer Statistics'!$CL$2:$CL$400)*($AC$2='Offer Statistics'!$CM$2:$CM$400),0)),"/")</f>
        <v>179</v>
      </c>
      <c r="AN40" s="63" cm="1">
        <f t="array" ref="AN40">IFERROR(INDEX('Offer Statistics'!CP$2:CP$400,MATCH(1,($A40='Offer Statistics'!$CL$2:$CL$400)*($AC$2='Offer Statistics'!$CM$2:$CM$400),0)),"/")</f>
        <v>303</v>
      </c>
      <c r="AO40" s="63" cm="1">
        <f t="array" ref="AO40">IFERROR(INDEX('Offer Statistics'!CQ$2:CQ$400,MATCH(1,($A40='Offer Statistics'!$CL$2:$CL$400)*($AC$2='Offer Statistics'!$CM$2:$CM$400),0)),"/")</f>
        <v>369</v>
      </c>
      <c r="AP40" s="63" cm="1">
        <f t="array" ref="AP40">IFERROR(INDEX('Offer Statistics'!CR$2:CR$400,MATCH(1,($A40='Offer Statistics'!$CL$2:$CL$400)*($AC$2='Offer Statistics'!$CM$2:$CM$400),0)),"/")</f>
        <v>367</v>
      </c>
      <c r="AR40" s="15" t="str">
        <f t="shared" si="11"/>
        <v>JS6949</v>
      </c>
    </row>
    <row r="41" spans="1:44" ht="18" customHeight="1">
      <c r="A41" s="4" t="str">
        <f>'Reference Score Calculation'!B292</f>
        <v>JS6688</v>
      </c>
      <c r="B41" s="4" t="str">
        <f>'Reference Score Calculation'!D292</f>
        <v>理學院</v>
      </c>
      <c r="C41" s="4" t="str">
        <f>'Reference Score Calculation'!E292</f>
        <v>科研專才啟導課程(雙學位課程)</v>
      </c>
      <c r="D41" s="4" t="str">
        <f>'Reference Score Calculation'!S292</f>
        <v>SMC</v>
      </c>
      <c r="E41" s="352" t="str">
        <f>'Reference Score Calculation'!AC292</f>
        <v>Best 5</v>
      </c>
      <c r="F41" s="351" t="str">
        <f>'Reference Score Calculation'!F292</f>
        <v>Best 5</v>
      </c>
      <c r="G41" s="6">
        <f>'Reference Score Calculation'!H292</f>
        <v>38</v>
      </c>
      <c r="H41" s="6">
        <f>'Reference Score Calculation'!I292</f>
        <v>35</v>
      </c>
      <c r="I41" s="6">
        <f>'Reference Score Calculation'!J292</f>
        <v>33</v>
      </c>
      <c r="J41" s="45">
        <f>計分版!J315</f>
        <v>2.7499999999999998E-9</v>
      </c>
      <c r="K41" s="25">
        <f t="shared" si="8"/>
        <v>-34.999999997250001</v>
      </c>
      <c r="L41" s="26">
        <f t="shared" si="9"/>
        <v>-12727272726.272728</v>
      </c>
      <c r="M41" s="36">
        <f>'Reference Score Calculation'!U292</f>
        <v>26</v>
      </c>
      <c r="N41" s="54">
        <f>入學要求!Z301</f>
        <v>0</v>
      </c>
      <c r="O41" s="544"/>
      <c r="P41" s="246">
        <f>入學要求!L301</f>
        <v>3</v>
      </c>
      <c r="Q41" s="246">
        <f>入學要求!M301</f>
        <v>5</v>
      </c>
      <c r="R41" s="246">
        <f>入學要求!N301</f>
        <v>4</v>
      </c>
      <c r="S41" s="246">
        <f>入學要求!O301</f>
        <v>1</v>
      </c>
      <c r="T41" s="246">
        <f>入學要求!P301</f>
        <v>3</v>
      </c>
      <c r="U41" s="246">
        <f>入學要求!Q301</f>
        <v>3</v>
      </c>
      <c r="V41" s="236">
        <f>入學要求!S301</f>
        <v>0</v>
      </c>
      <c r="W41" s="236">
        <f>入學要求!T301</f>
        <v>0</v>
      </c>
      <c r="X41" s="236">
        <f>入學要求!U301</f>
        <v>0</v>
      </c>
      <c r="Y41" s="236">
        <f>入學要求!V301</f>
        <v>0</v>
      </c>
      <c r="Z41" s="236">
        <f>入學要求!W301</f>
        <v>0</v>
      </c>
      <c r="AA41" s="236">
        <f>入學要求!X301</f>
        <v>0</v>
      </c>
      <c r="AB41" s="36">
        <f t="shared" si="10"/>
        <v>18.399999999999999</v>
      </c>
      <c r="AC41" s="537"/>
      <c r="AD41" s="36" cm="1">
        <f t="array" ref="AD41">IFERROR(INDEX('Offer Statistics'!DA$2:DA$400,MATCH(1,($A41='Offer Statistics'!$CL$2:$CL$400)*($AC$2='Offer Statistics'!$CM$2:$CM$400),0)),"/")</f>
        <v>25</v>
      </c>
      <c r="AE41" s="63" cm="1">
        <f t="array" ref="AE41">IFERROR(INDEX('Offer Statistics'!CV$2:CV$400,MATCH(1,($A41='Offer Statistics'!$CL$2:$CL$400)*($AC$2='Offer Statistics'!$CM$2:$CM$400),0)),"/")</f>
        <v>25</v>
      </c>
      <c r="AF41" s="63" cm="1">
        <f t="array" ref="AF41">IFERROR(INDEX('Offer Statistics'!CW$2:CW$400,MATCH(1,($A41='Offer Statistics'!$CL$2:$CL$400)*($AC$2='Offer Statistics'!$CM$2:$CM$400),0)),"/")</f>
        <v>0</v>
      </c>
      <c r="AG41" s="63" cm="1">
        <f t="array" ref="AG41">IFERROR(INDEX('Offer Statistics'!CX$2:CX$400,MATCH(1,($A41='Offer Statistics'!$CL$2:$CL$400)*($AC$2='Offer Statistics'!$CM$2:$CM$400),0)),"/")</f>
        <v>0</v>
      </c>
      <c r="AH41" s="63" cm="1">
        <f t="array" ref="AH41">IFERROR(INDEX('Offer Statistics'!CY$2:CY$400,MATCH(1,($A41='Offer Statistics'!$CL$2:$CL$400)*($AC$2='Offer Statistics'!$CM$2:$CM$400),0)),"/")</f>
        <v>0</v>
      </c>
      <c r="AI41" s="63" cm="1">
        <f t="array" ref="AI41">IFERROR(INDEX('Offer Statistics'!CZ$2:CZ$400,MATCH(1,($A41='Offer Statistics'!$CL$2:$CL$400)*($AC$2='Offer Statistics'!$CM$2:$CM$400),0)),"/")</f>
        <v>0</v>
      </c>
      <c r="AJ41" s="538"/>
      <c r="AK41" s="36" cm="1">
        <f t="array" ref="AK41">IFERROR(INDEX('Offer Statistics'!CS$2:CS$400,MATCH(1,($A41='Offer Statistics'!$CL$2:$CL$400)*($AC$2='Offer Statistics'!$CM$2:$CM$400),0)),"/")</f>
        <v>460</v>
      </c>
      <c r="AL41" s="63" cm="1">
        <f t="array" ref="AL41">IFERROR(INDEX('Offer Statistics'!CN$2:CN$400,MATCH(1,($A41='Offer Statistics'!$CL$2:$CL$400)*($AC$2='Offer Statistics'!$CM$2:$CM$400),0)),"/")</f>
        <v>105</v>
      </c>
      <c r="AM41" s="63" cm="1">
        <f t="array" ref="AM41">IFERROR(INDEX('Offer Statistics'!CO$2:CO$400,MATCH(1,($A41='Offer Statistics'!$CL$2:$CL$400)*($AC$2='Offer Statistics'!$CM$2:$CM$400),0)),"/")</f>
        <v>60</v>
      </c>
      <c r="AN41" s="63" cm="1">
        <f t="array" ref="AN41">IFERROR(INDEX('Offer Statistics'!CP$2:CP$400,MATCH(1,($A41='Offer Statistics'!$CL$2:$CL$400)*($AC$2='Offer Statistics'!$CM$2:$CM$400),0)),"/")</f>
        <v>91</v>
      </c>
      <c r="AO41" s="63" cm="1">
        <f t="array" ref="AO41">IFERROR(INDEX('Offer Statistics'!CQ$2:CQ$400,MATCH(1,($A41='Offer Statistics'!$CL$2:$CL$400)*($AC$2='Offer Statistics'!$CM$2:$CM$400),0)),"/")</f>
        <v>111</v>
      </c>
      <c r="AP41" s="63" cm="1">
        <f t="array" ref="AP41">IFERROR(INDEX('Offer Statistics'!CR$2:CR$400,MATCH(1,($A41='Offer Statistics'!$CL$2:$CL$400)*($AC$2='Offer Statistics'!$CM$2:$CM$400),0)),"/")</f>
        <v>93</v>
      </c>
      <c r="AR41" s="15" t="str">
        <f t="shared" si="11"/>
        <v>JS6688</v>
      </c>
    </row>
    <row r="42" spans="1:44" ht="18" customHeight="1">
      <c r="A42" s="4" t="str">
        <f>'Reference Score Calculation'!B293</f>
        <v>JS6729</v>
      </c>
      <c r="B42" s="4" t="str">
        <f>'Reference Score Calculation'!D293</f>
        <v>計算與數據科學學院</v>
      </c>
      <c r="C42" s="4" t="str">
        <f>'Reference Score Calculation'!E293</f>
        <v>理學士(精算學)</v>
      </c>
      <c r="D42" s="4" t="str">
        <f>'Reference Score Calculation'!S293</f>
        <v>BSc(ActuarSc)</v>
      </c>
      <c r="E42" s="352" t="str">
        <f>'Reference Score Calculation'!AC293</f>
        <v>Best 5</v>
      </c>
      <c r="F42" s="347" t="str">
        <f>'Reference Score Calculation'!F293</f>
        <v>Best 5</v>
      </c>
      <c r="G42" s="6">
        <f>'Reference Score Calculation'!H293</f>
        <v>34</v>
      </c>
      <c r="H42" s="6">
        <f>'Reference Score Calculation'!I293</f>
        <v>33</v>
      </c>
      <c r="I42" s="6">
        <f>'Reference Score Calculation'!J293</f>
        <v>31</v>
      </c>
      <c r="J42" s="45">
        <f>計分版!J316</f>
        <v>2.9000000000000003E-9</v>
      </c>
      <c r="K42" s="25">
        <f t="shared" si="8"/>
        <v>-32.999999997099998</v>
      </c>
      <c r="L42" s="26">
        <f t="shared" si="9"/>
        <v>-11379310343.827583</v>
      </c>
      <c r="M42" s="36">
        <f>'Reference Score Calculation'!U293</f>
        <v>50</v>
      </c>
      <c r="N42" s="54">
        <f>入學要求!Z302</f>
        <v>0</v>
      </c>
      <c r="O42" s="544"/>
      <c r="P42" s="246">
        <f>入學要求!L302</f>
        <v>3</v>
      </c>
      <c r="Q42" s="246">
        <f>入學要求!M302</f>
        <v>3</v>
      </c>
      <c r="R42" s="246">
        <f>入學要求!N302</f>
        <v>4</v>
      </c>
      <c r="S42" s="246">
        <f>入學要求!O302</f>
        <v>1</v>
      </c>
      <c r="T42" s="246">
        <f>入學要求!P302</f>
        <v>3</v>
      </c>
      <c r="U42" s="246">
        <f>入學要求!Q302</f>
        <v>4</v>
      </c>
      <c r="V42" s="236">
        <f>入學要求!S302</f>
        <v>0</v>
      </c>
      <c r="W42" s="236">
        <f>入學要求!T302</f>
        <v>0</v>
      </c>
      <c r="X42" s="236">
        <f>入學要求!U302</f>
        <v>0</v>
      </c>
      <c r="Y42" s="236">
        <f>入學要求!V302</f>
        <v>0</v>
      </c>
      <c r="Z42" s="236">
        <f>入學要求!W302</f>
        <v>0</v>
      </c>
      <c r="AA42" s="236">
        <f>入學要求!X302</f>
        <v>0</v>
      </c>
      <c r="AB42" s="36">
        <f t="shared" si="10"/>
        <v>15.89</v>
      </c>
      <c r="AC42" s="537"/>
      <c r="AD42" s="36" cm="1">
        <f t="array" ref="AD42">IFERROR(INDEX('Offer Statistics'!DA$2:DA$400,MATCH(1,($A42='Offer Statistics'!$CL$2:$CL$400)*($AC$2='Offer Statistics'!$CM$2:$CM$400),0)),"/")</f>
        <v>54</v>
      </c>
      <c r="AE42" s="63" cm="1">
        <f t="array" ref="AE42">IFERROR(INDEX('Offer Statistics'!CV$2:CV$400,MATCH(1,($A42='Offer Statistics'!$CL$2:$CL$400)*($AC$2='Offer Statistics'!$CM$2:$CM$400),0)),"/")</f>
        <v>54</v>
      </c>
      <c r="AF42" s="63" cm="1">
        <f t="array" ref="AF42">IFERROR(INDEX('Offer Statistics'!CW$2:CW$400,MATCH(1,($A42='Offer Statistics'!$CL$2:$CL$400)*($AC$2='Offer Statistics'!$CM$2:$CM$400),0)),"/")</f>
        <v>0</v>
      </c>
      <c r="AG42" s="63" cm="1">
        <f t="array" ref="AG42">IFERROR(INDEX('Offer Statistics'!CX$2:CX$400,MATCH(1,($A42='Offer Statistics'!$CL$2:$CL$400)*($AC$2='Offer Statistics'!$CM$2:$CM$400),0)),"/")</f>
        <v>0</v>
      </c>
      <c r="AH42" s="63" cm="1">
        <f t="array" ref="AH42">IFERROR(INDEX('Offer Statistics'!CY$2:CY$400,MATCH(1,($A42='Offer Statistics'!$CL$2:$CL$400)*($AC$2='Offer Statistics'!$CM$2:$CM$400),0)),"/")</f>
        <v>0</v>
      </c>
      <c r="AI42" s="63" cm="1">
        <f t="array" ref="AI42">IFERROR(INDEX('Offer Statistics'!CZ$2:CZ$400,MATCH(1,($A42='Offer Statistics'!$CL$2:$CL$400)*($AC$2='Offer Statistics'!$CM$2:$CM$400),0)),"/")</f>
        <v>0</v>
      </c>
      <c r="AJ42" s="538"/>
      <c r="AK42" s="36" cm="1">
        <f t="array" ref="AK42">IFERROR(INDEX('Offer Statistics'!CS$2:CS$400,MATCH(1,($A42='Offer Statistics'!$CL$2:$CL$400)*($AC$2='Offer Statistics'!$CM$2:$CM$400),0)),"/")</f>
        <v>858</v>
      </c>
      <c r="AL42" s="63" cm="1">
        <f t="array" ref="AL42">IFERROR(INDEX('Offer Statistics'!CN$2:CN$400,MATCH(1,($A42='Offer Statistics'!$CL$2:$CL$400)*($AC$2='Offer Statistics'!$CM$2:$CM$400),0)),"/")</f>
        <v>239</v>
      </c>
      <c r="AM42" s="63" cm="1">
        <f t="array" ref="AM42">IFERROR(INDEX('Offer Statistics'!CO$2:CO$400,MATCH(1,($A42='Offer Statistics'!$CL$2:$CL$400)*($AC$2='Offer Statistics'!$CM$2:$CM$400),0)),"/")</f>
        <v>105</v>
      </c>
      <c r="AN42" s="63" cm="1">
        <f t="array" ref="AN42">IFERROR(INDEX('Offer Statistics'!CP$2:CP$400,MATCH(1,($A42='Offer Statistics'!$CL$2:$CL$400)*($AC$2='Offer Statistics'!$CM$2:$CM$400),0)),"/")</f>
        <v>154</v>
      </c>
      <c r="AO42" s="63" cm="1">
        <f t="array" ref="AO42">IFERROR(INDEX('Offer Statistics'!CQ$2:CQ$400,MATCH(1,($A42='Offer Statistics'!$CL$2:$CL$400)*($AC$2='Offer Statistics'!$CM$2:$CM$400),0)),"/")</f>
        <v>198</v>
      </c>
      <c r="AP42" s="63" cm="1">
        <f t="array" ref="AP42">IFERROR(INDEX('Offer Statistics'!CR$2:CR$400,MATCH(1,($A42='Offer Statistics'!$CL$2:$CL$400)*($AC$2='Offer Statistics'!$CM$2:$CM$400),0)),"/")</f>
        <v>162</v>
      </c>
      <c r="AR42" s="15" t="str">
        <f t="shared" si="11"/>
        <v>JS6729</v>
      </c>
    </row>
    <row r="43" spans="1:44" ht="18" customHeight="1">
      <c r="A43" s="4" t="str">
        <f>'Reference Score Calculation'!B294</f>
        <v>JS6858</v>
      </c>
      <c r="B43" s="4" t="str">
        <f>'Reference Score Calculation'!D294</f>
        <v>理學院</v>
      </c>
      <c r="C43" s="4" t="str">
        <f>'Reference Score Calculation'!E294</f>
        <v>理學士及法學士(雙學位課程)</v>
      </c>
      <c r="D43" s="4" t="str">
        <f>'Reference Score Calculation'!S294</f>
        <v>BSc&amp;LLB</v>
      </c>
      <c r="E43" s="352" t="str">
        <f>'Reference Score Calculation'!AC294</f>
        <v>Best 6</v>
      </c>
      <c r="F43" s="351" t="str">
        <f>'Reference Score Calculation'!F294</f>
        <v>Best 6</v>
      </c>
      <c r="G43" s="6">
        <f>'Reference Score Calculation'!H294</f>
        <v>57</v>
      </c>
      <c r="H43" s="6">
        <f>'Reference Score Calculation'!I294</f>
        <v>54</v>
      </c>
      <c r="I43" s="6">
        <f>'Reference Score Calculation'!J294</f>
        <v>53</v>
      </c>
      <c r="J43" s="45">
        <f>計分版!J317</f>
        <v>5.0000000000000001E-9</v>
      </c>
      <c r="K43" s="25">
        <f t="shared" si="8"/>
        <v>-53.999999995000003</v>
      </c>
      <c r="L43" s="26">
        <f t="shared" si="9"/>
        <v>-10799999999</v>
      </c>
      <c r="M43" s="36">
        <f>'Reference Score Calculation'!U294</f>
        <v>20</v>
      </c>
      <c r="N43" s="54">
        <f>入學要求!Z303</f>
        <v>0</v>
      </c>
      <c r="O43" s="544"/>
      <c r="P43" s="246">
        <f>入學要求!L303</f>
        <v>4</v>
      </c>
      <c r="Q43" s="246">
        <f>入學要求!M303</f>
        <v>5</v>
      </c>
      <c r="R43" s="246">
        <f>入學要求!N303</f>
        <v>2</v>
      </c>
      <c r="S43" s="246">
        <f>入學要求!O303</f>
        <v>1</v>
      </c>
      <c r="T43" s="246">
        <f>入學要求!P303</f>
        <v>3</v>
      </c>
      <c r="U43" s="246">
        <f>入學要求!Q303</f>
        <v>3</v>
      </c>
      <c r="V43" s="236">
        <f>入學要求!S303</f>
        <v>0</v>
      </c>
      <c r="W43" s="236">
        <f>入學要求!T303</f>
        <v>0</v>
      </c>
      <c r="X43" s="236">
        <f>入學要求!U303</f>
        <v>0</v>
      </c>
      <c r="Y43" s="236">
        <f>入學要求!V303</f>
        <v>0</v>
      </c>
      <c r="Z43" s="236">
        <f>入學要求!W303</f>
        <v>0</v>
      </c>
      <c r="AA43" s="236">
        <f>入學要求!X303</f>
        <v>0</v>
      </c>
      <c r="AB43" s="36">
        <f t="shared" si="10"/>
        <v>11.63</v>
      </c>
      <c r="AC43" s="537"/>
      <c r="AD43" s="36" cm="1">
        <f t="array" ref="AD43">IFERROR(INDEX('Offer Statistics'!DA$2:DA$400,MATCH(1,($A43='Offer Statistics'!$CL$2:$CL$400)*($AC$2='Offer Statistics'!$CM$2:$CM$400),0)),"/")</f>
        <v>24</v>
      </c>
      <c r="AE43" s="63" cm="1">
        <f t="array" ref="AE43">IFERROR(INDEX('Offer Statistics'!CV$2:CV$400,MATCH(1,($A43='Offer Statistics'!$CL$2:$CL$400)*($AC$2='Offer Statistics'!$CM$2:$CM$400),0)),"/")</f>
        <v>24</v>
      </c>
      <c r="AF43" s="63" cm="1">
        <f t="array" ref="AF43">IFERROR(INDEX('Offer Statistics'!CW$2:CW$400,MATCH(1,($A43='Offer Statistics'!$CL$2:$CL$400)*($AC$2='Offer Statistics'!$CM$2:$CM$400),0)),"/")</f>
        <v>0</v>
      </c>
      <c r="AG43" s="63" cm="1">
        <f t="array" ref="AG43">IFERROR(INDEX('Offer Statistics'!CX$2:CX$400,MATCH(1,($A43='Offer Statistics'!$CL$2:$CL$400)*($AC$2='Offer Statistics'!$CM$2:$CM$400),0)),"/")</f>
        <v>0</v>
      </c>
      <c r="AH43" s="63" cm="1">
        <f t="array" ref="AH43">IFERROR(INDEX('Offer Statistics'!CY$2:CY$400,MATCH(1,($A43='Offer Statistics'!$CL$2:$CL$400)*($AC$2='Offer Statistics'!$CM$2:$CM$400),0)),"/")</f>
        <v>0</v>
      </c>
      <c r="AI43" s="63" cm="1">
        <f t="array" ref="AI43">IFERROR(INDEX('Offer Statistics'!CZ$2:CZ$400,MATCH(1,($A43='Offer Statistics'!$CL$2:$CL$400)*($AC$2='Offer Statistics'!$CM$2:$CM$400),0)),"/")</f>
        <v>0</v>
      </c>
      <c r="AJ43" s="538"/>
      <c r="AK43" s="36" cm="1">
        <f t="array" ref="AK43">IFERROR(INDEX('Offer Statistics'!CS$2:CS$400,MATCH(1,($A43='Offer Statistics'!$CL$2:$CL$400)*($AC$2='Offer Statistics'!$CM$2:$CM$400),0)),"/")</f>
        <v>279</v>
      </c>
      <c r="AL43" s="63" cm="1">
        <f t="array" ref="AL43">IFERROR(INDEX('Offer Statistics'!CN$2:CN$400,MATCH(1,($A43='Offer Statistics'!$CL$2:$CL$400)*($AC$2='Offer Statistics'!$CM$2:$CM$400),0)),"/")</f>
        <v>51</v>
      </c>
      <c r="AM43" s="63" cm="1">
        <f t="array" ref="AM43">IFERROR(INDEX('Offer Statistics'!CO$2:CO$400,MATCH(1,($A43='Offer Statistics'!$CL$2:$CL$400)*($AC$2='Offer Statistics'!$CM$2:$CM$400),0)),"/")</f>
        <v>27</v>
      </c>
      <c r="AN43" s="63" cm="1">
        <f t="array" ref="AN43">IFERROR(INDEX('Offer Statistics'!CP$2:CP$400,MATCH(1,($A43='Offer Statistics'!$CL$2:$CL$400)*($AC$2='Offer Statistics'!$CM$2:$CM$400),0)),"/")</f>
        <v>56</v>
      </c>
      <c r="AO43" s="63" cm="1">
        <f t="array" ref="AO43">IFERROR(INDEX('Offer Statistics'!CQ$2:CQ$400,MATCH(1,($A43='Offer Statistics'!$CL$2:$CL$400)*($AC$2='Offer Statistics'!$CM$2:$CM$400),0)),"/")</f>
        <v>69</v>
      </c>
      <c r="AP43" s="63" cm="1">
        <f t="array" ref="AP43">IFERROR(INDEX('Offer Statistics'!CR$2:CR$400,MATCH(1,($A43='Offer Statistics'!$CL$2:$CL$400)*($AC$2='Offer Statistics'!$CM$2:$CM$400),0)),"/")</f>
        <v>76</v>
      </c>
      <c r="AR43" s="15" t="str">
        <f t="shared" si="11"/>
        <v>JS6858</v>
      </c>
    </row>
    <row r="44" spans="1:44" ht="18" customHeight="1">
      <c r="A44" s="4" t="str">
        <f>'Reference Score Calculation'!B295</f>
        <v>JS6901</v>
      </c>
      <c r="B44" s="4" t="str">
        <f>'Reference Score Calculation'!D295</f>
        <v>理學院</v>
      </c>
      <c r="C44" s="4" t="str">
        <f>'Reference Score Calculation'!E295</f>
        <v>理學士</v>
      </c>
      <c r="D44" s="4" t="str">
        <f>'Reference Score Calculation'!S295</f>
        <v>BSc</v>
      </c>
      <c r="E44" s="352" t="str">
        <f>'Reference Score Calculation'!AC295</f>
        <v>Best 5</v>
      </c>
      <c r="F44" s="351" t="str">
        <f>'Reference Score Calculation'!F295</f>
        <v>Best 5</v>
      </c>
      <c r="G44" s="6">
        <f>'Reference Score Calculation'!H295</f>
        <v>37</v>
      </c>
      <c r="H44" s="6">
        <f>'Reference Score Calculation'!I295</f>
        <v>34</v>
      </c>
      <c r="I44" s="6">
        <f>'Reference Score Calculation'!J295</f>
        <v>33</v>
      </c>
      <c r="J44" s="45">
        <f>計分版!J318</f>
        <v>2.9499999999999999E-9</v>
      </c>
      <c r="K44" s="25">
        <f t="shared" si="8"/>
        <v>-33.999999997049997</v>
      </c>
      <c r="L44" s="26">
        <f t="shared" si="9"/>
        <v>-11525423727.813559</v>
      </c>
      <c r="M44" s="36">
        <f>'Reference Score Calculation'!U295</f>
        <v>253</v>
      </c>
      <c r="N44" s="54">
        <f>入學要求!Z304</f>
        <v>0</v>
      </c>
      <c r="O44" s="544"/>
      <c r="P44" s="246">
        <f>入學要求!L304</f>
        <v>3</v>
      </c>
      <c r="Q44" s="246">
        <f>入學要求!M304</f>
        <v>3</v>
      </c>
      <c r="R44" s="246">
        <f>入學要求!N304</f>
        <v>2</v>
      </c>
      <c r="S44" s="246">
        <f>入學要求!O304</f>
        <v>1</v>
      </c>
      <c r="T44" s="246">
        <f>入學要求!P304</f>
        <v>3</v>
      </c>
      <c r="U44" s="246">
        <f>入學要求!Q304</f>
        <v>3</v>
      </c>
      <c r="V44" s="236">
        <f>入學要求!S304</f>
        <v>0</v>
      </c>
      <c r="W44" s="236">
        <f>入學要求!T304</f>
        <v>0</v>
      </c>
      <c r="X44" s="236">
        <f>入學要求!U304</f>
        <v>0</v>
      </c>
      <c r="Y44" s="236">
        <f>入學要求!V304</f>
        <v>0</v>
      </c>
      <c r="Z44" s="236">
        <f>入學要求!W304</f>
        <v>0</v>
      </c>
      <c r="AA44" s="236">
        <f>入學要求!X304</f>
        <v>0</v>
      </c>
      <c r="AB44" s="36">
        <f t="shared" si="10"/>
        <v>22.97</v>
      </c>
      <c r="AC44" s="537"/>
      <c r="AD44" s="36" cm="1">
        <f t="array" ref="AD44">IFERROR(INDEX('Offer Statistics'!DA$2:DA$400,MATCH(1,($A44='Offer Statistics'!$CL$2:$CL$400)*($AC$2='Offer Statistics'!$CM$2:$CM$400),0)),"/")</f>
        <v>211</v>
      </c>
      <c r="AE44" s="63" cm="1">
        <f t="array" ref="AE44">IFERROR(INDEX('Offer Statistics'!CV$2:CV$400,MATCH(1,($A44='Offer Statistics'!$CL$2:$CL$400)*($AC$2='Offer Statistics'!$CM$2:$CM$400),0)),"/")</f>
        <v>211</v>
      </c>
      <c r="AF44" s="63" cm="1">
        <f t="array" ref="AF44">IFERROR(INDEX('Offer Statistics'!CW$2:CW$400,MATCH(1,($A44='Offer Statistics'!$CL$2:$CL$400)*($AC$2='Offer Statistics'!$CM$2:$CM$400),0)),"/")</f>
        <v>0</v>
      </c>
      <c r="AG44" s="63" cm="1">
        <f t="array" ref="AG44">IFERROR(INDEX('Offer Statistics'!CX$2:CX$400,MATCH(1,($A44='Offer Statistics'!$CL$2:$CL$400)*($AC$2='Offer Statistics'!$CM$2:$CM$400),0)),"/")</f>
        <v>0</v>
      </c>
      <c r="AH44" s="63" cm="1">
        <f t="array" ref="AH44">IFERROR(INDEX('Offer Statistics'!CY$2:CY$400,MATCH(1,($A44='Offer Statistics'!$CL$2:$CL$400)*($AC$2='Offer Statistics'!$CM$2:$CM$400),0)),"/")</f>
        <v>0</v>
      </c>
      <c r="AI44" s="63" cm="1">
        <f t="array" ref="AI44">IFERROR(INDEX('Offer Statistics'!CZ$2:CZ$400,MATCH(1,($A44='Offer Statistics'!$CL$2:$CL$400)*($AC$2='Offer Statistics'!$CM$2:$CM$400),0)),"/")</f>
        <v>0</v>
      </c>
      <c r="AJ44" s="538"/>
      <c r="AK44" s="36" cm="1">
        <f t="array" ref="AK44">IFERROR(INDEX('Offer Statistics'!CS$2:CS$400,MATCH(1,($A44='Offer Statistics'!$CL$2:$CL$400)*($AC$2='Offer Statistics'!$CM$2:$CM$400),0)),"/")</f>
        <v>4847</v>
      </c>
      <c r="AL44" s="63" cm="1">
        <f t="array" ref="AL44">IFERROR(INDEX('Offer Statistics'!CN$2:CN$400,MATCH(1,($A44='Offer Statistics'!$CL$2:$CL$400)*($AC$2='Offer Statistics'!$CM$2:$CM$400),0)),"/")</f>
        <v>1473</v>
      </c>
      <c r="AM44" s="63" cm="1">
        <f t="array" ref="AM44">IFERROR(INDEX('Offer Statistics'!CO$2:CO$400,MATCH(1,($A44='Offer Statistics'!$CL$2:$CL$400)*($AC$2='Offer Statistics'!$CM$2:$CM$400),0)),"/")</f>
        <v>859</v>
      </c>
      <c r="AN44" s="63" cm="1">
        <f t="array" ref="AN44">IFERROR(INDEX('Offer Statistics'!CP$2:CP$400,MATCH(1,($A44='Offer Statistics'!$CL$2:$CL$400)*($AC$2='Offer Statistics'!$CM$2:$CM$400),0)),"/")</f>
        <v>886</v>
      </c>
      <c r="AO44" s="63" cm="1">
        <f t="array" ref="AO44">IFERROR(INDEX('Offer Statistics'!CQ$2:CQ$400,MATCH(1,($A44='Offer Statistics'!$CL$2:$CL$400)*($AC$2='Offer Statistics'!$CM$2:$CM$400),0)),"/")</f>
        <v>939</v>
      </c>
      <c r="AP44" s="63" cm="1">
        <f t="array" ref="AP44">IFERROR(INDEX('Offer Statistics'!CR$2:CR$400,MATCH(1,($A44='Offer Statistics'!$CL$2:$CL$400)*($AC$2='Offer Statistics'!$CM$2:$CM$400),0)),"/")</f>
        <v>690</v>
      </c>
      <c r="AR44" s="15" t="str">
        <f t="shared" si="11"/>
        <v>JS6901</v>
      </c>
    </row>
    <row r="45" spans="1:44" ht="18" customHeight="1">
      <c r="A45" s="4" t="str">
        <f>'Reference Score Calculation'!B296</f>
        <v>JS6705</v>
      </c>
      <c r="B45" s="4" t="str">
        <f>'Reference Score Calculation'!D296</f>
        <v>社會科學院</v>
      </c>
      <c r="C45" s="4" t="str">
        <f>'Reference Score Calculation'!E296</f>
        <v>心理學學士</v>
      </c>
      <c r="D45" s="4" t="str">
        <f>'Reference Score Calculation'!S296</f>
        <v>BPsych</v>
      </c>
      <c r="E45" s="352" t="str">
        <f>'Reference Score Calculation'!AC296</f>
        <v>Best 5</v>
      </c>
      <c r="F45" s="334" t="str">
        <f>'Reference Score Calculation'!F296</f>
        <v>Best 5</v>
      </c>
      <c r="G45" s="6">
        <f>'Reference Score Calculation'!H296</f>
        <v>32</v>
      </c>
      <c r="H45" s="6">
        <f>'Reference Score Calculation'!I296</f>
        <v>29</v>
      </c>
      <c r="I45" s="6">
        <f>'Reference Score Calculation'!J296</f>
        <v>28</v>
      </c>
      <c r="J45" s="45">
        <f>計分版!J319</f>
        <v>3.4999999999999999E-9</v>
      </c>
      <c r="K45" s="25">
        <f t="shared" si="8"/>
        <v>-28.999999996500001</v>
      </c>
      <c r="L45" s="26">
        <f t="shared" si="9"/>
        <v>-8285714284.7142868</v>
      </c>
      <c r="M45" s="36">
        <f>'Reference Score Calculation'!U296</f>
        <v>74</v>
      </c>
      <c r="N45" s="54">
        <f>入學要求!Z305</f>
        <v>0</v>
      </c>
      <c r="O45" s="544"/>
      <c r="P45" s="246">
        <f>入學要求!L305</f>
        <v>3</v>
      </c>
      <c r="Q45" s="246">
        <f>入學要求!M305</f>
        <v>3</v>
      </c>
      <c r="R45" s="246">
        <f>入學要求!N305</f>
        <v>2</v>
      </c>
      <c r="S45" s="246">
        <f>入學要求!O305</f>
        <v>1</v>
      </c>
      <c r="T45" s="246">
        <f>入學要求!P305</f>
        <v>3</v>
      </c>
      <c r="U45" s="246">
        <f>入學要求!Q305</f>
        <v>3</v>
      </c>
      <c r="V45" s="236">
        <f>入學要求!S305</f>
        <v>0</v>
      </c>
      <c r="W45" s="236">
        <f>入學要求!T305</f>
        <v>0</v>
      </c>
      <c r="X45" s="236">
        <f>入學要求!U305</f>
        <v>0</v>
      </c>
      <c r="Y45" s="236">
        <f>入學要求!V305</f>
        <v>0</v>
      </c>
      <c r="Z45" s="236">
        <f>入學要求!W305</f>
        <v>0</v>
      </c>
      <c r="AA45" s="236">
        <f>入學要求!X305</f>
        <v>0</v>
      </c>
      <c r="AB45" s="36">
        <f t="shared" si="10"/>
        <v>87.2</v>
      </c>
      <c r="AC45" s="537"/>
      <c r="AD45" s="36" cm="1">
        <f t="array" ref="AD45">IFERROR(INDEX('Offer Statistics'!DA$2:DA$400,MATCH(1,($A45='Offer Statistics'!$CL$2:$CL$400)*($AC$2='Offer Statistics'!$CM$2:$CM$400),0)),"/")</f>
        <v>35</v>
      </c>
      <c r="AE45" s="63" cm="1">
        <f t="array" ref="AE45">IFERROR(INDEX('Offer Statistics'!CV$2:CV$400,MATCH(1,($A45='Offer Statistics'!$CL$2:$CL$400)*($AC$2='Offer Statistics'!$CM$2:$CM$400),0)),"/")</f>
        <v>34</v>
      </c>
      <c r="AF45" s="63" cm="1">
        <f t="array" ref="AF45">IFERROR(INDEX('Offer Statistics'!CW$2:CW$400,MATCH(1,($A45='Offer Statistics'!$CL$2:$CL$400)*($AC$2='Offer Statistics'!$CM$2:$CM$400),0)),"/")</f>
        <v>1</v>
      </c>
      <c r="AG45" s="63" cm="1">
        <f t="array" ref="AG45">IFERROR(INDEX('Offer Statistics'!CX$2:CX$400,MATCH(1,($A45='Offer Statistics'!$CL$2:$CL$400)*($AC$2='Offer Statistics'!$CM$2:$CM$400),0)),"/")</f>
        <v>0</v>
      </c>
      <c r="AH45" s="63" cm="1">
        <f t="array" ref="AH45">IFERROR(INDEX('Offer Statistics'!CY$2:CY$400,MATCH(1,($A45='Offer Statistics'!$CL$2:$CL$400)*($AC$2='Offer Statistics'!$CM$2:$CM$400),0)),"/")</f>
        <v>0</v>
      </c>
      <c r="AI45" s="63" cm="1">
        <f t="array" ref="AI45">IFERROR(INDEX('Offer Statistics'!CZ$2:CZ$400,MATCH(1,($A45='Offer Statistics'!$CL$2:$CL$400)*($AC$2='Offer Statistics'!$CM$2:$CM$400),0)),"/")</f>
        <v>0</v>
      </c>
      <c r="AJ45" s="538"/>
      <c r="AK45" s="36" cm="1">
        <f t="array" ref="AK45">IFERROR(INDEX('Offer Statistics'!CS$2:CS$400,MATCH(1,($A45='Offer Statistics'!$CL$2:$CL$400)*($AC$2='Offer Statistics'!$CM$2:$CM$400),0)),"/")</f>
        <v>3052</v>
      </c>
      <c r="AL45" s="63" cm="1">
        <f t="array" ref="AL45">IFERROR(INDEX('Offer Statistics'!CN$2:CN$400,MATCH(1,($A45='Offer Statistics'!$CL$2:$CL$400)*($AC$2='Offer Statistics'!$CM$2:$CM$400),0)),"/")</f>
        <v>247</v>
      </c>
      <c r="AM45" s="63" cm="1">
        <f t="array" ref="AM45">IFERROR(INDEX('Offer Statistics'!CO$2:CO$400,MATCH(1,($A45='Offer Statistics'!$CL$2:$CL$400)*($AC$2='Offer Statistics'!$CM$2:$CM$400),0)),"/")</f>
        <v>292</v>
      </c>
      <c r="AN45" s="63" cm="1">
        <f t="array" ref="AN45">IFERROR(INDEX('Offer Statistics'!CP$2:CP$400,MATCH(1,($A45='Offer Statistics'!$CL$2:$CL$400)*($AC$2='Offer Statistics'!$CM$2:$CM$400),0)),"/")</f>
        <v>611</v>
      </c>
      <c r="AO45" s="63" cm="1">
        <f t="array" ref="AO45">IFERROR(INDEX('Offer Statistics'!CQ$2:CQ$400,MATCH(1,($A45='Offer Statistics'!$CL$2:$CL$400)*($AC$2='Offer Statistics'!$CM$2:$CM$400),0)),"/")</f>
        <v>955</v>
      </c>
      <c r="AP45" s="63" cm="1">
        <f t="array" ref="AP45">IFERROR(INDEX('Offer Statistics'!CR$2:CR$400,MATCH(1,($A45='Offer Statistics'!$CL$2:$CL$400)*($AC$2='Offer Statistics'!$CM$2:$CM$400),0)),"/")</f>
        <v>947</v>
      </c>
      <c r="AR45" s="15" t="str">
        <f t="shared" si="11"/>
        <v>JS6705</v>
      </c>
    </row>
    <row r="46" spans="1:44" ht="18" customHeight="1">
      <c r="A46" s="4" t="str">
        <f>'Reference Score Calculation'!B297</f>
        <v>JS6717</v>
      </c>
      <c r="B46" s="4" t="str">
        <f>'Reference Score Calculation'!D297</f>
        <v>社會科學院</v>
      </c>
      <c r="C46" s="4" t="str">
        <f>'Reference Score Calculation'!E297</f>
        <v>社會科學學士</v>
      </c>
      <c r="D46" s="4" t="str">
        <f>'Reference Score Calculation'!S297</f>
        <v>BSocSc</v>
      </c>
      <c r="E46" s="352" t="str">
        <f>'Reference Score Calculation'!AC297</f>
        <v>Best 5</v>
      </c>
      <c r="F46" s="334" t="str">
        <f>'Reference Score Calculation'!F297</f>
        <v>Best 5</v>
      </c>
      <c r="G46" s="6">
        <f>'Reference Score Calculation'!H297</f>
        <v>27</v>
      </c>
      <c r="H46" s="6">
        <f>'Reference Score Calculation'!I297</f>
        <v>26</v>
      </c>
      <c r="I46" s="6">
        <f>'Reference Score Calculation'!J297</f>
        <v>25</v>
      </c>
      <c r="J46" s="45">
        <f>計分版!J320</f>
        <v>3.4999999999999999E-9</v>
      </c>
      <c r="K46" s="25">
        <f t="shared" si="8"/>
        <v>-25.999999996500001</v>
      </c>
      <c r="L46" s="26">
        <f t="shared" si="9"/>
        <v>-7428571427.5714293</v>
      </c>
      <c r="M46" s="36">
        <f>'Reference Score Calculation'!U297</f>
        <v>72</v>
      </c>
      <c r="N46" s="54">
        <f>入學要求!Z306</f>
        <v>0</v>
      </c>
      <c r="O46" s="544"/>
      <c r="P46" s="246">
        <f>入學要求!L306</f>
        <v>3</v>
      </c>
      <c r="Q46" s="246">
        <f>入學要求!M306</f>
        <v>3</v>
      </c>
      <c r="R46" s="246">
        <f>入學要求!N306</f>
        <v>2</v>
      </c>
      <c r="S46" s="246">
        <f>入學要求!O306</f>
        <v>1</v>
      </c>
      <c r="T46" s="246">
        <f>入學要求!P306</f>
        <v>3</v>
      </c>
      <c r="U46" s="246">
        <f>入學要求!Q306</f>
        <v>3</v>
      </c>
      <c r="V46" s="236">
        <f>入學要求!S306</f>
        <v>0</v>
      </c>
      <c r="W46" s="236">
        <f>入學要求!T306</f>
        <v>0</v>
      </c>
      <c r="X46" s="236">
        <f>入學要求!U306</f>
        <v>0</v>
      </c>
      <c r="Y46" s="236">
        <f>入學要求!V306</f>
        <v>0</v>
      </c>
      <c r="Z46" s="236">
        <f>入學要求!W306</f>
        <v>0</v>
      </c>
      <c r="AA46" s="236">
        <f>入學要求!X306</f>
        <v>0</v>
      </c>
      <c r="AB46" s="36">
        <f t="shared" si="10"/>
        <v>45.77</v>
      </c>
      <c r="AC46" s="537"/>
      <c r="AD46" s="36" cm="1">
        <f t="array" ref="AD46">IFERROR(INDEX('Offer Statistics'!DA$2:DA$400,MATCH(1,($A46='Offer Statistics'!$CL$2:$CL$400)*($AC$2='Offer Statistics'!$CM$2:$CM$400),0)),"/")</f>
        <v>81</v>
      </c>
      <c r="AE46" s="63" cm="1">
        <f t="array" ref="AE46">IFERROR(INDEX('Offer Statistics'!CV$2:CV$400,MATCH(1,($A46='Offer Statistics'!$CL$2:$CL$400)*($AC$2='Offer Statistics'!$CM$2:$CM$400),0)),"/")</f>
        <v>81</v>
      </c>
      <c r="AF46" s="63" cm="1">
        <f t="array" ref="AF46">IFERROR(INDEX('Offer Statistics'!CW$2:CW$400,MATCH(1,($A46='Offer Statistics'!$CL$2:$CL$400)*($AC$2='Offer Statistics'!$CM$2:$CM$400),0)),"/")</f>
        <v>0</v>
      </c>
      <c r="AG46" s="63" cm="1">
        <f t="array" ref="AG46">IFERROR(INDEX('Offer Statistics'!CX$2:CX$400,MATCH(1,($A46='Offer Statistics'!$CL$2:$CL$400)*($AC$2='Offer Statistics'!$CM$2:$CM$400),0)),"/")</f>
        <v>0</v>
      </c>
      <c r="AH46" s="63" cm="1">
        <f t="array" ref="AH46">IFERROR(INDEX('Offer Statistics'!CY$2:CY$400,MATCH(1,($A46='Offer Statistics'!$CL$2:$CL$400)*($AC$2='Offer Statistics'!$CM$2:$CM$400),0)),"/")</f>
        <v>0</v>
      </c>
      <c r="AI46" s="63" cm="1">
        <f t="array" ref="AI46">IFERROR(INDEX('Offer Statistics'!CZ$2:CZ$400,MATCH(1,($A46='Offer Statistics'!$CL$2:$CL$400)*($AC$2='Offer Statistics'!$CM$2:$CM$400),0)),"/")</f>
        <v>0</v>
      </c>
      <c r="AJ46" s="538"/>
      <c r="AK46" s="36" cm="1">
        <f t="array" ref="AK46">IFERROR(INDEX('Offer Statistics'!CS$2:CS$400,MATCH(1,($A46='Offer Statistics'!$CL$2:$CL$400)*($AC$2='Offer Statistics'!$CM$2:$CM$400),0)),"/")</f>
        <v>3707</v>
      </c>
      <c r="AL46" s="63" cm="1">
        <f t="array" ref="AL46">IFERROR(INDEX('Offer Statistics'!CN$2:CN$400,MATCH(1,($A46='Offer Statistics'!$CL$2:$CL$400)*($AC$2='Offer Statistics'!$CM$2:$CM$400),0)),"/")</f>
        <v>359</v>
      </c>
      <c r="AM46" s="63" cm="1">
        <f t="array" ref="AM46">IFERROR(INDEX('Offer Statistics'!CO$2:CO$400,MATCH(1,($A46='Offer Statistics'!$CL$2:$CL$400)*($AC$2='Offer Statistics'!$CM$2:$CM$400),0)),"/")</f>
        <v>408</v>
      </c>
      <c r="AN46" s="63" cm="1">
        <f t="array" ref="AN46">IFERROR(INDEX('Offer Statistics'!CP$2:CP$400,MATCH(1,($A46='Offer Statistics'!$CL$2:$CL$400)*($AC$2='Offer Statistics'!$CM$2:$CM$400),0)),"/")</f>
        <v>731</v>
      </c>
      <c r="AO46" s="63" cm="1">
        <f t="array" ref="AO46">IFERROR(INDEX('Offer Statistics'!CQ$2:CQ$400,MATCH(1,($A46='Offer Statistics'!$CL$2:$CL$400)*($AC$2='Offer Statistics'!$CM$2:$CM$400),0)),"/")</f>
        <v>1134</v>
      </c>
      <c r="AP46" s="63" cm="1">
        <f t="array" ref="AP46">IFERROR(INDEX('Offer Statistics'!CR$2:CR$400,MATCH(1,($A46='Offer Statistics'!$CL$2:$CL$400)*($AC$2='Offer Statistics'!$CM$2:$CM$400),0)),"/")</f>
        <v>1075</v>
      </c>
      <c r="AR46" s="15" t="str">
        <f t="shared" si="11"/>
        <v>JS6717</v>
      </c>
    </row>
    <row r="47" spans="1:44" ht="18" customHeight="1">
      <c r="A47" s="4" t="str">
        <f>'Reference Score Calculation'!B298</f>
        <v>JS6731</v>
      </c>
      <c r="B47" s="4" t="str">
        <f>'Reference Score Calculation'!D298</f>
        <v>社會科學院</v>
      </c>
      <c r="C47" s="4" t="str">
        <f>'Reference Score Calculation'!E298</f>
        <v>社會工作學學士</v>
      </c>
      <c r="D47" s="4" t="str">
        <f>'Reference Score Calculation'!S298</f>
        <v>BSW</v>
      </c>
      <c r="E47" s="352" t="str">
        <f>'Reference Score Calculation'!AC298</f>
        <v>Best 5</v>
      </c>
      <c r="F47" s="334" t="str">
        <f>'Reference Score Calculation'!F298</f>
        <v>Best 5</v>
      </c>
      <c r="G47" s="6">
        <f>'Reference Score Calculation'!H298</f>
        <v>29</v>
      </c>
      <c r="H47" s="6">
        <f>'Reference Score Calculation'!I298</f>
        <v>27</v>
      </c>
      <c r="I47" s="6">
        <f>'Reference Score Calculation'!J298</f>
        <v>26</v>
      </c>
      <c r="J47" s="45">
        <f>計分版!J321</f>
        <v>3.4999999999999999E-9</v>
      </c>
      <c r="K47" s="25">
        <f t="shared" si="8"/>
        <v>-26.999999996500001</v>
      </c>
      <c r="L47" s="26">
        <f t="shared" si="9"/>
        <v>-7714285713.2857151</v>
      </c>
      <c r="M47" s="36">
        <f>'Reference Score Calculation'!U298</f>
        <v>35</v>
      </c>
      <c r="N47" s="54">
        <f>入學要求!Z307</f>
        <v>0</v>
      </c>
      <c r="O47" s="544"/>
      <c r="P47" s="246">
        <f>入學要求!L307</f>
        <v>3</v>
      </c>
      <c r="Q47" s="246">
        <f>入學要求!M307</f>
        <v>3</v>
      </c>
      <c r="R47" s="246">
        <f>入學要求!N307</f>
        <v>2</v>
      </c>
      <c r="S47" s="246">
        <f>入學要求!O307</f>
        <v>1</v>
      </c>
      <c r="T47" s="246">
        <f>入學要求!P307</f>
        <v>3</v>
      </c>
      <c r="U47" s="246">
        <f>入學要求!Q307</f>
        <v>3</v>
      </c>
      <c r="V47" s="236">
        <f>入學要求!S307</f>
        <v>0</v>
      </c>
      <c r="W47" s="236">
        <f>入學要求!T307</f>
        <v>0</v>
      </c>
      <c r="X47" s="236">
        <f>入學要求!U307</f>
        <v>0</v>
      </c>
      <c r="Y47" s="236">
        <f>入學要求!V307</f>
        <v>0</v>
      </c>
      <c r="Z47" s="236">
        <f>入學要求!W307</f>
        <v>0</v>
      </c>
      <c r="AA47" s="236">
        <f>入學要求!X307</f>
        <v>0</v>
      </c>
      <c r="AB47" s="36">
        <f t="shared" si="10"/>
        <v>98.04</v>
      </c>
      <c r="AC47" s="537"/>
      <c r="AD47" s="36" cm="1">
        <f t="array" ref="AD47">IFERROR(INDEX('Offer Statistics'!DA$2:DA$400,MATCH(1,($A47='Offer Statistics'!$CL$2:$CL$400)*($AC$2='Offer Statistics'!$CM$2:$CM$400),0)),"/")</f>
        <v>23</v>
      </c>
      <c r="AE47" s="63" cm="1">
        <f t="array" ref="AE47">IFERROR(INDEX('Offer Statistics'!CV$2:CV$400,MATCH(1,($A47='Offer Statistics'!$CL$2:$CL$400)*($AC$2='Offer Statistics'!$CM$2:$CM$400),0)),"/")</f>
        <v>23</v>
      </c>
      <c r="AF47" s="63" cm="1">
        <f t="array" ref="AF47">IFERROR(INDEX('Offer Statistics'!CW$2:CW$400,MATCH(1,($A47='Offer Statistics'!$CL$2:$CL$400)*($AC$2='Offer Statistics'!$CM$2:$CM$400),0)),"/")</f>
        <v>0</v>
      </c>
      <c r="AG47" s="63" cm="1">
        <f t="array" ref="AG47">IFERROR(INDEX('Offer Statistics'!CX$2:CX$400,MATCH(1,($A47='Offer Statistics'!$CL$2:$CL$400)*($AC$2='Offer Statistics'!$CM$2:$CM$400),0)),"/")</f>
        <v>0</v>
      </c>
      <c r="AH47" s="63" cm="1">
        <f t="array" ref="AH47">IFERROR(INDEX('Offer Statistics'!CY$2:CY$400,MATCH(1,($A47='Offer Statistics'!$CL$2:$CL$400)*($AC$2='Offer Statistics'!$CM$2:$CM$400),0)),"/")</f>
        <v>0</v>
      </c>
      <c r="AI47" s="63" cm="1">
        <f t="array" ref="AI47">IFERROR(INDEX('Offer Statistics'!CZ$2:CZ$400,MATCH(1,($A47='Offer Statistics'!$CL$2:$CL$400)*($AC$2='Offer Statistics'!$CM$2:$CM$400),0)),"/")</f>
        <v>0</v>
      </c>
      <c r="AJ47" s="538"/>
      <c r="AK47" s="36" cm="1">
        <f t="array" ref="AK47">IFERROR(INDEX('Offer Statistics'!CS$2:CS$400,MATCH(1,($A47='Offer Statistics'!$CL$2:$CL$400)*($AC$2='Offer Statistics'!$CM$2:$CM$400),0)),"/")</f>
        <v>2255</v>
      </c>
      <c r="AL47" s="63" cm="1">
        <f t="array" ref="AL47">IFERROR(INDEX('Offer Statistics'!CN$2:CN$400,MATCH(1,($A47='Offer Statistics'!$CL$2:$CL$400)*($AC$2='Offer Statistics'!$CM$2:$CM$400),0)),"/")</f>
        <v>202</v>
      </c>
      <c r="AM47" s="63" cm="1">
        <f t="array" ref="AM47">IFERROR(INDEX('Offer Statistics'!CO$2:CO$400,MATCH(1,($A47='Offer Statistics'!$CL$2:$CL$400)*($AC$2='Offer Statistics'!$CM$2:$CM$400),0)),"/")</f>
        <v>249</v>
      </c>
      <c r="AN47" s="63" cm="1">
        <f t="array" ref="AN47">IFERROR(INDEX('Offer Statistics'!CP$2:CP$400,MATCH(1,($A47='Offer Statistics'!$CL$2:$CL$400)*($AC$2='Offer Statistics'!$CM$2:$CM$400),0)),"/")</f>
        <v>467</v>
      </c>
      <c r="AO47" s="63" cm="1">
        <f t="array" ref="AO47">IFERROR(INDEX('Offer Statistics'!CQ$2:CQ$400,MATCH(1,($A47='Offer Statistics'!$CL$2:$CL$400)*($AC$2='Offer Statistics'!$CM$2:$CM$400),0)),"/")</f>
        <v>668</v>
      </c>
      <c r="AP47" s="63" cm="1">
        <f t="array" ref="AP47">IFERROR(INDEX('Offer Statistics'!CR$2:CR$400,MATCH(1,($A47='Offer Statistics'!$CL$2:$CL$400)*($AC$2='Offer Statistics'!$CM$2:$CM$400),0)),"/")</f>
        <v>669</v>
      </c>
      <c r="AR47" s="15" t="str">
        <f t="shared" si="11"/>
        <v>JS6731</v>
      </c>
    </row>
    <row r="48" spans="1:44" ht="18" customHeight="1">
      <c r="A48" s="4" t="str">
        <f>'Reference Score Calculation'!B299</f>
        <v>JS6810</v>
      </c>
      <c r="B48" s="4" t="str">
        <f>'Reference Score Calculation'!D299</f>
        <v>社會科學院</v>
      </c>
      <c r="C48" s="4" t="str">
        <f>'Reference Score Calculation'!E299</f>
        <v>社會科學學士(政治學與法學)及法學士(雙學位課程)</v>
      </c>
      <c r="D48" s="4" t="str">
        <f>'Reference Score Calculation'!S299</f>
        <v>BSocSc(Govt&amp;Laws)&amp;LLB</v>
      </c>
      <c r="E48" s="352" t="str">
        <f>'Reference Score Calculation'!AC299</f>
        <v>Best 6</v>
      </c>
      <c r="F48" s="334" t="str">
        <f>'Reference Score Calculation'!F299</f>
        <v>Best 6</v>
      </c>
      <c r="G48" s="6">
        <f>'Reference Score Calculation'!H299</f>
        <v>39</v>
      </c>
      <c r="H48" s="6">
        <f>'Reference Score Calculation'!I299</f>
        <v>38</v>
      </c>
      <c r="I48" s="6">
        <f>'Reference Score Calculation'!J299</f>
        <v>36</v>
      </c>
      <c r="J48" s="45">
        <f>計分版!J322</f>
        <v>3.8000000000000001E-9</v>
      </c>
      <c r="K48" s="25">
        <f t="shared" si="8"/>
        <v>-37.999999996200003</v>
      </c>
      <c r="L48" s="26">
        <f t="shared" si="9"/>
        <v>-9999999999</v>
      </c>
      <c r="M48" s="36">
        <f>'Reference Score Calculation'!U299</f>
        <v>40</v>
      </c>
      <c r="N48" s="54">
        <f>入學要求!Z308</f>
        <v>0</v>
      </c>
      <c r="O48" s="544"/>
      <c r="P48" s="246">
        <f>入學要求!L308</f>
        <v>4</v>
      </c>
      <c r="Q48" s="246">
        <f>入學要求!M308</f>
        <v>5</v>
      </c>
      <c r="R48" s="246">
        <f>入學要求!N308</f>
        <v>3</v>
      </c>
      <c r="S48" s="246">
        <f>入學要求!O308</f>
        <v>1</v>
      </c>
      <c r="T48" s="246">
        <f>入學要求!P308</f>
        <v>3</v>
      </c>
      <c r="U48" s="246">
        <f>入學要求!Q308</f>
        <v>3</v>
      </c>
      <c r="V48" s="236">
        <f>入學要求!S308</f>
        <v>0</v>
      </c>
      <c r="W48" s="236">
        <f>入學要求!T308</f>
        <v>0</v>
      </c>
      <c r="X48" s="236">
        <f>入學要求!U308</f>
        <v>0</v>
      </c>
      <c r="Y48" s="236">
        <f>入學要求!V308</f>
        <v>0</v>
      </c>
      <c r="Z48" s="236">
        <f>入學要求!W308</f>
        <v>0</v>
      </c>
      <c r="AA48" s="236">
        <f>入學要求!X308</f>
        <v>0</v>
      </c>
      <c r="AB48" s="36">
        <f t="shared" si="10"/>
        <v>11.37</v>
      </c>
      <c r="AC48" s="537"/>
      <c r="AD48" s="36" cm="1">
        <f t="array" ref="AD48">IFERROR(INDEX('Offer Statistics'!DA$2:DA$400,MATCH(1,($A48='Offer Statistics'!$CL$2:$CL$400)*($AC$2='Offer Statistics'!$CM$2:$CM$400),0)),"/")</f>
        <v>35</v>
      </c>
      <c r="AE48" s="63" cm="1">
        <f t="array" ref="AE48">IFERROR(INDEX('Offer Statistics'!CV$2:CV$400,MATCH(1,($A48='Offer Statistics'!$CL$2:$CL$400)*($AC$2='Offer Statistics'!$CM$2:$CM$400),0)),"/")</f>
        <v>35</v>
      </c>
      <c r="AF48" s="63" cm="1">
        <f t="array" ref="AF48">IFERROR(INDEX('Offer Statistics'!CW$2:CW$400,MATCH(1,($A48='Offer Statistics'!$CL$2:$CL$400)*($AC$2='Offer Statistics'!$CM$2:$CM$400),0)),"/")</f>
        <v>0</v>
      </c>
      <c r="AG48" s="63" cm="1">
        <f t="array" ref="AG48">IFERROR(INDEX('Offer Statistics'!CX$2:CX$400,MATCH(1,($A48='Offer Statistics'!$CL$2:$CL$400)*($AC$2='Offer Statistics'!$CM$2:$CM$400),0)),"/")</f>
        <v>0</v>
      </c>
      <c r="AH48" s="63" cm="1">
        <f t="array" ref="AH48">IFERROR(INDEX('Offer Statistics'!CY$2:CY$400,MATCH(1,($A48='Offer Statistics'!$CL$2:$CL$400)*($AC$2='Offer Statistics'!$CM$2:$CM$400),0)),"/")</f>
        <v>0</v>
      </c>
      <c r="AI48" s="63" cm="1">
        <f t="array" ref="AI48">IFERROR(INDEX('Offer Statistics'!CZ$2:CZ$400,MATCH(1,($A48='Offer Statistics'!$CL$2:$CL$400)*($AC$2='Offer Statistics'!$CM$2:$CM$400),0)),"/")</f>
        <v>0</v>
      </c>
      <c r="AJ48" s="538"/>
      <c r="AK48" s="36" cm="1">
        <f t="array" ref="AK48">IFERROR(INDEX('Offer Statistics'!CS$2:CS$400,MATCH(1,($A48='Offer Statistics'!$CL$2:$CL$400)*($AC$2='Offer Statistics'!$CM$2:$CM$400),0)),"/")</f>
        <v>398</v>
      </c>
      <c r="AL48" s="63" cm="1">
        <f t="array" ref="AL48">IFERROR(INDEX('Offer Statistics'!CN$2:CN$400,MATCH(1,($A48='Offer Statistics'!$CL$2:$CL$400)*($AC$2='Offer Statistics'!$CM$2:$CM$400),0)),"/")</f>
        <v>64</v>
      </c>
      <c r="AM48" s="63" cm="1">
        <f t="array" ref="AM48">IFERROR(INDEX('Offer Statistics'!CO$2:CO$400,MATCH(1,($A48='Offer Statistics'!$CL$2:$CL$400)*($AC$2='Offer Statistics'!$CM$2:$CM$400),0)),"/")</f>
        <v>42</v>
      </c>
      <c r="AN48" s="63" cm="1">
        <f t="array" ref="AN48">IFERROR(INDEX('Offer Statistics'!CP$2:CP$400,MATCH(1,($A48='Offer Statistics'!$CL$2:$CL$400)*($AC$2='Offer Statistics'!$CM$2:$CM$400),0)),"/")</f>
        <v>74</v>
      </c>
      <c r="AO48" s="63" cm="1">
        <f t="array" ref="AO48">IFERROR(INDEX('Offer Statistics'!CQ$2:CQ$400,MATCH(1,($A48='Offer Statistics'!$CL$2:$CL$400)*($AC$2='Offer Statistics'!$CM$2:$CM$400),0)),"/")</f>
        <v>104</v>
      </c>
      <c r="AP48" s="63" cm="1">
        <f t="array" ref="AP48">IFERROR(INDEX('Offer Statistics'!CR$2:CR$400,MATCH(1,($A48='Offer Statistics'!$CL$2:$CL$400)*($AC$2='Offer Statistics'!$CM$2:$CM$400),0)),"/")</f>
        <v>114</v>
      </c>
      <c r="AR48" s="15" t="str">
        <f t="shared" si="11"/>
        <v>JS6810</v>
      </c>
    </row>
    <row r="49" spans="1:44" ht="18" customHeight="1">
      <c r="A49" s="4" t="str">
        <f>'Reference Score Calculation'!B300</f>
        <v>JS6822</v>
      </c>
      <c r="B49" s="4" t="str">
        <f>'Reference Score Calculation'!D300</f>
        <v>社會科學院</v>
      </c>
      <c r="C49" s="4" t="str">
        <f>'Reference Score Calculation'!E300</f>
        <v>新聞學學士</v>
      </c>
      <c r="D49" s="4" t="str">
        <f>'Reference Score Calculation'!S300</f>
        <v>BJ</v>
      </c>
      <c r="E49" s="352" t="str">
        <f>'Reference Score Calculation'!AC300</f>
        <v>Best 5</v>
      </c>
      <c r="F49" s="350" t="str">
        <f>'Reference Score Calculation'!F300</f>
        <v>Best 5</v>
      </c>
      <c r="G49" s="6">
        <f>'Reference Score Calculation'!H300</f>
        <v>29</v>
      </c>
      <c r="H49" s="6">
        <f>'Reference Score Calculation'!I300</f>
        <v>26</v>
      </c>
      <c r="I49" s="6">
        <f>'Reference Score Calculation'!J300</f>
        <v>26</v>
      </c>
      <c r="J49" s="45">
        <f>計分版!J323</f>
        <v>3.4999999999999999E-9</v>
      </c>
      <c r="K49" s="25">
        <f t="shared" si="8"/>
        <v>-25.999999996500001</v>
      </c>
      <c r="L49" s="26">
        <f t="shared" si="9"/>
        <v>-7428571427.5714293</v>
      </c>
      <c r="M49" s="36">
        <f>'Reference Score Calculation'!U300</f>
        <v>19</v>
      </c>
      <c r="N49" s="54">
        <f>入學要求!Z309</f>
        <v>0</v>
      </c>
      <c r="O49" s="544"/>
      <c r="P49" s="246">
        <f>入學要求!L309</f>
        <v>3</v>
      </c>
      <c r="Q49" s="246">
        <f>入學要求!M309</f>
        <v>3</v>
      </c>
      <c r="R49" s="246">
        <f>入學要求!N309</f>
        <v>2</v>
      </c>
      <c r="S49" s="246">
        <f>入學要求!O309</f>
        <v>1</v>
      </c>
      <c r="T49" s="246">
        <f>入學要求!P309</f>
        <v>3</v>
      </c>
      <c r="U49" s="246">
        <f>入學要求!Q309</f>
        <v>3</v>
      </c>
      <c r="V49" s="236">
        <f>入學要求!S309</f>
        <v>0</v>
      </c>
      <c r="W49" s="236">
        <f>入學要求!T309</f>
        <v>0</v>
      </c>
      <c r="X49" s="236">
        <f>入學要求!U309</f>
        <v>0</v>
      </c>
      <c r="Y49" s="236">
        <f>入學要求!V309</f>
        <v>0</v>
      </c>
      <c r="Z49" s="236">
        <f>入學要求!W309</f>
        <v>0</v>
      </c>
      <c r="AA49" s="236">
        <f>入學要求!X309</f>
        <v>0</v>
      </c>
      <c r="AB49" s="36">
        <f t="shared" si="10"/>
        <v>121.4</v>
      </c>
      <c r="AC49" s="537"/>
      <c r="AD49" s="36" cm="1">
        <f t="array" ref="AD49">IFERROR(INDEX('Offer Statistics'!DA$2:DA$400,MATCH(1,($A49='Offer Statistics'!$CL$2:$CL$400)*($AC$2='Offer Statistics'!$CM$2:$CM$400),0)),"/")</f>
        <v>10</v>
      </c>
      <c r="AE49" s="63" cm="1">
        <f t="array" ref="AE49">IFERROR(INDEX('Offer Statistics'!CV$2:CV$400,MATCH(1,($A49='Offer Statistics'!$CL$2:$CL$400)*($AC$2='Offer Statistics'!$CM$2:$CM$400),0)),"/")</f>
        <v>10</v>
      </c>
      <c r="AF49" s="63" cm="1">
        <f t="array" ref="AF49">IFERROR(INDEX('Offer Statistics'!CW$2:CW$400,MATCH(1,($A49='Offer Statistics'!$CL$2:$CL$400)*($AC$2='Offer Statistics'!$CM$2:$CM$400),0)),"/")</f>
        <v>0</v>
      </c>
      <c r="AG49" s="63" cm="1">
        <f t="array" ref="AG49">IFERROR(INDEX('Offer Statistics'!CX$2:CX$400,MATCH(1,($A49='Offer Statistics'!$CL$2:$CL$400)*($AC$2='Offer Statistics'!$CM$2:$CM$400),0)),"/")</f>
        <v>0</v>
      </c>
      <c r="AH49" s="63" cm="1">
        <f t="array" ref="AH49">IFERROR(INDEX('Offer Statistics'!CY$2:CY$400,MATCH(1,($A49='Offer Statistics'!$CL$2:$CL$400)*($AC$2='Offer Statistics'!$CM$2:$CM$400),0)),"/")</f>
        <v>0</v>
      </c>
      <c r="AI49" s="63" cm="1">
        <f t="array" ref="AI49">IFERROR(INDEX('Offer Statistics'!CZ$2:CZ$400,MATCH(1,($A49='Offer Statistics'!$CL$2:$CL$400)*($AC$2='Offer Statistics'!$CM$2:$CM$400),0)),"/")</f>
        <v>0</v>
      </c>
      <c r="AJ49" s="538"/>
      <c r="AK49" s="36" cm="1">
        <f t="array" ref="AK49">IFERROR(INDEX('Offer Statistics'!CS$2:CS$400,MATCH(1,($A49='Offer Statistics'!$CL$2:$CL$400)*($AC$2='Offer Statistics'!$CM$2:$CM$400),0)),"/")</f>
        <v>1214</v>
      </c>
      <c r="AL49" s="63" cm="1">
        <f t="array" ref="AL49">IFERROR(INDEX('Offer Statistics'!CN$2:CN$400,MATCH(1,($A49='Offer Statistics'!$CL$2:$CL$400)*($AC$2='Offer Statistics'!$CM$2:$CM$400),0)),"/")</f>
        <v>99</v>
      </c>
      <c r="AM49" s="63" cm="1">
        <f t="array" ref="AM49">IFERROR(INDEX('Offer Statistics'!CO$2:CO$400,MATCH(1,($A49='Offer Statistics'!$CL$2:$CL$400)*($AC$2='Offer Statistics'!$CM$2:$CM$400),0)),"/")</f>
        <v>115</v>
      </c>
      <c r="AN49" s="63" cm="1">
        <f t="array" ref="AN49">IFERROR(INDEX('Offer Statistics'!CP$2:CP$400,MATCH(1,($A49='Offer Statistics'!$CL$2:$CL$400)*($AC$2='Offer Statistics'!$CM$2:$CM$400),0)),"/")</f>
        <v>247</v>
      </c>
      <c r="AO49" s="63" cm="1">
        <f t="array" ref="AO49">IFERROR(INDEX('Offer Statistics'!CQ$2:CQ$400,MATCH(1,($A49='Offer Statistics'!$CL$2:$CL$400)*($AC$2='Offer Statistics'!$CM$2:$CM$400),0)),"/")</f>
        <v>364</v>
      </c>
      <c r="AP49" s="63" cm="1">
        <f t="array" ref="AP49">IFERROR(INDEX('Offer Statistics'!CR$2:CR$400,MATCH(1,($A49='Offer Statistics'!$CL$2:$CL$400)*($AC$2='Offer Statistics'!$CM$2:$CM$400),0)),"/")</f>
        <v>389</v>
      </c>
      <c r="AR49" s="15" t="str">
        <f t="shared" si="11"/>
        <v>JS6822</v>
      </c>
    </row>
    <row r="50" spans="1:44" ht="18" customHeight="1">
      <c r="A50" s="4" t="str">
        <f>'Reference Score Calculation'!B301</f>
        <v>JS6779</v>
      </c>
      <c r="B50" s="4" t="str">
        <f>'Reference Score Calculation'!D301</f>
        <v>計算與數據科學學院</v>
      </c>
      <c r="C50" s="4" t="str">
        <f>'Reference Score Calculation'!E301</f>
        <v>統計決策科學</v>
      </c>
      <c r="D50" s="4" t="str">
        <f>'Reference Score Calculation'!S301</f>
        <v>SDS</v>
      </c>
      <c r="E50" s="352" t="str">
        <f>'Reference Score Calculation'!AC301</f>
        <v>Best 5</v>
      </c>
      <c r="F50" s="350" t="str">
        <f>'Reference Score Calculation'!F301</f>
        <v>25年新科目</v>
      </c>
      <c r="G50" s="6" t="str">
        <f>'Reference Score Calculation'!H301</f>
        <v>/</v>
      </c>
      <c r="H50" s="6" t="str">
        <f>'Reference Score Calculation'!I301</f>
        <v>/</v>
      </c>
      <c r="I50" s="6" t="str">
        <f>'Reference Score Calculation'!J301</f>
        <v>/</v>
      </c>
      <c r="J50" s="45">
        <f>計分版!J324</f>
        <v>3.4500000000000003E-9</v>
      </c>
      <c r="K50" s="7" t="str">
        <f t="shared" ref="K50:K51" si="12">IFERROR(IF(K$1="差距(Median)",J50-H50,IF(K$1="差距(UQ)",J50-G50,IF(K$1="差距(LQ)",J50-I50))),"/")</f>
        <v>/</v>
      </c>
      <c r="L50" s="8" t="str">
        <f t="shared" ref="L50:L51" si="13">IFERROR(IF(K$1="差距(Median)",(J50-H50)/J50,IF(K$1="差距(UQ)",(J50-G50)/J50,IF(K$1="差距(LQ)",(J50-I50)/J50))),"/")</f>
        <v>/</v>
      </c>
      <c r="M50" s="36">
        <f>'Reference Score Calculation'!U301</f>
        <v>30</v>
      </c>
      <c r="N50" s="54">
        <f>入學要求!Z310</f>
        <v>0</v>
      </c>
      <c r="O50" s="544"/>
      <c r="P50" s="246">
        <f>入學要求!L310</f>
        <v>3</v>
      </c>
      <c r="Q50" s="246">
        <f>入學要求!M310</f>
        <v>3</v>
      </c>
      <c r="R50" s="246">
        <f>入學要求!N310</f>
        <v>4</v>
      </c>
      <c r="S50" s="246">
        <f>入學要求!O310</f>
        <v>1</v>
      </c>
      <c r="T50" s="246">
        <f>入學要求!P310</f>
        <v>3</v>
      </c>
      <c r="U50" s="246">
        <f>入學要求!Q310</f>
        <v>3</v>
      </c>
      <c r="V50" s="236">
        <f>入學要求!S310</f>
        <v>0</v>
      </c>
      <c r="W50" s="236">
        <f>入學要求!T310</f>
        <v>0</v>
      </c>
      <c r="X50" s="236">
        <f>入學要求!U310</f>
        <v>0</v>
      </c>
      <c r="Y50" s="236">
        <f>入學要求!V310</f>
        <v>0</v>
      </c>
      <c r="Z50" s="236">
        <f>入學要求!W310</f>
        <v>0</v>
      </c>
      <c r="AA50" s="236">
        <f>入學要求!X310</f>
        <v>0</v>
      </c>
      <c r="AB50" s="36" t="str">
        <f t="shared" ref="AB50:AB51" si="14">IFERROR(ROUND(AK50/AD50,2),"/")</f>
        <v>/</v>
      </c>
      <c r="AC50" s="537"/>
      <c r="AD50" s="36" t="str" cm="1">
        <f t="array" ref="AD50">IFERROR(INDEX('Offer Statistics'!DA$2:DA$400,MATCH(1,($A50='Offer Statistics'!$CL$2:$CL$400)*($AC$2='Offer Statistics'!$CM$2:$CM$400),0)),"/")</f>
        <v>/</v>
      </c>
      <c r="AE50" s="63" t="str" cm="1">
        <f t="array" ref="AE50">IFERROR(INDEX('Offer Statistics'!CV$2:CV$400,MATCH(1,($A50='Offer Statistics'!$CL$2:$CL$400)*($AC$2='Offer Statistics'!$CM$2:$CM$400),0)),"/")</f>
        <v>/</v>
      </c>
      <c r="AF50" s="63" t="str" cm="1">
        <f t="array" ref="AF50">IFERROR(INDEX('Offer Statistics'!CW$2:CW$400,MATCH(1,($A50='Offer Statistics'!$CL$2:$CL$400)*($AC$2='Offer Statistics'!$CM$2:$CM$400),0)),"/")</f>
        <v>/</v>
      </c>
      <c r="AG50" s="63" t="str" cm="1">
        <f t="array" ref="AG50">IFERROR(INDEX('Offer Statistics'!CX$2:CX$400,MATCH(1,($A50='Offer Statistics'!$CL$2:$CL$400)*($AC$2='Offer Statistics'!$CM$2:$CM$400),0)),"/")</f>
        <v>/</v>
      </c>
      <c r="AH50" s="63" t="str" cm="1">
        <f t="array" ref="AH50">IFERROR(INDEX('Offer Statistics'!CY$2:CY$400,MATCH(1,($A50='Offer Statistics'!$CL$2:$CL$400)*($AC$2='Offer Statistics'!$CM$2:$CM$400),0)),"/")</f>
        <v>/</v>
      </c>
      <c r="AI50" s="63" t="str" cm="1">
        <f t="array" ref="AI50">IFERROR(INDEX('Offer Statistics'!CZ$2:CZ$400,MATCH(1,($A50='Offer Statistics'!$CL$2:$CL$400)*($AC$2='Offer Statistics'!$CM$2:$CM$400),0)),"/")</f>
        <v>/</v>
      </c>
      <c r="AJ50" s="538"/>
      <c r="AK50" s="36" t="str" cm="1">
        <f t="array" ref="AK50">IFERROR(INDEX('Offer Statistics'!CS$2:CS$400,MATCH(1,($A50='Offer Statistics'!$CL$2:$CL$400)*($AC$2='Offer Statistics'!$CM$2:$CM$400),0)),"/")</f>
        <v>/</v>
      </c>
      <c r="AL50" s="63" t="str" cm="1">
        <f t="array" ref="AL50">IFERROR(INDEX('Offer Statistics'!CN$2:CN$400,MATCH(1,($A50='Offer Statistics'!$CL$2:$CL$400)*($AC$2='Offer Statistics'!$CM$2:$CM$400),0)),"/")</f>
        <v>/</v>
      </c>
      <c r="AM50" s="63" t="str" cm="1">
        <f t="array" ref="AM50">IFERROR(INDEX('Offer Statistics'!CO$2:CO$400,MATCH(1,($A50='Offer Statistics'!$CL$2:$CL$400)*($AC$2='Offer Statistics'!$CM$2:$CM$400),0)),"/")</f>
        <v>/</v>
      </c>
      <c r="AN50" s="63" t="str" cm="1">
        <f t="array" ref="AN50">IFERROR(INDEX('Offer Statistics'!CP$2:CP$400,MATCH(1,($A50='Offer Statistics'!$CL$2:$CL$400)*($AC$2='Offer Statistics'!$CM$2:$CM$400),0)),"/")</f>
        <v>/</v>
      </c>
      <c r="AO50" s="63" t="str" cm="1">
        <f t="array" ref="AO50">IFERROR(INDEX('Offer Statistics'!CQ$2:CQ$400,MATCH(1,($A50='Offer Statistics'!$CL$2:$CL$400)*($AC$2='Offer Statistics'!$CM$2:$CM$400),0)),"/")</f>
        <v>/</v>
      </c>
      <c r="AP50" s="63" t="str" cm="1">
        <f t="array" ref="AP50">IFERROR(INDEX('Offer Statistics'!CR$2:CR$400,MATCH(1,($A50='Offer Statistics'!$CL$2:$CL$400)*($AC$2='Offer Statistics'!$CM$2:$CM$400),0)),"/")</f>
        <v>/</v>
      </c>
      <c r="AR50" s="15" t="str">
        <f t="shared" ref="AR50:AR51" si="15">A50</f>
        <v>JS6779</v>
      </c>
    </row>
    <row r="51" spans="1:44" ht="18" customHeight="1">
      <c r="A51" s="4" t="str">
        <f>'Reference Score Calculation'!B302</f>
        <v>JS6999</v>
      </c>
      <c r="B51" s="4" t="str">
        <f>'Reference Score Calculation'!D302</f>
        <v>計算與數據科學學院</v>
      </c>
      <c r="C51" s="4" t="str">
        <f>'Reference Score Calculation'!E302</f>
        <v>計算與數據科學</v>
      </c>
      <c r="D51" s="4" t="str">
        <f>'Reference Score Calculation'!S302</f>
        <v>CDS</v>
      </c>
      <c r="E51" s="352" t="str">
        <f>'Reference Score Calculation'!AC302</f>
        <v>Best 5</v>
      </c>
      <c r="F51" s="350" t="str">
        <f>'Reference Score Calculation'!F302</f>
        <v>25年新科目</v>
      </c>
      <c r="G51" s="6" t="str">
        <f>'Reference Score Calculation'!H302</f>
        <v>/</v>
      </c>
      <c r="H51" s="6" t="str">
        <f>'Reference Score Calculation'!I302</f>
        <v>/</v>
      </c>
      <c r="I51" s="6" t="str">
        <f>'Reference Score Calculation'!J302</f>
        <v>/</v>
      </c>
      <c r="J51" s="45">
        <f>計分版!J325</f>
        <v>3.2500000000000002E-9</v>
      </c>
      <c r="K51" s="7" t="str">
        <f t="shared" si="12"/>
        <v>/</v>
      </c>
      <c r="L51" s="8" t="str">
        <f t="shared" si="13"/>
        <v>/</v>
      </c>
      <c r="M51" s="36">
        <f>'Reference Score Calculation'!U302</f>
        <v>91</v>
      </c>
      <c r="N51" s="54">
        <f>入學要求!Z311</f>
        <v>0</v>
      </c>
      <c r="O51" s="544"/>
      <c r="P51" s="246">
        <f>入學要求!L311</f>
        <v>3</v>
      </c>
      <c r="Q51" s="246">
        <f>入學要求!M311</f>
        <v>3</v>
      </c>
      <c r="R51" s="246">
        <f>入學要求!N311</f>
        <v>3</v>
      </c>
      <c r="S51" s="246">
        <f>入學要求!O311</f>
        <v>1</v>
      </c>
      <c r="T51" s="246">
        <f>入學要求!P311</f>
        <v>3</v>
      </c>
      <c r="U51" s="246">
        <f>入學要求!Q311</f>
        <v>3</v>
      </c>
      <c r="V51" s="236">
        <f>入學要求!S311</f>
        <v>0</v>
      </c>
      <c r="W51" s="236">
        <f>入學要求!T311</f>
        <v>0</v>
      </c>
      <c r="X51" s="236">
        <f>入學要求!U311</f>
        <v>0</v>
      </c>
      <c r="Y51" s="236">
        <f>入學要求!V311</f>
        <v>0</v>
      </c>
      <c r="Z51" s="236">
        <f>入學要求!W311</f>
        <v>0</v>
      </c>
      <c r="AA51" s="236">
        <f>入學要求!X311</f>
        <v>0</v>
      </c>
      <c r="AB51" s="36" t="str">
        <f t="shared" si="14"/>
        <v>/</v>
      </c>
      <c r="AC51" s="537"/>
      <c r="AD51" s="36" t="str" cm="1">
        <f t="array" ref="AD51">IFERROR(INDEX('Offer Statistics'!DA$2:DA$400,MATCH(1,($A51='Offer Statistics'!$CL$2:$CL$400)*($AC$2='Offer Statistics'!$CM$2:$CM$400),0)),"/")</f>
        <v>/</v>
      </c>
      <c r="AE51" s="63" t="str" cm="1">
        <f t="array" ref="AE51">IFERROR(INDEX('Offer Statistics'!CV$2:CV$400,MATCH(1,($A51='Offer Statistics'!$CL$2:$CL$400)*($AC$2='Offer Statistics'!$CM$2:$CM$400),0)),"/")</f>
        <v>/</v>
      </c>
      <c r="AF51" s="63" t="str" cm="1">
        <f t="array" ref="AF51">IFERROR(INDEX('Offer Statistics'!CW$2:CW$400,MATCH(1,($A51='Offer Statistics'!$CL$2:$CL$400)*($AC$2='Offer Statistics'!$CM$2:$CM$400),0)),"/")</f>
        <v>/</v>
      </c>
      <c r="AG51" s="63" t="str" cm="1">
        <f t="array" ref="AG51">IFERROR(INDEX('Offer Statistics'!CX$2:CX$400,MATCH(1,($A51='Offer Statistics'!$CL$2:$CL$400)*($AC$2='Offer Statistics'!$CM$2:$CM$400),0)),"/")</f>
        <v>/</v>
      </c>
      <c r="AH51" s="63" t="str" cm="1">
        <f t="array" ref="AH51">IFERROR(INDEX('Offer Statistics'!CY$2:CY$400,MATCH(1,($A51='Offer Statistics'!$CL$2:$CL$400)*($AC$2='Offer Statistics'!$CM$2:$CM$400),0)),"/")</f>
        <v>/</v>
      </c>
      <c r="AI51" s="63" t="str" cm="1">
        <f t="array" ref="AI51">IFERROR(INDEX('Offer Statistics'!CZ$2:CZ$400,MATCH(1,($A51='Offer Statistics'!$CL$2:$CL$400)*($AC$2='Offer Statistics'!$CM$2:$CM$400),0)),"/")</f>
        <v>/</v>
      </c>
      <c r="AJ51" s="538"/>
      <c r="AK51" s="36" t="str" cm="1">
        <f t="array" ref="AK51">IFERROR(INDEX('Offer Statistics'!CS$2:CS$400,MATCH(1,($A51='Offer Statistics'!$CL$2:$CL$400)*($AC$2='Offer Statistics'!$CM$2:$CM$400),0)),"/")</f>
        <v>/</v>
      </c>
      <c r="AL51" s="63" t="str" cm="1">
        <f t="array" ref="AL51">IFERROR(INDEX('Offer Statistics'!CN$2:CN$400,MATCH(1,($A51='Offer Statistics'!$CL$2:$CL$400)*($AC$2='Offer Statistics'!$CM$2:$CM$400),0)),"/")</f>
        <v>/</v>
      </c>
      <c r="AM51" s="63" t="str" cm="1">
        <f t="array" ref="AM51">IFERROR(INDEX('Offer Statistics'!CO$2:CO$400,MATCH(1,($A51='Offer Statistics'!$CL$2:$CL$400)*($AC$2='Offer Statistics'!$CM$2:$CM$400),0)),"/")</f>
        <v>/</v>
      </c>
      <c r="AN51" s="63" t="str" cm="1">
        <f t="array" ref="AN51">IFERROR(INDEX('Offer Statistics'!CP$2:CP$400,MATCH(1,($A51='Offer Statistics'!$CL$2:$CL$400)*($AC$2='Offer Statistics'!$CM$2:$CM$400),0)),"/")</f>
        <v>/</v>
      </c>
      <c r="AO51" s="63" t="str" cm="1">
        <f t="array" ref="AO51">IFERROR(INDEX('Offer Statistics'!CQ$2:CQ$400,MATCH(1,($A51='Offer Statistics'!$CL$2:$CL$400)*($AC$2='Offer Statistics'!$CM$2:$CM$400),0)),"/")</f>
        <v>/</v>
      </c>
      <c r="AP51" s="63" t="str" cm="1">
        <f t="array" ref="AP51">IFERROR(INDEX('Offer Statistics'!CR$2:CR$400,MATCH(1,($A51='Offer Statistics'!$CL$2:$CL$400)*($AC$2='Offer Statistics'!$CM$2:$CM$400),0)),"/")</f>
        <v>/</v>
      </c>
      <c r="AR51" s="15" t="str">
        <f t="shared" si="15"/>
        <v>JS6999</v>
      </c>
    </row>
    <row r="52" spans="1:44" ht="18" customHeight="1">
      <c r="A52" s="4" t="str">
        <f>'Reference Score Calculation'!B303</f>
        <v>JS6224</v>
      </c>
      <c r="B52" s="4" t="str">
        <f>'Reference Score Calculation'!D303</f>
        <v>文理學士學位</v>
      </c>
      <c r="C52" s="4" t="str">
        <f>'Reference Score Calculation'!E303</f>
        <v>文理學士(應用人工智能)</v>
      </c>
      <c r="D52" s="4" t="str">
        <f>'Reference Score Calculation'!S303</f>
        <v>BASc(AppliedAI)</v>
      </c>
      <c r="E52" s="352" t="str">
        <f>'Reference Score Calculation'!AC303</f>
        <v>Best 5</v>
      </c>
      <c r="F52" s="351" t="str">
        <f>'Reference Score Calculation'!F303</f>
        <v>Best 5</v>
      </c>
      <c r="G52" s="6">
        <f>'Reference Score Calculation'!H303</f>
        <v>57</v>
      </c>
      <c r="H52" s="6">
        <f>'Reference Score Calculation'!I303</f>
        <v>55</v>
      </c>
      <c r="I52" s="6">
        <f>'Reference Score Calculation'!J303</f>
        <v>52</v>
      </c>
      <c r="J52" s="45">
        <f>計分版!J326</f>
        <v>3.7E-9</v>
      </c>
      <c r="K52" s="25">
        <f t="shared" ref="K52:K53" si="16">IFERROR(IF(K$1="差距(Median)",J52-H52,IF(K$1="差距(UQ)",J52-G52,IF(K$1="差距(LQ)",J52-I52))),"/")</f>
        <v>-54.999999996299998</v>
      </c>
      <c r="L52" s="26">
        <f t="shared" ref="L52:L53" si="17">IFERROR(IF(K$1="差距(Median)",(J52-H52)/J52,IF(K$1="差距(UQ)",(J52-G52)/J52,IF(K$1="差距(LQ)",(J52-I52)/J52))),"/")</f>
        <v>-14864864863.864864</v>
      </c>
      <c r="M52" s="36">
        <f>'Reference Score Calculation'!U303</f>
        <v>37</v>
      </c>
      <c r="N52" s="54">
        <f>入學要求!Z312</f>
        <v>0</v>
      </c>
      <c r="O52" s="544"/>
      <c r="P52" s="246">
        <f>入學要求!L312</f>
        <v>3</v>
      </c>
      <c r="Q52" s="246">
        <f>入學要求!M312</f>
        <v>4</v>
      </c>
      <c r="R52" s="246">
        <f>入學要求!N312</f>
        <v>4</v>
      </c>
      <c r="S52" s="246">
        <f>入學要求!O312</f>
        <v>1</v>
      </c>
      <c r="T52" s="246">
        <f>入學要求!P312</f>
        <v>3</v>
      </c>
      <c r="U52" s="246">
        <f>入學要求!Q312</f>
        <v>4</v>
      </c>
      <c r="V52" s="236">
        <f>入學要求!S312</f>
        <v>0</v>
      </c>
      <c r="W52" s="236">
        <f>入學要求!T312</f>
        <v>0</v>
      </c>
      <c r="X52" s="236">
        <f>入學要求!U312</f>
        <v>0</v>
      </c>
      <c r="Y52" s="236">
        <f>入學要求!V312</f>
        <v>0</v>
      </c>
      <c r="Z52" s="236">
        <f>入學要求!W312</f>
        <v>0</v>
      </c>
      <c r="AA52" s="236">
        <f>入學要求!X312</f>
        <v>0</v>
      </c>
      <c r="AB52" s="36">
        <f t="shared" ref="AB52:AB53" si="18">IFERROR(ROUND(AK52/AD52,2),"/")</f>
        <v>22.1</v>
      </c>
      <c r="AC52" s="537"/>
      <c r="AD52" s="36" cm="1">
        <f t="array" ref="AD52">IFERROR(INDEX('Offer Statistics'!DA$2:DA$400,MATCH(1,($A52='Offer Statistics'!$CL$2:$CL$400)*($AC$2='Offer Statistics'!$CM$2:$CM$400),0)),"/")</f>
        <v>30</v>
      </c>
      <c r="AE52" s="63" cm="1">
        <f t="array" ref="AE52">IFERROR(INDEX('Offer Statistics'!CV$2:CV$400,MATCH(1,($A52='Offer Statistics'!$CL$2:$CL$400)*($AC$2='Offer Statistics'!$CM$2:$CM$400),0)),"/")</f>
        <v>30</v>
      </c>
      <c r="AF52" s="63" cm="1">
        <f t="array" ref="AF52">IFERROR(INDEX('Offer Statistics'!CW$2:CW$400,MATCH(1,($A52='Offer Statistics'!$CL$2:$CL$400)*($AC$2='Offer Statistics'!$CM$2:$CM$400),0)),"/")</f>
        <v>0</v>
      </c>
      <c r="AG52" s="63" cm="1">
        <f t="array" ref="AG52">IFERROR(INDEX('Offer Statistics'!CX$2:CX$400,MATCH(1,($A52='Offer Statistics'!$CL$2:$CL$400)*($AC$2='Offer Statistics'!$CM$2:$CM$400),0)),"/")</f>
        <v>0</v>
      </c>
      <c r="AH52" s="63" cm="1">
        <f t="array" ref="AH52">IFERROR(INDEX('Offer Statistics'!CY$2:CY$400,MATCH(1,($A52='Offer Statistics'!$CL$2:$CL$400)*($AC$2='Offer Statistics'!$CM$2:$CM$400),0)),"/")</f>
        <v>0</v>
      </c>
      <c r="AI52" s="63" cm="1">
        <f t="array" ref="AI52">IFERROR(INDEX('Offer Statistics'!CZ$2:CZ$400,MATCH(1,($A52='Offer Statistics'!$CL$2:$CL$400)*($AC$2='Offer Statistics'!$CM$2:$CM$400),0)),"/")</f>
        <v>0</v>
      </c>
      <c r="AJ52" s="538"/>
      <c r="AK52" s="36" cm="1">
        <f t="array" ref="AK52">IFERROR(INDEX('Offer Statistics'!CS$2:CS$400,MATCH(1,($A52='Offer Statistics'!$CL$2:$CL$400)*($AC$2='Offer Statistics'!$CM$2:$CM$400),0)),"/")</f>
        <v>663</v>
      </c>
      <c r="AL52" s="63" cm="1">
        <f t="array" ref="AL52">IFERROR(INDEX('Offer Statistics'!CN$2:CN$400,MATCH(1,($A52='Offer Statistics'!$CL$2:$CL$400)*($AC$2='Offer Statistics'!$CM$2:$CM$400),0)),"/")</f>
        <v>92</v>
      </c>
      <c r="AM52" s="63" cm="1">
        <f t="array" ref="AM52">IFERROR(INDEX('Offer Statistics'!CO$2:CO$400,MATCH(1,($A52='Offer Statistics'!$CL$2:$CL$400)*($AC$2='Offer Statistics'!$CM$2:$CM$400),0)),"/")</f>
        <v>73</v>
      </c>
      <c r="AN52" s="63" cm="1">
        <f t="array" ref="AN52">IFERROR(INDEX('Offer Statistics'!CP$2:CP$400,MATCH(1,($A52='Offer Statistics'!$CL$2:$CL$400)*($AC$2='Offer Statistics'!$CM$2:$CM$400),0)),"/")</f>
        <v>114</v>
      </c>
      <c r="AO52" s="63" cm="1">
        <f t="array" ref="AO52">IFERROR(INDEX('Offer Statistics'!CQ$2:CQ$400,MATCH(1,($A52='Offer Statistics'!$CL$2:$CL$400)*($AC$2='Offer Statistics'!$CM$2:$CM$400),0)),"/")</f>
        <v>194</v>
      </c>
      <c r="AP52" s="63" cm="1">
        <f t="array" ref="AP52">IFERROR(INDEX('Offer Statistics'!CR$2:CR$400,MATCH(1,($A52='Offer Statistics'!$CL$2:$CL$400)*($AC$2='Offer Statistics'!$CM$2:$CM$400),0)),"/")</f>
        <v>190</v>
      </c>
      <c r="AR52" s="15" t="str">
        <f t="shared" ref="AR52:AR53" si="19">A52</f>
        <v>JS6224</v>
      </c>
    </row>
    <row r="53" spans="1:44" ht="18" customHeight="1">
      <c r="A53" s="4" t="str">
        <f>'Reference Score Calculation'!B304</f>
        <v>JS6236</v>
      </c>
      <c r="B53" s="4" t="str">
        <f>'Reference Score Calculation'!D304</f>
        <v>文理學士學位</v>
      </c>
      <c r="C53" s="4" t="str">
        <f>'Reference Score Calculation'!E304</f>
        <v>文理學士(設計＋)</v>
      </c>
      <c r="D53" s="4" t="str">
        <f>'Reference Score Calculation'!S304</f>
        <v>BASc(Design+)</v>
      </c>
      <c r="E53" s="352" t="str">
        <f>'Reference Score Calculation'!AC304</f>
        <v>Best 5</v>
      </c>
      <c r="F53" s="334" t="str">
        <f>'Reference Score Calculation'!F304</f>
        <v>Best 5</v>
      </c>
      <c r="G53" s="6" t="str">
        <f>'Reference Score Calculation'!H304</f>
        <v>/</v>
      </c>
      <c r="H53" s="6" t="str">
        <f>'Reference Score Calculation'!I304</f>
        <v>/</v>
      </c>
      <c r="I53" s="6" t="str">
        <f>'Reference Score Calculation'!J304</f>
        <v>/</v>
      </c>
      <c r="J53" s="45">
        <f>計分版!J327</f>
        <v>3.4999999999999999E-9</v>
      </c>
      <c r="K53" s="7" t="str">
        <f t="shared" si="16"/>
        <v>/</v>
      </c>
      <c r="L53" s="8" t="str">
        <f t="shared" si="17"/>
        <v>/</v>
      </c>
      <c r="M53" s="36">
        <f>'Reference Score Calculation'!U304</f>
        <v>20</v>
      </c>
      <c r="N53" s="54">
        <f>入學要求!Z313</f>
        <v>0</v>
      </c>
      <c r="O53" s="544"/>
      <c r="P53" s="246">
        <f>入學要求!L313</f>
        <v>3</v>
      </c>
      <c r="Q53" s="246">
        <f>入學要求!M313</f>
        <v>4</v>
      </c>
      <c r="R53" s="246">
        <f>入學要求!N313</f>
        <v>2</v>
      </c>
      <c r="S53" s="246">
        <f>入學要求!O313</f>
        <v>1</v>
      </c>
      <c r="T53" s="246">
        <f>入學要求!P313</f>
        <v>3</v>
      </c>
      <c r="U53" s="246">
        <f>入學要求!Q313</f>
        <v>3</v>
      </c>
      <c r="V53" s="236">
        <f>入學要求!S313</f>
        <v>0</v>
      </c>
      <c r="W53" s="236">
        <f>入學要求!T313</f>
        <v>0</v>
      </c>
      <c r="X53" s="236">
        <f>入學要求!U313</f>
        <v>0</v>
      </c>
      <c r="Y53" s="236">
        <f>入學要求!V313</f>
        <v>0</v>
      </c>
      <c r="Z53" s="236">
        <f>入學要求!W313</f>
        <v>0</v>
      </c>
      <c r="AA53" s="236">
        <f>入學要求!X313</f>
        <v>0</v>
      </c>
      <c r="AB53" s="36">
        <f t="shared" si="18"/>
        <v>462</v>
      </c>
      <c r="AC53" s="537"/>
      <c r="AD53" s="36" cm="1">
        <f t="array" ref="AD53">IFERROR(INDEX('Offer Statistics'!DA$2:DA$400,MATCH(1,($A53='Offer Statistics'!$CL$2:$CL$400)*($AC$2='Offer Statistics'!$CM$2:$CM$400),0)),"/")</f>
        <v>1</v>
      </c>
      <c r="AE53" s="63" cm="1">
        <f t="array" ref="AE53">IFERROR(INDEX('Offer Statistics'!CV$2:CV$400,MATCH(1,($A53='Offer Statistics'!$CL$2:$CL$400)*($AC$2='Offer Statistics'!$CM$2:$CM$400),0)),"/")</f>
        <v>1</v>
      </c>
      <c r="AF53" s="63" cm="1">
        <f t="array" ref="AF53">IFERROR(INDEX('Offer Statistics'!CW$2:CW$400,MATCH(1,($A53='Offer Statistics'!$CL$2:$CL$400)*($AC$2='Offer Statistics'!$CM$2:$CM$400),0)),"/")</f>
        <v>0</v>
      </c>
      <c r="AG53" s="63" cm="1">
        <f t="array" ref="AG53">IFERROR(INDEX('Offer Statistics'!CX$2:CX$400,MATCH(1,($A53='Offer Statistics'!$CL$2:$CL$400)*($AC$2='Offer Statistics'!$CM$2:$CM$400),0)),"/")</f>
        <v>0</v>
      </c>
      <c r="AH53" s="63" cm="1">
        <f t="array" ref="AH53">IFERROR(INDEX('Offer Statistics'!CY$2:CY$400,MATCH(1,($A53='Offer Statistics'!$CL$2:$CL$400)*($AC$2='Offer Statistics'!$CM$2:$CM$400),0)),"/")</f>
        <v>0</v>
      </c>
      <c r="AI53" s="63" cm="1">
        <f t="array" ref="AI53">IFERROR(INDEX('Offer Statistics'!CZ$2:CZ$400,MATCH(1,($A53='Offer Statistics'!$CL$2:$CL$400)*($AC$2='Offer Statistics'!$CM$2:$CM$400),0)),"/")</f>
        <v>0</v>
      </c>
      <c r="AJ53" s="538"/>
      <c r="AK53" s="36" cm="1">
        <f t="array" ref="AK53">IFERROR(INDEX('Offer Statistics'!CS$2:CS$400,MATCH(1,($A53='Offer Statistics'!$CL$2:$CL$400)*($AC$2='Offer Statistics'!$CM$2:$CM$400),0)),"/")</f>
        <v>462</v>
      </c>
      <c r="AL53" s="63" cm="1">
        <f t="array" ref="AL53">IFERROR(INDEX('Offer Statistics'!CN$2:CN$400,MATCH(1,($A53='Offer Statistics'!$CL$2:$CL$400)*($AC$2='Offer Statistics'!$CM$2:$CM$400),0)),"/")</f>
        <v>35</v>
      </c>
      <c r="AM53" s="63" cm="1">
        <f t="array" ref="AM53">IFERROR(INDEX('Offer Statistics'!CO$2:CO$400,MATCH(1,($A53='Offer Statistics'!$CL$2:$CL$400)*($AC$2='Offer Statistics'!$CM$2:$CM$400),0)),"/")</f>
        <v>47</v>
      </c>
      <c r="AN53" s="63" cm="1">
        <f t="array" ref="AN53">IFERROR(INDEX('Offer Statistics'!CP$2:CP$400,MATCH(1,($A53='Offer Statistics'!$CL$2:$CL$400)*($AC$2='Offer Statistics'!$CM$2:$CM$400),0)),"/")</f>
        <v>97</v>
      </c>
      <c r="AO53" s="63" cm="1">
        <f t="array" ref="AO53">IFERROR(INDEX('Offer Statistics'!CQ$2:CQ$400,MATCH(1,($A53='Offer Statistics'!$CL$2:$CL$400)*($AC$2='Offer Statistics'!$CM$2:$CM$400),0)),"/")</f>
        <v>135</v>
      </c>
      <c r="AP53" s="63" cm="1">
        <f t="array" ref="AP53">IFERROR(INDEX('Offer Statistics'!CR$2:CR$400,MATCH(1,($A53='Offer Statistics'!$CL$2:$CL$400)*($AC$2='Offer Statistics'!$CM$2:$CM$400),0)),"/")</f>
        <v>148</v>
      </c>
      <c r="AR53" s="15" t="str">
        <f t="shared" si="19"/>
        <v>JS6236</v>
      </c>
    </row>
    <row r="54" spans="1:44" ht="18" customHeight="1">
      <c r="A54" s="4" t="str">
        <f>'Reference Score Calculation'!B305</f>
        <v>JS6248</v>
      </c>
      <c r="B54" s="4" t="str">
        <f>'Reference Score Calculation'!D305</f>
        <v>文理學士學位</v>
      </c>
      <c r="C54" s="4" t="str">
        <f>'Reference Score Calculation'!E305</f>
        <v>文理學士(金融科技)</v>
      </c>
      <c r="D54" s="4" t="str">
        <f>'Reference Score Calculation'!S305</f>
        <v>BASc(FinTech)</v>
      </c>
      <c r="E54" s="352" t="str">
        <f>'Reference Score Calculation'!AC305</f>
        <v>Best 5</v>
      </c>
      <c r="F54" s="334" t="str">
        <f>'Reference Score Calculation'!F305</f>
        <v>Best 5</v>
      </c>
      <c r="G54" s="6">
        <f>'Reference Score Calculation'!H305</f>
        <v>32</v>
      </c>
      <c r="H54" s="6">
        <f>'Reference Score Calculation'!I305</f>
        <v>31</v>
      </c>
      <c r="I54" s="6">
        <f>'Reference Score Calculation'!J305</f>
        <v>29</v>
      </c>
      <c r="J54" s="45">
        <f>計分版!J328</f>
        <v>2.9000000000000003E-9</v>
      </c>
      <c r="K54" s="25">
        <f t="shared" ref="K54:K56" si="20">IFERROR(IF(K$1="差距(Median)",J54-H54,IF(K$1="差距(UQ)",J54-G54,IF(K$1="差距(LQ)",J54-I54))),"/")</f>
        <v>-30.999999997100002</v>
      </c>
      <c r="L54" s="26">
        <f t="shared" ref="L54:L56" si="21">IFERROR(IF(K$1="差距(Median)",(J54-H54)/J54,IF(K$1="差距(UQ)",(J54-G54)/J54,IF(K$1="差距(LQ)",(J54-I54)/J54))),"/")</f>
        <v>-10689655171.413792</v>
      </c>
      <c r="M54" s="36">
        <f>'Reference Score Calculation'!U305</f>
        <v>24</v>
      </c>
      <c r="N54" s="54">
        <f>入學要求!Z314</f>
        <v>0</v>
      </c>
      <c r="O54" s="544"/>
      <c r="P54" s="246">
        <f>入學要求!L314</f>
        <v>3</v>
      </c>
      <c r="Q54" s="246">
        <f>入學要求!M314</f>
        <v>4</v>
      </c>
      <c r="R54" s="246">
        <f>入學要求!N314</f>
        <v>3</v>
      </c>
      <c r="S54" s="246">
        <f>入學要求!O314</f>
        <v>1</v>
      </c>
      <c r="T54" s="246">
        <f>入學要求!P314</f>
        <v>3</v>
      </c>
      <c r="U54" s="246">
        <f>入學要求!Q314</f>
        <v>3</v>
      </c>
      <c r="V54" s="236">
        <f>入學要求!S314</f>
        <v>0</v>
      </c>
      <c r="W54" s="236">
        <f>入學要求!T314</f>
        <v>0</v>
      </c>
      <c r="X54" s="236">
        <f>入學要求!U314</f>
        <v>0</v>
      </c>
      <c r="Y54" s="236">
        <f>入學要求!V314</f>
        <v>0</v>
      </c>
      <c r="Z54" s="236">
        <f>入學要求!W314</f>
        <v>0</v>
      </c>
      <c r="AA54" s="236">
        <f>入學要求!X314</f>
        <v>0</v>
      </c>
      <c r="AB54" s="36">
        <f t="shared" ref="AB54:AB56" si="22">IFERROR(ROUND(AK54/AD54,2),"/")</f>
        <v>18.649999999999999</v>
      </c>
      <c r="AC54" s="537"/>
      <c r="AD54" s="36" cm="1">
        <f t="array" ref="AD54">IFERROR(INDEX('Offer Statistics'!DA$2:DA$400,MATCH(1,($A54='Offer Statistics'!$CL$2:$CL$400)*($AC$2='Offer Statistics'!$CM$2:$CM$400),0)),"/")</f>
        <v>26</v>
      </c>
      <c r="AE54" s="63" cm="1">
        <f t="array" ref="AE54">IFERROR(INDEX('Offer Statistics'!CV$2:CV$400,MATCH(1,($A54='Offer Statistics'!$CL$2:$CL$400)*($AC$2='Offer Statistics'!$CM$2:$CM$400),0)),"/")</f>
        <v>26</v>
      </c>
      <c r="AF54" s="63" cm="1">
        <f t="array" ref="AF54">IFERROR(INDEX('Offer Statistics'!CW$2:CW$400,MATCH(1,($A54='Offer Statistics'!$CL$2:$CL$400)*($AC$2='Offer Statistics'!$CM$2:$CM$400),0)),"/")</f>
        <v>0</v>
      </c>
      <c r="AG54" s="63" cm="1">
        <f t="array" ref="AG54">IFERROR(INDEX('Offer Statistics'!CX$2:CX$400,MATCH(1,($A54='Offer Statistics'!$CL$2:$CL$400)*($AC$2='Offer Statistics'!$CM$2:$CM$400),0)),"/")</f>
        <v>0</v>
      </c>
      <c r="AH54" s="63" cm="1">
        <f t="array" ref="AH54">IFERROR(INDEX('Offer Statistics'!CY$2:CY$400,MATCH(1,($A54='Offer Statistics'!$CL$2:$CL$400)*($AC$2='Offer Statistics'!$CM$2:$CM$400),0)),"/")</f>
        <v>0</v>
      </c>
      <c r="AI54" s="63" cm="1">
        <f t="array" ref="AI54">IFERROR(INDEX('Offer Statistics'!CZ$2:CZ$400,MATCH(1,($A54='Offer Statistics'!$CL$2:$CL$400)*($AC$2='Offer Statistics'!$CM$2:$CM$400),0)),"/")</f>
        <v>0</v>
      </c>
      <c r="AJ54" s="538"/>
      <c r="AK54" s="36" cm="1">
        <f t="array" ref="AK54">IFERROR(INDEX('Offer Statistics'!CS$2:CS$400,MATCH(1,($A54='Offer Statistics'!$CL$2:$CL$400)*($AC$2='Offer Statistics'!$CM$2:$CM$400),0)),"/")</f>
        <v>485</v>
      </c>
      <c r="AL54" s="63" cm="1">
        <f t="array" ref="AL54">IFERROR(INDEX('Offer Statistics'!CN$2:CN$400,MATCH(1,($A54='Offer Statistics'!$CL$2:$CL$400)*($AC$2='Offer Statistics'!$CM$2:$CM$400),0)),"/")</f>
        <v>85</v>
      </c>
      <c r="AM54" s="63" cm="1">
        <f t="array" ref="AM54">IFERROR(INDEX('Offer Statistics'!CO$2:CO$400,MATCH(1,($A54='Offer Statistics'!$CL$2:$CL$400)*($AC$2='Offer Statistics'!$CM$2:$CM$400),0)),"/")</f>
        <v>55</v>
      </c>
      <c r="AN54" s="63" cm="1">
        <f t="array" ref="AN54">IFERROR(INDEX('Offer Statistics'!CP$2:CP$400,MATCH(1,($A54='Offer Statistics'!$CL$2:$CL$400)*($AC$2='Offer Statistics'!$CM$2:$CM$400),0)),"/")</f>
        <v>77</v>
      </c>
      <c r="AO54" s="63" cm="1">
        <f t="array" ref="AO54">IFERROR(INDEX('Offer Statistics'!CQ$2:CQ$400,MATCH(1,($A54='Offer Statistics'!$CL$2:$CL$400)*($AC$2='Offer Statistics'!$CM$2:$CM$400),0)),"/")</f>
        <v>136</v>
      </c>
      <c r="AP54" s="63" cm="1">
        <f t="array" ref="AP54">IFERROR(INDEX('Offer Statistics'!CR$2:CR$400,MATCH(1,($A54='Offer Statistics'!$CL$2:$CL$400)*($AC$2='Offer Statistics'!$CM$2:$CM$400),0)),"/")</f>
        <v>132</v>
      </c>
      <c r="AR54" s="15" t="str">
        <f t="shared" ref="AR54:AR56" si="23">A54</f>
        <v>JS6248</v>
      </c>
    </row>
    <row r="55" spans="1:44" ht="18" customHeight="1">
      <c r="A55" s="4" t="str">
        <f>'Reference Score Calculation'!B306</f>
        <v>JS6250</v>
      </c>
      <c r="B55" s="4" t="str">
        <f>'Reference Score Calculation'!D306</f>
        <v>文理學士學位</v>
      </c>
      <c r="C55" s="4" t="str">
        <f>'Reference Score Calculation'!E306</f>
        <v>文理學士(環球衞生及發展)</v>
      </c>
      <c r="D55" s="4" t="str">
        <f>'Reference Score Calculation'!S306</f>
        <v>BASc(GHD)</v>
      </c>
      <c r="E55" s="352" t="str">
        <f>'Reference Score Calculation'!AC306</f>
        <v>Best 5</v>
      </c>
      <c r="F55" s="334" t="str">
        <f>'Reference Score Calculation'!F306</f>
        <v>Best 5</v>
      </c>
      <c r="G55" s="6">
        <f>'Reference Score Calculation'!H306</f>
        <v>34</v>
      </c>
      <c r="H55" s="6">
        <f>'Reference Score Calculation'!I306</f>
        <v>28</v>
      </c>
      <c r="I55" s="6">
        <f>'Reference Score Calculation'!J306</f>
        <v>26</v>
      </c>
      <c r="J55" s="45">
        <f>計分版!J329</f>
        <v>3.4999999999999999E-9</v>
      </c>
      <c r="K55" s="25">
        <f t="shared" si="20"/>
        <v>-27.999999996500001</v>
      </c>
      <c r="L55" s="26">
        <f t="shared" si="21"/>
        <v>-7999999999.000001</v>
      </c>
      <c r="M55" s="36">
        <f>'Reference Score Calculation'!U306</f>
        <v>18</v>
      </c>
      <c r="N55" s="54">
        <f>入學要求!Z315</f>
        <v>0</v>
      </c>
      <c r="O55" s="544"/>
      <c r="P55" s="246">
        <f>入學要求!L315</f>
        <v>3</v>
      </c>
      <c r="Q55" s="246">
        <f>入學要求!M315</f>
        <v>4</v>
      </c>
      <c r="R55" s="246">
        <f>入學要求!N315</f>
        <v>2</v>
      </c>
      <c r="S55" s="246">
        <f>入學要求!O315</f>
        <v>1</v>
      </c>
      <c r="T55" s="246">
        <f>入學要求!P315</f>
        <v>3</v>
      </c>
      <c r="U55" s="246">
        <f>入學要求!Q315</f>
        <v>3</v>
      </c>
      <c r="V55" s="236">
        <f>入學要求!S315</f>
        <v>0</v>
      </c>
      <c r="W55" s="236">
        <f>入學要求!T315</f>
        <v>0</v>
      </c>
      <c r="X55" s="236">
        <f>入學要求!U315</f>
        <v>0</v>
      </c>
      <c r="Y55" s="236">
        <f>入學要求!V315</f>
        <v>0</v>
      </c>
      <c r="Z55" s="236">
        <f>入學要求!W315</f>
        <v>0</v>
      </c>
      <c r="AA55" s="236">
        <f>入學要求!X315</f>
        <v>0</v>
      </c>
      <c r="AB55" s="36">
        <f t="shared" si="22"/>
        <v>40.56</v>
      </c>
      <c r="AC55" s="537"/>
      <c r="AD55" s="36" cm="1">
        <f t="array" ref="AD55">IFERROR(INDEX('Offer Statistics'!DA$2:DA$400,MATCH(1,($A55='Offer Statistics'!$CL$2:$CL$400)*($AC$2='Offer Statistics'!$CM$2:$CM$400),0)),"/")</f>
        <v>9</v>
      </c>
      <c r="AE55" s="63" cm="1">
        <f t="array" ref="AE55">IFERROR(INDEX('Offer Statistics'!CV$2:CV$400,MATCH(1,($A55='Offer Statistics'!$CL$2:$CL$400)*($AC$2='Offer Statistics'!$CM$2:$CM$400),0)),"/")</f>
        <v>9</v>
      </c>
      <c r="AF55" s="63" cm="1">
        <f t="array" ref="AF55">IFERROR(INDEX('Offer Statistics'!CW$2:CW$400,MATCH(1,($A55='Offer Statistics'!$CL$2:$CL$400)*($AC$2='Offer Statistics'!$CM$2:$CM$400),0)),"/")</f>
        <v>0</v>
      </c>
      <c r="AG55" s="63" cm="1">
        <f t="array" ref="AG55">IFERROR(INDEX('Offer Statistics'!CX$2:CX$400,MATCH(1,($A55='Offer Statistics'!$CL$2:$CL$400)*($AC$2='Offer Statistics'!$CM$2:$CM$400),0)),"/")</f>
        <v>0</v>
      </c>
      <c r="AH55" s="63" cm="1">
        <f t="array" ref="AH55">IFERROR(INDEX('Offer Statistics'!CY$2:CY$400,MATCH(1,($A55='Offer Statistics'!$CL$2:$CL$400)*($AC$2='Offer Statistics'!$CM$2:$CM$400),0)),"/")</f>
        <v>0</v>
      </c>
      <c r="AI55" s="63" cm="1">
        <f t="array" ref="AI55">IFERROR(INDEX('Offer Statistics'!CZ$2:CZ$400,MATCH(1,($A55='Offer Statistics'!$CL$2:$CL$400)*($AC$2='Offer Statistics'!$CM$2:$CM$400),0)),"/")</f>
        <v>0</v>
      </c>
      <c r="AJ55" s="538"/>
      <c r="AK55" s="36" cm="1">
        <f t="array" ref="AK55">IFERROR(INDEX('Offer Statistics'!CS$2:CS$400,MATCH(1,($A55='Offer Statistics'!$CL$2:$CL$400)*($AC$2='Offer Statistics'!$CM$2:$CM$400),0)),"/")</f>
        <v>365</v>
      </c>
      <c r="AL55" s="63" cm="1">
        <f t="array" ref="AL55">IFERROR(INDEX('Offer Statistics'!CN$2:CN$400,MATCH(1,($A55='Offer Statistics'!$CL$2:$CL$400)*($AC$2='Offer Statistics'!$CM$2:$CM$400),0)),"/")</f>
        <v>24</v>
      </c>
      <c r="AM55" s="63" cm="1">
        <f t="array" ref="AM55">IFERROR(INDEX('Offer Statistics'!CO$2:CO$400,MATCH(1,($A55='Offer Statistics'!$CL$2:$CL$400)*($AC$2='Offer Statistics'!$CM$2:$CM$400),0)),"/")</f>
        <v>29</v>
      </c>
      <c r="AN55" s="63" cm="1">
        <f t="array" ref="AN55">IFERROR(INDEX('Offer Statistics'!CP$2:CP$400,MATCH(1,($A55='Offer Statistics'!$CL$2:$CL$400)*($AC$2='Offer Statistics'!$CM$2:$CM$400),0)),"/")</f>
        <v>83</v>
      </c>
      <c r="AO55" s="63" cm="1">
        <f t="array" ref="AO55">IFERROR(INDEX('Offer Statistics'!CQ$2:CQ$400,MATCH(1,($A55='Offer Statistics'!$CL$2:$CL$400)*($AC$2='Offer Statistics'!$CM$2:$CM$400),0)),"/")</f>
        <v>106</v>
      </c>
      <c r="AP55" s="63" cm="1">
        <f t="array" ref="AP55">IFERROR(INDEX('Offer Statistics'!CR$2:CR$400,MATCH(1,($A55='Offer Statistics'!$CL$2:$CL$400)*($AC$2='Offer Statistics'!$CM$2:$CM$400),0)),"/")</f>
        <v>123</v>
      </c>
      <c r="AR55" s="15" t="str">
        <f t="shared" si="23"/>
        <v>JS6250</v>
      </c>
    </row>
    <row r="56" spans="1:44" ht="18" customHeight="1">
      <c r="A56" s="4" t="str">
        <f>'Reference Score Calculation'!B307</f>
        <v>JS6602</v>
      </c>
      <c r="B56" s="4" t="str">
        <f>'Reference Score Calculation'!D307</f>
        <v>文理學士學位</v>
      </c>
      <c r="C56" s="4" t="str">
        <f>'Reference Score Calculation'!E307</f>
        <v>理學士(創新與科技)</v>
      </c>
      <c r="D56" s="4" t="str">
        <f>'Reference Score Calculation'!S307</f>
        <v>BSc(I&amp;T)</v>
      </c>
      <c r="E56" s="352" t="str">
        <f>'Reference Score Calculation'!AC307</f>
        <v>Best 6</v>
      </c>
      <c r="F56" s="350" t="str">
        <f>'Reference Score Calculation'!F307</f>
        <v>25年新科目</v>
      </c>
      <c r="G56" s="6" t="str">
        <f>'Reference Score Calculation'!H307</f>
        <v>/</v>
      </c>
      <c r="H56" s="6" t="str">
        <f>'Reference Score Calculation'!I307</f>
        <v>/</v>
      </c>
      <c r="I56" s="6" t="str">
        <f>'Reference Score Calculation'!J307</f>
        <v>/</v>
      </c>
      <c r="J56" s="45">
        <f>計分版!J330</f>
        <v>5.6000000000000005E-9</v>
      </c>
      <c r="K56" s="7" t="str">
        <f t="shared" si="20"/>
        <v>/</v>
      </c>
      <c r="L56" s="8" t="str">
        <f t="shared" si="21"/>
        <v>/</v>
      </c>
      <c r="M56" s="36">
        <f>'Reference Score Calculation'!U307</f>
        <v>25</v>
      </c>
      <c r="N56" s="54">
        <f>入學要求!Z316</f>
        <v>0</v>
      </c>
      <c r="O56" s="544"/>
      <c r="P56" s="246">
        <f>入學要求!L316</f>
        <v>3</v>
      </c>
      <c r="Q56" s="246">
        <f>入學要求!M316</f>
        <v>3</v>
      </c>
      <c r="R56" s="246">
        <f>入學要求!N316</f>
        <v>3</v>
      </c>
      <c r="S56" s="246">
        <f>入學要求!O316</f>
        <v>1</v>
      </c>
      <c r="T56" s="246">
        <f>入學要求!P316</f>
        <v>3</v>
      </c>
      <c r="U56" s="246">
        <f>入學要求!Q316</f>
        <v>3</v>
      </c>
      <c r="V56" s="236">
        <f>入學要求!S316</f>
        <v>0</v>
      </c>
      <c r="W56" s="236">
        <f>入學要求!T316</f>
        <v>0</v>
      </c>
      <c r="X56" s="236">
        <f>入學要求!U316</f>
        <v>0</v>
      </c>
      <c r="Y56" s="236">
        <f>入學要求!V316</f>
        <v>0</v>
      </c>
      <c r="Z56" s="236">
        <f>入學要求!W316</f>
        <v>0</v>
      </c>
      <c r="AA56" s="236">
        <f>入學要求!X316</f>
        <v>0</v>
      </c>
      <c r="AB56" s="36" t="str">
        <f t="shared" si="22"/>
        <v>/</v>
      </c>
      <c r="AC56" s="537"/>
      <c r="AD56" s="36" t="str" cm="1">
        <f t="array" ref="AD56">IFERROR(INDEX('Offer Statistics'!DA$2:DA$400,MATCH(1,($A56='Offer Statistics'!$CL$2:$CL$400)*($AC$2='Offer Statistics'!$CM$2:$CM$400),0)),"/")</f>
        <v>/</v>
      </c>
      <c r="AE56" s="63" t="str" cm="1">
        <f t="array" ref="AE56">IFERROR(INDEX('Offer Statistics'!CV$2:CV$400,MATCH(1,($A56='Offer Statistics'!$CL$2:$CL$400)*($AC$2='Offer Statistics'!$CM$2:$CM$400),0)),"/")</f>
        <v>/</v>
      </c>
      <c r="AF56" s="63" t="str" cm="1">
        <f t="array" ref="AF56">IFERROR(INDEX('Offer Statistics'!CW$2:CW$400,MATCH(1,($A56='Offer Statistics'!$CL$2:$CL$400)*($AC$2='Offer Statistics'!$CM$2:$CM$400),0)),"/")</f>
        <v>/</v>
      </c>
      <c r="AG56" s="63" t="str" cm="1">
        <f t="array" ref="AG56">IFERROR(INDEX('Offer Statistics'!CX$2:CX$400,MATCH(1,($A56='Offer Statistics'!$CL$2:$CL$400)*($AC$2='Offer Statistics'!$CM$2:$CM$400),0)),"/")</f>
        <v>/</v>
      </c>
      <c r="AH56" s="63" t="str" cm="1">
        <f t="array" ref="AH56">IFERROR(INDEX('Offer Statistics'!CY$2:CY$400,MATCH(1,($A56='Offer Statistics'!$CL$2:$CL$400)*($AC$2='Offer Statistics'!$CM$2:$CM$400),0)),"/")</f>
        <v>/</v>
      </c>
      <c r="AI56" s="63" t="str" cm="1">
        <f t="array" ref="AI56">IFERROR(INDEX('Offer Statistics'!CZ$2:CZ$400,MATCH(1,($A56='Offer Statistics'!$CL$2:$CL$400)*($AC$2='Offer Statistics'!$CM$2:$CM$400),0)),"/")</f>
        <v>/</v>
      </c>
      <c r="AJ56" s="538"/>
      <c r="AK56" s="36" t="str" cm="1">
        <f t="array" ref="AK56">IFERROR(INDEX('Offer Statistics'!CS$2:CS$400,MATCH(1,($A56='Offer Statistics'!$CL$2:$CL$400)*($AC$2='Offer Statistics'!$CM$2:$CM$400),0)),"/")</f>
        <v>/</v>
      </c>
      <c r="AL56" s="63" t="str" cm="1">
        <f t="array" ref="AL56">IFERROR(INDEX('Offer Statistics'!CN$2:CN$400,MATCH(1,($A56='Offer Statistics'!$CL$2:$CL$400)*($AC$2='Offer Statistics'!$CM$2:$CM$400),0)),"/")</f>
        <v>/</v>
      </c>
      <c r="AM56" s="63" t="str" cm="1">
        <f t="array" ref="AM56">IFERROR(INDEX('Offer Statistics'!CO$2:CO$400,MATCH(1,($A56='Offer Statistics'!$CL$2:$CL$400)*($AC$2='Offer Statistics'!$CM$2:$CM$400),0)),"/")</f>
        <v>/</v>
      </c>
      <c r="AN56" s="63" t="str" cm="1">
        <f t="array" ref="AN56">IFERROR(INDEX('Offer Statistics'!CP$2:CP$400,MATCH(1,($A56='Offer Statistics'!$CL$2:$CL$400)*($AC$2='Offer Statistics'!$CM$2:$CM$400),0)),"/")</f>
        <v>/</v>
      </c>
      <c r="AO56" s="63" t="str" cm="1">
        <f t="array" ref="AO56">IFERROR(INDEX('Offer Statistics'!CQ$2:CQ$400,MATCH(1,($A56='Offer Statistics'!$CL$2:$CL$400)*($AC$2='Offer Statistics'!$CM$2:$CM$400),0)),"/")</f>
        <v>/</v>
      </c>
      <c r="AP56" s="63" t="str" cm="1">
        <f t="array" ref="AP56">IFERROR(INDEX('Offer Statistics'!CR$2:CR$400,MATCH(1,($A56='Offer Statistics'!$CL$2:$CL$400)*($AC$2='Offer Statistics'!$CM$2:$CM$400),0)),"/")</f>
        <v>/</v>
      </c>
      <c r="AR56" s="15" t="str">
        <f t="shared" si="23"/>
        <v>JS6602</v>
      </c>
    </row>
    <row r="57" spans="1:44" ht="18" customHeight="1">
      <c r="AE57" s="15"/>
    </row>
    <row r="58" spans="1:44" ht="18" customHeight="1">
      <c r="A58" s="4" t="s">
        <v>180</v>
      </c>
      <c r="AE58" s="15"/>
    </row>
    <row r="59" spans="1:44" ht="18" customHeight="1">
      <c r="A59" s="4" t="s">
        <v>181</v>
      </c>
      <c r="AE59" s="15"/>
    </row>
    <row r="60" spans="1:44" ht="18" customHeight="1">
      <c r="A60" s="4" t="s">
        <v>2519</v>
      </c>
      <c r="AE60" s="15"/>
    </row>
    <row r="61" spans="1:44" ht="18" customHeight="1">
      <c r="AE61" s="15"/>
    </row>
    <row r="62" spans="1:44" ht="18" customHeight="1">
      <c r="A62" s="4" t="s">
        <v>3131</v>
      </c>
      <c r="AE62" s="15"/>
    </row>
    <row r="63" spans="1:44" ht="18" customHeight="1">
      <c r="AE63" s="36" t="s">
        <v>182</v>
      </c>
    </row>
    <row r="64" spans="1:44" ht="18" customHeight="1">
      <c r="AE64" s="15"/>
    </row>
    <row r="65" spans="1:31" ht="18" customHeight="1">
      <c r="A65" s="23" t="s">
        <v>2250</v>
      </c>
      <c r="AE65" s="15"/>
    </row>
    <row r="66" spans="1:31" ht="18" customHeight="1">
      <c r="A66" s="254" t="s">
        <v>126</v>
      </c>
      <c r="AE66" s="15"/>
    </row>
    <row r="67" spans="1:31" ht="18" customHeight="1">
      <c r="A67" s="254"/>
      <c r="AE67" s="15"/>
    </row>
    <row r="68" spans="1:31" ht="18" customHeight="1">
      <c r="A68" s="3" t="s">
        <v>127</v>
      </c>
      <c r="AE68" s="15"/>
    </row>
    <row r="69" spans="1:31" ht="18" customHeight="1">
      <c r="A69" s="4" t="s">
        <v>183</v>
      </c>
      <c r="AE69" s="15"/>
    </row>
    <row r="70" spans="1:31" ht="18" customHeight="1">
      <c r="A70" s="4" t="s">
        <v>2455</v>
      </c>
      <c r="AE70" s="15"/>
    </row>
    <row r="71" spans="1:31" ht="18" customHeight="1">
      <c r="AE71" s="15"/>
    </row>
    <row r="72" spans="1:31" ht="18" customHeight="1">
      <c r="A72" s="3" t="s">
        <v>129</v>
      </c>
      <c r="AE72" s="15"/>
    </row>
    <row r="73" spans="1:31" ht="18" customHeight="1">
      <c r="A73" s="247" t="s">
        <v>184</v>
      </c>
      <c r="AE73" s="15"/>
    </row>
    <row r="74" spans="1:31" ht="18" customHeight="1">
      <c r="A74" s="247" t="s">
        <v>3291</v>
      </c>
      <c r="AE74" s="15"/>
    </row>
    <row r="75" spans="1:31" ht="18" customHeight="1">
      <c r="A75" s="247" t="s">
        <v>3290</v>
      </c>
      <c r="AE75" s="15"/>
    </row>
    <row r="76" spans="1:31" ht="18" customHeight="1">
      <c r="A76" s="46"/>
      <c r="AE76" s="15"/>
    </row>
    <row r="77" spans="1:31" ht="18" customHeight="1">
      <c r="A77" s="46"/>
      <c r="AE77" s="15"/>
    </row>
    <row r="78" spans="1:31">
      <c r="AE78" s="15"/>
    </row>
    <row r="79" spans="1:31">
      <c r="AE79" s="15"/>
    </row>
    <row r="80" spans="1:31">
      <c r="AE80" s="15"/>
    </row>
    <row r="81" spans="31:31">
      <c r="AE81" s="15"/>
    </row>
    <row r="82" spans="31:31">
      <c r="AE82" s="15"/>
    </row>
    <row r="83" spans="31:31">
      <c r="AE83" s="15"/>
    </row>
    <row r="84" spans="31:31">
      <c r="AE84" s="15"/>
    </row>
    <row r="85" spans="31:31">
      <c r="AE85" s="15"/>
    </row>
    <row r="86" spans="31:31">
      <c r="AE86" s="15"/>
    </row>
    <row r="87" spans="31:31">
      <c r="AE87" s="15"/>
    </row>
    <row r="88" spans="31:31">
      <c r="AE88" s="15"/>
    </row>
    <row r="89" spans="31:31">
      <c r="AE89" s="15"/>
    </row>
    <row r="90" spans="31:31">
      <c r="AE90" s="15"/>
    </row>
    <row r="91" spans="31:31">
      <c r="AE91" s="15"/>
    </row>
    <row r="92" spans="31:31"/>
    <row r="93" spans="31:31"/>
    <row r="94" spans="31:31"/>
    <row r="95" spans="31:31"/>
    <row r="96" spans="31:31"/>
    <row r="97"/>
    <row r="98"/>
    <row r="99"/>
  </sheetData>
  <sheetProtection sheet="1" sort="0" autoFilter="0" pivotTables="0"/>
  <sortState xmlns:xlrd2="http://schemas.microsoft.com/office/spreadsheetml/2017/richdata2" ref="A1:AC48">
    <sortCondition ref="B1"/>
  </sortState>
  <mergeCells count="4">
    <mergeCell ref="O2:O56"/>
    <mergeCell ref="AC2:AC56"/>
    <mergeCell ref="AJ2:AJ56"/>
    <mergeCell ref="K1:L1"/>
  </mergeCells>
  <phoneticPr fontId="3" type="noConversion"/>
  <conditionalFormatting sqref="F2:F56">
    <cfRule type="expression" dxfId="158" priority="1">
      <formula>MOD(ROW(),2)=0</formula>
    </cfRule>
  </conditionalFormatting>
  <conditionalFormatting sqref="G2:G56">
    <cfRule type="expression" dxfId="157" priority="73">
      <formula>$K$1="差距(UQ)"</formula>
    </cfRule>
  </conditionalFormatting>
  <conditionalFormatting sqref="G2:AR2 G3:N56 AK3:AR56 P3:AB56 V2:AA27 A2:E56 AD3:AI56">
    <cfRule type="expression" dxfId="156" priority="21727">
      <formula>MOD(ROW(),2)=0</formula>
    </cfRule>
  </conditionalFormatting>
  <conditionalFormatting sqref="H2:H56">
    <cfRule type="expression" dxfId="155" priority="72">
      <formula>$K$1="差距(Median)"</formula>
    </cfRule>
  </conditionalFormatting>
  <conditionalFormatting sqref="I2:I56">
    <cfRule type="expression" dxfId="154" priority="71">
      <formula>$K$1="差距(LQ)"</formula>
    </cfRule>
  </conditionalFormatting>
  <conditionalFormatting sqref="K2:L56">
    <cfRule type="cellIs" dxfId="153" priority="68" operator="equal">
      <formula>"/"</formula>
    </cfRule>
    <cfRule type="cellIs" dxfId="152" priority="69" operator="lessThan">
      <formula>0</formula>
    </cfRule>
    <cfRule type="cellIs" dxfId="151" priority="70" operator="greaterThan">
      <formula>0</formula>
    </cfRule>
  </conditionalFormatting>
  <conditionalFormatting sqref="N2:N56">
    <cfRule type="cellIs" dxfId="150" priority="65" operator="equal">
      <formula>2</formula>
    </cfRule>
    <cfRule type="cellIs" dxfId="149" priority="66" operator="equal">
      <formula>1</formula>
    </cfRule>
    <cfRule type="cellIs" dxfId="148" priority="67" operator="equal">
      <formula>0</formula>
    </cfRule>
  </conditionalFormatting>
  <conditionalFormatting sqref="P2:U56">
    <cfRule type="expression" dxfId="147" priority="3">
      <formula>V2=0</formula>
    </cfRule>
    <cfRule type="expression" dxfId="146" priority="4">
      <formula>V2=2</formula>
    </cfRule>
    <cfRule type="expression" dxfId="145" priority="5">
      <formula>V2=1</formula>
    </cfRule>
  </conditionalFormatting>
  <conditionalFormatting sqref="AC2 AJ2 AQ2:AQ56">
    <cfRule type="expression" dxfId="144" priority="16">
      <formula>TRUE</formula>
    </cfRule>
  </conditionalFormatting>
  <conditionalFormatting sqref="AC2">
    <cfRule type="expression" dxfId="143" priority="17">
      <formula>MOD(ROW(),2)=0</formula>
    </cfRule>
  </conditionalFormatting>
  <hyperlinks>
    <hyperlink ref="A73" r:id="rId1" xr:uid="{00000000-0004-0000-0C00-000003000000}"/>
    <hyperlink ref="A74" r:id="rId2" xr:uid="{00000000-0004-0000-0C00-000004000000}"/>
    <hyperlink ref="A75" r:id="rId3" xr:uid="{00000000-0004-0000-0C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選單!$K$1:$K$3</xm:f>
          </x14:formula1>
          <xm:sqref>K1</xm:sqref>
        </x14:dataValidation>
        <x14:dataValidation type="list" allowBlank="1" showInputMessage="1" showErrorMessage="1" xr:uid="{B2FB4B88-C594-490F-90FA-D8D9E1A04BEF}">
          <x14:formula1>
            <xm:f>選單!$J$1:$J$7</xm:f>
          </x14:formula1>
          <xm:sqref>AC2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1">
    <tabColor rgb="FFCC0000"/>
  </sheetPr>
  <dimension ref="A1:AX93"/>
  <sheetViews>
    <sheetView workbookViewId="0">
      <selection activeCell="B1" sqref="B1"/>
    </sheetView>
  </sheetViews>
  <sheetFormatPr defaultColWidth="0" defaultRowHeight="13.8" zeroHeight="1"/>
  <cols>
    <col min="1" max="1" width="7.19921875" style="2" customWidth="1"/>
    <col min="2" max="2" width="8" style="2" customWidth="1"/>
    <col min="3" max="3" width="22.69921875" style="2" customWidth="1"/>
    <col min="4" max="4" width="8.19921875" style="2" customWidth="1"/>
    <col min="5" max="5" width="12.296875" style="2" customWidth="1"/>
    <col min="6" max="6" width="11.59765625" style="16" customWidth="1"/>
    <col min="7" max="8" width="7.69921875" style="16" customWidth="1"/>
    <col min="9" max="11" width="7.69921875" style="2" customWidth="1"/>
    <col min="12" max="12" width="4.69921875" style="2" customWidth="1"/>
    <col min="13" max="13" width="4.69921875" style="16" customWidth="1"/>
    <col min="14" max="14" width="14.5" style="2" customWidth="1"/>
    <col min="15" max="20" width="2.19921875" style="2" customWidth="1"/>
    <col min="21" max="26" width="2.19921875" style="2" hidden="1" customWidth="1"/>
    <col min="27" max="27" width="9.69921875" style="2" customWidth="1"/>
    <col min="28" max="28" width="9" style="16" customWidth="1"/>
    <col min="29" max="34" width="6.19921875" style="16" customWidth="1"/>
    <col min="35" max="35" width="9" style="16" customWidth="1"/>
    <col min="36" max="41" width="6.19921875" style="16" customWidth="1"/>
    <col min="42" max="42" width="3.69921875" style="16" customWidth="1"/>
    <col min="43" max="43" width="8.19921875" style="16" customWidth="1"/>
    <col min="44" max="50" width="0" style="2" hidden="1" customWidth="1"/>
    <col min="51" max="16384" width="11.69921875" style="2" hidden="1"/>
  </cols>
  <sheetData>
    <row r="1" spans="1:43" s="40" customFormat="1" ht="18" customHeight="1">
      <c r="A1" s="38" t="s">
        <v>104</v>
      </c>
      <c r="B1" s="38" t="s">
        <v>105</v>
      </c>
      <c r="C1" s="38" t="s">
        <v>106</v>
      </c>
      <c r="D1" s="38"/>
      <c r="E1" s="38" t="s">
        <v>2319</v>
      </c>
      <c r="F1" s="39" t="s">
        <v>2277</v>
      </c>
      <c r="G1" s="39" t="s">
        <v>102</v>
      </c>
      <c r="H1" s="39" t="s">
        <v>100</v>
      </c>
      <c r="I1" s="39" t="s">
        <v>108</v>
      </c>
      <c r="J1" s="548" t="s">
        <v>109</v>
      </c>
      <c r="K1" s="548"/>
      <c r="L1" s="39" t="s">
        <v>36</v>
      </c>
      <c r="M1" s="39" t="s">
        <v>110</v>
      </c>
      <c r="N1" s="39"/>
      <c r="O1" s="39" t="s">
        <v>111</v>
      </c>
      <c r="P1" s="39" t="s">
        <v>112</v>
      </c>
      <c r="Q1" s="39" t="s">
        <v>113</v>
      </c>
      <c r="R1" s="39" t="s">
        <v>114</v>
      </c>
      <c r="S1" s="39" t="s">
        <v>115</v>
      </c>
      <c r="T1" s="39" t="s">
        <v>2059</v>
      </c>
      <c r="U1" s="39"/>
      <c r="V1" s="39"/>
      <c r="W1" s="39"/>
      <c r="X1" s="39"/>
      <c r="Y1" s="39"/>
      <c r="Z1" s="39"/>
      <c r="AA1" s="39" t="s">
        <v>117</v>
      </c>
      <c r="AB1" s="39" t="s">
        <v>118</v>
      </c>
      <c r="AC1" s="39" t="s">
        <v>135</v>
      </c>
      <c r="AD1" s="39" t="s">
        <v>120</v>
      </c>
      <c r="AE1" s="39" t="s">
        <v>121</v>
      </c>
      <c r="AF1" s="39" t="s">
        <v>122</v>
      </c>
      <c r="AG1" s="39" t="s">
        <v>123</v>
      </c>
      <c r="AH1" s="39" t="s">
        <v>124</v>
      </c>
      <c r="AI1" s="39" t="s">
        <v>136</v>
      </c>
      <c r="AJ1" s="39" t="s">
        <v>135</v>
      </c>
      <c r="AK1" s="39" t="s">
        <v>120</v>
      </c>
      <c r="AL1" s="39" t="s">
        <v>121</v>
      </c>
      <c r="AM1" s="39" t="s">
        <v>122</v>
      </c>
      <c r="AN1" s="39" t="s">
        <v>123</v>
      </c>
      <c r="AO1" s="39" t="s">
        <v>124</v>
      </c>
      <c r="AP1" s="78"/>
      <c r="AQ1" s="78"/>
    </row>
    <row r="2" spans="1:43" s="4" customFormat="1" ht="18" customHeight="1">
      <c r="A2" s="4" t="str">
        <f>'Reference Score Calculation'!B310</f>
        <v>JS7101</v>
      </c>
      <c r="B2" s="4" t="str">
        <f>'Reference Score Calculation'!D310</f>
        <v>文學院</v>
      </c>
      <c r="C2" s="4" t="str">
        <f>計分版!C333</f>
        <v>中文(榮譽)文學士</v>
      </c>
      <c r="D2" s="4" t="str">
        <f>'Reference Score Calculation'!S310</f>
        <v>BA (Hons) Chinese</v>
      </c>
      <c r="E2" s="352" t="str">
        <f>'Reference Score Calculation'!AC310</f>
        <v>Best 5</v>
      </c>
      <c r="F2" s="408" t="str">
        <f>'Reference Score Calculation'!F310</f>
        <v>Best 5</v>
      </c>
      <c r="G2" s="6">
        <f>'Reference Score Calculation'!I310</f>
        <v>25</v>
      </c>
      <c r="H2" s="6">
        <f>'Reference Score Calculation'!J310</f>
        <v>24.5</v>
      </c>
      <c r="I2" s="45">
        <f>計分版!J333</f>
        <v>3.4999999999999999E-9</v>
      </c>
      <c r="J2" s="172">
        <f>IFERROR(IF(J$1="差距(Median)",I2-G2,IF(J$1="差距(LQ)",I2-H2)),"/")</f>
        <v>-24.999999996500001</v>
      </c>
      <c r="K2" s="173">
        <f>IFERROR(IF(J$1="差距(Median)",(I2-G2)/I2,IF(J$1="差距(LQ)",(I2-H2)/I2)),"/")</f>
        <v>-7142857141.8571434</v>
      </c>
      <c r="L2" s="36">
        <f>'Reference Score Calculation'!U310</f>
        <v>39</v>
      </c>
      <c r="M2" s="84">
        <f>入學要求!Z319</f>
        <v>0</v>
      </c>
      <c r="N2" s="544" t="s">
        <v>2104</v>
      </c>
      <c r="O2" s="174">
        <f>入學要求!L319</f>
        <v>3</v>
      </c>
      <c r="P2" s="174">
        <f>入學要求!M319</f>
        <v>3</v>
      </c>
      <c r="Q2" s="174">
        <f>入學要求!N319</f>
        <v>2</v>
      </c>
      <c r="R2" s="174">
        <f>入學要求!O319</f>
        <v>1</v>
      </c>
      <c r="S2" s="174">
        <f>入學要求!P319</f>
        <v>2</v>
      </c>
      <c r="T2" s="174">
        <f>入學要求!Q319</f>
        <v>2</v>
      </c>
      <c r="U2" s="248">
        <f>入學要求!S319</f>
        <v>0</v>
      </c>
      <c r="V2" s="248">
        <f>入學要求!T319</f>
        <v>0</v>
      </c>
      <c r="W2" s="248">
        <f>入學要求!U319</f>
        <v>0</v>
      </c>
      <c r="X2" s="248">
        <f>入學要求!V319</f>
        <v>0</v>
      </c>
      <c r="Y2" s="248">
        <f>入學要求!W319</f>
        <v>0</v>
      </c>
      <c r="Z2" s="248">
        <f>入學要求!X319</f>
        <v>0</v>
      </c>
      <c r="AA2" s="36">
        <f>IFERROR(ROUND(AK2/AD2,2),"/")</f>
        <v>12.05</v>
      </c>
      <c r="AB2" s="537" t="s">
        <v>2253</v>
      </c>
      <c r="AC2" s="36" cm="1">
        <f t="array" ref="AC2">IFERROR(INDEX('Offer Statistics'!DS$2:DS$400,MATCH(1,($A2='Offer Statistics'!$DD$2:$DD$400)*($AB$2='Offer Statistics'!$DE$2:$DE$400),0)),"/")</f>
        <v>45</v>
      </c>
      <c r="AD2" s="63" cm="1">
        <f t="array" ref="AD2">IFERROR(INDEX('Offer Statistics'!DN$2:DN$400,MATCH(1,($A2='Offer Statistics'!$DD$2:$DD$400)*($AB$2='Offer Statistics'!$DE$2:$DE$400),0)),"/")</f>
        <v>42</v>
      </c>
      <c r="AE2" s="63" cm="1">
        <f t="array" ref="AE2">IFERROR(INDEX('Offer Statistics'!DO$2:DO$400,MATCH(1,($A2='Offer Statistics'!$DD$2:$DD$400)*($AB$2='Offer Statistics'!$DE$2:$DE$400),0)),"/")</f>
        <v>3</v>
      </c>
      <c r="AF2" s="63" cm="1">
        <f t="array" ref="AF2">IFERROR(INDEX('Offer Statistics'!DP$2:DP$400,MATCH(1,($A2='Offer Statistics'!$DD$2:$DD$400)*($AB$2='Offer Statistics'!$DE$2:$DE$400),0)),"/")</f>
        <v>0</v>
      </c>
      <c r="AG2" s="63" cm="1">
        <f t="array" ref="AG2">IFERROR(INDEX('Offer Statistics'!DQ$2:DQ$400,MATCH(1,($A2='Offer Statistics'!$DD$2:$DD$400)*($AB$2='Offer Statistics'!$DE$2:$DE$400),0)),"/")</f>
        <v>0</v>
      </c>
      <c r="AH2" s="63" cm="1">
        <f t="array" ref="AH2">IFERROR(INDEX('Offer Statistics'!DR$2:DR$400,MATCH(1,($A2='Offer Statistics'!$DD$2:$DD$400)*($AB$2='Offer Statistics'!$DE$2:$DE$400),0)),"/")</f>
        <v>0</v>
      </c>
      <c r="AI2" s="538" t="str">
        <f>AB2</f>
        <v>2024年</v>
      </c>
      <c r="AJ2" s="36" cm="1">
        <f t="array" ref="AJ2">IFERROR(INDEX('Offer Statistics'!DK$2:DK$400,MATCH(1,($A2='Offer Statistics'!$DD$2:$DD$400)*($AB$2='Offer Statistics'!$DE$2:$DE$400),0)),"/")</f>
        <v>2461</v>
      </c>
      <c r="AK2" s="63" cm="1">
        <f t="array" ref="AK2">IFERROR(INDEX('Offer Statistics'!DF$2:DF$400,MATCH(1,($A2='Offer Statistics'!$DD$2:$DD$400)*($AB$2='Offer Statistics'!$DE$2:$DE$400),0)),"/")</f>
        <v>506</v>
      </c>
      <c r="AL2" s="63" cm="1">
        <f t="array" ref="AL2">IFERROR(INDEX('Offer Statistics'!DG$2:DG$400,MATCH(1,($A2='Offer Statistics'!$DD$2:$DD$400)*($AB$2='Offer Statistics'!$DE$2:$DE$400),0)),"/")</f>
        <v>477</v>
      </c>
      <c r="AM2" s="63" cm="1">
        <f t="array" ref="AM2">IFERROR(INDEX('Offer Statistics'!DH$2:DH$400,MATCH(1,($A2='Offer Statistics'!$DD$2:$DD$400)*($AB$2='Offer Statistics'!$DE$2:$DE$400),0)),"/")</f>
        <v>514</v>
      </c>
      <c r="AN2" s="63" cm="1">
        <f t="array" ref="AN2">IFERROR(INDEX('Offer Statistics'!DI$2:DI$400,MATCH(1,($A2='Offer Statistics'!$DD$2:$DD$400)*($AB$2='Offer Statistics'!$DE$2:$DE$400),0)),"/")</f>
        <v>558</v>
      </c>
      <c r="AO2" s="63" cm="1">
        <f t="array" ref="AO2">IFERROR(INDEX('Offer Statistics'!DJ$2:DJ$400,MATCH(1,($A2='Offer Statistics'!$DD$2:$DD$400)*($AB$2='Offer Statistics'!$DE$2:$DE$400),0)),"/")</f>
        <v>406</v>
      </c>
      <c r="AP2" s="15"/>
      <c r="AQ2" s="15" t="str">
        <f>A2</f>
        <v>JS7101</v>
      </c>
    </row>
    <row r="3" spans="1:43" s="4" customFormat="1" ht="18" customHeight="1">
      <c r="A3" s="4" t="str">
        <f>'Reference Score Calculation'!B311</f>
        <v>JS7123</v>
      </c>
      <c r="B3" s="4" t="str">
        <f>'Reference Score Calculation'!D311</f>
        <v>跨學院</v>
      </c>
      <c r="C3" s="4" t="str">
        <f>計分版!C334</f>
        <v>環球可持續發展(榮譽)博雅學士</v>
      </c>
      <c r="D3" s="4" t="str">
        <f>'Reference Score Calculation'!S311</f>
        <v>BLA (Hons) GDS</v>
      </c>
      <c r="E3" s="352" t="str">
        <f>'Reference Score Calculation'!AC311</f>
        <v>Best 5</v>
      </c>
      <c r="F3" s="366" t="str">
        <f>'Reference Score Calculation'!F311</f>
        <v>Best 5</v>
      </c>
      <c r="G3" s="6">
        <f>'Reference Score Calculation'!I311</f>
        <v>25</v>
      </c>
      <c r="H3" s="6">
        <f>'Reference Score Calculation'!J311</f>
        <v>23.75</v>
      </c>
      <c r="I3" s="45">
        <f>計分版!J334</f>
        <v>3.4999999999999999E-9</v>
      </c>
      <c r="J3" s="172">
        <f t="shared" ref="J3" si="0">IFERROR(IF(J$1="差距(Median)",I3-G3,IF(J$1="差距(LQ)",I3-H3)),"/")</f>
        <v>-24.999999996500001</v>
      </c>
      <c r="K3" s="173">
        <f t="shared" ref="K3" si="1">IFERROR(IF(J$1="差距(Median)",(I3-G3)/I3,IF(J$1="差距(LQ)",(I3-H3)/I3)),"/")</f>
        <v>-7142857141.8571434</v>
      </c>
      <c r="L3" s="36">
        <f>'Reference Score Calculation'!U311</f>
        <v>20</v>
      </c>
      <c r="M3" s="84">
        <f>入學要求!Z320</f>
        <v>0</v>
      </c>
      <c r="N3" s="544"/>
      <c r="O3" s="175">
        <f>入學要求!L320</f>
        <v>3</v>
      </c>
      <c r="P3" s="175">
        <f>入學要求!M320</f>
        <v>3</v>
      </c>
      <c r="Q3" s="175">
        <f>入學要求!N320</f>
        <v>2</v>
      </c>
      <c r="R3" s="175">
        <f>入學要求!O320</f>
        <v>1</v>
      </c>
      <c r="S3" s="175">
        <f>入學要求!P320</f>
        <v>2</v>
      </c>
      <c r="T3" s="174">
        <f>入學要求!Q320</f>
        <v>2</v>
      </c>
      <c r="U3" s="248">
        <f>入學要求!S320</f>
        <v>0</v>
      </c>
      <c r="V3" s="248">
        <f>入學要求!T320</f>
        <v>0</v>
      </c>
      <c r="W3" s="248">
        <f>入學要求!U320</f>
        <v>0</v>
      </c>
      <c r="X3" s="248">
        <f>入學要求!V320</f>
        <v>0</v>
      </c>
      <c r="Y3" s="248">
        <f>入學要求!W320</f>
        <v>0</v>
      </c>
      <c r="Z3" s="248">
        <f>入學要求!X320</f>
        <v>0</v>
      </c>
      <c r="AA3" s="36">
        <f t="shared" ref="AA3" si="2">IFERROR(ROUND(AK3/AD3,2),"/")</f>
        <v>20.87</v>
      </c>
      <c r="AB3" s="537"/>
      <c r="AC3" s="36" cm="1">
        <f t="array" ref="AC3">IFERROR(INDEX('Offer Statistics'!DS$2:DS$400,MATCH(1,($A3='Offer Statistics'!$DD$2:$DD$400)*($AB$2='Offer Statistics'!$DE$2:$DE$400),0)),"/")</f>
        <v>15</v>
      </c>
      <c r="AD3" s="63" cm="1">
        <f t="array" ref="AD3">IFERROR(INDEX('Offer Statistics'!DN$2:DN$400,MATCH(1,($A3='Offer Statistics'!$DD$2:$DD$400)*($AB$2='Offer Statistics'!$DE$2:$DE$400),0)),"/")</f>
        <v>15</v>
      </c>
      <c r="AE3" s="63" cm="1">
        <f t="array" ref="AE3">IFERROR(INDEX('Offer Statistics'!DO$2:DO$400,MATCH(1,($A3='Offer Statistics'!$DD$2:$DD$400)*($AB$2='Offer Statistics'!$DE$2:$DE$400),0)),"/")</f>
        <v>0</v>
      </c>
      <c r="AF3" s="63" cm="1">
        <f t="array" ref="AF3">IFERROR(INDEX('Offer Statistics'!DP$2:DP$400,MATCH(1,($A3='Offer Statistics'!$DD$2:$DD$400)*($AB$2='Offer Statistics'!$DE$2:$DE$400),0)),"/")</f>
        <v>0</v>
      </c>
      <c r="AG3" s="63" cm="1">
        <f t="array" ref="AG3">IFERROR(INDEX('Offer Statistics'!DQ$2:DQ$400,MATCH(1,($A3='Offer Statistics'!$DD$2:$DD$400)*($AB$2='Offer Statistics'!$DE$2:$DE$400),0)),"/")</f>
        <v>0</v>
      </c>
      <c r="AH3" s="63" cm="1">
        <f t="array" ref="AH3">IFERROR(INDEX('Offer Statistics'!DR$2:DR$400,MATCH(1,($A3='Offer Statistics'!$DD$2:$DD$400)*($AB$2='Offer Statistics'!$DE$2:$DE$400),0)),"/")</f>
        <v>0</v>
      </c>
      <c r="AI3" s="538"/>
      <c r="AJ3" s="36" cm="1">
        <f t="array" ref="AJ3">IFERROR(INDEX('Offer Statistics'!DK$2:DK$400,MATCH(1,($A3='Offer Statistics'!$DD$2:$DD$400)*($AB$2='Offer Statistics'!$DE$2:$DE$400),0)),"/")</f>
        <v>1819</v>
      </c>
      <c r="AK3" s="63" cm="1">
        <f t="array" ref="AK3">IFERROR(INDEX('Offer Statistics'!DF$2:DF$400,MATCH(1,($A3='Offer Statistics'!$DD$2:$DD$400)*($AB$2='Offer Statistics'!$DE$2:$DE$400),0)),"/")</f>
        <v>313</v>
      </c>
      <c r="AL3" s="63" cm="1">
        <f t="array" ref="AL3">IFERROR(INDEX('Offer Statistics'!DG$2:DG$400,MATCH(1,($A3='Offer Statistics'!$DD$2:$DD$400)*($AB$2='Offer Statistics'!$DE$2:$DE$400),0)),"/")</f>
        <v>346</v>
      </c>
      <c r="AM3" s="63" cm="1">
        <f t="array" ref="AM3">IFERROR(INDEX('Offer Statistics'!DH$2:DH$400,MATCH(1,($A3='Offer Statistics'!$DD$2:$DD$400)*($AB$2='Offer Statistics'!$DE$2:$DE$400),0)),"/")</f>
        <v>344</v>
      </c>
      <c r="AN3" s="63" cm="1">
        <f t="array" ref="AN3">IFERROR(INDEX('Offer Statistics'!DI$2:DI$400,MATCH(1,($A3='Offer Statistics'!$DD$2:$DD$400)*($AB$2='Offer Statistics'!$DE$2:$DE$400),0)),"/")</f>
        <v>438</v>
      </c>
      <c r="AO3" s="63" cm="1">
        <f t="array" ref="AO3">IFERROR(INDEX('Offer Statistics'!DJ$2:DJ$400,MATCH(1,($A3='Offer Statistics'!$DD$2:$DD$400)*($AB$2='Offer Statistics'!$DE$2:$DE$400),0)),"/")</f>
        <v>378</v>
      </c>
      <c r="AP3" s="15"/>
      <c r="AQ3" s="15" t="str">
        <f t="shared" ref="AQ3" si="3">A3</f>
        <v>JS7123</v>
      </c>
    </row>
    <row r="4" spans="1:43" s="4" customFormat="1" ht="18" customHeight="1">
      <c r="A4" s="4" t="str">
        <f>'Reference Score Calculation'!B312</f>
        <v>JS7133</v>
      </c>
      <c r="B4" s="4" t="str">
        <f>'Reference Score Calculation'!D312</f>
        <v>文學院</v>
      </c>
      <c r="C4" s="4" t="str">
        <f>計分版!C335</f>
        <v>動畫及數碼藝術(榮譽)文學士</v>
      </c>
      <c r="D4" s="4" t="str">
        <f>'Reference Score Calculation'!S312</f>
        <v>BA (Hons) ADA</v>
      </c>
      <c r="E4" s="352" t="str">
        <f>'Reference Score Calculation'!AC312</f>
        <v>Best 5</v>
      </c>
      <c r="F4" s="408" t="str">
        <f>'Reference Score Calculation'!F312</f>
        <v>Best 5</v>
      </c>
      <c r="G4" s="6">
        <f>'Reference Score Calculation'!I312</f>
        <v>23</v>
      </c>
      <c r="H4" s="6">
        <f>'Reference Score Calculation'!J312</f>
        <v>22.5</v>
      </c>
      <c r="I4" s="45">
        <f>計分版!J335</f>
        <v>3.4999999999999999E-9</v>
      </c>
      <c r="J4" s="172">
        <f t="shared" ref="J4:J24" si="4">IFERROR(IF(J$1="差距(Median)",I4-G4,IF(J$1="差距(LQ)",I4-H4)),"/")</f>
        <v>-22.999999996500001</v>
      </c>
      <c r="K4" s="173">
        <f t="shared" ref="K4:K24" si="5">IFERROR(IF(J$1="差距(Median)",(I4-G4)/I4,IF(J$1="差距(LQ)",(I4-H4)/I4)),"/")</f>
        <v>-6571428570.4285717</v>
      </c>
      <c r="L4" s="36">
        <f>'Reference Score Calculation'!U312</f>
        <v>20</v>
      </c>
      <c r="M4" s="84">
        <f>入學要求!Z321</f>
        <v>0</v>
      </c>
      <c r="N4" s="544"/>
      <c r="O4" s="175">
        <f>入學要求!L321</f>
        <v>3</v>
      </c>
      <c r="P4" s="175">
        <f>入學要求!M321</f>
        <v>3</v>
      </c>
      <c r="Q4" s="175">
        <f>入學要求!N321</f>
        <v>2</v>
      </c>
      <c r="R4" s="175">
        <f>入學要求!O321</f>
        <v>1</v>
      </c>
      <c r="S4" s="175">
        <f>入學要求!P321</f>
        <v>2</v>
      </c>
      <c r="T4" s="174">
        <f>入學要求!Q321</f>
        <v>2</v>
      </c>
      <c r="U4" s="248">
        <f>入學要求!S321</f>
        <v>0</v>
      </c>
      <c r="V4" s="248">
        <f>入學要求!T321</f>
        <v>0</v>
      </c>
      <c r="W4" s="248">
        <f>入學要求!U321</f>
        <v>0</v>
      </c>
      <c r="X4" s="248">
        <f>入學要求!V321</f>
        <v>0</v>
      </c>
      <c r="Y4" s="248">
        <f>入學要求!W321</f>
        <v>0</v>
      </c>
      <c r="Z4" s="248">
        <f>入學要求!X321</f>
        <v>0</v>
      </c>
      <c r="AA4" s="36">
        <f t="shared" ref="AA4:AA24" si="6">IFERROR(ROUND(AK4/AD4,2),"/")</f>
        <v>44.1</v>
      </c>
      <c r="AB4" s="537"/>
      <c r="AC4" s="36" cm="1">
        <f t="array" ref="AC4">IFERROR(INDEX('Offer Statistics'!DS$2:DS$400,MATCH(1,($A4='Offer Statistics'!$DD$2:$DD$400)*($AB$2='Offer Statistics'!$DE$2:$DE$400),0)),"/")</f>
        <v>10</v>
      </c>
      <c r="AD4" s="63" cm="1">
        <f t="array" ref="AD4">IFERROR(INDEX('Offer Statistics'!DN$2:DN$400,MATCH(1,($A4='Offer Statistics'!$DD$2:$DD$400)*($AB$2='Offer Statistics'!$DE$2:$DE$400),0)),"/")</f>
        <v>10</v>
      </c>
      <c r="AE4" s="63" cm="1">
        <f t="array" ref="AE4">IFERROR(INDEX('Offer Statistics'!DO$2:DO$400,MATCH(1,($A4='Offer Statistics'!$DD$2:$DD$400)*($AB$2='Offer Statistics'!$DE$2:$DE$400),0)),"/")</f>
        <v>0</v>
      </c>
      <c r="AF4" s="63" cm="1">
        <f t="array" ref="AF4">IFERROR(INDEX('Offer Statistics'!DP$2:DP$400,MATCH(1,($A4='Offer Statistics'!$DD$2:$DD$400)*($AB$2='Offer Statistics'!$DE$2:$DE$400),0)),"/")</f>
        <v>0</v>
      </c>
      <c r="AG4" s="63" cm="1">
        <f t="array" ref="AG4">IFERROR(INDEX('Offer Statistics'!DQ$2:DQ$400,MATCH(1,($A4='Offer Statistics'!$DD$2:$DD$400)*($AB$2='Offer Statistics'!$DE$2:$DE$400),0)),"/")</f>
        <v>0</v>
      </c>
      <c r="AH4" s="63" cm="1">
        <f t="array" ref="AH4">IFERROR(INDEX('Offer Statistics'!DR$2:DR$400,MATCH(1,($A4='Offer Statistics'!$DD$2:$DD$400)*($AB$2='Offer Statistics'!$DE$2:$DE$400),0)),"/")</f>
        <v>0</v>
      </c>
      <c r="AI4" s="538"/>
      <c r="AJ4" s="36" cm="1">
        <f t="array" ref="AJ4">IFERROR(INDEX('Offer Statistics'!DK$2:DK$400,MATCH(1,($A4='Offer Statistics'!$DD$2:$DD$400)*($AB$2='Offer Statistics'!$DE$2:$DE$400),0)),"/")</f>
        <v>2556</v>
      </c>
      <c r="AK4" s="63" cm="1">
        <f t="array" ref="AK4">IFERROR(INDEX('Offer Statistics'!DF$2:DF$400,MATCH(1,($A4='Offer Statistics'!$DD$2:$DD$400)*($AB$2='Offer Statistics'!$DE$2:$DE$400),0)),"/")</f>
        <v>441</v>
      </c>
      <c r="AL4" s="63" cm="1">
        <f t="array" ref="AL4">IFERROR(INDEX('Offer Statistics'!DG$2:DG$400,MATCH(1,($A4='Offer Statistics'!$DD$2:$DD$400)*($AB$2='Offer Statistics'!$DE$2:$DE$400),0)),"/")</f>
        <v>451</v>
      </c>
      <c r="AM4" s="63" cm="1">
        <f t="array" ref="AM4">IFERROR(INDEX('Offer Statistics'!DH$2:DH$400,MATCH(1,($A4='Offer Statistics'!$DD$2:$DD$400)*($AB$2='Offer Statistics'!$DE$2:$DE$400),0)),"/")</f>
        <v>569</v>
      </c>
      <c r="AN4" s="63" cm="1">
        <f t="array" ref="AN4">IFERROR(INDEX('Offer Statistics'!DI$2:DI$400,MATCH(1,($A4='Offer Statistics'!$DD$2:$DD$400)*($AB$2='Offer Statistics'!$DE$2:$DE$400),0)),"/")</f>
        <v>621</v>
      </c>
      <c r="AO4" s="63" cm="1">
        <f t="array" ref="AO4">IFERROR(INDEX('Offer Statistics'!DJ$2:DJ$400,MATCH(1,($A4='Offer Statistics'!$DD$2:$DD$400)*($AB$2='Offer Statistics'!$DE$2:$DE$400),0)),"/")</f>
        <v>474</v>
      </c>
      <c r="AP4" s="15"/>
      <c r="AQ4" s="15" t="str">
        <f t="shared" ref="AQ4:AQ24" si="7">A4</f>
        <v>JS7133</v>
      </c>
    </row>
    <row r="5" spans="1:43" s="4" customFormat="1" ht="18" customHeight="1">
      <c r="A5" s="4" t="str">
        <f>'Reference Score Calculation'!B313</f>
        <v>JS7204</v>
      </c>
      <c r="B5" s="4" t="str">
        <f>'Reference Score Calculation'!D313</f>
        <v>文學院</v>
      </c>
      <c r="C5" s="4" t="str">
        <f>計分版!C336</f>
        <v>翻譯(榮譽)文學士</v>
      </c>
      <c r="D5" s="4" t="str">
        <f>'Reference Score Calculation'!S313</f>
        <v>BA (Hons) Translation</v>
      </c>
      <c r="E5" s="352" t="str">
        <f>'Reference Score Calculation'!AC313</f>
        <v>Best 5</v>
      </c>
      <c r="F5" s="408" t="str">
        <f>'Reference Score Calculation'!F313</f>
        <v>Best 5</v>
      </c>
      <c r="G5" s="6">
        <f>'Reference Score Calculation'!I313</f>
        <v>24.5</v>
      </c>
      <c r="H5" s="6">
        <f>'Reference Score Calculation'!J313</f>
        <v>24</v>
      </c>
      <c r="I5" s="45">
        <f>計分版!J336</f>
        <v>3.4999999999999999E-9</v>
      </c>
      <c r="J5" s="172">
        <f t="shared" si="4"/>
        <v>-24.499999996500001</v>
      </c>
      <c r="K5" s="173">
        <f t="shared" si="5"/>
        <v>-6999999999.000001</v>
      </c>
      <c r="L5" s="36">
        <f>'Reference Score Calculation'!U313</f>
        <v>34</v>
      </c>
      <c r="M5" s="84">
        <f>入學要求!Z322</f>
        <v>0</v>
      </c>
      <c r="N5" s="544"/>
      <c r="O5" s="175">
        <f>入學要求!L322</f>
        <v>3</v>
      </c>
      <c r="P5" s="175">
        <f>入學要求!M322</f>
        <v>3</v>
      </c>
      <c r="Q5" s="175">
        <f>入學要求!N322</f>
        <v>2</v>
      </c>
      <c r="R5" s="175">
        <f>入學要求!O322</f>
        <v>1</v>
      </c>
      <c r="S5" s="175">
        <f>入學要求!P322</f>
        <v>2</v>
      </c>
      <c r="T5" s="174">
        <f>入學要求!Q322</f>
        <v>2</v>
      </c>
      <c r="U5" s="248">
        <f>入學要求!S322</f>
        <v>0</v>
      </c>
      <c r="V5" s="248">
        <f>入學要求!T322</f>
        <v>0</v>
      </c>
      <c r="W5" s="248">
        <f>入學要求!U322</f>
        <v>0</v>
      </c>
      <c r="X5" s="248">
        <f>入學要求!V322</f>
        <v>0</v>
      </c>
      <c r="Y5" s="248">
        <f>入學要求!W322</f>
        <v>0</v>
      </c>
      <c r="Z5" s="248">
        <f>入學要求!X322</f>
        <v>0</v>
      </c>
      <c r="AA5" s="36">
        <f t="shared" si="6"/>
        <v>8.7799999999999994</v>
      </c>
      <c r="AB5" s="537"/>
      <c r="AC5" s="36" cm="1">
        <f t="array" ref="AC5">IFERROR(INDEX('Offer Statistics'!DS$2:DS$400,MATCH(1,($A5='Offer Statistics'!$DD$2:$DD$400)*($AB$2='Offer Statistics'!$DE$2:$DE$400),0)),"/")</f>
        <v>44</v>
      </c>
      <c r="AD5" s="63" cm="1">
        <f t="array" ref="AD5">IFERROR(INDEX('Offer Statistics'!DN$2:DN$400,MATCH(1,($A5='Offer Statistics'!$DD$2:$DD$400)*($AB$2='Offer Statistics'!$DE$2:$DE$400),0)),"/")</f>
        <v>27</v>
      </c>
      <c r="AE5" s="63" cm="1">
        <f t="array" ref="AE5">IFERROR(INDEX('Offer Statistics'!DO$2:DO$400,MATCH(1,($A5='Offer Statistics'!$DD$2:$DD$400)*($AB$2='Offer Statistics'!$DE$2:$DE$400),0)),"/")</f>
        <v>13</v>
      </c>
      <c r="AF5" s="63" cm="1">
        <f t="array" ref="AF5">IFERROR(INDEX('Offer Statistics'!DP$2:DP$400,MATCH(1,($A5='Offer Statistics'!$DD$2:$DD$400)*($AB$2='Offer Statistics'!$DE$2:$DE$400),0)),"/")</f>
        <v>4</v>
      </c>
      <c r="AG5" s="63" cm="1">
        <f t="array" ref="AG5">IFERROR(INDEX('Offer Statistics'!DQ$2:DQ$400,MATCH(1,($A5='Offer Statistics'!$DD$2:$DD$400)*($AB$2='Offer Statistics'!$DE$2:$DE$400),0)),"/")</f>
        <v>0</v>
      </c>
      <c r="AH5" s="63" cm="1">
        <f t="array" ref="AH5">IFERROR(INDEX('Offer Statistics'!DR$2:DR$400,MATCH(1,($A5='Offer Statistics'!$DD$2:$DD$400)*($AB$2='Offer Statistics'!$DE$2:$DE$400),0)),"/")</f>
        <v>0</v>
      </c>
      <c r="AI5" s="538"/>
      <c r="AJ5" s="36" cm="1">
        <f t="array" ref="AJ5">IFERROR(INDEX('Offer Statistics'!DK$2:DK$400,MATCH(1,($A5='Offer Statistics'!$DD$2:$DD$400)*($AB$2='Offer Statistics'!$DE$2:$DE$400),0)),"/")</f>
        <v>1417</v>
      </c>
      <c r="AK5" s="63" cm="1">
        <f t="array" ref="AK5">IFERROR(INDEX('Offer Statistics'!DF$2:DF$400,MATCH(1,($A5='Offer Statistics'!$DD$2:$DD$400)*($AB$2='Offer Statistics'!$DE$2:$DE$400),0)),"/")</f>
        <v>237</v>
      </c>
      <c r="AL5" s="63" cm="1">
        <f t="array" ref="AL5">IFERROR(INDEX('Offer Statistics'!DG$2:DG$400,MATCH(1,($A5='Offer Statistics'!$DD$2:$DD$400)*($AB$2='Offer Statistics'!$DE$2:$DE$400),0)),"/")</f>
        <v>251</v>
      </c>
      <c r="AM5" s="63" cm="1">
        <f t="array" ref="AM5">IFERROR(INDEX('Offer Statistics'!DH$2:DH$400,MATCH(1,($A5='Offer Statistics'!$DD$2:$DD$400)*($AB$2='Offer Statistics'!$DE$2:$DE$400),0)),"/")</f>
        <v>290</v>
      </c>
      <c r="AN5" s="63" cm="1">
        <f t="array" ref="AN5">IFERROR(INDEX('Offer Statistics'!DI$2:DI$400,MATCH(1,($A5='Offer Statistics'!$DD$2:$DD$400)*($AB$2='Offer Statistics'!$DE$2:$DE$400),0)),"/")</f>
        <v>310</v>
      </c>
      <c r="AO5" s="63" cm="1">
        <f t="array" ref="AO5">IFERROR(INDEX('Offer Statistics'!DJ$2:DJ$400,MATCH(1,($A5='Offer Statistics'!$DD$2:$DD$400)*($AB$2='Offer Statistics'!$DE$2:$DE$400),0)),"/")</f>
        <v>329</v>
      </c>
      <c r="AP5" s="15"/>
      <c r="AQ5" s="15" t="str">
        <f t="shared" si="7"/>
        <v>JS7204</v>
      </c>
    </row>
    <row r="6" spans="1:43" s="4" customFormat="1" ht="18" customHeight="1">
      <c r="A6" s="4" t="str">
        <f>'Reference Score Calculation'!B314</f>
        <v>JS7211</v>
      </c>
      <c r="B6" s="4" t="str">
        <f>'Reference Score Calculation'!D314</f>
        <v>商學院</v>
      </c>
      <c r="C6" s="4" t="str">
        <f>計分版!C337</f>
        <v>工商管理(榮譽)學士 – 會計與企業管治</v>
      </c>
      <c r="D6" s="4" t="str">
        <f>'Reference Score Calculation'!S314</f>
        <v>BBA (Hons) ACG</v>
      </c>
      <c r="E6" s="352" t="str">
        <f>'Reference Score Calculation'!AC314</f>
        <v>Best 5</v>
      </c>
      <c r="F6" s="467" t="str">
        <f>'Reference Score Calculation'!F314</f>
        <v>25年新科目</v>
      </c>
      <c r="G6" s="6">
        <f>'Reference Score Calculation'!I314</f>
        <v>23.5</v>
      </c>
      <c r="H6" s="6">
        <f>'Reference Score Calculation'!J314</f>
        <v>23</v>
      </c>
      <c r="I6" s="45">
        <f>計分版!J337</f>
        <v>3.1500000000000001E-9</v>
      </c>
      <c r="J6" s="172">
        <f t="shared" si="4"/>
        <v>-23.499999996850001</v>
      </c>
      <c r="K6" s="173">
        <f t="shared" si="5"/>
        <v>-7460317459.3174601</v>
      </c>
      <c r="L6" s="36">
        <f>'Reference Score Calculation'!U314</f>
        <v>42</v>
      </c>
      <c r="M6" s="84">
        <f>入學要求!Z323</f>
        <v>0</v>
      </c>
      <c r="N6" s="544"/>
      <c r="O6" s="175">
        <f>入學要求!L323</f>
        <v>3</v>
      </c>
      <c r="P6" s="175">
        <f>入學要求!M323</f>
        <v>3</v>
      </c>
      <c r="Q6" s="175">
        <f>入學要求!N323</f>
        <v>2</v>
      </c>
      <c r="R6" s="175">
        <f>入學要求!O323</f>
        <v>1</v>
      </c>
      <c r="S6" s="175">
        <f>入學要求!P323</f>
        <v>2</v>
      </c>
      <c r="T6" s="174">
        <f>入學要求!Q323</f>
        <v>2</v>
      </c>
      <c r="U6" s="248">
        <f>入學要求!S323</f>
        <v>0</v>
      </c>
      <c r="V6" s="248">
        <f>入學要求!T323</f>
        <v>0</v>
      </c>
      <c r="W6" s="248">
        <f>入學要求!U323</f>
        <v>0</v>
      </c>
      <c r="X6" s="248">
        <f>入學要求!V323</f>
        <v>0</v>
      </c>
      <c r="Y6" s="248">
        <f>入學要求!W323</f>
        <v>0</v>
      </c>
      <c r="Z6" s="248">
        <f>入學要求!X323</f>
        <v>0</v>
      </c>
      <c r="AA6" s="36" t="str">
        <f t="shared" si="6"/>
        <v>/</v>
      </c>
      <c r="AB6" s="537"/>
      <c r="AC6" s="36" t="str" cm="1">
        <f t="array" ref="AC6">IFERROR(INDEX('Offer Statistics'!DS$2:DS$400,MATCH(1,($A6='Offer Statistics'!$DD$2:$DD$400)*($AB$2='Offer Statistics'!$DE$2:$DE$400),0)),"/")</f>
        <v>/</v>
      </c>
      <c r="AD6" s="63" t="str" cm="1">
        <f t="array" ref="AD6">IFERROR(INDEX('Offer Statistics'!DN$2:DN$400,MATCH(1,($A6='Offer Statistics'!$DD$2:$DD$400)*($AB$2='Offer Statistics'!$DE$2:$DE$400),0)),"/")</f>
        <v>/</v>
      </c>
      <c r="AE6" s="63" t="str" cm="1">
        <f t="array" ref="AE6">IFERROR(INDEX('Offer Statistics'!DO$2:DO$400,MATCH(1,($A6='Offer Statistics'!$DD$2:$DD$400)*($AB$2='Offer Statistics'!$DE$2:$DE$400),0)),"/")</f>
        <v>/</v>
      </c>
      <c r="AF6" s="63" t="str" cm="1">
        <f t="array" ref="AF6">IFERROR(INDEX('Offer Statistics'!DP$2:DP$400,MATCH(1,($A6='Offer Statistics'!$DD$2:$DD$400)*($AB$2='Offer Statistics'!$DE$2:$DE$400),0)),"/")</f>
        <v>/</v>
      </c>
      <c r="AG6" s="63" t="str" cm="1">
        <f t="array" ref="AG6">IFERROR(INDEX('Offer Statistics'!DQ$2:DQ$400,MATCH(1,($A6='Offer Statistics'!$DD$2:$DD$400)*($AB$2='Offer Statistics'!$DE$2:$DE$400),0)),"/")</f>
        <v>/</v>
      </c>
      <c r="AH6" s="63" t="str" cm="1">
        <f t="array" ref="AH6">IFERROR(INDEX('Offer Statistics'!DR$2:DR$400,MATCH(1,($A6='Offer Statistics'!$DD$2:$DD$400)*($AB$2='Offer Statistics'!$DE$2:$DE$400),0)),"/")</f>
        <v>/</v>
      </c>
      <c r="AI6" s="538"/>
      <c r="AJ6" s="36" t="str" cm="1">
        <f t="array" ref="AJ6">IFERROR(INDEX('Offer Statistics'!DK$2:DK$400,MATCH(1,($A6='Offer Statistics'!$DD$2:$DD$400)*($AB$2='Offer Statistics'!$DE$2:$DE$400),0)),"/")</f>
        <v>/</v>
      </c>
      <c r="AK6" s="63" t="str" cm="1">
        <f t="array" ref="AK6">IFERROR(INDEX('Offer Statistics'!DF$2:DF$400,MATCH(1,($A6='Offer Statistics'!$DD$2:$DD$400)*($AB$2='Offer Statistics'!$DE$2:$DE$400),0)),"/")</f>
        <v>/</v>
      </c>
      <c r="AL6" s="63" t="str" cm="1">
        <f t="array" ref="AL6">IFERROR(INDEX('Offer Statistics'!DG$2:DG$400,MATCH(1,($A6='Offer Statistics'!$DD$2:$DD$400)*($AB$2='Offer Statistics'!$DE$2:$DE$400),0)),"/")</f>
        <v>/</v>
      </c>
      <c r="AM6" s="63" t="str" cm="1">
        <f t="array" ref="AM6">IFERROR(INDEX('Offer Statistics'!DH$2:DH$400,MATCH(1,($A6='Offer Statistics'!$DD$2:$DD$400)*($AB$2='Offer Statistics'!$DE$2:$DE$400),0)),"/")</f>
        <v>/</v>
      </c>
      <c r="AN6" s="63" t="str" cm="1">
        <f t="array" ref="AN6">IFERROR(INDEX('Offer Statistics'!DI$2:DI$400,MATCH(1,($A6='Offer Statistics'!$DD$2:$DD$400)*($AB$2='Offer Statistics'!$DE$2:$DE$400),0)),"/")</f>
        <v>/</v>
      </c>
      <c r="AO6" s="63" t="str" cm="1">
        <f t="array" ref="AO6">IFERROR(INDEX('Offer Statistics'!DJ$2:DJ$400,MATCH(1,($A6='Offer Statistics'!$DD$2:$DD$400)*($AB$2='Offer Statistics'!$DE$2:$DE$400),0)),"/")</f>
        <v>/</v>
      </c>
      <c r="AP6" s="15"/>
      <c r="AQ6" s="15" t="str">
        <f t="shared" si="7"/>
        <v>JS7211</v>
      </c>
    </row>
    <row r="7" spans="1:43" s="4" customFormat="1" ht="18" customHeight="1">
      <c r="A7" s="4" t="str">
        <f>'Reference Score Calculation'!B315</f>
        <v>JS7212</v>
      </c>
      <c r="B7" s="4" t="str">
        <f>'Reference Score Calculation'!D315</f>
        <v>商學院</v>
      </c>
      <c r="C7" s="4" t="str">
        <f>計分版!C338</f>
        <v>工商管理(榮譽)學士 – 商業分析與創新</v>
      </c>
      <c r="D7" s="4" t="str">
        <f>'Reference Score Calculation'!S315</f>
        <v>BBA (Hons) BAI</v>
      </c>
      <c r="E7" s="352" t="str">
        <f>'Reference Score Calculation'!AC315</f>
        <v>Best 5</v>
      </c>
      <c r="F7" s="467" t="str">
        <f>'Reference Score Calculation'!F315</f>
        <v>25年新科目</v>
      </c>
      <c r="G7" s="6">
        <f>'Reference Score Calculation'!I315</f>
        <v>23.5</v>
      </c>
      <c r="H7" s="6">
        <f>'Reference Score Calculation'!J315</f>
        <v>23</v>
      </c>
      <c r="I7" s="45">
        <f>計分版!J338</f>
        <v>3.1500000000000001E-9</v>
      </c>
      <c r="J7" s="172">
        <f t="shared" si="4"/>
        <v>-23.499999996850001</v>
      </c>
      <c r="K7" s="173">
        <f t="shared" si="5"/>
        <v>-7460317459.3174601</v>
      </c>
      <c r="L7" s="36">
        <f>'Reference Score Calculation'!U315</f>
        <v>7</v>
      </c>
      <c r="M7" s="84">
        <f>入學要求!Z324</f>
        <v>0</v>
      </c>
      <c r="N7" s="544"/>
      <c r="O7" s="175">
        <f>入學要求!L324</f>
        <v>3</v>
      </c>
      <c r="P7" s="175">
        <f>入學要求!M324</f>
        <v>3</v>
      </c>
      <c r="Q7" s="175">
        <f>入學要求!N324</f>
        <v>2</v>
      </c>
      <c r="R7" s="175">
        <f>入學要求!O324</f>
        <v>1</v>
      </c>
      <c r="S7" s="175">
        <f>入學要求!P324</f>
        <v>2</v>
      </c>
      <c r="T7" s="174">
        <f>入學要求!Q324</f>
        <v>2</v>
      </c>
      <c r="U7" s="248">
        <f>入學要求!S324</f>
        <v>0</v>
      </c>
      <c r="V7" s="248">
        <f>入學要求!T324</f>
        <v>0</v>
      </c>
      <c r="W7" s="248">
        <f>入學要求!U324</f>
        <v>0</v>
      </c>
      <c r="X7" s="248">
        <f>入學要求!V324</f>
        <v>0</v>
      </c>
      <c r="Y7" s="248">
        <f>入學要求!W324</f>
        <v>0</v>
      </c>
      <c r="Z7" s="248">
        <f>入學要求!X324</f>
        <v>0</v>
      </c>
      <c r="AA7" s="36" t="str">
        <f t="shared" si="6"/>
        <v>/</v>
      </c>
      <c r="AB7" s="537"/>
      <c r="AC7" s="36" t="str" cm="1">
        <f t="array" ref="AC7">IFERROR(INDEX('Offer Statistics'!DS$2:DS$400,MATCH(1,($A7='Offer Statistics'!$DD$2:$DD$400)*($AB$2='Offer Statistics'!$DE$2:$DE$400),0)),"/")</f>
        <v>/</v>
      </c>
      <c r="AD7" s="63" t="str" cm="1">
        <f t="array" ref="AD7">IFERROR(INDEX('Offer Statistics'!DN$2:DN$400,MATCH(1,($A7='Offer Statistics'!$DD$2:$DD$400)*($AB$2='Offer Statistics'!$DE$2:$DE$400),0)),"/")</f>
        <v>/</v>
      </c>
      <c r="AE7" s="63" t="str" cm="1">
        <f t="array" ref="AE7">IFERROR(INDEX('Offer Statistics'!DO$2:DO$400,MATCH(1,($A7='Offer Statistics'!$DD$2:$DD$400)*($AB$2='Offer Statistics'!$DE$2:$DE$400),0)),"/")</f>
        <v>/</v>
      </c>
      <c r="AF7" s="63" t="str" cm="1">
        <f t="array" ref="AF7">IFERROR(INDEX('Offer Statistics'!DP$2:DP$400,MATCH(1,($A7='Offer Statistics'!$DD$2:$DD$400)*($AB$2='Offer Statistics'!$DE$2:$DE$400),0)),"/")</f>
        <v>/</v>
      </c>
      <c r="AG7" s="63" t="str" cm="1">
        <f t="array" ref="AG7">IFERROR(INDEX('Offer Statistics'!DQ$2:DQ$400,MATCH(1,($A7='Offer Statistics'!$DD$2:$DD$400)*($AB$2='Offer Statistics'!$DE$2:$DE$400),0)),"/")</f>
        <v>/</v>
      </c>
      <c r="AH7" s="63" t="str" cm="1">
        <f t="array" ref="AH7">IFERROR(INDEX('Offer Statistics'!DR$2:DR$400,MATCH(1,($A7='Offer Statistics'!$DD$2:$DD$400)*($AB$2='Offer Statistics'!$DE$2:$DE$400),0)),"/")</f>
        <v>/</v>
      </c>
      <c r="AI7" s="538"/>
      <c r="AJ7" s="36" t="str" cm="1">
        <f t="array" ref="AJ7">IFERROR(INDEX('Offer Statistics'!DK$2:DK$400,MATCH(1,($A7='Offer Statistics'!$DD$2:$DD$400)*($AB$2='Offer Statistics'!$DE$2:$DE$400),0)),"/")</f>
        <v>/</v>
      </c>
      <c r="AK7" s="63" t="str" cm="1">
        <f t="array" ref="AK7">IFERROR(INDEX('Offer Statistics'!DF$2:DF$400,MATCH(1,($A7='Offer Statistics'!$DD$2:$DD$400)*($AB$2='Offer Statistics'!$DE$2:$DE$400),0)),"/")</f>
        <v>/</v>
      </c>
      <c r="AL7" s="63" t="str" cm="1">
        <f t="array" ref="AL7">IFERROR(INDEX('Offer Statistics'!DG$2:DG$400,MATCH(1,($A7='Offer Statistics'!$DD$2:$DD$400)*($AB$2='Offer Statistics'!$DE$2:$DE$400),0)),"/")</f>
        <v>/</v>
      </c>
      <c r="AM7" s="63" t="str" cm="1">
        <f t="array" ref="AM7">IFERROR(INDEX('Offer Statistics'!DH$2:DH$400,MATCH(1,($A7='Offer Statistics'!$DD$2:$DD$400)*($AB$2='Offer Statistics'!$DE$2:$DE$400),0)),"/")</f>
        <v>/</v>
      </c>
      <c r="AN7" s="63" t="str" cm="1">
        <f t="array" ref="AN7">IFERROR(INDEX('Offer Statistics'!DI$2:DI$400,MATCH(1,($A7='Offer Statistics'!$DD$2:$DD$400)*($AB$2='Offer Statistics'!$DE$2:$DE$400),0)),"/")</f>
        <v>/</v>
      </c>
      <c r="AO7" s="63" t="str" cm="1">
        <f t="array" ref="AO7">IFERROR(INDEX('Offer Statistics'!DJ$2:DJ$400,MATCH(1,($A7='Offer Statistics'!$DD$2:$DD$400)*($AB$2='Offer Statistics'!$DE$2:$DE$400),0)),"/")</f>
        <v>/</v>
      </c>
      <c r="AP7" s="15"/>
      <c r="AQ7" s="15" t="str">
        <f t="shared" si="7"/>
        <v>JS7212</v>
      </c>
    </row>
    <row r="8" spans="1:43" s="4" customFormat="1" ht="18" customHeight="1">
      <c r="A8" s="4" t="str">
        <f>'Reference Score Calculation'!B316</f>
        <v>JS7213</v>
      </c>
      <c r="B8" s="4" t="str">
        <f>'Reference Score Calculation'!D316</f>
        <v>商學院</v>
      </c>
      <c r="C8" s="4" t="str">
        <f>計分版!C339</f>
        <v>工商管理(榮譽)學士 – 金融</v>
      </c>
      <c r="D8" s="4" t="str">
        <f>'Reference Score Calculation'!S316</f>
        <v>BBA (Hons) FIN</v>
      </c>
      <c r="E8" s="352" t="str">
        <f>'Reference Score Calculation'!AC316</f>
        <v>Best 5</v>
      </c>
      <c r="F8" s="467" t="str">
        <f>'Reference Score Calculation'!F316</f>
        <v>25年新科目</v>
      </c>
      <c r="G8" s="6">
        <f>'Reference Score Calculation'!I316</f>
        <v>23.5</v>
      </c>
      <c r="H8" s="6">
        <f>'Reference Score Calculation'!J316</f>
        <v>23</v>
      </c>
      <c r="I8" s="45">
        <f>計分版!J339</f>
        <v>3.1500000000000001E-9</v>
      </c>
      <c r="J8" s="172">
        <f t="shared" si="4"/>
        <v>-23.499999996850001</v>
      </c>
      <c r="K8" s="173">
        <f t="shared" si="5"/>
        <v>-7460317459.3174601</v>
      </c>
      <c r="L8" s="36">
        <f>'Reference Score Calculation'!U316</f>
        <v>25</v>
      </c>
      <c r="M8" s="84">
        <f>入學要求!Z325</f>
        <v>0</v>
      </c>
      <c r="N8" s="544"/>
      <c r="O8" s="175">
        <f>入學要求!L325</f>
        <v>3</v>
      </c>
      <c r="P8" s="175">
        <f>入學要求!M325</f>
        <v>3</v>
      </c>
      <c r="Q8" s="175">
        <f>入學要求!N325</f>
        <v>2</v>
      </c>
      <c r="R8" s="175">
        <f>入學要求!O325</f>
        <v>1</v>
      </c>
      <c r="S8" s="175">
        <f>入學要求!P325</f>
        <v>2</v>
      </c>
      <c r="T8" s="174">
        <f>入學要求!Q325</f>
        <v>2</v>
      </c>
      <c r="U8" s="248">
        <f>入學要求!S325</f>
        <v>0</v>
      </c>
      <c r="V8" s="248">
        <f>入學要求!T325</f>
        <v>0</v>
      </c>
      <c r="W8" s="248">
        <f>入學要求!U325</f>
        <v>0</v>
      </c>
      <c r="X8" s="248">
        <f>入學要求!V325</f>
        <v>0</v>
      </c>
      <c r="Y8" s="248">
        <f>入學要求!W325</f>
        <v>0</v>
      </c>
      <c r="Z8" s="248">
        <f>入學要求!X325</f>
        <v>0</v>
      </c>
      <c r="AA8" s="36" t="str">
        <f t="shared" si="6"/>
        <v>/</v>
      </c>
      <c r="AB8" s="537"/>
      <c r="AC8" s="36" t="str" cm="1">
        <f t="array" ref="AC8">IFERROR(INDEX('Offer Statistics'!DS$2:DS$400,MATCH(1,($A8='Offer Statistics'!$DD$2:$DD$400)*($AB$2='Offer Statistics'!$DE$2:$DE$400),0)),"/")</f>
        <v>/</v>
      </c>
      <c r="AD8" s="63" t="str" cm="1">
        <f t="array" ref="AD8">IFERROR(INDEX('Offer Statistics'!DN$2:DN$400,MATCH(1,($A8='Offer Statistics'!$DD$2:$DD$400)*($AB$2='Offer Statistics'!$DE$2:$DE$400),0)),"/")</f>
        <v>/</v>
      </c>
      <c r="AE8" s="63" t="str" cm="1">
        <f t="array" ref="AE8">IFERROR(INDEX('Offer Statistics'!DO$2:DO$400,MATCH(1,($A8='Offer Statistics'!$DD$2:$DD$400)*($AB$2='Offer Statistics'!$DE$2:$DE$400),0)),"/")</f>
        <v>/</v>
      </c>
      <c r="AF8" s="63" t="str" cm="1">
        <f t="array" ref="AF8">IFERROR(INDEX('Offer Statistics'!DP$2:DP$400,MATCH(1,($A8='Offer Statistics'!$DD$2:$DD$400)*($AB$2='Offer Statistics'!$DE$2:$DE$400),0)),"/")</f>
        <v>/</v>
      </c>
      <c r="AG8" s="63" t="str" cm="1">
        <f t="array" ref="AG8">IFERROR(INDEX('Offer Statistics'!DQ$2:DQ$400,MATCH(1,($A8='Offer Statistics'!$DD$2:$DD$400)*($AB$2='Offer Statistics'!$DE$2:$DE$400),0)),"/")</f>
        <v>/</v>
      </c>
      <c r="AH8" s="63" t="str" cm="1">
        <f t="array" ref="AH8">IFERROR(INDEX('Offer Statistics'!DR$2:DR$400,MATCH(1,($A8='Offer Statistics'!$DD$2:$DD$400)*($AB$2='Offer Statistics'!$DE$2:$DE$400),0)),"/")</f>
        <v>/</v>
      </c>
      <c r="AI8" s="538"/>
      <c r="AJ8" s="36" t="str" cm="1">
        <f t="array" ref="AJ8">IFERROR(INDEX('Offer Statistics'!DK$2:DK$400,MATCH(1,($A8='Offer Statistics'!$DD$2:$DD$400)*($AB$2='Offer Statistics'!$DE$2:$DE$400),0)),"/")</f>
        <v>/</v>
      </c>
      <c r="AK8" s="63" t="str" cm="1">
        <f t="array" ref="AK8">IFERROR(INDEX('Offer Statistics'!DF$2:DF$400,MATCH(1,($A8='Offer Statistics'!$DD$2:$DD$400)*($AB$2='Offer Statistics'!$DE$2:$DE$400),0)),"/")</f>
        <v>/</v>
      </c>
      <c r="AL8" s="63" t="str" cm="1">
        <f t="array" ref="AL8">IFERROR(INDEX('Offer Statistics'!DG$2:DG$400,MATCH(1,($A8='Offer Statistics'!$DD$2:$DD$400)*($AB$2='Offer Statistics'!$DE$2:$DE$400),0)),"/")</f>
        <v>/</v>
      </c>
      <c r="AM8" s="63" t="str" cm="1">
        <f t="array" ref="AM8">IFERROR(INDEX('Offer Statistics'!DH$2:DH$400,MATCH(1,($A8='Offer Statistics'!$DD$2:$DD$400)*($AB$2='Offer Statistics'!$DE$2:$DE$400),0)),"/")</f>
        <v>/</v>
      </c>
      <c r="AN8" s="63" t="str" cm="1">
        <f t="array" ref="AN8">IFERROR(INDEX('Offer Statistics'!DI$2:DI$400,MATCH(1,($A8='Offer Statistics'!$DD$2:$DD$400)*($AB$2='Offer Statistics'!$DE$2:$DE$400),0)),"/")</f>
        <v>/</v>
      </c>
      <c r="AO8" s="63" t="str" cm="1">
        <f t="array" ref="AO8">IFERROR(INDEX('Offer Statistics'!DJ$2:DJ$400,MATCH(1,($A8='Offer Statistics'!$DD$2:$DD$400)*($AB$2='Offer Statistics'!$DE$2:$DE$400),0)),"/")</f>
        <v>/</v>
      </c>
      <c r="AP8" s="15"/>
      <c r="AQ8" s="15" t="str">
        <f t="shared" si="7"/>
        <v>JS7213</v>
      </c>
    </row>
    <row r="9" spans="1:43" s="4" customFormat="1" ht="18" customHeight="1">
      <c r="A9" s="4" t="str">
        <f>'Reference Score Calculation'!B317</f>
        <v>JS7214</v>
      </c>
      <c r="B9" s="4" t="str">
        <f>'Reference Score Calculation'!D317</f>
        <v>商學院</v>
      </c>
      <c r="C9" s="4" t="str">
        <f>計分版!C340</f>
        <v>工商管理(榮譽)學士 – 人力資源管理與分析</v>
      </c>
      <c r="D9" s="4" t="str">
        <f>'Reference Score Calculation'!S317</f>
        <v>BBA (Hons) HRMA</v>
      </c>
      <c r="E9" s="352" t="str">
        <f>'Reference Score Calculation'!AC317</f>
        <v>Best 5</v>
      </c>
      <c r="F9" s="467" t="str">
        <f>'Reference Score Calculation'!F317</f>
        <v>25年新科目</v>
      </c>
      <c r="G9" s="6">
        <f>'Reference Score Calculation'!I317</f>
        <v>23.5</v>
      </c>
      <c r="H9" s="6">
        <f>'Reference Score Calculation'!J317</f>
        <v>23</v>
      </c>
      <c r="I9" s="45">
        <f>計分版!J340</f>
        <v>3.1500000000000001E-9</v>
      </c>
      <c r="J9" s="172">
        <f t="shared" si="4"/>
        <v>-23.499999996850001</v>
      </c>
      <c r="K9" s="173">
        <f t="shared" si="5"/>
        <v>-7460317459.3174601</v>
      </c>
      <c r="L9" s="36">
        <f>'Reference Score Calculation'!U317</f>
        <v>17</v>
      </c>
      <c r="M9" s="84">
        <f>入學要求!Z326</f>
        <v>0</v>
      </c>
      <c r="N9" s="544"/>
      <c r="O9" s="175">
        <f>入學要求!L326</f>
        <v>3</v>
      </c>
      <c r="P9" s="175">
        <f>入學要求!M326</f>
        <v>3</v>
      </c>
      <c r="Q9" s="175">
        <f>入學要求!N326</f>
        <v>2</v>
      </c>
      <c r="R9" s="175">
        <f>入學要求!O326</f>
        <v>1</v>
      </c>
      <c r="S9" s="175">
        <f>入學要求!P326</f>
        <v>2</v>
      </c>
      <c r="T9" s="174">
        <f>入學要求!Q326</f>
        <v>2</v>
      </c>
      <c r="U9" s="248">
        <f>入學要求!S326</f>
        <v>0</v>
      </c>
      <c r="V9" s="248">
        <f>入學要求!T326</f>
        <v>0</v>
      </c>
      <c r="W9" s="248">
        <f>入學要求!U326</f>
        <v>0</v>
      </c>
      <c r="X9" s="248">
        <f>入學要求!V326</f>
        <v>0</v>
      </c>
      <c r="Y9" s="248">
        <f>入學要求!W326</f>
        <v>0</v>
      </c>
      <c r="Z9" s="248">
        <f>入學要求!X326</f>
        <v>0</v>
      </c>
      <c r="AA9" s="36" t="str">
        <f t="shared" si="6"/>
        <v>/</v>
      </c>
      <c r="AB9" s="537"/>
      <c r="AC9" s="36" t="str" cm="1">
        <f t="array" ref="AC9">IFERROR(INDEX('Offer Statistics'!DS$2:DS$400,MATCH(1,($A9='Offer Statistics'!$DD$2:$DD$400)*($AB$2='Offer Statistics'!$DE$2:$DE$400),0)),"/")</f>
        <v>/</v>
      </c>
      <c r="AD9" s="63" t="str" cm="1">
        <f t="array" ref="AD9">IFERROR(INDEX('Offer Statistics'!DN$2:DN$400,MATCH(1,($A9='Offer Statistics'!$DD$2:$DD$400)*($AB$2='Offer Statistics'!$DE$2:$DE$400),0)),"/")</f>
        <v>/</v>
      </c>
      <c r="AE9" s="63" t="str" cm="1">
        <f t="array" ref="AE9">IFERROR(INDEX('Offer Statistics'!DO$2:DO$400,MATCH(1,($A9='Offer Statistics'!$DD$2:$DD$400)*($AB$2='Offer Statistics'!$DE$2:$DE$400),0)),"/")</f>
        <v>/</v>
      </c>
      <c r="AF9" s="63" t="str" cm="1">
        <f t="array" ref="AF9">IFERROR(INDEX('Offer Statistics'!DP$2:DP$400,MATCH(1,($A9='Offer Statistics'!$DD$2:$DD$400)*($AB$2='Offer Statistics'!$DE$2:$DE$400),0)),"/")</f>
        <v>/</v>
      </c>
      <c r="AG9" s="63" t="str" cm="1">
        <f t="array" ref="AG9">IFERROR(INDEX('Offer Statistics'!DQ$2:DQ$400,MATCH(1,($A9='Offer Statistics'!$DD$2:$DD$400)*($AB$2='Offer Statistics'!$DE$2:$DE$400),0)),"/")</f>
        <v>/</v>
      </c>
      <c r="AH9" s="63" t="str" cm="1">
        <f t="array" ref="AH9">IFERROR(INDEX('Offer Statistics'!DR$2:DR$400,MATCH(1,($A9='Offer Statistics'!$DD$2:$DD$400)*($AB$2='Offer Statistics'!$DE$2:$DE$400),0)),"/")</f>
        <v>/</v>
      </c>
      <c r="AI9" s="538"/>
      <c r="AJ9" s="36" t="str" cm="1">
        <f t="array" ref="AJ9">IFERROR(INDEX('Offer Statistics'!DK$2:DK$400,MATCH(1,($A9='Offer Statistics'!$DD$2:$DD$400)*($AB$2='Offer Statistics'!$DE$2:$DE$400),0)),"/")</f>
        <v>/</v>
      </c>
      <c r="AK9" s="63" t="str" cm="1">
        <f t="array" ref="AK9">IFERROR(INDEX('Offer Statistics'!DF$2:DF$400,MATCH(1,($A9='Offer Statistics'!$DD$2:$DD$400)*($AB$2='Offer Statistics'!$DE$2:$DE$400),0)),"/")</f>
        <v>/</v>
      </c>
      <c r="AL9" s="63" t="str" cm="1">
        <f t="array" ref="AL9">IFERROR(INDEX('Offer Statistics'!DG$2:DG$400,MATCH(1,($A9='Offer Statistics'!$DD$2:$DD$400)*($AB$2='Offer Statistics'!$DE$2:$DE$400),0)),"/")</f>
        <v>/</v>
      </c>
      <c r="AM9" s="63" t="str" cm="1">
        <f t="array" ref="AM9">IFERROR(INDEX('Offer Statistics'!DH$2:DH$400,MATCH(1,($A9='Offer Statistics'!$DD$2:$DD$400)*($AB$2='Offer Statistics'!$DE$2:$DE$400),0)),"/")</f>
        <v>/</v>
      </c>
      <c r="AN9" s="63" t="str" cm="1">
        <f t="array" ref="AN9">IFERROR(INDEX('Offer Statistics'!DI$2:DI$400,MATCH(1,($A9='Offer Statistics'!$DD$2:$DD$400)*($AB$2='Offer Statistics'!$DE$2:$DE$400),0)),"/")</f>
        <v>/</v>
      </c>
      <c r="AO9" s="63" t="str" cm="1">
        <f t="array" ref="AO9">IFERROR(INDEX('Offer Statistics'!DJ$2:DJ$400,MATCH(1,($A9='Offer Statistics'!$DD$2:$DD$400)*($AB$2='Offer Statistics'!$DE$2:$DE$400),0)),"/")</f>
        <v>/</v>
      </c>
      <c r="AP9" s="15"/>
      <c r="AQ9" s="15" t="str">
        <f t="shared" si="7"/>
        <v>JS7214</v>
      </c>
    </row>
    <row r="10" spans="1:43" s="4" customFormat="1" ht="18" customHeight="1">
      <c r="A10" s="4" t="str">
        <f>'Reference Score Calculation'!B318</f>
        <v>JS7215</v>
      </c>
      <c r="B10" s="4" t="str">
        <f>'Reference Score Calculation'!D318</f>
        <v>商學院</v>
      </c>
      <c r="C10" s="4" t="str">
        <f>計分版!C341</f>
        <v>工商管理(榮譽)學士 – 市場學與社交媒體</v>
      </c>
      <c r="D10" s="4" t="str">
        <f>'Reference Score Calculation'!S318</f>
        <v>BBA (Hons) MSM</v>
      </c>
      <c r="E10" s="352" t="str">
        <f>'Reference Score Calculation'!AC318</f>
        <v>Best 5</v>
      </c>
      <c r="F10" s="467" t="str">
        <f>'Reference Score Calculation'!F318</f>
        <v>25年新科目</v>
      </c>
      <c r="G10" s="6">
        <f>'Reference Score Calculation'!I318</f>
        <v>23.5</v>
      </c>
      <c r="H10" s="6">
        <f>'Reference Score Calculation'!J318</f>
        <v>23</v>
      </c>
      <c r="I10" s="45">
        <f>計分版!J341</f>
        <v>3.1500000000000001E-9</v>
      </c>
      <c r="J10" s="172">
        <f t="shared" si="4"/>
        <v>-23.499999996850001</v>
      </c>
      <c r="K10" s="173">
        <f t="shared" si="5"/>
        <v>-7460317459.3174601</v>
      </c>
      <c r="L10" s="36">
        <f>'Reference Score Calculation'!U318</f>
        <v>36</v>
      </c>
      <c r="M10" s="84">
        <f>入學要求!Z327</f>
        <v>0</v>
      </c>
      <c r="N10" s="544"/>
      <c r="O10" s="175">
        <f>入學要求!L327</f>
        <v>3</v>
      </c>
      <c r="P10" s="175">
        <f>入學要求!M327</f>
        <v>3</v>
      </c>
      <c r="Q10" s="175">
        <f>入學要求!N327</f>
        <v>2</v>
      </c>
      <c r="R10" s="175">
        <f>入學要求!O327</f>
        <v>1</v>
      </c>
      <c r="S10" s="175">
        <f>入學要求!P327</f>
        <v>2</v>
      </c>
      <c r="T10" s="174">
        <f>入學要求!Q327</f>
        <v>2</v>
      </c>
      <c r="U10" s="248">
        <f>入學要求!S327</f>
        <v>0</v>
      </c>
      <c r="V10" s="248">
        <f>入學要求!T327</f>
        <v>0</v>
      </c>
      <c r="W10" s="248">
        <f>入學要求!U327</f>
        <v>0</v>
      </c>
      <c r="X10" s="248">
        <f>入學要求!V327</f>
        <v>0</v>
      </c>
      <c r="Y10" s="248">
        <f>入學要求!W327</f>
        <v>0</v>
      </c>
      <c r="Z10" s="248">
        <f>入學要求!X327</f>
        <v>0</v>
      </c>
      <c r="AA10" s="36" t="str">
        <f t="shared" si="6"/>
        <v>/</v>
      </c>
      <c r="AB10" s="537"/>
      <c r="AC10" s="36" t="str" cm="1">
        <f t="array" ref="AC10">IFERROR(INDEX('Offer Statistics'!DS$2:DS$400,MATCH(1,($A10='Offer Statistics'!$DD$2:$DD$400)*($AB$2='Offer Statistics'!$DE$2:$DE$400),0)),"/")</f>
        <v>/</v>
      </c>
      <c r="AD10" s="63" t="str" cm="1">
        <f t="array" ref="AD10">IFERROR(INDEX('Offer Statistics'!DN$2:DN$400,MATCH(1,($A10='Offer Statistics'!$DD$2:$DD$400)*($AB$2='Offer Statistics'!$DE$2:$DE$400),0)),"/")</f>
        <v>/</v>
      </c>
      <c r="AE10" s="63" t="str" cm="1">
        <f t="array" ref="AE10">IFERROR(INDEX('Offer Statistics'!DO$2:DO$400,MATCH(1,($A10='Offer Statistics'!$DD$2:$DD$400)*($AB$2='Offer Statistics'!$DE$2:$DE$400),0)),"/")</f>
        <v>/</v>
      </c>
      <c r="AF10" s="63" t="str" cm="1">
        <f t="array" ref="AF10">IFERROR(INDEX('Offer Statistics'!DP$2:DP$400,MATCH(1,($A10='Offer Statistics'!$DD$2:$DD$400)*($AB$2='Offer Statistics'!$DE$2:$DE$400),0)),"/")</f>
        <v>/</v>
      </c>
      <c r="AG10" s="63" t="str" cm="1">
        <f t="array" ref="AG10">IFERROR(INDEX('Offer Statistics'!DQ$2:DQ$400,MATCH(1,($A10='Offer Statistics'!$DD$2:$DD$400)*($AB$2='Offer Statistics'!$DE$2:$DE$400),0)),"/")</f>
        <v>/</v>
      </c>
      <c r="AH10" s="63" t="str" cm="1">
        <f t="array" ref="AH10">IFERROR(INDEX('Offer Statistics'!DR$2:DR$400,MATCH(1,($A10='Offer Statistics'!$DD$2:$DD$400)*($AB$2='Offer Statistics'!$DE$2:$DE$400),0)),"/")</f>
        <v>/</v>
      </c>
      <c r="AI10" s="538"/>
      <c r="AJ10" s="36" t="str" cm="1">
        <f t="array" ref="AJ10">IFERROR(INDEX('Offer Statistics'!DK$2:DK$400,MATCH(1,($A10='Offer Statistics'!$DD$2:$DD$400)*($AB$2='Offer Statistics'!$DE$2:$DE$400),0)),"/")</f>
        <v>/</v>
      </c>
      <c r="AK10" s="63" t="str" cm="1">
        <f t="array" ref="AK10">IFERROR(INDEX('Offer Statistics'!DF$2:DF$400,MATCH(1,($A10='Offer Statistics'!$DD$2:$DD$400)*($AB$2='Offer Statistics'!$DE$2:$DE$400),0)),"/")</f>
        <v>/</v>
      </c>
      <c r="AL10" s="63" t="str" cm="1">
        <f t="array" ref="AL10">IFERROR(INDEX('Offer Statistics'!DG$2:DG$400,MATCH(1,($A10='Offer Statistics'!$DD$2:$DD$400)*($AB$2='Offer Statistics'!$DE$2:$DE$400),0)),"/")</f>
        <v>/</v>
      </c>
      <c r="AM10" s="63" t="str" cm="1">
        <f t="array" ref="AM10">IFERROR(INDEX('Offer Statistics'!DH$2:DH$400,MATCH(1,($A10='Offer Statistics'!$DD$2:$DD$400)*($AB$2='Offer Statistics'!$DE$2:$DE$400),0)),"/")</f>
        <v>/</v>
      </c>
      <c r="AN10" s="63" t="str" cm="1">
        <f t="array" ref="AN10">IFERROR(INDEX('Offer Statistics'!DI$2:DI$400,MATCH(1,($A10='Offer Statistics'!$DD$2:$DD$400)*($AB$2='Offer Statistics'!$DE$2:$DE$400),0)),"/")</f>
        <v>/</v>
      </c>
      <c r="AO10" s="63" t="str" cm="1">
        <f t="array" ref="AO10">IFERROR(INDEX('Offer Statistics'!DJ$2:DJ$400,MATCH(1,($A10='Offer Statistics'!$DD$2:$DD$400)*($AB$2='Offer Statistics'!$DE$2:$DE$400),0)),"/")</f>
        <v>/</v>
      </c>
      <c r="AP10" s="15"/>
      <c r="AQ10" s="15" t="str">
        <f t="shared" si="7"/>
        <v>JS7215</v>
      </c>
    </row>
    <row r="11" spans="1:43" s="4" customFormat="1" ht="18" customHeight="1">
      <c r="A11" s="4" t="str">
        <f>'Reference Score Calculation'!B319</f>
        <v>JS7216</v>
      </c>
      <c r="B11" s="4" t="str">
        <f>'Reference Score Calculation'!D319</f>
        <v>商學院</v>
      </c>
      <c r="C11" s="4" t="str">
        <f>計分版!C342</f>
        <v>工商管理(榮譽)學士 - 風險及保險管理</v>
      </c>
      <c r="D11" s="4" t="str">
        <f>'Reference Score Calculation'!S319</f>
        <v>BBA (Hons) in RIM</v>
      </c>
      <c r="E11" s="352" t="str">
        <f>'Reference Score Calculation'!AC319</f>
        <v>Best 5</v>
      </c>
      <c r="F11" s="366" t="str">
        <f>'Reference Score Calculation'!F319</f>
        <v>Best 5</v>
      </c>
      <c r="G11" s="6">
        <f>'Reference Score Calculation'!I319</f>
        <v>23.5</v>
      </c>
      <c r="H11" s="6">
        <f>'Reference Score Calculation'!J319</f>
        <v>23</v>
      </c>
      <c r="I11" s="45">
        <f>計分版!J342</f>
        <v>3.4999999999999999E-9</v>
      </c>
      <c r="J11" s="172">
        <f t="shared" si="4"/>
        <v>-23.499999996500001</v>
      </c>
      <c r="K11" s="173">
        <f t="shared" si="5"/>
        <v>-6714285713.2857151</v>
      </c>
      <c r="L11" s="36">
        <f>'Reference Score Calculation'!U319</f>
        <v>30</v>
      </c>
      <c r="M11" s="84">
        <f>入學要求!Z328</f>
        <v>0</v>
      </c>
      <c r="N11" s="544"/>
      <c r="O11" s="175">
        <f>入學要求!L328</f>
        <v>3</v>
      </c>
      <c r="P11" s="175">
        <f>入學要求!M328</f>
        <v>3</v>
      </c>
      <c r="Q11" s="175">
        <f>入學要求!N328</f>
        <v>2</v>
      </c>
      <c r="R11" s="175">
        <f>入學要求!O328</f>
        <v>1</v>
      </c>
      <c r="S11" s="175">
        <f>入學要求!P328</f>
        <v>2</v>
      </c>
      <c r="T11" s="174">
        <f>入學要求!Q328</f>
        <v>2</v>
      </c>
      <c r="U11" s="248">
        <f>入學要求!S328</f>
        <v>0</v>
      </c>
      <c r="V11" s="248">
        <f>入學要求!T328</f>
        <v>0</v>
      </c>
      <c r="W11" s="248">
        <f>入學要求!U328</f>
        <v>0</v>
      </c>
      <c r="X11" s="248">
        <f>入學要求!V328</f>
        <v>0</v>
      </c>
      <c r="Y11" s="248">
        <f>入學要求!W328</f>
        <v>0</v>
      </c>
      <c r="Z11" s="248">
        <f>入學要求!X328</f>
        <v>0</v>
      </c>
      <c r="AA11" s="36">
        <f t="shared" si="6"/>
        <v>22.91</v>
      </c>
      <c r="AB11" s="537"/>
      <c r="AC11" s="36" cm="1">
        <f t="array" ref="AC11">IFERROR(INDEX('Offer Statistics'!DS$2:DS$400,MATCH(1,($A11='Offer Statistics'!$DD$2:$DD$400)*($AB$2='Offer Statistics'!$DE$2:$DE$400),0)),"/")</f>
        <v>37</v>
      </c>
      <c r="AD11" s="63" cm="1">
        <f t="array" ref="AD11">IFERROR(INDEX('Offer Statistics'!DN$2:DN$400,MATCH(1,($A11='Offer Statistics'!$DD$2:$DD$400)*($AB$2='Offer Statistics'!$DE$2:$DE$400),0)),"/")</f>
        <v>11</v>
      </c>
      <c r="AE11" s="63" cm="1">
        <f t="array" ref="AE11">IFERROR(INDEX('Offer Statistics'!DO$2:DO$400,MATCH(1,($A11='Offer Statistics'!$DD$2:$DD$400)*($AB$2='Offer Statistics'!$DE$2:$DE$400),0)),"/")</f>
        <v>26</v>
      </c>
      <c r="AF11" s="63" cm="1">
        <f t="array" ref="AF11">IFERROR(INDEX('Offer Statistics'!DP$2:DP$400,MATCH(1,($A11='Offer Statistics'!$DD$2:$DD$400)*($AB$2='Offer Statistics'!$DE$2:$DE$400),0)),"/")</f>
        <v>0</v>
      </c>
      <c r="AG11" s="63" cm="1">
        <f t="array" ref="AG11">IFERROR(INDEX('Offer Statistics'!DQ$2:DQ$400,MATCH(1,($A11='Offer Statistics'!$DD$2:$DD$400)*($AB$2='Offer Statistics'!$DE$2:$DE$400),0)),"/")</f>
        <v>0</v>
      </c>
      <c r="AH11" s="63" cm="1">
        <f t="array" ref="AH11">IFERROR(INDEX('Offer Statistics'!DR$2:DR$400,MATCH(1,($A11='Offer Statistics'!$DD$2:$DD$400)*($AB$2='Offer Statistics'!$DE$2:$DE$400),0)),"/")</f>
        <v>0</v>
      </c>
      <c r="AI11" s="538"/>
      <c r="AJ11" s="36" cm="1">
        <f t="array" ref="AJ11">IFERROR(INDEX('Offer Statistics'!DK$2:DK$400,MATCH(1,($A11='Offer Statistics'!$DD$2:$DD$400)*($AB$2='Offer Statistics'!$DE$2:$DE$400),0)),"/")</f>
        <v>2543</v>
      </c>
      <c r="AK11" s="63" cm="1">
        <f t="array" ref="AK11">IFERROR(INDEX('Offer Statistics'!DF$2:DF$400,MATCH(1,($A11='Offer Statistics'!$DD$2:$DD$400)*($AB$2='Offer Statistics'!$DE$2:$DE$400),0)),"/")</f>
        <v>252</v>
      </c>
      <c r="AL11" s="63" cm="1">
        <f t="array" ref="AL11">IFERROR(INDEX('Offer Statistics'!DG$2:DG$400,MATCH(1,($A11='Offer Statistics'!$DD$2:$DD$400)*($AB$2='Offer Statistics'!$DE$2:$DE$400),0)),"/")</f>
        <v>520</v>
      </c>
      <c r="AM11" s="63" cm="1">
        <f t="array" ref="AM11">IFERROR(INDEX('Offer Statistics'!DH$2:DH$400,MATCH(1,($A11='Offer Statistics'!$DD$2:$DD$400)*($AB$2='Offer Statistics'!$DE$2:$DE$400),0)),"/")</f>
        <v>550</v>
      </c>
      <c r="AN11" s="63" cm="1">
        <f t="array" ref="AN11">IFERROR(INDEX('Offer Statistics'!DI$2:DI$400,MATCH(1,($A11='Offer Statistics'!$DD$2:$DD$400)*($AB$2='Offer Statistics'!$DE$2:$DE$400),0)),"/")</f>
        <v>637</v>
      </c>
      <c r="AO11" s="63" cm="1">
        <f t="array" ref="AO11">IFERROR(INDEX('Offer Statistics'!DJ$2:DJ$400,MATCH(1,($A11='Offer Statistics'!$DD$2:$DD$400)*($AB$2='Offer Statistics'!$DE$2:$DE$400),0)),"/")</f>
        <v>584</v>
      </c>
      <c r="AP11" s="15"/>
      <c r="AQ11" s="15" t="str">
        <f t="shared" si="7"/>
        <v>JS7216</v>
      </c>
    </row>
    <row r="12" spans="1:43" s="4" customFormat="1" ht="18" customHeight="1">
      <c r="A12" s="4" t="str">
        <f>'Reference Score Calculation'!B320</f>
        <v>JS7225</v>
      </c>
      <c r="B12" s="4" t="str">
        <f>'Reference Score Calculation'!D320</f>
        <v>商學院</v>
      </c>
      <c r="C12" s="4" t="str">
        <f>計分版!C343</f>
        <v>數據科學(榮譽)理學士</v>
      </c>
      <c r="D12" s="4" t="str">
        <f>'Reference Score Calculation'!S320</f>
        <v>BSc (Hons) Data Science</v>
      </c>
      <c r="E12" s="352" t="str">
        <f>'Reference Score Calculation'!AC320</f>
        <v>Best 5</v>
      </c>
      <c r="F12" s="408" t="str">
        <f>'Reference Score Calculation'!F320</f>
        <v>Best 5</v>
      </c>
      <c r="G12" s="6">
        <f>'Reference Score Calculation'!I320</f>
        <v>29.75</v>
      </c>
      <c r="H12" s="6">
        <f>'Reference Score Calculation'!J320</f>
        <v>28.88</v>
      </c>
      <c r="I12" s="45">
        <f>計分版!J343</f>
        <v>3.3999999999999998E-9</v>
      </c>
      <c r="J12" s="172">
        <f t="shared" si="4"/>
        <v>-29.7499999966</v>
      </c>
      <c r="K12" s="173">
        <f t="shared" si="5"/>
        <v>-8749999999</v>
      </c>
      <c r="L12" s="36">
        <f>'Reference Score Calculation'!U320</f>
        <v>25</v>
      </c>
      <c r="M12" s="84">
        <f>入學要求!Z329</f>
        <v>0</v>
      </c>
      <c r="N12" s="544"/>
      <c r="O12" s="175">
        <f>入學要求!L329</f>
        <v>3</v>
      </c>
      <c r="P12" s="175">
        <f>入學要求!M329</f>
        <v>3</v>
      </c>
      <c r="Q12" s="175">
        <f>入學要求!N329</f>
        <v>2</v>
      </c>
      <c r="R12" s="175">
        <f>入學要求!O329</f>
        <v>1</v>
      </c>
      <c r="S12" s="175">
        <f>入學要求!P329</f>
        <v>2</v>
      </c>
      <c r="T12" s="174">
        <f>入學要求!Q329</f>
        <v>2</v>
      </c>
      <c r="U12" s="248">
        <f>入學要求!S329</f>
        <v>0</v>
      </c>
      <c r="V12" s="248">
        <f>入學要求!T329</f>
        <v>0</v>
      </c>
      <c r="W12" s="248">
        <f>入學要求!U329</f>
        <v>0</v>
      </c>
      <c r="X12" s="248">
        <f>入學要求!V329</f>
        <v>0</v>
      </c>
      <c r="Y12" s="248">
        <f>入學要求!W329</f>
        <v>0</v>
      </c>
      <c r="Z12" s="248">
        <f>入學要求!X329</f>
        <v>0</v>
      </c>
      <c r="AA12" s="36">
        <f t="shared" si="6"/>
        <v>13.76</v>
      </c>
      <c r="AB12" s="537"/>
      <c r="AC12" s="36" cm="1">
        <f t="array" ref="AC12">IFERROR(INDEX('Offer Statistics'!DS$2:DS$400,MATCH(1,($A12='Offer Statistics'!$DD$2:$DD$400)*($AB$2='Offer Statistics'!$DE$2:$DE$400),0)),"/")</f>
        <v>40</v>
      </c>
      <c r="AD12" s="63" cm="1">
        <f t="array" ref="AD12">IFERROR(INDEX('Offer Statistics'!DN$2:DN$400,MATCH(1,($A12='Offer Statistics'!$DD$2:$DD$400)*($AB$2='Offer Statistics'!$DE$2:$DE$400),0)),"/")</f>
        <v>17</v>
      </c>
      <c r="AE12" s="63" cm="1">
        <f t="array" ref="AE12">IFERROR(INDEX('Offer Statistics'!DO$2:DO$400,MATCH(1,($A12='Offer Statistics'!$DD$2:$DD$400)*($AB$2='Offer Statistics'!$DE$2:$DE$400),0)),"/")</f>
        <v>20</v>
      </c>
      <c r="AF12" s="63" cm="1">
        <f t="array" ref="AF12">IFERROR(INDEX('Offer Statistics'!DP$2:DP$400,MATCH(1,($A12='Offer Statistics'!$DD$2:$DD$400)*($AB$2='Offer Statistics'!$DE$2:$DE$400),0)),"/")</f>
        <v>3</v>
      </c>
      <c r="AG12" s="63" cm="1">
        <f t="array" ref="AG12">IFERROR(INDEX('Offer Statistics'!DQ$2:DQ$400,MATCH(1,($A12='Offer Statistics'!$DD$2:$DD$400)*($AB$2='Offer Statistics'!$DE$2:$DE$400),0)),"/")</f>
        <v>0</v>
      </c>
      <c r="AH12" s="63" cm="1">
        <f t="array" ref="AH12">IFERROR(INDEX('Offer Statistics'!DR$2:DR$400,MATCH(1,($A12='Offer Statistics'!$DD$2:$DD$400)*($AB$2='Offer Statistics'!$DE$2:$DE$400),0)),"/")</f>
        <v>0</v>
      </c>
      <c r="AI12" s="538"/>
      <c r="AJ12" s="36" cm="1">
        <f t="array" ref="AJ12">IFERROR(INDEX('Offer Statistics'!DK$2:DK$400,MATCH(1,($A12='Offer Statistics'!$DD$2:$DD$400)*($AB$2='Offer Statistics'!$DE$2:$DE$400),0)),"/")</f>
        <v>1827</v>
      </c>
      <c r="AK12" s="63" cm="1">
        <f t="array" ref="AK12">IFERROR(INDEX('Offer Statistics'!DF$2:DF$400,MATCH(1,($A12='Offer Statistics'!$DD$2:$DD$400)*($AB$2='Offer Statistics'!$DE$2:$DE$400),0)),"/")</f>
        <v>234</v>
      </c>
      <c r="AL12" s="63" cm="1">
        <f t="array" ref="AL12">IFERROR(INDEX('Offer Statistics'!DG$2:DG$400,MATCH(1,($A12='Offer Statistics'!$DD$2:$DD$400)*($AB$2='Offer Statistics'!$DE$2:$DE$400),0)),"/")</f>
        <v>361</v>
      </c>
      <c r="AM12" s="63" cm="1">
        <f t="array" ref="AM12">IFERROR(INDEX('Offer Statistics'!DH$2:DH$400,MATCH(1,($A12='Offer Statistics'!$DD$2:$DD$400)*($AB$2='Offer Statistics'!$DE$2:$DE$400),0)),"/")</f>
        <v>381</v>
      </c>
      <c r="AN12" s="63" cm="1">
        <f t="array" ref="AN12">IFERROR(INDEX('Offer Statistics'!DI$2:DI$400,MATCH(1,($A12='Offer Statistics'!$DD$2:$DD$400)*($AB$2='Offer Statistics'!$DE$2:$DE$400),0)),"/")</f>
        <v>442</v>
      </c>
      <c r="AO12" s="63" cm="1">
        <f t="array" ref="AO12">IFERROR(INDEX('Offer Statistics'!DJ$2:DJ$400,MATCH(1,($A12='Offer Statistics'!$DD$2:$DD$400)*($AB$2='Offer Statistics'!$DE$2:$DE$400),0)),"/")</f>
        <v>409</v>
      </c>
      <c r="AP12" s="15"/>
      <c r="AQ12" s="15" t="str">
        <f t="shared" si="7"/>
        <v>JS7225</v>
      </c>
    </row>
    <row r="13" spans="1:43" s="4" customFormat="1" ht="18" customHeight="1">
      <c r="A13" s="4" t="str">
        <f>'Reference Score Calculation'!B321</f>
        <v>JS7301</v>
      </c>
      <c r="B13" s="4" t="str">
        <f>'Reference Score Calculation'!D321</f>
        <v>社會科學院</v>
      </c>
      <c r="C13" s="4" t="str">
        <f>計分版!C344</f>
        <v>社會科學(榮譽)學士 - 經濟學</v>
      </c>
      <c r="D13" s="4" t="str">
        <f>'Reference Score Calculation'!S321</f>
        <v>BSocSc (Hons) Economics</v>
      </c>
      <c r="E13" s="352" t="str">
        <f>'Reference Score Calculation'!AC321</f>
        <v>Best 5</v>
      </c>
      <c r="F13" s="366" t="str">
        <f>'Reference Score Calculation'!F321</f>
        <v>Best 5</v>
      </c>
      <c r="G13" s="6">
        <f>'Reference Score Calculation'!I321</f>
        <v>26</v>
      </c>
      <c r="H13" s="6">
        <f>'Reference Score Calculation'!J321</f>
        <v>25</v>
      </c>
      <c r="I13" s="45">
        <f>計分版!J344</f>
        <v>3.4999999999999999E-9</v>
      </c>
      <c r="J13" s="172">
        <f t="shared" si="4"/>
        <v>-25.999999996500001</v>
      </c>
      <c r="K13" s="173">
        <f t="shared" si="5"/>
        <v>-7428571427.5714293</v>
      </c>
      <c r="L13" s="36">
        <f>'Reference Score Calculation'!U321</f>
        <v>14</v>
      </c>
      <c r="M13" s="84">
        <f>入學要求!Z330</f>
        <v>0</v>
      </c>
      <c r="N13" s="544"/>
      <c r="O13" s="175">
        <f>入學要求!L330</f>
        <v>3</v>
      </c>
      <c r="P13" s="175">
        <f>入學要求!M330</f>
        <v>3</v>
      </c>
      <c r="Q13" s="175">
        <f>入學要求!N330</f>
        <v>2</v>
      </c>
      <c r="R13" s="175">
        <f>入學要求!O330</f>
        <v>1</v>
      </c>
      <c r="S13" s="175">
        <f>入學要求!P330</f>
        <v>2</v>
      </c>
      <c r="T13" s="174">
        <f>入學要求!Q330</f>
        <v>2</v>
      </c>
      <c r="U13" s="248">
        <f>入學要求!S330</f>
        <v>0</v>
      </c>
      <c r="V13" s="248">
        <f>入學要求!T330</f>
        <v>0</v>
      </c>
      <c r="W13" s="248">
        <f>入學要求!U330</f>
        <v>0</v>
      </c>
      <c r="X13" s="248">
        <f>入學要求!V330</f>
        <v>0</v>
      </c>
      <c r="Y13" s="248">
        <f>入學要求!W330</f>
        <v>0</v>
      </c>
      <c r="Z13" s="248">
        <f>入學要求!X330</f>
        <v>0</v>
      </c>
      <c r="AA13" s="36">
        <f t="shared" si="6"/>
        <v>13</v>
      </c>
      <c r="AB13" s="537"/>
      <c r="AC13" s="36" cm="1">
        <f t="array" ref="AC13">IFERROR(INDEX('Offer Statistics'!DS$2:DS$400,MATCH(1,($A13='Offer Statistics'!$DD$2:$DD$400)*($AB$2='Offer Statistics'!$DE$2:$DE$400),0)),"/")</f>
        <v>15</v>
      </c>
      <c r="AD13" s="63" cm="1">
        <f t="array" ref="AD13">IFERROR(INDEX('Offer Statistics'!DN$2:DN$400,MATCH(1,($A13='Offer Statistics'!$DD$2:$DD$400)*($AB$2='Offer Statistics'!$DE$2:$DE$400),0)),"/")</f>
        <v>12</v>
      </c>
      <c r="AE13" s="63" cm="1">
        <f t="array" ref="AE13">IFERROR(INDEX('Offer Statistics'!DO$2:DO$400,MATCH(1,($A13='Offer Statistics'!$DD$2:$DD$400)*($AB$2='Offer Statistics'!$DE$2:$DE$400),0)),"/")</f>
        <v>3</v>
      </c>
      <c r="AF13" s="63" cm="1">
        <f t="array" ref="AF13">IFERROR(INDEX('Offer Statistics'!DP$2:DP$400,MATCH(1,($A13='Offer Statistics'!$DD$2:$DD$400)*($AB$2='Offer Statistics'!$DE$2:$DE$400),0)),"/")</f>
        <v>0</v>
      </c>
      <c r="AG13" s="63" cm="1">
        <f t="array" ref="AG13">IFERROR(INDEX('Offer Statistics'!DQ$2:DQ$400,MATCH(1,($A13='Offer Statistics'!$DD$2:$DD$400)*($AB$2='Offer Statistics'!$DE$2:$DE$400),0)),"/")</f>
        <v>0</v>
      </c>
      <c r="AH13" s="63" cm="1">
        <f t="array" ref="AH13">IFERROR(INDEX('Offer Statistics'!DR$2:DR$400,MATCH(1,($A13='Offer Statistics'!$DD$2:$DD$400)*($AB$2='Offer Statistics'!$DE$2:$DE$400),0)),"/")</f>
        <v>0</v>
      </c>
      <c r="AI13" s="538"/>
      <c r="AJ13" s="36" cm="1">
        <f t="array" ref="AJ13">IFERROR(INDEX('Offer Statistics'!DK$2:DK$400,MATCH(1,($A13='Offer Statistics'!$DD$2:$DD$400)*($AB$2='Offer Statistics'!$DE$2:$DE$400),0)),"/")</f>
        <v>1793</v>
      </c>
      <c r="AK13" s="63" cm="1">
        <f t="array" ref="AK13">IFERROR(INDEX('Offer Statistics'!DF$2:DF$400,MATCH(1,($A13='Offer Statistics'!$DD$2:$DD$400)*($AB$2='Offer Statistics'!$DE$2:$DE$400),0)),"/")</f>
        <v>156</v>
      </c>
      <c r="AL13" s="63" cm="1">
        <f t="array" ref="AL13">IFERROR(INDEX('Offer Statistics'!DG$2:DG$400,MATCH(1,($A13='Offer Statistics'!$DD$2:$DD$400)*($AB$2='Offer Statistics'!$DE$2:$DE$400),0)),"/")</f>
        <v>308</v>
      </c>
      <c r="AM13" s="63" cm="1">
        <f t="array" ref="AM13">IFERROR(INDEX('Offer Statistics'!DH$2:DH$400,MATCH(1,($A13='Offer Statistics'!$DD$2:$DD$400)*($AB$2='Offer Statistics'!$DE$2:$DE$400),0)),"/")</f>
        <v>378</v>
      </c>
      <c r="AN13" s="63" cm="1">
        <f t="array" ref="AN13">IFERROR(INDEX('Offer Statistics'!DI$2:DI$400,MATCH(1,($A13='Offer Statistics'!$DD$2:$DD$400)*($AB$2='Offer Statistics'!$DE$2:$DE$400),0)),"/")</f>
        <v>511</v>
      </c>
      <c r="AO13" s="63" cm="1">
        <f t="array" ref="AO13">IFERROR(INDEX('Offer Statistics'!DJ$2:DJ$400,MATCH(1,($A13='Offer Statistics'!$DD$2:$DD$400)*($AB$2='Offer Statistics'!$DE$2:$DE$400),0)),"/")</f>
        <v>440</v>
      </c>
      <c r="AP13" s="15"/>
      <c r="AQ13" s="15" t="str">
        <f t="shared" si="7"/>
        <v>JS7301</v>
      </c>
    </row>
    <row r="14" spans="1:43" s="4" customFormat="1" ht="18" customHeight="1">
      <c r="A14" s="4" t="str">
        <f>'Reference Score Calculation'!B322</f>
        <v>JS7302</v>
      </c>
      <c r="B14" s="4" t="str">
        <f>'Reference Score Calculation'!D322</f>
        <v>社會科學院</v>
      </c>
      <c r="C14" s="4" t="str">
        <f>計分版!C345</f>
        <v>社會科學(榮譽)學士 - 政府與國際事務學</v>
      </c>
      <c r="D14" s="4" t="str">
        <f>'Reference Score Calculation'!S322</f>
        <v>BSocSc (Hons) Gov't &amp; IA</v>
      </c>
      <c r="E14" s="352" t="str">
        <f>'Reference Score Calculation'!AC322</f>
        <v>Best 5</v>
      </c>
      <c r="F14" s="408" t="str">
        <f>'Reference Score Calculation'!F322</f>
        <v>Best 5</v>
      </c>
      <c r="G14" s="6">
        <f>'Reference Score Calculation'!I322</f>
        <v>25</v>
      </c>
      <c r="H14" s="6">
        <f>'Reference Score Calculation'!J322</f>
        <v>23.5</v>
      </c>
      <c r="I14" s="45">
        <f>計分版!J345</f>
        <v>3.7500000000000005E-9</v>
      </c>
      <c r="J14" s="172">
        <f t="shared" si="4"/>
        <v>-24.999999996250001</v>
      </c>
      <c r="K14" s="173">
        <f t="shared" si="5"/>
        <v>-6666666665.666666</v>
      </c>
      <c r="L14" s="36">
        <f>'Reference Score Calculation'!U322</f>
        <v>14</v>
      </c>
      <c r="M14" s="84">
        <f>入學要求!Z331</f>
        <v>0</v>
      </c>
      <c r="N14" s="544"/>
      <c r="O14" s="175">
        <f>入學要求!L331</f>
        <v>3</v>
      </c>
      <c r="P14" s="175">
        <f>入學要求!M331</f>
        <v>3</v>
      </c>
      <c r="Q14" s="175">
        <f>入學要求!N331</f>
        <v>2</v>
      </c>
      <c r="R14" s="175">
        <f>入學要求!O331</f>
        <v>1</v>
      </c>
      <c r="S14" s="175">
        <f>入學要求!P331</f>
        <v>2</v>
      </c>
      <c r="T14" s="174">
        <f>入學要求!Q331</f>
        <v>2</v>
      </c>
      <c r="U14" s="248">
        <f>入學要求!S331</f>
        <v>0</v>
      </c>
      <c r="V14" s="248">
        <f>入學要求!T331</f>
        <v>0</v>
      </c>
      <c r="W14" s="248">
        <f>入學要求!U331</f>
        <v>0</v>
      </c>
      <c r="X14" s="248">
        <f>入學要求!V331</f>
        <v>0</v>
      </c>
      <c r="Y14" s="248">
        <f>入學要求!W331</f>
        <v>0</v>
      </c>
      <c r="Z14" s="248">
        <f>入學要求!X331</f>
        <v>0</v>
      </c>
      <c r="AA14" s="36">
        <f t="shared" si="6"/>
        <v>17.75</v>
      </c>
      <c r="AB14" s="537"/>
      <c r="AC14" s="36" cm="1">
        <f t="array" ref="AC14">IFERROR(INDEX('Offer Statistics'!DS$2:DS$400,MATCH(1,($A14='Offer Statistics'!$DD$2:$DD$400)*($AB$2='Offer Statistics'!$DE$2:$DE$400),0)),"/")</f>
        <v>25</v>
      </c>
      <c r="AD14" s="63" cm="1">
        <f t="array" ref="AD14">IFERROR(INDEX('Offer Statistics'!DN$2:DN$400,MATCH(1,($A14='Offer Statistics'!$DD$2:$DD$400)*($AB$2='Offer Statistics'!$DE$2:$DE$400),0)),"/")</f>
        <v>8</v>
      </c>
      <c r="AE14" s="63" cm="1">
        <f t="array" ref="AE14">IFERROR(INDEX('Offer Statistics'!DO$2:DO$400,MATCH(1,($A14='Offer Statistics'!$DD$2:$DD$400)*($AB$2='Offer Statistics'!$DE$2:$DE$400),0)),"/")</f>
        <v>10</v>
      </c>
      <c r="AF14" s="63" cm="1">
        <f t="array" ref="AF14">IFERROR(INDEX('Offer Statistics'!DP$2:DP$400,MATCH(1,($A14='Offer Statistics'!$DD$2:$DD$400)*($AB$2='Offer Statistics'!$DE$2:$DE$400),0)),"/")</f>
        <v>6</v>
      </c>
      <c r="AG14" s="63" cm="1">
        <f t="array" ref="AG14">IFERROR(INDEX('Offer Statistics'!DQ$2:DQ$400,MATCH(1,($A14='Offer Statistics'!$DD$2:$DD$400)*($AB$2='Offer Statistics'!$DE$2:$DE$400),0)),"/")</f>
        <v>1</v>
      </c>
      <c r="AH14" s="63" cm="1">
        <f t="array" ref="AH14">IFERROR(INDEX('Offer Statistics'!DR$2:DR$400,MATCH(1,($A14='Offer Statistics'!$DD$2:$DD$400)*($AB$2='Offer Statistics'!$DE$2:$DE$400),0)),"/")</f>
        <v>0</v>
      </c>
      <c r="AI14" s="538"/>
      <c r="AJ14" s="36" cm="1">
        <f t="array" ref="AJ14">IFERROR(INDEX('Offer Statistics'!DK$2:DK$400,MATCH(1,($A14='Offer Statistics'!$DD$2:$DD$400)*($AB$2='Offer Statistics'!$DE$2:$DE$400),0)),"/")</f>
        <v>1377</v>
      </c>
      <c r="AK14" s="63" cm="1">
        <f t="array" ref="AK14">IFERROR(INDEX('Offer Statistics'!DF$2:DF$400,MATCH(1,($A14='Offer Statistics'!$DD$2:$DD$400)*($AB$2='Offer Statistics'!$DE$2:$DE$400),0)),"/")</f>
        <v>142</v>
      </c>
      <c r="AL14" s="63" cm="1">
        <f t="array" ref="AL14">IFERROR(INDEX('Offer Statistics'!DG$2:DG$400,MATCH(1,($A14='Offer Statistics'!$DD$2:$DD$400)*($AB$2='Offer Statistics'!$DE$2:$DE$400),0)),"/")</f>
        <v>217</v>
      </c>
      <c r="AM14" s="63" cm="1">
        <f t="array" ref="AM14">IFERROR(INDEX('Offer Statistics'!DH$2:DH$400,MATCH(1,($A14='Offer Statistics'!$DD$2:$DD$400)*($AB$2='Offer Statistics'!$DE$2:$DE$400),0)),"/")</f>
        <v>334</v>
      </c>
      <c r="AN14" s="63" cm="1">
        <f t="array" ref="AN14">IFERROR(INDEX('Offer Statistics'!DI$2:DI$400,MATCH(1,($A14='Offer Statistics'!$DD$2:$DD$400)*($AB$2='Offer Statistics'!$DE$2:$DE$400),0)),"/")</f>
        <v>362</v>
      </c>
      <c r="AO14" s="63" cm="1">
        <f t="array" ref="AO14">IFERROR(INDEX('Offer Statistics'!DJ$2:DJ$400,MATCH(1,($A14='Offer Statistics'!$DD$2:$DD$400)*($AB$2='Offer Statistics'!$DE$2:$DE$400),0)),"/")</f>
        <v>322</v>
      </c>
      <c r="AP14" s="15"/>
      <c r="AQ14" s="15" t="str">
        <f t="shared" si="7"/>
        <v>JS7302</v>
      </c>
    </row>
    <row r="15" spans="1:43" s="4" customFormat="1" ht="18" customHeight="1">
      <c r="A15" s="4" t="str">
        <f>'Reference Score Calculation'!B323</f>
        <v>JS7303</v>
      </c>
      <c r="B15" s="4" t="str">
        <f>'Reference Score Calculation'!D323</f>
        <v>社會科學院</v>
      </c>
      <c r="C15" s="4" t="str">
        <f>計分版!C346</f>
        <v>社會科學(榮譽)學士 - 心理學</v>
      </c>
      <c r="D15" s="4" t="str">
        <f>'Reference Score Calculation'!S323</f>
        <v>BSocSc (Hons) Psychology</v>
      </c>
      <c r="E15" s="352" t="str">
        <f>'Reference Score Calculation'!AC323</f>
        <v>Best 5</v>
      </c>
      <c r="F15" s="408" t="str">
        <f>'Reference Score Calculation'!F323</f>
        <v>Best 5</v>
      </c>
      <c r="G15" s="6">
        <f>'Reference Score Calculation'!I323</f>
        <v>24</v>
      </c>
      <c r="H15" s="6">
        <f>'Reference Score Calculation'!J323</f>
        <v>23.25</v>
      </c>
      <c r="I15" s="45">
        <f>計分版!J346</f>
        <v>3.4999999999999999E-9</v>
      </c>
      <c r="J15" s="172">
        <f t="shared" si="4"/>
        <v>-23.999999996500001</v>
      </c>
      <c r="K15" s="173">
        <f t="shared" si="5"/>
        <v>-6857142856.1428576</v>
      </c>
      <c r="L15" s="36">
        <f>'Reference Score Calculation'!U323</f>
        <v>20</v>
      </c>
      <c r="M15" s="84">
        <f>入學要求!Z332</f>
        <v>0</v>
      </c>
      <c r="N15" s="544"/>
      <c r="O15" s="175">
        <f>入學要求!L332</f>
        <v>3</v>
      </c>
      <c r="P15" s="175">
        <f>入學要求!M332</f>
        <v>3</v>
      </c>
      <c r="Q15" s="175">
        <f>入學要求!N332</f>
        <v>2</v>
      </c>
      <c r="R15" s="175">
        <f>入學要求!O332</f>
        <v>1</v>
      </c>
      <c r="S15" s="175">
        <f>入學要求!P332</f>
        <v>2</v>
      </c>
      <c r="T15" s="174">
        <f>入學要求!Q332</f>
        <v>2</v>
      </c>
      <c r="U15" s="248">
        <f>入學要求!S332</f>
        <v>0</v>
      </c>
      <c r="V15" s="248">
        <f>入學要求!T332</f>
        <v>0</v>
      </c>
      <c r="W15" s="248">
        <f>入學要求!U332</f>
        <v>0</v>
      </c>
      <c r="X15" s="248">
        <f>入學要求!V332</f>
        <v>0</v>
      </c>
      <c r="Y15" s="248">
        <f>入學要求!W332</f>
        <v>0</v>
      </c>
      <c r="Z15" s="248">
        <f>入學要求!X332</f>
        <v>0</v>
      </c>
      <c r="AA15" s="36">
        <f t="shared" si="6"/>
        <v>14.35</v>
      </c>
      <c r="AB15" s="537"/>
      <c r="AC15" s="36" cm="1">
        <f t="array" ref="AC15">IFERROR(INDEX('Offer Statistics'!DS$2:DS$400,MATCH(1,($A15='Offer Statistics'!$DD$2:$DD$400)*($AB$2='Offer Statistics'!$DE$2:$DE$400),0)),"/")</f>
        <v>31</v>
      </c>
      <c r="AD15" s="63" cm="1">
        <f t="array" ref="AD15">IFERROR(INDEX('Offer Statistics'!DN$2:DN$400,MATCH(1,($A15='Offer Statistics'!$DD$2:$DD$400)*($AB$2='Offer Statistics'!$DE$2:$DE$400),0)),"/")</f>
        <v>23</v>
      </c>
      <c r="AE15" s="63" cm="1">
        <f t="array" ref="AE15">IFERROR(INDEX('Offer Statistics'!DO$2:DO$400,MATCH(1,($A15='Offer Statistics'!$DD$2:$DD$400)*($AB$2='Offer Statistics'!$DE$2:$DE$400),0)),"/")</f>
        <v>5</v>
      </c>
      <c r="AF15" s="63" cm="1">
        <f t="array" ref="AF15">IFERROR(INDEX('Offer Statistics'!DP$2:DP$400,MATCH(1,($A15='Offer Statistics'!$DD$2:$DD$400)*($AB$2='Offer Statistics'!$DE$2:$DE$400),0)),"/")</f>
        <v>3</v>
      </c>
      <c r="AG15" s="63" cm="1">
        <f t="array" ref="AG15">IFERROR(INDEX('Offer Statistics'!DQ$2:DQ$400,MATCH(1,($A15='Offer Statistics'!$DD$2:$DD$400)*($AB$2='Offer Statistics'!$DE$2:$DE$400),0)),"/")</f>
        <v>0</v>
      </c>
      <c r="AH15" s="63" cm="1">
        <f t="array" ref="AH15">IFERROR(INDEX('Offer Statistics'!DR$2:DR$400,MATCH(1,($A15='Offer Statistics'!$DD$2:$DD$400)*($AB$2='Offer Statistics'!$DE$2:$DE$400),0)),"/")</f>
        <v>0</v>
      </c>
      <c r="AI15" s="538"/>
      <c r="AJ15" s="36" cm="1">
        <f t="array" ref="AJ15">IFERROR(INDEX('Offer Statistics'!DK$2:DK$400,MATCH(1,($A15='Offer Statistics'!$DD$2:$DD$400)*($AB$2='Offer Statistics'!$DE$2:$DE$400),0)),"/")</f>
        <v>3975</v>
      </c>
      <c r="AK15" s="63" cm="1">
        <f t="array" ref="AK15">IFERROR(INDEX('Offer Statistics'!DF$2:DF$400,MATCH(1,($A15='Offer Statistics'!$DD$2:$DD$400)*($AB$2='Offer Statistics'!$DE$2:$DE$400),0)),"/")</f>
        <v>330</v>
      </c>
      <c r="AL15" s="63" cm="1">
        <f t="array" ref="AL15">IFERROR(INDEX('Offer Statistics'!DG$2:DG$400,MATCH(1,($A15='Offer Statistics'!$DD$2:$DD$400)*($AB$2='Offer Statistics'!$DE$2:$DE$400),0)),"/")</f>
        <v>530</v>
      </c>
      <c r="AM15" s="63" cm="1">
        <f t="array" ref="AM15">IFERROR(INDEX('Offer Statistics'!DH$2:DH$400,MATCH(1,($A15='Offer Statistics'!$DD$2:$DD$400)*($AB$2='Offer Statistics'!$DE$2:$DE$400),0)),"/")</f>
        <v>915</v>
      </c>
      <c r="AN15" s="63" cm="1">
        <f t="array" ref="AN15">IFERROR(INDEX('Offer Statistics'!DI$2:DI$400,MATCH(1,($A15='Offer Statistics'!$DD$2:$DD$400)*($AB$2='Offer Statistics'!$DE$2:$DE$400),0)),"/")</f>
        <v>1167</v>
      </c>
      <c r="AO15" s="63" cm="1">
        <f t="array" ref="AO15">IFERROR(INDEX('Offer Statistics'!DJ$2:DJ$400,MATCH(1,($A15='Offer Statistics'!$DD$2:$DD$400)*($AB$2='Offer Statistics'!$DE$2:$DE$400),0)),"/")</f>
        <v>1033</v>
      </c>
      <c r="AP15" s="15"/>
      <c r="AQ15" s="15" t="str">
        <f t="shared" si="7"/>
        <v>JS7303</v>
      </c>
    </row>
    <row r="16" spans="1:43" s="4" customFormat="1" ht="18" customHeight="1">
      <c r="A16" s="4" t="str">
        <f>'Reference Score Calculation'!B324</f>
        <v>JS7304</v>
      </c>
      <c r="B16" s="4" t="str">
        <f>'Reference Score Calculation'!D324</f>
        <v>社會科學院</v>
      </c>
      <c r="C16" s="4" t="str">
        <f>計分版!C347</f>
        <v>社會科學(榮譽)學士 - 社會學</v>
      </c>
      <c r="D16" s="4" t="str">
        <f>'Reference Score Calculation'!S324</f>
        <v>BSocSc (Hons) Sociology</v>
      </c>
      <c r="E16" s="352" t="str">
        <f>'Reference Score Calculation'!AC324</f>
        <v>Best 5</v>
      </c>
      <c r="F16" s="408" t="str">
        <f>'Reference Score Calculation'!F324</f>
        <v>Best 5</v>
      </c>
      <c r="G16" s="6">
        <f>'Reference Score Calculation'!I324</f>
        <v>23.5</v>
      </c>
      <c r="H16" s="6">
        <f>'Reference Score Calculation'!J324</f>
        <v>23</v>
      </c>
      <c r="I16" s="45">
        <f>計分版!J347</f>
        <v>3.4999999999999999E-9</v>
      </c>
      <c r="J16" s="172">
        <f t="shared" si="4"/>
        <v>-23.499999996500001</v>
      </c>
      <c r="K16" s="173">
        <f t="shared" si="5"/>
        <v>-6714285713.2857151</v>
      </c>
      <c r="L16" s="36">
        <f>'Reference Score Calculation'!U324</f>
        <v>18</v>
      </c>
      <c r="M16" s="84">
        <f>入學要求!Z333</f>
        <v>0</v>
      </c>
      <c r="N16" s="544"/>
      <c r="O16" s="175">
        <f>入學要求!L333</f>
        <v>3</v>
      </c>
      <c r="P16" s="175">
        <f>入學要求!M333</f>
        <v>3</v>
      </c>
      <c r="Q16" s="175">
        <f>入學要求!N333</f>
        <v>2</v>
      </c>
      <c r="R16" s="175">
        <f>入學要求!O333</f>
        <v>1</v>
      </c>
      <c r="S16" s="175">
        <f>入學要求!P333</f>
        <v>2</v>
      </c>
      <c r="T16" s="174">
        <f>入學要求!Q333</f>
        <v>2</v>
      </c>
      <c r="U16" s="248">
        <f>入學要求!S333</f>
        <v>0</v>
      </c>
      <c r="V16" s="248">
        <f>入學要求!T333</f>
        <v>0</v>
      </c>
      <c r="W16" s="248">
        <f>入學要求!U333</f>
        <v>0</v>
      </c>
      <c r="X16" s="248">
        <f>入學要求!V333</f>
        <v>0</v>
      </c>
      <c r="Y16" s="248">
        <f>入學要求!W333</f>
        <v>0</v>
      </c>
      <c r="Z16" s="248">
        <f>入學要求!X333</f>
        <v>0</v>
      </c>
      <c r="AA16" s="36">
        <f t="shared" si="6"/>
        <v>15.41</v>
      </c>
      <c r="AB16" s="537"/>
      <c r="AC16" s="36" cm="1">
        <f t="array" ref="AC16">IFERROR(INDEX('Offer Statistics'!DS$2:DS$400,MATCH(1,($A16='Offer Statistics'!$DD$2:$DD$400)*($AB$2='Offer Statistics'!$DE$2:$DE$400),0)),"/")</f>
        <v>21</v>
      </c>
      <c r="AD16" s="63" cm="1">
        <f t="array" ref="AD16">IFERROR(INDEX('Offer Statistics'!DN$2:DN$400,MATCH(1,($A16='Offer Statistics'!$DD$2:$DD$400)*($AB$2='Offer Statistics'!$DE$2:$DE$400),0)),"/")</f>
        <v>17</v>
      </c>
      <c r="AE16" s="63" cm="1">
        <f t="array" ref="AE16">IFERROR(INDEX('Offer Statistics'!DO$2:DO$400,MATCH(1,($A16='Offer Statistics'!$DD$2:$DD$400)*($AB$2='Offer Statistics'!$DE$2:$DE$400),0)),"/")</f>
        <v>4</v>
      </c>
      <c r="AF16" s="63" cm="1">
        <f t="array" ref="AF16">IFERROR(INDEX('Offer Statistics'!DP$2:DP$400,MATCH(1,($A16='Offer Statistics'!$DD$2:$DD$400)*($AB$2='Offer Statistics'!$DE$2:$DE$400),0)),"/")</f>
        <v>0</v>
      </c>
      <c r="AG16" s="63" cm="1">
        <f t="array" ref="AG16">IFERROR(INDEX('Offer Statistics'!DQ$2:DQ$400,MATCH(1,($A16='Offer Statistics'!$DD$2:$DD$400)*($AB$2='Offer Statistics'!$DE$2:$DE$400),0)),"/")</f>
        <v>0</v>
      </c>
      <c r="AH16" s="63" cm="1">
        <f t="array" ref="AH16">IFERROR(INDEX('Offer Statistics'!DR$2:DR$400,MATCH(1,($A16='Offer Statistics'!$DD$2:$DD$400)*($AB$2='Offer Statistics'!$DE$2:$DE$400),0)),"/")</f>
        <v>0</v>
      </c>
      <c r="AI16" s="538"/>
      <c r="AJ16" s="36" cm="1">
        <f t="array" ref="AJ16">IFERROR(INDEX('Offer Statistics'!DK$2:DK$400,MATCH(1,($A16='Offer Statistics'!$DD$2:$DD$400)*($AB$2='Offer Statistics'!$DE$2:$DE$400),0)),"/")</f>
        <v>3189</v>
      </c>
      <c r="AK16" s="63" cm="1">
        <f t="array" ref="AK16">IFERROR(INDEX('Offer Statistics'!DF$2:DF$400,MATCH(1,($A16='Offer Statistics'!$DD$2:$DD$400)*($AB$2='Offer Statistics'!$DE$2:$DE$400),0)),"/")</f>
        <v>262</v>
      </c>
      <c r="AL16" s="63" cm="1">
        <f t="array" ref="AL16">IFERROR(INDEX('Offer Statistics'!DG$2:DG$400,MATCH(1,($A16='Offer Statistics'!$DD$2:$DD$400)*($AB$2='Offer Statistics'!$DE$2:$DE$400),0)),"/")</f>
        <v>464</v>
      </c>
      <c r="AM16" s="63" cm="1">
        <f t="array" ref="AM16">IFERROR(INDEX('Offer Statistics'!DH$2:DH$400,MATCH(1,($A16='Offer Statistics'!$DD$2:$DD$400)*($AB$2='Offer Statistics'!$DE$2:$DE$400),0)),"/")</f>
        <v>714</v>
      </c>
      <c r="AN16" s="63" cm="1">
        <f t="array" ref="AN16">IFERROR(INDEX('Offer Statistics'!DI$2:DI$400,MATCH(1,($A16='Offer Statistics'!$DD$2:$DD$400)*($AB$2='Offer Statistics'!$DE$2:$DE$400),0)),"/")</f>
        <v>949</v>
      </c>
      <c r="AO16" s="63" cm="1">
        <f t="array" ref="AO16">IFERROR(INDEX('Offer Statistics'!DJ$2:DJ$400,MATCH(1,($A16='Offer Statistics'!$DD$2:$DD$400)*($AB$2='Offer Statistics'!$DE$2:$DE$400),0)),"/")</f>
        <v>800</v>
      </c>
      <c r="AP16" s="15"/>
      <c r="AQ16" s="15" t="str">
        <f t="shared" si="7"/>
        <v>JS7304</v>
      </c>
    </row>
    <row r="17" spans="1:43" s="4" customFormat="1" ht="18" customHeight="1">
      <c r="A17" s="4" t="str">
        <f>'Reference Score Calculation'!B325</f>
        <v>JS7305</v>
      </c>
      <c r="B17" s="4" t="str">
        <f>'Reference Score Calculation'!D325</f>
        <v>社會科學院</v>
      </c>
      <c r="C17" s="4" t="str">
        <f>計分版!C348</f>
        <v>社會科學(榮譽)學士 - 健康及社會服務管理</v>
      </c>
      <c r="D17" s="4" t="str">
        <f>'Reference Score Calculation'!S325</f>
        <v>BSocSc (Hons) HSSM</v>
      </c>
      <c r="E17" s="352" t="str">
        <f>'Reference Score Calculation'!AC325</f>
        <v>Best 5</v>
      </c>
      <c r="F17" s="408" t="str">
        <f>'Reference Score Calculation'!F325</f>
        <v>Best 5</v>
      </c>
      <c r="G17" s="6">
        <f>'Reference Score Calculation'!I325</f>
        <v>19.75</v>
      </c>
      <c r="H17" s="6">
        <f>'Reference Score Calculation'!J325</f>
        <v>19.5</v>
      </c>
      <c r="I17" s="45">
        <f>計分版!J348</f>
        <v>3.4999999999999999E-9</v>
      </c>
      <c r="J17" s="172">
        <f t="shared" si="4"/>
        <v>-19.749999996500001</v>
      </c>
      <c r="K17" s="173">
        <f t="shared" si="5"/>
        <v>-5642857141.8571434</v>
      </c>
      <c r="L17" s="36">
        <f>'Reference Score Calculation'!U325</f>
        <v>8</v>
      </c>
      <c r="M17" s="84">
        <f>入學要求!Z334</f>
        <v>0</v>
      </c>
      <c r="N17" s="544"/>
      <c r="O17" s="175">
        <f>入學要求!L334</f>
        <v>3</v>
      </c>
      <c r="P17" s="175">
        <f>入學要求!M334</f>
        <v>3</v>
      </c>
      <c r="Q17" s="175">
        <f>入學要求!N334</f>
        <v>2</v>
      </c>
      <c r="R17" s="175">
        <f>入學要求!O334</f>
        <v>1</v>
      </c>
      <c r="S17" s="175">
        <f>入學要求!P334</f>
        <v>2</v>
      </c>
      <c r="T17" s="174">
        <f>入學要求!Q334</f>
        <v>2</v>
      </c>
      <c r="U17" s="248">
        <f>入學要求!S334</f>
        <v>0</v>
      </c>
      <c r="V17" s="248">
        <f>入學要求!T334</f>
        <v>0</v>
      </c>
      <c r="W17" s="248">
        <f>入學要求!U334</f>
        <v>0</v>
      </c>
      <c r="X17" s="248">
        <f>入學要求!V334</f>
        <v>0</v>
      </c>
      <c r="Y17" s="248">
        <f>入學要求!W334</f>
        <v>0</v>
      </c>
      <c r="Z17" s="248">
        <f>入學要求!X334</f>
        <v>0</v>
      </c>
      <c r="AA17" s="36">
        <f t="shared" si="6"/>
        <v>23.88</v>
      </c>
      <c r="AB17" s="537"/>
      <c r="AC17" s="36" cm="1">
        <f t="array" ref="AC17">IFERROR(INDEX('Offer Statistics'!DS$2:DS$400,MATCH(1,($A17='Offer Statistics'!$DD$2:$DD$400)*($AB$2='Offer Statistics'!$DE$2:$DE$400),0)),"/")</f>
        <v>16</v>
      </c>
      <c r="AD17" s="63" cm="1">
        <f t="array" ref="AD17">IFERROR(INDEX('Offer Statistics'!DN$2:DN$400,MATCH(1,($A17='Offer Statistics'!$DD$2:$DD$400)*($AB$2='Offer Statistics'!$DE$2:$DE$400),0)),"/")</f>
        <v>8</v>
      </c>
      <c r="AE17" s="63" cm="1">
        <f t="array" ref="AE17">IFERROR(INDEX('Offer Statistics'!DO$2:DO$400,MATCH(1,($A17='Offer Statistics'!$DD$2:$DD$400)*($AB$2='Offer Statistics'!$DE$2:$DE$400),0)),"/")</f>
        <v>7</v>
      </c>
      <c r="AF17" s="63" cm="1">
        <f t="array" ref="AF17">IFERROR(INDEX('Offer Statistics'!DP$2:DP$400,MATCH(1,($A17='Offer Statistics'!$DD$2:$DD$400)*($AB$2='Offer Statistics'!$DE$2:$DE$400),0)),"/")</f>
        <v>1</v>
      </c>
      <c r="AG17" s="63" cm="1">
        <f t="array" ref="AG17">IFERROR(INDEX('Offer Statistics'!DQ$2:DQ$400,MATCH(1,($A17='Offer Statistics'!$DD$2:$DD$400)*($AB$2='Offer Statistics'!$DE$2:$DE$400),0)),"/")</f>
        <v>0</v>
      </c>
      <c r="AH17" s="63" cm="1">
        <f t="array" ref="AH17">IFERROR(INDEX('Offer Statistics'!DR$2:DR$400,MATCH(1,($A17='Offer Statistics'!$DD$2:$DD$400)*($AB$2='Offer Statistics'!$DE$2:$DE$400),0)),"/")</f>
        <v>0</v>
      </c>
      <c r="AI17" s="538"/>
      <c r="AJ17" s="36" cm="1">
        <f t="array" ref="AJ17">IFERROR(INDEX('Offer Statistics'!DK$2:DK$400,MATCH(1,($A17='Offer Statistics'!$DD$2:$DD$400)*($AB$2='Offer Statistics'!$DE$2:$DE$400),0)),"/")</f>
        <v>2033</v>
      </c>
      <c r="AK17" s="63" cm="1">
        <f t="array" ref="AK17">IFERROR(INDEX('Offer Statistics'!DF$2:DF$400,MATCH(1,($A17='Offer Statistics'!$DD$2:$DD$400)*($AB$2='Offer Statistics'!$DE$2:$DE$400),0)),"/")</f>
        <v>191</v>
      </c>
      <c r="AL17" s="63" cm="1">
        <f t="array" ref="AL17">IFERROR(INDEX('Offer Statistics'!DG$2:DG$400,MATCH(1,($A17='Offer Statistics'!$DD$2:$DD$400)*($AB$2='Offer Statistics'!$DE$2:$DE$400),0)),"/")</f>
        <v>317</v>
      </c>
      <c r="AM17" s="63" cm="1">
        <f t="array" ref="AM17">IFERROR(INDEX('Offer Statistics'!DH$2:DH$400,MATCH(1,($A17='Offer Statistics'!$DD$2:$DD$400)*($AB$2='Offer Statistics'!$DE$2:$DE$400),0)),"/")</f>
        <v>409</v>
      </c>
      <c r="AN17" s="63" cm="1">
        <f t="array" ref="AN17">IFERROR(INDEX('Offer Statistics'!DI$2:DI$400,MATCH(1,($A17='Offer Statistics'!$DD$2:$DD$400)*($AB$2='Offer Statistics'!$DE$2:$DE$400),0)),"/")</f>
        <v>576</v>
      </c>
      <c r="AO17" s="63" cm="1">
        <f t="array" ref="AO17">IFERROR(INDEX('Offer Statistics'!DJ$2:DJ$400,MATCH(1,($A17='Offer Statistics'!$DD$2:$DD$400)*($AB$2='Offer Statistics'!$DE$2:$DE$400),0)),"/")</f>
        <v>540</v>
      </c>
      <c r="AP17" s="15"/>
      <c r="AQ17" s="15" t="str">
        <f t="shared" si="7"/>
        <v>JS7305</v>
      </c>
    </row>
    <row r="18" spans="1:43" s="4" customFormat="1" ht="18" customHeight="1">
      <c r="A18" s="4" t="str">
        <f>'Reference Score Calculation'!B326</f>
        <v>JS7306</v>
      </c>
      <c r="B18" s="4" t="str">
        <f>'Reference Score Calculation'!D326</f>
        <v>社會科學院</v>
      </c>
      <c r="C18" s="4" t="str">
        <f>計分版!C349</f>
        <v>社會科學(榮譽)學士 - 社會與公共政策研究</v>
      </c>
      <c r="D18" s="4" t="str">
        <f>'Reference Score Calculation'!S326</f>
        <v>BSocSc (Hons) SPPS</v>
      </c>
      <c r="E18" s="352" t="str">
        <f>'Reference Score Calculation'!AC326</f>
        <v>Best 5</v>
      </c>
      <c r="F18" s="408" t="str">
        <f>'Reference Score Calculation'!F326</f>
        <v>Best 5</v>
      </c>
      <c r="G18" s="6">
        <f>'Reference Score Calculation'!I326</f>
        <v>23</v>
      </c>
      <c r="H18" s="6">
        <f>'Reference Score Calculation'!J326</f>
        <v>22.5</v>
      </c>
      <c r="I18" s="45">
        <f>計分版!J349</f>
        <v>3.7500000000000005E-9</v>
      </c>
      <c r="J18" s="172">
        <f t="shared" si="4"/>
        <v>-22.999999996250001</v>
      </c>
      <c r="K18" s="173">
        <f t="shared" si="5"/>
        <v>-6133333332.333333</v>
      </c>
      <c r="L18" s="36">
        <f>'Reference Score Calculation'!U326</f>
        <v>16</v>
      </c>
      <c r="M18" s="84">
        <f>入學要求!Z335</f>
        <v>0</v>
      </c>
      <c r="N18" s="544"/>
      <c r="O18" s="175">
        <f>入學要求!L335</f>
        <v>3</v>
      </c>
      <c r="P18" s="175">
        <f>入學要求!M335</f>
        <v>3</v>
      </c>
      <c r="Q18" s="175">
        <f>入學要求!N335</f>
        <v>2</v>
      </c>
      <c r="R18" s="175">
        <f>入學要求!O335</f>
        <v>1</v>
      </c>
      <c r="S18" s="175">
        <f>入學要求!P335</f>
        <v>2</v>
      </c>
      <c r="T18" s="174">
        <f>入學要求!Q335</f>
        <v>2</v>
      </c>
      <c r="U18" s="248">
        <f>入學要求!S335</f>
        <v>0</v>
      </c>
      <c r="V18" s="248">
        <f>入學要求!T335</f>
        <v>0</v>
      </c>
      <c r="W18" s="248">
        <f>入學要求!U335</f>
        <v>0</v>
      </c>
      <c r="X18" s="248">
        <f>入學要求!V335</f>
        <v>0</v>
      </c>
      <c r="Y18" s="248">
        <f>入學要求!W335</f>
        <v>0</v>
      </c>
      <c r="Z18" s="248">
        <f>入學要求!X335</f>
        <v>0</v>
      </c>
      <c r="AA18" s="36">
        <f t="shared" si="6"/>
        <v>17.88</v>
      </c>
      <c r="AB18" s="537"/>
      <c r="AC18" s="36" cm="1">
        <f t="array" ref="AC18">IFERROR(INDEX('Offer Statistics'!DS$2:DS$400,MATCH(1,($A18='Offer Statistics'!$DD$2:$DD$400)*($AB$2='Offer Statistics'!$DE$2:$DE$400),0)),"/")</f>
        <v>22</v>
      </c>
      <c r="AD18" s="63" cm="1">
        <f t="array" ref="AD18">IFERROR(INDEX('Offer Statistics'!DN$2:DN$400,MATCH(1,($A18='Offer Statistics'!$DD$2:$DD$400)*($AB$2='Offer Statistics'!$DE$2:$DE$400),0)),"/")</f>
        <v>8</v>
      </c>
      <c r="AE18" s="63" cm="1">
        <f t="array" ref="AE18">IFERROR(INDEX('Offer Statistics'!DO$2:DO$400,MATCH(1,($A18='Offer Statistics'!$DD$2:$DD$400)*($AB$2='Offer Statistics'!$DE$2:$DE$400),0)),"/")</f>
        <v>7</v>
      </c>
      <c r="AF18" s="63" cm="1">
        <f t="array" ref="AF18">IFERROR(INDEX('Offer Statistics'!DP$2:DP$400,MATCH(1,($A18='Offer Statistics'!$DD$2:$DD$400)*($AB$2='Offer Statistics'!$DE$2:$DE$400),0)),"/")</f>
        <v>7</v>
      </c>
      <c r="AG18" s="63" cm="1">
        <f t="array" ref="AG18">IFERROR(INDEX('Offer Statistics'!DQ$2:DQ$400,MATCH(1,($A18='Offer Statistics'!$DD$2:$DD$400)*($AB$2='Offer Statistics'!$DE$2:$DE$400),0)),"/")</f>
        <v>0</v>
      </c>
      <c r="AH18" s="63" cm="1">
        <f t="array" ref="AH18">IFERROR(INDEX('Offer Statistics'!DR$2:DR$400,MATCH(1,($A18='Offer Statistics'!$DD$2:$DD$400)*($AB$2='Offer Statistics'!$DE$2:$DE$400),0)),"/")</f>
        <v>0</v>
      </c>
      <c r="AI18" s="538"/>
      <c r="AJ18" s="36" cm="1">
        <f t="array" ref="AJ18">IFERROR(INDEX('Offer Statistics'!DK$2:DK$400,MATCH(1,($A18='Offer Statistics'!$DD$2:$DD$400)*($AB$2='Offer Statistics'!$DE$2:$DE$400),0)),"/")</f>
        <v>1737</v>
      </c>
      <c r="AK18" s="63" cm="1">
        <f t="array" ref="AK18">IFERROR(INDEX('Offer Statistics'!DF$2:DF$400,MATCH(1,($A18='Offer Statistics'!$DD$2:$DD$400)*($AB$2='Offer Statistics'!$DE$2:$DE$400),0)),"/")</f>
        <v>143</v>
      </c>
      <c r="AL18" s="63" cm="1">
        <f t="array" ref="AL18">IFERROR(INDEX('Offer Statistics'!DG$2:DG$400,MATCH(1,($A18='Offer Statistics'!$DD$2:$DD$400)*($AB$2='Offer Statistics'!$DE$2:$DE$400),0)),"/")</f>
        <v>285</v>
      </c>
      <c r="AM18" s="63" cm="1">
        <f t="array" ref="AM18">IFERROR(INDEX('Offer Statistics'!DH$2:DH$400,MATCH(1,($A18='Offer Statistics'!$DD$2:$DD$400)*($AB$2='Offer Statistics'!$DE$2:$DE$400),0)),"/")</f>
        <v>386</v>
      </c>
      <c r="AN18" s="63" cm="1">
        <f t="array" ref="AN18">IFERROR(INDEX('Offer Statistics'!DI$2:DI$400,MATCH(1,($A18='Offer Statistics'!$DD$2:$DD$400)*($AB$2='Offer Statistics'!$DE$2:$DE$400),0)),"/")</f>
        <v>485</v>
      </c>
      <c r="AO18" s="63" cm="1">
        <f t="array" ref="AO18">IFERROR(INDEX('Offer Statistics'!DJ$2:DJ$400,MATCH(1,($A18='Offer Statistics'!$DD$2:$DD$400)*($AB$2='Offer Statistics'!$DE$2:$DE$400),0)),"/")</f>
        <v>438</v>
      </c>
      <c r="AP18" s="15"/>
      <c r="AQ18" s="15" t="str">
        <f t="shared" si="7"/>
        <v>JS7306</v>
      </c>
    </row>
    <row r="19" spans="1:43" s="4" customFormat="1" ht="18" customHeight="1">
      <c r="A19" s="4" t="str">
        <f>'Reference Score Calculation'!B327</f>
        <v>JS7307</v>
      </c>
      <c r="B19" s="4" t="str">
        <f>'Reference Score Calculation'!D327</f>
        <v>社會科學院</v>
      </c>
      <c r="C19" s="4" t="str">
        <f>計分版!C350</f>
        <v>社會科學(榮譽)學士 - 社會數據科學</v>
      </c>
      <c r="D19" s="4" t="str">
        <f>'Reference Score Calculation'!S327</f>
        <v>BSocSc (Hons) SocDS</v>
      </c>
      <c r="E19" s="352" t="str">
        <f>'Reference Score Calculation'!AC327</f>
        <v>Best 5</v>
      </c>
      <c r="F19" s="366" t="str">
        <f>'Reference Score Calculation'!F327</f>
        <v>25年新科目</v>
      </c>
      <c r="G19" s="6" t="str">
        <f>'Reference Score Calculation'!I327</f>
        <v>/</v>
      </c>
      <c r="H19" s="6" t="str">
        <f>'Reference Score Calculation'!J327</f>
        <v>/</v>
      </c>
      <c r="I19" s="45">
        <f>計分版!J350</f>
        <v>3.7500000000000005E-9</v>
      </c>
      <c r="J19" s="172" t="str">
        <f t="shared" si="4"/>
        <v>/</v>
      </c>
      <c r="K19" s="173" t="str">
        <f t="shared" si="5"/>
        <v>/</v>
      </c>
      <c r="L19" s="36">
        <f>'Reference Score Calculation'!U327</f>
        <v>10</v>
      </c>
      <c r="M19" s="84">
        <f>入學要求!Z336</f>
        <v>0</v>
      </c>
      <c r="N19" s="544"/>
      <c r="O19" s="175">
        <f>入學要求!L336</f>
        <v>3</v>
      </c>
      <c r="P19" s="175">
        <f>入學要求!M336</f>
        <v>3</v>
      </c>
      <c r="Q19" s="175">
        <f>入學要求!N336</f>
        <v>2</v>
      </c>
      <c r="R19" s="175">
        <f>入學要求!O336</f>
        <v>1</v>
      </c>
      <c r="S19" s="175">
        <f>入學要求!P336</f>
        <v>2</v>
      </c>
      <c r="T19" s="174">
        <f>入學要求!Q336</f>
        <v>2</v>
      </c>
      <c r="U19" s="248">
        <f>入學要求!S336</f>
        <v>0</v>
      </c>
      <c r="V19" s="248">
        <f>入學要求!T336</f>
        <v>0</v>
      </c>
      <c r="W19" s="248">
        <f>入學要求!U336</f>
        <v>0</v>
      </c>
      <c r="X19" s="248">
        <f>入學要求!V336</f>
        <v>0</v>
      </c>
      <c r="Y19" s="248">
        <f>入學要求!W336</f>
        <v>0</v>
      </c>
      <c r="Z19" s="248">
        <f>入學要求!X336</f>
        <v>0</v>
      </c>
      <c r="AA19" s="36" t="str">
        <f t="shared" si="6"/>
        <v>/</v>
      </c>
      <c r="AB19" s="537"/>
      <c r="AC19" s="36" t="str" cm="1">
        <f t="array" ref="AC19">IFERROR(INDEX('Offer Statistics'!DS$2:DS$400,MATCH(1,($A19='Offer Statistics'!$DD$2:$DD$400)*($AB$2='Offer Statistics'!$DE$2:$DE$400),0)),"/")</f>
        <v>/</v>
      </c>
      <c r="AD19" s="63" t="str" cm="1">
        <f t="array" ref="AD19">IFERROR(INDEX('Offer Statistics'!DN$2:DN$400,MATCH(1,($A19='Offer Statistics'!$DD$2:$DD$400)*($AB$2='Offer Statistics'!$DE$2:$DE$400),0)),"/")</f>
        <v>/</v>
      </c>
      <c r="AE19" s="63" t="str" cm="1">
        <f t="array" ref="AE19">IFERROR(INDEX('Offer Statistics'!DO$2:DO$400,MATCH(1,($A19='Offer Statistics'!$DD$2:$DD$400)*($AB$2='Offer Statistics'!$DE$2:$DE$400),0)),"/")</f>
        <v>/</v>
      </c>
      <c r="AF19" s="63" t="str" cm="1">
        <f t="array" ref="AF19">IFERROR(INDEX('Offer Statistics'!DP$2:DP$400,MATCH(1,($A19='Offer Statistics'!$DD$2:$DD$400)*($AB$2='Offer Statistics'!$DE$2:$DE$400),0)),"/")</f>
        <v>/</v>
      </c>
      <c r="AG19" s="63" t="str" cm="1">
        <f t="array" ref="AG19">IFERROR(INDEX('Offer Statistics'!DQ$2:DQ$400,MATCH(1,($A19='Offer Statistics'!$DD$2:$DD$400)*($AB$2='Offer Statistics'!$DE$2:$DE$400),0)),"/")</f>
        <v>/</v>
      </c>
      <c r="AH19" s="63" t="str" cm="1">
        <f t="array" ref="AH19">IFERROR(INDEX('Offer Statistics'!DR$2:DR$400,MATCH(1,($A19='Offer Statistics'!$DD$2:$DD$400)*($AB$2='Offer Statistics'!$DE$2:$DE$400),0)),"/")</f>
        <v>/</v>
      </c>
      <c r="AI19" s="538"/>
      <c r="AJ19" s="36" t="str" cm="1">
        <f t="array" ref="AJ19">IFERROR(INDEX('Offer Statistics'!DK$2:DK$400,MATCH(1,($A19='Offer Statistics'!$DD$2:$DD$400)*($AB$2='Offer Statistics'!$DE$2:$DE$400),0)),"/")</f>
        <v>/</v>
      </c>
      <c r="AK19" s="63" t="str" cm="1">
        <f t="array" ref="AK19">IFERROR(INDEX('Offer Statistics'!DF$2:DF$400,MATCH(1,($A19='Offer Statistics'!$DD$2:$DD$400)*($AB$2='Offer Statistics'!$DE$2:$DE$400),0)),"/")</f>
        <v>/</v>
      </c>
      <c r="AL19" s="63" t="str" cm="1">
        <f t="array" ref="AL19">IFERROR(INDEX('Offer Statistics'!DG$2:DG$400,MATCH(1,($A19='Offer Statistics'!$DD$2:$DD$400)*($AB$2='Offer Statistics'!$DE$2:$DE$400),0)),"/")</f>
        <v>/</v>
      </c>
      <c r="AM19" s="63" t="str" cm="1">
        <f t="array" ref="AM19">IFERROR(INDEX('Offer Statistics'!DH$2:DH$400,MATCH(1,($A19='Offer Statistics'!$DD$2:$DD$400)*($AB$2='Offer Statistics'!$DE$2:$DE$400),0)),"/")</f>
        <v>/</v>
      </c>
      <c r="AN19" s="63" t="str" cm="1">
        <f t="array" ref="AN19">IFERROR(INDEX('Offer Statistics'!DI$2:DI$400,MATCH(1,($A19='Offer Statistics'!$DD$2:$DD$400)*($AB$2='Offer Statistics'!$DE$2:$DE$400),0)),"/")</f>
        <v>/</v>
      </c>
      <c r="AO19" s="63" t="str" cm="1">
        <f t="array" ref="AO19">IFERROR(INDEX('Offer Statistics'!DJ$2:DJ$400,MATCH(1,($A19='Offer Statistics'!$DD$2:$DD$400)*($AB$2='Offer Statistics'!$DE$2:$DE$400),0)),"/")</f>
        <v>/</v>
      </c>
      <c r="AP19" s="15"/>
      <c r="AQ19" s="15" t="str">
        <f t="shared" si="7"/>
        <v>JS7307</v>
      </c>
    </row>
    <row r="20" spans="1:43" s="4" customFormat="1" ht="18" customHeight="1">
      <c r="A20" s="4" t="str">
        <f>'Reference Score Calculation'!B328</f>
        <v>JS7503</v>
      </c>
      <c r="B20" s="4" t="str">
        <f>'Reference Score Calculation'!D328</f>
        <v>文學院</v>
      </c>
      <c r="C20" s="4" t="str">
        <f>計分版!C351</f>
        <v>英語語言文學課程(榮譽)文學士</v>
      </c>
      <c r="D20" s="4" t="str">
        <f>'Reference Score Calculation'!S328</f>
        <v>BA (Hons) Eng Studies</v>
      </c>
      <c r="E20" s="352" t="str">
        <f>'Reference Score Calculation'!AC328</f>
        <v>Best 5</v>
      </c>
      <c r="F20" s="408" t="str">
        <f>'Reference Score Calculation'!F328</f>
        <v>Best 5</v>
      </c>
      <c r="G20" s="6">
        <f>'Reference Score Calculation'!I328</f>
        <v>27</v>
      </c>
      <c r="H20" s="6">
        <f>'Reference Score Calculation'!J328</f>
        <v>26</v>
      </c>
      <c r="I20" s="45">
        <f>計分版!J351</f>
        <v>3.0000000000000004E-9</v>
      </c>
      <c r="J20" s="172">
        <f t="shared" si="4"/>
        <v>-26.999999997</v>
      </c>
      <c r="K20" s="173">
        <f t="shared" si="5"/>
        <v>-8999999998.9999981</v>
      </c>
      <c r="L20" s="36">
        <f>'Reference Score Calculation'!U328</f>
        <v>20</v>
      </c>
      <c r="M20" s="84">
        <f>入學要求!Z337</f>
        <v>0</v>
      </c>
      <c r="N20" s="544"/>
      <c r="O20" s="175">
        <f>入學要求!L337</f>
        <v>3</v>
      </c>
      <c r="P20" s="175">
        <f>入學要求!M337</f>
        <v>3</v>
      </c>
      <c r="Q20" s="175">
        <f>入學要求!N337</f>
        <v>2</v>
      </c>
      <c r="R20" s="175">
        <f>入學要求!O337</f>
        <v>1</v>
      </c>
      <c r="S20" s="175">
        <f>入學要求!P337</f>
        <v>2</v>
      </c>
      <c r="T20" s="174">
        <f>入學要求!Q337</f>
        <v>2</v>
      </c>
      <c r="U20" s="248">
        <f>入學要求!S337</f>
        <v>0</v>
      </c>
      <c r="V20" s="248">
        <f>入學要求!T337</f>
        <v>0</v>
      </c>
      <c r="W20" s="248">
        <f>入學要求!U337</f>
        <v>0</v>
      </c>
      <c r="X20" s="248">
        <f>入學要求!V337</f>
        <v>0</v>
      </c>
      <c r="Y20" s="248">
        <f>入學要求!W337</f>
        <v>0</v>
      </c>
      <c r="Z20" s="248">
        <f>入學要求!X337</f>
        <v>0</v>
      </c>
      <c r="AA20" s="36">
        <f t="shared" si="6"/>
        <v>9</v>
      </c>
      <c r="AB20" s="537"/>
      <c r="AC20" s="36" cm="1">
        <f t="array" ref="AC20">IFERROR(INDEX('Offer Statistics'!DS$2:DS$400,MATCH(1,($A20='Offer Statistics'!$DD$2:$DD$400)*($AB$2='Offer Statistics'!$DE$2:$DE$400),0)),"/")</f>
        <v>18</v>
      </c>
      <c r="AD20" s="63" cm="1">
        <f t="array" ref="AD20">IFERROR(INDEX('Offer Statistics'!DN$2:DN$400,MATCH(1,($A20='Offer Statistics'!$DD$2:$DD$400)*($AB$2='Offer Statistics'!$DE$2:$DE$400),0)),"/")</f>
        <v>11</v>
      </c>
      <c r="AE20" s="63" cm="1">
        <f t="array" ref="AE20">IFERROR(INDEX('Offer Statistics'!DO$2:DO$400,MATCH(1,($A20='Offer Statistics'!$DD$2:$DD$400)*($AB$2='Offer Statistics'!$DE$2:$DE$400),0)),"/")</f>
        <v>2</v>
      </c>
      <c r="AF20" s="63" cm="1">
        <f t="array" ref="AF20">IFERROR(INDEX('Offer Statistics'!DP$2:DP$400,MATCH(1,($A20='Offer Statistics'!$DD$2:$DD$400)*($AB$2='Offer Statistics'!$DE$2:$DE$400),0)),"/")</f>
        <v>5</v>
      </c>
      <c r="AG20" s="63" cm="1">
        <f t="array" ref="AG20">IFERROR(INDEX('Offer Statistics'!DQ$2:DQ$400,MATCH(1,($A20='Offer Statistics'!$DD$2:$DD$400)*($AB$2='Offer Statistics'!$DE$2:$DE$400),0)),"/")</f>
        <v>0</v>
      </c>
      <c r="AH20" s="63" cm="1">
        <f t="array" ref="AH20">IFERROR(INDEX('Offer Statistics'!DR$2:DR$400,MATCH(1,($A20='Offer Statistics'!$DD$2:$DD$400)*($AB$2='Offer Statistics'!$DE$2:$DE$400),0)),"/")</f>
        <v>0</v>
      </c>
      <c r="AI20" s="538"/>
      <c r="AJ20" s="36" cm="1">
        <f t="array" ref="AJ20">IFERROR(INDEX('Offer Statistics'!DK$2:DK$400,MATCH(1,($A20='Offer Statistics'!$DD$2:$DD$400)*($AB$2='Offer Statistics'!$DE$2:$DE$400),0)),"/")</f>
        <v>701</v>
      </c>
      <c r="AK20" s="63" cm="1">
        <f t="array" ref="AK20">IFERROR(INDEX('Offer Statistics'!DF$2:DF$400,MATCH(1,($A20='Offer Statistics'!$DD$2:$DD$400)*($AB$2='Offer Statistics'!$DE$2:$DE$400),0)),"/")</f>
        <v>99</v>
      </c>
      <c r="AL20" s="63" cm="1">
        <f t="array" ref="AL20">IFERROR(INDEX('Offer Statistics'!DG$2:DG$400,MATCH(1,($A20='Offer Statistics'!$DD$2:$DD$400)*($AB$2='Offer Statistics'!$DE$2:$DE$400),0)),"/")</f>
        <v>120</v>
      </c>
      <c r="AM20" s="63" cm="1">
        <f t="array" ref="AM20">IFERROR(INDEX('Offer Statistics'!DH$2:DH$400,MATCH(1,($A20='Offer Statistics'!$DD$2:$DD$400)*($AB$2='Offer Statistics'!$DE$2:$DE$400),0)),"/")</f>
        <v>141</v>
      </c>
      <c r="AN20" s="63" cm="1">
        <f t="array" ref="AN20">IFERROR(INDEX('Offer Statistics'!DI$2:DI$400,MATCH(1,($A20='Offer Statistics'!$DD$2:$DD$400)*($AB$2='Offer Statistics'!$DE$2:$DE$400),0)),"/")</f>
        <v>162</v>
      </c>
      <c r="AO20" s="63" cm="1">
        <f t="array" ref="AO20">IFERROR(INDEX('Offer Statistics'!DJ$2:DJ$400,MATCH(1,($A20='Offer Statistics'!$DD$2:$DD$400)*($AB$2='Offer Statistics'!$DE$2:$DE$400),0)),"/")</f>
        <v>179</v>
      </c>
      <c r="AP20" s="15"/>
      <c r="AQ20" s="15" t="str">
        <f t="shared" si="7"/>
        <v>JS7503</v>
      </c>
    </row>
    <row r="21" spans="1:43" s="4" customFormat="1" ht="18" customHeight="1">
      <c r="A21" s="4" t="str">
        <f>'Reference Score Calculation'!B329</f>
        <v>JS7606</v>
      </c>
      <c r="B21" s="4" t="str">
        <f>'Reference Score Calculation'!D329</f>
        <v>文學院</v>
      </c>
      <c r="C21" s="4" t="str">
        <f>計分版!C352</f>
        <v>文化研究(榮譽)文學士</v>
      </c>
      <c r="D21" s="4" t="str">
        <f>'Reference Score Calculation'!S329</f>
        <v>BA (Hons) Cultural Stud</v>
      </c>
      <c r="E21" s="352" t="str">
        <f>'Reference Score Calculation'!AC329</f>
        <v>Best 5</v>
      </c>
      <c r="F21" s="408" t="str">
        <f>'Reference Score Calculation'!F329</f>
        <v>Best 5</v>
      </c>
      <c r="G21" s="6">
        <f>'Reference Score Calculation'!I329</f>
        <v>24</v>
      </c>
      <c r="H21" s="6">
        <f>'Reference Score Calculation'!J329</f>
        <v>24</v>
      </c>
      <c r="I21" s="45">
        <f>計分版!J352</f>
        <v>3.4999999999999999E-9</v>
      </c>
      <c r="J21" s="172">
        <f t="shared" si="4"/>
        <v>-23.999999996500001</v>
      </c>
      <c r="K21" s="173">
        <f t="shared" si="5"/>
        <v>-6857142856.1428576</v>
      </c>
      <c r="L21" s="36">
        <f>'Reference Score Calculation'!U329</f>
        <v>28</v>
      </c>
      <c r="M21" s="84">
        <f>入學要求!Z338</f>
        <v>0</v>
      </c>
      <c r="N21" s="544"/>
      <c r="O21" s="175">
        <f>入學要求!L338</f>
        <v>3</v>
      </c>
      <c r="P21" s="175">
        <f>入學要求!M338</f>
        <v>3</v>
      </c>
      <c r="Q21" s="175">
        <f>入學要求!N338</f>
        <v>2</v>
      </c>
      <c r="R21" s="175">
        <f>入學要求!O338</f>
        <v>1</v>
      </c>
      <c r="S21" s="175">
        <f>入學要求!P338</f>
        <v>2</v>
      </c>
      <c r="T21" s="174">
        <f>入學要求!Q338</f>
        <v>2</v>
      </c>
      <c r="U21" s="248">
        <f>入學要求!S338</f>
        <v>0</v>
      </c>
      <c r="V21" s="248">
        <f>入學要求!T338</f>
        <v>0</v>
      </c>
      <c r="W21" s="248">
        <f>入學要求!U338</f>
        <v>0</v>
      </c>
      <c r="X21" s="248">
        <f>入學要求!V338</f>
        <v>0</v>
      </c>
      <c r="Y21" s="248">
        <f>入學要求!W338</f>
        <v>0</v>
      </c>
      <c r="Z21" s="248">
        <f>入學要求!X338</f>
        <v>0</v>
      </c>
      <c r="AA21" s="36">
        <f t="shared" si="6"/>
        <v>13.71</v>
      </c>
      <c r="AB21" s="537"/>
      <c r="AC21" s="36" cm="1">
        <f t="array" ref="AC21">IFERROR(INDEX('Offer Statistics'!DS$2:DS$400,MATCH(1,($A21='Offer Statistics'!$DD$2:$DD$400)*($AB$2='Offer Statistics'!$DE$2:$DE$400),0)),"/")</f>
        <v>33</v>
      </c>
      <c r="AD21" s="63" cm="1">
        <f t="array" ref="AD21">IFERROR(INDEX('Offer Statistics'!DN$2:DN$400,MATCH(1,($A21='Offer Statistics'!$DD$2:$DD$400)*($AB$2='Offer Statistics'!$DE$2:$DE$400),0)),"/")</f>
        <v>24</v>
      </c>
      <c r="AE21" s="63" cm="1">
        <f t="array" ref="AE21">IFERROR(INDEX('Offer Statistics'!DO$2:DO$400,MATCH(1,($A21='Offer Statistics'!$DD$2:$DD$400)*($AB$2='Offer Statistics'!$DE$2:$DE$400),0)),"/")</f>
        <v>9</v>
      </c>
      <c r="AF21" s="63" cm="1">
        <f t="array" ref="AF21">IFERROR(INDEX('Offer Statistics'!DP$2:DP$400,MATCH(1,($A21='Offer Statistics'!$DD$2:$DD$400)*($AB$2='Offer Statistics'!$DE$2:$DE$400),0)),"/")</f>
        <v>0</v>
      </c>
      <c r="AG21" s="63" cm="1">
        <f t="array" ref="AG21">IFERROR(INDEX('Offer Statistics'!DQ$2:DQ$400,MATCH(1,($A21='Offer Statistics'!$DD$2:$DD$400)*($AB$2='Offer Statistics'!$DE$2:$DE$400),0)),"/")</f>
        <v>0</v>
      </c>
      <c r="AH21" s="63" cm="1">
        <f t="array" ref="AH21">IFERROR(INDEX('Offer Statistics'!DR$2:DR$400,MATCH(1,($A21='Offer Statistics'!$DD$2:$DD$400)*($AB$2='Offer Statistics'!$DE$2:$DE$400),0)),"/")</f>
        <v>0</v>
      </c>
      <c r="AI21" s="538"/>
      <c r="AJ21" s="36" cm="1">
        <f t="array" ref="AJ21">IFERROR(INDEX('Offer Statistics'!DK$2:DK$400,MATCH(1,($A21='Offer Statistics'!$DD$2:$DD$400)*($AB$2='Offer Statistics'!$DE$2:$DE$400),0)),"/")</f>
        <v>2314</v>
      </c>
      <c r="AK21" s="63" cm="1">
        <f t="array" ref="AK21">IFERROR(INDEX('Offer Statistics'!DF$2:DF$400,MATCH(1,($A21='Offer Statistics'!$DD$2:$DD$400)*($AB$2='Offer Statistics'!$DE$2:$DE$400),0)),"/")</f>
        <v>329</v>
      </c>
      <c r="AL21" s="63" cm="1">
        <f t="array" ref="AL21">IFERROR(INDEX('Offer Statistics'!DG$2:DG$400,MATCH(1,($A21='Offer Statistics'!$DD$2:$DD$400)*($AB$2='Offer Statistics'!$DE$2:$DE$400),0)),"/")</f>
        <v>456</v>
      </c>
      <c r="AM21" s="63" cm="1">
        <f t="array" ref="AM21">IFERROR(INDEX('Offer Statistics'!DH$2:DH$400,MATCH(1,($A21='Offer Statistics'!$DD$2:$DD$400)*($AB$2='Offer Statistics'!$DE$2:$DE$400),0)),"/")</f>
        <v>480</v>
      </c>
      <c r="AN21" s="63" cm="1">
        <f t="array" ref="AN21">IFERROR(INDEX('Offer Statistics'!DI$2:DI$400,MATCH(1,($A21='Offer Statistics'!$DD$2:$DD$400)*($AB$2='Offer Statistics'!$DE$2:$DE$400),0)),"/")</f>
        <v>576</v>
      </c>
      <c r="AO21" s="63" cm="1">
        <f t="array" ref="AO21">IFERROR(INDEX('Offer Statistics'!DJ$2:DJ$400,MATCH(1,($A21='Offer Statistics'!$DD$2:$DD$400)*($AB$2='Offer Statistics'!$DE$2:$DE$400),0)),"/")</f>
        <v>473</v>
      </c>
      <c r="AP21" s="15"/>
      <c r="AQ21" s="15" t="str">
        <f t="shared" si="7"/>
        <v>JS7606</v>
      </c>
    </row>
    <row r="22" spans="1:43" s="4" customFormat="1" ht="18" customHeight="1">
      <c r="A22" s="4" t="str">
        <f>'Reference Score Calculation'!B330</f>
        <v>JS7709</v>
      </c>
      <c r="B22" s="4" t="str">
        <f>'Reference Score Calculation'!D330</f>
        <v>文學院</v>
      </c>
      <c r="C22" s="4" t="str">
        <f>計分版!C353</f>
        <v>歷史(榮譽)文學士</v>
      </c>
      <c r="D22" s="4" t="str">
        <f>'Reference Score Calculation'!S330</f>
        <v>BA (Hons) History</v>
      </c>
      <c r="E22" s="352" t="str">
        <f>'Reference Score Calculation'!AC330</f>
        <v>Best 5</v>
      </c>
      <c r="F22" s="408" t="str">
        <f>'Reference Score Calculation'!F330</f>
        <v>Best 5</v>
      </c>
      <c r="G22" s="6">
        <f>'Reference Score Calculation'!I330</f>
        <v>25.6</v>
      </c>
      <c r="H22" s="6">
        <f>'Reference Score Calculation'!J330</f>
        <v>25.3</v>
      </c>
      <c r="I22" s="45">
        <f>計分版!J353</f>
        <v>3.4999999999999999E-9</v>
      </c>
      <c r="J22" s="172">
        <f t="shared" si="4"/>
        <v>-25.599999996500003</v>
      </c>
      <c r="K22" s="173">
        <f t="shared" si="5"/>
        <v>-7314285713.2857151</v>
      </c>
      <c r="L22" s="36">
        <f>'Reference Score Calculation'!U330</f>
        <v>29</v>
      </c>
      <c r="M22" s="84">
        <f>入學要求!Z339</f>
        <v>0</v>
      </c>
      <c r="N22" s="544"/>
      <c r="O22" s="175">
        <f>入學要求!L339</f>
        <v>3</v>
      </c>
      <c r="P22" s="175">
        <f>入學要求!M339</f>
        <v>3</v>
      </c>
      <c r="Q22" s="175">
        <f>入學要求!N339</f>
        <v>2</v>
      </c>
      <c r="R22" s="175">
        <f>入學要求!O339</f>
        <v>1</v>
      </c>
      <c r="S22" s="175">
        <f>入學要求!P339</f>
        <v>2</v>
      </c>
      <c r="T22" s="174">
        <f>入學要求!Q339</f>
        <v>2</v>
      </c>
      <c r="U22" s="248">
        <f>入學要求!S339</f>
        <v>0</v>
      </c>
      <c r="V22" s="248">
        <f>入學要求!T339</f>
        <v>0</v>
      </c>
      <c r="W22" s="248">
        <f>入學要求!U339</f>
        <v>0</v>
      </c>
      <c r="X22" s="248">
        <f>入學要求!V339</f>
        <v>0</v>
      </c>
      <c r="Y22" s="248">
        <f>入學要求!W339</f>
        <v>0</v>
      </c>
      <c r="Z22" s="248">
        <f>入學要求!X339</f>
        <v>0</v>
      </c>
      <c r="AA22" s="36">
        <f t="shared" si="6"/>
        <v>18.78</v>
      </c>
      <c r="AB22" s="537"/>
      <c r="AC22" s="36" cm="1">
        <f t="array" ref="AC22">IFERROR(INDEX('Offer Statistics'!DS$2:DS$400,MATCH(1,($A22='Offer Statistics'!$DD$2:$DD$400)*($AB$2='Offer Statistics'!$DE$2:$DE$400),0)),"/")</f>
        <v>41</v>
      </c>
      <c r="AD22" s="63" cm="1">
        <f t="array" ref="AD22">IFERROR(INDEX('Offer Statistics'!DN$2:DN$400,MATCH(1,($A22='Offer Statistics'!$DD$2:$DD$400)*($AB$2='Offer Statistics'!$DE$2:$DE$400),0)),"/")</f>
        <v>27</v>
      </c>
      <c r="AE22" s="63" cm="1">
        <f t="array" ref="AE22">IFERROR(INDEX('Offer Statistics'!DO$2:DO$400,MATCH(1,($A22='Offer Statistics'!$DD$2:$DD$400)*($AB$2='Offer Statistics'!$DE$2:$DE$400),0)),"/")</f>
        <v>10</v>
      </c>
      <c r="AF22" s="63" cm="1">
        <f t="array" ref="AF22">IFERROR(INDEX('Offer Statistics'!DP$2:DP$400,MATCH(1,($A22='Offer Statistics'!$DD$2:$DD$400)*($AB$2='Offer Statistics'!$DE$2:$DE$400),0)),"/")</f>
        <v>4</v>
      </c>
      <c r="AG22" s="63" cm="1">
        <f t="array" ref="AG22">IFERROR(INDEX('Offer Statistics'!DQ$2:DQ$400,MATCH(1,($A22='Offer Statistics'!$DD$2:$DD$400)*($AB$2='Offer Statistics'!$DE$2:$DE$400),0)),"/")</f>
        <v>0</v>
      </c>
      <c r="AH22" s="63" cm="1">
        <f t="array" ref="AH22">IFERROR(INDEX('Offer Statistics'!DR$2:DR$400,MATCH(1,($A22='Offer Statistics'!$DD$2:$DD$400)*($AB$2='Offer Statistics'!$DE$2:$DE$400),0)),"/")</f>
        <v>0</v>
      </c>
      <c r="AI22" s="538"/>
      <c r="AJ22" s="36" cm="1">
        <f t="array" ref="AJ22">IFERROR(INDEX('Offer Statistics'!DK$2:DK$400,MATCH(1,($A22='Offer Statistics'!$DD$2:$DD$400)*($AB$2='Offer Statistics'!$DE$2:$DE$400),0)),"/")</f>
        <v>2381</v>
      </c>
      <c r="AK22" s="63" cm="1">
        <f t="array" ref="AK22">IFERROR(INDEX('Offer Statistics'!DF$2:DF$400,MATCH(1,($A22='Offer Statistics'!$DD$2:$DD$400)*($AB$2='Offer Statistics'!$DE$2:$DE$400),0)),"/")</f>
        <v>507</v>
      </c>
      <c r="AL22" s="63" cm="1">
        <f t="array" ref="AL22">IFERROR(INDEX('Offer Statistics'!DG$2:DG$400,MATCH(1,($A22='Offer Statistics'!$DD$2:$DD$400)*($AB$2='Offer Statistics'!$DE$2:$DE$400),0)),"/")</f>
        <v>491</v>
      </c>
      <c r="AM22" s="63" cm="1">
        <f t="array" ref="AM22">IFERROR(INDEX('Offer Statistics'!DH$2:DH$400,MATCH(1,($A22='Offer Statistics'!$DD$2:$DD$400)*($AB$2='Offer Statistics'!$DE$2:$DE$400),0)),"/")</f>
        <v>493</v>
      </c>
      <c r="AN22" s="63" cm="1">
        <f t="array" ref="AN22">IFERROR(INDEX('Offer Statistics'!DI$2:DI$400,MATCH(1,($A22='Offer Statistics'!$DD$2:$DD$400)*($AB$2='Offer Statistics'!$DE$2:$DE$400),0)),"/")</f>
        <v>488</v>
      </c>
      <c r="AO22" s="63" cm="1">
        <f t="array" ref="AO22">IFERROR(INDEX('Offer Statistics'!DJ$2:DJ$400,MATCH(1,($A22='Offer Statistics'!$DD$2:$DD$400)*($AB$2='Offer Statistics'!$DE$2:$DE$400),0)),"/")</f>
        <v>402</v>
      </c>
      <c r="AP22" s="15"/>
      <c r="AQ22" s="15" t="str">
        <f t="shared" si="7"/>
        <v>JS7709</v>
      </c>
    </row>
    <row r="23" spans="1:43" s="4" customFormat="1" ht="18" customHeight="1">
      <c r="A23" s="4" t="str">
        <f>'Reference Score Calculation'!B331</f>
        <v>JS7802</v>
      </c>
      <c r="B23" s="4" t="str">
        <f>'Reference Score Calculation'!D331</f>
        <v>文學院</v>
      </c>
      <c r="C23" s="4" t="str">
        <f>計分版!C354</f>
        <v>哲學(榮譽)文學士</v>
      </c>
      <c r="D23" s="4" t="str">
        <f>'Reference Score Calculation'!S331</f>
        <v>BA (Hons) Philosophy</v>
      </c>
      <c r="E23" s="352" t="str">
        <f>'Reference Score Calculation'!AC331</f>
        <v>Best 5</v>
      </c>
      <c r="F23" s="408" t="str">
        <f>'Reference Score Calculation'!F331</f>
        <v>Best 5</v>
      </c>
      <c r="G23" s="6">
        <f>'Reference Score Calculation'!I331</f>
        <v>25</v>
      </c>
      <c r="H23" s="6">
        <f>'Reference Score Calculation'!J331</f>
        <v>24.5</v>
      </c>
      <c r="I23" s="45">
        <f>計分版!J354</f>
        <v>3.4999999999999999E-9</v>
      </c>
      <c r="J23" s="172">
        <f t="shared" si="4"/>
        <v>-24.999999996500001</v>
      </c>
      <c r="K23" s="173">
        <f t="shared" si="5"/>
        <v>-7142857141.8571434</v>
      </c>
      <c r="L23" s="36">
        <f>'Reference Score Calculation'!U331</f>
        <v>25</v>
      </c>
      <c r="M23" s="84">
        <f>入學要求!Z340</f>
        <v>0</v>
      </c>
      <c r="N23" s="544"/>
      <c r="O23" s="175">
        <f>入學要求!L340</f>
        <v>3</v>
      </c>
      <c r="P23" s="175">
        <f>入學要求!M340</f>
        <v>3</v>
      </c>
      <c r="Q23" s="175">
        <f>入學要求!N340</f>
        <v>2</v>
      </c>
      <c r="R23" s="175">
        <f>入學要求!O340</f>
        <v>1</v>
      </c>
      <c r="S23" s="175">
        <f>入學要求!P340</f>
        <v>2</v>
      </c>
      <c r="T23" s="174">
        <f>入學要求!Q340</f>
        <v>2</v>
      </c>
      <c r="U23" s="248">
        <f>入學要求!S340</f>
        <v>0</v>
      </c>
      <c r="V23" s="248">
        <f>入學要求!T340</f>
        <v>0</v>
      </c>
      <c r="W23" s="248">
        <f>入學要求!U340</f>
        <v>0</v>
      </c>
      <c r="X23" s="248">
        <f>入學要求!V340</f>
        <v>0</v>
      </c>
      <c r="Y23" s="248">
        <f>入學要求!W340</f>
        <v>0</v>
      </c>
      <c r="Z23" s="248">
        <f>入學要求!X340</f>
        <v>0</v>
      </c>
      <c r="AA23" s="36">
        <f t="shared" si="6"/>
        <v>11.59</v>
      </c>
      <c r="AB23" s="537"/>
      <c r="AC23" s="36" cm="1">
        <f t="array" ref="AC23">IFERROR(INDEX('Offer Statistics'!DS$2:DS$400,MATCH(1,($A23='Offer Statistics'!$DD$2:$DD$400)*($AB$2='Offer Statistics'!$DE$2:$DE$400),0)),"/")</f>
        <v>27</v>
      </c>
      <c r="AD23" s="63" cm="1">
        <f t="array" ref="AD23">IFERROR(INDEX('Offer Statistics'!DN$2:DN$400,MATCH(1,($A23='Offer Statistics'!$DD$2:$DD$400)*($AB$2='Offer Statistics'!$DE$2:$DE$400),0)),"/")</f>
        <v>17</v>
      </c>
      <c r="AE23" s="63" cm="1">
        <f t="array" ref="AE23">IFERROR(INDEX('Offer Statistics'!DO$2:DO$400,MATCH(1,($A23='Offer Statistics'!$DD$2:$DD$400)*($AB$2='Offer Statistics'!$DE$2:$DE$400),0)),"/")</f>
        <v>9</v>
      </c>
      <c r="AF23" s="63" cm="1">
        <f t="array" ref="AF23">IFERROR(INDEX('Offer Statistics'!DP$2:DP$400,MATCH(1,($A23='Offer Statistics'!$DD$2:$DD$400)*($AB$2='Offer Statistics'!$DE$2:$DE$400),0)),"/")</f>
        <v>1</v>
      </c>
      <c r="AG23" s="63" cm="1">
        <f t="array" ref="AG23">IFERROR(INDEX('Offer Statistics'!DQ$2:DQ$400,MATCH(1,($A23='Offer Statistics'!$DD$2:$DD$400)*($AB$2='Offer Statistics'!$DE$2:$DE$400),0)),"/")</f>
        <v>0</v>
      </c>
      <c r="AH23" s="63" cm="1">
        <f t="array" ref="AH23">IFERROR(INDEX('Offer Statistics'!DR$2:DR$400,MATCH(1,($A23='Offer Statistics'!$DD$2:$DD$400)*($AB$2='Offer Statistics'!$DE$2:$DE$400),0)),"/")</f>
        <v>0</v>
      </c>
      <c r="AI23" s="538"/>
      <c r="AJ23" s="36" cm="1">
        <f t="array" ref="AJ23">IFERROR(INDEX('Offer Statistics'!DK$2:DK$400,MATCH(1,($A23='Offer Statistics'!$DD$2:$DD$400)*($AB$2='Offer Statistics'!$DE$2:$DE$400),0)),"/")</f>
        <v>1551</v>
      </c>
      <c r="AK23" s="63" cm="1">
        <f t="array" ref="AK23">IFERROR(INDEX('Offer Statistics'!DF$2:DF$400,MATCH(1,($A23='Offer Statistics'!$DD$2:$DD$400)*($AB$2='Offer Statistics'!$DE$2:$DE$400),0)),"/")</f>
        <v>197</v>
      </c>
      <c r="AL23" s="63" cm="1">
        <f t="array" ref="AL23">IFERROR(INDEX('Offer Statistics'!DG$2:DG$400,MATCH(1,($A23='Offer Statistics'!$DD$2:$DD$400)*($AB$2='Offer Statistics'!$DE$2:$DE$400),0)),"/")</f>
        <v>265</v>
      </c>
      <c r="AM23" s="63" cm="1">
        <f t="array" ref="AM23">IFERROR(INDEX('Offer Statistics'!DH$2:DH$400,MATCH(1,($A23='Offer Statistics'!$DD$2:$DD$400)*($AB$2='Offer Statistics'!$DE$2:$DE$400),0)),"/")</f>
        <v>327</v>
      </c>
      <c r="AN23" s="63" cm="1">
        <f t="array" ref="AN23">IFERROR(INDEX('Offer Statistics'!DI$2:DI$400,MATCH(1,($A23='Offer Statistics'!$DD$2:$DD$400)*($AB$2='Offer Statistics'!$DE$2:$DE$400),0)),"/")</f>
        <v>376</v>
      </c>
      <c r="AO23" s="63" cm="1">
        <f t="array" ref="AO23">IFERROR(INDEX('Offer Statistics'!DJ$2:DJ$400,MATCH(1,($A23='Offer Statistics'!$DD$2:$DD$400)*($AB$2='Offer Statistics'!$DE$2:$DE$400),0)),"/")</f>
        <v>386</v>
      </c>
      <c r="AP23" s="15"/>
      <c r="AQ23" s="15" t="str">
        <f t="shared" si="7"/>
        <v>JS7802</v>
      </c>
    </row>
    <row r="24" spans="1:43" s="4" customFormat="1" ht="18" customHeight="1">
      <c r="A24" s="4" t="str">
        <f>'Reference Score Calculation'!B332</f>
        <v>JS7905</v>
      </c>
      <c r="B24" s="4" t="str">
        <f>'Reference Score Calculation'!D332</f>
        <v>文學院</v>
      </c>
      <c r="C24" s="4" t="str">
        <f>計分版!C355</f>
        <v>電影與視覺藝術(榮譽)文學士</v>
      </c>
      <c r="D24" s="4" t="str">
        <f>'Reference Score Calculation'!S332</f>
        <v>BA (Hons) FVA</v>
      </c>
      <c r="E24" s="352" t="str">
        <f>'Reference Score Calculation'!AC332</f>
        <v>Best 5</v>
      </c>
      <c r="F24" s="408" t="str">
        <f>'Reference Score Calculation'!F332</f>
        <v>Best 5</v>
      </c>
      <c r="G24" s="6">
        <f>'Reference Score Calculation'!I332</f>
        <v>27</v>
      </c>
      <c r="H24" s="6">
        <f>'Reference Score Calculation'!J332</f>
        <v>26</v>
      </c>
      <c r="I24" s="45">
        <f>計分版!J355</f>
        <v>3.4999999999999999E-9</v>
      </c>
      <c r="J24" s="172">
        <f t="shared" si="4"/>
        <v>-26.999999996500001</v>
      </c>
      <c r="K24" s="173">
        <f t="shared" si="5"/>
        <v>-7714285713.2857151</v>
      </c>
      <c r="L24" s="36">
        <f>'Reference Score Calculation'!U332</f>
        <v>20</v>
      </c>
      <c r="M24" s="84">
        <f>入學要求!Z341</f>
        <v>0</v>
      </c>
      <c r="N24" s="544"/>
      <c r="O24" s="175">
        <f>入學要求!L341</f>
        <v>3</v>
      </c>
      <c r="P24" s="175">
        <f>入學要求!M341</f>
        <v>3</v>
      </c>
      <c r="Q24" s="175">
        <f>入學要求!N341</f>
        <v>2</v>
      </c>
      <c r="R24" s="175">
        <f>入學要求!O341</f>
        <v>1</v>
      </c>
      <c r="S24" s="175">
        <f>入學要求!P341</f>
        <v>2</v>
      </c>
      <c r="T24" s="174">
        <f>入學要求!Q341</f>
        <v>2</v>
      </c>
      <c r="U24" s="248">
        <f>入學要求!S341</f>
        <v>0</v>
      </c>
      <c r="V24" s="248">
        <f>入學要求!T341</f>
        <v>0</v>
      </c>
      <c r="W24" s="248">
        <f>入學要求!U341</f>
        <v>0</v>
      </c>
      <c r="X24" s="248">
        <f>入學要求!V341</f>
        <v>0</v>
      </c>
      <c r="Y24" s="248">
        <f>入學要求!W341</f>
        <v>0</v>
      </c>
      <c r="Z24" s="248">
        <f>入學要求!X341</f>
        <v>0</v>
      </c>
      <c r="AA24" s="36">
        <f t="shared" si="6"/>
        <v>22.56</v>
      </c>
      <c r="AB24" s="537"/>
      <c r="AC24" s="36" cm="1">
        <f t="array" ref="AC24">IFERROR(INDEX('Offer Statistics'!DS$2:DS$400,MATCH(1,($A24='Offer Statistics'!$DD$2:$DD$400)*($AB$2='Offer Statistics'!$DE$2:$DE$400),0)),"/")</f>
        <v>20</v>
      </c>
      <c r="AD24" s="63" cm="1">
        <f t="array" ref="AD24">IFERROR(INDEX('Offer Statistics'!DN$2:DN$400,MATCH(1,($A24='Offer Statistics'!$DD$2:$DD$400)*($AB$2='Offer Statistics'!$DE$2:$DE$400),0)),"/")</f>
        <v>16</v>
      </c>
      <c r="AE24" s="63" cm="1">
        <f t="array" ref="AE24">IFERROR(INDEX('Offer Statistics'!DO$2:DO$400,MATCH(1,($A24='Offer Statistics'!$DD$2:$DD$400)*($AB$2='Offer Statistics'!$DE$2:$DE$400),0)),"/")</f>
        <v>4</v>
      </c>
      <c r="AF24" s="63" cm="1">
        <f t="array" ref="AF24">IFERROR(INDEX('Offer Statistics'!DP$2:DP$400,MATCH(1,($A24='Offer Statistics'!$DD$2:$DD$400)*($AB$2='Offer Statistics'!$DE$2:$DE$400),0)),"/")</f>
        <v>0</v>
      </c>
      <c r="AG24" s="63" cm="1">
        <f t="array" ref="AG24">IFERROR(INDEX('Offer Statistics'!DQ$2:DQ$400,MATCH(1,($A24='Offer Statistics'!$DD$2:$DD$400)*($AB$2='Offer Statistics'!$DE$2:$DE$400),0)),"/")</f>
        <v>0</v>
      </c>
      <c r="AH24" s="63" cm="1">
        <f t="array" ref="AH24">IFERROR(INDEX('Offer Statistics'!DR$2:DR$400,MATCH(1,($A24='Offer Statistics'!$DD$2:$DD$400)*($AB$2='Offer Statistics'!$DE$2:$DE$400),0)),"/")</f>
        <v>0</v>
      </c>
      <c r="AI24" s="538"/>
      <c r="AJ24" s="36" cm="1">
        <f t="array" ref="AJ24">IFERROR(INDEX('Offer Statistics'!DK$2:DK$400,MATCH(1,($A24='Offer Statistics'!$DD$2:$DD$400)*($AB$2='Offer Statistics'!$DE$2:$DE$400),0)),"/")</f>
        <v>2748</v>
      </c>
      <c r="AK24" s="63" cm="1">
        <f t="array" ref="AK24">IFERROR(INDEX('Offer Statistics'!DF$2:DF$400,MATCH(1,($A24='Offer Statistics'!$DD$2:$DD$400)*($AB$2='Offer Statistics'!$DE$2:$DE$400),0)),"/")</f>
        <v>361</v>
      </c>
      <c r="AL24" s="63" cm="1">
        <f t="array" ref="AL24">IFERROR(INDEX('Offer Statistics'!DG$2:DG$400,MATCH(1,($A24='Offer Statistics'!$DD$2:$DD$400)*($AB$2='Offer Statistics'!$DE$2:$DE$400),0)),"/")</f>
        <v>497</v>
      </c>
      <c r="AM24" s="63" cm="1">
        <f t="array" ref="AM24">IFERROR(INDEX('Offer Statistics'!DH$2:DH$400,MATCH(1,($A24='Offer Statistics'!$DD$2:$DD$400)*($AB$2='Offer Statistics'!$DE$2:$DE$400),0)),"/")</f>
        <v>615</v>
      </c>
      <c r="AN24" s="63" cm="1">
        <f t="array" ref="AN24">IFERROR(INDEX('Offer Statistics'!DI$2:DI$400,MATCH(1,($A24='Offer Statistics'!$DD$2:$DD$400)*($AB$2='Offer Statistics'!$DE$2:$DE$400),0)),"/")</f>
        <v>696</v>
      </c>
      <c r="AO24" s="63" cm="1">
        <f t="array" ref="AO24">IFERROR(INDEX('Offer Statistics'!DJ$2:DJ$400,MATCH(1,($A24='Offer Statistics'!$DD$2:$DD$400)*($AB$2='Offer Statistics'!$DE$2:$DE$400),0)),"/")</f>
        <v>579</v>
      </c>
      <c r="AP24" s="15"/>
      <c r="AQ24" s="15" t="str">
        <f t="shared" si="7"/>
        <v>JS7905</v>
      </c>
    </row>
    <row r="25" spans="1:43" s="4" customFormat="1" ht="18" customHeight="1">
      <c r="F25" s="15"/>
      <c r="G25" s="15"/>
      <c r="H25" s="15"/>
      <c r="M25" s="15"/>
      <c r="AB25" s="15"/>
      <c r="AC25" s="15"/>
      <c r="AD25" s="15"/>
      <c r="AE25" s="15"/>
      <c r="AF25" s="15"/>
      <c r="AG25" s="15"/>
      <c r="AH25" s="15"/>
      <c r="AI25" s="15"/>
      <c r="AJ25" s="15"/>
      <c r="AK25" s="15"/>
      <c r="AL25" s="15"/>
      <c r="AM25" s="15"/>
      <c r="AN25" s="15"/>
      <c r="AO25" s="15"/>
      <c r="AP25" s="15"/>
      <c r="AQ25" s="15"/>
    </row>
    <row r="26" spans="1:43" s="4" customFormat="1" ht="18" customHeight="1">
      <c r="A26" s="4" t="s">
        <v>3167</v>
      </c>
      <c r="F26" s="36"/>
      <c r="G26" s="15"/>
      <c r="H26" s="15"/>
      <c r="I26" s="15"/>
      <c r="J26" s="22"/>
      <c r="K26" s="23"/>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row>
    <row r="27" spans="1:43" s="4" customFormat="1" ht="19.2" customHeight="1">
      <c r="A27" s="4" t="s">
        <v>3131</v>
      </c>
      <c r="F27" s="36"/>
      <c r="G27" s="15"/>
      <c r="H27" s="15"/>
      <c r="I27" s="15"/>
      <c r="J27" s="22"/>
      <c r="K27" s="23"/>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row>
    <row r="28" spans="1:43" s="4" customFormat="1" ht="19.2" customHeight="1">
      <c r="F28" s="36"/>
      <c r="G28" s="15"/>
      <c r="H28" s="15"/>
      <c r="I28" s="15"/>
      <c r="J28" s="22"/>
      <c r="K28" s="23"/>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row>
    <row r="29" spans="1:43" s="4" customFormat="1" ht="18" customHeight="1">
      <c r="A29" s="23" t="s">
        <v>2250</v>
      </c>
      <c r="F29" s="36"/>
      <c r="G29" s="15"/>
      <c r="H29" s="15"/>
      <c r="I29" s="15"/>
      <c r="J29" s="15"/>
      <c r="K29" s="22"/>
      <c r="L29" s="23"/>
      <c r="M29" s="15"/>
      <c r="O29" s="15"/>
      <c r="P29" s="15"/>
      <c r="Q29" s="15"/>
      <c r="R29" s="15"/>
      <c r="S29" s="15"/>
      <c r="T29" s="15"/>
      <c r="AB29" s="15"/>
      <c r="AC29" s="15"/>
      <c r="AE29" s="15"/>
      <c r="AF29" s="15"/>
      <c r="AG29" s="15"/>
      <c r="AH29" s="15"/>
      <c r="AI29" s="15"/>
      <c r="AJ29" s="15"/>
      <c r="AK29" s="15"/>
      <c r="AL29" s="15"/>
      <c r="AM29" s="15"/>
      <c r="AN29" s="15"/>
      <c r="AO29" s="15"/>
      <c r="AP29" s="15"/>
      <c r="AQ29" s="15"/>
    </row>
    <row r="30" spans="1:43" s="4" customFormat="1" ht="18" customHeight="1">
      <c r="A30" s="23" t="s">
        <v>185</v>
      </c>
      <c r="F30" s="36"/>
      <c r="G30" s="15"/>
      <c r="H30" s="15"/>
      <c r="I30" s="15"/>
      <c r="J30" s="15"/>
      <c r="K30" s="22"/>
      <c r="L30" s="23"/>
      <c r="M30" s="15"/>
      <c r="O30" s="15"/>
      <c r="P30" s="15"/>
      <c r="Q30" s="15"/>
      <c r="R30" s="15"/>
      <c r="S30" s="15"/>
      <c r="T30" s="15"/>
      <c r="AB30" s="15"/>
      <c r="AC30" s="15"/>
      <c r="AD30" s="36"/>
      <c r="AE30" s="15"/>
      <c r="AF30" s="15"/>
      <c r="AG30" s="15"/>
      <c r="AH30" s="15"/>
      <c r="AI30" s="15"/>
      <c r="AJ30" s="15"/>
      <c r="AK30" s="15"/>
      <c r="AL30" s="15"/>
      <c r="AM30" s="15"/>
      <c r="AN30" s="15"/>
      <c r="AO30" s="15"/>
      <c r="AP30" s="15"/>
      <c r="AQ30" s="15"/>
    </row>
    <row r="31" spans="1:43" s="4" customFormat="1" ht="18" customHeight="1">
      <c r="F31" s="36"/>
      <c r="G31" s="15"/>
      <c r="H31" s="15"/>
      <c r="I31" s="15"/>
      <c r="J31" s="15"/>
      <c r="K31" s="22"/>
      <c r="L31" s="23"/>
      <c r="M31" s="15"/>
      <c r="O31" s="15"/>
      <c r="P31" s="15"/>
      <c r="Q31" s="15"/>
      <c r="R31" s="15"/>
      <c r="S31" s="15"/>
      <c r="T31" s="15"/>
      <c r="AB31" s="15"/>
      <c r="AC31" s="15"/>
      <c r="AD31" s="15"/>
      <c r="AE31" s="15"/>
      <c r="AF31" s="15"/>
      <c r="AG31" s="15"/>
      <c r="AH31" s="15"/>
      <c r="AI31" s="15"/>
      <c r="AJ31" s="15"/>
      <c r="AK31" s="15"/>
      <c r="AL31" s="15"/>
      <c r="AM31" s="15"/>
      <c r="AN31" s="15"/>
      <c r="AO31" s="15"/>
      <c r="AP31" s="15"/>
      <c r="AQ31" s="15"/>
    </row>
    <row r="32" spans="1:43" s="4" customFormat="1" ht="18" customHeight="1">
      <c r="A32" s="3" t="s">
        <v>127</v>
      </c>
      <c r="F32" s="36"/>
      <c r="G32" s="15"/>
      <c r="H32" s="15"/>
      <c r="I32" s="15"/>
      <c r="J32" s="15"/>
      <c r="K32" s="22"/>
      <c r="L32" s="23"/>
      <c r="M32" s="15"/>
      <c r="O32" s="15"/>
      <c r="P32" s="15"/>
      <c r="Q32" s="15"/>
      <c r="R32" s="15"/>
      <c r="S32" s="15"/>
      <c r="T32" s="15"/>
      <c r="AB32" s="15"/>
      <c r="AC32" s="15"/>
      <c r="AD32" s="15"/>
      <c r="AE32" s="15"/>
      <c r="AF32" s="15"/>
      <c r="AG32" s="15"/>
      <c r="AH32" s="15"/>
      <c r="AI32" s="15"/>
      <c r="AJ32" s="15"/>
      <c r="AK32" s="15"/>
      <c r="AL32" s="15"/>
      <c r="AM32" s="15"/>
      <c r="AN32" s="15"/>
      <c r="AO32" s="15"/>
      <c r="AP32" s="15"/>
      <c r="AQ32" s="15"/>
    </row>
    <row r="33" spans="1:43" s="4" customFormat="1" ht="18" customHeight="1">
      <c r="A33" s="4" t="s">
        <v>186</v>
      </c>
      <c r="F33" s="36"/>
      <c r="G33" s="15"/>
      <c r="H33" s="15"/>
      <c r="I33" s="15"/>
      <c r="J33" s="15"/>
      <c r="K33" s="22"/>
      <c r="L33" s="23"/>
      <c r="M33" s="15"/>
      <c r="O33" s="15"/>
      <c r="P33" s="15"/>
      <c r="Q33" s="15"/>
      <c r="R33" s="15"/>
      <c r="S33" s="15"/>
      <c r="T33" s="15"/>
      <c r="AB33" s="15"/>
      <c r="AC33" s="15"/>
      <c r="AD33" s="15"/>
      <c r="AE33" s="15"/>
      <c r="AF33" s="15"/>
      <c r="AG33" s="15"/>
      <c r="AH33" s="15"/>
      <c r="AI33" s="15"/>
      <c r="AJ33" s="15"/>
      <c r="AK33" s="15"/>
      <c r="AL33" s="15"/>
      <c r="AM33" s="15"/>
      <c r="AN33" s="15"/>
      <c r="AO33" s="15"/>
      <c r="AP33" s="15"/>
      <c r="AQ33" s="15"/>
    </row>
    <row r="34" spans="1:43" s="4" customFormat="1" ht="18" customHeight="1">
      <c r="F34" s="36"/>
      <c r="G34" s="15"/>
      <c r="H34" s="15"/>
      <c r="I34" s="15"/>
      <c r="J34" s="22"/>
      <c r="K34" s="23"/>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row>
    <row r="35" spans="1:43" s="4" customFormat="1" ht="18" customHeight="1">
      <c r="A35" s="3" t="s">
        <v>129</v>
      </c>
      <c r="F35" s="36"/>
      <c r="G35" s="15"/>
      <c r="H35" s="15"/>
      <c r="I35" s="15"/>
      <c r="J35" s="22"/>
      <c r="K35" s="23"/>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row>
    <row r="36" spans="1:43" s="4" customFormat="1" ht="18" customHeight="1">
      <c r="A36" s="247" t="s">
        <v>3293</v>
      </c>
      <c r="F36" s="36"/>
      <c r="G36" s="15"/>
      <c r="H36" s="15"/>
      <c r="I36" s="15"/>
      <c r="J36" s="22"/>
      <c r="K36" s="23"/>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row>
    <row r="37" spans="1:43" s="4" customFormat="1" ht="18" customHeight="1">
      <c r="A37" s="247" t="s">
        <v>3294</v>
      </c>
      <c r="F37" s="15"/>
      <c r="G37" s="15"/>
      <c r="H37" s="15"/>
      <c r="M37" s="15"/>
      <c r="AB37" s="15"/>
      <c r="AC37" s="15"/>
      <c r="AD37" s="15"/>
      <c r="AE37" s="15"/>
      <c r="AF37" s="15"/>
      <c r="AG37" s="15"/>
      <c r="AH37" s="15"/>
      <c r="AI37" s="15"/>
      <c r="AJ37" s="15"/>
      <c r="AK37" s="15"/>
      <c r="AL37" s="15"/>
      <c r="AM37" s="15"/>
      <c r="AN37" s="15"/>
      <c r="AO37" s="15"/>
      <c r="AP37" s="15"/>
      <c r="AQ37" s="15"/>
    </row>
    <row r="38" spans="1:43" s="4" customFormat="1" ht="18" customHeight="1">
      <c r="A38" s="247" t="s">
        <v>3292</v>
      </c>
      <c r="F38" s="15"/>
      <c r="G38" s="15"/>
      <c r="H38" s="15"/>
      <c r="M38" s="15"/>
      <c r="AB38" s="15"/>
      <c r="AC38" s="15"/>
      <c r="AD38" s="15"/>
      <c r="AE38" s="15"/>
      <c r="AF38" s="15"/>
      <c r="AG38" s="15"/>
      <c r="AH38" s="15"/>
      <c r="AI38" s="15"/>
      <c r="AJ38" s="15"/>
      <c r="AK38" s="15"/>
      <c r="AL38" s="15"/>
      <c r="AM38" s="15"/>
      <c r="AN38" s="15"/>
      <c r="AO38" s="15"/>
      <c r="AP38" s="15"/>
      <c r="AQ38" s="15"/>
    </row>
    <row r="39" spans="1:43" s="4" customFormat="1" ht="18" customHeight="1">
      <c r="A39" s="46"/>
      <c r="F39" s="15"/>
      <c r="G39" s="15"/>
      <c r="H39" s="15"/>
      <c r="M39" s="15"/>
      <c r="AB39" s="15"/>
      <c r="AC39" s="15"/>
      <c r="AD39" s="15"/>
      <c r="AE39" s="15"/>
      <c r="AF39" s="15"/>
      <c r="AG39" s="15"/>
      <c r="AH39" s="15"/>
      <c r="AI39" s="15"/>
      <c r="AJ39" s="15"/>
      <c r="AK39" s="15"/>
      <c r="AL39" s="15"/>
      <c r="AM39" s="15"/>
      <c r="AN39" s="15"/>
      <c r="AO39" s="15"/>
      <c r="AP39" s="15"/>
      <c r="AQ39" s="15"/>
    </row>
    <row r="40" spans="1:43" s="4" customFormat="1" ht="18" hidden="1" customHeight="1">
      <c r="F40" s="15"/>
      <c r="G40" s="15"/>
      <c r="H40" s="15"/>
      <c r="M40" s="15"/>
      <c r="AB40" s="15"/>
      <c r="AC40" s="15"/>
      <c r="AD40" s="15"/>
      <c r="AE40" s="15"/>
      <c r="AF40" s="15"/>
      <c r="AG40" s="15"/>
      <c r="AH40" s="15"/>
      <c r="AI40" s="15"/>
      <c r="AJ40" s="15"/>
      <c r="AK40" s="15"/>
      <c r="AL40" s="15"/>
      <c r="AM40" s="15"/>
      <c r="AN40" s="15"/>
      <c r="AO40" s="15"/>
      <c r="AP40" s="15"/>
      <c r="AQ40" s="15"/>
    </row>
    <row r="41" spans="1:43" hidden="1">
      <c r="A41" s="4"/>
      <c r="B41" s="4"/>
      <c r="C41" s="4"/>
      <c r="D41" s="4"/>
      <c r="E41" s="4"/>
      <c r="F41" s="15"/>
      <c r="G41" s="15"/>
      <c r="H41" s="15"/>
      <c r="I41" s="4"/>
      <c r="J41" s="4"/>
      <c r="K41" s="4"/>
      <c r="L41" s="4"/>
      <c r="M41" s="15"/>
      <c r="N41" s="4"/>
      <c r="O41" s="4"/>
      <c r="P41" s="4"/>
      <c r="Q41" s="4"/>
      <c r="R41" s="4"/>
      <c r="S41" s="4"/>
      <c r="T41" s="4"/>
      <c r="U41" s="4"/>
      <c r="V41" s="4"/>
      <c r="W41" s="4"/>
      <c r="X41" s="4"/>
      <c r="Y41" s="4"/>
      <c r="Z41" s="4"/>
      <c r="AA41" s="4"/>
      <c r="AB41" s="15"/>
      <c r="AD41" s="15"/>
      <c r="AE41" s="15"/>
      <c r="AF41" s="15"/>
      <c r="AG41" s="15"/>
      <c r="AH41" s="15"/>
    </row>
    <row r="42" spans="1:43" hidden="1">
      <c r="A42" s="4"/>
      <c r="B42" s="4"/>
      <c r="C42" s="4"/>
      <c r="D42" s="4"/>
      <c r="E42" s="4"/>
      <c r="F42" s="15"/>
      <c r="G42" s="15"/>
      <c r="H42" s="15"/>
      <c r="I42" s="4"/>
      <c r="J42" s="4"/>
      <c r="K42" s="4"/>
      <c r="L42" s="4"/>
      <c r="M42" s="15"/>
      <c r="N42" s="4"/>
      <c r="O42" s="4"/>
      <c r="P42" s="4"/>
      <c r="Q42" s="4"/>
      <c r="R42" s="4"/>
      <c r="S42" s="4"/>
      <c r="T42" s="4"/>
      <c r="U42" s="4"/>
      <c r="V42" s="4"/>
      <c r="W42" s="4"/>
      <c r="X42" s="4"/>
      <c r="Y42" s="4"/>
      <c r="Z42" s="4"/>
      <c r="AA42" s="4"/>
      <c r="AB42" s="15"/>
      <c r="AD42" s="15"/>
      <c r="AE42" s="15"/>
      <c r="AF42" s="15"/>
      <c r="AG42" s="15"/>
      <c r="AH42" s="15"/>
    </row>
    <row r="43" spans="1:43" hidden="1">
      <c r="A43" s="4"/>
      <c r="B43" s="4"/>
      <c r="C43" s="4"/>
      <c r="D43" s="4"/>
      <c r="E43" s="4"/>
      <c r="F43" s="15"/>
      <c r="G43" s="15"/>
      <c r="H43" s="15"/>
      <c r="I43" s="4"/>
      <c r="J43" s="4"/>
      <c r="K43" s="4"/>
      <c r="L43" s="4"/>
      <c r="M43" s="15"/>
      <c r="N43" s="4"/>
      <c r="O43" s="4"/>
      <c r="P43" s="4"/>
      <c r="Q43" s="4"/>
      <c r="R43" s="4"/>
      <c r="S43" s="4"/>
      <c r="T43" s="4"/>
      <c r="U43" s="4"/>
      <c r="V43" s="4"/>
      <c r="W43" s="4"/>
      <c r="X43" s="4"/>
      <c r="Y43" s="4"/>
      <c r="Z43" s="4"/>
      <c r="AA43" s="4"/>
      <c r="AB43" s="15"/>
      <c r="AD43" s="15"/>
      <c r="AE43" s="15"/>
      <c r="AF43" s="15"/>
      <c r="AG43" s="15"/>
      <c r="AH43" s="15"/>
    </row>
    <row r="44" spans="1:43" hidden="1">
      <c r="A44" s="4"/>
      <c r="B44" s="4"/>
      <c r="C44" s="4"/>
      <c r="D44" s="4"/>
      <c r="E44" s="4"/>
      <c r="F44" s="15"/>
      <c r="G44" s="15"/>
      <c r="H44" s="15"/>
      <c r="I44" s="4"/>
      <c r="J44" s="4"/>
      <c r="K44" s="4"/>
      <c r="L44" s="4"/>
      <c r="M44" s="15"/>
      <c r="N44" s="4"/>
      <c r="O44" s="4"/>
      <c r="P44" s="4"/>
      <c r="Q44" s="4"/>
      <c r="R44" s="4"/>
      <c r="S44" s="4"/>
      <c r="T44" s="4"/>
      <c r="U44" s="4"/>
      <c r="V44" s="4"/>
      <c r="W44" s="4"/>
      <c r="X44" s="4"/>
      <c r="Y44" s="4"/>
      <c r="Z44" s="4"/>
      <c r="AA44" s="4"/>
      <c r="AB44" s="15"/>
      <c r="AD44" s="15"/>
      <c r="AE44" s="15"/>
      <c r="AF44" s="15"/>
      <c r="AG44" s="15"/>
      <c r="AH44" s="15"/>
    </row>
    <row r="45" spans="1:43" hidden="1">
      <c r="A45" s="4"/>
      <c r="B45" s="4"/>
      <c r="C45" s="4"/>
      <c r="D45" s="4"/>
      <c r="E45" s="4"/>
      <c r="F45" s="15"/>
      <c r="G45" s="15"/>
      <c r="H45" s="15"/>
      <c r="I45" s="4"/>
      <c r="J45" s="4"/>
      <c r="K45" s="4"/>
      <c r="L45" s="4"/>
      <c r="M45" s="15"/>
      <c r="N45" s="4"/>
      <c r="O45" s="4"/>
      <c r="P45" s="4"/>
      <c r="Q45" s="4"/>
      <c r="R45" s="4"/>
      <c r="S45" s="4"/>
      <c r="T45" s="4"/>
      <c r="U45" s="4"/>
      <c r="V45" s="4"/>
      <c r="W45" s="4"/>
      <c r="X45" s="4"/>
      <c r="Y45" s="4"/>
      <c r="Z45" s="4"/>
      <c r="AA45" s="4"/>
      <c r="AB45" s="15"/>
      <c r="AD45" s="15"/>
      <c r="AE45" s="15"/>
      <c r="AF45" s="15"/>
      <c r="AG45" s="15"/>
      <c r="AH45" s="15"/>
    </row>
    <row r="46" spans="1:43" hidden="1">
      <c r="A46" s="4"/>
      <c r="B46" s="4"/>
      <c r="C46" s="4"/>
      <c r="D46" s="4"/>
      <c r="E46" s="4"/>
      <c r="F46" s="15"/>
      <c r="G46" s="15"/>
      <c r="H46" s="15"/>
      <c r="I46" s="4"/>
      <c r="J46" s="4"/>
      <c r="K46" s="4"/>
      <c r="L46" s="4"/>
      <c r="M46" s="15"/>
      <c r="N46" s="4"/>
      <c r="O46" s="4"/>
      <c r="P46" s="4"/>
      <c r="Q46" s="4"/>
      <c r="R46" s="4"/>
      <c r="S46" s="4"/>
      <c r="T46" s="4"/>
      <c r="U46" s="4"/>
      <c r="V46" s="4"/>
      <c r="W46" s="4"/>
      <c r="X46" s="4"/>
      <c r="Y46" s="4"/>
      <c r="Z46" s="4"/>
      <c r="AA46" s="4"/>
      <c r="AB46" s="15"/>
      <c r="AD46" s="15"/>
      <c r="AE46" s="15"/>
      <c r="AF46" s="15"/>
      <c r="AG46" s="15"/>
      <c r="AH46" s="15"/>
    </row>
    <row r="47" spans="1:43" hidden="1">
      <c r="A47" s="4"/>
      <c r="B47" s="4"/>
      <c r="C47" s="4"/>
      <c r="D47" s="4"/>
      <c r="E47" s="4"/>
      <c r="F47" s="15"/>
      <c r="G47" s="15"/>
      <c r="H47" s="15"/>
      <c r="I47" s="4"/>
      <c r="J47" s="4"/>
      <c r="K47" s="4"/>
      <c r="L47" s="4"/>
      <c r="M47" s="15"/>
      <c r="N47" s="4"/>
      <c r="O47" s="4"/>
      <c r="P47" s="4"/>
      <c r="Q47" s="4"/>
      <c r="R47" s="4"/>
      <c r="S47" s="4"/>
      <c r="T47" s="4"/>
      <c r="U47" s="4"/>
      <c r="V47" s="4"/>
      <c r="W47" s="4"/>
      <c r="X47" s="4"/>
      <c r="Y47" s="4"/>
      <c r="Z47" s="4"/>
      <c r="AA47" s="4"/>
      <c r="AB47" s="15"/>
      <c r="AD47" s="15"/>
      <c r="AE47" s="15"/>
      <c r="AF47" s="15"/>
      <c r="AG47" s="15"/>
      <c r="AH47" s="15"/>
    </row>
    <row r="48" spans="1:43" hidden="1">
      <c r="A48" s="4"/>
      <c r="B48" s="4"/>
      <c r="C48" s="4"/>
      <c r="D48" s="4"/>
      <c r="E48" s="4"/>
      <c r="F48" s="15"/>
      <c r="G48" s="15"/>
      <c r="H48" s="15"/>
      <c r="I48" s="4"/>
      <c r="J48" s="4"/>
      <c r="K48" s="4"/>
      <c r="L48" s="4"/>
      <c r="M48" s="15"/>
      <c r="N48" s="4"/>
      <c r="O48" s="4"/>
      <c r="P48" s="4"/>
      <c r="Q48" s="4"/>
      <c r="R48" s="4"/>
      <c r="S48" s="4"/>
      <c r="T48" s="4"/>
      <c r="U48" s="4"/>
      <c r="V48" s="4"/>
      <c r="W48" s="4"/>
      <c r="X48" s="4"/>
      <c r="Y48" s="4"/>
      <c r="Z48" s="4"/>
      <c r="AA48" s="4"/>
      <c r="AB48" s="15"/>
      <c r="AD48" s="15"/>
      <c r="AE48" s="15"/>
      <c r="AF48" s="15"/>
      <c r="AG48" s="15"/>
      <c r="AH48" s="15"/>
    </row>
    <row r="49" spans="1:34" s="2" customFormat="1" hidden="1">
      <c r="A49" s="4"/>
      <c r="B49" s="4"/>
      <c r="C49" s="4"/>
      <c r="D49" s="4"/>
      <c r="E49" s="4"/>
      <c r="F49" s="15"/>
      <c r="G49" s="15"/>
      <c r="H49" s="15"/>
      <c r="I49" s="4"/>
      <c r="J49" s="4"/>
      <c r="K49" s="4"/>
      <c r="L49" s="4"/>
      <c r="M49" s="15"/>
      <c r="N49" s="4"/>
      <c r="O49" s="4"/>
      <c r="P49" s="4"/>
      <c r="Q49" s="4"/>
      <c r="R49" s="4"/>
      <c r="S49" s="4"/>
      <c r="T49" s="4"/>
      <c r="U49" s="4"/>
      <c r="V49" s="4"/>
      <c r="W49" s="4"/>
      <c r="X49" s="4"/>
      <c r="Y49" s="4"/>
      <c r="Z49" s="4"/>
      <c r="AA49" s="4"/>
      <c r="AB49" s="15"/>
      <c r="AC49" s="16"/>
      <c r="AD49" s="15"/>
      <c r="AE49" s="15"/>
      <c r="AF49" s="15"/>
      <c r="AG49" s="15"/>
      <c r="AH49" s="15"/>
    </row>
    <row r="50" spans="1:34" s="2" customFormat="1" hidden="1">
      <c r="A50" s="4"/>
      <c r="B50" s="4"/>
      <c r="C50" s="4"/>
      <c r="D50" s="4"/>
      <c r="E50" s="4"/>
      <c r="F50" s="15"/>
      <c r="G50" s="15"/>
      <c r="H50" s="15"/>
      <c r="I50" s="4"/>
      <c r="J50" s="4"/>
      <c r="K50" s="4"/>
      <c r="L50" s="4"/>
      <c r="M50" s="15"/>
      <c r="N50" s="4"/>
      <c r="O50" s="4"/>
      <c r="P50" s="4"/>
      <c r="Q50" s="4"/>
      <c r="R50" s="4"/>
      <c r="S50" s="4"/>
      <c r="T50" s="4"/>
      <c r="U50" s="4"/>
      <c r="V50" s="4"/>
      <c r="W50" s="4"/>
      <c r="X50" s="4"/>
      <c r="Y50" s="4"/>
      <c r="Z50" s="4"/>
      <c r="AA50" s="4"/>
      <c r="AB50" s="15"/>
      <c r="AC50" s="16"/>
      <c r="AD50" s="15"/>
      <c r="AE50" s="15"/>
      <c r="AF50" s="15"/>
      <c r="AG50" s="15"/>
      <c r="AH50" s="15"/>
    </row>
    <row r="51" spans="1:34" s="2" customFormat="1" hidden="1">
      <c r="A51" s="4"/>
      <c r="B51" s="4"/>
      <c r="C51" s="4"/>
      <c r="D51" s="4"/>
      <c r="E51" s="4"/>
      <c r="F51" s="15"/>
      <c r="G51" s="15"/>
      <c r="H51" s="15"/>
      <c r="I51" s="4"/>
      <c r="J51" s="4"/>
      <c r="K51" s="4"/>
      <c r="L51" s="4"/>
      <c r="M51" s="15"/>
      <c r="N51" s="4"/>
      <c r="O51" s="4"/>
      <c r="P51" s="4"/>
      <c r="Q51" s="4"/>
      <c r="R51" s="4"/>
      <c r="S51" s="4"/>
      <c r="T51" s="4"/>
      <c r="U51" s="4"/>
      <c r="V51" s="4"/>
      <c r="W51" s="4"/>
      <c r="X51" s="4"/>
      <c r="Y51" s="4"/>
      <c r="Z51" s="4"/>
      <c r="AA51" s="4"/>
      <c r="AB51" s="15"/>
      <c r="AC51" s="16"/>
      <c r="AD51" s="15"/>
      <c r="AE51" s="15"/>
      <c r="AF51" s="15"/>
      <c r="AG51" s="15"/>
      <c r="AH51" s="15"/>
    </row>
    <row r="52" spans="1:34" s="2" customFormat="1" hidden="1">
      <c r="A52" s="4"/>
      <c r="B52" s="4"/>
      <c r="C52" s="4"/>
      <c r="D52" s="4"/>
      <c r="E52" s="4"/>
      <c r="F52" s="15"/>
      <c r="G52" s="15"/>
      <c r="H52" s="15"/>
      <c r="I52" s="4"/>
      <c r="J52" s="4"/>
      <c r="K52" s="4"/>
      <c r="L52" s="4"/>
      <c r="M52" s="15"/>
      <c r="N52" s="4"/>
      <c r="O52" s="4"/>
      <c r="P52" s="4"/>
      <c r="Q52" s="4"/>
      <c r="R52" s="4"/>
      <c r="S52" s="4"/>
      <c r="T52" s="4"/>
      <c r="U52" s="4"/>
      <c r="V52" s="4"/>
      <c r="W52" s="4"/>
      <c r="X52" s="4"/>
      <c r="Y52" s="4"/>
      <c r="Z52" s="4"/>
      <c r="AA52" s="4"/>
      <c r="AB52" s="15"/>
      <c r="AC52" s="16"/>
      <c r="AD52" s="15"/>
      <c r="AE52" s="15"/>
      <c r="AF52" s="15"/>
      <c r="AG52" s="15"/>
      <c r="AH52" s="15"/>
    </row>
    <row r="53" spans="1:34" s="2" customFormat="1" hidden="1">
      <c r="A53" s="4"/>
      <c r="B53" s="4"/>
      <c r="C53" s="4"/>
      <c r="D53" s="4"/>
      <c r="E53" s="4"/>
      <c r="F53" s="15"/>
      <c r="G53" s="15"/>
      <c r="H53" s="15"/>
      <c r="I53" s="4"/>
      <c r="J53" s="4"/>
      <c r="K53" s="4"/>
      <c r="L53" s="4"/>
      <c r="M53" s="15"/>
      <c r="N53" s="4"/>
      <c r="O53" s="4"/>
      <c r="P53" s="4"/>
      <c r="Q53" s="4"/>
      <c r="R53" s="4"/>
      <c r="S53" s="4"/>
      <c r="T53" s="4"/>
      <c r="U53" s="4"/>
      <c r="V53" s="4"/>
      <c r="W53" s="4"/>
      <c r="X53" s="4"/>
      <c r="Y53" s="4"/>
      <c r="Z53" s="4"/>
      <c r="AA53" s="4"/>
      <c r="AB53" s="15"/>
      <c r="AC53" s="16"/>
      <c r="AD53" s="15"/>
      <c r="AE53" s="15"/>
      <c r="AF53" s="15"/>
      <c r="AG53" s="15"/>
      <c r="AH53" s="15"/>
    </row>
    <row r="54" spans="1:34" s="2" customFormat="1" hidden="1">
      <c r="A54" s="4"/>
      <c r="B54" s="4"/>
      <c r="C54" s="4"/>
      <c r="D54" s="4"/>
      <c r="E54" s="4"/>
      <c r="F54" s="15"/>
      <c r="G54" s="15"/>
      <c r="H54" s="15"/>
      <c r="I54" s="4"/>
      <c r="J54" s="4"/>
      <c r="K54" s="4"/>
      <c r="L54" s="4"/>
      <c r="M54" s="15"/>
      <c r="N54" s="4"/>
      <c r="O54" s="4"/>
      <c r="P54" s="4"/>
      <c r="Q54" s="4"/>
      <c r="R54" s="4"/>
      <c r="S54" s="4"/>
      <c r="T54" s="4"/>
      <c r="U54" s="4"/>
      <c r="V54" s="4"/>
      <c r="W54" s="4"/>
      <c r="X54" s="4"/>
      <c r="Y54" s="4"/>
      <c r="Z54" s="4"/>
      <c r="AA54" s="4"/>
      <c r="AB54" s="15"/>
      <c r="AC54" s="16"/>
      <c r="AD54" s="15"/>
      <c r="AE54" s="15"/>
      <c r="AF54" s="15"/>
      <c r="AG54" s="15"/>
      <c r="AH54" s="15"/>
    </row>
    <row r="55" spans="1:34" s="2" customFormat="1" hidden="1">
      <c r="A55" s="4"/>
      <c r="B55" s="4"/>
      <c r="C55" s="4"/>
      <c r="D55" s="4"/>
      <c r="E55" s="4"/>
      <c r="F55" s="15"/>
      <c r="G55" s="15"/>
      <c r="H55" s="15"/>
      <c r="I55" s="4"/>
      <c r="J55" s="4"/>
      <c r="K55" s="4"/>
      <c r="L55" s="4"/>
      <c r="M55" s="15"/>
      <c r="N55" s="4"/>
      <c r="O55" s="4"/>
      <c r="P55" s="4"/>
      <c r="Q55" s="4"/>
      <c r="R55" s="4"/>
      <c r="S55" s="4"/>
      <c r="T55" s="4"/>
      <c r="U55" s="4"/>
      <c r="V55" s="4"/>
      <c r="W55" s="4"/>
      <c r="X55" s="4"/>
      <c r="Y55" s="4"/>
      <c r="Z55" s="4"/>
      <c r="AA55" s="4"/>
      <c r="AB55" s="15"/>
      <c r="AC55" s="16"/>
      <c r="AD55" s="15"/>
      <c r="AE55" s="15"/>
      <c r="AF55" s="15"/>
      <c r="AG55" s="15"/>
      <c r="AH55" s="15"/>
    </row>
    <row r="56" spans="1:34" s="2" customFormat="1" hidden="1">
      <c r="A56" s="4"/>
      <c r="B56" s="4"/>
      <c r="C56" s="4"/>
      <c r="D56" s="4"/>
      <c r="E56" s="4"/>
      <c r="F56" s="15"/>
      <c r="G56" s="15"/>
      <c r="H56" s="15"/>
      <c r="I56" s="4"/>
      <c r="J56" s="4"/>
      <c r="K56" s="4"/>
      <c r="L56" s="4"/>
      <c r="M56" s="15"/>
      <c r="N56" s="4"/>
      <c r="O56" s="4"/>
      <c r="P56" s="4"/>
      <c r="Q56" s="4"/>
      <c r="R56" s="4"/>
      <c r="S56" s="4"/>
      <c r="T56" s="4"/>
      <c r="U56" s="4"/>
      <c r="V56" s="4"/>
      <c r="W56" s="4"/>
      <c r="X56" s="4"/>
      <c r="Y56" s="4"/>
      <c r="Z56" s="4"/>
      <c r="AA56" s="4"/>
      <c r="AB56" s="15"/>
      <c r="AC56" s="16"/>
      <c r="AD56" s="15"/>
      <c r="AE56" s="15"/>
      <c r="AF56" s="15"/>
      <c r="AG56" s="15"/>
      <c r="AH56" s="15"/>
    </row>
    <row r="57" spans="1:34" s="2" customFormat="1" hidden="1">
      <c r="A57" s="4"/>
      <c r="B57" s="4"/>
      <c r="C57" s="4"/>
      <c r="D57" s="4"/>
      <c r="E57" s="4"/>
      <c r="F57" s="15"/>
      <c r="G57" s="15"/>
      <c r="H57" s="15"/>
      <c r="I57" s="4"/>
      <c r="J57" s="4"/>
      <c r="K57" s="4"/>
      <c r="L57" s="4"/>
      <c r="M57" s="15"/>
      <c r="N57" s="4"/>
      <c r="O57" s="4"/>
      <c r="P57" s="4"/>
      <c r="Q57" s="4"/>
      <c r="R57" s="4"/>
      <c r="S57" s="4"/>
      <c r="T57" s="4"/>
      <c r="U57" s="4"/>
      <c r="V57" s="4"/>
      <c r="W57" s="4"/>
      <c r="X57" s="4"/>
      <c r="Y57" s="4"/>
      <c r="Z57" s="4"/>
      <c r="AA57" s="4"/>
      <c r="AB57" s="15"/>
      <c r="AC57" s="16"/>
      <c r="AD57" s="15"/>
      <c r="AE57" s="15"/>
      <c r="AF57" s="15"/>
      <c r="AG57" s="15"/>
      <c r="AH57" s="15"/>
    </row>
    <row r="58" spans="1:34" s="2" customFormat="1" hidden="1">
      <c r="A58" s="4"/>
      <c r="B58" s="4"/>
      <c r="C58" s="4"/>
      <c r="D58" s="4"/>
      <c r="E58" s="4"/>
      <c r="F58" s="15"/>
      <c r="G58" s="15"/>
      <c r="H58" s="15"/>
      <c r="I58" s="4"/>
      <c r="J58" s="4"/>
      <c r="K58" s="4"/>
      <c r="L58" s="4"/>
      <c r="M58" s="15"/>
      <c r="N58" s="4"/>
      <c r="O58" s="4"/>
      <c r="P58" s="4"/>
      <c r="Q58" s="4"/>
      <c r="R58" s="4"/>
      <c r="S58" s="4"/>
      <c r="T58" s="4"/>
      <c r="U58" s="4"/>
      <c r="V58" s="4"/>
      <c r="W58" s="4"/>
      <c r="X58" s="4"/>
      <c r="Y58" s="4"/>
      <c r="Z58" s="4"/>
      <c r="AA58" s="4"/>
      <c r="AB58" s="15"/>
      <c r="AC58" s="16"/>
      <c r="AD58" s="15"/>
      <c r="AE58" s="15"/>
      <c r="AF58" s="15"/>
      <c r="AG58" s="15"/>
      <c r="AH58" s="15"/>
    </row>
    <row r="59" spans="1:34" s="2" customFormat="1" hidden="1">
      <c r="A59" s="4"/>
      <c r="B59" s="4"/>
      <c r="C59" s="4"/>
      <c r="D59" s="4"/>
      <c r="E59" s="4"/>
      <c r="F59" s="15"/>
      <c r="G59" s="15"/>
      <c r="H59" s="15"/>
      <c r="I59" s="4"/>
      <c r="J59" s="4"/>
      <c r="K59" s="4"/>
      <c r="L59" s="4"/>
      <c r="M59" s="15"/>
      <c r="N59" s="4"/>
      <c r="O59" s="4"/>
      <c r="P59" s="4"/>
      <c r="Q59" s="4"/>
      <c r="R59" s="4"/>
      <c r="S59" s="4"/>
      <c r="T59" s="4"/>
      <c r="U59" s="4"/>
      <c r="V59" s="4"/>
      <c r="W59" s="4"/>
      <c r="X59" s="4"/>
      <c r="Y59" s="4"/>
      <c r="Z59" s="4"/>
      <c r="AA59" s="4"/>
      <c r="AB59" s="15"/>
      <c r="AC59" s="16"/>
      <c r="AD59" s="15"/>
      <c r="AE59" s="15"/>
      <c r="AF59" s="15"/>
      <c r="AG59" s="15"/>
      <c r="AH59" s="15"/>
    </row>
    <row r="60" spans="1:34" s="2" customFormat="1" hidden="1">
      <c r="A60" s="4"/>
      <c r="B60" s="4"/>
      <c r="C60" s="4"/>
      <c r="D60" s="4"/>
      <c r="E60" s="4"/>
      <c r="F60" s="15"/>
      <c r="G60" s="15"/>
      <c r="H60" s="15"/>
      <c r="I60" s="4"/>
      <c r="J60" s="4"/>
      <c r="K60" s="4"/>
      <c r="L60" s="4"/>
      <c r="M60" s="15"/>
      <c r="N60" s="4"/>
      <c r="O60" s="4"/>
      <c r="P60" s="4"/>
      <c r="Q60" s="4"/>
      <c r="R60" s="4"/>
      <c r="S60" s="4"/>
      <c r="T60" s="4"/>
      <c r="U60" s="4"/>
      <c r="V60" s="4"/>
      <c r="W60" s="4"/>
      <c r="X60" s="4"/>
      <c r="Y60" s="4"/>
      <c r="Z60" s="4"/>
      <c r="AA60" s="4"/>
      <c r="AB60" s="15"/>
      <c r="AC60" s="16"/>
      <c r="AD60" s="15"/>
      <c r="AE60" s="15"/>
      <c r="AF60" s="15"/>
      <c r="AG60" s="15"/>
      <c r="AH60" s="15"/>
    </row>
    <row r="61" spans="1:34" s="2" customFormat="1" hidden="1">
      <c r="A61" s="4"/>
      <c r="B61" s="4"/>
      <c r="C61" s="4"/>
      <c r="D61" s="4"/>
      <c r="E61" s="4"/>
      <c r="F61" s="15"/>
      <c r="G61" s="15"/>
      <c r="H61" s="15"/>
      <c r="I61" s="4"/>
      <c r="J61" s="4"/>
      <c r="K61" s="4"/>
      <c r="L61" s="4"/>
      <c r="M61" s="15"/>
      <c r="N61" s="4"/>
      <c r="O61" s="4"/>
      <c r="P61" s="4"/>
      <c r="Q61" s="4"/>
      <c r="R61" s="4"/>
      <c r="S61" s="4"/>
      <c r="T61" s="4"/>
      <c r="U61" s="4"/>
      <c r="V61" s="4"/>
      <c r="W61" s="4"/>
      <c r="X61" s="4"/>
      <c r="Y61" s="4"/>
      <c r="Z61" s="4"/>
      <c r="AA61" s="4"/>
      <c r="AB61" s="15"/>
      <c r="AC61" s="16"/>
      <c r="AD61" s="15"/>
      <c r="AE61" s="15"/>
      <c r="AF61" s="15"/>
      <c r="AG61" s="15"/>
      <c r="AH61" s="15"/>
    </row>
    <row r="62" spans="1:34" s="2" customFormat="1" hidden="1">
      <c r="A62" s="4"/>
      <c r="B62" s="4"/>
      <c r="C62" s="4"/>
      <c r="D62" s="4"/>
      <c r="E62" s="4"/>
      <c r="F62" s="15"/>
      <c r="G62" s="15"/>
      <c r="H62" s="15"/>
      <c r="I62" s="4"/>
      <c r="J62" s="4"/>
      <c r="K62" s="4"/>
      <c r="L62" s="4"/>
      <c r="M62" s="15"/>
      <c r="N62" s="4"/>
      <c r="O62" s="4"/>
      <c r="P62" s="4"/>
      <c r="Q62" s="4"/>
      <c r="R62" s="4"/>
      <c r="S62" s="4"/>
      <c r="T62" s="4"/>
      <c r="U62" s="4"/>
      <c r="V62" s="4"/>
      <c r="W62" s="4"/>
      <c r="X62" s="4"/>
      <c r="Y62" s="4"/>
      <c r="Z62" s="4"/>
      <c r="AA62" s="4"/>
      <c r="AB62" s="15"/>
      <c r="AC62" s="16"/>
      <c r="AD62" s="15"/>
      <c r="AE62" s="15"/>
      <c r="AF62" s="15"/>
      <c r="AG62" s="15"/>
      <c r="AH62" s="15"/>
    </row>
    <row r="63" spans="1:34" s="2" customFormat="1" hidden="1">
      <c r="A63" s="4"/>
      <c r="B63" s="4"/>
      <c r="C63" s="4"/>
      <c r="D63" s="4"/>
      <c r="E63" s="4"/>
      <c r="F63" s="15"/>
      <c r="G63" s="15"/>
      <c r="H63" s="15"/>
      <c r="I63" s="4"/>
      <c r="J63" s="4"/>
      <c r="K63" s="4"/>
      <c r="L63" s="4"/>
      <c r="M63" s="15"/>
      <c r="N63" s="4"/>
      <c r="O63" s="4"/>
      <c r="P63" s="4"/>
      <c r="Q63" s="4"/>
      <c r="R63" s="4"/>
      <c r="S63" s="4"/>
      <c r="T63" s="4"/>
      <c r="U63" s="4"/>
      <c r="V63" s="4"/>
      <c r="W63" s="4"/>
      <c r="X63" s="4"/>
      <c r="Y63" s="4"/>
      <c r="Z63" s="4"/>
      <c r="AA63" s="4"/>
      <c r="AB63" s="15"/>
      <c r="AC63" s="16"/>
      <c r="AD63" s="15"/>
      <c r="AE63" s="15"/>
      <c r="AF63" s="15"/>
      <c r="AG63" s="15"/>
      <c r="AH63" s="15"/>
    </row>
    <row r="64" spans="1:34" s="2" customFormat="1" hidden="1">
      <c r="A64" s="4"/>
      <c r="B64" s="4"/>
      <c r="C64" s="4"/>
      <c r="D64" s="4"/>
      <c r="E64" s="4"/>
      <c r="F64" s="15"/>
      <c r="G64" s="15"/>
      <c r="H64" s="15"/>
      <c r="I64" s="4"/>
      <c r="J64" s="4"/>
      <c r="K64" s="4"/>
      <c r="L64" s="4"/>
      <c r="M64" s="15"/>
      <c r="N64" s="4"/>
      <c r="O64" s="4"/>
      <c r="P64" s="4"/>
      <c r="Q64" s="4"/>
      <c r="R64" s="4"/>
      <c r="S64" s="4"/>
      <c r="T64" s="4"/>
      <c r="U64" s="4"/>
      <c r="V64" s="4"/>
      <c r="W64" s="4"/>
      <c r="X64" s="4"/>
      <c r="Y64" s="4"/>
      <c r="Z64" s="4"/>
      <c r="AA64" s="4"/>
      <c r="AB64" s="15"/>
      <c r="AC64" s="16"/>
      <c r="AD64" s="15"/>
      <c r="AE64" s="15"/>
      <c r="AF64" s="15"/>
      <c r="AG64" s="15"/>
      <c r="AH64" s="15"/>
    </row>
    <row r="65" spans="1:34" s="2" customFormat="1" hidden="1">
      <c r="A65" s="4"/>
      <c r="B65" s="4"/>
      <c r="C65" s="4"/>
      <c r="D65" s="4"/>
      <c r="E65" s="4"/>
      <c r="F65" s="15"/>
      <c r="G65" s="15"/>
      <c r="H65" s="15"/>
      <c r="I65" s="4"/>
      <c r="J65" s="4"/>
      <c r="K65" s="4"/>
      <c r="L65" s="4"/>
      <c r="M65" s="15"/>
      <c r="N65" s="4"/>
      <c r="O65" s="4"/>
      <c r="P65" s="4"/>
      <c r="Q65" s="4"/>
      <c r="R65" s="4"/>
      <c r="S65" s="4"/>
      <c r="T65" s="4"/>
      <c r="U65" s="4"/>
      <c r="V65" s="4"/>
      <c r="W65" s="4"/>
      <c r="X65" s="4"/>
      <c r="Y65" s="4"/>
      <c r="Z65" s="4"/>
      <c r="AA65" s="4"/>
      <c r="AB65" s="15"/>
      <c r="AC65" s="16"/>
      <c r="AD65" s="15"/>
      <c r="AE65" s="15"/>
      <c r="AF65" s="15"/>
      <c r="AG65" s="15"/>
      <c r="AH65" s="15"/>
    </row>
    <row r="66" spans="1:34" s="2" customFormat="1" hidden="1">
      <c r="A66" s="4"/>
      <c r="B66" s="4"/>
      <c r="C66" s="4"/>
      <c r="D66" s="4"/>
      <c r="E66" s="4"/>
      <c r="F66" s="15"/>
      <c r="G66" s="15"/>
      <c r="H66" s="15"/>
      <c r="I66" s="4"/>
      <c r="J66" s="4"/>
      <c r="K66" s="4"/>
      <c r="L66" s="4"/>
      <c r="M66" s="15"/>
      <c r="N66" s="4"/>
      <c r="O66" s="4"/>
      <c r="P66" s="4"/>
      <c r="Q66" s="4"/>
      <c r="R66" s="4"/>
      <c r="S66" s="4"/>
      <c r="T66" s="4"/>
      <c r="U66" s="4"/>
      <c r="V66" s="4"/>
      <c r="W66" s="4"/>
      <c r="X66" s="4"/>
      <c r="Y66" s="4"/>
      <c r="Z66" s="4"/>
      <c r="AA66" s="4"/>
      <c r="AB66" s="15"/>
      <c r="AC66" s="16"/>
      <c r="AD66" s="15"/>
      <c r="AE66" s="15"/>
      <c r="AF66" s="15"/>
      <c r="AG66" s="15"/>
      <c r="AH66" s="15"/>
    </row>
    <row r="67" spans="1:34" s="2" customFormat="1" hidden="1">
      <c r="A67" s="4"/>
      <c r="B67" s="4"/>
      <c r="C67" s="4"/>
      <c r="D67" s="4"/>
      <c r="E67" s="4"/>
      <c r="F67" s="15"/>
      <c r="G67" s="15"/>
      <c r="H67" s="15"/>
      <c r="I67" s="4"/>
      <c r="J67" s="4"/>
      <c r="K67" s="4"/>
      <c r="L67" s="4"/>
      <c r="M67" s="15"/>
      <c r="N67" s="4"/>
      <c r="O67" s="4"/>
      <c r="P67" s="4"/>
      <c r="Q67" s="4"/>
      <c r="R67" s="4"/>
      <c r="S67" s="4"/>
      <c r="T67" s="4"/>
      <c r="U67" s="4"/>
      <c r="V67" s="4"/>
      <c r="W67" s="4"/>
      <c r="X67" s="4"/>
      <c r="Y67" s="4"/>
      <c r="Z67" s="4"/>
      <c r="AA67" s="4"/>
      <c r="AB67" s="15"/>
      <c r="AC67" s="16"/>
      <c r="AD67" s="15"/>
      <c r="AE67" s="15"/>
      <c r="AF67" s="15"/>
      <c r="AG67" s="15"/>
      <c r="AH67" s="15"/>
    </row>
    <row r="68" spans="1:34" s="2" customFormat="1" hidden="1">
      <c r="A68" s="4"/>
      <c r="B68" s="4"/>
      <c r="C68" s="4"/>
      <c r="D68" s="4"/>
      <c r="E68" s="4"/>
      <c r="F68" s="15"/>
      <c r="G68" s="15"/>
      <c r="H68" s="15"/>
      <c r="I68" s="4"/>
      <c r="J68" s="4"/>
      <c r="K68" s="4"/>
      <c r="L68" s="4"/>
      <c r="M68" s="15"/>
      <c r="N68" s="4"/>
      <c r="O68" s="4"/>
      <c r="P68" s="4"/>
      <c r="Q68" s="4"/>
      <c r="R68" s="4"/>
      <c r="S68" s="4"/>
      <c r="T68" s="4"/>
      <c r="U68" s="4"/>
      <c r="V68" s="4"/>
      <c r="W68" s="4"/>
      <c r="X68" s="4"/>
      <c r="Y68" s="4"/>
      <c r="Z68" s="4"/>
      <c r="AA68" s="4"/>
      <c r="AB68" s="15"/>
      <c r="AC68" s="16"/>
      <c r="AD68" s="15"/>
      <c r="AE68" s="15"/>
      <c r="AF68" s="15"/>
      <c r="AG68" s="15"/>
      <c r="AH68" s="15"/>
    </row>
    <row r="69" spans="1:34" s="2" customFormat="1" hidden="1">
      <c r="A69" s="4"/>
      <c r="B69" s="4"/>
      <c r="C69" s="4"/>
      <c r="D69" s="4"/>
      <c r="E69" s="4"/>
      <c r="F69" s="15"/>
      <c r="G69" s="15"/>
      <c r="H69" s="15"/>
      <c r="I69" s="4"/>
      <c r="J69" s="4"/>
      <c r="K69" s="4"/>
      <c r="L69" s="4"/>
      <c r="M69" s="15"/>
      <c r="N69" s="4"/>
      <c r="O69" s="4"/>
      <c r="P69" s="4"/>
      <c r="Q69" s="4"/>
      <c r="R69" s="4"/>
      <c r="S69" s="4"/>
      <c r="T69" s="4"/>
      <c r="U69" s="4"/>
      <c r="V69" s="4"/>
      <c r="W69" s="4"/>
      <c r="X69" s="4"/>
      <c r="Y69" s="4"/>
      <c r="Z69" s="4"/>
      <c r="AA69" s="4"/>
      <c r="AB69" s="15"/>
      <c r="AC69" s="16"/>
      <c r="AD69" s="15"/>
      <c r="AE69" s="15"/>
      <c r="AF69" s="15"/>
      <c r="AG69" s="15"/>
      <c r="AH69" s="15"/>
    </row>
    <row r="70" spans="1:34" s="2" customFormat="1" hidden="1">
      <c r="A70" s="4"/>
      <c r="B70" s="4"/>
      <c r="C70" s="4"/>
      <c r="D70" s="4"/>
      <c r="E70" s="4"/>
      <c r="F70" s="15"/>
      <c r="G70" s="15"/>
      <c r="H70" s="15"/>
      <c r="I70" s="4"/>
      <c r="J70" s="4"/>
      <c r="K70" s="4"/>
      <c r="L70" s="4"/>
      <c r="M70" s="15"/>
      <c r="N70" s="4"/>
      <c r="O70" s="4"/>
      <c r="P70" s="4"/>
      <c r="Q70" s="4"/>
      <c r="R70" s="4"/>
      <c r="S70" s="4"/>
      <c r="T70" s="4"/>
      <c r="U70" s="4"/>
      <c r="V70" s="4"/>
      <c r="W70" s="4"/>
      <c r="X70" s="4"/>
      <c r="Y70" s="4"/>
      <c r="Z70" s="4"/>
      <c r="AA70" s="4"/>
      <c r="AB70" s="15"/>
      <c r="AC70" s="16"/>
      <c r="AD70" s="15"/>
      <c r="AE70" s="15"/>
      <c r="AF70" s="15"/>
      <c r="AG70" s="15"/>
      <c r="AH70" s="15"/>
    </row>
    <row r="71" spans="1:34" s="2" customFormat="1" hidden="1">
      <c r="A71" s="4"/>
      <c r="B71" s="4"/>
      <c r="C71" s="4"/>
      <c r="D71" s="4"/>
      <c r="E71" s="4"/>
      <c r="F71" s="15"/>
      <c r="G71" s="15"/>
      <c r="H71" s="15"/>
      <c r="I71" s="4"/>
      <c r="J71" s="4"/>
      <c r="K71" s="4"/>
      <c r="L71" s="4"/>
      <c r="M71" s="15"/>
      <c r="N71" s="4"/>
      <c r="O71" s="4"/>
      <c r="P71" s="4"/>
      <c r="Q71" s="4"/>
      <c r="R71" s="4"/>
      <c r="S71" s="4"/>
      <c r="T71" s="4"/>
      <c r="U71" s="4"/>
      <c r="V71" s="4"/>
      <c r="W71" s="4"/>
      <c r="X71" s="4"/>
      <c r="Y71" s="4"/>
      <c r="Z71" s="4"/>
      <c r="AA71" s="4"/>
      <c r="AB71" s="15"/>
      <c r="AC71" s="16"/>
      <c r="AD71" s="15"/>
      <c r="AE71" s="15"/>
      <c r="AF71" s="15"/>
      <c r="AG71" s="15"/>
      <c r="AH71" s="15"/>
    </row>
    <row r="72" spans="1:34" s="2" customFormat="1" hidden="1">
      <c r="A72" s="4"/>
      <c r="B72" s="4"/>
      <c r="C72" s="4"/>
      <c r="D72" s="4"/>
      <c r="E72" s="4"/>
      <c r="F72" s="15"/>
      <c r="G72" s="15"/>
      <c r="H72" s="15"/>
      <c r="I72" s="4"/>
      <c r="J72" s="4"/>
      <c r="K72" s="4"/>
      <c r="L72" s="4"/>
      <c r="M72" s="15"/>
      <c r="N72" s="4"/>
      <c r="O72" s="4"/>
      <c r="P72" s="4"/>
      <c r="Q72" s="4"/>
      <c r="R72" s="4"/>
      <c r="S72" s="4"/>
      <c r="T72" s="4"/>
      <c r="U72" s="4"/>
      <c r="V72" s="4"/>
      <c r="W72" s="4"/>
      <c r="X72" s="4"/>
      <c r="Y72" s="4"/>
      <c r="Z72" s="4"/>
      <c r="AA72" s="4"/>
      <c r="AB72" s="15"/>
      <c r="AC72" s="16"/>
      <c r="AD72" s="15"/>
      <c r="AE72" s="15"/>
      <c r="AF72" s="15"/>
      <c r="AG72" s="15"/>
      <c r="AH72" s="15"/>
    </row>
    <row r="73" spans="1:34" s="2" customFormat="1" hidden="1">
      <c r="A73" s="4"/>
      <c r="B73" s="4"/>
      <c r="C73" s="4"/>
      <c r="D73" s="4"/>
      <c r="E73" s="4"/>
      <c r="F73" s="15"/>
      <c r="G73" s="15"/>
      <c r="H73" s="15"/>
      <c r="I73" s="4"/>
      <c r="J73" s="4"/>
      <c r="K73" s="4"/>
      <c r="L73" s="4"/>
      <c r="M73" s="15"/>
      <c r="N73" s="4"/>
      <c r="O73" s="4"/>
      <c r="P73" s="4"/>
      <c r="Q73" s="4"/>
      <c r="R73" s="4"/>
      <c r="S73" s="4"/>
      <c r="T73" s="4"/>
      <c r="U73" s="4"/>
      <c r="V73" s="4"/>
      <c r="W73" s="4"/>
      <c r="X73" s="4"/>
      <c r="Y73" s="4"/>
      <c r="Z73" s="4"/>
      <c r="AA73" s="4"/>
      <c r="AB73" s="16"/>
      <c r="AC73" s="16"/>
      <c r="AD73" s="16"/>
      <c r="AE73" s="16"/>
      <c r="AF73" s="16"/>
      <c r="AG73" s="15"/>
      <c r="AH73" s="15"/>
    </row>
    <row r="74" spans="1:34" s="2" customFormat="1" hidden="1">
      <c r="A74" s="4"/>
      <c r="B74" s="4"/>
      <c r="C74" s="4"/>
      <c r="D74" s="4"/>
      <c r="E74" s="4"/>
      <c r="F74" s="15"/>
      <c r="G74" s="15"/>
      <c r="H74" s="15"/>
      <c r="I74" s="4"/>
      <c r="J74" s="4"/>
      <c r="K74" s="4"/>
      <c r="L74" s="4"/>
      <c r="M74" s="15"/>
      <c r="N74" s="4"/>
      <c r="O74" s="4"/>
      <c r="P74" s="4"/>
      <c r="Q74" s="4"/>
      <c r="R74" s="4"/>
      <c r="S74" s="4"/>
      <c r="T74" s="4"/>
      <c r="U74" s="4"/>
      <c r="V74" s="4"/>
      <c r="W74" s="4"/>
      <c r="X74" s="4"/>
      <c r="Y74" s="4"/>
      <c r="Z74" s="4"/>
      <c r="AA74" s="4"/>
      <c r="AB74" s="16"/>
      <c r="AC74" s="16"/>
      <c r="AD74" s="16"/>
      <c r="AE74" s="16"/>
      <c r="AF74" s="16"/>
      <c r="AG74" s="15"/>
      <c r="AH74" s="15"/>
    </row>
    <row r="75" spans="1:34" s="2" customFormat="1" hidden="1">
      <c r="A75" s="4"/>
      <c r="B75" s="4"/>
      <c r="C75" s="4"/>
      <c r="D75" s="4"/>
      <c r="E75" s="4"/>
      <c r="F75" s="15"/>
      <c r="G75" s="15"/>
      <c r="H75" s="15"/>
      <c r="I75" s="4"/>
      <c r="J75" s="4"/>
      <c r="K75" s="4"/>
      <c r="L75" s="4"/>
      <c r="M75" s="15"/>
      <c r="N75" s="4"/>
      <c r="O75" s="4"/>
      <c r="P75" s="4"/>
      <c r="Q75" s="4"/>
      <c r="R75" s="4"/>
      <c r="S75" s="4"/>
      <c r="T75" s="4"/>
      <c r="U75" s="4"/>
      <c r="V75" s="4"/>
      <c r="W75" s="4"/>
      <c r="X75" s="4"/>
      <c r="Y75" s="4"/>
      <c r="Z75" s="4"/>
      <c r="AA75" s="4"/>
      <c r="AB75" s="16"/>
      <c r="AC75" s="16"/>
      <c r="AD75" s="16"/>
      <c r="AE75" s="16"/>
      <c r="AF75" s="16"/>
      <c r="AG75" s="15"/>
      <c r="AH75" s="15"/>
    </row>
    <row r="76" spans="1:34" s="2" customFormat="1" hidden="1">
      <c r="A76" s="4"/>
      <c r="B76" s="4"/>
      <c r="C76" s="4"/>
      <c r="D76" s="4"/>
      <c r="E76" s="4"/>
      <c r="F76" s="15"/>
      <c r="G76" s="15"/>
      <c r="H76" s="15"/>
      <c r="I76" s="4"/>
      <c r="J76" s="4"/>
      <c r="K76" s="4"/>
      <c r="L76" s="4"/>
      <c r="M76" s="15"/>
      <c r="N76" s="4"/>
      <c r="O76" s="4"/>
      <c r="P76" s="4"/>
      <c r="Q76" s="4"/>
      <c r="R76" s="4"/>
      <c r="S76" s="4"/>
      <c r="T76" s="4"/>
      <c r="U76" s="4"/>
      <c r="V76" s="4"/>
      <c r="W76" s="4"/>
      <c r="X76" s="4"/>
      <c r="Y76" s="4"/>
      <c r="Z76" s="4"/>
      <c r="AA76" s="4"/>
      <c r="AB76" s="16"/>
      <c r="AC76" s="16"/>
      <c r="AD76" s="16"/>
      <c r="AE76" s="16"/>
      <c r="AF76" s="16"/>
      <c r="AG76" s="15"/>
      <c r="AH76" s="15"/>
    </row>
    <row r="77" spans="1:34" s="2" customFormat="1" hidden="1">
      <c r="A77" s="4"/>
      <c r="B77" s="4"/>
      <c r="C77" s="4"/>
      <c r="D77" s="4"/>
      <c r="E77" s="4"/>
      <c r="F77" s="15"/>
      <c r="G77" s="15"/>
      <c r="H77" s="15"/>
      <c r="I77" s="4"/>
      <c r="J77" s="4"/>
      <c r="K77" s="4"/>
      <c r="L77" s="4"/>
      <c r="M77" s="15"/>
      <c r="N77" s="4"/>
      <c r="O77" s="4"/>
      <c r="P77" s="4"/>
      <c r="Q77" s="4"/>
      <c r="R77" s="4"/>
      <c r="S77" s="4"/>
      <c r="T77" s="4"/>
      <c r="U77" s="4"/>
      <c r="V77" s="4"/>
      <c r="W77" s="4"/>
      <c r="X77" s="4"/>
      <c r="Y77" s="4"/>
      <c r="Z77" s="4"/>
      <c r="AA77" s="4"/>
      <c r="AB77" s="16"/>
      <c r="AC77" s="16"/>
      <c r="AD77" s="16"/>
      <c r="AE77" s="16"/>
      <c r="AF77" s="16"/>
      <c r="AG77" s="15"/>
      <c r="AH77" s="15"/>
    </row>
    <row r="78" spans="1:34" s="2" customFormat="1" hidden="1">
      <c r="A78" s="4"/>
      <c r="B78" s="4"/>
      <c r="C78" s="4"/>
      <c r="D78" s="4"/>
      <c r="E78" s="4"/>
      <c r="F78" s="15"/>
      <c r="G78" s="15"/>
      <c r="H78" s="15"/>
      <c r="I78" s="4"/>
      <c r="J78" s="4"/>
      <c r="K78" s="4"/>
      <c r="L78" s="4"/>
      <c r="M78" s="15"/>
      <c r="N78" s="4"/>
      <c r="O78" s="4"/>
      <c r="P78" s="4"/>
      <c r="Q78" s="4"/>
      <c r="R78" s="4"/>
      <c r="S78" s="4"/>
      <c r="T78" s="4"/>
      <c r="U78" s="4"/>
      <c r="V78" s="4"/>
      <c r="W78" s="4"/>
      <c r="X78" s="4"/>
      <c r="Y78" s="4"/>
      <c r="Z78" s="4"/>
      <c r="AA78" s="4"/>
      <c r="AB78" s="16"/>
      <c r="AC78" s="16"/>
      <c r="AD78" s="16"/>
      <c r="AE78" s="16"/>
      <c r="AF78" s="16"/>
      <c r="AG78" s="15"/>
      <c r="AH78" s="15"/>
    </row>
    <row r="79" spans="1:34" s="2" customFormat="1" hidden="1">
      <c r="A79" s="4"/>
      <c r="B79" s="4"/>
      <c r="C79" s="4"/>
      <c r="D79" s="4"/>
      <c r="E79" s="4"/>
      <c r="F79" s="15"/>
      <c r="G79" s="15"/>
      <c r="H79" s="15"/>
      <c r="I79" s="4"/>
      <c r="J79" s="4"/>
      <c r="K79" s="4"/>
      <c r="L79" s="4"/>
      <c r="M79" s="15"/>
      <c r="N79" s="4"/>
      <c r="O79" s="4"/>
      <c r="P79" s="4"/>
      <c r="Q79" s="4"/>
      <c r="R79" s="4"/>
      <c r="S79" s="4"/>
      <c r="T79" s="4"/>
      <c r="U79" s="4"/>
      <c r="V79" s="4"/>
      <c r="W79" s="4"/>
      <c r="X79" s="4"/>
      <c r="Y79" s="4"/>
      <c r="Z79" s="4"/>
      <c r="AA79" s="4"/>
      <c r="AB79" s="16"/>
      <c r="AC79" s="16"/>
      <c r="AD79" s="16"/>
      <c r="AE79" s="16"/>
      <c r="AF79" s="16"/>
      <c r="AG79" s="15"/>
      <c r="AH79" s="15"/>
    </row>
    <row r="80" spans="1:34" s="2" customFormat="1" hidden="1">
      <c r="A80" s="4"/>
      <c r="B80" s="4"/>
      <c r="C80" s="4"/>
      <c r="D80" s="4"/>
      <c r="E80" s="4"/>
      <c r="F80" s="15"/>
      <c r="G80" s="15"/>
      <c r="H80" s="15"/>
      <c r="I80" s="4"/>
      <c r="J80" s="4"/>
      <c r="K80" s="4"/>
      <c r="L80" s="4"/>
      <c r="M80" s="15"/>
      <c r="N80" s="4"/>
      <c r="O80" s="4"/>
      <c r="P80" s="4"/>
      <c r="Q80" s="4"/>
      <c r="R80" s="4"/>
      <c r="S80" s="4"/>
      <c r="T80" s="4"/>
      <c r="U80" s="4"/>
      <c r="V80" s="4"/>
      <c r="W80" s="4"/>
      <c r="X80" s="4"/>
      <c r="Y80" s="4"/>
      <c r="Z80" s="4"/>
      <c r="AA80" s="4"/>
      <c r="AB80" s="16"/>
      <c r="AC80" s="16"/>
      <c r="AD80" s="16"/>
      <c r="AE80" s="16"/>
      <c r="AF80" s="16"/>
      <c r="AG80" s="15"/>
      <c r="AH80" s="15"/>
    </row>
    <row r="81" spans="1:34" s="2" customFormat="1" hidden="1">
      <c r="A81" s="4"/>
      <c r="B81" s="4"/>
      <c r="C81" s="4"/>
      <c r="D81" s="4"/>
      <c r="E81" s="4"/>
      <c r="F81" s="15"/>
      <c r="G81" s="15"/>
      <c r="H81" s="15"/>
      <c r="I81" s="4"/>
      <c r="J81" s="4"/>
      <c r="K81" s="4"/>
      <c r="L81" s="4"/>
      <c r="M81" s="15"/>
      <c r="N81" s="4"/>
      <c r="O81" s="4"/>
      <c r="P81" s="4"/>
      <c r="Q81" s="4"/>
      <c r="R81" s="4"/>
      <c r="S81" s="4"/>
      <c r="T81" s="4"/>
      <c r="U81" s="4"/>
      <c r="V81" s="4"/>
      <c r="W81" s="4"/>
      <c r="X81" s="4"/>
      <c r="Y81" s="4"/>
      <c r="Z81" s="4"/>
      <c r="AA81" s="4"/>
      <c r="AB81" s="16"/>
      <c r="AC81" s="16"/>
      <c r="AD81" s="16"/>
      <c r="AE81" s="16"/>
      <c r="AF81" s="16"/>
      <c r="AG81" s="15"/>
      <c r="AH81" s="15"/>
    </row>
    <row r="82" spans="1:34" s="2" customFormat="1" hidden="1">
      <c r="A82" s="4"/>
      <c r="B82" s="4"/>
      <c r="C82" s="4"/>
      <c r="D82" s="4"/>
      <c r="E82" s="4"/>
      <c r="F82" s="15"/>
      <c r="G82" s="15"/>
      <c r="H82" s="15"/>
      <c r="I82" s="4"/>
      <c r="J82" s="4"/>
      <c r="K82" s="4"/>
      <c r="L82" s="4"/>
      <c r="M82" s="15"/>
      <c r="N82" s="4"/>
      <c r="O82" s="4"/>
      <c r="P82" s="4"/>
      <c r="Q82" s="4"/>
      <c r="R82" s="4"/>
      <c r="S82" s="4"/>
      <c r="T82" s="4"/>
      <c r="U82" s="4"/>
      <c r="V82" s="4"/>
      <c r="W82" s="4"/>
      <c r="X82" s="4"/>
      <c r="Y82" s="4"/>
      <c r="Z82" s="4"/>
      <c r="AA82" s="4"/>
      <c r="AB82" s="16"/>
      <c r="AC82" s="16"/>
      <c r="AD82" s="16"/>
      <c r="AE82" s="16"/>
      <c r="AF82" s="16"/>
      <c r="AG82" s="15"/>
      <c r="AH82" s="15"/>
    </row>
    <row r="83" spans="1:34" s="2" customFormat="1" hidden="1">
      <c r="A83" s="4"/>
      <c r="B83" s="4"/>
      <c r="C83" s="4"/>
      <c r="D83" s="4"/>
      <c r="E83" s="4"/>
      <c r="F83" s="15"/>
      <c r="G83" s="15"/>
      <c r="H83" s="15"/>
      <c r="I83" s="4"/>
      <c r="J83" s="4"/>
      <c r="K83" s="4"/>
      <c r="L83" s="4"/>
      <c r="M83" s="15"/>
      <c r="N83" s="4"/>
      <c r="O83" s="4"/>
      <c r="P83" s="4"/>
      <c r="Q83" s="4"/>
      <c r="R83" s="4"/>
      <c r="S83" s="4"/>
      <c r="T83" s="4"/>
      <c r="U83" s="4"/>
      <c r="V83" s="4"/>
      <c r="W83" s="4"/>
      <c r="X83" s="4"/>
      <c r="Y83" s="4"/>
      <c r="Z83" s="4"/>
      <c r="AA83" s="4"/>
      <c r="AB83" s="16"/>
      <c r="AC83" s="16"/>
      <c r="AD83" s="16"/>
      <c r="AE83" s="16"/>
      <c r="AF83" s="16"/>
      <c r="AG83" s="15"/>
      <c r="AH83" s="15"/>
    </row>
    <row r="84" spans="1:34" s="2" customFormat="1" hidden="1">
      <c r="A84" s="4"/>
      <c r="B84" s="4"/>
      <c r="C84" s="4"/>
      <c r="D84" s="4"/>
      <c r="E84" s="4"/>
      <c r="F84" s="15"/>
      <c r="G84" s="15"/>
      <c r="H84" s="15"/>
      <c r="I84" s="4"/>
      <c r="J84" s="4"/>
      <c r="K84" s="4"/>
      <c r="L84" s="4"/>
      <c r="M84" s="15"/>
      <c r="N84" s="4"/>
      <c r="O84" s="4"/>
      <c r="P84" s="4"/>
      <c r="Q84" s="4"/>
      <c r="R84" s="4"/>
      <c r="S84" s="4"/>
      <c r="T84" s="4"/>
      <c r="U84" s="4"/>
      <c r="V84" s="4"/>
      <c r="W84" s="4"/>
      <c r="X84" s="4"/>
      <c r="Y84" s="4"/>
      <c r="Z84" s="4"/>
      <c r="AA84" s="4"/>
      <c r="AB84" s="16"/>
      <c r="AC84" s="16"/>
      <c r="AD84" s="16"/>
      <c r="AE84" s="16"/>
      <c r="AF84" s="16"/>
      <c r="AG84" s="15"/>
      <c r="AH84" s="15"/>
    </row>
    <row r="85" spans="1:34" s="2" customFormat="1" hidden="1">
      <c r="F85" s="16"/>
      <c r="G85" s="16"/>
      <c r="H85" s="16"/>
      <c r="M85" s="16"/>
      <c r="AB85" s="16"/>
      <c r="AC85" s="16"/>
      <c r="AD85" s="16"/>
      <c r="AE85" s="16"/>
      <c r="AF85" s="16"/>
      <c r="AG85" s="16"/>
      <c r="AH85" s="16"/>
    </row>
    <row r="86" spans="1:34" s="2" customFormat="1" hidden="1">
      <c r="F86" s="16"/>
      <c r="G86" s="16"/>
      <c r="H86" s="16"/>
      <c r="M86" s="16"/>
      <c r="AB86" s="16"/>
      <c r="AC86" s="16"/>
      <c r="AD86" s="16"/>
      <c r="AE86" s="16"/>
      <c r="AF86" s="16"/>
      <c r="AG86" s="16"/>
      <c r="AH86" s="16"/>
    </row>
    <row r="87" spans="1:34" s="2" customFormat="1" hidden="1">
      <c r="F87" s="16"/>
      <c r="G87" s="16"/>
      <c r="H87" s="16"/>
      <c r="M87" s="16"/>
      <c r="AB87" s="16"/>
      <c r="AC87" s="16"/>
      <c r="AD87" s="16"/>
      <c r="AE87" s="16"/>
      <c r="AF87" s="16"/>
      <c r="AG87" s="16"/>
      <c r="AH87" s="16"/>
    </row>
    <row r="88" spans="1:34" s="2" customFormat="1" hidden="1">
      <c r="F88" s="16"/>
      <c r="G88" s="16"/>
      <c r="H88" s="16"/>
      <c r="M88" s="16"/>
      <c r="AB88" s="16"/>
      <c r="AC88" s="16"/>
      <c r="AD88" s="16"/>
      <c r="AE88" s="16"/>
      <c r="AF88" s="16"/>
      <c r="AG88" s="16"/>
      <c r="AH88" s="16"/>
    </row>
    <row r="89" spans="1:34" s="2" customFormat="1" hidden="1">
      <c r="F89" s="16"/>
      <c r="G89" s="16"/>
      <c r="H89" s="16"/>
      <c r="M89" s="16"/>
      <c r="AB89" s="16"/>
      <c r="AC89" s="16"/>
      <c r="AD89" s="16"/>
      <c r="AE89" s="16"/>
      <c r="AF89" s="16"/>
      <c r="AG89" s="16"/>
      <c r="AH89" s="16"/>
    </row>
    <row r="90" spans="1:34" s="2" customFormat="1" hidden="1">
      <c r="F90" s="16"/>
      <c r="G90" s="16"/>
      <c r="H90" s="16"/>
      <c r="M90" s="16"/>
      <c r="AB90" s="16"/>
      <c r="AC90" s="16"/>
      <c r="AD90" s="16"/>
      <c r="AE90" s="16"/>
      <c r="AF90" s="16"/>
      <c r="AG90" s="16"/>
      <c r="AH90" s="16"/>
    </row>
    <row r="91" spans="1:34" s="2" customFormat="1" hidden="1">
      <c r="F91" s="16"/>
      <c r="G91" s="16"/>
      <c r="H91" s="16"/>
      <c r="M91" s="16"/>
      <c r="AB91" s="16"/>
      <c r="AC91" s="16"/>
      <c r="AD91" s="16"/>
      <c r="AE91" s="16"/>
      <c r="AF91" s="16"/>
      <c r="AG91" s="16"/>
      <c r="AH91" s="16"/>
    </row>
    <row r="92" spans="1:34" s="2" customFormat="1" hidden="1">
      <c r="F92" s="16"/>
      <c r="G92" s="16"/>
      <c r="H92" s="16"/>
      <c r="M92" s="16"/>
      <c r="AB92" s="16"/>
      <c r="AC92" s="16"/>
      <c r="AD92" s="16"/>
      <c r="AE92" s="16"/>
      <c r="AF92" s="16"/>
      <c r="AG92" s="16"/>
      <c r="AH92" s="16"/>
    </row>
    <row r="93" spans="1:34" s="2" customFormat="1" hidden="1">
      <c r="F93" s="16"/>
      <c r="G93" s="16"/>
      <c r="H93" s="16"/>
      <c r="M93" s="16"/>
      <c r="AB93" s="16"/>
      <c r="AC93" s="16"/>
      <c r="AD93" s="16"/>
      <c r="AE93" s="16"/>
      <c r="AF93" s="16"/>
      <c r="AG93" s="16"/>
      <c r="AH93" s="16"/>
    </row>
  </sheetData>
  <sheetProtection sheet="1" sort="0" autoFilter="0" pivotTables="0"/>
  <mergeCells count="4">
    <mergeCell ref="AB2:AB24"/>
    <mergeCell ref="AI2:AI24"/>
    <mergeCell ref="J1:K1"/>
    <mergeCell ref="N2:N24"/>
  </mergeCells>
  <phoneticPr fontId="3" type="noConversion"/>
  <conditionalFormatting sqref="F2:F24">
    <cfRule type="expression" dxfId="142" priority="1">
      <formula>MOD(ROW(),2)=0</formula>
    </cfRule>
  </conditionalFormatting>
  <conditionalFormatting sqref="G2:G24">
    <cfRule type="expression" dxfId="141" priority="8">
      <formula>$J$1="差距(Median)"</formula>
    </cfRule>
  </conditionalFormatting>
  <conditionalFormatting sqref="G2:XFD2 O3:AA24 G3:M24 AJ3:XFD24 A2:E24 AC3:AH24">
    <cfRule type="expression" dxfId="140" priority="21763">
      <formula>MOD(ROW(),2)=0</formula>
    </cfRule>
  </conditionalFormatting>
  <conditionalFormatting sqref="H2:H24">
    <cfRule type="expression" dxfId="139" priority="9">
      <formula>$J$1="差距(LQ)"</formula>
    </cfRule>
  </conditionalFormatting>
  <conditionalFormatting sqref="J2:K24">
    <cfRule type="cellIs" dxfId="138" priority="27" operator="equal">
      <formula>"/"</formula>
    </cfRule>
    <cfRule type="cellIs" dxfId="137" priority="30" operator="lessThan">
      <formula>0</formula>
    </cfRule>
    <cfRule type="cellIs" dxfId="136" priority="31" operator="greaterThan">
      <formula>0</formula>
    </cfRule>
  </conditionalFormatting>
  <conditionalFormatting sqref="M2:M24">
    <cfRule type="cellIs" dxfId="135" priority="24" operator="equal">
      <formula>2</formula>
    </cfRule>
    <cfRule type="cellIs" dxfId="134" priority="25" operator="equal">
      <formula>1</formula>
    </cfRule>
    <cfRule type="cellIs" dxfId="133" priority="26" operator="equal">
      <formula>0</formula>
    </cfRule>
  </conditionalFormatting>
  <conditionalFormatting sqref="O2:T24">
    <cfRule type="expression" dxfId="132" priority="1174">
      <formula>U2=2</formula>
    </cfRule>
    <cfRule type="expression" dxfId="131" priority="21752">
      <formula>U2=0</formula>
    </cfRule>
    <cfRule type="expression" dxfId="130" priority="21753">
      <formula>U2=1</formula>
    </cfRule>
  </conditionalFormatting>
  <conditionalFormatting sqref="AB2 AI2 AP2:AP24">
    <cfRule type="expression" dxfId="129" priority="6">
      <formula>TRUE</formula>
    </cfRule>
  </conditionalFormatting>
  <conditionalFormatting sqref="AB2">
    <cfRule type="expression" dxfId="128" priority="7">
      <formula>MOD(ROW(),2)=0</formula>
    </cfRule>
  </conditionalFormatting>
  <hyperlinks>
    <hyperlink ref="A38" r:id="rId1" xr:uid="{00000000-0004-0000-0D00-000002000000}"/>
    <hyperlink ref="A36" r:id="rId2" xr:uid="{00000000-0004-0000-0D00-000000000000}"/>
    <hyperlink ref="A37" r:id="rId3" location="scorecal" xr:uid="{00000000-0004-0000-0D00-000001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選單!$K$2:$K$3</xm:f>
          </x14:formula1>
          <xm:sqref>J1:K1</xm:sqref>
        </x14:dataValidation>
        <x14:dataValidation type="list" allowBlank="1" showInputMessage="1" showErrorMessage="1" xr:uid="{5394AFE9-245F-4B7A-A978-9629F5932414}">
          <x14:formula1>
            <xm:f>選單!$J$1:$J$7</xm:f>
          </x14:formula1>
          <xm:sqref>AB2</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12">
    <tabColor rgb="FFFF6600"/>
  </sheetPr>
  <dimension ref="A1:AY43"/>
  <sheetViews>
    <sheetView workbookViewId="0">
      <selection activeCell="B1" sqref="B1"/>
    </sheetView>
  </sheetViews>
  <sheetFormatPr defaultColWidth="0" defaultRowHeight="15.6" zeroHeight="1"/>
  <cols>
    <col min="1" max="1" width="7.19921875" style="5" customWidth="1"/>
    <col min="2" max="2" width="9.19921875" style="5" customWidth="1"/>
    <col min="3" max="3" width="23.5" style="5" customWidth="1"/>
    <col min="4" max="4" width="8.19921875" style="5" customWidth="1"/>
    <col min="5" max="5" width="13" style="5" customWidth="1"/>
    <col min="6" max="6" width="12.796875" style="36" customWidth="1"/>
    <col min="7" max="7" width="7.69921875" style="15" customWidth="1"/>
    <col min="8" max="8" width="7.69921875" style="14" customWidth="1"/>
    <col min="9" max="9" width="7.69921875" style="17" customWidth="1"/>
    <col min="10" max="10" width="7.69921875" style="18" customWidth="1"/>
    <col min="11" max="12" width="4.69921875" style="14" customWidth="1"/>
    <col min="13" max="13" width="14.5" style="14" customWidth="1"/>
    <col min="14" max="19" width="2.19921875" style="14" customWidth="1"/>
    <col min="20" max="25" width="2.19921875" style="14" hidden="1" customWidth="1"/>
    <col min="26" max="26" width="12" style="14" customWidth="1"/>
    <col min="27" max="27" width="8.69921875" style="14" customWidth="1"/>
    <col min="28" max="28" width="6.19921875" style="80" customWidth="1"/>
    <col min="29" max="30" width="6.19921875" style="14" customWidth="1"/>
    <col min="31" max="33" width="6.19921875" style="34" customWidth="1"/>
    <col min="34" max="34" width="8.69921875" style="34" customWidth="1"/>
    <col min="35" max="35" width="6.19921875" style="80" customWidth="1"/>
    <col min="36" max="40" width="6.19921875" style="34" customWidth="1"/>
    <col min="41" max="41" width="3.19921875" style="34" customWidth="1"/>
    <col min="42" max="42" width="8.19921875" style="34" customWidth="1"/>
    <col min="43" max="45" width="9" hidden="1" customWidth="1"/>
    <col min="46" max="51" width="0" hidden="1" customWidth="1"/>
    <col min="52" max="16384" width="9" hidden="1"/>
  </cols>
  <sheetData>
    <row r="1" spans="1:42" s="61" customFormat="1" ht="18" customHeight="1">
      <c r="A1" s="35" t="s">
        <v>104</v>
      </c>
      <c r="B1" s="35" t="s">
        <v>105</v>
      </c>
      <c r="C1" s="35" t="s">
        <v>106</v>
      </c>
      <c r="D1" s="35"/>
      <c r="E1" s="35" t="s">
        <v>2973</v>
      </c>
      <c r="F1" s="74" t="s">
        <v>2319</v>
      </c>
      <c r="G1" s="74" t="s">
        <v>187</v>
      </c>
      <c r="H1" s="74" t="s">
        <v>108</v>
      </c>
      <c r="I1" s="549" t="s">
        <v>188</v>
      </c>
      <c r="J1" s="549"/>
      <c r="K1" s="74" t="s">
        <v>36</v>
      </c>
      <c r="L1" s="74" t="s">
        <v>110</v>
      </c>
      <c r="M1" s="74"/>
      <c r="N1" s="74" t="s">
        <v>111</v>
      </c>
      <c r="O1" s="74" t="s">
        <v>112</v>
      </c>
      <c r="P1" s="74" t="s">
        <v>113</v>
      </c>
      <c r="Q1" s="74" t="s">
        <v>2251</v>
      </c>
      <c r="R1" s="74" t="s">
        <v>115</v>
      </c>
      <c r="S1" s="74" t="s">
        <v>2059</v>
      </c>
      <c r="T1" s="74"/>
      <c r="U1" s="74"/>
      <c r="V1" s="74"/>
      <c r="W1" s="74"/>
      <c r="X1" s="74"/>
      <c r="Y1" s="74"/>
      <c r="Z1" s="74" t="s">
        <v>117</v>
      </c>
      <c r="AA1" s="74" t="s">
        <v>118</v>
      </c>
      <c r="AB1" s="74" t="s">
        <v>135</v>
      </c>
      <c r="AC1" s="74" t="s">
        <v>120</v>
      </c>
      <c r="AD1" s="74" t="s">
        <v>121</v>
      </c>
      <c r="AE1" s="74" t="s">
        <v>122</v>
      </c>
      <c r="AF1" s="74" t="s">
        <v>123</v>
      </c>
      <c r="AG1" s="74" t="s">
        <v>124</v>
      </c>
      <c r="AH1" s="74" t="s">
        <v>136</v>
      </c>
      <c r="AI1" s="74" t="s">
        <v>135</v>
      </c>
      <c r="AJ1" s="74" t="s">
        <v>120</v>
      </c>
      <c r="AK1" s="74" t="s">
        <v>121</v>
      </c>
      <c r="AL1" s="74" t="s">
        <v>122</v>
      </c>
      <c r="AM1" s="74" t="s">
        <v>123</v>
      </c>
      <c r="AN1" s="74" t="s">
        <v>124</v>
      </c>
      <c r="AO1" s="74"/>
      <c r="AP1" s="74"/>
    </row>
    <row r="2" spans="1:42" ht="18" customHeight="1">
      <c r="A2" s="4" t="str">
        <f>'Reference Score Calculation'!B335</f>
        <v>JS8003</v>
      </c>
      <c r="B2" s="4" t="str">
        <f>'Reference Score Calculation'!D335</f>
        <v>人文學院</v>
      </c>
      <c r="C2" s="4" t="str">
        <f>'Reference Score Calculation'!E335</f>
        <v>數碼中國文化與傳意榮譽文學士及中文教育榮譽學士</v>
      </c>
      <c r="D2" s="4" t="str">
        <f>'Reference Score Calculation'!S335</f>
        <v>BA(DCCC)&amp;BEd(CL)</v>
      </c>
      <c r="E2" s="352" t="str">
        <f>'Reference Score Calculation'!AC335</f>
        <v>Best 5</v>
      </c>
      <c r="F2" s="373" t="str">
        <f>'Reference Score Calculation'!F335</f>
        <v>Best 5</v>
      </c>
      <c r="G2" s="44">
        <f>'Reference Score Calculation'!J335</f>
        <v>25</v>
      </c>
      <c r="H2" s="45">
        <f>計分版!J358</f>
        <v>3.4999999999999999E-9</v>
      </c>
      <c r="I2" s="25">
        <f>IFERROR(H2-G2,"/")</f>
        <v>-24.999999996500001</v>
      </c>
      <c r="J2" s="26">
        <f>IFERROR((H2-G2)/H2,"/")</f>
        <v>-7142857141.8571434</v>
      </c>
      <c r="K2" s="36">
        <f>'Reference Score Calculation'!U335</f>
        <v>64</v>
      </c>
      <c r="L2" s="84">
        <f>入學要求!Z344</f>
        <v>0</v>
      </c>
      <c r="M2" s="542" t="s">
        <v>2104</v>
      </c>
      <c r="N2" s="249">
        <f>入學要求!L344</f>
        <v>3</v>
      </c>
      <c r="O2" s="249">
        <f>入學要求!M344</f>
        <v>3</v>
      </c>
      <c r="P2" s="249">
        <f>入學要求!N344</f>
        <v>2</v>
      </c>
      <c r="Q2" s="249">
        <f>入學要求!O344</f>
        <v>1</v>
      </c>
      <c r="R2" s="249">
        <f>入學要求!P344</f>
        <v>2</v>
      </c>
      <c r="S2" s="249">
        <f>入學要求!Q344</f>
        <v>2</v>
      </c>
      <c r="T2" s="248">
        <f>入學要求!S344</f>
        <v>0</v>
      </c>
      <c r="U2" s="248">
        <f>入學要求!T344</f>
        <v>0</v>
      </c>
      <c r="V2" s="248">
        <f>入學要求!U344</f>
        <v>0</v>
      </c>
      <c r="W2" s="248">
        <f>入學要求!V344</f>
        <v>0</v>
      </c>
      <c r="X2" s="248">
        <f>入學要求!W344</f>
        <v>0</v>
      </c>
      <c r="Y2" s="248">
        <f>入學要求!X344</f>
        <v>0</v>
      </c>
      <c r="Z2" s="44" t="str">
        <f>IFERROR(ROUND(AJ2/AC2,2),"/")</f>
        <v>/</v>
      </c>
      <c r="AA2" s="537" t="s">
        <v>2253</v>
      </c>
      <c r="AB2" s="36" t="str" cm="1">
        <f t="array" ref="AB2">IFERROR(INDEX('Offer Statistics'!EK$2:EK$400,MATCH(1,($A2='Offer Statistics'!$DV$2:$DV$400)*($AA$2='Offer Statistics'!$DW$2:$DW$400),0)),"/")</f>
        <v>/</v>
      </c>
      <c r="AC2" s="63" t="str" cm="1">
        <f t="array" ref="AC2">IFERROR(INDEX('Offer Statistics'!EF$2:EF$400,MATCH(1,($A2='Offer Statistics'!$DV$2:$DV$400)*($AA$2='Offer Statistics'!$DW$2:$DW$400),0)),"/")</f>
        <v>/</v>
      </c>
      <c r="AD2" s="63" t="str" cm="1">
        <f t="array" ref="AD2">IFERROR(INDEX('Offer Statistics'!EG$2:EG$400,MATCH(1,($A2='Offer Statistics'!$DV$2:$DV$400)*($AA$2='Offer Statistics'!$DW$2:$DW$400),0)),"/")</f>
        <v>/</v>
      </c>
      <c r="AE2" s="63" t="str" cm="1">
        <f t="array" ref="AE2">IFERROR(INDEX('Offer Statistics'!EH$2:EH$400,MATCH(1,($A2='Offer Statistics'!$DV$2:$DV$400)*($AA$2='Offer Statistics'!$DW$2:$DW$400),0)),"/")</f>
        <v>/</v>
      </c>
      <c r="AF2" s="63" t="str" cm="1">
        <f t="array" ref="AF2">IFERROR(INDEX('Offer Statistics'!EI$2:EI$400,MATCH(1,($A2='Offer Statistics'!$DV$2:$DV$400)*($AA$2='Offer Statistics'!$DW$2:$DW$400),0)),"/")</f>
        <v>/</v>
      </c>
      <c r="AG2" s="63" t="str" cm="1">
        <f t="array" ref="AG2">IFERROR(INDEX('Offer Statistics'!EJ$2:EJ$400,MATCH(1,($A2='Offer Statistics'!$DV$2:$DV$400)*($AA$2='Offer Statistics'!$DW$2:$DW$400),0)),"/")</f>
        <v>/</v>
      </c>
      <c r="AH2" s="538" t="str">
        <f>AA2</f>
        <v>2024年</v>
      </c>
      <c r="AI2" s="36" t="str" cm="1">
        <f t="array" ref="AI2">IFERROR(INDEX('Offer Statistics'!EC$2:EC$400,MATCH(1,($A2='Offer Statistics'!$DV$2:$DV$400)*($AA$2='Offer Statistics'!$DW$2:$DW$400),0)),"/")</f>
        <v>/</v>
      </c>
      <c r="AJ2" s="63" t="str" cm="1">
        <f t="array" ref="AJ2">IFERROR(INDEX('Offer Statistics'!DX$2:DX$400,MATCH(1,($A2='Offer Statistics'!$DV$2:$DV$400)*($AA$2='Offer Statistics'!$DW$2:$DW$400),0)),"/")</f>
        <v>/</v>
      </c>
      <c r="AK2" s="63" t="str" cm="1">
        <f t="array" ref="AK2">IFERROR(INDEX('Offer Statistics'!DY$2:DY$400,MATCH(1,($A2='Offer Statistics'!$DV$2:$DV$400)*($AA$2='Offer Statistics'!$DW$2:$DW$400),0)),"/")</f>
        <v>/</v>
      </c>
      <c r="AL2" s="63" t="str" cm="1">
        <f t="array" ref="AL2">IFERROR(INDEX('Offer Statistics'!DZ$2:DZ$400,MATCH(1,($A2='Offer Statistics'!$DV$2:$DV$400)*($AA$2='Offer Statistics'!$DW$2:$DW$400),0)),"/")</f>
        <v>/</v>
      </c>
      <c r="AM2" s="63" t="str" cm="1">
        <f t="array" ref="AM2">IFERROR(INDEX('Offer Statistics'!EA$2:EA$400,MATCH(1,($A2='Offer Statistics'!$DV$2:$DV$400)*($AA$2='Offer Statistics'!$DW$2:$DW$400),0)),"/")</f>
        <v>/</v>
      </c>
      <c r="AN2" s="63" t="str" cm="1">
        <f t="array" ref="AN2">IFERROR(INDEX('Offer Statistics'!EB$2:EB$400,MATCH(1,($A2='Offer Statistics'!$DV$2:$DV$400)*($AA$2='Offer Statistics'!$DW$2:$DW$400),0)),"/")</f>
        <v>/</v>
      </c>
      <c r="AO2" s="14"/>
      <c r="AP2" s="15" t="str">
        <f>A2</f>
        <v>JS8003</v>
      </c>
    </row>
    <row r="3" spans="1:42" ht="18" customHeight="1">
      <c r="A3" s="4" t="str">
        <f>'Reference Score Calculation'!B336</f>
        <v>JS8004</v>
      </c>
      <c r="B3" s="4" t="str">
        <f>'Reference Score Calculation'!D336</f>
        <v>人文學院</v>
      </c>
      <c r="C3" s="4" t="str">
        <f>'Reference Score Calculation'!E336</f>
        <v>英語研究及數碼傳訊榮譽文學士及英文教育榮譽學士</v>
      </c>
      <c r="D3" s="4" t="str">
        <f>'Reference Score Calculation'!S336</f>
        <v>BA(ESDC)&amp;BEd(EL)</v>
      </c>
      <c r="E3" s="352" t="str">
        <f>'Reference Score Calculation'!AC336</f>
        <v>Best 5</v>
      </c>
      <c r="F3" s="373" t="str">
        <f>'Reference Score Calculation'!F336</f>
        <v>Best 5</v>
      </c>
      <c r="G3" s="44">
        <f>'Reference Score Calculation'!J336</f>
        <v>22.4</v>
      </c>
      <c r="H3" s="45">
        <f>計分版!J359</f>
        <v>3.4999999999999999E-9</v>
      </c>
      <c r="I3" s="25">
        <f t="shared" ref="I3" si="0">IFERROR(H3-G3,"/")</f>
        <v>-22.3999999965</v>
      </c>
      <c r="J3" s="26">
        <f t="shared" ref="J3" si="1">IFERROR((H3-G3)/H3,"/")</f>
        <v>-6399999999</v>
      </c>
      <c r="K3" s="36">
        <f>'Reference Score Calculation'!U336</f>
        <v>33</v>
      </c>
      <c r="L3" s="84">
        <f>入學要求!Z345</f>
        <v>0</v>
      </c>
      <c r="M3" s="542"/>
      <c r="N3" s="249">
        <f>入學要求!L345</f>
        <v>3</v>
      </c>
      <c r="O3" s="249">
        <f>入學要求!M345</f>
        <v>3</v>
      </c>
      <c r="P3" s="249">
        <f>入學要求!N345</f>
        <v>2</v>
      </c>
      <c r="Q3" s="249">
        <f>入學要求!O345</f>
        <v>1</v>
      </c>
      <c r="R3" s="249">
        <f>入學要求!P345</f>
        <v>2</v>
      </c>
      <c r="S3" s="249">
        <f>入學要求!Q345</f>
        <v>2</v>
      </c>
      <c r="T3" s="248">
        <f>入學要求!S345</f>
        <v>0</v>
      </c>
      <c r="U3" s="248">
        <f>入學要求!T345</f>
        <v>0</v>
      </c>
      <c r="V3" s="248">
        <f>入學要求!U345</f>
        <v>0</v>
      </c>
      <c r="W3" s="248">
        <f>入學要求!V345</f>
        <v>0</v>
      </c>
      <c r="X3" s="248">
        <f>入學要求!W345</f>
        <v>0</v>
      </c>
      <c r="Y3" s="248">
        <f>入學要求!X345</f>
        <v>0</v>
      </c>
      <c r="Z3" s="44" t="str">
        <f t="shared" ref="Z3" si="2">IFERROR(ROUND(AJ3/AC3,2),"/")</f>
        <v>/</v>
      </c>
      <c r="AA3" s="537"/>
      <c r="AB3" s="36" t="str" cm="1">
        <f t="array" ref="AB3">IFERROR(INDEX('Offer Statistics'!EK$2:EK$400,MATCH(1,($A3='Offer Statistics'!$DV$2:$DV$400)*($AA$2='Offer Statistics'!$DW$2:$DW$400),0)),"/")</f>
        <v>/</v>
      </c>
      <c r="AC3" s="63" t="str" cm="1">
        <f t="array" ref="AC3">IFERROR(INDEX('Offer Statistics'!EF$2:EF$400,MATCH(1,($A3='Offer Statistics'!$DV$2:$DV$400)*($AA$2='Offer Statistics'!$DW$2:$DW$400),0)),"/")</f>
        <v>/</v>
      </c>
      <c r="AD3" s="63" t="str" cm="1">
        <f t="array" ref="AD3">IFERROR(INDEX('Offer Statistics'!EG$2:EG$400,MATCH(1,($A3='Offer Statistics'!$DV$2:$DV$400)*($AA$2='Offer Statistics'!$DW$2:$DW$400),0)),"/")</f>
        <v>/</v>
      </c>
      <c r="AE3" s="63" t="str" cm="1">
        <f t="array" ref="AE3">IFERROR(INDEX('Offer Statistics'!EH$2:EH$400,MATCH(1,($A3='Offer Statistics'!$DV$2:$DV$400)*($AA$2='Offer Statistics'!$DW$2:$DW$400),0)),"/")</f>
        <v>/</v>
      </c>
      <c r="AF3" s="63" t="str" cm="1">
        <f t="array" ref="AF3">IFERROR(INDEX('Offer Statistics'!EI$2:EI$400,MATCH(1,($A3='Offer Statistics'!$DV$2:$DV$400)*($AA$2='Offer Statistics'!$DW$2:$DW$400),0)),"/")</f>
        <v>/</v>
      </c>
      <c r="AG3" s="63" t="str" cm="1">
        <f t="array" ref="AG3">IFERROR(INDEX('Offer Statistics'!EJ$2:EJ$400,MATCH(1,($A3='Offer Statistics'!$DV$2:$DV$400)*($AA$2='Offer Statistics'!$DW$2:$DW$400),0)),"/")</f>
        <v>/</v>
      </c>
      <c r="AH3" s="538"/>
      <c r="AI3" s="36" t="str" cm="1">
        <f t="array" ref="AI3">IFERROR(INDEX('Offer Statistics'!EC$2:EC$400,MATCH(1,($A3='Offer Statistics'!$DV$2:$DV$400)*($AA$2='Offer Statistics'!$DW$2:$DW$400),0)),"/")</f>
        <v>/</v>
      </c>
      <c r="AJ3" s="63" t="str" cm="1">
        <f t="array" ref="AJ3">IFERROR(INDEX('Offer Statistics'!DX$2:DX$400,MATCH(1,($A3='Offer Statistics'!$DV$2:$DV$400)*($AA$2='Offer Statistics'!$DW$2:$DW$400),0)),"/")</f>
        <v>/</v>
      </c>
      <c r="AK3" s="63" t="str" cm="1">
        <f t="array" ref="AK3">IFERROR(INDEX('Offer Statistics'!DY$2:DY$400,MATCH(1,($A3='Offer Statistics'!$DV$2:$DV$400)*($AA$2='Offer Statistics'!$DW$2:$DW$400),0)),"/")</f>
        <v>/</v>
      </c>
      <c r="AL3" s="63" t="str" cm="1">
        <f t="array" ref="AL3">IFERROR(INDEX('Offer Statistics'!DZ$2:DZ$400,MATCH(1,($A3='Offer Statistics'!$DV$2:$DV$400)*($AA$2='Offer Statistics'!$DW$2:$DW$400),0)),"/")</f>
        <v>/</v>
      </c>
      <c r="AM3" s="63" t="str" cm="1">
        <f t="array" ref="AM3">IFERROR(INDEX('Offer Statistics'!EA$2:EA$400,MATCH(1,($A3='Offer Statistics'!$DV$2:$DV$400)*($AA$2='Offer Statistics'!$DW$2:$DW$400),0)),"/")</f>
        <v>/</v>
      </c>
      <c r="AN3" s="63" t="str" cm="1">
        <f t="array" ref="AN3">IFERROR(INDEX('Offer Statistics'!EB$2:EB$400,MATCH(1,($A3='Offer Statistics'!$DV$2:$DV$400)*($AA$2='Offer Statistics'!$DW$2:$DW$400),0)),"/")</f>
        <v>/</v>
      </c>
      <c r="AO3" s="14"/>
      <c r="AP3" s="15" t="str">
        <f t="shared" ref="AP3" si="3">A3</f>
        <v>JS8004</v>
      </c>
    </row>
    <row r="4" spans="1:42" ht="18" customHeight="1">
      <c r="A4" s="4" t="str">
        <f>'Reference Score Calculation'!B337</f>
        <v>JS8013</v>
      </c>
      <c r="B4" s="4" t="str">
        <f>'Reference Score Calculation'!D337</f>
        <v>博文及社會科學學院</v>
      </c>
      <c r="C4" s="4" t="str">
        <f>'Reference Score Calculation'!E337</f>
        <v>社會學與社區研究榮譽社會科學學士及小學人文科教育榮譽學士</v>
      </c>
      <c r="D4" s="4" t="str">
        <f>'Reference Score Calculation'!S337</f>
        <v>BSocSc(SCS)&amp;BEd(PHM)</v>
      </c>
      <c r="E4" s="352" t="str">
        <f>'Reference Score Calculation'!AC337</f>
        <v>Best 5</v>
      </c>
      <c r="F4" s="373" t="str">
        <f>'Reference Score Calculation'!F337</f>
        <v>Best 5</v>
      </c>
      <c r="G4" s="44">
        <f>'Reference Score Calculation'!J337</f>
        <v>19</v>
      </c>
      <c r="H4" s="45">
        <f>計分版!J360</f>
        <v>3.4999999999999999E-9</v>
      </c>
      <c r="I4" s="25">
        <f t="shared" ref="I4:I27" si="4">IFERROR(H4-G4,"/")</f>
        <v>-18.999999996500001</v>
      </c>
      <c r="J4" s="26">
        <f t="shared" ref="J4:J27" si="5">IFERROR((H4-G4)/H4,"/")</f>
        <v>-5428571427.5714293</v>
      </c>
      <c r="K4" s="36">
        <f>'Reference Score Calculation'!U337</f>
        <v>20</v>
      </c>
      <c r="L4" s="84">
        <f>入學要求!Z346</f>
        <v>0</v>
      </c>
      <c r="M4" s="542"/>
      <c r="N4" s="249">
        <f>入學要求!L346</f>
        <v>3</v>
      </c>
      <c r="O4" s="249">
        <f>入學要求!M346</f>
        <v>3</v>
      </c>
      <c r="P4" s="249">
        <f>入學要求!N346</f>
        <v>2</v>
      </c>
      <c r="Q4" s="249">
        <f>入學要求!O346</f>
        <v>1</v>
      </c>
      <c r="R4" s="249">
        <f>入學要求!P346</f>
        <v>2</v>
      </c>
      <c r="S4" s="249">
        <f>入學要求!Q346</f>
        <v>2</v>
      </c>
      <c r="T4" s="248">
        <f>入學要求!S346</f>
        <v>0</v>
      </c>
      <c r="U4" s="248">
        <f>入學要求!T346</f>
        <v>0</v>
      </c>
      <c r="V4" s="248">
        <f>入學要求!U346</f>
        <v>0</v>
      </c>
      <c r="W4" s="248">
        <f>入學要求!V346</f>
        <v>0</v>
      </c>
      <c r="X4" s="248">
        <f>入學要求!W346</f>
        <v>0</v>
      </c>
      <c r="Y4" s="248">
        <f>入學要求!X346</f>
        <v>0</v>
      </c>
      <c r="Z4" s="44" t="str">
        <f t="shared" ref="Z4:Z27" si="6">IFERROR(ROUND(AJ4/AC4,2),"/")</f>
        <v>/</v>
      </c>
      <c r="AA4" s="537"/>
      <c r="AB4" s="36" t="str" cm="1">
        <f t="array" ref="AB4">IFERROR(INDEX('Offer Statistics'!EK$2:EK$400,MATCH(1,($A4='Offer Statistics'!$DV$2:$DV$400)*($AA$2='Offer Statistics'!$DW$2:$DW$400),0)),"/")</f>
        <v>/</v>
      </c>
      <c r="AC4" s="63" t="str" cm="1">
        <f t="array" ref="AC4">IFERROR(INDEX('Offer Statistics'!EF$2:EF$400,MATCH(1,($A4='Offer Statistics'!$DV$2:$DV$400)*($AA$2='Offer Statistics'!$DW$2:$DW$400),0)),"/")</f>
        <v>/</v>
      </c>
      <c r="AD4" s="63" t="str" cm="1">
        <f t="array" ref="AD4">IFERROR(INDEX('Offer Statistics'!EG$2:EG$400,MATCH(1,($A4='Offer Statistics'!$DV$2:$DV$400)*($AA$2='Offer Statistics'!$DW$2:$DW$400),0)),"/")</f>
        <v>/</v>
      </c>
      <c r="AE4" s="63" t="str" cm="1">
        <f t="array" ref="AE4">IFERROR(INDEX('Offer Statistics'!EH$2:EH$400,MATCH(1,($A4='Offer Statistics'!$DV$2:$DV$400)*($AA$2='Offer Statistics'!$DW$2:$DW$400),0)),"/")</f>
        <v>/</v>
      </c>
      <c r="AF4" s="63" t="str" cm="1">
        <f t="array" ref="AF4">IFERROR(INDEX('Offer Statistics'!EI$2:EI$400,MATCH(1,($A4='Offer Statistics'!$DV$2:$DV$400)*($AA$2='Offer Statistics'!$DW$2:$DW$400),0)),"/")</f>
        <v>/</v>
      </c>
      <c r="AG4" s="63" t="str" cm="1">
        <f t="array" ref="AG4">IFERROR(INDEX('Offer Statistics'!EJ$2:EJ$400,MATCH(1,($A4='Offer Statistics'!$DV$2:$DV$400)*($AA$2='Offer Statistics'!$DW$2:$DW$400),0)),"/")</f>
        <v>/</v>
      </c>
      <c r="AH4" s="538"/>
      <c r="AI4" s="36" t="str" cm="1">
        <f t="array" ref="AI4">IFERROR(INDEX('Offer Statistics'!EC$2:EC$400,MATCH(1,($A4='Offer Statistics'!$DV$2:$DV$400)*($AA$2='Offer Statistics'!$DW$2:$DW$400),0)),"/")</f>
        <v>/</v>
      </c>
      <c r="AJ4" s="63" t="str" cm="1">
        <f t="array" ref="AJ4">IFERROR(INDEX('Offer Statistics'!DX$2:DX$400,MATCH(1,($A4='Offer Statistics'!$DV$2:$DV$400)*($AA$2='Offer Statistics'!$DW$2:$DW$400),0)),"/")</f>
        <v>/</v>
      </c>
      <c r="AK4" s="63" t="str" cm="1">
        <f t="array" ref="AK4">IFERROR(INDEX('Offer Statistics'!DY$2:DY$400,MATCH(1,($A4='Offer Statistics'!$DV$2:$DV$400)*($AA$2='Offer Statistics'!$DW$2:$DW$400),0)),"/")</f>
        <v>/</v>
      </c>
      <c r="AL4" s="63" t="str" cm="1">
        <f t="array" ref="AL4">IFERROR(INDEX('Offer Statistics'!DZ$2:DZ$400,MATCH(1,($A4='Offer Statistics'!$DV$2:$DV$400)*($AA$2='Offer Statistics'!$DW$2:$DW$400),0)),"/")</f>
        <v>/</v>
      </c>
      <c r="AM4" s="63" t="str" cm="1">
        <f t="array" ref="AM4">IFERROR(INDEX('Offer Statistics'!EA$2:EA$400,MATCH(1,($A4='Offer Statistics'!$DV$2:$DV$400)*($AA$2='Offer Statistics'!$DW$2:$DW$400),0)),"/")</f>
        <v>/</v>
      </c>
      <c r="AN4" s="63" t="str" cm="1">
        <f t="array" ref="AN4">IFERROR(INDEX('Offer Statistics'!EB$2:EB$400,MATCH(1,($A4='Offer Statistics'!$DV$2:$DV$400)*($AA$2='Offer Statistics'!$DW$2:$DW$400),0)),"/")</f>
        <v>/</v>
      </c>
      <c r="AO4" s="14"/>
      <c r="AP4" s="15" t="str">
        <f t="shared" ref="AP4:AP27" si="7">A4</f>
        <v>JS8013</v>
      </c>
    </row>
    <row r="5" spans="1:42" ht="18" customHeight="1">
      <c r="A5" s="4" t="str">
        <f>'Reference Score Calculation'!B338</f>
        <v>JS8009</v>
      </c>
      <c r="B5" s="4" t="str">
        <f>'Reference Score Calculation'!D338</f>
        <v>博文及社會科學學院</v>
      </c>
      <c r="C5" s="4" t="str">
        <f>'Reference Score Calculation'!E338</f>
        <v>人工智能與教育科技榮譽理學士及小學數學教育榮譽學士</v>
      </c>
      <c r="D5" s="4" t="str">
        <f>'Reference Score Calculation'!S338</f>
        <v>BSc(AIET)&amp;BEd(PM)</v>
      </c>
      <c r="E5" s="352" t="str">
        <f>'Reference Score Calculation'!AC338</f>
        <v>Best 5</v>
      </c>
      <c r="F5" s="373" t="str">
        <f>'Reference Score Calculation'!F338</f>
        <v>Best 5</v>
      </c>
      <c r="G5" s="44">
        <f>'Reference Score Calculation'!J338</f>
        <v>25</v>
      </c>
      <c r="H5" s="45">
        <f>計分版!J361</f>
        <v>3.7500000000000005E-9</v>
      </c>
      <c r="I5" s="25">
        <f t="shared" si="4"/>
        <v>-24.999999996250001</v>
      </c>
      <c r="J5" s="26">
        <f t="shared" si="5"/>
        <v>-6666666665.666666</v>
      </c>
      <c r="K5" s="36">
        <f>'Reference Score Calculation'!U338</f>
        <v>44</v>
      </c>
      <c r="L5" s="84">
        <f>入學要求!Z347</f>
        <v>0</v>
      </c>
      <c r="M5" s="542"/>
      <c r="N5" s="249">
        <f>入學要求!L347</f>
        <v>3</v>
      </c>
      <c r="O5" s="249">
        <f>入學要求!M347</f>
        <v>3</v>
      </c>
      <c r="P5" s="249">
        <f>入學要求!N347</f>
        <v>3</v>
      </c>
      <c r="Q5" s="249">
        <f>入學要求!O347</f>
        <v>1</v>
      </c>
      <c r="R5" s="249">
        <f>入學要求!P347</f>
        <v>2</v>
      </c>
      <c r="S5" s="249">
        <f>入學要求!Q347</f>
        <v>2</v>
      </c>
      <c r="T5" s="248">
        <f>入學要求!S347</f>
        <v>0</v>
      </c>
      <c r="U5" s="248">
        <f>入學要求!T347</f>
        <v>0</v>
      </c>
      <c r="V5" s="248">
        <f>入學要求!U347</f>
        <v>0</v>
      </c>
      <c r="W5" s="248">
        <f>入學要求!V347</f>
        <v>0</v>
      </c>
      <c r="X5" s="248">
        <f>入學要求!W347</f>
        <v>0</v>
      </c>
      <c r="Y5" s="248">
        <f>入學要求!X347</f>
        <v>0</v>
      </c>
      <c r="Z5" s="44" t="str">
        <f t="shared" si="6"/>
        <v>/</v>
      </c>
      <c r="AA5" s="537"/>
      <c r="AB5" s="36" t="str" cm="1">
        <f t="array" ref="AB5">IFERROR(INDEX('Offer Statistics'!EK$2:EK$400,MATCH(1,($A5='Offer Statistics'!$DV$2:$DV$400)*($AA$2='Offer Statistics'!$DW$2:$DW$400),0)),"/")</f>
        <v>/</v>
      </c>
      <c r="AC5" s="63" t="str" cm="1">
        <f t="array" ref="AC5">IFERROR(INDEX('Offer Statistics'!EF$2:EF$400,MATCH(1,($A5='Offer Statistics'!$DV$2:$DV$400)*($AA$2='Offer Statistics'!$DW$2:$DW$400),0)),"/")</f>
        <v>/</v>
      </c>
      <c r="AD5" s="63" t="str" cm="1">
        <f t="array" ref="AD5">IFERROR(INDEX('Offer Statistics'!EG$2:EG$400,MATCH(1,($A5='Offer Statistics'!$DV$2:$DV$400)*($AA$2='Offer Statistics'!$DW$2:$DW$400),0)),"/")</f>
        <v>/</v>
      </c>
      <c r="AE5" s="63" t="str" cm="1">
        <f t="array" ref="AE5">IFERROR(INDEX('Offer Statistics'!EH$2:EH$400,MATCH(1,($A5='Offer Statistics'!$DV$2:$DV$400)*($AA$2='Offer Statistics'!$DW$2:$DW$400),0)),"/")</f>
        <v>/</v>
      </c>
      <c r="AF5" s="63" t="str" cm="1">
        <f t="array" ref="AF5">IFERROR(INDEX('Offer Statistics'!EI$2:EI$400,MATCH(1,($A5='Offer Statistics'!$DV$2:$DV$400)*($AA$2='Offer Statistics'!$DW$2:$DW$400),0)),"/")</f>
        <v>/</v>
      </c>
      <c r="AG5" s="63" t="str" cm="1">
        <f t="array" ref="AG5">IFERROR(INDEX('Offer Statistics'!EJ$2:EJ$400,MATCH(1,($A5='Offer Statistics'!$DV$2:$DV$400)*($AA$2='Offer Statistics'!$DW$2:$DW$400),0)),"/")</f>
        <v>/</v>
      </c>
      <c r="AH5" s="538"/>
      <c r="AI5" s="36" t="str" cm="1">
        <f t="array" ref="AI5">IFERROR(INDEX('Offer Statistics'!EC$2:EC$400,MATCH(1,($A5='Offer Statistics'!$DV$2:$DV$400)*($AA$2='Offer Statistics'!$DW$2:$DW$400),0)),"/")</f>
        <v>/</v>
      </c>
      <c r="AJ5" s="63" t="str" cm="1">
        <f t="array" ref="AJ5">IFERROR(INDEX('Offer Statistics'!DX$2:DX$400,MATCH(1,($A5='Offer Statistics'!$DV$2:$DV$400)*($AA$2='Offer Statistics'!$DW$2:$DW$400),0)),"/")</f>
        <v>/</v>
      </c>
      <c r="AK5" s="63" t="str" cm="1">
        <f t="array" ref="AK5">IFERROR(INDEX('Offer Statistics'!DY$2:DY$400,MATCH(1,($A5='Offer Statistics'!$DV$2:$DV$400)*($AA$2='Offer Statistics'!$DW$2:$DW$400),0)),"/")</f>
        <v>/</v>
      </c>
      <c r="AL5" s="63" t="str" cm="1">
        <f t="array" ref="AL5">IFERROR(INDEX('Offer Statistics'!DZ$2:DZ$400,MATCH(1,($A5='Offer Statistics'!$DV$2:$DV$400)*($AA$2='Offer Statistics'!$DW$2:$DW$400),0)),"/")</f>
        <v>/</v>
      </c>
      <c r="AM5" s="63" t="str" cm="1">
        <f t="array" ref="AM5">IFERROR(INDEX('Offer Statistics'!EA$2:EA$400,MATCH(1,($A5='Offer Statistics'!$DV$2:$DV$400)*($AA$2='Offer Statistics'!$DW$2:$DW$400),0)),"/")</f>
        <v>/</v>
      </c>
      <c r="AN5" s="63" t="str" cm="1">
        <f t="array" ref="AN5">IFERROR(INDEX('Offer Statistics'!EB$2:EB$400,MATCH(1,($A5='Offer Statistics'!$DV$2:$DV$400)*($AA$2='Offer Statistics'!$DW$2:$DW$400),0)),"/")</f>
        <v>/</v>
      </c>
      <c r="AO5" s="14"/>
      <c r="AP5" s="15" t="str">
        <f t="shared" si="7"/>
        <v>JS8009</v>
      </c>
    </row>
    <row r="6" spans="1:42" ht="18" customHeight="1">
      <c r="A6" s="4" t="str">
        <f>'Reference Score Calculation'!B339</f>
        <v>JS8010</v>
      </c>
      <c r="B6" s="4" t="str">
        <f>'Reference Score Calculation'!D339</f>
        <v>博文及社會科學學院</v>
      </c>
      <c r="C6" s="4" t="str">
        <f>'Reference Score Calculation'!E339</f>
        <v>運動科學及教練榮譽理學士及體育教育榮譽學士</v>
      </c>
      <c r="D6" s="4" t="str">
        <f>'Reference Score Calculation'!S339</f>
        <v>BSc(SPSC)&amp;BEd(PE)</v>
      </c>
      <c r="E6" s="352" t="str">
        <f>'Reference Score Calculation'!AC339</f>
        <v>Best 5</v>
      </c>
      <c r="F6" s="373" t="str">
        <f>'Reference Score Calculation'!F339</f>
        <v>Best 5</v>
      </c>
      <c r="G6" s="44">
        <f>'Reference Score Calculation'!J339</f>
        <v>21</v>
      </c>
      <c r="H6" s="45">
        <f>計分版!J362</f>
        <v>3.4999999999999999E-9</v>
      </c>
      <c r="I6" s="25">
        <f t="shared" si="4"/>
        <v>-20.999999996500001</v>
      </c>
      <c r="J6" s="26">
        <f t="shared" si="5"/>
        <v>-5999999999.000001</v>
      </c>
      <c r="K6" s="36">
        <f>'Reference Score Calculation'!U339</f>
        <v>25</v>
      </c>
      <c r="L6" s="84">
        <f>入學要求!Z348</f>
        <v>0</v>
      </c>
      <c r="M6" s="542"/>
      <c r="N6" s="249">
        <f>入學要求!L348</f>
        <v>3</v>
      </c>
      <c r="O6" s="249">
        <f>入學要求!M348</f>
        <v>3</v>
      </c>
      <c r="P6" s="249">
        <f>入學要求!N348</f>
        <v>2</v>
      </c>
      <c r="Q6" s="249">
        <f>入學要求!O348</f>
        <v>1</v>
      </c>
      <c r="R6" s="249">
        <f>入學要求!P348</f>
        <v>2</v>
      </c>
      <c r="S6" s="249">
        <f>入學要求!Q348</f>
        <v>2</v>
      </c>
      <c r="T6" s="248">
        <f>入學要求!S348</f>
        <v>0</v>
      </c>
      <c r="U6" s="248">
        <f>入學要求!T348</f>
        <v>0</v>
      </c>
      <c r="V6" s="248">
        <f>入學要求!U348</f>
        <v>0</v>
      </c>
      <c r="W6" s="248">
        <f>入學要求!V348</f>
        <v>0</v>
      </c>
      <c r="X6" s="248">
        <f>入學要求!W348</f>
        <v>0</v>
      </c>
      <c r="Y6" s="248">
        <f>入學要求!X348</f>
        <v>0</v>
      </c>
      <c r="Z6" s="44" t="str">
        <f t="shared" si="6"/>
        <v>/</v>
      </c>
      <c r="AA6" s="537"/>
      <c r="AB6" s="36" t="str" cm="1">
        <f t="array" ref="AB6">IFERROR(INDEX('Offer Statistics'!EK$2:EK$400,MATCH(1,($A6='Offer Statistics'!$DV$2:$DV$400)*($AA$2='Offer Statistics'!$DW$2:$DW$400),0)),"/")</f>
        <v>/</v>
      </c>
      <c r="AC6" s="63" t="str" cm="1">
        <f t="array" ref="AC6">IFERROR(INDEX('Offer Statistics'!EF$2:EF$400,MATCH(1,($A6='Offer Statistics'!$DV$2:$DV$400)*($AA$2='Offer Statistics'!$DW$2:$DW$400),0)),"/")</f>
        <v>/</v>
      </c>
      <c r="AD6" s="63" t="str" cm="1">
        <f t="array" ref="AD6">IFERROR(INDEX('Offer Statistics'!EG$2:EG$400,MATCH(1,($A6='Offer Statistics'!$DV$2:$DV$400)*($AA$2='Offer Statistics'!$DW$2:$DW$400),0)),"/")</f>
        <v>/</v>
      </c>
      <c r="AE6" s="63" t="str" cm="1">
        <f t="array" ref="AE6">IFERROR(INDEX('Offer Statistics'!EH$2:EH$400,MATCH(1,($A6='Offer Statistics'!$DV$2:$DV$400)*($AA$2='Offer Statistics'!$DW$2:$DW$400),0)),"/")</f>
        <v>/</v>
      </c>
      <c r="AF6" s="63" t="str" cm="1">
        <f t="array" ref="AF6">IFERROR(INDEX('Offer Statistics'!EI$2:EI$400,MATCH(1,($A6='Offer Statistics'!$DV$2:$DV$400)*($AA$2='Offer Statistics'!$DW$2:$DW$400),0)),"/")</f>
        <v>/</v>
      </c>
      <c r="AG6" s="63" t="str" cm="1">
        <f t="array" ref="AG6">IFERROR(INDEX('Offer Statistics'!EJ$2:EJ$400,MATCH(1,($A6='Offer Statistics'!$DV$2:$DV$400)*($AA$2='Offer Statistics'!$DW$2:$DW$400),0)),"/")</f>
        <v>/</v>
      </c>
      <c r="AH6" s="538"/>
      <c r="AI6" s="36" t="str" cm="1">
        <f t="array" ref="AI6">IFERROR(INDEX('Offer Statistics'!EC$2:EC$400,MATCH(1,($A6='Offer Statistics'!$DV$2:$DV$400)*($AA$2='Offer Statistics'!$DW$2:$DW$400),0)),"/")</f>
        <v>/</v>
      </c>
      <c r="AJ6" s="63" t="str" cm="1">
        <f t="array" ref="AJ6">IFERROR(INDEX('Offer Statistics'!DX$2:DX$400,MATCH(1,($A6='Offer Statistics'!$DV$2:$DV$400)*($AA$2='Offer Statistics'!$DW$2:$DW$400),0)),"/")</f>
        <v>/</v>
      </c>
      <c r="AK6" s="63" t="str" cm="1">
        <f t="array" ref="AK6">IFERROR(INDEX('Offer Statistics'!DY$2:DY$400,MATCH(1,($A6='Offer Statistics'!$DV$2:$DV$400)*($AA$2='Offer Statistics'!$DW$2:$DW$400),0)),"/")</f>
        <v>/</v>
      </c>
      <c r="AL6" s="63" t="str" cm="1">
        <f t="array" ref="AL6">IFERROR(INDEX('Offer Statistics'!DZ$2:DZ$400,MATCH(1,($A6='Offer Statistics'!$DV$2:$DV$400)*($AA$2='Offer Statistics'!$DW$2:$DW$400),0)),"/")</f>
        <v>/</v>
      </c>
      <c r="AM6" s="63" t="str" cm="1">
        <f t="array" ref="AM6">IFERROR(INDEX('Offer Statistics'!EA$2:EA$400,MATCH(1,($A6='Offer Statistics'!$DV$2:$DV$400)*($AA$2='Offer Statistics'!$DW$2:$DW$400),0)),"/")</f>
        <v>/</v>
      </c>
      <c r="AN6" s="63" t="str" cm="1">
        <f t="array" ref="AN6">IFERROR(INDEX('Offer Statistics'!EB$2:EB$400,MATCH(1,($A6='Offer Statistics'!$DV$2:$DV$400)*($AA$2='Offer Statistics'!$DW$2:$DW$400),0)),"/")</f>
        <v>/</v>
      </c>
      <c r="AO6" s="14"/>
      <c r="AP6" s="15" t="str">
        <f t="shared" si="7"/>
        <v>JS8010</v>
      </c>
    </row>
    <row r="7" spans="1:42" ht="18" customHeight="1">
      <c r="A7" s="4" t="str">
        <f>'Reference Score Calculation'!B340</f>
        <v>JS8008</v>
      </c>
      <c r="B7" s="4" t="str">
        <f>'Reference Score Calculation'!D340</f>
        <v>博文及社會科學學院</v>
      </c>
      <c r="C7" s="4" t="str">
        <f>'Reference Score Calculation'!E340</f>
        <v>人工智能與教育科技榮譽理學士及資訊及通訊科技及小學科學教育榮譽學士</v>
      </c>
      <c r="D7" s="4" t="str">
        <f>'Reference Score Calculation'!S340</f>
        <v>BSc(AIET)&amp;BEd(ICT&amp;PSci)</v>
      </c>
      <c r="E7" s="352" t="str">
        <f>'Reference Score Calculation'!AC340</f>
        <v>Best 5</v>
      </c>
      <c r="F7" s="373" t="str">
        <f>'Reference Score Calculation'!F340</f>
        <v>Best 5</v>
      </c>
      <c r="G7" s="44">
        <f>'Reference Score Calculation'!J340</f>
        <v>23</v>
      </c>
      <c r="H7" s="45">
        <f>計分版!J363</f>
        <v>3.7500000000000005E-9</v>
      </c>
      <c r="I7" s="25">
        <f t="shared" si="4"/>
        <v>-22.999999996250001</v>
      </c>
      <c r="J7" s="26">
        <f t="shared" si="5"/>
        <v>-6133333332.333333</v>
      </c>
      <c r="K7" s="36">
        <f>'Reference Score Calculation'!U340</f>
        <v>13</v>
      </c>
      <c r="L7" s="84">
        <f>入學要求!Z349</f>
        <v>0</v>
      </c>
      <c r="M7" s="542"/>
      <c r="N7" s="249">
        <f>入學要求!L349</f>
        <v>3</v>
      </c>
      <c r="O7" s="249">
        <f>入學要求!M349</f>
        <v>3</v>
      </c>
      <c r="P7" s="249">
        <f>入學要求!N349</f>
        <v>2</v>
      </c>
      <c r="Q7" s="249">
        <f>入學要求!O349</f>
        <v>1</v>
      </c>
      <c r="R7" s="249">
        <f>入學要求!P349</f>
        <v>3</v>
      </c>
      <c r="S7" s="249">
        <f>入學要求!Q349</f>
        <v>2</v>
      </c>
      <c r="T7" s="248">
        <f>入學要求!S349</f>
        <v>0</v>
      </c>
      <c r="U7" s="248">
        <f>入學要求!T349</f>
        <v>0</v>
      </c>
      <c r="V7" s="248">
        <f>入學要求!U349</f>
        <v>0</v>
      </c>
      <c r="W7" s="248">
        <f>入學要求!V349</f>
        <v>0</v>
      </c>
      <c r="X7" s="248">
        <f>入學要求!W349</f>
        <v>0</v>
      </c>
      <c r="Y7" s="248">
        <f>入學要求!X349</f>
        <v>0</v>
      </c>
      <c r="Z7" s="44" t="str">
        <f t="shared" si="6"/>
        <v>/</v>
      </c>
      <c r="AA7" s="537"/>
      <c r="AB7" s="36" t="str" cm="1">
        <f t="array" ref="AB7">IFERROR(INDEX('Offer Statistics'!EK$2:EK$400,MATCH(1,($A7='Offer Statistics'!$DV$2:$DV$400)*($AA$2='Offer Statistics'!$DW$2:$DW$400),0)),"/")</f>
        <v>/</v>
      </c>
      <c r="AC7" s="63" t="str" cm="1">
        <f t="array" ref="AC7">IFERROR(INDEX('Offer Statistics'!EF$2:EF$400,MATCH(1,($A7='Offer Statistics'!$DV$2:$DV$400)*($AA$2='Offer Statistics'!$DW$2:$DW$400),0)),"/")</f>
        <v>/</v>
      </c>
      <c r="AD7" s="63" t="str" cm="1">
        <f t="array" ref="AD7">IFERROR(INDEX('Offer Statistics'!EG$2:EG$400,MATCH(1,($A7='Offer Statistics'!$DV$2:$DV$400)*($AA$2='Offer Statistics'!$DW$2:$DW$400),0)),"/")</f>
        <v>/</v>
      </c>
      <c r="AE7" s="63" t="str" cm="1">
        <f t="array" ref="AE7">IFERROR(INDEX('Offer Statistics'!EH$2:EH$400,MATCH(1,($A7='Offer Statistics'!$DV$2:$DV$400)*($AA$2='Offer Statistics'!$DW$2:$DW$400),0)),"/")</f>
        <v>/</v>
      </c>
      <c r="AF7" s="63" t="str" cm="1">
        <f t="array" ref="AF7">IFERROR(INDEX('Offer Statistics'!EI$2:EI$400,MATCH(1,($A7='Offer Statistics'!$DV$2:$DV$400)*($AA$2='Offer Statistics'!$DW$2:$DW$400),0)),"/")</f>
        <v>/</v>
      </c>
      <c r="AG7" s="63" t="str" cm="1">
        <f t="array" ref="AG7">IFERROR(INDEX('Offer Statistics'!EJ$2:EJ$400,MATCH(1,($A7='Offer Statistics'!$DV$2:$DV$400)*($AA$2='Offer Statistics'!$DW$2:$DW$400),0)),"/")</f>
        <v>/</v>
      </c>
      <c r="AH7" s="538"/>
      <c r="AI7" s="36" t="str" cm="1">
        <f t="array" ref="AI7">IFERROR(INDEX('Offer Statistics'!EC$2:EC$400,MATCH(1,($A7='Offer Statistics'!$DV$2:$DV$400)*($AA$2='Offer Statistics'!$DW$2:$DW$400),0)),"/")</f>
        <v>/</v>
      </c>
      <c r="AJ7" s="63" t="str" cm="1">
        <f t="array" ref="AJ7">IFERROR(INDEX('Offer Statistics'!DX$2:DX$400,MATCH(1,($A7='Offer Statistics'!$DV$2:$DV$400)*($AA$2='Offer Statistics'!$DW$2:$DW$400),0)),"/")</f>
        <v>/</v>
      </c>
      <c r="AK7" s="63" t="str" cm="1">
        <f t="array" ref="AK7">IFERROR(INDEX('Offer Statistics'!DY$2:DY$400,MATCH(1,($A7='Offer Statistics'!$DV$2:$DV$400)*($AA$2='Offer Statistics'!$DW$2:$DW$400),0)),"/")</f>
        <v>/</v>
      </c>
      <c r="AL7" s="63" t="str" cm="1">
        <f t="array" ref="AL7">IFERROR(INDEX('Offer Statistics'!DZ$2:DZ$400,MATCH(1,($A7='Offer Statistics'!$DV$2:$DV$400)*($AA$2='Offer Statistics'!$DW$2:$DW$400),0)),"/")</f>
        <v>/</v>
      </c>
      <c r="AM7" s="63" t="str" cm="1">
        <f t="array" ref="AM7">IFERROR(INDEX('Offer Statistics'!EA$2:EA$400,MATCH(1,($A7='Offer Statistics'!$DV$2:$DV$400)*($AA$2='Offer Statistics'!$DW$2:$DW$400),0)),"/")</f>
        <v>/</v>
      </c>
      <c r="AN7" s="63" t="str" cm="1">
        <f t="array" ref="AN7">IFERROR(INDEX('Offer Statistics'!EB$2:EB$400,MATCH(1,($A7='Offer Statistics'!$DV$2:$DV$400)*($AA$2='Offer Statistics'!$DW$2:$DW$400),0)),"/")</f>
        <v>/</v>
      </c>
      <c r="AO7" s="14"/>
      <c r="AP7" s="15" t="str">
        <f t="shared" si="7"/>
        <v>JS8008</v>
      </c>
    </row>
    <row r="8" spans="1:42" ht="18" customHeight="1">
      <c r="A8" s="4" t="str">
        <f>'Reference Score Calculation'!B341</f>
        <v>JS8007</v>
      </c>
      <c r="B8" s="4" t="str">
        <f>'Reference Score Calculation'!D341</f>
        <v>博文及社會科學學院</v>
      </c>
      <c r="C8" s="4" t="str">
        <f>'Reference Score Calculation'!E341</f>
        <v>個人理財榮譽文學士及企業、會計與財務概論教育榮譽學士</v>
      </c>
      <c r="D8" s="4" t="str">
        <f>'Reference Score Calculation'!S341</f>
        <v>BA(PF)&amp;BEd(BAFS)</v>
      </c>
      <c r="E8" s="352" t="str">
        <f>'Reference Score Calculation'!AC341</f>
        <v>Best 5</v>
      </c>
      <c r="F8" s="373" t="str">
        <f>'Reference Score Calculation'!F341</f>
        <v>Best 5</v>
      </c>
      <c r="G8" s="44">
        <f>'Reference Score Calculation'!J341</f>
        <v>21.8</v>
      </c>
      <c r="H8" s="45">
        <f>計分版!J364</f>
        <v>3.4999999999999999E-9</v>
      </c>
      <c r="I8" s="25">
        <f t="shared" si="4"/>
        <v>-21.799999996500002</v>
      </c>
      <c r="J8" s="26">
        <f t="shared" si="5"/>
        <v>-6228571427.5714293</v>
      </c>
      <c r="K8" s="36">
        <f>'Reference Score Calculation'!U341</f>
        <v>12</v>
      </c>
      <c r="L8" s="84">
        <f>入學要求!Z350</f>
        <v>0</v>
      </c>
      <c r="M8" s="542"/>
      <c r="N8" s="249">
        <f>入學要求!L350</f>
        <v>3</v>
      </c>
      <c r="O8" s="249">
        <f>入學要求!M350</f>
        <v>3</v>
      </c>
      <c r="P8" s="249">
        <f>入學要求!N350</f>
        <v>2</v>
      </c>
      <c r="Q8" s="249">
        <f>入學要求!O350</f>
        <v>1</v>
      </c>
      <c r="R8" s="249">
        <f>入學要求!P350</f>
        <v>3</v>
      </c>
      <c r="S8" s="249">
        <f>入學要求!Q350</f>
        <v>2</v>
      </c>
      <c r="T8" s="248">
        <f>入學要求!S350</f>
        <v>0</v>
      </c>
      <c r="U8" s="248">
        <f>入學要求!T350</f>
        <v>0</v>
      </c>
      <c r="V8" s="248">
        <f>入學要求!U350</f>
        <v>0</v>
      </c>
      <c r="W8" s="248">
        <f>入學要求!V350</f>
        <v>0</v>
      </c>
      <c r="X8" s="248">
        <f>入學要求!W350</f>
        <v>0</v>
      </c>
      <c r="Y8" s="248">
        <f>入學要求!X350</f>
        <v>0</v>
      </c>
      <c r="Z8" s="44" t="str">
        <f t="shared" si="6"/>
        <v>/</v>
      </c>
      <c r="AA8" s="537"/>
      <c r="AB8" s="36" t="str" cm="1">
        <f t="array" ref="AB8">IFERROR(INDEX('Offer Statistics'!EK$2:EK$400,MATCH(1,($A8='Offer Statistics'!$DV$2:$DV$400)*($AA$2='Offer Statistics'!$DW$2:$DW$400),0)),"/")</f>
        <v>/</v>
      </c>
      <c r="AC8" s="63" t="str" cm="1">
        <f t="array" ref="AC8">IFERROR(INDEX('Offer Statistics'!EF$2:EF$400,MATCH(1,($A8='Offer Statistics'!$DV$2:$DV$400)*($AA$2='Offer Statistics'!$DW$2:$DW$400),0)),"/")</f>
        <v>/</v>
      </c>
      <c r="AD8" s="63" t="str" cm="1">
        <f t="array" ref="AD8">IFERROR(INDEX('Offer Statistics'!EG$2:EG$400,MATCH(1,($A8='Offer Statistics'!$DV$2:$DV$400)*($AA$2='Offer Statistics'!$DW$2:$DW$400),0)),"/")</f>
        <v>/</v>
      </c>
      <c r="AE8" s="63" t="str" cm="1">
        <f t="array" ref="AE8">IFERROR(INDEX('Offer Statistics'!EH$2:EH$400,MATCH(1,($A8='Offer Statistics'!$DV$2:$DV$400)*($AA$2='Offer Statistics'!$DW$2:$DW$400),0)),"/")</f>
        <v>/</v>
      </c>
      <c r="AF8" s="63" t="str" cm="1">
        <f t="array" ref="AF8">IFERROR(INDEX('Offer Statistics'!EI$2:EI$400,MATCH(1,($A8='Offer Statistics'!$DV$2:$DV$400)*($AA$2='Offer Statistics'!$DW$2:$DW$400),0)),"/")</f>
        <v>/</v>
      </c>
      <c r="AG8" s="63" t="str" cm="1">
        <f t="array" ref="AG8">IFERROR(INDEX('Offer Statistics'!EJ$2:EJ$400,MATCH(1,($A8='Offer Statistics'!$DV$2:$DV$400)*($AA$2='Offer Statistics'!$DW$2:$DW$400),0)),"/")</f>
        <v>/</v>
      </c>
      <c r="AH8" s="538"/>
      <c r="AI8" s="36" t="str" cm="1">
        <f t="array" ref="AI8">IFERROR(INDEX('Offer Statistics'!EC$2:EC$400,MATCH(1,($A8='Offer Statistics'!$DV$2:$DV$400)*($AA$2='Offer Statistics'!$DW$2:$DW$400),0)),"/")</f>
        <v>/</v>
      </c>
      <c r="AJ8" s="63" t="str" cm="1">
        <f t="array" ref="AJ8">IFERROR(INDEX('Offer Statistics'!DX$2:DX$400,MATCH(1,($A8='Offer Statistics'!$DV$2:$DV$400)*($AA$2='Offer Statistics'!$DW$2:$DW$400),0)),"/")</f>
        <v>/</v>
      </c>
      <c r="AK8" s="63" t="str" cm="1">
        <f t="array" ref="AK8">IFERROR(INDEX('Offer Statistics'!DY$2:DY$400,MATCH(1,($A8='Offer Statistics'!$DV$2:$DV$400)*($AA$2='Offer Statistics'!$DW$2:$DW$400),0)),"/")</f>
        <v>/</v>
      </c>
      <c r="AL8" s="63" t="str" cm="1">
        <f t="array" ref="AL8">IFERROR(INDEX('Offer Statistics'!DZ$2:DZ$400,MATCH(1,($A8='Offer Statistics'!$DV$2:$DV$400)*($AA$2='Offer Statistics'!$DW$2:$DW$400),0)),"/")</f>
        <v>/</v>
      </c>
      <c r="AM8" s="63" t="str" cm="1">
        <f t="array" ref="AM8">IFERROR(INDEX('Offer Statistics'!EA$2:EA$400,MATCH(1,($A8='Offer Statistics'!$DV$2:$DV$400)*($AA$2='Offer Statistics'!$DW$2:$DW$400),0)),"/")</f>
        <v>/</v>
      </c>
      <c r="AN8" s="63" t="str" cm="1">
        <f t="array" ref="AN8">IFERROR(INDEX('Offer Statistics'!EB$2:EB$400,MATCH(1,($A8='Offer Statistics'!$DV$2:$DV$400)*($AA$2='Offer Statistics'!$DW$2:$DW$400),0)),"/")</f>
        <v>/</v>
      </c>
      <c r="AO8" s="14"/>
      <c r="AP8" s="15" t="str">
        <f t="shared" si="7"/>
        <v>JS8007</v>
      </c>
    </row>
    <row r="9" spans="1:42" ht="18" customHeight="1">
      <c r="A9" s="4" t="str">
        <f>'Reference Score Calculation'!B342</f>
        <v>JS8005</v>
      </c>
      <c r="B9" s="4" t="str">
        <f>'Reference Score Calculation'!D342</f>
        <v>人文學院</v>
      </c>
      <c r="C9" s="4" t="str">
        <f>'Reference Score Calculation'!E342</f>
        <v>文化傳承教育與藝術管理榮譽文學士及中國歷史教育榮譽學士</v>
      </c>
      <c r="D9" s="4" t="str">
        <f>'Reference Score Calculation'!S342</f>
        <v>BA(HE&amp;AM)&amp;BEd(CHI HIST)</v>
      </c>
      <c r="E9" s="352" t="str">
        <f>'Reference Score Calculation'!AC342</f>
        <v>Best 5</v>
      </c>
      <c r="F9" s="373" t="str">
        <f>'Reference Score Calculation'!F342</f>
        <v>Best 5</v>
      </c>
      <c r="G9" s="44">
        <f>'Reference Score Calculation'!J342</f>
        <v>21</v>
      </c>
      <c r="H9" s="45">
        <f>計分版!J365</f>
        <v>3.4999999999999999E-9</v>
      </c>
      <c r="I9" s="25">
        <f t="shared" si="4"/>
        <v>-20.999999996500001</v>
      </c>
      <c r="J9" s="26">
        <f t="shared" si="5"/>
        <v>-5999999999.000001</v>
      </c>
      <c r="K9" s="36">
        <f>'Reference Score Calculation'!U342</f>
        <v>12</v>
      </c>
      <c r="L9" s="84">
        <f>入學要求!Z351</f>
        <v>0</v>
      </c>
      <c r="M9" s="542"/>
      <c r="N9" s="249">
        <f>入學要求!L351</f>
        <v>3</v>
      </c>
      <c r="O9" s="249">
        <f>入學要求!M351</f>
        <v>3</v>
      </c>
      <c r="P9" s="249">
        <f>入學要求!N351</f>
        <v>2</v>
      </c>
      <c r="Q9" s="249">
        <f>入學要求!O351</f>
        <v>1</v>
      </c>
      <c r="R9" s="249">
        <f>入學要求!P351</f>
        <v>2</v>
      </c>
      <c r="S9" s="249">
        <f>入學要求!Q351</f>
        <v>2</v>
      </c>
      <c r="T9" s="248">
        <f>入學要求!S351</f>
        <v>0</v>
      </c>
      <c r="U9" s="248">
        <f>入學要求!T351</f>
        <v>0</v>
      </c>
      <c r="V9" s="248">
        <f>入學要求!U351</f>
        <v>0</v>
      </c>
      <c r="W9" s="248">
        <f>入學要求!V351</f>
        <v>0</v>
      </c>
      <c r="X9" s="248">
        <f>入學要求!W351</f>
        <v>0</v>
      </c>
      <c r="Y9" s="248">
        <f>入學要求!X351</f>
        <v>0</v>
      </c>
      <c r="Z9" s="44" t="str">
        <f t="shared" si="6"/>
        <v>/</v>
      </c>
      <c r="AA9" s="537"/>
      <c r="AB9" s="36" t="str" cm="1">
        <f t="array" ref="AB9">IFERROR(INDEX('Offer Statistics'!EK$2:EK$400,MATCH(1,($A9='Offer Statistics'!$DV$2:$DV$400)*($AA$2='Offer Statistics'!$DW$2:$DW$400),0)),"/")</f>
        <v>/</v>
      </c>
      <c r="AC9" s="63" t="str" cm="1">
        <f t="array" ref="AC9">IFERROR(INDEX('Offer Statistics'!EF$2:EF$400,MATCH(1,($A9='Offer Statistics'!$DV$2:$DV$400)*($AA$2='Offer Statistics'!$DW$2:$DW$400),0)),"/")</f>
        <v>/</v>
      </c>
      <c r="AD9" s="63" t="str" cm="1">
        <f t="array" ref="AD9">IFERROR(INDEX('Offer Statistics'!EG$2:EG$400,MATCH(1,($A9='Offer Statistics'!$DV$2:$DV$400)*($AA$2='Offer Statistics'!$DW$2:$DW$400),0)),"/")</f>
        <v>/</v>
      </c>
      <c r="AE9" s="63" t="str" cm="1">
        <f t="array" ref="AE9">IFERROR(INDEX('Offer Statistics'!EH$2:EH$400,MATCH(1,($A9='Offer Statistics'!$DV$2:$DV$400)*($AA$2='Offer Statistics'!$DW$2:$DW$400),0)),"/")</f>
        <v>/</v>
      </c>
      <c r="AF9" s="63" t="str" cm="1">
        <f t="array" ref="AF9">IFERROR(INDEX('Offer Statistics'!EI$2:EI$400,MATCH(1,($A9='Offer Statistics'!$DV$2:$DV$400)*($AA$2='Offer Statistics'!$DW$2:$DW$400),0)),"/")</f>
        <v>/</v>
      </c>
      <c r="AG9" s="63" t="str" cm="1">
        <f t="array" ref="AG9">IFERROR(INDEX('Offer Statistics'!EJ$2:EJ$400,MATCH(1,($A9='Offer Statistics'!$DV$2:$DV$400)*($AA$2='Offer Statistics'!$DW$2:$DW$400),0)),"/")</f>
        <v>/</v>
      </c>
      <c r="AH9" s="538"/>
      <c r="AI9" s="36" t="str" cm="1">
        <f t="array" ref="AI9">IFERROR(INDEX('Offer Statistics'!EC$2:EC$400,MATCH(1,($A9='Offer Statistics'!$DV$2:$DV$400)*($AA$2='Offer Statistics'!$DW$2:$DW$400),0)),"/")</f>
        <v>/</v>
      </c>
      <c r="AJ9" s="63" t="str" cm="1">
        <f t="array" ref="AJ9">IFERROR(INDEX('Offer Statistics'!DX$2:DX$400,MATCH(1,($A9='Offer Statistics'!$DV$2:$DV$400)*($AA$2='Offer Statistics'!$DW$2:$DW$400),0)),"/")</f>
        <v>/</v>
      </c>
      <c r="AK9" s="63" t="str" cm="1">
        <f t="array" ref="AK9">IFERROR(INDEX('Offer Statistics'!DY$2:DY$400,MATCH(1,($A9='Offer Statistics'!$DV$2:$DV$400)*($AA$2='Offer Statistics'!$DW$2:$DW$400),0)),"/")</f>
        <v>/</v>
      </c>
      <c r="AL9" s="63" t="str" cm="1">
        <f t="array" ref="AL9">IFERROR(INDEX('Offer Statistics'!DZ$2:DZ$400,MATCH(1,($A9='Offer Statistics'!$DV$2:$DV$400)*($AA$2='Offer Statistics'!$DW$2:$DW$400),0)),"/")</f>
        <v>/</v>
      </c>
      <c r="AM9" s="63" t="str" cm="1">
        <f t="array" ref="AM9">IFERROR(INDEX('Offer Statistics'!EA$2:EA$400,MATCH(1,($A9='Offer Statistics'!$DV$2:$DV$400)*($AA$2='Offer Statistics'!$DW$2:$DW$400),0)),"/")</f>
        <v>/</v>
      </c>
      <c r="AN9" s="63" t="str" cm="1">
        <f t="array" ref="AN9">IFERROR(INDEX('Offer Statistics'!EB$2:EB$400,MATCH(1,($A9='Offer Statistics'!$DV$2:$DV$400)*($AA$2='Offer Statistics'!$DW$2:$DW$400),0)),"/")</f>
        <v>/</v>
      </c>
      <c r="AO9" s="14"/>
      <c r="AP9" s="15" t="str">
        <f t="shared" si="7"/>
        <v>JS8005</v>
      </c>
    </row>
    <row r="10" spans="1:42" ht="18" customHeight="1">
      <c r="A10" s="4" t="str">
        <f>'Reference Score Calculation'!B343</f>
        <v>JS8006</v>
      </c>
      <c r="B10" s="4" t="str">
        <f>'Reference Score Calculation'!D343</f>
        <v>教育及人類發展學院</v>
      </c>
      <c r="C10" s="4" t="str">
        <f>'Reference Score Calculation'!E343</f>
        <v>心理學榮譽社會科學學士及幼兒教育榮譽學士</v>
      </c>
      <c r="D10" s="4" t="str">
        <f>'Reference Score Calculation'!S343</f>
        <v>BSocSc(Psy)&amp;BEd(ECE)</v>
      </c>
      <c r="E10" s="352" t="str">
        <f>'Reference Score Calculation'!AC343</f>
        <v>Best 5</v>
      </c>
      <c r="F10" s="373" t="str">
        <f>'Reference Score Calculation'!F343</f>
        <v>Best 5</v>
      </c>
      <c r="G10" s="44">
        <f>'Reference Score Calculation'!J343</f>
        <v>22</v>
      </c>
      <c r="H10" s="45">
        <f>計分版!J366</f>
        <v>3.4999999999999999E-9</v>
      </c>
      <c r="I10" s="25">
        <f t="shared" si="4"/>
        <v>-21.999999996500001</v>
      </c>
      <c r="J10" s="26">
        <f t="shared" si="5"/>
        <v>-6285714284.7142859</v>
      </c>
      <c r="K10" s="36">
        <f>'Reference Score Calculation'!U343</f>
        <v>45</v>
      </c>
      <c r="L10" s="84">
        <f>入學要求!Z352</f>
        <v>0</v>
      </c>
      <c r="M10" s="542"/>
      <c r="N10" s="249">
        <f>入學要求!L352</f>
        <v>3</v>
      </c>
      <c r="O10" s="249">
        <f>入學要求!M352</f>
        <v>3</v>
      </c>
      <c r="P10" s="249">
        <f>入學要求!N352</f>
        <v>2</v>
      </c>
      <c r="Q10" s="249">
        <f>入學要求!O352</f>
        <v>1</v>
      </c>
      <c r="R10" s="249">
        <f>入學要求!P352</f>
        <v>2</v>
      </c>
      <c r="S10" s="249">
        <f>入學要求!Q352</f>
        <v>2</v>
      </c>
      <c r="T10" s="248">
        <f>入學要求!S352</f>
        <v>0</v>
      </c>
      <c r="U10" s="248">
        <f>入學要求!T352</f>
        <v>0</v>
      </c>
      <c r="V10" s="248">
        <f>入學要求!U352</f>
        <v>0</v>
      </c>
      <c r="W10" s="248">
        <f>入學要求!V352</f>
        <v>0</v>
      </c>
      <c r="X10" s="248">
        <f>入學要求!W352</f>
        <v>0</v>
      </c>
      <c r="Y10" s="248">
        <f>入學要求!X352</f>
        <v>0</v>
      </c>
      <c r="Z10" s="44" t="str">
        <f t="shared" si="6"/>
        <v>/</v>
      </c>
      <c r="AA10" s="537"/>
      <c r="AB10" s="36" t="str" cm="1">
        <f t="array" ref="AB10">IFERROR(INDEX('Offer Statistics'!EK$2:EK$400,MATCH(1,($A10='Offer Statistics'!$DV$2:$DV$400)*($AA$2='Offer Statistics'!$DW$2:$DW$400),0)),"/")</f>
        <v>/</v>
      </c>
      <c r="AC10" s="63" t="str" cm="1">
        <f t="array" ref="AC10">IFERROR(INDEX('Offer Statistics'!EF$2:EF$400,MATCH(1,($A10='Offer Statistics'!$DV$2:$DV$400)*($AA$2='Offer Statistics'!$DW$2:$DW$400),0)),"/")</f>
        <v>/</v>
      </c>
      <c r="AD10" s="63" t="str" cm="1">
        <f t="array" ref="AD10">IFERROR(INDEX('Offer Statistics'!EG$2:EG$400,MATCH(1,($A10='Offer Statistics'!$DV$2:$DV$400)*($AA$2='Offer Statistics'!$DW$2:$DW$400),0)),"/")</f>
        <v>/</v>
      </c>
      <c r="AE10" s="63" t="str" cm="1">
        <f t="array" ref="AE10">IFERROR(INDEX('Offer Statistics'!EH$2:EH$400,MATCH(1,($A10='Offer Statistics'!$DV$2:$DV$400)*($AA$2='Offer Statistics'!$DW$2:$DW$400),0)),"/")</f>
        <v>/</v>
      </c>
      <c r="AF10" s="63" t="str" cm="1">
        <f t="array" ref="AF10">IFERROR(INDEX('Offer Statistics'!EI$2:EI$400,MATCH(1,($A10='Offer Statistics'!$DV$2:$DV$400)*($AA$2='Offer Statistics'!$DW$2:$DW$400),0)),"/")</f>
        <v>/</v>
      </c>
      <c r="AG10" s="63" t="str" cm="1">
        <f t="array" ref="AG10">IFERROR(INDEX('Offer Statistics'!EJ$2:EJ$400,MATCH(1,($A10='Offer Statistics'!$DV$2:$DV$400)*($AA$2='Offer Statistics'!$DW$2:$DW$400),0)),"/")</f>
        <v>/</v>
      </c>
      <c r="AH10" s="538"/>
      <c r="AI10" s="36" t="str" cm="1">
        <f t="array" ref="AI10">IFERROR(INDEX('Offer Statistics'!EC$2:EC$400,MATCH(1,($A10='Offer Statistics'!$DV$2:$DV$400)*($AA$2='Offer Statistics'!$DW$2:$DW$400),0)),"/")</f>
        <v>/</v>
      </c>
      <c r="AJ10" s="63" t="str" cm="1">
        <f t="array" ref="AJ10">IFERROR(INDEX('Offer Statistics'!DX$2:DX$400,MATCH(1,($A10='Offer Statistics'!$DV$2:$DV$400)*($AA$2='Offer Statistics'!$DW$2:$DW$400),0)),"/")</f>
        <v>/</v>
      </c>
      <c r="AK10" s="63" t="str" cm="1">
        <f t="array" ref="AK10">IFERROR(INDEX('Offer Statistics'!DY$2:DY$400,MATCH(1,($A10='Offer Statistics'!$DV$2:$DV$400)*($AA$2='Offer Statistics'!$DW$2:$DW$400),0)),"/")</f>
        <v>/</v>
      </c>
      <c r="AL10" s="63" t="str" cm="1">
        <f t="array" ref="AL10">IFERROR(INDEX('Offer Statistics'!DZ$2:DZ$400,MATCH(1,($A10='Offer Statistics'!$DV$2:$DV$400)*($AA$2='Offer Statistics'!$DW$2:$DW$400),0)),"/")</f>
        <v>/</v>
      </c>
      <c r="AM10" s="63" t="str" cm="1">
        <f t="array" ref="AM10">IFERROR(INDEX('Offer Statistics'!EA$2:EA$400,MATCH(1,($A10='Offer Statistics'!$DV$2:$DV$400)*($AA$2='Offer Statistics'!$DW$2:$DW$400),0)),"/")</f>
        <v>/</v>
      </c>
      <c r="AN10" s="63" t="str" cm="1">
        <f t="array" ref="AN10">IFERROR(INDEX('Offer Statistics'!EB$2:EB$400,MATCH(1,($A10='Offer Statistics'!$DV$2:$DV$400)*($AA$2='Offer Statistics'!$DW$2:$DW$400),0)),"/")</f>
        <v>/</v>
      </c>
      <c r="AO10" s="14"/>
      <c r="AP10" s="15" t="str">
        <f t="shared" si="7"/>
        <v>JS8006</v>
      </c>
    </row>
    <row r="11" spans="1:42" ht="18" customHeight="1">
      <c r="A11" s="4" t="str">
        <f>'Reference Score Calculation'!B344</f>
        <v>JS8012</v>
      </c>
      <c r="B11" s="4" t="str">
        <f>'Reference Score Calculation'!D344</f>
        <v>博文及社會科學學院</v>
      </c>
      <c r="C11" s="4" t="str">
        <f>'Reference Score Calculation'!E344</f>
        <v>社會學與社區研究榮譽社會科學學士及地理教育榮譽學士</v>
      </c>
      <c r="D11" s="4" t="str">
        <f>'Reference Score Calculation'!S344</f>
        <v>BSocSc(SCS)&amp;BEd(GEOG)</v>
      </c>
      <c r="E11" s="352" t="str">
        <f>'Reference Score Calculation'!AC344</f>
        <v>Best 5</v>
      </c>
      <c r="F11" s="373" t="str">
        <f>'Reference Score Calculation'!F344</f>
        <v>Best 5</v>
      </c>
      <c r="G11" s="44">
        <f>'Reference Score Calculation'!J344</f>
        <v>23.6</v>
      </c>
      <c r="H11" s="45">
        <f>計分版!J367</f>
        <v>3.4999999999999999E-9</v>
      </c>
      <c r="I11" s="25">
        <f t="shared" si="4"/>
        <v>-23.599999996500003</v>
      </c>
      <c r="J11" s="26">
        <f t="shared" si="5"/>
        <v>-6742857141.8571434</v>
      </c>
      <c r="K11" s="36">
        <f>'Reference Score Calculation'!U344</f>
        <v>12</v>
      </c>
      <c r="L11" s="84">
        <f>入學要求!Z353</f>
        <v>0</v>
      </c>
      <c r="M11" s="542"/>
      <c r="N11" s="249">
        <f>入學要求!L353</f>
        <v>3</v>
      </c>
      <c r="O11" s="249">
        <f>入學要求!M353</f>
        <v>3</v>
      </c>
      <c r="P11" s="249">
        <f>入學要求!N353</f>
        <v>2</v>
      </c>
      <c r="Q11" s="249">
        <f>入學要求!O353</f>
        <v>1</v>
      </c>
      <c r="R11" s="249">
        <f>入學要求!P353</f>
        <v>3</v>
      </c>
      <c r="S11" s="249">
        <f>入學要求!Q353</f>
        <v>2</v>
      </c>
      <c r="T11" s="248">
        <f>入學要求!S353</f>
        <v>0</v>
      </c>
      <c r="U11" s="248">
        <f>入學要求!T353</f>
        <v>0</v>
      </c>
      <c r="V11" s="248">
        <f>入學要求!U353</f>
        <v>0</v>
      </c>
      <c r="W11" s="248">
        <f>入學要求!V353</f>
        <v>0</v>
      </c>
      <c r="X11" s="248">
        <f>入學要求!W353</f>
        <v>0</v>
      </c>
      <c r="Y11" s="248">
        <f>入學要求!X353</f>
        <v>0</v>
      </c>
      <c r="Z11" s="44" t="str">
        <f t="shared" si="6"/>
        <v>/</v>
      </c>
      <c r="AA11" s="537"/>
      <c r="AB11" s="36" t="str" cm="1">
        <f t="array" ref="AB11">IFERROR(INDEX('Offer Statistics'!EK$2:EK$400,MATCH(1,($A11='Offer Statistics'!$DV$2:$DV$400)*($AA$2='Offer Statistics'!$DW$2:$DW$400),0)),"/")</f>
        <v>/</v>
      </c>
      <c r="AC11" s="63" t="str" cm="1">
        <f t="array" ref="AC11">IFERROR(INDEX('Offer Statistics'!EF$2:EF$400,MATCH(1,($A11='Offer Statistics'!$DV$2:$DV$400)*($AA$2='Offer Statistics'!$DW$2:$DW$400),0)),"/")</f>
        <v>/</v>
      </c>
      <c r="AD11" s="63" t="str" cm="1">
        <f t="array" ref="AD11">IFERROR(INDEX('Offer Statistics'!EG$2:EG$400,MATCH(1,($A11='Offer Statistics'!$DV$2:$DV$400)*($AA$2='Offer Statistics'!$DW$2:$DW$400),0)),"/")</f>
        <v>/</v>
      </c>
      <c r="AE11" s="63" t="str" cm="1">
        <f t="array" ref="AE11">IFERROR(INDEX('Offer Statistics'!EH$2:EH$400,MATCH(1,($A11='Offer Statistics'!$DV$2:$DV$400)*($AA$2='Offer Statistics'!$DW$2:$DW$400),0)),"/")</f>
        <v>/</v>
      </c>
      <c r="AF11" s="63" t="str" cm="1">
        <f t="array" ref="AF11">IFERROR(INDEX('Offer Statistics'!EI$2:EI$400,MATCH(1,($A11='Offer Statistics'!$DV$2:$DV$400)*($AA$2='Offer Statistics'!$DW$2:$DW$400),0)),"/")</f>
        <v>/</v>
      </c>
      <c r="AG11" s="63" t="str" cm="1">
        <f t="array" ref="AG11">IFERROR(INDEX('Offer Statistics'!EJ$2:EJ$400,MATCH(1,($A11='Offer Statistics'!$DV$2:$DV$400)*($AA$2='Offer Statistics'!$DW$2:$DW$400),0)),"/")</f>
        <v>/</v>
      </c>
      <c r="AH11" s="538"/>
      <c r="AI11" s="36" t="str" cm="1">
        <f t="array" ref="AI11">IFERROR(INDEX('Offer Statistics'!EC$2:EC$400,MATCH(1,($A11='Offer Statistics'!$DV$2:$DV$400)*($AA$2='Offer Statistics'!$DW$2:$DW$400),0)),"/")</f>
        <v>/</v>
      </c>
      <c r="AJ11" s="63" t="str" cm="1">
        <f t="array" ref="AJ11">IFERROR(INDEX('Offer Statistics'!DX$2:DX$400,MATCH(1,($A11='Offer Statistics'!$DV$2:$DV$400)*($AA$2='Offer Statistics'!$DW$2:$DW$400),0)),"/")</f>
        <v>/</v>
      </c>
      <c r="AK11" s="63" t="str" cm="1">
        <f t="array" ref="AK11">IFERROR(INDEX('Offer Statistics'!DY$2:DY$400,MATCH(1,($A11='Offer Statistics'!$DV$2:$DV$400)*($AA$2='Offer Statistics'!$DW$2:$DW$400),0)),"/")</f>
        <v>/</v>
      </c>
      <c r="AL11" s="63" t="str" cm="1">
        <f t="array" ref="AL11">IFERROR(INDEX('Offer Statistics'!DZ$2:DZ$400,MATCH(1,($A11='Offer Statistics'!$DV$2:$DV$400)*($AA$2='Offer Statistics'!$DW$2:$DW$400),0)),"/")</f>
        <v>/</v>
      </c>
      <c r="AM11" s="63" t="str" cm="1">
        <f t="array" ref="AM11">IFERROR(INDEX('Offer Statistics'!EA$2:EA$400,MATCH(1,($A11='Offer Statistics'!$DV$2:$DV$400)*($AA$2='Offer Statistics'!$DW$2:$DW$400),0)),"/")</f>
        <v>/</v>
      </c>
      <c r="AN11" s="63" t="str" cm="1">
        <f t="array" ref="AN11">IFERROR(INDEX('Offer Statistics'!EB$2:EB$400,MATCH(1,($A11='Offer Statistics'!$DV$2:$DV$400)*($AA$2='Offer Statistics'!$DW$2:$DW$400),0)),"/")</f>
        <v>/</v>
      </c>
      <c r="AO11" s="14"/>
      <c r="AP11" s="15" t="str">
        <f t="shared" si="7"/>
        <v>JS8012</v>
      </c>
    </row>
    <row r="12" spans="1:42" ht="18" customHeight="1">
      <c r="A12" s="4" t="str">
        <f>'Reference Score Calculation'!B345</f>
        <v>JS8011</v>
      </c>
      <c r="B12" s="4" t="str">
        <f>'Reference Score Calculation'!D345</f>
        <v>博文及社會科學學院</v>
      </c>
      <c r="C12" s="4" t="str">
        <f>'Reference Score Calculation'!E345</f>
        <v>綜合環境管理榮譽理學士及科學教育榮譽學士</v>
      </c>
      <c r="D12" s="4" t="str">
        <f>'Reference Score Calculation'!S345</f>
        <v>BSc(IEM)&amp;BEd(SCI)</v>
      </c>
      <c r="E12" s="352" t="str">
        <f>'Reference Score Calculation'!AC345</f>
        <v>Best 5</v>
      </c>
      <c r="F12" s="373" t="str">
        <f>'Reference Score Calculation'!F345</f>
        <v>Best 5</v>
      </c>
      <c r="G12" s="44">
        <f>'Reference Score Calculation'!J345</f>
        <v>22</v>
      </c>
      <c r="H12" s="45">
        <f>計分版!J368</f>
        <v>3.4999999999999999E-9</v>
      </c>
      <c r="I12" s="25">
        <f t="shared" si="4"/>
        <v>-21.999999996500001</v>
      </c>
      <c r="J12" s="26">
        <f t="shared" si="5"/>
        <v>-6285714284.7142859</v>
      </c>
      <c r="K12" s="36">
        <f>'Reference Score Calculation'!U345</f>
        <v>29</v>
      </c>
      <c r="L12" s="84">
        <f>入學要求!Z354</f>
        <v>0</v>
      </c>
      <c r="M12" s="542"/>
      <c r="N12" s="249">
        <f>入學要求!L354</f>
        <v>3</v>
      </c>
      <c r="O12" s="249">
        <f>入學要求!M354</f>
        <v>3</v>
      </c>
      <c r="P12" s="249">
        <f>入學要求!N354</f>
        <v>2</v>
      </c>
      <c r="Q12" s="249">
        <f>入學要求!O354</f>
        <v>1</v>
      </c>
      <c r="R12" s="249">
        <f>入學要求!P354</f>
        <v>4</v>
      </c>
      <c r="S12" s="249">
        <f>入學要求!Q354</f>
        <v>2</v>
      </c>
      <c r="T12" s="248">
        <f>入學要求!S354</f>
        <v>0</v>
      </c>
      <c r="U12" s="248">
        <f>入學要求!T354</f>
        <v>0</v>
      </c>
      <c r="V12" s="248">
        <f>入學要求!U354</f>
        <v>0</v>
      </c>
      <c r="W12" s="248">
        <f>入學要求!V354</f>
        <v>0</v>
      </c>
      <c r="X12" s="248">
        <f>入學要求!W354</f>
        <v>0</v>
      </c>
      <c r="Y12" s="248">
        <f>入學要求!X354</f>
        <v>0</v>
      </c>
      <c r="Z12" s="44" t="str">
        <f t="shared" si="6"/>
        <v>/</v>
      </c>
      <c r="AA12" s="537"/>
      <c r="AB12" s="36" t="str" cm="1">
        <f t="array" ref="AB12">IFERROR(INDEX('Offer Statistics'!EK$2:EK$400,MATCH(1,($A12='Offer Statistics'!$DV$2:$DV$400)*($AA$2='Offer Statistics'!$DW$2:$DW$400),0)),"/")</f>
        <v>/</v>
      </c>
      <c r="AC12" s="63" t="str" cm="1">
        <f t="array" ref="AC12">IFERROR(INDEX('Offer Statistics'!EF$2:EF$400,MATCH(1,($A12='Offer Statistics'!$DV$2:$DV$400)*($AA$2='Offer Statistics'!$DW$2:$DW$400),0)),"/")</f>
        <v>/</v>
      </c>
      <c r="AD12" s="63" t="str" cm="1">
        <f t="array" ref="AD12">IFERROR(INDEX('Offer Statistics'!EG$2:EG$400,MATCH(1,($A12='Offer Statistics'!$DV$2:$DV$400)*($AA$2='Offer Statistics'!$DW$2:$DW$400),0)),"/")</f>
        <v>/</v>
      </c>
      <c r="AE12" s="63" t="str" cm="1">
        <f t="array" ref="AE12">IFERROR(INDEX('Offer Statistics'!EH$2:EH$400,MATCH(1,($A12='Offer Statistics'!$DV$2:$DV$400)*($AA$2='Offer Statistics'!$DW$2:$DW$400),0)),"/")</f>
        <v>/</v>
      </c>
      <c r="AF12" s="63" t="str" cm="1">
        <f t="array" ref="AF12">IFERROR(INDEX('Offer Statistics'!EI$2:EI$400,MATCH(1,($A12='Offer Statistics'!$DV$2:$DV$400)*($AA$2='Offer Statistics'!$DW$2:$DW$400),0)),"/")</f>
        <v>/</v>
      </c>
      <c r="AG12" s="63" t="str" cm="1">
        <f t="array" ref="AG12">IFERROR(INDEX('Offer Statistics'!EJ$2:EJ$400,MATCH(1,($A12='Offer Statistics'!$DV$2:$DV$400)*($AA$2='Offer Statistics'!$DW$2:$DW$400),0)),"/")</f>
        <v>/</v>
      </c>
      <c r="AH12" s="538"/>
      <c r="AI12" s="36" t="str" cm="1">
        <f t="array" ref="AI12">IFERROR(INDEX('Offer Statistics'!EC$2:EC$400,MATCH(1,($A12='Offer Statistics'!$DV$2:$DV$400)*($AA$2='Offer Statistics'!$DW$2:$DW$400),0)),"/")</f>
        <v>/</v>
      </c>
      <c r="AJ12" s="63" t="str" cm="1">
        <f t="array" ref="AJ12">IFERROR(INDEX('Offer Statistics'!DX$2:DX$400,MATCH(1,($A12='Offer Statistics'!$DV$2:$DV$400)*($AA$2='Offer Statistics'!$DW$2:$DW$400),0)),"/")</f>
        <v>/</v>
      </c>
      <c r="AK12" s="63" t="str" cm="1">
        <f t="array" ref="AK12">IFERROR(INDEX('Offer Statistics'!DY$2:DY$400,MATCH(1,($A12='Offer Statistics'!$DV$2:$DV$400)*($AA$2='Offer Statistics'!$DW$2:$DW$400),0)),"/")</f>
        <v>/</v>
      </c>
      <c r="AL12" s="63" t="str" cm="1">
        <f t="array" ref="AL12">IFERROR(INDEX('Offer Statistics'!DZ$2:DZ$400,MATCH(1,($A12='Offer Statistics'!$DV$2:$DV$400)*($AA$2='Offer Statistics'!$DW$2:$DW$400),0)),"/")</f>
        <v>/</v>
      </c>
      <c r="AM12" s="63" t="str" cm="1">
        <f t="array" ref="AM12">IFERROR(INDEX('Offer Statistics'!EA$2:EA$400,MATCH(1,($A12='Offer Statistics'!$DV$2:$DV$400)*($AA$2='Offer Statistics'!$DW$2:$DW$400),0)),"/")</f>
        <v>/</v>
      </c>
      <c r="AN12" s="63" t="str" cm="1">
        <f t="array" ref="AN12">IFERROR(INDEX('Offer Statistics'!EB$2:EB$400,MATCH(1,($A12='Offer Statistics'!$DV$2:$DV$400)*($AA$2='Offer Statistics'!$DW$2:$DW$400),0)),"/")</f>
        <v>/</v>
      </c>
      <c r="AO12" s="14"/>
      <c r="AP12" s="15" t="str">
        <f t="shared" si="7"/>
        <v>JS8011</v>
      </c>
    </row>
    <row r="13" spans="1:42" ht="18" customHeight="1">
      <c r="A13" s="4" t="str">
        <f>'Reference Score Calculation'!B346</f>
        <v>JS8507</v>
      </c>
      <c r="B13" s="4" t="str">
        <f>'Reference Score Calculation'!D346</f>
        <v>教育及人類發展學院</v>
      </c>
      <c r="C13" s="4" t="str">
        <f>'Reference Score Calculation'!E346</f>
        <v>幼兒教育高級文憑</v>
      </c>
      <c r="D13" s="4" t="str">
        <f>'Reference Score Calculation'!S346</f>
        <v>HD(ECE)</v>
      </c>
      <c r="E13" s="352" t="str">
        <f>'Reference Score Calculation'!AC346</f>
        <v>Best 5</v>
      </c>
      <c r="F13" s="373" t="str">
        <f>'Reference Score Calculation'!F346</f>
        <v>Best 5</v>
      </c>
      <c r="G13" s="44">
        <f>'Reference Score Calculation'!J346</f>
        <v>14.5</v>
      </c>
      <c r="H13" s="45">
        <f>計分版!J369</f>
        <v>3.4999999999999999E-9</v>
      </c>
      <c r="I13" s="25">
        <f t="shared" si="4"/>
        <v>-14.4999999965</v>
      </c>
      <c r="J13" s="26">
        <f t="shared" si="5"/>
        <v>-4142857141.8571429</v>
      </c>
      <c r="K13" s="36">
        <f>'Reference Score Calculation'!U346</f>
        <v>264</v>
      </c>
      <c r="L13" s="84">
        <f>入學要求!Z355</f>
        <v>0</v>
      </c>
      <c r="M13" s="542"/>
      <c r="N13" s="249">
        <f>入學要求!L355</f>
        <v>2</v>
      </c>
      <c r="O13" s="249">
        <f>入學要求!M355</f>
        <v>2</v>
      </c>
      <c r="P13" s="249">
        <f>入學要求!N355</f>
        <v>2</v>
      </c>
      <c r="Q13" s="249">
        <f>入學要求!O355</f>
        <v>2</v>
      </c>
      <c r="R13" s="249">
        <f>入學要求!P355</f>
        <v>2</v>
      </c>
      <c r="S13" s="249"/>
      <c r="T13" s="248">
        <f>入學要求!S355</f>
        <v>0</v>
      </c>
      <c r="U13" s="248">
        <f>入學要求!T355</f>
        <v>0</v>
      </c>
      <c r="V13" s="248">
        <f>入學要求!U355</f>
        <v>0</v>
      </c>
      <c r="W13" s="248">
        <f>入學要求!V355</f>
        <v>0</v>
      </c>
      <c r="X13" s="248">
        <f>入學要求!W355</f>
        <v>0</v>
      </c>
      <c r="Y13" s="248">
        <f>入學要求!X355</f>
        <v>0</v>
      </c>
      <c r="Z13" s="44">
        <f t="shared" si="6"/>
        <v>4.3499999999999996</v>
      </c>
      <c r="AA13" s="537"/>
      <c r="AB13" s="36" cm="1">
        <f t="array" ref="AB13">IFERROR(INDEX('Offer Statistics'!EK$2:EK$400,MATCH(1,($A13='Offer Statistics'!$DV$2:$DV$400)*($AA$2='Offer Statistics'!$DW$2:$DW$400),0)),"/")</f>
        <v>416</v>
      </c>
      <c r="AC13" s="63" cm="1">
        <f t="array" ref="AC13">IFERROR(INDEX('Offer Statistics'!EF$2:EF$400,MATCH(1,($A13='Offer Statistics'!$DV$2:$DV$400)*($AA$2='Offer Statistics'!$DW$2:$DW$400),0)),"/")</f>
        <v>319</v>
      </c>
      <c r="AD13" s="63" cm="1">
        <f t="array" ref="AD13">IFERROR(INDEX('Offer Statistics'!EG$2:EG$400,MATCH(1,($A13='Offer Statistics'!$DV$2:$DV$400)*($AA$2='Offer Statistics'!$DW$2:$DW$400),0)),"/")</f>
        <v>45</v>
      </c>
      <c r="AE13" s="63" cm="1">
        <f t="array" ref="AE13">IFERROR(INDEX('Offer Statistics'!EH$2:EH$400,MATCH(1,($A13='Offer Statistics'!$DV$2:$DV$400)*($AA$2='Offer Statistics'!$DW$2:$DW$400),0)),"/")</f>
        <v>32</v>
      </c>
      <c r="AF13" s="63" cm="1">
        <f t="array" ref="AF13">IFERROR(INDEX('Offer Statistics'!EI$2:EI$400,MATCH(1,($A13='Offer Statistics'!$DV$2:$DV$400)*($AA$2='Offer Statistics'!$DW$2:$DW$400),0)),"/")</f>
        <v>11</v>
      </c>
      <c r="AG13" s="63" cm="1">
        <f t="array" ref="AG13">IFERROR(INDEX('Offer Statistics'!EJ$2:EJ$400,MATCH(1,($A13='Offer Statistics'!$DV$2:$DV$400)*($AA$2='Offer Statistics'!$DW$2:$DW$400),0)),"/")</f>
        <v>9</v>
      </c>
      <c r="AH13" s="538"/>
      <c r="AI13" s="36" cm="1">
        <f t="array" ref="AI13">IFERROR(INDEX('Offer Statistics'!EC$2:EC$400,MATCH(1,($A13='Offer Statistics'!$DV$2:$DV$400)*($AA$2='Offer Statistics'!$DW$2:$DW$400),0)),"/")</f>
        <v>3897</v>
      </c>
      <c r="AJ13" s="63" cm="1">
        <f t="array" ref="AJ13">IFERROR(INDEX('Offer Statistics'!DX$2:DX$400,MATCH(1,($A13='Offer Statistics'!$DV$2:$DV$400)*($AA$2='Offer Statistics'!$DW$2:$DW$400),0)),"/")</f>
        <v>1389</v>
      </c>
      <c r="AK13" s="63" cm="1">
        <f t="array" ref="AK13">IFERROR(INDEX('Offer Statistics'!DY$2:DY$400,MATCH(1,($A13='Offer Statistics'!$DV$2:$DV$400)*($AA$2='Offer Statistics'!$DW$2:$DW$400),0)),"/")</f>
        <v>696</v>
      </c>
      <c r="AL13" s="63" cm="1">
        <f t="array" ref="AL13">IFERROR(INDEX('Offer Statistics'!DZ$2:DZ$400,MATCH(1,($A13='Offer Statistics'!$DV$2:$DV$400)*($AA$2='Offer Statistics'!$DW$2:$DW$400),0)),"/")</f>
        <v>593</v>
      </c>
      <c r="AM13" s="63" cm="1">
        <f t="array" ref="AM13">IFERROR(INDEX('Offer Statistics'!EA$2:EA$400,MATCH(1,($A13='Offer Statistics'!$DV$2:$DV$400)*($AA$2='Offer Statistics'!$DW$2:$DW$400),0)),"/")</f>
        <v>549</v>
      </c>
      <c r="AN13" s="63" cm="1">
        <f t="array" ref="AN13">IFERROR(INDEX('Offer Statistics'!EB$2:EB$400,MATCH(1,($A13='Offer Statistics'!$DV$2:$DV$400)*($AA$2='Offer Statistics'!$DW$2:$DW$400),0)),"/")</f>
        <v>670</v>
      </c>
      <c r="AO13" s="14"/>
      <c r="AP13" s="15" t="str">
        <f t="shared" si="7"/>
        <v>JS8507</v>
      </c>
    </row>
    <row r="14" spans="1:42" ht="18" customHeight="1">
      <c r="A14" s="4" t="str">
        <f>'Reference Score Calculation'!B347</f>
        <v>JS8674</v>
      </c>
      <c r="B14" s="4" t="str">
        <f>'Reference Score Calculation'!D347</f>
        <v>人文學院</v>
      </c>
      <c r="C14" s="4" t="str">
        <f>'Reference Score Calculation'!E347</f>
        <v>數碼中國文化與傳意榮譽文學士</v>
      </c>
      <c r="D14" s="4" t="str">
        <f>'Reference Score Calculation'!S347</f>
        <v>BA(DCCC)</v>
      </c>
      <c r="E14" s="352" t="str">
        <f>'Reference Score Calculation'!AC347</f>
        <v>Best 5</v>
      </c>
      <c r="F14" s="373" t="str">
        <f>'Reference Score Calculation'!F347</f>
        <v>Best 5</v>
      </c>
      <c r="G14" s="44">
        <f>'Reference Score Calculation'!J347</f>
        <v>23.4</v>
      </c>
      <c r="H14" s="45">
        <f>計分版!J370</f>
        <v>3.4999999999999999E-9</v>
      </c>
      <c r="I14" s="25">
        <f t="shared" si="4"/>
        <v>-23.3999999965</v>
      </c>
      <c r="J14" s="26">
        <f t="shared" si="5"/>
        <v>-6685714284.7142859</v>
      </c>
      <c r="K14" s="36">
        <f>'Reference Score Calculation'!U347</f>
        <v>21</v>
      </c>
      <c r="L14" s="84">
        <f>入學要求!Z356</f>
        <v>0</v>
      </c>
      <c r="M14" s="542"/>
      <c r="N14" s="249">
        <f>入學要求!L356</f>
        <v>3</v>
      </c>
      <c r="O14" s="249">
        <f>入學要求!M356</f>
        <v>3</v>
      </c>
      <c r="P14" s="249">
        <f>入學要求!N356</f>
        <v>2</v>
      </c>
      <c r="Q14" s="249">
        <f>入學要求!O356</f>
        <v>1</v>
      </c>
      <c r="R14" s="249">
        <f>入學要求!P356</f>
        <v>2</v>
      </c>
      <c r="S14" s="249">
        <f>入學要求!Q356</f>
        <v>2</v>
      </c>
      <c r="T14" s="248">
        <f>入學要求!S356</f>
        <v>0</v>
      </c>
      <c r="U14" s="248">
        <f>入學要求!T356</f>
        <v>0</v>
      </c>
      <c r="V14" s="248">
        <f>入學要求!U356</f>
        <v>0</v>
      </c>
      <c r="W14" s="248">
        <f>入學要求!V356</f>
        <v>0</v>
      </c>
      <c r="X14" s="248">
        <f>入學要求!W356</f>
        <v>0</v>
      </c>
      <c r="Y14" s="248">
        <f>入學要求!X356</f>
        <v>0</v>
      </c>
      <c r="Z14" s="44" t="str">
        <f t="shared" si="6"/>
        <v>/</v>
      </c>
      <c r="AA14" s="537"/>
      <c r="AB14" s="36" t="str" cm="1">
        <f t="array" ref="AB14">IFERROR(INDEX('Offer Statistics'!EK$2:EK$400,MATCH(1,($A14='Offer Statistics'!$DV$2:$DV$400)*($AA$2='Offer Statistics'!$DW$2:$DW$400),0)),"/")</f>
        <v>/</v>
      </c>
      <c r="AC14" s="63" t="str" cm="1">
        <f t="array" ref="AC14">IFERROR(INDEX('Offer Statistics'!EF$2:EF$400,MATCH(1,($A14='Offer Statistics'!$DV$2:$DV$400)*($AA$2='Offer Statistics'!$DW$2:$DW$400),0)),"/")</f>
        <v>/</v>
      </c>
      <c r="AD14" s="63" t="str" cm="1">
        <f t="array" ref="AD14">IFERROR(INDEX('Offer Statistics'!EG$2:EG$400,MATCH(1,($A14='Offer Statistics'!$DV$2:$DV$400)*($AA$2='Offer Statistics'!$DW$2:$DW$400),0)),"/")</f>
        <v>/</v>
      </c>
      <c r="AE14" s="63" t="str" cm="1">
        <f t="array" ref="AE14">IFERROR(INDEX('Offer Statistics'!EH$2:EH$400,MATCH(1,($A14='Offer Statistics'!$DV$2:$DV$400)*($AA$2='Offer Statistics'!$DW$2:$DW$400),0)),"/")</f>
        <v>/</v>
      </c>
      <c r="AF14" s="63" t="str" cm="1">
        <f t="array" ref="AF14">IFERROR(INDEX('Offer Statistics'!EI$2:EI$400,MATCH(1,($A14='Offer Statistics'!$DV$2:$DV$400)*($AA$2='Offer Statistics'!$DW$2:$DW$400),0)),"/")</f>
        <v>/</v>
      </c>
      <c r="AG14" s="63" t="str" cm="1">
        <f t="array" ref="AG14">IFERROR(INDEX('Offer Statistics'!EJ$2:EJ$400,MATCH(1,($A14='Offer Statistics'!$DV$2:$DV$400)*($AA$2='Offer Statistics'!$DW$2:$DW$400),0)),"/")</f>
        <v>/</v>
      </c>
      <c r="AH14" s="538"/>
      <c r="AI14" s="36" t="str" cm="1">
        <f t="array" ref="AI14">IFERROR(INDEX('Offer Statistics'!EC$2:EC$400,MATCH(1,($A14='Offer Statistics'!$DV$2:$DV$400)*($AA$2='Offer Statistics'!$DW$2:$DW$400),0)),"/")</f>
        <v>/</v>
      </c>
      <c r="AJ14" s="63" t="str" cm="1">
        <f t="array" ref="AJ14">IFERROR(INDEX('Offer Statistics'!DX$2:DX$400,MATCH(1,($A14='Offer Statistics'!$DV$2:$DV$400)*($AA$2='Offer Statistics'!$DW$2:$DW$400),0)),"/")</f>
        <v>/</v>
      </c>
      <c r="AK14" s="63" t="str" cm="1">
        <f t="array" ref="AK14">IFERROR(INDEX('Offer Statistics'!DY$2:DY$400,MATCH(1,($A14='Offer Statistics'!$DV$2:$DV$400)*($AA$2='Offer Statistics'!$DW$2:$DW$400),0)),"/")</f>
        <v>/</v>
      </c>
      <c r="AL14" s="63" t="str" cm="1">
        <f t="array" ref="AL14">IFERROR(INDEX('Offer Statistics'!DZ$2:DZ$400,MATCH(1,($A14='Offer Statistics'!$DV$2:$DV$400)*($AA$2='Offer Statistics'!$DW$2:$DW$400),0)),"/")</f>
        <v>/</v>
      </c>
      <c r="AM14" s="63" t="str" cm="1">
        <f t="array" ref="AM14">IFERROR(INDEX('Offer Statistics'!EA$2:EA$400,MATCH(1,($A14='Offer Statistics'!$DV$2:$DV$400)*($AA$2='Offer Statistics'!$DW$2:$DW$400),0)),"/")</f>
        <v>/</v>
      </c>
      <c r="AN14" s="63" t="str" cm="1">
        <f t="array" ref="AN14">IFERROR(INDEX('Offer Statistics'!EB$2:EB$400,MATCH(1,($A14='Offer Statistics'!$DV$2:$DV$400)*($AA$2='Offer Statistics'!$DW$2:$DW$400),0)),"/")</f>
        <v>/</v>
      </c>
      <c r="AO14" s="14"/>
      <c r="AP14" s="15" t="str">
        <f t="shared" si="7"/>
        <v>JS8674</v>
      </c>
    </row>
    <row r="15" spans="1:42" ht="18" customHeight="1">
      <c r="A15" s="4" t="str">
        <f>'Reference Score Calculation'!B348</f>
        <v>JS8685</v>
      </c>
      <c r="B15" s="4" t="str">
        <f>'Reference Score Calculation'!D348</f>
        <v>博文及社會科學學院</v>
      </c>
      <c r="C15" s="4" t="str">
        <f>'Reference Score Calculation'!E348</f>
        <v>創意藝術與數碼藝術榮譽文學士 (音樂)</v>
      </c>
      <c r="D15" s="4" t="str">
        <f>'Reference Score Calculation'!S348</f>
        <v>BA(CDA)-MU</v>
      </c>
      <c r="E15" s="352" t="str">
        <f>'Reference Score Calculation'!AC348</f>
        <v>Best 5</v>
      </c>
      <c r="F15" s="373" t="str">
        <f>'Reference Score Calculation'!F348</f>
        <v>Best 5</v>
      </c>
      <c r="G15" s="44">
        <f>'Reference Score Calculation'!J348</f>
        <v>18</v>
      </c>
      <c r="H15" s="45">
        <f>計分版!J371</f>
        <v>3.4999999999999999E-9</v>
      </c>
      <c r="I15" s="25">
        <f t="shared" si="4"/>
        <v>-17.999999996500001</v>
      </c>
      <c r="J15" s="26">
        <f t="shared" si="5"/>
        <v>-5142857141.8571434</v>
      </c>
      <c r="K15" s="36">
        <f>'Reference Score Calculation'!U348</f>
        <v>10</v>
      </c>
      <c r="L15" s="84">
        <f>入學要求!Z357</f>
        <v>0</v>
      </c>
      <c r="M15" s="542"/>
      <c r="N15" s="249">
        <f>入學要求!L357</f>
        <v>3</v>
      </c>
      <c r="O15" s="249">
        <f>入學要求!M357</f>
        <v>3</v>
      </c>
      <c r="P15" s="249">
        <f>入學要求!N357</f>
        <v>2</v>
      </c>
      <c r="Q15" s="249">
        <f>入學要求!O357</f>
        <v>1</v>
      </c>
      <c r="R15" s="249">
        <f>入學要求!P357</f>
        <v>2</v>
      </c>
      <c r="S15" s="249">
        <f>入學要求!Q357</f>
        <v>2</v>
      </c>
      <c r="T15" s="248">
        <f>入學要求!S357</f>
        <v>0</v>
      </c>
      <c r="U15" s="248">
        <f>入學要求!T357</f>
        <v>0</v>
      </c>
      <c r="V15" s="248">
        <f>入學要求!U357</f>
        <v>0</v>
      </c>
      <c r="W15" s="248">
        <f>入學要求!V357</f>
        <v>0</v>
      </c>
      <c r="X15" s="248">
        <f>入學要求!W357</f>
        <v>0</v>
      </c>
      <c r="Y15" s="248">
        <f>入學要求!X357</f>
        <v>0</v>
      </c>
      <c r="Z15" s="44" t="str">
        <f t="shared" si="6"/>
        <v>/</v>
      </c>
      <c r="AA15" s="537"/>
      <c r="AB15" s="36" t="str" cm="1">
        <f t="array" ref="AB15">IFERROR(INDEX('Offer Statistics'!EK$2:EK$400,MATCH(1,($A15='Offer Statistics'!$DV$2:$DV$400)*($AA$2='Offer Statistics'!$DW$2:$DW$400),0)),"/")</f>
        <v>/</v>
      </c>
      <c r="AC15" s="63" t="str" cm="1">
        <f t="array" ref="AC15">IFERROR(INDEX('Offer Statistics'!EF$2:EF$400,MATCH(1,($A15='Offer Statistics'!$DV$2:$DV$400)*($AA$2='Offer Statistics'!$DW$2:$DW$400),0)),"/")</f>
        <v>/</v>
      </c>
      <c r="AD15" s="63" t="str" cm="1">
        <f t="array" ref="AD15">IFERROR(INDEX('Offer Statistics'!EG$2:EG$400,MATCH(1,($A15='Offer Statistics'!$DV$2:$DV$400)*($AA$2='Offer Statistics'!$DW$2:$DW$400),0)),"/")</f>
        <v>/</v>
      </c>
      <c r="AE15" s="63" t="str" cm="1">
        <f t="array" ref="AE15">IFERROR(INDEX('Offer Statistics'!EH$2:EH$400,MATCH(1,($A15='Offer Statistics'!$DV$2:$DV$400)*($AA$2='Offer Statistics'!$DW$2:$DW$400),0)),"/")</f>
        <v>/</v>
      </c>
      <c r="AF15" s="63" t="str" cm="1">
        <f t="array" ref="AF15">IFERROR(INDEX('Offer Statistics'!EI$2:EI$400,MATCH(1,($A15='Offer Statistics'!$DV$2:$DV$400)*($AA$2='Offer Statistics'!$DW$2:$DW$400),0)),"/")</f>
        <v>/</v>
      </c>
      <c r="AG15" s="63" t="str" cm="1">
        <f t="array" ref="AG15">IFERROR(INDEX('Offer Statistics'!EJ$2:EJ$400,MATCH(1,($A15='Offer Statistics'!$DV$2:$DV$400)*($AA$2='Offer Statistics'!$DW$2:$DW$400),0)),"/")</f>
        <v>/</v>
      </c>
      <c r="AH15" s="538"/>
      <c r="AI15" s="36" t="str" cm="1">
        <f t="array" ref="AI15">IFERROR(INDEX('Offer Statistics'!EC$2:EC$400,MATCH(1,($A15='Offer Statistics'!$DV$2:$DV$400)*($AA$2='Offer Statistics'!$DW$2:$DW$400),0)),"/")</f>
        <v>/</v>
      </c>
      <c r="AJ15" s="63" t="str" cm="1">
        <f t="array" ref="AJ15">IFERROR(INDEX('Offer Statistics'!DX$2:DX$400,MATCH(1,($A15='Offer Statistics'!$DV$2:$DV$400)*($AA$2='Offer Statistics'!$DW$2:$DW$400),0)),"/")</f>
        <v>/</v>
      </c>
      <c r="AK15" s="63" t="str" cm="1">
        <f t="array" ref="AK15">IFERROR(INDEX('Offer Statistics'!DY$2:DY$400,MATCH(1,($A15='Offer Statistics'!$DV$2:$DV$400)*($AA$2='Offer Statistics'!$DW$2:$DW$400),0)),"/")</f>
        <v>/</v>
      </c>
      <c r="AL15" s="63" t="str" cm="1">
        <f t="array" ref="AL15">IFERROR(INDEX('Offer Statistics'!DZ$2:DZ$400,MATCH(1,($A15='Offer Statistics'!$DV$2:$DV$400)*($AA$2='Offer Statistics'!$DW$2:$DW$400),0)),"/")</f>
        <v>/</v>
      </c>
      <c r="AM15" s="63" t="str" cm="1">
        <f t="array" ref="AM15">IFERROR(INDEX('Offer Statistics'!EA$2:EA$400,MATCH(1,($A15='Offer Statistics'!$DV$2:$DV$400)*($AA$2='Offer Statistics'!$DW$2:$DW$400),0)),"/")</f>
        <v>/</v>
      </c>
      <c r="AN15" s="63" t="str" cm="1">
        <f t="array" ref="AN15">IFERROR(INDEX('Offer Statistics'!EB$2:EB$400,MATCH(1,($A15='Offer Statistics'!$DV$2:$DV$400)*($AA$2='Offer Statistics'!$DW$2:$DW$400),0)),"/")</f>
        <v>/</v>
      </c>
      <c r="AO15" s="14"/>
      <c r="AP15" s="15" t="str">
        <f t="shared" si="7"/>
        <v>JS8685</v>
      </c>
    </row>
    <row r="16" spans="1:42" ht="18" customHeight="1">
      <c r="A16" s="4" t="str">
        <f>'Reference Score Calculation'!B349</f>
        <v>JS8686</v>
      </c>
      <c r="B16" s="4" t="str">
        <f>'Reference Score Calculation'!D349</f>
        <v>博文及社會科學學院</v>
      </c>
      <c r="C16" s="4" t="str">
        <f>'Reference Score Calculation'!E349</f>
        <v>創意藝術與數碼藝術榮譽文學士 (視覺藝術)</v>
      </c>
      <c r="D16" s="4" t="str">
        <f>'Reference Score Calculation'!S349</f>
        <v>BA(CDA)-VA</v>
      </c>
      <c r="E16" s="352" t="str">
        <f>'Reference Score Calculation'!AC349</f>
        <v>Best 5</v>
      </c>
      <c r="F16" s="373" t="str">
        <f>'Reference Score Calculation'!F349</f>
        <v>Best 5</v>
      </c>
      <c r="G16" s="44">
        <f>'Reference Score Calculation'!J349</f>
        <v>20.5</v>
      </c>
      <c r="H16" s="45">
        <f>計分版!J372</f>
        <v>3.4999999999999999E-9</v>
      </c>
      <c r="I16" s="25">
        <f t="shared" si="4"/>
        <v>-20.499999996500001</v>
      </c>
      <c r="J16" s="26">
        <f t="shared" si="5"/>
        <v>-5857142856.1428576</v>
      </c>
      <c r="K16" s="36">
        <f>'Reference Score Calculation'!U349</f>
        <v>10</v>
      </c>
      <c r="L16" s="84">
        <f>入學要求!Z358</f>
        <v>0</v>
      </c>
      <c r="M16" s="542"/>
      <c r="N16" s="249">
        <f>入學要求!L358</f>
        <v>3</v>
      </c>
      <c r="O16" s="249">
        <f>入學要求!M358</f>
        <v>3</v>
      </c>
      <c r="P16" s="249">
        <f>入學要求!N358</f>
        <v>2</v>
      </c>
      <c r="Q16" s="249">
        <f>入學要求!O358</f>
        <v>1</v>
      </c>
      <c r="R16" s="249">
        <f>入學要求!P358</f>
        <v>2</v>
      </c>
      <c r="S16" s="249">
        <f>入學要求!Q358</f>
        <v>2</v>
      </c>
      <c r="T16" s="248">
        <f>入學要求!S358</f>
        <v>0</v>
      </c>
      <c r="U16" s="248">
        <f>入學要求!T358</f>
        <v>0</v>
      </c>
      <c r="V16" s="248">
        <f>入學要求!U358</f>
        <v>0</v>
      </c>
      <c r="W16" s="248">
        <f>入學要求!V358</f>
        <v>0</v>
      </c>
      <c r="X16" s="248">
        <f>入學要求!W358</f>
        <v>0</v>
      </c>
      <c r="Y16" s="248">
        <f>入學要求!X358</f>
        <v>0</v>
      </c>
      <c r="Z16" s="44" t="str">
        <f t="shared" si="6"/>
        <v>/</v>
      </c>
      <c r="AA16" s="537"/>
      <c r="AB16" s="36" t="str" cm="1">
        <f t="array" ref="AB16">IFERROR(INDEX('Offer Statistics'!EK$2:EK$400,MATCH(1,($A16='Offer Statistics'!$DV$2:$DV$400)*($AA$2='Offer Statistics'!$DW$2:$DW$400),0)),"/")</f>
        <v>/</v>
      </c>
      <c r="AC16" s="63" t="str" cm="1">
        <f t="array" ref="AC16">IFERROR(INDEX('Offer Statistics'!EF$2:EF$400,MATCH(1,($A16='Offer Statistics'!$DV$2:$DV$400)*($AA$2='Offer Statistics'!$DW$2:$DW$400),0)),"/")</f>
        <v>/</v>
      </c>
      <c r="AD16" s="63" t="str" cm="1">
        <f t="array" ref="AD16">IFERROR(INDEX('Offer Statistics'!EG$2:EG$400,MATCH(1,($A16='Offer Statistics'!$DV$2:$DV$400)*($AA$2='Offer Statistics'!$DW$2:$DW$400),0)),"/")</f>
        <v>/</v>
      </c>
      <c r="AE16" s="63" t="str" cm="1">
        <f t="array" ref="AE16">IFERROR(INDEX('Offer Statistics'!EH$2:EH$400,MATCH(1,($A16='Offer Statistics'!$DV$2:$DV$400)*($AA$2='Offer Statistics'!$DW$2:$DW$400),0)),"/")</f>
        <v>/</v>
      </c>
      <c r="AF16" s="63" t="str" cm="1">
        <f t="array" ref="AF16">IFERROR(INDEX('Offer Statistics'!EI$2:EI$400,MATCH(1,($A16='Offer Statistics'!$DV$2:$DV$400)*($AA$2='Offer Statistics'!$DW$2:$DW$400),0)),"/")</f>
        <v>/</v>
      </c>
      <c r="AG16" s="63" t="str" cm="1">
        <f t="array" ref="AG16">IFERROR(INDEX('Offer Statistics'!EJ$2:EJ$400,MATCH(1,($A16='Offer Statistics'!$DV$2:$DV$400)*($AA$2='Offer Statistics'!$DW$2:$DW$400),0)),"/")</f>
        <v>/</v>
      </c>
      <c r="AH16" s="538"/>
      <c r="AI16" s="36" t="str" cm="1">
        <f t="array" ref="AI16">IFERROR(INDEX('Offer Statistics'!EC$2:EC$400,MATCH(1,($A16='Offer Statistics'!$DV$2:$DV$400)*($AA$2='Offer Statistics'!$DW$2:$DW$400),0)),"/")</f>
        <v>/</v>
      </c>
      <c r="AJ16" s="63" t="str" cm="1">
        <f t="array" ref="AJ16">IFERROR(INDEX('Offer Statistics'!DX$2:DX$400,MATCH(1,($A16='Offer Statistics'!$DV$2:$DV$400)*($AA$2='Offer Statistics'!$DW$2:$DW$400),0)),"/")</f>
        <v>/</v>
      </c>
      <c r="AK16" s="63" t="str" cm="1">
        <f t="array" ref="AK16">IFERROR(INDEX('Offer Statistics'!DY$2:DY$400,MATCH(1,($A16='Offer Statistics'!$DV$2:$DV$400)*($AA$2='Offer Statistics'!$DW$2:$DW$400),0)),"/")</f>
        <v>/</v>
      </c>
      <c r="AL16" s="63" t="str" cm="1">
        <f t="array" ref="AL16">IFERROR(INDEX('Offer Statistics'!DZ$2:DZ$400,MATCH(1,($A16='Offer Statistics'!$DV$2:$DV$400)*($AA$2='Offer Statistics'!$DW$2:$DW$400),0)),"/")</f>
        <v>/</v>
      </c>
      <c r="AM16" s="63" t="str" cm="1">
        <f t="array" ref="AM16">IFERROR(INDEX('Offer Statistics'!EA$2:EA$400,MATCH(1,($A16='Offer Statistics'!$DV$2:$DV$400)*($AA$2='Offer Statistics'!$DW$2:$DW$400),0)),"/")</f>
        <v>/</v>
      </c>
      <c r="AN16" s="63" t="str" cm="1">
        <f t="array" ref="AN16">IFERROR(INDEX('Offer Statistics'!EB$2:EB$400,MATCH(1,($A16='Offer Statistics'!$DV$2:$DV$400)*($AA$2='Offer Statistics'!$DW$2:$DW$400),0)),"/")</f>
        <v>/</v>
      </c>
      <c r="AO16" s="14"/>
      <c r="AP16" s="15" t="str">
        <f t="shared" si="7"/>
        <v>JS8686</v>
      </c>
    </row>
    <row r="17" spans="1:42" ht="18" customHeight="1">
      <c r="A17" s="4" t="str">
        <f>'Reference Score Calculation'!B350</f>
        <v>JS8651</v>
      </c>
      <c r="B17" s="4" t="str">
        <f>'Reference Score Calculation'!D350</f>
        <v>教育及人類發展學院</v>
      </c>
      <c r="C17" s="4" t="str">
        <f>'Reference Score Calculation'!E350</f>
        <v>心理學榮譽社會科學學士</v>
      </c>
      <c r="D17" s="4" t="str">
        <f>'Reference Score Calculation'!S350</f>
        <v>BSocSc(Psy)</v>
      </c>
      <c r="E17" s="352" t="str">
        <f>'Reference Score Calculation'!AC350</f>
        <v>Best 5</v>
      </c>
      <c r="F17" s="373" t="str">
        <f>'Reference Score Calculation'!F350</f>
        <v>Best 5</v>
      </c>
      <c r="G17" s="44">
        <f>'Reference Score Calculation'!J350</f>
        <v>20</v>
      </c>
      <c r="H17" s="45">
        <f>計分版!J373</f>
        <v>3.4999999999999999E-9</v>
      </c>
      <c r="I17" s="25">
        <f t="shared" si="4"/>
        <v>-19.999999996500001</v>
      </c>
      <c r="J17" s="26">
        <f t="shared" si="5"/>
        <v>-5714285713.2857151</v>
      </c>
      <c r="K17" s="36">
        <f>'Reference Score Calculation'!U350</f>
        <v>20</v>
      </c>
      <c r="L17" s="84">
        <f>入學要求!Z359</f>
        <v>0</v>
      </c>
      <c r="M17" s="542"/>
      <c r="N17" s="249">
        <f>入學要求!L359</f>
        <v>3</v>
      </c>
      <c r="O17" s="249">
        <f>入學要求!M359</f>
        <v>3</v>
      </c>
      <c r="P17" s="249">
        <f>入學要求!N359</f>
        <v>2</v>
      </c>
      <c r="Q17" s="249">
        <f>入學要求!O359</f>
        <v>1</v>
      </c>
      <c r="R17" s="249">
        <f>入學要求!P359</f>
        <v>2</v>
      </c>
      <c r="S17" s="249">
        <f>入學要求!Q359</f>
        <v>2</v>
      </c>
      <c r="T17" s="248">
        <f>入學要求!S359</f>
        <v>0</v>
      </c>
      <c r="U17" s="248">
        <f>入學要求!T359</f>
        <v>0</v>
      </c>
      <c r="V17" s="248">
        <f>入學要求!U359</f>
        <v>0</v>
      </c>
      <c r="W17" s="248">
        <f>入學要求!V359</f>
        <v>0</v>
      </c>
      <c r="X17" s="248">
        <f>入學要求!W359</f>
        <v>0</v>
      </c>
      <c r="Y17" s="248">
        <f>入學要求!X359</f>
        <v>0</v>
      </c>
      <c r="Z17" s="44">
        <f t="shared" si="6"/>
        <v>22.71</v>
      </c>
      <c r="AA17" s="537"/>
      <c r="AB17" s="36" cm="1">
        <f t="array" ref="AB17">IFERROR(INDEX('Offer Statistics'!EK$2:EK$400,MATCH(1,($A17='Offer Statistics'!$DV$2:$DV$400)*($AA$2='Offer Statistics'!$DW$2:$DW$400),0)),"/")</f>
        <v>20</v>
      </c>
      <c r="AC17" s="63" cm="1">
        <f t="array" ref="AC17">IFERROR(INDEX('Offer Statistics'!EF$2:EF$400,MATCH(1,($A17='Offer Statistics'!$DV$2:$DV$400)*($AA$2='Offer Statistics'!$DW$2:$DW$400),0)),"/")</f>
        <v>17</v>
      </c>
      <c r="AD17" s="63" cm="1">
        <f t="array" ref="AD17">IFERROR(INDEX('Offer Statistics'!EG$2:EG$400,MATCH(1,($A17='Offer Statistics'!$DV$2:$DV$400)*($AA$2='Offer Statistics'!$DW$2:$DW$400),0)),"/")</f>
        <v>1</v>
      </c>
      <c r="AE17" s="63" cm="1">
        <f t="array" ref="AE17">IFERROR(INDEX('Offer Statistics'!EH$2:EH$400,MATCH(1,($A17='Offer Statistics'!$DV$2:$DV$400)*($AA$2='Offer Statistics'!$DW$2:$DW$400),0)),"/")</f>
        <v>2</v>
      </c>
      <c r="AF17" s="63" cm="1">
        <f t="array" ref="AF17">IFERROR(INDEX('Offer Statistics'!EI$2:EI$400,MATCH(1,($A17='Offer Statistics'!$DV$2:$DV$400)*($AA$2='Offer Statistics'!$DW$2:$DW$400),0)),"/")</f>
        <v>0</v>
      </c>
      <c r="AG17" s="63" cm="1">
        <f t="array" ref="AG17">IFERROR(INDEX('Offer Statistics'!EJ$2:EJ$400,MATCH(1,($A17='Offer Statistics'!$DV$2:$DV$400)*($AA$2='Offer Statistics'!$DW$2:$DW$400),0)),"/")</f>
        <v>0</v>
      </c>
      <c r="AH17" s="538"/>
      <c r="AI17" s="36" cm="1">
        <f t="array" ref="AI17">IFERROR(INDEX('Offer Statistics'!EC$2:EC$400,MATCH(1,($A17='Offer Statistics'!$DV$2:$DV$400)*($AA$2='Offer Statistics'!$DW$2:$DW$400),0)),"/")</f>
        <v>3980</v>
      </c>
      <c r="AJ17" s="63" cm="1">
        <f t="array" ref="AJ17">IFERROR(INDEX('Offer Statistics'!DX$2:DX$400,MATCH(1,($A17='Offer Statistics'!$DV$2:$DV$400)*($AA$2='Offer Statistics'!$DW$2:$DW$400),0)),"/")</f>
        <v>386</v>
      </c>
      <c r="AK17" s="63" cm="1">
        <f t="array" ref="AK17">IFERROR(INDEX('Offer Statistics'!DY$2:DY$400,MATCH(1,($A17='Offer Statistics'!$DV$2:$DV$400)*($AA$2='Offer Statistics'!$DW$2:$DW$400),0)),"/")</f>
        <v>553</v>
      </c>
      <c r="AL17" s="63" cm="1">
        <f t="array" ref="AL17">IFERROR(INDEX('Offer Statistics'!DZ$2:DZ$400,MATCH(1,($A17='Offer Statistics'!$DV$2:$DV$400)*($AA$2='Offer Statistics'!$DW$2:$DW$400),0)),"/")</f>
        <v>919</v>
      </c>
      <c r="AM17" s="63" cm="1">
        <f t="array" ref="AM17">IFERROR(INDEX('Offer Statistics'!EA$2:EA$400,MATCH(1,($A17='Offer Statistics'!$DV$2:$DV$400)*($AA$2='Offer Statistics'!$DW$2:$DW$400),0)),"/")</f>
        <v>1143</v>
      </c>
      <c r="AN17" s="63" cm="1">
        <f t="array" ref="AN17">IFERROR(INDEX('Offer Statistics'!EB$2:EB$400,MATCH(1,($A17='Offer Statistics'!$DV$2:$DV$400)*($AA$2='Offer Statistics'!$DW$2:$DW$400),0)),"/")</f>
        <v>979</v>
      </c>
      <c r="AO17" s="14"/>
      <c r="AP17" s="15" t="str">
        <f t="shared" si="7"/>
        <v>JS8651</v>
      </c>
    </row>
    <row r="18" spans="1:42" ht="18" customHeight="1">
      <c r="A18" s="4" t="str">
        <f>'Reference Score Calculation'!B351</f>
        <v>JS8663</v>
      </c>
      <c r="B18" s="4" t="str">
        <f>'Reference Score Calculation'!D351</f>
        <v>教育及人類發展學院</v>
      </c>
      <c r="C18" s="4" t="str">
        <f>'Reference Score Calculation'!E351</f>
        <v>特殊教育榮譽文學士</v>
      </c>
      <c r="D18" s="4" t="str">
        <f>'Reference Score Calculation'!S351</f>
        <v>BA(SE)</v>
      </c>
      <c r="E18" s="352" t="str">
        <f>'Reference Score Calculation'!AC351</f>
        <v>Best 5</v>
      </c>
      <c r="F18" s="373" t="str">
        <f>'Reference Score Calculation'!F351</f>
        <v>Best 5</v>
      </c>
      <c r="G18" s="44">
        <f>'Reference Score Calculation'!J351</f>
        <v>22.8</v>
      </c>
      <c r="H18" s="45">
        <f>計分版!J374</f>
        <v>3.4999999999999999E-9</v>
      </c>
      <c r="I18" s="25">
        <f t="shared" si="4"/>
        <v>-22.799999996500002</v>
      </c>
      <c r="J18" s="26">
        <f t="shared" si="5"/>
        <v>-6514285713.2857151</v>
      </c>
      <c r="K18" s="36">
        <f>'Reference Score Calculation'!U351</f>
        <v>20</v>
      </c>
      <c r="L18" s="84">
        <f>入學要求!Z360</f>
        <v>0</v>
      </c>
      <c r="M18" s="542"/>
      <c r="N18" s="249">
        <f>入學要求!L360</f>
        <v>3</v>
      </c>
      <c r="O18" s="249">
        <f>入學要求!M360</f>
        <v>3</v>
      </c>
      <c r="P18" s="249">
        <f>入學要求!N360</f>
        <v>2</v>
      </c>
      <c r="Q18" s="249">
        <f>入學要求!O360</f>
        <v>1</v>
      </c>
      <c r="R18" s="249">
        <f>入學要求!P360</f>
        <v>2</v>
      </c>
      <c r="S18" s="249">
        <f>入學要求!Q360</f>
        <v>2</v>
      </c>
      <c r="T18" s="248">
        <f>入學要求!S360</f>
        <v>0</v>
      </c>
      <c r="U18" s="248">
        <f>入學要求!T360</f>
        <v>0</v>
      </c>
      <c r="V18" s="248">
        <f>入學要求!U360</f>
        <v>0</v>
      </c>
      <c r="W18" s="248">
        <f>入學要求!V360</f>
        <v>0</v>
      </c>
      <c r="X18" s="248">
        <f>入學要求!W360</f>
        <v>0</v>
      </c>
      <c r="Y18" s="248">
        <f>入學要求!X360</f>
        <v>0</v>
      </c>
      <c r="Z18" s="44">
        <f t="shared" si="6"/>
        <v>14.89</v>
      </c>
      <c r="AA18" s="537"/>
      <c r="AB18" s="36" cm="1">
        <f t="array" ref="AB18">IFERROR(INDEX('Offer Statistics'!EK$2:EK$400,MATCH(1,($A18='Offer Statistics'!$DV$2:$DV$400)*($AA$2='Offer Statistics'!$DW$2:$DW$400),0)),"/")</f>
        <v>18</v>
      </c>
      <c r="AC18" s="63" cm="1">
        <f t="array" ref="AC18">IFERROR(INDEX('Offer Statistics'!EF$2:EF$400,MATCH(1,($A18='Offer Statistics'!$DV$2:$DV$400)*($AA$2='Offer Statistics'!$DW$2:$DW$400),0)),"/")</f>
        <v>18</v>
      </c>
      <c r="AD18" s="63" cm="1">
        <f t="array" ref="AD18">IFERROR(INDEX('Offer Statistics'!EG$2:EG$400,MATCH(1,($A18='Offer Statistics'!$DV$2:$DV$400)*($AA$2='Offer Statistics'!$DW$2:$DW$400),0)),"/")</f>
        <v>0</v>
      </c>
      <c r="AE18" s="63" cm="1">
        <f t="array" ref="AE18">IFERROR(INDEX('Offer Statistics'!EH$2:EH$400,MATCH(1,($A18='Offer Statistics'!$DV$2:$DV$400)*($AA$2='Offer Statistics'!$DW$2:$DW$400),0)),"/")</f>
        <v>0</v>
      </c>
      <c r="AF18" s="63" cm="1">
        <f t="array" ref="AF18">IFERROR(INDEX('Offer Statistics'!EI$2:EI$400,MATCH(1,($A18='Offer Statistics'!$DV$2:$DV$400)*($AA$2='Offer Statistics'!$DW$2:$DW$400),0)),"/")</f>
        <v>0</v>
      </c>
      <c r="AG18" s="63" cm="1">
        <f t="array" ref="AG18">IFERROR(INDEX('Offer Statistics'!EJ$2:EJ$400,MATCH(1,($A18='Offer Statistics'!$DV$2:$DV$400)*($AA$2='Offer Statistics'!$DW$2:$DW$400),0)),"/")</f>
        <v>0</v>
      </c>
      <c r="AH18" s="538"/>
      <c r="AI18" s="36" cm="1">
        <f t="array" ref="AI18">IFERROR(INDEX('Offer Statistics'!EC$2:EC$400,MATCH(1,($A18='Offer Statistics'!$DV$2:$DV$400)*($AA$2='Offer Statistics'!$DW$2:$DW$400),0)),"/")</f>
        <v>1693</v>
      </c>
      <c r="AJ18" s="63" cm="1">
        <f t="array" ref="AJ18">IFERROR(INDEX('Offer Statistics'!DX$2:DX$400,MATCH(1,($A18='Offer Statistics'!$DV$2:$DV$400)*($AA$2='Offer Statistics'!$DW$2:$DW$400),0)),"/")</f>
        <v>268</v>
      </c>
      <c r="AK18" s="63" cm="1">
        <f t="array" ref="AK18">IFERROR(INDEX('Offer Statistics'!DY$2:DY$400,MATCH(1,($A18='Offer Statistics'!$DV$2:$DV$400)*($AA$2='Offer Statistics'!$DW$2:$DW$400),0)),"/")</f>
        <v>356</v>
      </c>
      <c r="AL18" s="63" cm="1">
        <f t="array" ref="AL18">IFERROR(INDEX('Offer Statistics'!DZ$2:DZ$400,MATCH(1,($A18='Offer Statistics'!$DV$2:$DV$400)*($AA$2='Offer Statistics'!$DW$2:$DW$400),0)),"/")</f>
        <v>403</v>
      </c>
      <c r="AM18" s="63" cm="1">
        <f t="array" ref="AM18">IFERROR(INDEX('Offer Statistics'!EA$2:EA$400,MATCH(1,($A18='Offer Statistics'!$DV$2:$DV$400)*($AA$2='Offer Statistics'!$DW$2:$DW$400),0)),"/")</f>
        <v>352</v>
      </c>
      <c r="AN18" s="63" cm="1">
        <f t="array" ref="AN18">IFERROR(INDEX('Offer Statistics'!EB$2:EB$400,MATCH(1,($A18='Offer Statistics'!$DV$2:$DV$400)*($AA$2='Offer Statistics'!$DW$2:$DW$400),0)),"/")</f>
        <v>314</v>
      </c>
      <c r="AO18" s="14"/>
      <c r="AP18" s="15" t="str">
        <f t="shared" si="7"/>
        <v>JS8663</v>
      </c>
    </row>
    <row r="19" spans="1:42" ht="18" customHeight="1">
      <c r="A19" s="4" t="str">
        <f>'Reference Score Calculation'!B352</f>
        <v>JS8675</v>
      </c>
      <c r="B19" s="4" t="str">
        <f>'Reference Score Calculation'!D352</f>
        <v>教育及人類發展學院</v>
      </c>
      <c r="C19" s="4" t="str">
        <f>'Reference Score Calculation'!E352</f>
        <v>英語研究及數碼傳訊榮譽文學士</v>
      </c>
      <c r="D19" s="4" t="str">
        <f>'Reference Score Calculation'!S352</f>
        <v>BA(ESDC)</v>
      </c>
      <c r="E19" s="352" t="str">
        <f>'Reference Score Calculation'!AC352</f>
        <v>Best 5</v>
      </c>
      <c r="F19" s="373" t="str">
        <f>'Reference Score Calculation'!F352</f>
        <v>Best 5</v>
      </c>
      <c r="G19" s="44">
        <f>'Reference Score Calculation'!J352</f>
        <v>20</v>
      </c>
      <c r="H19" s="45">
        <f>計分版!J375</f>
        <v>3.4999999999999999E-9</v>
      </c>
      <c r="I19" s="25">
        <f t="shared" si="4"/>
        <v>-19.999999996500001</v>
      </c>
      <c r="J19" s="26">
        <f t="shared" si="5"/>
        <v>-5714285713.2857151</v>
      </c>
      <c r="K19" s="36">
        <f>'Reference Score Calculation'!U352</f>
        <v>17</v>
      </c>
      <c r="L19" s="84">
        <f>入學要求!Z361</f>
        <v>0</v>
      </c>
      <c r="M19" s="542"/>
      <c r="N19" s="249">
        <f>入學要求!L361</f>
        <v>3</v>
      </c>
      <c r="O19" s="249">
        <f>入學要求!M361</f>
        <v>3</v>
      </c>
      <c r="P19" s="249">
        <f>入學要求!N361</f>
        <v>2</v>
      </c>
      <c r="Q19" s="249">
        <f>入學要求!O361</f>
        <v>1</v>
      </c>
      <c r="R19" s="249">
        <f>入學要求!P361</f>
        <v>2</v>
      </c>
      <c r="S19" s="249">
        <f>入學要求!Q361</f>
        <v>2</v>
      </c>
      <c r="T19" s="248">
        <f>入學要求!S361</f>
        <v>0</v>
      </c>
      <c r="U19" s="248">
        <f>入學要求!T361</f>
        <v>0</v>
      </c>
      <c r="V19" s="248">
        <f>入學要求!U361</f>
        <v>0</v>
      </c>
      <c r="W19" s="248">
        <f>入學要求!V361</f>
        <v>0</v>
      </c>
      <c r="X19" s="248">
        <f>入學要求!W361</f>
        <v>0</v>
      </c>
      <c r="Y19" s="248">
        <f>入學要求!X361</f>
        <v>0</v>
      </c>
      <c r="Z19" s="44">
        <f t="shared" si="6"/>
        <v>15</v>
      </c>
      <c r="AA19" s="537"/>
      <c r="AB19" s="36" cm="1">
        <f t="array" ref="AB19">IFERROR(INDEX('Offer Statistics'!EK$2:EK$400,MATCH(1,($A19='Offer Statistics'!$DV$2:$DV$400)*($AA$2='Offer Statistics'!$DW$2:$DW$400),0)),"/")</f>
        <v>14</v>
      </c>
      <c r="AC19" s="63" cm="1">
        <f t="array" ref="AC19">IFERROR(INDEX('Offer Statistics'!EF$2:EF$400,MATCH(1,($A19='Offer Statistics'!$DV$2:$DV$400)*($AA$2='Offer Statistics'!$DW$2:$DW$400),0)),"/")</f>
        <v>5</v>
      </c>
      <c r="AD19" s="63" cm="1">
        <f t="array" ref="AD19">IFERROR(INDEX('Offer Statistics'!EG$2:EG$400,MATCH(1,($A19='Offer Statistics'!$DV$2:$DV$400)*($AA$2='Offer Statistics'!$DW$2:$DW$400),0)),"/")</f>
        <v>4</v>
      </c>
      <c r="AE19" s="63" cm="1">
        <f t="array" ref="AE19">IFERROR(INDEX('Offer Statistics'!EH$2:EH$400,MATCH(1,($A19='Offer Statistics'!$DV$2:$DV$400)*($AA$2='Offer Statistics'!$DW$2:$DW$400),0)),"/")</f>
        <v>3</v>
      </c>
      <c r="AF19" s="63" cm="1">
        <f t="array" ref="AF19">IFERROR(INDEX('Offer Statistics'!EI$2:EI$400,MATCH(1,($A19='Offer Statistics'!$DV$2:$DV$400)*($AA$2='Offer Statistics'!$DW$2:$DW$400),0)),"/")</f>
        <v>1</v>
      </c>
      <c r="AG19" s="63" cm="1">
        <f t="array" ref="AG19">IFERROR(INDEX('Offer Statistics'!EJ$2:EJ$400,MATCH(1,($A19='Offer Statistics'!$DV$2:$DV$400)*($AA$2='Offer Statistics'!$DW$2:$DW$400),0)),"/")</f>
        <v>1</v>
      </c>
      <c r="AH19" s="538"/>
      <c r="AI19" s="36" cm="1">
        <f t="array" ref="AI19">IFERROR(INDEX('Offer Statistics'!EC$2:EC$400,MATCH(1,($A19='Offer Statistics'!$DV$2:$DV$400)*($AA$2='Offer Statistics'!$DW$2:$DW$400),0)),"/")</f>
        <v>441</v>
      </c>
      <c r="AJ19" s="63" cm="1">
        <f t="array" ref="AJ19">IFERROR(INDEX('Offer Statistics'!DX$2:DX$400,MATCH(1,($A19='Offer Statistics'!$DV$2:$DV$400)*($AA$2='Offer Statistics'!$DW$2:$DW$400),0)),"/")</f>
        <v>75</v>
      </c>
      <c r="AK19" s="63" cm="1">
        <f t="array" ref="AK19">IFERROR(INDEX('Offer Statistics'!DY$2:DY$400,MATCH(1,($A19='Offer Statistics'!$DV$2:$DV$400)*($AA$2='Offer Statistics'!$DW$2:$DW$400),0)),"/")</f>
        <v>82</v>
      </c>
      <c r="AL19" s="63" cm="1">
        <f t="array" ref="AL19">IFERROR(INDEX('Offer Statistics'!DZ$2:DZ$400,MATCH(1,($A19='Offer Statistics'!$DV$2:$DV$400)*($AA$2='Offer Statistics'!$DW$2:$DW$400),0)),"/")</f>
        <v>79</v>
      </c>
      <c r="AM19" s="63" cm="1">
        <f t="array" ref="AM19">IFERROR(INDEX('Offer Statistics'!EA$2:EA$400,MATCH(1,($A19='Offer Statistics'!$DV$2:$DV$400)*($AA$2='Offer Statistics'!$DW$2:$DW$400),0)),"/")</f>
        <v>107</v>
      </c>
      <c r="AN19" s="63" cm="1">
        <f t="array" ref="AN19">IFERROR(INDEX('Offer Statistics'!EB$2:EB$400,MATCH(1,($A19='Offer Statistics'!$DV$2:$DV$400)*($AA$2='Offer Statistics'!$DW$2:$DW$400),0)),"/")</f>
        <v>98</v>
      </c>
      <c r="AO19" s="14"/>
      <c r="AP19" s="15" t="str">
        <f t="shared" si="7"/>
        <v>JS8675</v>
      </c>
    </row>
    <row r="20" spans="1:42" ht="18" customHeight="1">
      <c r="A20" s="4" t="str">
        <f>'Reference Score Calculation'!B353</f>
        <v>JS8687</v>
      </c>
      <c r="B20" s="4" t="str">
        <f>'Reference Score Calculation'!D353</f>
        <v>教育及人類發展學院</v>
      </c>
      <c r="C20" s="4" t="str">
        <f>'Reference Score Calculation'!E353</f>
        <v>文化傳承教育與藝術管理榮譽文學士</v>
      </c>
      <c r="D20" s="4" t="str">
        <f>'Reference Score Calculation'!S353</f>
        <v>BA(HE&amp;AM)</v>
      </c>
      <c r="E20" s="352" t="str">
        <f>'Reference Score Calculation'!AC353</f>
        <v>Best 5</v>
      </c>
      <c r="F20" s="373" t="str">
        <f>'Reference Score Calculation'!F353</f>
        <v>Best 5</v>
      </c>
      <c r="G20" s="44">
        <f>'Reference Score Calculation'!J353</f>
        <v>25</v>
      </c>
      <c r="H20" s="45">
        <f>計分版!J376</f>
        <v>3.4999999999999999E-9</v>
      </c>
      <c r="I20" s="25">
        <f t="shared" si="4"/>
        <v>-24.999999996500001</v>
      </c>
      <c r="J20" s="26">
        <f t="shared" si="5"/>
        <v>-7142857141.8571434</v>
      </c>
      <c r="K20" s="36">
        <f>'Reference Score Calculation'!U353</f>
        <v>22</v>
      </c>
      <c r="L20" s="84">
        <f>入學要求!Z362</f>
        <v>0</v>
      </c>
      <c r="M20" s="542"/>
      <c r="N20" s="249">
        <f>入學要求!L362</f>
        <v>3</v>
      </c>
      <c r="O20" s="249">
        <f>入學要求!M362</f>
        <v>3</v>
      </c>
      <c r="P20" s="249">
        <f>入學要求!N362</f>
        <v>2</v>
      </c>
      <c r="Q20" s="249">
        <f>入學要求!O362</f>
        <v>1</v>
      </c>
      <c r="R20" s="249">
        <f>入學要求!P362</f>
        <v>2</v>
      </c>
      <c r="S20" s="249">
        <f>入學要求!Q362</f>
        <v>2</v>
      </c>
      <c r="T20" s="248">
        <f>入學要求!S362</f>
        <v>0</v>
      </c>
      <c r="U20" s="248">
        <f>入學要求!T362</f>
        <v>0</v>
      </c>
      <c r="V20" s="248">
        <f>入學要求!U362</f>
        <v>0</v>
      </c>
      <c r="W20" s="248">
        <f>入學要求!V362</f>
        <v>0</v>
      </c>
      <c r="X20" s="248">
        <f>入學要求!W362</f>
        <v>0</v>
      </c>
      <c r="Y20" s="248">
        <f>入學要求!X362</f>
        <v>0</v>
      </c>
      <c r="Z20" s="44">
        <f t="shared" si="6"/>
        <v>11.38</v>
      </c>
      <c r="AA20" s="537"/>
      <c r="AB20" s="36" cm="1">
        <f t="array" ref="AB20">IFERROR(INDEX('Offer Statistics'!EK$2:EK$400,MATCH(1,($A20='Offer Statistics'!$DV$2:$DV$400)*($AA$2='Offer Statistics'!$DW$2:$DW$400),0)),"/")</f>
        <v>26</v>
      </c>
      <c r="AC20" s="63" cm="1">
        <f t="array" ref="AC20">IFERROR(INDEX('Offer Statistics'!EF$2:EF$400,MATCH(1,($A20='Offer Statistics'!$DV$2:$DV$400)*($AA$2='Offer Statistics'!$DW$2:$DW$400),0)),"/")</f>
        <v>26</v>
      </c>
      <c r="AD20" s="63" cm="1">
        <f t="array" ref="AD20">IFERROR(INDEX('Offer Statistics'!EG$2:EG$400,MATCH(1,($A20='Offer Statistics'!$DV$2:$DV$400)*($AA$2='Offer Statistics'!$DW$2:$DW$400),0)),"/")</f>
        <v>0</v>
      </c>
      <c r="AE20" s="63" cm="1">
        <f t="array" ref="AE20">IFERROR(INDEX('Offer Statistics'!EH$2:EH$400,MATCH(1,($A20='Offer Statistics'!$DV$2:$DV$400)*($AA$2='Offer Statistics'!$DW$2:$DW$400),0)),"/")</f>
        <v>0</v>
      </c>
      <c r="AF20" s="63" cm="1">
        <f t="array" ref="AF20">IFERROR(INDEX('Offer Statistics'!EI$2:EI$400,MATCH(1,($A20='Offer Statistics'!$DV$2:$DV$400)*($AA$2='Offer Statistics'!$DW$2:$DW$400),0)),"/")</f>
        <v>0</v>
      </c>
      <c r="AG20" s="63" cm="1">
        <f t="array" ref="AG20">IFERROR(INDEX('Offer Statistics'!EJ$2:EJ$400,MATCH(1,($A20='Offer Statistics'!$DV$2:$DV$400)*($AA$2='Offer Statistics'!$DW$2:$DW$400),0)),"/")</f>
        <v>0</v>
      </c>
      <c r="AH20" s="538"/>
      <c r="AI20" s="36" cm="1">
        <f t="array" ref="AI20">IFERROR(INDEX('Offer Statistics'!EC$2:EC$400,MATCH(1,($A20='Offer Statistics'!$DV$2:$DV$400)*($AA$2='Offer Statistics'!$DW$2:$DW$400),0)),"/")</f>
        <v>1429</v>
      </c>
      <c r="AJ20" s="63" cm="1">
        <f t="array" ref="AJ20">IFERROR(INDEX('Offer Statistics'!DX$2:DX$400,MATCH(1,($A20='Offer Statistics'!$DV$2:$DV$400)*($AA$2='Offer Statistics'!$DW$2:$DW$400),0)),"/")</f>
        <v>296</v>
      </c>
      <c r="AK20" s="63" cm="1">
        <f t="array" ref="AK20">IFERROR(INDEX('Offer Statistics'!DY$2:DY$400,MATCH(1,($A20='Offer Statistics'!$DV$2:$DV$400)*($AA$2='Offer Statistics'!$DW$2:$DW$400),0)),"/")</f>
        <v>241</v>
      </c>
      <c r="AL20" s="63" cm="1">
        <f t="array" ref="AL20">IFERROR(INDEX('Offer Statistics'!DZ$2:DZ$400,MATCH(1,($A20='Offer Statistics'!$DV$2:$DV$400)*($AA$2='Offer Statistics'!$DW$2:$DW$400),0)),"/")</f>
        <v>282</v>
      </c>
      <c r="AM20" s="63" cm="1">
        <f t="array" ref="AM20">IFERROR(INDEX('Offer Statistics'!EA$2:EA$400,MATCH(1,($A20='Offer Statistics'!$DV$2:$DV$400)*($AA$2='Offer Statistics'!$DW$2:$DW$400),0)),"/")</f>
        <v>320</v>
      </c>
      <c r="AN20" s="63" cm="1">
        <f t="array" ref="AN20">IFERROR(INDEX('Offer Statistics'!EB$2:EB$400,MATCH(1,($A20='Offer Statistics'!$DV$2:$DV$400)*($AA$2='Offer Statistics'!$DW$2:$DW$400),0)),"/")</f>
        <v>290</v>
      </c>
      <c r="AO20" s="14"/>
      <c r="AP20" s="15" t="str">
        <f t="shared" si="7"/>
        <v>JS8687</v>
      </c>
    </row>
    <row r="21" spans="1:42" ht="18" customHeight="1">
      <c r="A21" s="4" t="str">
        <f>'Reference Score Calculation'!B354</f>
        <v>JS8688</v>
      </c>
      <c r="B21" s="4" t="str">
        <f>'Reference Score Calculation'!D354</f>
        <v>博文及社會科學學院</v>
      </c>
      <c r="C21" s="4" t="str">
        <f>'Reference Score Calculation'!E354</f>
        <v>個人理財榮譽文學士</v>
      </c>
      <c r="D21" s="4" t="str">
        <f>'Reference Score Calculation'!S354</f>
        <v>BA(PF)</v>
      </c>
      <c r="E21" s="352" t="str">
        <f>'Reference Score Calculation'!AC354</f>
        <v>Best 5</v>
      </c>
      <c r="F21" s="373" t="str">
        <f>'Reference Score Calculation'!F354</f>
        <v>25年新科目</v>
      </c>
      <c r="G21" s="44" t="str">
        <f>'Reference Score Calculation'!J354</f>
        <v>/</v>
      </c>
      <c r="H21" s="45">
        <f>計分版!J377</f>
        <v>3.4999999999999999E-9</v>
      </c>
      <c r="I21" s="7" t="str">
        <f t="shared" si="4"/>
        <v>/</v>
      </c>
      <c r="J21" s="8" t="str">
        <f t="shared" si="5"/>
        <v>/</v>
      </c>
      <c r="K21" s="36">
        <f>'Reference Score Calculation'!U354</f>
        <v>10</v>
      </c>
      <c r="L21" s="84">
        <f>入學要求!Z363</f>
        <v>0</v>
      </c>
      <c r="M21" s="542"/>
      <c r="N21" s="249">
        <f>入學要求!L363</f>
        <v>3</v>
      </c>
      <c r="O21" s="249">
        <f>入學要求!M363</f>
        <v>3</v>
      </c>
      <c r="P21" s="249">
        <f>入學要求!N363</f>
        <v>2</v>
      </c>
      <c r="Q21" s="249">
        <f>入學要求!O363</f>
        <v>1</v>
      </c>
      <c r="R21" s="249">
        <f>入學要求!P363</f>
        <v>2</v>
      </c>
      <c r="S21" s="249">
        <f>入學要求!Q363</f>
        <v>2</v>
      </c>
      <c r="T21" s="248">
        <f>入學要求!S363</f>
        <v>0</v>
      </c>
      <c r="U21" s="248">
        <f>入學要求!T363</f>
        <v>0</v>
      </c>
      <c r="V21" s="248">
        <f>入學要求!U363</f>
        <v>0</v>
      </c>
      <c r="W21" s="248">
        <f>入學要求!V363</f>
        <v>0</v>
      </c>
      <c r="X21" s="248">
        <f>入學要求!W363</f>
        <v>0</v>
      </c>
      <c r="Y21" s="248">
        <f>入學要求!X363</f>
        <v>0</v>
      </c>
      <c r="Z21" s="44" t="str">
        <f t="shared" si="6"/>
        <v>/</v>
      </c>
      <c r="AA21" s="537"/>
      <c r="AB21" s="36" t="str" cm="1">
        <f t="array" ref="AB21">IFERROR(INDEX('Offer Statistics'!EK$2:EK$400,MATCH(1,($A21='Offer Statistics'!$DV$2:$DV$400)*($AA$2='Offer Statistics'!$DW$2:$DW$400),0)),"/")</f>
        <v>/</v>
      </c>
      <c r="AC21" s="63" t="str" cm="1">
        <f t="array" ref="AC21">IFERROR(INDEX('Offer Statistics'!EF$2:EF$400,MATCH(1,($A21='Offer Statistics'!$DV$2:$DV$400)*($AA$2='Offer Statistics'!$DW$2:$DW$400),0)),"/")</f>
        <v>/</v>
      </c>
      <c r="AD21" s="63" t="str" cm="1">
        <f t="array" ref="AD21">IFERROR(INDEX('Offer Statistics'!EG$2:EG$400,MATCH(1,($A21='Offer Statistics'!$DV$2:$DV$400)*($AA$2='Offer Statistics'!$DW$2:$DW$400),0)),"/")</f>
        <v>/</v>
      </c>
      <c r="AE21" s="63" t="str" cm="1">
        <f t="array" ref="AE21">IFERROR(INDEX('Offer Statistics'!EH$2:EH$400,MATCH(1,($A21='Offer Statistics'!$DV$2:$DV$400)*($AA$2='Offer Statistics'!$DW$2:$DW$400),0)),"/")</f>
        <v>/</v>
      </c>
      <c r="AF21" s="63" t="str" cm="1">
        <f t="array" ref="AF21">IFERROR(INDEX('Offer Statistics'!EI$2:EI$400,MATCH(1,($A21='Offer Statistics'!$DV$2:$DV$400)*($AA$2='Offer Statistics'!$DW$2:$DW$400),0)),"/")</f>
        <v>/</v>
      </c>
      <c r="AG21" s="63" t="str" cm="1">
        <f t="array" ref="AG21">IFERROR(INDEX('Offer Statistics'!EJ$2:EJ$400,MATCH(1,($A21='Offer Statistics'!$DV$2:$DV$400)*($AA$2='Offer Statistics'!$DW$2:$DW$400),0)),"/")</f>
        <v>/</v>
      </c>
      <c r="AH21" s="538"/>
      <c r="AI21" s="36" t="str" cm="1">
        <f t="array" ref="AI21">IFERROR(INDEX('Offer Statistics'!EC$2:EC$400,MATCH(1,($A21='Offer Statistics'!$DV$2:$DV$400)*($AA$2='Offer Statistics'!$DW$2:$DW$400),0)),"/")</f>
        <v>/</v>
      </c>
      <c r="AJ21" s="63" t="str" cm="1">
        <f t="array" ref="AJ21">IFERROR(INDEX('Offer Statistics'!DX$2:DX$400,MATCH(1,($A21='Offer Statistics'!$DV$2:$DV$400)*($AA$2='Offer Statistics'!$DW$2:$DW$400),0)),"/")</f>
        <v>/</v>
      </c>
      <c r="AK21" s="63" t="str" cm="1">
        <f t="array" ref="AK21">IFERROR(INDEX('Offer Statistics'!DY$2:DY$400,MATCH(1,($A21='Offer Statistics'!$DV$2:$DV$400)*($AA$2='Offer Statistics'!$DW$2:$DW$400),0)),"/")</f>
        <v>/</v>
      </c>
      <c r="AL21" s="63" t="str" cm="1">
        <f t="array" ref="AL21">IFERROR(INDEX('Offer Statistics'!DZ$2:DZ$400,MATCH(1,($A21='Offer Statistics'!$DV$2:$DV$400)*($AA$2='Offer Statistics'!$DW$2:$DW$400),0)),"/")</f>
        <v>/</v>
      </c>
      <c r="AM21" s="63" t="str" cm="1">
        <f t="array" ref="AM21">IFERROR(INDEX('Offer Statistics'!EA$2:EA$400,MATCH(1,($A21='Offer Statistics'!$DV$2:$DV$400)*($AA$2='Offer Statistics'!$DW$2:$DW$400),0)),"/")</f>
        <v>/</v>
      </c>
      <c r="AN21" s="63" t="str" cm="1">
        <f t="array" ref="AN21">IFERROR(INDEX('Offer Statistics'!EB$2:EB$400,MATCH(1,($A21='Offer Statistics'!$DV$2:$DV$400)*($AA$2='Offer Statistics'!$DW$2:$DW$400),0)),"/")</f>
        <v>/</v>
      </c>
      <c r="AO21" s="14"/>
      <c r="AP21" s="15" t="str">
        <f t="shared" si="7"/>
        <v>JS8688</v>
      </c>
    </row>
    <row r="22" spans="1:42" ht="18" customHeight="1">
      <c r="A22" s="4" t="str">
        <f>'Reference Score Calculation'!B355</f>
        <v>JS8702</v>
      </c>
      <c r="B22" s="4" t="str">
        <f>'Reference Score Calculation'!D355</f>
        <v>博文及社會科學學院</v>
      </c>
      <c r="C22" s="4" t="str">
        <f>'Reference Score Calculation'!E355</f>
        <v>綜合環境管理榮譽理學士</v>
      </c>
      <c r="D22" s="4" t="str">
        <f>'Reference Score Calculation'!S355</f>
        <v>BSc(IEM)</v>
      </c>
      <c r="E22" s="352" t="str">
        <f>'Reference Score Calculation'!AC355</f>
        <v>Best 5</v>
      </c>
      <c r="F22" s="373" t="str">
        <f>'Reference Score Calculation'!F355</f>
        <v>Best 5</v>
      </c>
      <c r="G22" s="44">
        <f>'Reference Score Calculation'!J355</f>
        <v>21.7</v>
      </c>
      <c r="H22" s="45">
        <f>計分版!J378</f>
        <v>3.4999999999999999E-9</v>
      </c>
      <c r="I22" s="25">
        <f t="shared" si="4"/>
        <v>-21.699999996500001</v>
      </c>
      <c r="J22" s="26">
        <f t="shared" si="5"/>
        <v>-6199999999</v>
      </c>
      <c r="K22" s="36">
        <f>'Reference Score Calculation'!U355</f>
        <v>21</v>
      </c>
      <c r="L22" s="84">
        <f>入學要求!Z364</f>
        <v>0</v>
      </c>
      <c r="M22" s="542"/>
      <c r="N22" s="249">
        <f>入學要求!L364</f>
        <v>3</v>
      </c>
      <c r="O22" s="249">
        <f>入學要求!M364</f>
        <v>3</v>
      </c>
      <c r="P22" s="249">
        <f>入學要求!N364</f>
        <v>2</v>
      </c>
      <c r="Q22" s="249">
        <f>入學要求!O364</f>
        <v>1</v>
      </c>
      <c r="R22" s="249">
        <f>入學要求!P364</f>
        <v>2</v>
      </c>
      <c r="S22" s="249">
        <f>入學要求!Q364</f>
        <v>2</v>
      </c>
      <c r="T22" s="248">
        <f>入學要求!S364</f>
        <v>0</v>
      </c>
      <c r="U22" s="248">
        <f>入學要求!T364</f>
        <v>0</v>
      </c>
      <c r="V22" s="248">
        <f>入學要求!U364</f>
        <v>0</v>
      </c>
      <c r="W22" s="248">
        <f>入學要求!V364</f>
        <v>0</v>
      </c>
      <c r="X22" s="248">
        <f>入學要求!W364</f>
        <v>0</v>
      </c>
      <c r="Y22" s="248">
        <f>入學要求!X364</f>
        <v>0</v>
      </c>
      <c r="Z22" s="44">
        <f t="shared" si="6"/>
        <v>11.38</v>
      </c>
      <c r="AA22" s="537"/>
      <c r="AB22" s="36" cm="1">
        <f t="array" ref="AB22">IFERROR(INDEX('Offer Statistics'!EK$2:EK$400,MATCH(1,($A22='Offer Statistics'!$DV$2:$DV$400)*($AA$2='Offer Statistics'!$DW$2:$DW$400),0)),"/")</f>
        <v>21</v>
      </c>
      <c r="AC22" s="63" cm="1">
        <f t="array" ref="AC22">IFERROR(INDEX('Offer Statistics'!EF$2:EF$400,MATCH(1,($A22='Offer Statistics'!$DV$2:$DV$400)*($AA$2='Offer Statistics'!$DW$2:$DW$400),0)),"/")</f>
        <v>21</v>
      </c>
      <c r="AD22" s="63" cm="1">
        <f t="array" ref="AD22">IFERROR(INDEX('Offer Statistics'!EG$2:EG$400,MATCH(1,($A22='Offer Statistics'!$DV$2:$DV$400)*($AA$2='Offer Statistics'!$DW$2:$DW$400),0)),"/")</f>
        <v>0</v>
      </c>
      <c r="AE22" s="63" cm="1">
        <f t="array" ref="AE22">IFERROR(INDEX('Offer Statistics'!EH$2:EH$400,MATCH(1,($A22='Offer Statistics'!$DV$2:$DV$400)*($AA$2='Offer Statistics'!$DW$2:$DW$400),0)),"/")</f>
        <v>0</v>
      </c>
      <c r="AF22" s="63" cm="1">
        <f t="array" ref="AF22">IFERROR(INDEX('Offer Statistics'!EI$2:EI$400,MATCH(1,($A22='Offer Statistics'!$DV$2:$DV$400)*($AA$2='Offer Statistics'!$DW$2:$DW$400),0)),"/")</f>
        <v>0</v>
      </c>
      <c r="AG22" s="63" cm="1">
        <f t="array" ref="AG22">IFERROR(INDEX('Offer Statistics'!EJ$2:EJ$400,MATCH(1,($A22='Offer Statistics'!$DV$2:$DV$400)*($AA$2='Offer Statistics'!$DW$2:$DW$400),0)),"/")</f>
        <v>0</v>
      </c>
      <c r="AH22" s="538"/>
      <c r="AI22" s="36" cm="1">
        <f t="array" ref="AI22">IFERROR(INDEX('Offer Statistics'!EC$2:EC$400,MATCH(1,($A22='Offer Statistics'!$DV$2:$DV$400)*($AA$2='Offer Statistics'!$DW$2:$DW$400),0)),"/")</f>
        <v>1321</v>
      </c>
      <c r="AJ22" s="63" cm="1">
        <f t="array" ref="AJ22">IFERROR(INDEX('Offer Statistics'!DX$2:DX$400,MATCH(1,($A22='Offer Statistics'!$DV$2:$DV$400)*($AA$2='Offer Statistics'!$DW$2:$DW$400),0)),"/")</f>
        <v>239</v>
      </c>
      <c r="AK22" s="63" cm="1">
        <f t="array" ref="AK22">IFERROR(INDEX('Offer Statistics'!DY$2:DY$400,MATCH(1,($A22='Offer Statistics'!$DV$2:$DV$400)*($AA$2='Offer Statistics'!$DW$2:$DW$400),0)),"/")</f>
        <v>187</v>
      </c>
      <c r="AL22" s="63" cm="1">
        <f t="array" ref="AL22">IFERROR(INDEX('Offer Statistics'!DZ$2:DZ$400,MATCH(1,($A22='Offer Statistics'!$DV$2:$DV$400)*($AA$2='Offer Statistics'!$DW$2:$DW$400),0)),"/")</f>
        <v>260</v>
      </c>
      <c r="AM22" s="63" cm="1">
        <f t="array" ref="AM22">IFERROR(INDEX('Offer Statistics'!EA$2:EA$400,MATCH(1,($A22='Offer Statistics'!$DV$2:$DV$400)*($AA$2='Offer Statistics'!$DW$2:$DW$400),0)),"/")</f>
        <v>334</v>
      </c>
      <c r="AN22" s="63" cm="1">
        <f t="array" ref="AN22">IFERROR(INDEX('Offer Statistics'!EB$2:EB$400,MATCH(1,($A22='Offer Statistics'!$DV$2:$DV$400)*($AA$2='Offer Statistics'!$DW$2:$DW$400),0)),"/")</f>
        <v>301</v>
      </c>
      <c r="AO22" s="14"/>
      <c r="AP22" s="15" t="str">
        <f t="shared" si="7"/>
        <v>JS8702</v>
      </c>
    </row>
    <row r="23" spans="1:42" ht="18" customHeight="1">
      <c r="A23" s="4" t="str">
        <f>'Reference Score Calculation'!B356</f>
        <v>JS8714</v>
      </c>
      <c r="B23" s="4" t="str">
        <f>'Reference Score Calculation'!D356</f>
        <v>博文及社會科學學院</v>
      </c>
      <c r="C23" s="4" t="str">
        <f>'Reference Score Calculation'!E356</f>
        <v>人工智能與教育科技榮譽理學士</v>
      </c>
      <c r="D23" s="4" t="str">
        <f>'Reference Score Calculation'!S356</f>
        <v>BSc(AI&amp;EdTech)</v>
      </c>
      <c r="E23" s="352" t="str">
        <f>'Reference Score Calculation'!AC356</f>
        <v>Best 5</v>
      </c>
      <c r="F23" s="373" t="str">
        <f>'Reference Score Calculation'!F356</f>
        <v>Best 5</v>
      </c>
      <c r="G23" s="44">
        <f>'Reference Score Calculation'!J356</f>
        <v>22.5</v>
      </c>
      <c r="H23" s="45">
        <f>計分版!J379</f>
        <v>3.7500000000000005E-9</v>
      </c>
      <c r="I23" s="25">
        <f t="shared" si="4"/>
        <v>-22.499999996250001</v>
      </c>
      <c r="J23" s="26">
        <f t="shared" si="5"/>
        <v>-5999999998.999999</v>
      </c>
      <c r="K23" s="36">
        <f>'Reference Score Calculation'!U356</f>
        <v>30</v>
      </c>
      <c r="L23" s="84">
        <f>入學要求!Z365</f>
        <v>0</v>
      </c>
      <c r="M23" s="542"/>
      <c r="N23" s="249">
        <f>入學要求!L365</f>
        <v>3</v>
      </c>
      <c r="O23" s="249">
        <f>入學要求!M365</f>
        <v>3</v>
      </c>
      <c r="P23" s="249">
        <f>入學要求!N365</f>
        <v>3</v>
      </c>
      <c r="Q23" s="249">
        <f>入學要求!O365</f>
        <v>1</v>
      </c>
      <c r="R23" s="249">
        <f>入學要求!P365</f>
        <v>2</v>
      </c>
      <c r="S23" s="249">
        <f>入學要求!Q365</f>
        <v>2</v>
      </c>
      <c r="T23" s="248">
        <f>入學要求!S365</f>
        <v>0</v>
      </c>
      <c r="U23" s="248">
        <f>入學要求!T365</f>
        <v>0</v>
      </c>
      <c r="V23" s="248">
        <f>入學要求!U365</f>
        <v>0</v>
      </c>
      <c r="W23" s="248">
        <f>入學要求!V365</f>
        <v>0</v>
      </c>
      <c r="X23" s="248">
        <f>入學要求!W365</f>
        <v>0</v>
      </c>
      <c r="Y23" s="248">
        <f>入學要求!X365</f>
        <v>0</v>
      </c>
      <c r="Z23" s="44">
        <f t="shared" si="6"/>
        <v>14.12</v>
      </c>
      <c r="AA23" s="537"/>
      <c r="AB23" s="36" cm="1">
        <f t="array" ref="AB23">IFERROR(INDEX('Offer Statistics'!EK$2:EK$400,MATCH(1,($A23='Offer Statistics'!$DV$2:$DV$400)*($AA$2='Offer Statistics'!$DW$2:$DW$400),0)),"/")</f>
        <v>22</v>
      </c>
      <c r="AC23" s="63" cm="1">
        <f t="array" ref="AC23">IFERROR(INDEX('Offer Statistics'!EF$2:EF$400,MATCH(1,($A23='Offer Statistics'!$DV$2:$DV$400)*($AA$2='Offer Statistics'!$DW$2:$DW$400),0)),"/")</f>
        <v>17</v>
      </c>
      <c r="AD23" s="63" cm="1">
        <f t="array" ref="AD23">IFERROR(INDEX('Offer Statistics'!EG$2:EG$400,MATCH(1,($A23='Offer Statistics'!$DV$2:$DV$400)*($AA$2='Offer Statistics'!$DW$2:$DW$400),0)),"/")</f>
        <v>5</v>
      </c>
      <c r="AE23" s="63" cm="1">
        <f t="array" ref="AE23">IFERROR(INDEX('Offer Statistics'!EH$2:EH$400,MATCH(1,($A23='Offer Statistics'!$DV$2:$DV$400)*($AA$2='Offer Statistics'!$DW$2:$DW$400),0)),"/")</f>
        <v>0</v>
      </c>
      <c r="AF23" s="63" cm="1">
        <f t="array" ref="AF23">IFERROR(INDEX('Offer Statistics'!EI$2:EI$400,MATCH(1,($A23='Offer Statistics'!$DV$2:$DV$400)*($AA$2='Offer Statistics'!$DW$2:$DW$400),0)),"/")</f>
        <v>0</v>
      </c>
      <c r="AG23" s="63" cm="1">
        <f t="array" ref="AG23">IFERROR(INDEX('Offer Statistics'!EJ$2:EJ$400,MATCH(1,($A23='Offer Statistics'!$DV$2:$DV$400)*($AA$2='Offer Statistics'!$DW$2:$DW$400),0)),"/")</f>
        <v>0</v>
      </c>
      <c r="AH23" s="538"/>
      <c r="AI23" s="36" cm="1">
        <f t="array" ref="AI23">IFERROR(INDEX('Offer Statistics'!EC$2:EC$400,MATCH(1,($A23='Offer Statistics'!$DV$2:$DV$400)*($AA$2='Offer Statistics'!$DW$2:$DW$400),0)),"/")</f>
        <v>1724</v>
      </c>
      <c r="AJ23" s="63" cm="1">
        <f t="array" ref="AJ23">IFERROR(INDEX('Offer Statistics'!DX$2:DX$400,MATCH(1,($A23='Offer Statistics'!$DV$2:$DV$400)*($AA$2='Offer Statistics'!$DW$2:$DW$400),0)),"/")</f>
        <v>240</v>
      </c>
      <c r="AK23" s="63" cm="1">
        <f t="array" ref="AK23">IFERROR(INDEX('Offer Statistics'!DY$2:DY$400,MATCH(1,($A23='Offer Statistics'!$DV$2:$DV$400)*($AA$2='Offer Statistics'!$DW$2:$DW$400),0)),"/")</f>
        <v>287</v>
      </c>
      <c r="AL23" s="63" cm="1">
        <f t="array" ref="AL23">IFERROR(INDEX('Offer Statistics'!DZ$2:DZ$400,MATCH(1,($A23='Offer Statistics'!$DV$2:$DV$400)*($AA$2='Offer Statistics'!$DW$2:$DW$400),0)),"/")</f>
        <v>335</v>
      </c>
      <c r="AM23" s="63" cm="1">
        <f t="array" ref="AM23">IFERROR(INDEX('Offer Statistics'!EA$2:EA$400,MATCH(1,($A23='Offer Statistics'!$DV$2:$DV$400)*($AA$2='Offer Statistics'!$DW$2:$DW$400),0)),"/")</f>
        <v>462</v>
      </c>
      <c r="AN23" s="63" cm="1">
        <f t="array" ref="AN23">IFERROR(INDEX('Offer Statistics'!EB$2:EB$400,MATCH(1,($A23='Offer Statistics'!$DV$2:$DV$400)*($AA$2='Offer Statistics'!$DW$2:$DW$400),0)),"/")</f>
        <v>400</v>
      </c>
      <c r="AO23" s="14"/>
      <c r="AP23" s="15" t="str">
        <f t="shared" si="7"/>
        <v>JS8714</v>
      </c>
    </row>
    <row r="24" spans="1:42" ht="18" customHeight="1">
      <c r="A24" s="4" t="str">
        <f>'Reference Score Calculation'!B357</f>
        <v>JS8726</v>
      </c>
      <c r="B24" s="4" t="str">
        <f>'Reference Score Calculation'!D357</f>
        <v>博文及社會科學學院</v>
      </c>
      <c r="C24" s="4" t="str">
        <f>'Reference Score Calculation'!E357</f>
        <v>運動科學及教練榮譽理學士</v>
      </c>
      <c r="D24" s="4" t="str">
        <f>'Reference Score Calculation'!S357</f>
        <v>BSc(SPSC)</v>
      </c>
      <c r="E24" s="352" t="str">
        <f>'Reference Score Calculation'!AC357</f>
        <v>Best 5</v>
      </c>
      <c r="F24" s="373" t="str">
        <f>'Reference Score Calculation'!F357</f>
        <v>Best 5</v>
      </c>
      <c r="G24" s="44">
        <f>'Reference Score Calculation'!J357</f>
        <v>26.5</v>
      </c>
      <c r="H24" s="45">
        <f>計分版!J380</f>
        <v>3.7500000000000005E-9</v>
      </c>
      <c r="I24" s="25">
        <f t="shared" si="4"/>
        <v>-26.499999996250001</v>
      </c>
      <c r="J24" s="26">
        <f t="shared" si="5"/>
        <v>-7066666665.666666</v>
      </c>
      <c r="K24" s="36">
        <f>'Reference Score Calculation'!U357</f>
        <v>29</v>
      </c>
      <c r="L24" s="84">
        <f>入學要求!Z366</f>
        <v>0</v>
      </c>
      <c r="M24" s="542"/>
      <c r="N24" s="249">
        <f>入學要求!L366</f>
        <v>3</v>
      </c>
      <c r="O24" s="249">
        <f>入學要求!M366</f>
        <v>3</v>
      </c>
      <c r="P24" s="249">
        <f>入學要求!N366</f>
        <v>2</v>
      </c>
      <c r="Q24" s="249">
        <f>入學要求!O366</f>
        <v>1</v>
      </c>
      <c r="R24" s="249">
        <f>入學要求!P366</f>
        <v>2</v>
      </c>
      <c r="S24" s="249">
        <f>入學要求!Q366</f>
        <v>2</v>
      </c>
      <c r="T24" s="248">
        <f>入學要求!S366</f>
        <v>0</v>
      </c>
      <c r="U24" s="248">
        <f>入學要求!T366</f>
        <v>0</v>
      </c>
      <c r="V24" s="248">
        <f>入學要求!U366</f>
        <v>0</v>
      </c>
      <c r="W24" s="248">
        <f>入學要求!V366</f>
        <v>0</v>
      </c>
      <c r="X24" s="248">
        <f>入學要求!W366</f>
        <v>0</v>
      </c>
      <c r="Y24" s="248">
        <f>入學要求!X366</f>
        <v>0</v>
      </c>
      <c r="Z24" s="44">
        <f t="shared" si="6"/>
        <v>28.67</v>
      </c>
      <c r="AA24" s="537"/>
      <c r="AB24" s="36" cm="1">
        <f t="array" ref="AB24">IFERROR(INDEX('Offer Statistics'!EK$2:EK$400,MATCH(1,($A24='Offer Statistics'!$DV$2:$DV$400)*($AA$2='Offer Statistics'!$DW$2:$DW$400),0)),"/")</f>
        <v>30</v>
      </c>
      <c r="AC24" s="63" cm="1">
        <f t="array" ref="AC24">IFERROR(INDEX('Offer Statistics'!EF$2:EF$400,MATCH(1,($A24='Offer Statistics'!$DV$2:$DV$400)*($AA$2='Offer Statistics'!$DW$2:$DW$400),0)),"/")</f>
        <v>30</v>
      </c>
      <c r="AD24" s="63" cm="1">
        <f t="array" ref="AD24">IFERROR(INDEX('Offer Statistics'!EG$2:EG$400,MATCH(1,($A24='Offer Statistics'!$DV$2:$DV$400)*($AA$2='Offer Statistics'!$DW$2:$DW$400),0)),"/")</f>
        <v>0</v>
      </c>
      <c r="AE24" s="63" cm="1">
        <f t="array" ref="AE24">IFERROR(INDEX('Offer Statistics'!EH$2:EH$400,MATCH(1,($A24='Offer Statistics'!$DV$2:$DV$400)*($AA$2='Offer Statistics'!$DW$2:$DW$400),0)),"/")</f>
        <v>0</v>
      </c>
      <c r="AF24" s="63" cm="1">
        <f t="array" ref="AF24">IFERROR(INDEX('Offer Statistics'!EI$2:EI$400,MATCH(1,($A24='Offer Statistics'!$DV$2:$DV$400)*($AA$2='Offer Statistics'!$DW$2:$DW$400),0)),"/")</f>
        <v>0</v>
      </c>
      <c r="AG24" s="63" cm="1">
        <f t="array" ref="AG24">IFERROR(INDEX('Offer Statistics'!EJ$2:EJ$400,MATCH(1,($A24='Offer Statistics'!$DV$2:$DV$400)*($AA$2='Offer Statistics'!$DW$2:$DW$400),0)),"/")</f>
        <v>0</v>
      </c>
      <c r="AH24" s="538"/>
      <c r="AI24" s="36" cm="1">
        <f t="array" ref="AI24">IFERROR(INDEX('Offer Statistics'!EC$2:EC$400,MATCH(1,($A24='Offer Statistics'!$DV$2:$DV$400)*($AA$2='Offer Statistics'!$DW$2:$DW$400),0)),"/")</f>
        <v>2383</v>
      </c>
      <c r="AJ24" s="63" cm="1">
        <f t="array" ref="AJ24">IFERROR(INDEX('Offer Statistics'!DX$2:DX$400,MATCH(1,($A24='Offer Statistics'!$DV$2:$DV$400)*($AA$2='Offer Statistics'!$DW$2:$DW$400),0)),"/")</f>
        <v>860</v>
      </c>
      <c r="AK24" s="63" cm="1">
        <f t="array" ref="AK24">IFERROR(INDEX('Offer Statistics'!DY$2:DY$400,MATCH(1,($A24='Offer Statistics'!$DV$2:$DV$400)*($AA$2='Offer Statistics'!$DW$2:$DW$400),0)),"/")</f>
        <v>474</v>
      </c>
      <c r="AL24" s="63" cm="1">
        <f t="array" ref="AL24">IFERROR(INDEX('Offer Statistics'!DZ$2:DZ$400,MATCH(1,($A24='Offer Statistics'!$DV$2:$DV$400)*($AA$2='Offer Statistics'!$DW$2:$DW$400),0)),"/")</f>
        <v>369</v>
      </c>
      <c r="AM24" s="63" cm="1">
        <f t="array" ref="AM24">IFERROR(INDEX('Offer Statistics'!EA$2:EA$400,MATCH(1,($A24='Offer Statistics'!$DV$2:$DV$400)*($AA$2='Offer Statistics'!$DW$2:$DW$400),0)),"/")</f>
        <v>395</v>
      </c>
      <c r="AN24" s="63" cm="1">
        <f t="array" ref="AN24">IFERROR(INDEX('Offer Statistics'!EB$2:EB$400,MATCH(1,($A24='Offer Statistics'!$DV$2:$DV$400)*($AA$2='Offer Statistics'!$DW$2:$DW$400),0)),"/")</f>
        <v>285</v>
      </c>
      <c r="AO24" s="14"/>
      <c r="AP24" s="15" t="str">
        <f t="shared" si="7"/>
        <v>JS8726</v>
      </c>
    </row>
    <row r="25" spans="1:42" ht="18" customHeight="1">
      <c r="A25" s="4" t="str">
        <f>'Reference Score Calculation'!B358</f>
        <v>JS8727</v>
      </c>
      <c r="B25" s="4" t="str">
        <f>'Reference Score Calculation'!D358</f>
        <v>教育及人類發展學院</v>
      </c>
      <c r="C25" s="4" t="str">
        <f>'Reference Score Calculation'!E358</f>
        <v>言語病理學及復康榮譽理學士</v>
      </c>
      <c r="D25" s="4" t="str">
        <f>'Reference Score Calculation'!S358</f>
        <v>BSc(SPR)</v>
      </c>
      <c r="E25" s="352" t="str">
        <f>'Reference Score Calculation'!AC358</f>
        <v>Best 5</v>
      </c>
      <c r="F25" s="373" t="str">
        <f>'Reference Score Calculation'!F358</f>
        <v>25年新科目</v>
      </c>
      <c r="G25" s="44" t="str">
        <f>'Reference Score Calculation'!J358</f>
        <v>/</v>
      </c>
      <c r="H25" s="45">
        <f>計分版!J381</f>
        <v>3.4999999999999999E-9</v>
      </c>
      <c r="I25" s="7" t="str">
        <f t="shared" si="4"/>
        <v>/</v>
      </c>
      <c r="J25" s="8" t="str">
        <f t="shared" si="5"/>
        <v>/</v>
      </c>
      <c r="K25" s="36">
        <f>'Reference Score Calculation'!U358</f>
        <v>10</v>
      </c>
      <c r="L25" s="84">
        <f>入學要求!Z367</f>
        <v>0</v>
      </c>
      <c r="M25" s="542"/>
      <c r="N25" s="249">
        <f>入學要求!L367</f>
        <v>3</v>
      </c>
      <c r="O25" s="249">
        <f>入學要求!M367</f>
        <v>3</v>
      </c>
      <c r="P25" s="249">
        <f>入學要求!N367</f>
        <v>2</v>
      </c>
      <c r="Q25" s="249">
        <f>入學要求!O367</f>
        <v>1</v>
      </c>
      <c r="R25" s="249">
        <f>入學要求!P367</f>
        <v>2</v>
      </c>
      <c r="S25" s="249">
        <f>入學要求!Q367</f>
        <v>2</v>
      </c>
      <c r="T25" s="248">
        <f>入學要求!S367</f>
        <v>0</v>
      </c>
      <c r="U25" s="248">
        <f>入學要求!T367</f>
        <v>0</v>
      </c>
      <c r="V25" s="248">
        <f>入學要求!U367</f>
        <v>0</v>
      </c>
      <c r="W25" s="248">
        <f>入學要求!V367</f>
        <v>0</v>
      </c>
      <c r="X25" s="248">
        <f>入學要求!W367</f>
        <v>0</v>
      </c>
      <c r="Y25" s="248">
        <f>入學要求!X367</f>
        <v>0</v>
      </c>
      <c r="Z25" s="44" t="str">
        <f t="shared" si="6"/>
        <v>/</v>
      </c>
      <c r="AA25" s="537"/>
      <c r="AB25" s="36" t="str" cm="1">
        <f t="array" ref="AB25">IFERROR(INDEX('Offer Statistics'!EK$2:EK$400,MATCH(1,($A25='Offer Statistics'!$DV$2:$DV$400)*($AA$2='Offer Statistics'!$DW$2:$DW$400),0)),"/")</f>
        <v>/</v>
      </c>
      <c r="AC25" s="63" t="str" cm="1">
        <f t="array" ref="AC25">IFERROR(INDEX('Offer Statistics'!EF$2:EF$400,MATCH(1,($A25='Offer Statistics'!$DV$2:$DV$400)*($AA$2='Offer Statistics'!$DW$2:$DW$400),0)),"/")</f>
        <v>/</v>
      </c>
      <c r="AD25" s="63" t="str" cm="1">
        <f t="array" ref="AD25">IFERROR(INDEX('Offer Statistics'!EG$2:EG$400,MATCH(1,($A25='Offer Statistics'!$DV$2:$DV$400)*($AA$2='Offer Statistics'!$DW$2:$DW$400),0)),"/")</f>
        <v>/</v>
      </c>
      <c r="AE25" s="63" t="str" cm="1">
        <f t="array" ref="AE25">IFERROR(INDEX('Offer Statistics'!EH$2:EH$400,MATCH(1,($A25='Offer Statistics'!$DV$2:$DV$400)*($AA$2='Offer Statistics'!$DW$2:$DW$400),0)),"/")</f>
        <v>/</v>
      </c>
      <c r="AF25" s="63" t="str" cm="1">
        <f t="array" ref="AF25">IFERROR(INDEX('Offer Statistics'!EI$2:EI$400,MATCH(1,($A25='Offer Statistics'!$DV$2:$DV$400)*($AA$2='Offer Statistics'!$DW$2:$DW$400),0)),"/")</f>
        <v>/</v>
      </c>
      <c r="AG25" s="63" t="str" cm="1">
        <f t="array" ref="AG25">IFERROR(INDEX('Offer Statistics'!EJ$2:EJ$400,MATCH(1,($A25='Offer Statistics'!$DV$2:$DV$400)*($AA$2='Offer Statistics'!$DW$2:$DW$400),0)),"/")</f>
        <v>/</v>
      </c>
      <c r="AH25" s="538"/>
      <c r="AI25" s="36" t="str" cm="1">
        <f t="array" ref="AI25">IFERROR(INDEX('Offer Statistics'!EC$2:EC$400,MATCH(1,($A25='Offer Statistics'!$DV$2:$DV$400)*($AA$2='Offer Statistics'!$DW$2:$DW$400),0)),"/")</f>
        <v>/</v>
      </c>
      <c r="AJ25" s="63" t="str" cm="1">
        <f t="array" ref="AJ25">IFERROR(INDEX('Offer Statistics'!DX$2:DX$400,MATCH(1,($A25='Offer Statistics'!$DV$2:$DV$400)*($AA$2='Offer Statistics'!$DW$2:$DW$400),0)),"/")</f>
        <v>/</v>
      </c>
      <c r="AK25" s="63" t="str" cm="1">
        <f t="array" ref="AK25">IFERROR(INDEX('Offer Statistics'!DY$2:DY$400,MATCH(1,($A25='Offer Statistics'!$DV$2:$DV$400)*($AA$2='Offer Statistics'!$DW$2:$DW$400),0)),"/")</f>
        <v>/</v>
      </c>
      <c r="AL25" s="63" t="str" cm="1">
        <f t="array" ref="AL25">IFERROR(INDEX('Offer Statistics'!DZ$2:DZ$400,MATCH(1,($A25='Offer Statistics'!$DV$2:$DV$400)*($AA$2='Offer Statistics'!$DW$2:$DW$400),0)),"/")</f>
        <v>/</v>
      </c>
      <c r="AM25" s="63" t="str" cm="1">
        <f t="array" ref="AM25">IFERROR(INDEX('Offer Statistics'!EA$2:EA$400,MATCH(1,($A25='Offer Statistics'!$DV$2:$DV$400)*($AA$2='Offer Statistics'!$DW$2:$DW$400),0)),"/")</f>
        <v>/</v>
      </c>
      <c r="AN25" s="63" t="str" cm="1">
        <f t="array" ref="AN25">IFERROR(INDEX('Offer Statistics'!EB$2:EB$400,MATCH(1,($A25='Offer Statistics'!$DV$2:$DV$400)*($AA$2='Offer Statistics'!$DW$2:$DW$400),0)),"/")</f>
        <v>/</v>
      </c>
      <c r="AO25" s="14"/>
      <c r="AP25" s="15" t="str">
        <f t="shared" si="7"/>
        <v>JS8727</v>
      </c>
    </row>
    <row r="26" spans="1:42" ht="18" customHeight="1">
      <c r="A26" s="4" t="str">
        <f>'Reference Score Calculation'!B359</f>
        <v>JS8001</v>
      </c>
      <c r="B26" s="4" t="str">
        <f>'Reference Score Calculation'!D359</f>
        <v>博文及社會科學學院</v>
      </c>
      <c r="C26" s="4" t="str">
        <f>'Reference Score Calculation'!E359</f>
        <v>創意藝術與數碼藝術榮譽文學士及音樂教育榮譽學士</v>
      </c>
      <c r="D26" s="4" t="str">
        <f>'Reference Score Calculation'!S359</f>
        <v>BA(CDA)&amp;BEd(MU)</v>
      </c>
      <c r="E26" s="352" t="str">
        <f>'Reference Score Calculation'!AC359</f>
        <v>Best 5</v>
      </c>
      <c r="F26" s="373" t="str">
        <f>'Reference Score Calculation'!F359</f>
        <v>Best 5</v>
      </c>
      <c r="G26" s="44">
        <f>'Reference Score Calculation'!J359</f>
        <v>18.5</v>
      </c>
      <c r="H26" s="45">
        <f>計分版!J382</f>
        <v>3.4999999999999999E-9</v>
      </c>
      <c r="I26" s="25">
        <f t="shared" si="4"/>
        <v>-18.499999996500001</v>
      </c>
      <c r="J26" s="26">
        <f t="shared" si="5"/>
        <v>-5285714284.7142859</v>
      </c>
      <c r="K26" s="36">
        <f>'Reference Score Calculation'!U359</f>
        <v>32</v>
      </c>
      <c r="L26" s="84">
        <f>入學要求!Z368</f>
        <v>0</v>
      </c>
      <c r="M26" s="542"/>
      <c r="N26" s="249">
        <f>入學要求!L368</f>
        <v>3</v>
      </c>
      <c r="O26" s="249">
        <f>入學要求!M368</f>
        <v>3</v>
      </c>
      <c r="P26" s="249">
        <f>入學要求!N368</f>
        <v>2</v>
      </c>
      <c r="Q26" s="249">
        <f>入學要求!O368</f>
        <v>1</v>
      </c>
      <c r="R26" s="249">
        <f>入學要求!P368</f>
        <v>2</v>
      </c>
      <c r="S26" s="249">
        <f>入學要求!Q368</f>
        <v>2</v>
      </c>
      <c r="T26" s="248">
        <f>入學要求!S368</f>
        <v>0</v>
      </c>
      <c r="U26" s="248">
        <f>入學要求!T368</f>
        <v>0</v>
      </c>
      <c r="V26" s="248">
        <f>入學要求!U368</f>
        <v>0</v>
      </c>
      <c r="W26" s="248">
        <f>入學要求!V368</f>
        <v>0</v>
      </c>
      <c r="X26" s="248">
        <f>入學要求!W368</f>
        <v>0</v>
      </c>
      <c r="Y26" s="248">
        <f>入學要求!X368</f>
        <v>0</v>
      </c>
      <c r="Z26" s="44" t="str">
        <f t="shared" si="6"/>
        <v>/</v>
      </c>
      <c r="AA26" s="537"/>
      <c r="AB26" s="36" t="str" cm="1">
        <f t="array" ref="AB26">IFERROR(INDEX('Offer Statistics'!EK$2:EK$400,MATCH(1,($A26='Offer Statistics'!$DV$2:$DV$400)*($AA$2='Offer Statistics'!$DW$2:$DW$400),0)),"/")</f>
        <v>/</v>
      </c>
      <c r="AC26" s="63" t="str" cm="1">
        <f t="array" ref="AC26">IFERROR(INDEX('Offer Statistics'!EF$2:EF$400,MATCH(1,($A26='Offer Statistics'!$DV$2:$DV$400)*($AA$2='Offer Statistics'!$DW$2:$DW$400),0)),"/")</f>
        <v>/</v>
      </c>
      <c r="AD26" s="63" t="str" cm="1">
        <f t="array" ref="AD26">IFERROR(INDEX('Offer Statistics'!EG$2:EG$400,MATCH(1,($A26='Offer Statistics'!$DV$2:$DV$400)*($AA$2='Offer Statistics'!$DW$2:$DW$400),0)),"/")</f>
        <v>/</v>
      </c>
      <c r="AE26" s="63" t="str" cm="1">
        <f t="array" ref="AE26">IFERROR(INDEX('Offer Statistics'!EH$2:EH$400,MATCH(1,($A26='Offer Statistics'!$DV$2:$DV$400)*($AA$2='Offer Statistics'!$DW$2:$DW$400),0)),"/")</f>
        <v>/</v>
      </c>
      <c r="AF26" s="63" t="str" cm="1">
        <f t="array" ref="AF26">IFERROR(INDEX('Offer Statistics'!EI$2:EI$400,MATCH(1,($A26='Offer Statistics'!$DV$2:$DV$400)*($AA$2='Offer Statistics'!$DW$2:$DW$400),0)),"/")</f>
        <v>/</v>
      </c>
      <c r="AG26" s="63" t="str" cm="1">
        <f t="array" ref="AG26">IFERROR(INDEX('Offer Statistics'!EJ$2:EJ$400,MATCH(1,($A26='Offer Statistics'!$DV$2:$DV$400)*($AA$2='Offer Statistics'!$DW$2:$DW$400),0)),"/")</f>
        <v>/</v>
      </c>
      <c r="AH26" s="538"/>
      <c r="AI26" s="36" t="str" cm="1">
        <f t="array" ref="AI26">IFERROR(INDEX('Offer Statistics'!EC$2:EC$400,MATCH(1,($A26='Offer Statistics'!$DV$2:$DV$400)*($AA$2='Offer Statistics'!$DW$2:$DW$400),0)),"/")</f>
        <v>/</v>
      </c>
      <c r="AJ26" s="63" t="str" cm="1">
        <f t="array" ref="AJ26">IFERROR(INDEX('Offer Statistics'!DX$2:DX$400,MATCH(1,($A26='Offer Statistics'!$DV$2:$DV$400)*($AA$2='Offer Statistics'!$DW$2:$DW$400),0)),"/")</f>
        <v>/</v>
      </c>
      <c r="AK26" s="63" t="str" cm="1">
        <f t="array" ref="AK26">IFERROR(INDEX('Offer Statistics'!DY$2:DY$400,MATCH(1,($A26='Offer Statistics'!$DV$2:$DV$400)*($AA$2='Offer Statistics'!$DW$2:$DW$400),0)),"/")</f>
        <v>/</v>
      </c>
      <c r="AL26" s="63" t="str" cm="1">
        <f t="array" ref="AL26">IFERROR(INDEX('Offer Statistics'!DZ$2:DZ$400,MATCH(1,($A26='Offer Statistics'!$DV$2:$DV$400)*($AA$2='Offer Statistics'!$DW$2:$DW$400),0)),"/")</f>
        <v>/</v>
      </c>
      <c r="AM26" s="63" t="str" cm="1">
        <f t="array" ref="AM26">IFERROR(INDEX('Offer Statistics'!EA$2:EA$400,MATCH(1,($A26='Offer Statistics'!$DV$2:$DV$400)*($AA$2='Offer Statistics'!$DW$2:$DW$400),0)),"/")</f>
        <v>/</v>
      </c>
      <c r="AN26" s="63" t="str" cm="1">
        <f t="array" ref="AN26">IFERROR(INDEX('Offer Statistics'!EB$2:EB$400,MATCH(1,($A26='Offer Statistics'!$DV$2:$DV$400)*($AA$2='Offer Statistics'!$DW$2:$DW$400),0)),"/")</f>
        <v>/</v>
      </c>
      <c r="AO26" s="14"/>
      <c r="AP26" s="15" t="str">
        <f t="shared" si="7"/>
        <v>JS8001</v>
      </c>
    </row>
    <row r="27" spans="1:42" ht="18" customHeight="1">
      <c r="A27" s="4" t="str">
        <f>'Reference Score Calculation'!B360</f>
        <v>JS8002</v>
      </c>
      <c r="B27" s="4" t="str">
        <f>'Reference Score Calculation'!D360</f>
        <v>博文及社會科學學院</v>
      </c>
      <c r="C27" s="4" t="str">
        <f>'Reference Score Calculation'!E360</f>
        <v>創意藝術與數碼藝術榮譽文學士及視覺藝術教育榮譽學士</v>
      </c>
      <c r="D27" s="4" t="str">
        <f>'Reference Score Calculation'!S360</f>
        <v>BA(CDA)&amp;BEd(VA)</v>
      </c>
      <c r="E27" s="352" t="str">
        <f>'Reference Score Calculation'!AC360</f>
        <v>Best 5</v>
      </c>
      <c r="F27" s="373" t="str">
        <f>'Reference Score Calculation'!F360</f>
        <v>Best 5</v>
      </c>
      <c r="G27" s="44">
        <f>'Reference Score Calculation'!J360</f>
        <v>22</v>
      </c>
      <c r="H27" s="45">
        <f>計分版!J383</f>
        <v>3.4999999999999999E-9</v>
      </c>
      <c r="I27" s="25">
        <f t="shared" si="4"/>
        <v>-21.999999996500001</v>
      </c>
      <c r="J27" s="26">
        <f t="shared" si="5"/>
        <v>-6285714284.7142859</v>
      </c>
      <c r="K27" s="36">
        <f>'Reference Score Calculation'!U360</f>
        <v>32</v>
      </c>
      <c r="L27" s="84">
        <f>入學要求!Z369</f>
        <v>0</v>
      </c>
      <c r="M27" s="542"/>
      <c r="N27" s="249">
        <f>入學要求!L369</f>
        <v>3</v>
      </c>
      <c r="O27" s="249">
        <f>入學要求!M369</f>
        <v>3</v>
      </c>
      <c r="P27" s="249">
        <f>入學要求!N369</f>
        <v>2</v>
      </c>
      <c r="Q27" s="249">
        <f>入學要求!O369</f>
        <v>1</v>
      </c>
      <c r="R27" s="249">
        <f>入學要求!P369</f>
        <v>2</v>
      </c>
      <c r="S27" s="249">
        <f>入學要求!Q369</f>
        <v>2</v>
      </c>
      <c r="T27" s="248">
        <f>入學要求!S369</f>
        <v>0</v>
      </c>
      <c r="U27" s="248">
        <f>入學要求!T369</f>
        <v>0</v>
      </c>
      <c r="V27" s="248">
        <f>入學要求!U369</f>
        <v>0</v>
      </c>
      <c r="W27" s="248">
        <f>入學要求!V369</f>
        <v>0</v>
      </c>
      <c r="X27" s="248">
        <f>入學要求!W369</f>
        <v>0</v>
      </c>
      <c r="Y27" s="248">
        <f>入學要求!X369</f>
        <v>0</v>
      </c>
      <c r="Z27" s="44" t="str">
        <f t="shared" si="6"/>
        <v>/</v>
      </c>
      <c r="AA27" s="537"/>
      <c r="AB27" s="36" t="str" cm="1">
        <f t="array" ref="AB27">IFERROR(INDEX('Offer Statistics'!EK$2:EK$400,MATCH(1,($A27='Offer Statistics'!$DV$2:$DV$400)*($AA$2='Offer Statistics'!$DW$2:$DW$400),0)),"/")</f>
        <v>/</v>
      </c>
      <c r="AC27" s="63" t="str" cm="1">
        <f t="array" ref="AC27">IFERROR(INDEX('Offer Statistics'!EF$2:EF$400,MATCH(1,($A27='Offer Statistics'!$DV$2:$DV$400)*($AA$2='Offer Statistics'!$DW$2:$DW$400),0)),"/")</f>
        <v>/</v>
      </c>
      <c r="AD27" s="63" t="str" cm="1">
        <f t="array" ref="AD27">IFERROR(INDEX('Offer Statistics'!EG$2:EG$400,MATCH(1,($A27='Offer Statistics'!$DV$2:$DV$400)*($AA$2='Offer Statistics'!$DW$2:$DW$400),0)),"/")</f>
        <v>/</v>
      </c>
      <c r="AE27" s="63" t="str" cm="1">
        <f t="array" ref="AE27">IFERROR(INDEX('Offer Statistics'!EH$2:EH$400,MATCH(1,($A27='Offer Statistics'!$DV$2:$DV$400)*($AA$2='Offer Statistics'!$DW$2:$DW$400),0)),"/")</f>
        <v>/</v>
      </c>
      <c r="AF27" s="63" t="str" cm="1">
        <f t="array" ref="AF27">IFERROR(INDEX('Offer Statistics'!EI$2:EI$400,MATCH(1,($A27='Offer Statistics'!$DV$2:$DV$400)*($AA$2='Offer Statistics'!$DW$2:$DW$400),0)),"/")</f>
        <v>/</v>
      </c>
      <c r="AG27" s="63" t="str" cm="1">
        <f t="array" ref="AG27">IFERROR(INDEX('Offer Statistics'!EJ$2:EJ$400,MATCH(1,($A27='Offer Statistics'!$DV$2:$DV$400)*($AA$2='Offer Statistics'!$DW$2:$DW$400),0)),"/")</f>
        <v>/</v>
      </c>
      <c r="AH27" s="538"/>
      <c r="AI27" s="36" t="str" cm="1">
        <f t="array" ref="AI27">IFERROR(INDEX('Offer Statistics'!EC$2:EC$400,MATCH(1,($A27='Offer Statistics'!$DV$2:$DV$400)*($AA$2='Offer Statistics'!$DW$2:$DW$400),0)),"/")</f>
        <v>/</v>
      </c>
      <c r="AJ27" s="63" t="str" cm="1">
        <f t="array" ref="AJ27">IFERROR(INDEX('Offer Statistics'!DX$2:DX$400,MATCH(1,($A27='Offer Statistics'!$DV$2:$DV$400)*($AA$2='Offer Statistics'!$DW$2:$DW$400),0)),"/")</f>
        <v>/</v>
      </c>
      <c r="AK27" s="63" t="str" cm="1">
        <f t="array" ref="AK27">IFERROR(INDEX('Offer Statistics'!DY$2:DY$400,MATCH(1,($A27='Offer Statistics'!$DV$2:$DV$400)*($AA$2='Offer Statistics'!$DW$2:$DW$400),0)),"/")</f>
        <v>/</v>
      </c>
      <c r="AL27" s="63" t="str" cm="1">
        <f t="array" ref="AL27">IFERROR(INDEX('Offer Statistics'!DZ$2:DZ$400,MATCH(1,($A27='Offer Statistics'!$DV$2:$DV$400)*($AA$2='Offer Statistics'!$DW$2:$DW$400),0)),"/")</f>
        <v>/</v>
      </c>
      <c r="AM27" s="63" t="str" cm="1">
        <f t="array" ref="AM27">IFERROR(INDEX('Offer Statistics'!EA$2:EA$400,MATCH(1,($A27='Offer Statistics'!$DV$2:$DV$400)*($AA$2='Offer Statistics'!$DW$2:$DW$400),0)),"/")</f>
        <v>/</v>
      </c>
      <c r="AN27" s="63" t="str" cm="1">
        <f t="array" ref="AN27">IFERROR(INDEX('Offer Statistics'!EB$2:EB$400,MATCH(1,($A27='Offer Statistics'!$DV$2:$DV$400)*($AA$2='Offer Statistics'!$DW$2:$DW$400),0)),"/")</f>
        <v>/</v>
      </c>
      <c r="AO27" s="14"/>
      <c r="AP27" s="15" t="str">
        <f t="shared" si="7"/>
        <v>JS8002</v>
      </c>
    </row>
    <row r="28" spans="1:42" ht="18" customHeight="1"/>
    <row r="29" spans="1:42" ht="18" customHeight="1">
      <c r="A29" s="3" t="s">
        <v>3249</v>
      </c>
      <c r="B29" s="4"/>
      <c r="C29" s="4"/>
      <c r="D29" s="4"/>
      <c r="E29" s="4"/>
      <c r="H29" s="15"/>
      <c r="I29" s="22"/>
      <c r="J29" s="23"/>
      <c r="K29" s="15"/>
      <c r="L29" s="15"/>
      <c r="M29" s="15"/>
      <c r="N29" s="15"/>
      <c r="O29" s="15"/>
      <c r="P29" s="15"/>
      <c r="Q29" s="15"/>
      <c r="R29" s="15"/>
      <c r="S29" s="15"/>
      <c r="T29" s="15"/>
      <c r="U29" s="15"/>
      <c r="V29" s="15"/>
      <c r="W29" s="15"/>
      <c r="X29" s="15"/>
      <c r="Y29" s="15"/>
      <c r="Z29" s="15"/>
      <c r="AA29" s="15"/>
      <c r="AC29" s="15"/>
      <c r="AD29" s="15"/>
    </row>
    <row r="30" spans="1:42" ht="18" customHeight="1">
      <c r="A30" s="4" t="s">
        <v>3131</v>
      </c>
      <c r="B30" s="4"/>
      <c r="C30" s="4"/>
      <c r="D30" s="4"/>
      <c r="E30" s="4"/>
      <c r="H30" s="15"/>
      <c r="I30" s="22"/>
      <c r="J30" s="23"/>
      <c r="K30" s="15"/>
      <c r="L30" s="15"/>
      <c r="M30" s="15"/>
      <c r="N30" s="15"/>
      <c r="O30" s="15"/>
      <c r="P30" s="15"/>
      <c r="Q30" s="15"/>
      <c r="R30" s="15"/>
      <c r="S30" s="15"/>
      <c r="T30" s="15"/>
      <c r="U30" s="15"/>
      <c r="V30" s="15"/>
      <c r="W30" s="15"/>
      <c r="X30" s="15"/>
      <c r="Y30" s="15"/>
      <c r="Z30" s="15"/>
    </row>
    <row r="31" spans="1:42" ht="18" customHeight="1">
      <c r="A31" s="4"/>
      <c r="B31" s="4"/>
      <c r="C31" s="4"/>
      <c r="D31" s="4"/>
      <c r="E31" s="4"/>
      <c r="H31" s="15"/>
      <c r="I31" s="22"/>
      <c r="J31" s="23"/>
      <c r="K31" s="15"/>
      <c r="L31" s="15"/>
      <c r="M31" s="15"/>
      <c r="N31" s="15"/>
      <c r="O31" s="15"/>
      <c r="P31" s="15"/>
      <c r="Q31" s="15"/>
      <c r="R31" s="15"/>
      <c r="S31" s="15"/>
      <c r="T31" s="15"/>
      <c r="U31" s="15"/>
      <c r="V31" s="15"/>
      <c r="W31" s="15"/>
      <c r="X31" s="15"/>
      <c r="Y31" s="15"/>
      <c r="Z31" s="15"/>
      <c r="AC31" s="36"/>
    </row>
    <row r="32" spans="1:42" s="4" customFormat="1" ht="18" customHeight="1">
      <c r="C32" s="23"/>
      <c r="F32" s="15"/>
      <c r="I32" s="15"/>
      <c r="L32" s="36"/>
      <c r="M32" s="15"/>
      <c r="T32" s="15"/>
      <c r="U32" s="15"/>
      <c r="V32" s="15"/>
      <c r="W32" s="15"/>
      <c r="X32" s="15"/>
      <c r="Y32" s="15"/>
      <c r="Z32" s="15"/>
    </row>
    <row r="33" spans="1:45" s="4" customFormat="1" ht="18" customHeight="1">
      <c r="A33" s="23" t="s">
        <v>2962</v>
      </c>
      <c r="F33" s="36"/>
      <c r="G33" s="15"/>
      <c r="H33" s="15"/>
      <c r="I33" s="15"/>
      <c r="J33" s="15"/>
      <c r="K33" s="22"/>
      <c r="L33" s="23"/>
      <c r="M33" s="15"/>
      <c r="O33" s="15"/>
      <c r="P33" s="15"/>
      <c r="Q33" s="15"/>
      <c r="R33" s="15"/>
      <c r="S33" s="15"/>
      <c r="T33" s="15"/>
      <c r="U33" s="15"/>
      <c r="V33" s="15"/>
      <c r="W33" s="15"/>
      <c r="X33" s="15"/>
      <c r="Y33" s="15"/>
      <c r="Z33" s="15"/>
      <c r="AA33" s="15"/>
      <c r="AB33" s="15"/>
      <c r="AD33" s="15"/>
      <c r="AE33" s="15"/>
      <c r="AF33" s="15"/>
      <c r="AG33" s="15"/>
      <c r="AH33" s="15"/>
      <c r="AI33" s="15"/>
      <c r="AJ33" s="15"/>
      <c r="AK33" s="15"/>
      <c r="AL33" s="15"/>
      <c r="AM33" s="15"/>
      <c r="AN33" s="15"/>
      <c r="AO33" s="15"/>
      <c r="AP33" s="15"/>
      <c r="AQ33" s="15"/>
      <c r="AS33" s="15"/>
    </row>
    <row r="34" spans="1:45" ht="18" customHeight="1">
      <c r="A34" s="23" t="s">
        <v>185</v>
      </c>
      <c r="B34" s="4"/>
      <c r="C34" s="4"/>
      <c r="D34" s="4"/>
      <c r="E34" s="4"/>
      <c r="H34" s="15"/>
      <c r="I34" s="22"/>
      <c r="J34" s="23"/>
      <c r="K34" s="15"/>
      <c r="L34" s="15"/>
      <c r="M34" s="15"/>
      <c r="N34" s="15"/>
      <c r="O34" s="15"/>
      <c r="P34" s="15"/>
      <c r="Q34" s="15"/>
      <c r="R34" s="15"/>
      <c r="S34" s="15"/>
      <c r="T34" s="15"/>
      <c r="U34" s="15"/>
      <c r="V34" s="15"/>
      <c r="W34" s="15"/>
      <c r="X34" s="15"/>
      <c r="Y34" s="15"/>
      <c r="Z34" s="15"/>
    </row>
    <row r="35" spans="1:45" ht="18" customHeight="1">
      <c r="A35" s="23"/>
      <c r="B35" s="4"/>
      <c r="C35" s="4"/>
      <c r="D35" s="4"/>
      <c r="E35" s="4"/>
      <c r="H35" s="15"/>
      <c r="I35" s="22"/>
      <c r="J35" s="23"/>
      <c r="K35" s="15"/>
      <c r="L35" s="15"/>
      <c r="M35" s="15"/>
      <c r="N35" s="15"/>
      <c r="O35" s="15"/>
      <c r="P35" s="15"/>
      <c r="Q35" s="15"/>
      <c r="R35" s="15"/>
      <c r="S35" s="15"/>
      <c r="T35" s="15"/>
      <c r="U35" s="15"/>
      <c r="V35" s="15"/>
      <c r="W35" s="15"/>
      <c r="X35" s="15"/>
      <c r="Y35" s="15"/>
      <c r="Z35" s="15"/>
    </row>
    <row r="36" spans="1:45" ht="18" customHeight="1">
      <c r="A36" s="3" t="s">
        <v>189</v>
      </c>
      <c r="B36" s="4"/>
      <c r="C36" s="4"/>
      <c r="D36" s="4"/>
      <c r="E36" s="4"/>
      <c r="H36" s="15"/>
      <c r="I36" s="22"/>
      <c r="J36" s="23"/>
      <c r="K36" s="15"/>
      <c r="L36" s="15"/>
      <c r="M36" s="15"/>
      <c r="N36" s="15"/>
      <c r="O36" s="15"/>
      <c r="P36" s="15"/>
      <c r="Q36" s="15"/>
      <c r="R36" s="15"/>
      <c r="S36" s="15"/>
      <c r="T36" s="15"/>
      <c r="U36" s="15"/>
      <c r="V36" s="15"/>
      <c r="W36" s="15"/>
      <c r="X36" s="15"/>
      <c r="Y36" s="15"/>
      <c r="Z36" s="15"/>
    </row>
    <row r="37" spans="1:45" ht="18" customHeight="1">
      <c r="A37" s="4" t="s">
        <v>3250</v>
      </c>
      <c r="B37" s="4"/>
      <c r="C37" s="4"/>
      <c r="D37" s="4"/>
      <c r="E37" s="4"/>
      <c r="H37" s="15"/>
      <c r="I37" s="22"/>
      <c r="J37" s="23"/>
      <c r="K37" s="15"/>
      <c r="L37" s="15"/>
      <c r="M37" s="15"/>
      <c r="N37" s="15"/>
      <c r="O37" s="15"/>
      <c r="P37" s="15"/>
      <c r="Q37" s="15"/>
      <c r="R37" s="15"/>
      <c r="S37" s="15"/>
      <c r="T37" s="15"/>
      <c r="U37" s="15"/>
      <c r="V37" s="15"/>
      <c r="W37" s="15"/>
      <c r="X37" s="15"/>
      <c r="Y37" s="15"/>
      <c r="Z37" s="15"/>
    </row>
    <row r="38" spans="1:45" ht="18" customHeight="1"/>
    <row r="39" spans="1:45" ht="18" customHeight="1">
      <c r="A39" s="4" t="s">
        <v>129</v>
      </c>
      <c r="B39" s="4"/>
      <c r="C39" s="4"/>
      <c r="D39" s="4"/>
      <c r="E39" s="4"/>
      <c r="H39" s="4"/>
    </row>
    <row r="40" spans="1:45" ht="18" customHeight="1">
      <c r="A40" s="247" t="s">
        <v>3295</v>
      </c>
      <c r="B40" s="4"/>
      <c r="C40" s="4"/>
      <c r="D40" s="4"/>
      <c r="E40" s="4"/>
    </row>
    <row r="41" spans="1:45" ht="18" customHeight="1">
      <c r="A41" s="244" t="s">
        <v>190</v>
      </c>
      <c r="B41" s="4"/>
      <c r="C41" s="4"/>
      <c r="D41" s="4"/>
      <c r="E41" s="4"/>
    </row>
    <row r="42" spans="1:45" ht="18" customHeight="1">
      <c r="A42" s="46"/>
      <c r="B42" s="4"/>
      <c r="C42" s="4"/>
      <c r="D42" s="4"/>
      <c r="E42" s="4"/>
    </row>
    <row r="43" spans="1:45" ht="18" hidden="1" customHeight="1">
      <c r="A43" s="46"/>
      <c r="B43" s="4"/>
      <c r="C43" s="4"/>
      <c r="D43" s="4"/>
      <c r="E43" s="4"/>
    </row>
  </sheetData>
  <sheetProtection sheet="1" sort="0" autoFilter="0" pivotTables="0"/>
  <mergeCells count="4">
    <mergeCell ref="AH2:AH27"/>
    <mergeCell ref="M2:M27"/>
    <mergeCell ref="I1:J1"/>
    <mergeCell ref="AA2:AA27"/>
  </mergeCells>
  <phoneticPr fontId="3" type="noConversion"/>
  <conditionalFormatting sqref="A2:AP2 A3:L27 AI3:AP27 N3:Z27 AB3:AG27">
    <cfRule type="expression" dxfId="127" priority="2052">
      <formula>MOD(ROW(),2)=0</formula>
    </cfRule>
  </conditionalFormatting>
  <conditionalFormatting sqref="G2:G27">
    <cfRule type="expression" dxfId="126" priority="180">
      <formula>$I$1="差距(UQ)"</formula>
    </cfRule>
  </conditionalFormatting>
  <conditionalFormatting sqref="I2:J27">
    <cfRule type="cellIs" dxfId="125" priority="184" operator="equal">
      <formula>"/"</formula>
    </cfRule>
    <cfRule type="cellIs" dxfId="124" priority="185" operator="lessThan">
      <formula>0</formula>
    </cfRule>
    <cfRule type="cellIs" dxfId="123" priority="186" operator="greaterThan">
      <formula>0</formula>
    </cfRule>
  </conditionalFormatting>
  <conditionalFormatting sqref="L2:L27">
    <cfRule type="cellIs" dxfId="122" priority="177" operator="equal">
      <formula>2</formula>
    </cfRule>
    <cfRule type="cellIs" dxfId="121" priority="178" operator="equal">
      <formula>1</formula>
    </cfRule>
    <cfRule type="cellIs" dxfId="120" priority="179" operator="equal">
      <formula>0</formula>
    </cfRule>
  </conditionalFormatting>
  <conditionalFormatting sqref="N2:S27">
    <cfRule type="expression" dxfId="119" priority="3">
      <formula>T2=0</formula>
    </cfRule>
    <cfRule type="expression" dxfId="118" priority="4">
      <formula>T2=2</formula>
    </cfRule>
    <cfRule type="expression" dxfId="117" priority="5">
      <formula>T2=1</formula>
    </cfRule>
  </conditionalFormatting>
  <conditionalFormatting sqref="S13">
    <cfRule type="expression" dxfId="116" priority="1" stopIfTrue="1">
      <formula>TRUE</formula>
    </cfRule>
  </conditionalFormatting>
  <conditionalFormatting sqref="AA2 AH2 AO2:AO27">
    <cfRule type="expression" dxfId="115" priority="11">
      <formula>TRUE</formula>
    </cfRule>
  </conditionalFormatting>
  <hyperlinks>
    <hyperlink ref="A41" r:id="rId1" xr:uid="{00000000-0004-0000-0E00-000000000000}"/>
    <hyperlink ref="A40" r:id="rId2" xr:uid="{28DDC986-FC87-5342-94B6-B65E1C1B9304}"/>
  </hyperlinks>
  <pageMargins left="0.7" right="0.7" top="0.75" bottom="0.75" header="0.3" footer="0.3"/>
  <pageSetup paperSize="9" orientation="portrait" horizontalDpi="1200" verticalDpi="1200" r:id="rId3"/>
  <drawing r:id="rId4"/>
  <legacyDrawing r:id="rId5"/>
  <extLst>
    <ext xmlns:x14="http://schemas.microsoft.com/office/spreadsheetml/2009/9/main" uri="{CCE6A557-97BC-4b89-ADB6-D9C93CAAB3DF}">
      <x14:dataValidations xmlns:xm="http://schemas.microsoft.com/office/excel/2006/main" count="1">
        <x14:dataValidation type="list" allowBlank="1" showInputMessage="1" showErrorMessage="1" xr:uid="{E7C1D492-C642-4EB6-8B83-9B794BAB7974}">
          <x14:formula1>
            <xm:f>選單!$J$1:$J$7</xm:f>
          </x14:formula1>
          <xm:sqref>AA2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3">
    <tabColor rgb="FF003366"/>
  </sheetPr>
  <dimension ref="A1:AW120"/>
  <sheetViews>
    <sheetView zoomScale="81" workbookViewId="0">
      <selection activeCell="B1" sqref="B1"/>
    </sheetView>
  </sheetViews>
  <sheetFormatPr defaultColWidth="0" defaultRowHeight="0" customHeight="1" zeroHeight="1"/>
  <cols>
    <col min="1" max="1" width="7.19921875" style="29" customWidth="1"/>
    <col min="2" max="2" width="8.19921875" style="29" customWidth="1"/>
    <col min="3" max="3" width="21.69921875" style="29" customWidth="1"/>
    <col min="4" max="4" width="11.19921875" style="29" customWidth="1"/>
    <col min="5" max="5" width="10.69921875" style="36" customWidth="1"/>
    <col min="6" max="8" width="7.69921875" style="34" customWidth="1"/>
    <col min="9" max="9" width="7.69921875" style="81" customWidth="1"/>
    <col min="10" max="10" width="7.69921875" style="82" customWidth="1"/>
    <col min="11" max="12" width="4.69921875" style="34" customWidth="1"/>
    <col min="13" max="13" width="14.69921875" style="34" customWidth="1"/>
    <col min="14" max="19" width="2.19921875" style="34" customWidth="1"/>
    <col min="20" max="25" width="2.19921875" style="34" hidden="1" customWidth="1"/>
    <col min="26" max="26" width="11.19921875" style="34" customWidth="1"/>
    <col min="27" max="27" width="8.69921875" style="29" customWidth="1"/>
    <col min="28" max="33" width="6.19921875" style="4" customWidth="1"/>
    <col min="34" max="34" width="8.69921875" style="4" customWidth="1"/>
    <col min="35" max="35" width="6.19921875" style="2" customWidth="1"/>
    <col min="36" max="38" width="6.19921875" style="4" customWidth="1"/>
    <col min="39" max="40" width="6.19921875" style="2" customWidth="1"/>
    <col min="41" max="41" width="3.19921875" style="2" customWidth="1"/>
    <col min="42" max="42" width="8.19921875" style="16" customWidth="1"/>
    <col min="43" max="44" width="9.19921875" style="2" hidden="1" customWidth="1"/>
    <col min="45" max="49" width="0" style="2" hidden="1" customWidth="1"/>
    <col min="50" max="16384" width="9.19921875" style="2" hidden="1"/>
  </cols>
  <sheetData>
    <row r="1" spans="1:42" s="61" customFormat="1" ht="18" customHeight="1">
      <c r="A1" s="48" t="s">
        <v>104</v>
      </c>
      <c r="B1" s="48" t="s">
        <v>105</v>
      </c>
      <c r="C1" s="48" t="s">
        <v>106</v>
      </c>
      <c r="D1" s="48"/>
      <c r="E1" s="76" t="s">
        <v>31</v>
      </c>
      <c r="F1" s="76" t="s">
        <v>102</v>
      </c>
      <c r="G1" s="76" t="s">
        <v>100</v>
      </c>
      <c r="H1" s="76" t="s">
        <v>108</v>
      </c>
      <c r="I1" s="550" t="s">
        <v>109</v>
      </c>
      <c r="J1" s="550"/>
      <c r="K1" s="76" t="s">
        <v>36</v>
      </c>
      <c r="L1" s="76" t="s">
        <v>110</v>
      </c>
      <c r="M1" s="76"/>
      <c r="N1" s="76" t="s">
        <v>111</v>
      </c>
      <c r="O1" s="76" t="s">
        <v>112</v>
      </c>
      <c r="P1" s="76" t="s">
        <v>113</v>
      </c>
      <c r="Q1" s="76" t="s">
        <v>2251</v>
      </c>
      <c r="R1" s="76" t="s">
        <v>115</v>
      </c>
      <c r="S1" s="76" t="s">
        <v>2059</v>
      </c>
      <c r="T1" s="76"/>
      <c r="U1" s="76"/>
      <c r="V1" s="76"/>
      <c r="W1" s="76"/>
      <c r="X1" s="76"/>
      <c r="Y1" s="76"/>
      <c r="Z1" s="76" t="s">
        <v>117</v>
      </c>
      <c r="AA1" s="76" t="s">
        <v>118</v>
      </c>
      <c r="AB1" s="76" t="s">
        <v>135</v>
      </c>
      <c r="AC1" s="76" t="s">
        <v>120</v>
      </c>
      <c r="AD1" s="76" t="s">
        <v>121</v>
      </c>
      <c r="AE1" s="76" t="s">
        <v>122</v>
      </c>
      <c r="AF1" s="76" t="s">
        <v>123</v>
      </c>
      <c r="AG1" s="76" t="s">
        <v>124</v>
      </c>
      <c r="AH1" s="76" t="s">
        <v>136</v>
      </c>
      <c r="AI1" s="76" t="s">
        <v>135</v>
      </c>
      <c r="AJ1" s="76" t="s">
        <v>120</v>
      </c>
      <c r="AK1" s="76" t="s">
        <v>121</v>
      </c>
      <c r="AL1" s="76" t="s">
        <v>122</v>
      </c>
      <c r="AM1" s="76" t="s">
        <v>123</v>
      </c>
      <c r="AN1" s="76" t="s">
        <v>124</v>
      </c>
      <c r="AO1" s="76"/>
      <c r="AP1" s="76"/>
    </row>
    <row r="2" spans="1:42" ht="18" customHeight="1">
      <c r="A2" s="4" t="str">
        <f>'Reference Score Calculation'!B363</f>
        <v>JS9009</v>
      </c>
      <c r="B2" s="4" t="str">
        <f>'Reference Score Calculation'!D363</f>
        <v>人文社會科學院</v>
      </c>
      <c r="C2" s="4" t="str">
        <f>'Reference Score Calculation'!E363</f>
        <v>社會科學榮譽學士</v>
      </c>
      <c r="D2" s="4" t="str">
        <f>'Reference Score Calculation'!S363</f>
        <v>BSSc(Hons)</v>
      </c>
      <c r="E2" s="449" t="str">
        <f>'Reference Score Calculation'!F363</f>
        <v>Best 5</v>
      </c>
      <c r="F2" s="6">
        <f>'Reference Score Calculation'!I363</f>
        <v>16</v>
      </c>
      <c r="G2" s="6">
        <f>'Reference Score Calculation'!J363</f>
        <v>15</v>
      </c>
      <c r="H2" s="45">
        <f>計分版!J386</f>
        <v>3.2999999999999998E-9</v>
      </c>
      <c r="I2" s="176">
        <f>IFERROR(IF(I$1="差距(Median)",H2-F2,IF(I$1="差距(UQ)",H2-#REF!,IF(I$1="差距(LQ)",H2-G2))),"/")</f>
        <v>-15.9999999967</v>
      </c>
      <c r="J2" s="177">
        <f>IFERROR(IF(I$1="差距(Median)",(H2-F2)/H2,IF(I$1="差距(UQ)",(H2-#REF!)/H2,IF(I$1="差距(LQ)",(H2-G2)/H2))),"/")</f>
        <v>-4848484847.484849</v>
      </c>
      <c r="K2" s="36">
        <f>'Reference Score Calculation'!U363</f>
        <v>100</v>
      </c>
      <c r="L2" s="84">
        <f>入學要求!Z372</f>
        <v>0</v>
      </c>
      <c r="M2" s="544" t="s">
        <v>2104</v>
      </c>
      <c r="N2" s="174">
        <f>入學要求!L372</f>
        <v>3</v>
      </c>
      <c r="O2" s="174">
        <f>入學要求!M372</f>
        <v>3</v>
      </c>
      <c r="P2" s="174">
        <f>入學要求!N372</f>
        <v>2</v>
      </c>
      <c r="Q2" s="174">
        <f>入學要求!O372</f>
        <v>1</v>
      </c>
      <c r="R2" s="174">
        <f>入學要求!P372</f>
        <v>2</v>
      </c>
      <c r="S2" s="174">
        <f>入學要求!Q372</f>
        <v>2</v>
      </c>
      <c r="T2" s="236">
        <f>入學要求!S372</f>
        <v>0</v>
      </c>
      <c r="U2" s="236">
        <f>入學要求!T372</f>
        <v>0</v>
      </c>
      <c r="V2" s="236">
        <f>入學要求!U372</f>
        <v>0</v>
      </c>
      <c r="W2" s="236">
        <f>入學要求!V372</f>
        <v>0</v>
      </c>
      <c r="X2" s="236">
        <f>入學要求!W372</f>
        <v>0</v>
      </c>
      <c r="Y2" s="236">
        <f>入學要求!X372</f>
        <v>0</v>
      </c>
      <c r="Z2" s="15">
        <f>IFERROR(ROUND(AJ2/AC2,2),"/")</f>
        <v>3.38</v>
      </c>
      <c r="AA2" s="537" t="s">
        <v>2253</v>
      </c>
      <c r="AB2" s="36" cm="1">
        <f t="array" ref="AB2">IFERROR(INDEX('Offer Statistics'!FC$2:FC$400,MATCH(1,($A2='Offer Statistics'!$EN$2:$EN$400)*($AA$2='Offer Statistics'!$EO$2:$EO$400),0)),"/")</f>
        <v>277</v>
      </c>
      <c r="AC2" s="63" cm="1">
        <f t="array" ref="AC2">IFERROR(INDEX('Offer Statistics'!EX$2:EX$400,MATCH(1,($A2='Offer Statistics'!$EN$2:$EN$400)*($AA$2='Offer Statistics'!$EO$2:$EO$400),0)),"/")</f>
        <v>178</v>
      </c>
      <c r="AD2" s="63" cm="1">
        <f t="array" ref="AD2">IFERROR(INDEX('Offer Statistics'!EY$2:EY$400,MATCH(1,($A2='Offer Statistics'!$EN$2:$EN$400)*($AA$2='Offer Statistics'!$EO$2:$EO$400),0)),"/")</f>
        <v>50</v>
      </c>
      <c r="AE2" s="63" cm="1">
        <f t="array" ref="AE2">IFERROR(INDEX('Offer Statistics'!EZ$2:EZ$400,MATCH(1,($A2='Offer Statistics'!$EN$2:$EN$400)*($AA$2='Offer Statistics'!$EO$2:$EO$400),0)),"/")</f>
        <v>19</v>
      </c>
      <c r="AF2" s="63" cm="1">
        <f t="array" ref="AF2">IFERROR(INDEX('Offer Statistics'!FA$2:FA$400,MATCH(1,($A2='Offer Statistics'!$EN$2:$EN$400)*($AA$2='Offer Statistics'!$EO$2:$EO$400),0)),"/")</f>
        <v>19</v>
      </c>
      <c r="AG2" s="63" cm="1">
        <f t="array" ref="AG2">IFERROR(INDEX('Offer Statistics'!FB$2:FB$400,MATCH(1,($A2='Offer Statistics'!$EN$2:$EN$400)*($AA$2='Offer Statistics'!$EO$2:$EO$400),0)),"/")</f>
        <v>11</v>
      </c>
      <c r="AH2" s="538" t="str">
        <f>AA2</f>
        <v>2024年</v>
      </c>
      <c r="AI2" s="36" cm="1">
        <f t="array" ref="AI2">IFERROR(INDEX('Offer Statistics'!EU$2:EU$400,MATCH(1,($A2='Offer Statistics'!$EN$2:$EN$400)*($AA$2='Offer Statistics'!$EO$2:$EO$400),0)),"/")</f>
        <v>3610</v>
      </c>
      <c r="AJ2" s="63" cm="1">
        <f t="array" ref="AJ2">IFERROR(INDEX('Offer Statistics'!EP$2:EP$400,MATCH(1,($A2='Offer Statistics'!$EN$2:$EN$400)*($AA$2='Offer Statistics'!$EO$2:$EO$400),0)),"/")</f>
        <v>601</v>
      </c>
      <c r="AK2" s="63" cm="1">
        <f t="array" ref="AK2">IFERROR(INDEX('Offer Statistics'!EQ$2:EQ$400,MATCH(1,($A2='Offer Statistics'!$EN$2:$EN$400)*($AA$2='Offer Statistics'!$EO$2:$EO$400),0)),"/")</f>
        <v>662</v>
      </c>
      <c r="AL2" s="63" cm="1">
        <f t="array" ref="AL2">IFERROR(INDEX('Offer Statistics'!ER$2:ER$400,MATCH(1,($A2='Offer Statistics'!$EN$2:$EN$400)*($AA$2='Offer Statistics'!$EO$2:$EO$400),0)),"/")</f>
        <v>730</v>
      </c>
      <c r="AM2" s="63" cm="1">
        <f t="array" ref="AM2">IFERROR(INDEX('Offer Statistics'!ES$2:ES$400,MATCH(1,($A2='Offer Statistics'!$EN$2:$EN$400)*($AA$2='Offer Statistics'!$EO$2:$EO$400),0)),"/")</f>
        <v>803</v>
      </c>
      <c r="AN2" s="63" cm="1">
        <f t="array" ref="AN2">IFERROR(INDEX('Offer Statistics'!ET$2:ET$400,MATCH(1,($A2='Offer Statistics'!$EN$2:$EN$400)*($AA$2='Offer Statistics'!$EO$2:$EO$400),0)),"/")</f>
        <v>814</v>
      </c>
      <c r="AO2" s="15"/>
      <c r="AP2" s="15" t="str">
        <f t="shared" ref="AP2:AP3" si="0">A2</f>
        <v>JS9009</v>
      </c>
    </row>
    <row r="3" spans="1:42" ht="18" customHeight="1">
      <c r="A3" s="4" t="str">
        <f>'Reference Score Calculation'!B364</f>
        <v>JS9010</v>
      </c>
      <c r="B3" s="4" t="str">
        <f>'Reference Score Calculation'!D364</f>
        <v>人文社會科學院</v>
      </c>
      <c r="C3" s="4" t="str">
        <f>'Reference Score Calculation'!E364</f>
        <v>心理學榮譽社會科學學士</v>
      </c>
      <c r="D3" s="4" t="str">
        <f>'Reference Score Calculation'!S364</f>
        <v>BSSc(Hons)Psychology</v>
      </c>
      <c r="E3" s="449" t="str">
        <f>'Reference Score Calculation'!F364</f>
        <v>Best 5</v>
      </c>
      <c r="F3" s="6">
        <f>'Reference Score Calculation'!I364</f>
        <v>16</v>
      </c>
      <c r="G3" s="6">
        <f>'Reference Score Calculation'!J364</f>
        <v>14</v>
      </c>
      <c r="H3" s="45">
        <f>計分版!J387</f>
        <v>3.2999999999999998E-9</v>
      </c>
      <c r="I3" s="176">
        <f>IFERROR(IF(I$1="差距(Median)",H3-F3,IF(I$1="差距(UQ)",H3-#REF!,IF(I$1="差距(LQ)",H3-G3))),"/")</f>
        <v>-15.9999999967</v>
      </c>
      <c r="J3" s="177">
        <f>IFERROR(IF(I$1="差距(Median)",(H3-F3)/H3,IF(I$1="差距(UQ)",(H3-#REF!)/H3,IF(I$1="差距(LQ)",(H3-G3)/H3))),"/")</f>
        <v>-4848484847.484849</v>
      </c>
      <c r="K3" s="36">
        <f>'Reference Score Calculation'!U364</f>
        <v>120</v>
      </c>
      <c r="L3" s="84">
        <f>入學要求!Z373</f>
        <v>0</v>
      </c>
      <c r="M3" s="544"/>
      <c r="N3" s="174">
        <f>入學要求!L373</f>
        <v>3</v>
      </c>
      <c r="O3" s="174">
        <f>入學要求!M373</f>
        <v>3</v>
      </c>
      <c r="P3" s="174">
        <f>入學要求!N373</f>
        <v>2</v>
      </c>
      <c r="Q3" s="174">
        <f>入學要求!O373</f>
        <v>1</v>
      </c>
      <c r="R3" s="174">
        <f>入學要求!P373</f>
        <v>2</v>
      </c>
      <c r="S3" s="174">
        <f>入學要求!Q373</f>
        <v>2</v>
      </c>
      <c r="T3" s="236">
        <f>入學要求!S373</f>
        <v>0</v>
      </c>
      <c r="U3" s="236">
        <f>入學要求!T373</f>
        <v>0</v>
      </c>
      <c r="V3" s="236">
        <f>入學要求!U373</f>
        <v>0</v>
      </c>
      <c r="W3" s="236">
        <f>入學要求!V373</f>
        <v>0</v>
      </c>
      <c r="X3" s="236">
        <f>入學要求!W373</f>
        <v>0</v>
      </c>
      <c r="Y3" s="236">
        <f>入學要求!X373</f>
        <v>0</v>
      </c>
      <c r="Z3" s="15">
        <f t="shared" ref="Z3" si="1">IFERROR(ROUND(AJ3/AC3,2),"/")</f>
        <v>3.74</v>
      </c>
      <c r="AA3" s="537"/>
      <c r="AB3" s="36" cm="1">
        <f t="array" ref="AB3">IFERROR(INDEX('Offer Statistics'!FC$2:FC$400,MATCH(1,($A3='Offer Statistics'!$EN$2:$EN$400)*($AA$2='Offer Statistics'!$EO$2:$EO$400),0)),"/")</f>
        <v>378</v>
      </c>
      <c r="AC3" s="63" cm="1">
        <f t="array" ref="AC3">IFERROR(INDEX('Offer Statistics'!EX$2:EX$400,MATCH(1,($A3='Offer Statistics'!$EN$2:$EN$400)*($AA$2='Offer Statistics'!$EO$2:$EO$400),0)),"/")</f>
        <v>193</v>
      </c>
      <c r="AD3" s="63" cm="1">
        <f t="array" ref="AD3">IFERROR(INDEX('Offer Statistics'!EY$2:EY$400,MATCH(1,($A3='Offer Statistics'!$EN$2:$EN$400)*($AA$2='Offer Statistics'!$EO$2:$EO$400),0)),"/")</f>
        <v>73</v>
      </c>
      <c r="AE3" s="63" cm="1">
        <f t="array" ref="AE3">IFERROR(INDEX('Offer Statistics'!EZ$2:EZ$400,MATCH(1,($A3='Offer Statistics'!$EN$2:$EN$400)*($AA$2='Offer Statistics'!$EO$2:$EO$400),0)),"/")</f>
        <v>37</v>
      </c>
      <c r="AF3" s="63" cm="1">
        <f t="array" ref="AF3">IFERROR(INDEX('Offer Statistics'!FA$2:FA$400,MATCH(1,($A3='Offer Statistics'!$EN$2:$EN$400)*($AA$2='Offer Statistics'!$EO$2:$EO$400),0)),"/")</f>
        <v>31</v>
      </c>
      <c r="AG3" s="63" cm="1">
        <f t="array" ref="AG3">IFERROR(INDEX('Offer Statistics'!FB$2:FB$400,MATCH(1,($A3='Offer Statistics'!$EN$2:$EN$400)*($AA$2='Offer Statistics'!$EO$2:$EO$400),0)),"/")</f>
        <v>44</v>
      </c>
      <c r="AH3" s="538"/>
      <c r="AI3" s="36" cm="1">
        <f t="array" ref="AI3">IFERROR(INDEX('Offer Statistics'!EU$2:EU$400,MATCH(1,($A3='Offer Statistics'!$EN$2:$EN$400)*($AA$2='Offer Statistics'!$EO$2:$EO$400),0)),"/")</f>
        <v>5137</v>
      </c>
      <c r="AJ3" s="63" cm="1">
        <f t="array" ref="AJ3">IFERROR(INDEX('Offer Statistics'!EP$2:EP$400,MATCH(1,($A3='Offer Statistics'!$EN$2:$EN$400)*($AA$2='Offer Statistics'!$EO$2:$EO$400),0)),"/")</f>
        <v>722</v>
      </c>
      <c r="AK3" s="63" cm="1">
        <f t="array" ref="AK3">IFERROR(INDEX('Offer Statistics'!EQ$2:EQ$400,MATCH(1,($A3='Offer Statistics'!$EN$2:$EN$400)*($AA$2='Offer Statistics'!$EO$2:$EO$400),0)),"/")</f>
        <v>949</v>
      </c>
      <c r="AL3" s="63" cm="1">
        <f t="array" ref="AL3">IFERROR(INDEX('Offer Statistics'!ER$2:ER$400,MATCH(1,($A3='Offer Statistics'!$EN$2:$EN$400)*($AA$2='Offer Statistics'!$EO$2:$EO$400),0)),"/")</f>
        <v>1013</v>
      </c>
      <c r="AM3" s="63" cm="1">
        <f t="array" ref="AM3">IFERROR(INDEX('Offer Statistics'!ES$2:ES$400,MATCH(1,($A3='Offer Statistics'!$EN$2:$EN$400)*($AA$2='Offer Statistics'!$EO$2:$EO$400),0)),"/")</f>
        <v>1143</v>
      </c>
      <c r="AN3" s="63" cm="1">
        <f t="array" ref="AN3">IFERROR(INDEX('Offer Statistics'!ET$2:ET$400,MATCH(1,($A3='Offer Statistics'!$EN$2:$EN$400)*($AA$2='Offer Statistics'!$EO$2:$EO$400),0)),"/")</f>
        <v>1310</v>
      </c>
      <c r="AP3" s="16" t="str">
        <f t="shared" si="0"/>
        <v>JS9010</v>
      </c>
    </row>
    <row r="4" spans="1:42" ht="18" customHeight="1">
      <c r="A4" s="4" t="str">
        <f>'Reference Score Calculation'!B365</f>
        <v>JS9011</v>
      </c>
      <c r="B4" s="4" t="str">
        <f>'Reference Score Calculation'!D365</f>
        <v>人文社會科學院</v>
      </c>
      <c r="C4" s="4" t="str">
        <f>'Reference Score Calculation'!E365</f>
        <v>中文榮譽文學士</v>
      </c>
      <c r="D4" s="4" t="str">
        <f>'Reference Score Calculation'!S365</f>
        <v>BA(Hons)Chinese</v>
      </c>
      <c r="E4" s="449" t="str">
        <f>'Reference Score Calculation'!F365</f>
        <v>Best 5</v>
      </c>
      <c r="F4" s="6">
        <f>'Reference Score Calculation'!I365</f>
        <v>21</v>
      </c>
      <c r="G4" s="6">
        <f>'Reference Score Calculation'!J365</f>
        <v>20</v>
      </c>
      <c r="H4" s="45">
        <f>計分版!J388</f>
        <v>3.2999999999999998E-9</v>
      </c>
      <c r="I4" s="176">
        <f>IFERROR(IF(I$1="差距(Median)",H4-F4,IF(I$1="差距(UQ)",H4-#REF!,IF(I$1="差距(LQ)",H4-G4))),"/")</f>
        <v>-20.999999996700002</v>
      </c>
      <c r="J4" s="177">
        <f>IFERROR(IF(I$1="差距(Median)",(H4-F4)/H4,IF(I$1="差距(UQ)",(H4-#REF!)/H4,IF(I$1="差距(LQ)",(H4-G4)/H4))),"/")</f>
        <v>-6363636362.6363649</v>
      </c>
      <c r="K4" s="36">
        <f>'Reference Score Calculation'!U365</f>
        <v>40</v>
      </c>
      <c r="L4" s="84">
        <f>入學要求!Z374</f>
        <v>0</v>
      </c>
      <c r="M4" s="544"/>
      <c r="N4" s="174">
        <f>入學要求!L374</f>
        <v>3</v>
      </c>
      <c r="O4" s="174">
        <f>入學要求!M374</f>
        <v>3</v>
      </c>
      <c r="P4" s="174">
        <f>入學要求!N374</f>
        <v>2</v>
      </c>
      <c r="Q4" s="174">
        <f>入學要求!O374</f>
        <v>1</v>
      </c>
      <c r="R4" s="174">
        <f>入學要求!P374</f>
        <v>2</v>
      </c>
      <c r="S4" s="174">
        <f>入學要求!Q374</f>
        <v>2</v>
      </c>
      <c r="T4" s="236">
        <f>入學要求!S374</f>
        <v>0</v>
      </c>
      <c r="U4" s="236">
        <f>入學要求!T374</f>
        <v>0</v>
      </c>
      <c r="V4" s="236">
        <f>入學要求!U374</f>
        <v>0</v>
      </c>
      <c r="W4" s="236">
        <f>入學要求!V374</f>
        <v>0</v>
      </c>
      <c r="X4" s="236">
        <f>入學要求!W374</f>
        <v>0</v>
      </c>
      <c r="Y4" s="236">
        <f>入學要求!X374</f>
        <v>0</v>
      </c>
      <c r="Z4" s="15">
        <f t="shared" ref="Z4:Z28" si="2">IFERROR(ROUND(AJ4/AC4,2),"/")</f>
        <v>3.32</v>
      </c>
      <c r="AA4" s="537"/>
      <c r="AB4" s="36" cm="1">
        <f t="array" ref="AB4">IFERROR(INDEX('Offer Statistics'!FC$2:FC$400,MATCH(1,($A4='Offer Statistics'!$EN$2:$EN$400)*($AA$2='Offer Statistics'!$EO$2:$EO$400),0)),"/")</f>
        <v>130</v>
      </c>
      <c r="AC4" s="63" cm="1">
        <f t="array" ref="AC4">IFERROR(INDEX('Offer Statistics'!EX$2:EX$400,MATCH(1,($A4='Offer Statistics'!$EN$2:$EN$400)*($AA$2='Offer Statistics'!$EO$2:$EO$400),0)),"/")</f>
        <v>57</v>
      </c>
      <c r="AD4" s="63" cm="1">
        <f t="array" ref="AD4">IFERROR(INDEX('Offer Statistics'!EY$2:EY$400,MATCH(1,($A4='Offer Statistics'!$EN$2:$EN$400)*($AA$2='Offer Statistics'!$EO$2:$EO$400),0)),"/")</f>
        <v>23</v>
      </c>
      <c r="AE4" s="63" cm="1">
        <f t="array" ref="AE4">IFERROR(INDEX('Offer Statistics'!EZ$2:EZ$400,MATCH(1,($A4='Offer Statistics'!$EN$2:$EN$400)*($AA$2='Offer Statistics'!$EO$2:$EO$400),0)),"/")</f>
        <v>19</v>
      </c>
      <c r="AF4" s="63" cm="1">
        <f t="array" ref="AF4">IFERROR(INDEX('Offer Statistics'!FA$2:FA$400,MATCH(1,($A4='Offer Statistics'!$EN$2:$EN$400)*($AA$2='Offer Statistics'!$EO$2:$EO$400),0)),"/")</f>
        <v>11</v>
      </c>
      <c r="AG4" s="63" cm="1">
        <f t="array" ref="AG4">IFERROR(INDEX('Offer Statistics'!FB$2:FB$400,MATCH(1,($A4='Offer Statistics'!$EN$2:$EN$400)*($AA$2='Offer Statistics'!$EO$2:$EO$400),0)),"/")</f>
        <v>20</v>
      </c>
      <c r="AH4" s="538"/>
      <c r="AI4" s="36" cm="1">
        <f t="array" ref="AI4">IFERROR(INDEX('Offer Statistics'!EU$2:EU$400,MATCH(1,($A4='Offer Statistics'!$EN$2:$EN$400)*($AA$2='Offer Statistics'!$EO$2:$EO$400),0)),"/")</f>
        <v>1611</v>
      </c>
      <c r="AJ4" s="63" cm="1">
        <f t="array" ref="AJ4">IFERROR(INDEX('Offer Statistics'!EP$2:EP$400,MATCH(1,($A4='Offer Statistics'!$EN$2:$EN$400)*($AA$2='Offer Statistics'!$EO$2:$EO$400),0)),"/")</f>
        <v>189</v>
      </c>
      <c r="AK4" s="63" cm="1">
        <f t="array" ref="AK4">IFERROR(INDEX('Offer Statistics'!EQ$2:EQ$400,MATCH(1,($A4='Offer Statistics'!$EN$2:$EN$400)*($AA$2='Offer Statistics'!$EO$2:$EO$400),0)),"/")</f>
        <v>284</v>
      </c>
      <c r="AL4" s="63" cm="1">
        <f t="array" ref="AL4">IFERROR(INDEX('Offer Statistics'!ER$2:ER$400,MATCH(1,($A4='Offer Statistics'!$EN$2:$EN$400)*($AA$2='Offer Statistics'!$EO$2:$EO$400),0)),"/")</f>
        <v>354</v>
      </c>
      <c r="AM4" s="63" cm="1">
        <f t="array" ref="AM4">IFERROR(INDEX('Offer Statistics'!ES$2:ES$400,MATCH(1,($A4='Offer Statistics'!$EN$2:$EN$400)*($AA$2='Offer Statistics'!$EO$2:$EO$400),0)),"/")</f>
        <v>389</v>
      </c>
      <c r="AN4" s="63" cm="1">
        <f t="array" ref="AN4">IFERROR(INDEX('Offer Statistics'!ET$2:ET$400,MATCH(1,($A4='Offer Statistics'!$EN$2:$EN$400)*($AA$2='Offer Statistics'!$EO$2:$EO$400),0)),"/")</f>
        <v>395</v>
      </c>
      <c r="AP4" s="16" t="str">
        <f t="shared" ref="AP4:AP28" si="3">A4</f>
        <v>JS9011</v>
      </c>
    </row>
    <row r="5" spans="1:42" ht="18" customHeight="1">
      <c r="A5" s="4" t="str">
        <f>'Reference Score Calculation'!B366</f>
        <v>JS9013</v>
      </c>
      <c r="B5" s="4" t="str">
        <f>'Reference Score Calculation'!D366</f>
        <v>人文社會科學院</v>
      </c>
      <c r="C5" s="4" t="str">
        <f>'Reference Score Calculation'!E366</f>
        <v>語言研究與翻譯榮譽文學士</v>
      </c>
      <c r="D5" s="4" t="str">
        <f>'Reference Score Calculation'!S366</f>
        <v>BA(Hons)LangStud &amp; Tran</v>
      </c>
      <c r="E5" s="449" t="str">
        <f>'Reference Score Calculation'!F366</f>
        <v>Best 5</v>
      </c>
      <c r="F5" s="6">
        <f>'Reference Score Calculation'!I366</f>
        <v>20</v>
      </c>
      <c r="G5" s="6">
        <f>'Reference Score Calculation'!J366</f>
        <v>18</v>
      </c>
      <c r="H5" s="45">
        <f>計分版!J389</f>
        <v>3.0000000000000004E-9</v>
      </c>
      <c r="I5" s="176">
        <f>IFERROR(IF(I$1="差距(Median)",H5-F5,IF(I$1="差距(UQ)",H5-#REF!,IF(I$1="差距(LQ)",H5-G5))),"/")</f>
        <v>-19.999999997</v>
      </c>
      <c r="J5" s="177">
        <f>IFERROR(IF(I$1="差距(Median)",(H5-F5)/H5,IF(I$1="差距(UQ)",(H5-#REF!)/H5,IF(I$1="差距(LQ)",(H5-G5)/H5))),"/")</f>
        <v>-6666666665.666666</v>
      </c>
      <c r="K5" s="36">
        <f>'Reference Score Calculation'!U366</f>
        <v>45</v>
      </c>
      <c r="L5" s="84">
        <f>入學要求!Z375</f>
        <v>0</v>
      </c>
      <c r="M5" s="544"/>
      <c r="N5" s="174">
        <f>入學要求!L375</f>
        <v>3</v>
      </c>
      <c r="O5" s="174">
        <f>入學要求!M375</f>
        <v>3</v>
      </c>
      <c r="P5" s="174">
        <f>入學要求!N375</f>
        <v>2</v>
      </c>
      <c r="Q5" s="174">
        <f>入學要求!O375</f>
        <v>1</v>
      </c>
      <c r="R5" s="174">
        <f>入學要求!P375</f>
        <v>2</v>
      </c>
      <c r="S5" s="174">
        <f>入學要求!Q375</f>
        <v>2</v>
      </c>
      <c r="T5" s="236">
        <f>入學要求!S375</f>
        <v>0</v>
      </c>
      <c r="U5" s="236">
        <f>入學要求!T375</f>
        <v>0</v>
      </c>
      <c r="V5" s="236">
        <f>入學要求!U375</f>
        <v>0</v>
      </c>
      <c r="W5" s="236">
        <f>入學要求!V375</f>
        <v>0</v>
      </c>
      <c r="X5" s="236">
        <f>入學要求!W375</f>
        <v>0</v>
      </c>
      <c r="Y5" s="236">
        <f>入學要求!X375</f>
        <v>0</v>
      </c>
      <c r="Z5" s="15">
        <f t="shared" si="2"/>
        <v>3.09</v>
      </c>
      <c r="AA5" s="537"/>
      <c r="AB5" s="36" cm="1">
        <f t="array" ref="AB5">IFERROR(INDEX('Offer Statistics'!FC$2:FC$400,MATCH(1,($A5='Offer Statistics'!$EN$2:$EN$400)*($AA$2='Offer Statistics'!$EO$2:$EO$400),0)),"/")</f>
        <v>82</v>
      </c>
      <c r="AC5" s="63" cm="1">
        <f t="array" ref="AC5">IFERROR(INDEX('Offer Statistics'!EX$2:EX$400,MATCH(1,($A5='Offer Statistics'!$EN$2:$EN$400)*($AA$2='Offer Statistics'!$EO$2:$EO$400),0)),"/")</f>
        <v>35</v>
      </c>
      <c r="AD5" s="63" cm="1">
        <f t="array" ref="AD5">IFERROR(INDEX('Offer Statistics'!EY$2:EY$400,MATCH(1,($A5='Offer Statistics'!$EN$2:$EN$400)*($AA$2='Offer Statistics'!$EO$2:$EO$400),0)),"/")</f>
        <v>23</v>
      </c>
      <c r="AE5" s="63" cm="1">
        <f t="array" ref="AE5">IFERROR(INDEX('Offer Statistics'!EZ$2:EZ$400,MATCH(1,($A5='Offer Statistics'!$EN$2:$EN$400)*($AA$2='Offer Statistics'!$EO$2:$EO$400),0)),"/")</f>
        <v>11</v>
      </c>
      <c r="AF5" s="63" cm="1">
        <f t="array" ref="AF5">IFERROR(INDEX('Offer Statistics'!FA$2:FA$400,MATCH(1,($A5='Offer Statistics'!$EN$2:$EN$400)*($AA$2='Offer Statistics'!$EO$2:$EO$400),0)),"/")</f>
        <v>10</v>
      </c>
      <c r="AG5" s="63" cm="1">
        <f t="array" ref="AG5">IFERROR(INDEX('Offer Statistics'!FB$2:FB$400,MATCH(1,($A5='Offer Statistics'!$EN$2:$EN$400)*($AA$2='Offer Statistics'!$EO$2:$EO$400),0)),"/")</f>
        <v>3</v>
      </c>
      <c r="AH5" s="538"/>
      <c r="AI5" s="36" cm="1">
        <f t="array" ref="AI5">IFERROR(INDEX('Offer Statistics'!EU$2:EU$400,MATCH(1,($A5='Offer Statistics'!$EN$2:$EN$400)*($AA$2='Offer Statistics'!$EO$2:$EO$400),0)),"/")</f>
        <v>1213</v>
      </c>
      <c r="AJ5" s="63" cm="1">
        <f t="array" ref="AJ5">IFERROR(INDEX('Offer Statistics'!EP$2:EP$400,MATCH(1,($A5='Offer Statistics'!$EN$2:$EN$400)*($AA$2='Offer Statistics'!$EO$2:$EO$400),0)),"/")</f>
        <v>108</v>
      </c>
      <c r="AK5" s="63" cm="1">
        <f t="array" ref="AK5">IFERROR(INDEX('Offer Statistics'!EQ$2:EQ$400,MATCH(1,($A5='Offer Statistics'!$EN$2:$EN$400)*($AA$2='Offer Statistics'!$EO$2:$EO$400),0)),"/")</f>
        <v>213</v>
      </c>
      <c r="AL5" s="63" cm="1">
        <f t="array" ref="AL5">IFERROR(INDEX('Offer Statistics'!ER$2:ER$400,MATCH(1,($A5='Offer Statistics'!$EN$2:$EN$400)*($AA$2='Offer Statistics'!$EO$2:$EO$400),0)),"/")</f>
        <v>249</v>
      </c>
      <c r="AM5" s="63" cm="1">
        <f t="array" ref="AM5">IFERROR(INDEX('Offer Statistics'!ES$2:ES$400,MATCH(1,($A5='Offer Statistics'!$EN$2:$EN$400)*($AA$2='Offer Statistics'!$EO$2:$EO$400),0)),"/")</f>
        <v>305</v>
      </c>
      <c r="AN5" s="63" cm="1">
        <f t="array" ref="AN5">IFERROR(INDEX('Offer Statistics'!ET$2:ET$400,MATCH(1,($A5='Offer Statistics'!$EN$2:$EN$400)*($AA$2='Offer Statistics'!$EO$2:$EO$400),0)),"/")</f>
        <v>338</v>
      </c>
      <c r="AP5" s="16" t="str">
        <f t="shared" si="3"/>
        <v>JS9013</v>
      </c>
    </row>
    <row r="6" spans="1:42" ht="18" customHeight="1">
      <c r="A6" s="4" t="str">
        <f>'Reference Score Calculation'!B367</f>
        <v>JS9016</v>
      </c>
      <c r="B6" s="4" t="str">
        <f>'Reference Score Calculation'!D367</f>
        <v>人文社會科學院</v>
      </c>
      <c r="C6" s="4" t="str">
        <f>'Reference Score Calculation'!E367</f>
        <v>創意廣告及媒體設計榮譽文學士</v>
      </c>
      <c r="D6" s="4" t="str">
        <f>'Reference Score Calculation'!S367</f>
        <v>BA(Hons)CreAd&amp;MediaDesig</v>
      </c>
      <c r="E6" s="449" t="str">
        <f>'Reference Score Calculation'!F367</f>
        <v>Best 5</v>
      </c>
      <c r="F6" s="6">
        <f>'Reference Score Calculation'!I367</f>
        <v>19</v>
      </c>
      <c r="G6" s="6">
        <f>'Reference Score Calculation'!J367</f>
        <v>18</v>
      </c>
      <c r="H6" s="45">
        <f>計分版!J390</f>
        <v>3.0000000000000004E-9</v>
      </c>
      <c r="I6" s="176">
        <f>IFERROR(IF(I$1="差距(Median)",H6-F6,IF(I$1="差距(UQ)",H6-#REF!,IF(I$1="差距(LQ)",H6-G6))),"/")</f>
        <v>-18.999999997</v>
      </c>
      <c r="J6" s="177">
        <f>IFERROR(IF(I$1="差距(Median)",(H6-F6)/H6,IF(I$1="差距(UQ)",(H6-#REF!)/H6,IF(I$1="差距(LQ)",(H6-G6)/H6))),"/")</f>
        <v>-6333333332.3333321</v>
      </c>
      <c r="K6" s="36">
        <f>'Reference Score Calculation'!U367</f>
        <v>70</v>
      </c>
      <c r="L6" s="84">
        <f>入學要求!Z376</f>
        <v>0</v>
      </c>
      <c r="M6" s="544"/>
      <c r="N6" s="174">
        <f>入學要求!L376</f>
        <v>3</v>
      </c>
      <c r="O6" s="174">
        <f>入學要求!M376</f>
        <v>3</v>
      </c>
      <c r="P6" s="174">
        <f>入學要求!N376</f>
        <v>2</v>
      </c>
      <c r="Q6" s="174">
        <f>入學要求!O376</f>
        <v>1</v>
      </c>
      <c r="R6" s="174">
        <f>入學要求!P376</f>
        <v>2</v>
      </c>
      <c r="S6" s="174">
        <f>入學要求!Q376</f>
        <v>2</v>
      </c>
      <c r="T6" s="236">
        <f>入學要求!S376</f>
        <v>0</v>
      </c>
      <c r="U6" s="236">
        <f>入學要求!T376</f>
        <v>0</v>
      </c>
      <c r="V6" s="236">
        <f>入學要求!U376</f>
        <v>0</v>
      </c>
      <c r="W6" s="236">
        <f>入學要求!V376</f>
        <v>0</v>
      </c>
      <c r="X6" s="236">
        <f>入學要求!W376</f>
        <v>0</v>
      </c>
      <c r="Y6" s="236">
        <f>入學要求!X376</f>
        <v>0</v>
      </c>
      <c r="Z6" s="15">
        <f t="shared" si="2"/>
        <v>3.98</v>
      </c>
      <c r="AA6" s="537"/>
      <c r="AB6" s="36" cm="1">
        <f t="array" ref="AB6">IFERROR(INDEX('Offer Statistics'!FC$2:FC$400,MATCH(1,($A6='Offer Statistics'!$EN$2:$EN$400)*($AA$2='Offer Statistics'!$EO$2:$EO$400),0)),"/")</f>
        <v>177</v>
      </c>
      <c r="AC6" s="63" cm="1">
        <f t="array" ref="AC6">IFERROR(INDEX('Offer Statistics'!EX$2:EX$400,MATCH(1,($A6='Offer Statistics'!$EN$2:$EN$400)*($AA$2='Offer Statistics'!$EO$2:$EO$400),0)),"/")</f>
        <v>93</v>
      </c>
      <c r="AD6" s="63" cm="1">
        <f t="array" ref="AD6">IFERROR(INDEX('Offer Statistics'!EY$2:EY$400,MATCH(1,($A6='Offer Statistics'!$EN$2:$EN$400)*($AA$2='Offer Statistics'!$EO$2:$EO$400),0)),"/")</f>
        <v>25</v>
      </c>
      <c r="AE6" s="63" cm="1">
        <f t="array" ref="AE6">IFERROR(INDEX('Offer Statistics'!EZ$2:EZ$400,MATCH(1,($A6='Offer Statistics'!$EN$2:$EN$400)*($AA$2='Offer Statistics'!$EO$2:$EO$400),0)),"/")</f>
        <v>25</v>
      </c>
      <c r="AF6" s="63" cm="1">
        <f t="array" ref="AF6">IFERROR(INDEX('Offer Statistics'!FA$2:FA$400,MATCH(1,($A6='Offer Statistics'!$EN$2:$EN$400)*($AA$2='Offer Statistics'!$EO$2:$EO$400),0)),"/")</f>
        <v>23</v>
      </c>
      <c r="AG6" s="63" cm="1">
        <f t="array" ref="AG6">IFERROR(INDEX('Offer Statistics'!FB$2:FB$400,MATCH(1,($A6='Offer Statistics'!$EN$2:$EN$400)*($AA$2='Offer Statistics'!$EO$2:$EO$400),0)),"/")</f>
        <v>11</v>
      </c>
      <c r="AH6" s="538"/>
      <c r="AI6" s="36" cm="1">
        <f t="array" ref="AI6">IFERROR(INDEX('Offer Statistics'!EU$2:EU$400,MATCH(1,($A6='Offer Statistics'!$EN$2:$EN$400)*($AA$2='Offer Statistics'!$EO$2:$EO$400),0)),"/")</f>
        <v>3294</v>
      </c>
      <c r="AJ6" s="63" cm="1">
        <f t="array" ref="AJ6">IFERROR(INDEX('Offer Statistics'!EP$2:EP$400,MATCH(1,($A6='Offer Statistics'!$EN$2:$EN$400)*($AA$2='Offer Statistics'!$EO$2:$EO$400),0)),"/")</f>
        <v>370</v>
      </c>
      <c r="AK6" s="63" cm="1">
        <f t="array" ref="AK6">IFERROR(INDEX('Offer Statistics'!EQ$2:EQ$400,MATCH(1,($A6='Offer Statistics'!$EN$2:$EN$400)*($AA$2='Offer Statistics'!$EO$2:$EO$400),0)),"/")</f>
        <v>588</v>
      </c>
      <c r="AL6" s="63" cm="1">
        <f t="array" ref="AL6">IFERROR(INDEX('Offer Statistics'!ER$2:ER$400,MATCH(1,($A6='Offer Statistics'!$EN$2:$EN$400)*($AA$2='Offer Statistics'!$EO$2:$EO$400),0)),"/")</f>
        <v>774</v>
      </c>
      <c r="AM6" s="63" cm="1">
        <f t="array" ref="AM6">IFERROR(INDEX('Offer Statistics'!ES$2:ES$400,MATCH(1,($A6='Offer Statistics'!$EN$2:$EN$400)*($AA$2='Offer Statistics'!$EO$2:$EO$400),0)),"/")</f>
        <v>814</v>
      </c>
      <c r="AN6" s="63" cm="1">
        <f t="array" ref="AN6">IFERROR(INDEX('Offer Statistics'!ET$2:ET$400,MATCH(1,($A6='Offer Statistics'!$EN$2:$EN$400)*($AA$2='Offer Statistics'!$EO$2:$EO$400),0)),"/")</f>
        <v>748</v>
      </c>
      <c r="AP6" s="16" t="str">
        <f t="shared" si="3"/>
        <v>JS9016</v>
      </c>
    </row>
    <row r="7" spans="1:42" ht="18" customHeight="1">
      <c r="A7" s="4" t="str">
        <f>'Reference Score Calculation'!B368</f>
        <v>JS9019</v>
      </c>
      <c r="B7" s="4" t="str">
        <f>'Reference Score Calculation'!D368</f>
        <v>人文社會科學院</v>
      </c>
      <c r="C7" s="4" t="str">
        <f>'Reference Score Calculation'!E368</f>
        <v>英語及文化榮譽文學士</v>
      </c>
      <c r="D7" s="4" t="str">
        <f>'Reference Score Calculation'!S368</f>
        <v>BA(Hons)EngLang&amp;Cult</v>
      </c>
      <c r="E7" s="449" t="str">
        <f>'Reference Score Calculation'!F368</f>
        <v>Best 5</v>
      </c>
      <c r="F7" s="6">
        <f>'Reference Score Calculation'!I368</f>
        <v>16</v>
      </c>
      <c r="G7" s="6">
        <f>'Reference Score Calculation'!J368</f>
        <v>15</v>
      </c>
      <c r="H7" s="45">
        <f>計分版!J391</f>
        <v>3.2999999999999998E-9</v>
      </c>
      <c r="I7" s="176">
        <f>IFERROR(IF(I$1="差距(Median)",H7-F7,IF(I$1="差距(UQ)",H7-#REF!,IF(I$1="差距(LQ)",H7-G7))),"/")</f>
        <v>-15.9999999967</v>
      </c>
      <c r="J7" s="177">
        <f>IFERROR(IF(I$1="差距(Median)",(H7-F7)/H7,IF(I$1="差距(UQ)",(H7-#REF!)/H7,IF(I$1="差距(LQ)",(H7-G7)/H7))),"/")</f>
        <v>-4848484847.484849</v>
      </c>
      <c r="K7" s="36">
        <f>'Reference Score Calculation'!U368</f>
        <v>30</v>
      </c>
      <c r="L7" s="84">
        <f>入學要求!Z377</f>
        <v>0</v>
      </c>
      <c r="M7" s="544"/>
      <c r="N7" s="174">
        <f>入學要求!L377</f>
        <v>3</v>
      </c>
      <c r="O7" s="174">
        <f>入學要求!M377</f>
        <v>3</v>
      </c>
      <c r="P7" s="174">
        <f>入學要求!N377</f>
        <v>2</v>
      </c>
      <c r="Q7" s="174">
        <f>入學要求!O377</f>
        <v>1</v>
      </c>
      <c r="R7" s="174">
        <f>入學要求!P377</f>
        <v>2</v>
      </c>
      <c r="S7" s="174">
        <f>入學要求!Q377</f>
        <v>2</v>
      </c>
      <c r="T7" s="236">
        <f>入學要求!S377</f>
        <v>0</v>
      </c>
      <c r="U7" s="236">
        <f>入學要求!T377</f>
        <v>0</v>
      </c>
      <c r="V7" s="236">
        <f>入學要求!U377</f>
        <v>0</v>
      </c>
      <c r="W7" s="236">
        <f>入學要求!V377</f>
        <v>0</v>
      </c>
      <c r="X7" s="236">
        <f>入學要求!W377</f>
        <v>0</v>
      </c>
      <c r="Y7" s="236">
        <f>入學要求!X377</f>
        <v>0</v>
      </c>
      <c r="Z7" s="15">
        <f t="shared" si="2"/>
        <v>5.35</v>
      </c>
      <c r="AA7" s="537"/>
      <c r="AB7" s="36" cm="1">
        <f t="array" ref="AB7">IFERROR(INDEX('Offer Statistics'!FC$2:FC$400,MATCH(1,($A7='Offer Statistics'!$EN$2:$EN$400)*($AA$2='Offer Statistics'!$EO$2:$EO$400),0)),"/")</f>
        <v>64</v>
      </c>
      <c r="AC7" s="63" cm="1">
        <f t="array" ref="AC7">IFERROR(INDEX('Offer Statistics'!EX$2:EX$400,MATCH(1,($A7='Offer Statistics'!$EN$2:$EN$400)*($AA$2='Offer Statistics'!$EO$2:$EO$400),0)),"/")</f>
        <v>43</v>
      </c>
      <c r="AD7" s="63" cm="1">
        <f t="array" ref="AD7">IFERROR(INDEX('Offer Statistics'!EY$2:EY$400,MATCH(1,($A7='Offer Statistics'!$EN$2:$EN$400)*($AA$2='Offer Statistics'!$EO$2:$EO$400),0)),"/")</f>
        <v>10</v>
      </c>
      <c r="AE7" s="63" cm="1">
        <f t="array" ref="AE7">IFERROR(INDEX('Offer Statistics'!EZ$2:EZ$400,MATCH(1,($A7='Offer Statistics'!$EN$2:$EN$400)*($AA$2='Offer Statistics'!$EO$2:$EO$400),0)),"/")</f>
        <v>3</v>
      </c>
      <c r="AF7" s="63" cm="1">
        <f t="array" ref="AF7">IFERROR(INDEX('Offer Statistics'!FA$2:FA$400,MATCH(1,($A7='Offer Statistics'!$EN$2:$EN$400)*($AA$2='Offer Statistics'!$EO$2:$EO$400),0)),"/")</f>
        <v>5</v>
      </c>
      <c r="AG7" s="63" cm="1">
        <f t="array" ref="AG7">IFERROR(INDEX('Offer Statistics'!FB$2:FB$400,MATCH(1,($A7='Offer Statistics'!$EN$2:$EN$400)*($AA$2='Offer Statistics'!$EO$2:$EO$400),0)),"/")</f>
        <v>3</v>
      </c>
      <c r="AH7" s="538"/>
      <c r="AI7" s="36" cm="1">
        <f t="array" ref="AI7">IFERROR(INDEX('Offer Statistics'!EU$2:EU$400,MATCH(1,($A7='Offer Statistics'!$EN$2:$EN$400)*($AA$2='Offer Statistics'!$EO$2:$EO$400),0)),"/")</f>
        <v>1182</v>
      </c>
      <c r="AJ7" s="63" cm="1">
        <f t="array" ref="AJ7">IFERROR(INDEX('Offer Statistics'!EP$2:EP$400,MATCH(1,($A7='Offer Statistics'!$EN$2:$EN$400)*($AA$2='Offer Statistics'!$EO$2:$EO$400),0)),"/")</f>
        <v>230</v>
      </c>
      <c r="AK7" s="63" cm="1">
        <f t="array" ref="AK7">IFERROR(INDEX('Offer Statistics'!EQ$2:EQ$400,MATCH(1,($A7='Offer Statistics'!$EN$2:$EN$400)*($AA$2='Offer Statistics'!$EO$2:$EO$400),0)),"/")</f>
        <v>211</v>
      </c>
      <c r="AL7" s="63" cm="1">
        <f t="array" ref="AL7">IFERROR(INDEX('Offer Statistics'!ER$2:ER$400,MATCH(1,($A7='Offer Statistics'!$EN$2:$EN$400)*($AA$2='Offer Statistics'!$EO$2:$EO$400),0)),"/")</f>
        <v>191</v>
      </c>
      <c r="AM7" s="63" cm="1">
        <f t="array" ref="AM7">IFERROR(INDEX('Offer Statistics'!ES$2:ES$400,MATCH(1,($A7='Offer Statistics'!$EN$2:$EN$400)*($AA$2='Offer Statistics'!$EO$2:$EO$400),0)),"/")</f>
        <v>276</v>
      </c>
      <c r="AN7" s="63" cm="1">
        <f t="array" ref="AN7">IFERROR(INDEX('Offer Statistics'!ET$2:ET$400,MATCH(1,($A7='Offer Statistics'!$EN$2:$EN$400)*($AA$2='Offer Statistics'!$EO$2:$EO$400),0)),"/")</f>
        <v>274</v>
      </c>
      <c r="AP7" s="16" t="str">
        <f t="shared" si="3"/>
        <v>JS9019</v>
      </c>
    </row>
    <row r="8" spans="1:42" ht="18" customHeight="1">
      <c r="A8" s="4" t="str">
        <f>'Reference Score Calculation'!B369</f>
        <v>JS9220</v>
      </c>
      <c r="B8" s="4" t="str">
        <f>'Reference Score Calculation'!D369</f>
        <v>李兆基商業管理學院</v>
      </c>
      <c r="C8" s="4" t="str">
        <f>'Reference Score Calculation'!E369</f>
        <v>專業會計榮譽工商管理學士</v>
      </c>
      <c r="D8" s="4" t="str">
        <f>'Reference Score Calculation'!S369</f>
        <v>BBA(Hons)Pro Acct</v>
      </c>
      <c r="E8" s="449" t="str">
        <f>'Reference Score Calculation'!F369</f>
        <v>Best 5</v>
      </c>
      <c r="F8" s="6">
        <f>'Reference Score Calculation'!I369</f>
        <v>17</v>
      </c>
      <c r="G8" s="6">
        <f>'Reference Score Calculation'!J369</f>
        <v>16</v>
      </c>
      <c r="H8" s="45">
        <f>計分版!J392</f>
        <v>3.2999999999999998E-9</v>
      </c>
      <c r="I8" s="176">
        <f>IFERROR(IF(I$1="差距(Median)",H8-F8,IF(I$1="差距(UQ)",H8-#REF!,IF(I$1="差距(LQ)",H8-G8))),"/")</f>
        <v>-16.999999996700002</v>
      </c>
      <c r="J8" s="177">
        <f>IFERROR(IF(I$1="差距(Median)",(H8-F8)/H8,IF(I$1="差距(UQ)",(H8-#REF!)/H8,IF(I$1="差距(LQ)",(H8-G8)/H8))),"/")</f>
        <v>-5151515150.515152</v>
      </c>
      <c r="K8" s="36">
        <f>'Reference Score Calculation'!U369</f>
        <v>40</v>
      </c>
      <c r="L8" s="84">
        <f>入學要求!Z378</f>
        <v>0</v>
      </c>
      <c r="M8" s="544"/>
      <c r="N8" s="174">
        <f>入學要求!L378</f>
        <v>3</v>
      </c>
      <c r="O8" s="174">
        <f>入學要求!M378</f>
        <v>3</v>
      </c>
      <c r="P8" s="174">
        <f>入學要求!N378</f>
        <v>2</v>
      </c>
      <c r="Q8" s="174">
        <f>入學要求!O378</f>
        <v>1</v>
      </c>
      <c r="R8" s="174">
        <f>入學要求!P378</f>
        <v>2</v>
      </c>
      <c r="S8" s="174">
        <f>入學要求!Q378</f>
        <v>2</v>
      </c>
      <c r="T8" s="236">
        <f>入學要求!S378</f>
        <v>0</v>
      </c>
      <c r="U8" s="236">
        <f>入學要求!T378</f>
        <v>0</v>
      </c>
      <c r="V8" s="236">
        <f>入學要求!U378</f>
        <v>0</v>
      </c>
      <c r="W8" s="236">
        <f>入學要求!V378</f>
        <v>0</v>
      </c>
      <c r="X8" s="236">
        <f>入學要求!W378</f>
        <v>0</v>
      </c>
      <c r="Y8" s="236">
        <f>入學要求!X378</f>
        <v>0</v>
      </c>
      <c r="Z8" s="15">
        <f t="shared" si="2"/>
        <v>3.98</v>
      </c>
      <c r="AA8" s="537"/>
      <c r="AB8" s="36" cm="1">
        <f t="array" ref="AB8">IFERROR(INDEX('Offer Statistics'!FC$2:FC$400,MATCH(1,($A8='Offer Statistics'!$EN$2:$EN$400)*($AA$2='Offer Statistics'!$EO$2:$EO$400),0)),"/")</f>
        <v>149</v>
      </c>
      <c r="AC8" s="63" cm="1">
        <f t="array" ref="AC8">IFERROR(INDEX('Offer Statistics'!EX$2:EX$400,MATCH(1,($A8='Offer Statistics'!$EN$2:$EN$400)*($AA$2='Offer Statistics'!$EO$2:$EO$400),0)),"/")</f>
        <v>52</v>
      </c>
      <c r="AD8" s="63" cm="1">
        <f t="array" ref="AD8">IFERROR(INDEX('Offer Statistics'!EY$2:EY$400,MATCH(1,($A8='Offer Statistics'!$EN$2:$EN$400)*($AA$2='Offer Statistics'!$EO$2:$EO$400),0)),"/")</f>
        <v>39</v>
      </c>
      <c r="AE8" s="63" cm="1">
        <f t="array" ref="AE8">IFERROR(INDEX('Offer Statistics'!EZ$2:EZ$400,MATCH(1,($A8='Offer Statistics'!$EN$2:$EN$400)*($AA$2='Offer Statistics'!$EO$2:$EO$400),0)),"/")</f>
        <v>18</v>
      </c>
      <c r="AF8" s="63" cm="1">
        <f t="array" ref="AF8">IFERROR(INDEX('Offer Statistics'!FA$2:FA$400,MATCH(1,($A8='Offer Statistics'!$EN$2:$EN$400)*($AA$2='Offer Statistics'!$EO$2:$EO$400),0)),"/")</f>
        <v>26</v>
      </c>
      <c r="AG8" s="63" cm="1">
        <f t="array" ref="AG8">IFERROR(INDEX('Offer Statistics'!FB$2:FB$400,MATCH(1,($A8='Offer Statistics'!$EN$2:$EN$400)*($AA$2='Offer Statistics'!$EO$2:$EO$400),0)),"/")</f>
        <v>14</v>
      </c>
      <c r="AH8" s="538"/>
      <c r="AI8" s="36" cm="1">
        <f t="array" ref="AI8">IFERROR(INDEX('Offer Statistics'!EU$2:EU$400,MATCH(1,($A8='Offer Statistics'!$EN$2:$EN$400)*($AA$2='Offer Statistics'!$EO$2:$EO$400),0)),"/")</f>
        <v>1861</v>
      </c>
      <c r="AJ8" s="63" cm="1">
        <f t="array" ref="AJ8">IFERROR(INDEX('Offer Statistics'!EP$2:EP$400,MATCH(1,($A8='Offer Statistics'!$EN$2:$EN$400)*($AA$2='Offer Statistics'!$EO$2:$EO$400),0)),"/")</f>
        <v>207</v>
      </c>
      <c r="AK8" s="63" cm="1">
        <f t="array" ref="AK8">IFERROR(INDEX('Offer Statistics'!EQ$2:EQ$400,MATCH(1,($A8='Offer Statistics'!$EN$2:$EN$400)*($AA$2='Offer Statistics'!$EO$2:$EO$400),0)),"/")</f>
        <v>323</v>
      </c>
      <c r="AL8" s="63" cm="1">
        <f t="array" ref="AL8">IFERROR(INDEX('Offer Statistics'!ER$2:ER$400,MATCH(1,($A8='Offer Statistics'!$EN$2:$EN$400)*($AA$2='Offer Statistics'!$EO$2:$EO$400),0)),"/")</f>
        <v>406</v>
      </c>
      <c r="AM8" s="63" cm="1">
        <f t="array" ref="AM8">IFERROR(INDEX('Offer Statistics'!ES$2:ES$400,MATCH(1,($A8='Offer Statistics'!$EN$2:$EN$400)*($AA$2='Offer Statistics'!$EO$2:$EO$400),0)),"/")</f>
        <v>455</v>
      </c>
      <c r="AN8" s="63" cm="1">
        <f t="array" ref="AN8">IFERROR(INDEX('Offer Statistics'!ET$2:ET$400,MATCH(1,($A8='Offer Statistics'!$EN$2:$EN$400)*($AA$2='Offer Statistics'!$EO$2:$EO$400),0)),"/")</f>
        <v>470</v>
      </c>
      <c r="AP8" s="16" t="str">
        <f t="shared" si="3"/>
        <v>JS9220</v>
      </c>
    </row>
    <row r="9" spans="1:42" ht="18" customHeight="1">
      <c r="A9" s="4" t="str">
        <f>'Reference Score Calculation'!B370</f>
        <v>JS9230</v>
      </c>
      <c r="B9" s="4" t="str">
        <f>'Reference Score Calculation'!D370</f>
        <v>李兆基商業管理學院</v>
      </c>
      <c r="C9" s="4" t="str">
        <f>'Reference Score Calculation'!E370</f>
        <v>商業管理學榮譽工商管理學士</v>
      </c>
      <c r="D9" s="4" t="str">
        <f>'Reference Score Calculation'!S370</f>
        <v>BBA(Hons)Business Mgt</v>
      </c>
      <c r="E9" s="449" t="str">
        <f>'Reference Score Calculation'!F370</f>
        <v>Best 5</v>
      </c>
      <c r="F9" s="6">
        <f>'Reference Score Calculation'!I370</f>
        <v>16</v>
      </c>
      <c r="G9" s="6">
        <f>'Reference Score Calculation'!J370</f>
        <v>15</v>
      </c>
      <c r="H9" s="45">
        <f>計分版!J393</f>
        <v>3.2999999999999998E-9</v>
      </c>
      <c r="I9" s="176">
        <f>IFERROR(IF(I$1="差距(Median)",H9-F9,IF(I$1="差距(UQ)",H9-#REF!,IF(I$1="差距(LQ)",H9-G9))),"/")</f>
        <v>-15.9999999967</v>
      </c>
      <c r="J9" s="177">
        <f>IFERROR(IF(I$1="差距(Median)",(H9-F9)/H9,IF(I$1="差距(UQ)",(H9-#REF!)/H9,IF(I$1="差距(LQ)",(H9-G9)/H9))),"/")</f>
        <v>-4848484847.484849</v>
      </c>
      <c r="K9" s="36">
        <f>'Reference Score Calculation'!U370</f>
        <v>40</v>
      </c>
      <c r="L9" s="84">
        <f>入學要求!Z379</f>
        <v>0</v>
      </c>
      <c r="M9" s="544"/>
      <c r="N9" s="174">
        <f>入學要求!L379</f>
        <v>3</v>
      </c>
      <c r="O9" s="174">
        <f>入學要求!M379</f>
        <v>3</v>
      </c>
      <c r="P9" s="174">
        <f>入學要求!N379</f>
        <v>2</v>
      </c>
      <c r="Q9" s="174">
        <f>入學要求!O379</f>
        <v>1</v>
      </c>
      <c r="R9" s="174">
        <f>入學要求!P379</f>
        <v>2</v>
      </c>
      <c r="S9" s="174">
        <f>入學要求!Q379</f>
        <v>2</v>
      </c>
      <c r="T9" s="236">
        <f>入學要求!S379</f>
        <v>0</v>
      </c>
      <c r="U9" s="236">
        <f>入學要求!T379</f>
        <v>0</v>
      </c>
      <c r="V9" s="236">
        <f>入學要求!U379</f>
        <v>0</v>
      </c>
      <c r="W9" s="236">
        <f>入學要求!V379</f>
        <v>0</v>
      </c>
      <c r="X9" s="236">
        <f>入學要求!W379</f>
        <v>0</v>
      </c>
      <c r="Y9" s="236">
        <f>入學要求!X379</f>
        <v>0</v>
      </c>
      <c r="Z9" s="15">
        <f t="shared" si="2"/>
        <v>5.85</v>
      </c>
      <c r="AA9" s="537"/>
      <c r="AB9" s="36" cm="1">
        <f t="array" ref="AB9">IFERROR(INDEX('Offer Statistics'!FC$2:FC$400,MATCH(1,($A9='Offer Statistics'!$EN$2:$EN$400)*($AA$2='Offer Statistics'!$EO$2:$EO$400),0)),"/")</f>
        <v>80</v>
      </c>
      <c r="AC9" s="63" cm="1">
        <f t="array" ref="AC9">IFERROR(INDEX('Offer Statistics'!EX$2:EX$400,MATCH(1,($A9='Offer Statistics'!$EN$2:$EN$400)*($AA$2='Offer Statistics'!$EO$2:$EO$400),0)),"/")</f>
        <v>80</v>
      </c>
      <c r="AD9" s="63" cm="1">
        <f t="array" ref="AD9">IFERROR(INDEX('Offer Statistics'!EY$2:EY$400,MATCH(1,($A9='Offer Statistics'!$EN$2:$EN$400)*($AA$2='Offer Statistics'!$EO$2:$EO$400),0)),"/")</f>
        <v>0</v>
      </c>
      <c r="AE9" s="63" cm="1">
        <f t="array" ref="AE9">IFERROR(INDEX('Offer Statistics'!EZ$2:EZ$400,MATCH(1,($A9='Offer Statistics'!$EN$2:$EN$400)*($AA$2='Offer Statistics'!$EO$2:$EO$400),0)),"/")</f>
        <v>0</v>
      </c>
      <c r="AF9" s="63" cm="1">
        <f t="array" ref="AF9">IFERROR(INDEX('Offer Statistics'!FA$2:FA$400,MATCH(1,($A9='Offer Statistics'!$EN$2:$EN$400)*($AA$2='Offer Statistics'!$EO$2:$EO$400),0)),"/")</f>
        <v>0</v>
      </c>
      <c r="AG9" s="63" cm="1">
        <f t="array" ref="AG9">IFERROR(INDEX('Offer Statistics'!FB$2:FB$400,MATCH(1,($A9='Offer Statistics'!$EN$2:$EN$400)*($AA$2='Offer Statistics'!$EO$2:$EO$400),0)),"/")</f>
        <v>0</v>
      </c>
      <c r="AH9" s="538"/>
      <c r="AI9" s="36" cm="1">
        <f t="array" ref="AI9">IFERROR(INDEX('Offer Statistics'!EU$2:EU$400,MATCH(1,($A9='Offer Statistics'!$EN$2:$EN$400)*($AA$2='Offer Statistics'!$EO$2:$EO$400),0)),"/")</f>
        <v>3573</v>
      </c>
      <c r="AJ9" s="63" cm="1">
        <f t="array" ref="AJ9">IFERROR(INDEX('Offer Statistics'!EP$2:EP$400,MATCH(1,($A9='Offer Statistics'!$EN$2:$EN$400)*($AA$2='Offer Statistics'!$EO$2:$EO$400),0)),"/")</f>
        <v>468</v>
      </c>
      <c r="AK9" s="63" cm="1">
        <f t="array" ref="AK9">IFERROR(INDEX('Offer Statistics'!EQ$2:EQ$400,MATCH(1,($A9='Offer Statistics'!$EN$2:$EN$400)*($AA$2='Offer Statistics'!$EO$2:$EO$400),0)),"/")</f>
        <v>663</v>
      </c>
      <c r="AL9" s="63" cm="1">
        <f t="array" ref="AL9">IFERROR(INDEX('Offer Statistics'!ER$2:ER$400,MATCH(1,($A9='Offer Statistics'!$EN$2:$EN$400)*($AA$2='Offer Statistics'!$EO$2:$EO$400),0)),"/")</f>
        <v>672</v>
      </c>
      <c r="AM9" s="63" cm="1">
        <f t="array" ref="AM9">IFERROR(INDEX('Offer Statistics'!ES$2:ES$400,MATCH(1,($A9='Offer Statistics'!$EN$2:$EN$400)*($AA$2='Offer Statistics'!$EO$2:$EO$400),0)),"/")</f>
        <v>889</v>
      </c>
      <c r="AN9" s="63" cm="1">
        <f t="array" ref="AN9">IFERROR(INDEX('Offer Statistics'!ET$2:ET$400,MATCH(1,($A9='Offer Statistics'!$EN$2:$EN$400)*($AA$2='Offer Statistics'!$EO$2:$EO$400),0)),"/")</f>
        <v>881</v>
      </c>
      <c r="AP9" s="16" t="str">
        <f t="shared" si="3"/>
        <v>JS9230</v>
      </c>
    </row>
    <row r="10" spans="1:42" ht="18" customHeight="1">
      <c r="A10" s="4" t="str">
        <f>'Reference Score Calculation'!B371</f>
        <v>JS9240</v>
      </c>
      <c r="B10" s="4" t="str">
        <f>'Reference Score Calculation'!D371</f>
        <v>李兆基商業管理學院</v>
      </c>
      <c r="C10" s="4" t="str">
        <f>'Reference Score Calculation'!E371</f>
        <v>環球商業及市場學榮譽工商管理學士</v>
      </c>
      <c r="D10" s="4" t="str">
        <f>'Reference Score Calculation'!S371</f>
        <v>BBA(Hons)Glbl Bus</v>
      </c>
      <c r="E10" s="449" t="str">
        <f>'Reference Score Calculation'!F371</f>
        <v>Best 5</v>
      </c>
      <c r="F10" s="6">
        <f>'Reference Score Calculation'!I371</f>
        <v>17</v>
      </c>
      <c r="G10" s="6">
        <f>'Reference Score Calculation'!J371</f>
        <v>16</v>
      </c>
      <c r="H10" s="45">
        <f>計分版!J394</f>
        <v>3.2999999999999998E-9</v>
      </c>
      <c r="I10" s="176">
        <f>IFERROR(IF(I$1="差距(Median)",H10-F10,IF(I$1="差距(UQ)",H10-#REF!,IF(I$1="差距(LQ)",H10-G10))),"/")</f>
        <v>-16.999999996700002</v>
      </c>
      <c r="J10" s="177">
        <f>IFERROR(IF(I$1="差距(Median)",(H10-F10)/H10,IF(I$1="差距(UQ)",(H10-#REF!)/H10,IF(I$1="差距(LQ)",(H10-G10)/H10))),"/")</f>
        <v>-5151515150.515152</v>
      </c>
      <c r="K10" s="36">
        <f>'Reference Score Calculation'!U371</f>
        <v>10</v>
      </c>
      <c r="L10" s="84">
        <f>入學要求!Z380</f>
        <v>0</v>
      </c>
      <c r="M10" s="544"/>
      <c r="N10" s="174">
        <f>入學要求!L380</f>
        <v>3</v>
      </c>
      <c r="O10" s="174">
        <f>入學要求!M380</f>
        <v>3</v>
      </c>
      <c r="P10" s="174">
        <f>入學要求!N380</f>
        <v>2</v>
      </c>
      <c r="Q10" s="174">
        <f>入學要求!O380</f>
        <v>1</v>
      </c>
      <c r="R10" s="174">
        <f>入學要求!P380</f>
        <v>2</v>
      </c>
      <c r="S10" s="174">
        <f>入學要求!Q380</f>
        <v>2</v>
      </c>
      <c r="T10" s="236">
        <f>入學要求!S380</f>
        <v>0</v>
      </c>
      <c r="U10" s="236">
        <f>入學要求!T380</f>
        <v>0</v>
      </c>
      <c r="V10" s="236">
        <f>入學要求!U380</f>
        <v>0</v>
      </c>
      <c r="W10" s="236">
        <f>入學要求!V380</f>
        <v>0</v>
      </c>
      <c r="X10" s="236">
        <f>入學要求!W380</f>
        <v>0</v>
      </c>
      <c r="Y10" s="236">
        <f>入學要求!X380</f>
        <v>0</v>
      </c>
      <c r="Z10" s="15">
        <f t="shared" si="2"/>
        <v>3.15</v>
      </c>
      <c r="AA10" s="537"/>
      <c r="AB10" s="36" cm="1">
        <f t="array" ref="AB10">IFERROR(INDEX('Offer Statistics'!FC$2:FC$400,MATCH(1,($A10='Offer Statistics'!$EN$2:$EN$400)*($AA$2='Offer Statistics'!$EO$2:$EO$400),0)),"/")</f>
        <v>110</v>
      </c>
      <c r="AC10" s="63" cm="1">
        <f t="array" ref="AC10">IFERROR(INDEX('Offer Statistics'!EX$2:EX$400,MATCH(1,($A10='Offer Statistics'!$EN$2:$EN$400)*($AA$2='Offer Statistics'!$EO$2:$EO$400),0)),"/")</f>
        <v>46</v>
      </c>
      <c r="AD10" s="63" cm="1">
        <f t="array" ref="AD10">IFERROR(INDEX('Offer Statistics'!EY$2:EY$400,MATCH(1,($A10='Offer Statistics'!$EN$2:$EN$400)*($AA$2='Offer Statistics'!$EO$2:$EO$400),0)),"/")</f>
        <v>32</v>
      </c>
      <c r="AE10" s="63" cm="1">
        <f t="array" ref="AE10">IFERROR(INDEX('Offer Statistics'!EZ$2:EZ$400,MATCH(1,($A10='Offer Statistics'!$EN$2:$EN$400)*($AA$2='Offer Statistics'!$EO$2:$EO$400),0)),"/")</f>
        <v>19</v>
      </c>
      <c r="AF10" s="63" cm="1">
        <f t="array" ref="AF10">IFERROR(INDEX('Offer Statistics'!FA$2:FA$400,MATCH(1,($A10='Offer Statistics'!$EN$2:$EN$400)*($AA$2='Offer Statistics'!$EO$2:$EO$400),0)),"/")</f>
        <v>13</v>
      </c>
      <c r="AG10" s="63" cm="1">
        <f t="array" ref="AG10">IFERROR(INDEX('Offer Statistics'!FB$2:FB$400,MATCH(1,($A10='Offer Statistics'!$EN$2:$EN$400)*($AA$2='Offer Statistics'!$EO$2:$EO$400),0)),"/")</f>
        <v>0</v>
      </c>
      <c r="AH10" s="538"/>
      <c r="AI10" s="36" cm="1">
        <f t="array" ref="AI10">IFERROR(INDEX('Offer Statistics'!EU$2:EU$400,MATCH(1,($A10='Offer Statistics'!$EN$2:$EN$400)*($AA$2='Offer Statistics'!$EO$2:$EO$400),0)),"/")</f>
        <v>2145</v>
      </c>
      <c r="AJ10" s="63" cm="1">
        <f t="array" ref="AJ10">IFERROR(INDEX('Offer Statistics'!EP$2:EP$400,MATCH(1,($A10='Offer Statistics'!$EN$2:$EN$400)*($AA$2='Offer Statistics'!$EO$2:$EO$400),0)),"/")</f>
        <v>145</v>
      </c>
      <c r="AK10" s="63" cm="1">
        <f t="array" ref="AK10">IFERROR(INDEX('Offer Statistics'!EQ$2:EQ$400,MATCH(1,($A10='Offer Statistics'!$EN$2:$EN$400)*($AA$2='Offer Statistics'!$EO$2:$EO$400),0)),"/")</f>
        <v>318</v>
      </c>
      <c r="AL10" s="63" cm="1">
        <f t="array" ref="AL10">IFERROR(INDEX('Offer Statistics'!ER$2:ER$400,MATCH(1,($A10='Offer Statistics'!$EN$2:$EN$400)*($AA$2='Offer Statistics'!$EO$2:$EO$400),0)),"/")</f>
        <v>478</v>
      </c>
      <c r="AM10" s="63" cm="1">
        <f t="array" ref="AM10">IFERROR(INDEX('Offer Statistics'!ES$2:ES$400,MATCH(1,($A10='Offer Statistics'!$EN$2:$EN$400)*($AA$2='Offer Statistics'!$EO$2:$EO$400),0)),"/")</f>
        <v>589</v>
      </c>
      <c r="AN10" s="63" cm="1">
        <f t="array" ref="AN10">IFERROR(INDEX('Offer Statistics'!ET$2:ET$400,MATCH(1,($A10='Offer Statistics'!$EN$2:$EN$400)*($AA$2='Offer Statistics'!$EO$2:$EO$400),0)),"/")</f>
        <v>615</v>
      </c>
      <c r="AP10" s="16" t="str">
        <f t="shared" si="3"/>
        <v>JS9240</v>
      </c>
    </row>
    <row r="11" spans="1:42" ht="18" customHeight="1">
      <c r="A11" s="4" t="str">
        <f>'Reference Score Calculation'!B372</f>
        <v>JS9262</v>
      </c>
      <c r="B11" s="4" t="str">
        <f>'Reference Score Calculation'!D372</f>
        <v>李兆基商業管理學院</v>
      </c>
      <c r="C11" s="4" t="str">
        <f>'Reference Score Calculation'!E372</f>
        <v>人力資源管理學榮譽工商管理學士</v>
      </c>
      <c r="D11" s="4" t="str">
        <f>'Reference Score Calculation'!S372</f>
        <v>BBA(Hons)HRM</v>
      </c>
      <c r="E11" s="449" t="str">
        <f>'Reference Score Calculation'!F372</f>
        <v>Best 5</v>
      </c>
      <c r="F11" s="6">
        <f>'Reference Score Calculation'!I372</f>
        <v>16</v>
      </c>
      <c r="G11" s="6">
        <f>'Reference Score Calculation'!J372</f>
        <v>16</v>
      </c>
      <c r="H11" s="45">
        <f>計分版!J395</f>
        <v>3.2999999999999998E-9</v>
      </c>
      <c r="I11" s="176">
        <f>IFERROR(IF(I$1="差距(Median)",H11-F11,IF(I$1="差距(UQ)",H11-#REF!,IF(I$1="差距(LQ)",H11-G11))),"/")</f>
        <v>-15.9999999967</v>
      </c>
      <c r="J11" s="177">
        <f>IFERROR(IF(I$1="差距(Median)",(H11-F11)/H11,IF(I$1="差距(UQ)",(H11-#REF!)/H11,IF(I$1="差距(LQ)",(H11-G11)/H11))),"/")</f>
        <v>-4848484847.484849</v>
      </c>
      <c r="K11" s="36">
        <f>'Reference Score Calculation'!U372</f>
        <v>20</v>
      </c>
      <c r="L11" s="84">
        <f>入學要求!Z381</f>
        <v>0</v>
      </c>
      <c r="M11" s="544"/>
      <c r="N11" s="174">
        <f>入學要求!L381</f>
        <v>3</v>
      </c>
      <c r="O11" s="174">
        <f>入學要求!M381</f>
        <v>3</v>
      </c>
      <c r="P11" s="174">
        <f>入學要求!N381</f>
        <v>2</v>
      </c>
      <c r="Q11" s="174">
        <f>入學要求!O381</f>
        <v>1</v>
      </c>
      <c r="R11" s="174">
        <f>入學要求!P381</f>
        <v>2</v>
      </c>
      <c r="S11" s="174">
        <f>入學要求!Q381</f>
        <v>2</v>
      </c>
      <c r="T11" s="236">
        <f>入學要求!S381</f>
        <v>0</v>
      </c>
      <c r="U11" s="236">
        <f>入學要求!T381</f>
        <v>0</v>
      </c>
      <c r="V11" s="236">
        <f>入學要求!U381</f>
        <v>0</v>
      </c>
      <c r="W11" s="236">
        <f>入學要求!V381</f>
        <v>0</v>
      </c>
      <c r="X11" s="236">
        <f>入學要求!W381</f>
        <v>0</v>
      </c>
      <c r="Y11" s="236">
        <f>入學要求!X381</f>
        <v>0</v>
      </c>
      <c r="Z11" s="15">
        <f t="shared" si="2"/>
        <v>7.96</v>
      </c>
      <c r="AA11" s="537"/>
      <c r="AB11" s="36" cm="1">
        <f t="array" ref="AB11">IFERROR(INDEX('Offer Statistics'!FC$2:FC$400,MATCH(1,($A11='Offer Statistics'!$EN$2:$EN$400)*($AA$2='Offer Statistics'!$EO$2:$EO$400),0)),"/")</f>
        <v>73</v>
      </c>
      <c r="AC11" s="63" cm="1">
        <f t="array" ref="AC11">IFERROR(INDEX('Offer Statistics'!EX$2:EX$400,MATCH(1,($A11='Offer Statistics'!$EN$2:$EN$400)*($AA$2='Offer Statistics'!$EO$2:$EO$400),0)),"/")</f>
        <v>25</v>
      </c>
      <c r="AD11" s="63" cm="1">
        <f t="array" ref="AD11">IFERROR(INDEX('Offer Statistics'!EY$2:EY$400,MATCH(1,($A11='Offer Statistics'!$EN$2:$EN$400)*($AA$2='Offer Statistics'!$EO$2:$EO$400),0)),"/")</f>
        <v>13</v>
      </c>
      <c r="AE11" s="63" cm="1">
        <f t="array" ref="AE11">IFERROR(INDEX('Offer Statistics'!EZ$2:EZ$400,MATCH(1,($A11='Offer Statistics'!$EN$2:$EN$400)*($AA$2='Offer Statistics'!$EO$2:$EO$400),0)),"/")</f>
        <v>12</v>
      </c>
      <c r="AF11" s="63" cm="1">
        <f t="array" ref="AF11">IFERROR(INDEX('Offer Statistics'!FA$2:FA$400,MATCH(1,($A11='Offer Statistics'!$EN$2:$EN$400)*($AA$2='Offer Statistics'!$EO$2:$EO$400),0)),"/")</f>
        <v>11</v>
      </c>
      <c r="AG11" s="63" cm="1">
        <f t="array" ref="AG11">IFERROR(INDEX('Offer Statistics'!FB$2:FB$400,MATCH(1,($A11='Offer Statistics'!$EN$2:$EN$400)*($AA$2='Offer Statistics'!$EO$2:$EO$400),0)),"/")</f>
        <v>12</v>
      </c>
      <c r="AH11" s="538"/>
      <c r="AI11" s="36" cm="1">
        <f t="array" ref="AI11">IFERROR(INDEX('Offer Statistics'!EU$2:EU$400,MATCH(1,($A11='Offer Statistics'!$EN$2:$EN$400)*($AA$2='Offer Statistics'!$EO$2:$EO$400),0)),"/")</f>
        <v>2629</v>
      </c>
      <c r="AJ11" s="63" cm="1">
        <f t="array" ref="AJ11">IFERROR(INDEX('Offer Statistics'!EP$2:EP$400,MATCH(1,($A11='Offer Statistics'!$EN$2:$EN$400)*($AA$2='Offer Statistics'!$EO$2:$EO$400),0)),"/")</f>
        <v>199</v>
      </c>
      <c r="AK11" s="63" cm="1">
        <f t="array" ref="AK11">IFERROR(INDEX('Offer Statistics'!EQ$2:EQ$400,MATCH(1,($A11='Offer Statistics'!$EN$2:$EN$400)*($AA$2='Offer Statistics'!$EO$2:$EO$400),0)),"/")</f>
        <v>484</v>
      </c>
      <c r="AL11" s="63" cm="1">
        <f t="array" ref="AL11">IFERROR(INDEX('Offer Statistics'!ER$2:ER$400,MATCH(1,($A11='Offer Statistics'!$EN$2:$EN$400)*($AA$2='Offer Statistics'!$EO$2:$EO$400),0)),"/")</f>
        <v>575</v>
      </c>
      <c r="AM11" s="63" cm="1">
        <f t="array" ref="AM11">IFERROR(INDEX('Offer Statistics'!ES$2:ES$400,MATCH(1,($A11='Offer Statistics'!$EN$2:$EN$400)*($AA$2='Offer Statistics'!$EO$2:$EO$400),0)),"/")</f>
        <v>664</v>
      </c>
      <c r="AN11" s="63" cm="1">
        <f t="array" ref="AN11">IFERROR(INDEX('Offer Statistics'!ET$2:ET$400,MATCH(1,($A11='Offer Statistics'!$EN$2:$EN$400)*($AA$2='Offer Statistics'!$EO$2:$EO$400),0)),"/")</f>
        <v>707</v>
      </c>
      <c r="AP11" s="16" t="str">
        <f t="shared" si="3"/>
        <v>JS9262</v>
      </c>
    </row>
    <row r="12" spans="1:42" ht="18" customHeight="1">
      <c r="A12" s="4" t="str">
        <f>'Reference Score Calculation'!B373</f>
        <v>JS9266</v>
      </c>
      <c r="B12" s="4" t="str">
        <f>'Reference Score Calculation'!D373</f>
        <v>李兆基商業管理學院</v>
      </c>
      <c r="C12" s="4" t="str">
        <f>'Reference Score Calculation'!E373</f>
        <v>市場學榮譽工商管理學士</v>
      </c>
      <c r="D12" s="4" t="str">
        <f>'Reference Score Calculation'!S373</f>
        <v>BBA(Hons)Mkt</v>
      </c>
      <c r="E12" s="449" t="str">
        <f>'Reference Score Calculation'!F373</f>
        <v>Best 5</v>
      </c>
      <c r="F12" s="6">
        <f>'Reference Score Calculation'!I373</f>
        <v>16</v>
      </c>
      <c r="G12" s="6">
        <f>'Reference Score Calculation'!J373</f>
        <v>15</v>
      </c>
      <c r="H12" s="45">
        <f>計分版!J396</f>
        <v>3.2999999999999998E-9</v>
      </c>
      <c r="I12" s="176">
        <f>IFERROR(IF(I$1="差距(Median)",H12-F12,IF(I$1="差距(UQ)",H12-#REF!,IF(I$1="差距(LQ)",H12-G12))),"/")</f>
        <v>-15.9999999967</v>
      </c>
      <c r="J12" s="177">
        <f>IFERROR(IF(I$1="差距(Median)",(H12-F12)/H12,IF(I$1="差距(UQ)",(H12-#REF!)/H12,IF(I$1="差距(LQ)",(H12-G12)/H12))),"/")</f>
        <v>-4848484847.484849</v>
      </c>
      <c r="K12" s="36">
        <f>'Reference Score Calculation'!U373</f>
        <v>20</v>
      </c>
      <c r="L12" s="84">
        <f>入學要求!Z382</f>
        <v>0</v>
      </c>
      <c r="M12" s="544"/>
      <c r="N12" s="174">
        <f>入學要求!L382</f>
        <v>3</v>
      </c>
      <c r="O12" s="174">
        <f>入學要求!M382</f>
        <v>3</v>
      </c>
      <c r="P12" s="174">
        <f>入學要求!N382</f>
        <v>2</v>
      </c>
      <c r="Q12" s="174">
        <f>入學要求!O382</f>
        <v>1</v>
      </c>
      <c r="R12" s="174">
        <f>入學要求!P382</f>
        <v>2</v>
      </c>
      <c r="S12" s="174">
        <f>入學要求!Q382</f>
        <v>2</v>
      </c>
      <c r="T12" s="236">
        <f>入學要求!S382</f>
        <v>0</v>
      </c>
      <c r="U12" s="236">
        <f>入學要求!T382</f>
        <v>0</v>
      </c>
      <c r="V12" s="236">
        <f>入學要求!U382</f>
        <v>0</v>
      </c>
      <c r="W12" s="236">
        <f>入學要求!V382</f>
        <v>0</v>
      </c>
      <c r="X12" s="236">
        <f>入學要求!W382</f>
        <v>0</v>
      </c>
      <c r="Y12" s="236">
        <f>入學要求!X382</f>
        <v>0</v>
      </c>
      <c r="Z12" s="15">
        <f t="shared" si="2"/>
        <v>4.22</v>
      </c>
      <c r="AA12" s="537"/>
      <c r="AB12" s="36" cm="1">
        <f t="array" ref="AB12">IFERROR(INDEX('Offer Statistics'!FC$2:FC$400,MATCH(1,($A12='Offer Statistics'!$EN$2:$EN$400)*($AA$2='Offer Statistics'!$EO$2:$EO$400),0)),"/")</f>
        <v>80</v>
      </c>
      <c r="AC12" s="63" cm="1">
        <f t="array" ref="AC12">IFERROR(INDEX('Offer Statistics'!EX$2:EX$400,MATCH(1,($A12='Offer Statistics'!$EN$2:$EN$400)*($AA$2='Offer Statistics'!$EO$2:$EO$400),0)),"/")</f>
        <v>49</v>
      </c>
      <c r="AD12" s="63" cm="1">
        <f t="array" ref="AD12">IFERROR(INDEX('Offer Statistics'!EY$2:EY$400,MATCH(1,($A12='Offer Statistics'!$EN$2:$EN$400)*($AA$2='Offer Statistics'!$EO$2:$EO$400),0)),"/")</f>
        <v>31</v>
      </c>
      <c r="AE12" s="63" cm="1">
        <f t="array" ref="AE12">IFERROR(INDEX('Offer Statistics'!EZ$2:EZ$400,MATCH(1,($A12='Offer Statistics'!$EN$2:$EN$400)*($AA$2='Offer Statistics'!$EO$2:$EO$400),0)),"/")</f>
        <v>0</v>
      </c>
      <c r="AF12" s="63" cm="1">
        <f t="array" ref="AF12">IFERROR(INDEX('Offer Statistics'!FA$2:FA$400,MATCH(1,($A12='Offer Statistics'!$EN$2:$EN$400)*($AA$2='Offer Statistics'!$EO$2:$EO$400),0)),"/")</f>
        <v>0</v>
      </c>
      <c r="AG12" s="63" cm="1">
        <f t="array" ref="AG12">IFERROR(INDEX('Offer Statistics'!FB$2:FB$400,MATCH(1,($A12='Offer Statistics'!$EN$2:$EN$400)*($AA$2='Offer Statistics'!$EO$2:$EO$400),0)),"/")</f>
        <v>0</v>
      </c>
      <c r="AH12" s="538"/>
      <c r="AI12" s="36" cm="1">
        <f t="array" ref="AI12">IFERROR(INDEX('Offer Statistics'!EU$2:EU$400,MATCH(1,($A12='Offer Statistics'!$EN$2:$EN$400)*($AA$2='Offer Statistics'!$EO$2:$EO$400),0)),"/")</f>
        <v>2435</v>
      </c>
      <c r="AJ12" s="63" cm="1">
        <f t="array" ref="AJ12">IFERROR(INDEX('Offer Statistics'!EP$2:EP$400,MATCH(1,($A12='Offer Statistics'!$EN$2:$EN$400)*($AA$2='Offer Statistics'!$EO$2:$EO$400),0)),"/")</f>
        <v>207</v>
      </c>
      <c r="AK12" s="63" cm="1">
        <f t="array" ref="AK12">IFERROR(INDEX('Offer Statistics'!EQ$2:EQ$400,MATCH(1,($A12='Offer Statistics'!$EN$2:$EN$400)*($AA$2='Offer Statistics'!$EO$2:$EO$400),0)),"/")</f>
        <v>423</v>
      </c>
      <c r="AL12" s="63" cm="1">
        <f t="array" ref="AL12">IFERROR(INDEX('Offer Statistics'!ER$2:ER$400,MATCH(1,($A12='Offer Statistics'!$EN$2:$EN$400)*($AA$2='Offer Statistics'!$EO$2:$EO$400),0)),"/")</f>
        <v>547</v>
      </c>
      <c r="AM12" s="63" cm="1">
        <f t="array" ref="AM12">IFERROR(INDEX('Offer Statistics'!ES$2:ES$400,MATCH(1,($A12='Offer Statistics'!$EN$2:$EN$400)*($AA$2='Offer Statistics'!$EO$2:$EO$400),0)),"/")</f>
        <v>629</v>
      </c>
      <c r="AN12" s="63" cm="1">
        <f t="array" ref="AN12">IFERROR(INDEX('Offer Statistics'!ET$2:ET$400,MATCH(1,($A12='Offer Statistics'!$EN$2:$EN$400)*($AA$2='Offer Statistics'!$EO$2:$EO$400),0)),"/")</f>
        <v>629</v>
      </c>
      <c r="AP12" s="16" t="str">
        <f t="shared" si="3"/>
        <v>JS9266</v>
      </c>
    </row>
    <row r="13" spans="1:42" ht="18" customHeight="1">
      <c r="A13" s="4" t="str">
        <f>'Reference Score Calculation'!B374</f>
        <v>JS9276</v>
      </c>
      <c r="B13" s="4" t="str">
        <f>'Reference Score Calculation'!D374</f>
        <v>李兆基商業管理學院</v>
      </c>
      <c r="C13" s="4" t="str">
        <f>'Reference Score Calculation'!E374</f>
        <v>房地產及測量學榮譽工商管理學士</v>
      </c>
      <c r="D13" s="4" t="str">
        <f>'Reference Score Calculation'!S374</f>
        <v>BBA(Hons)RealEst&amp;Surv</v>
      </c>
      <c r="E13" s="449" t="str">
        <f>'Reference Score Calculation'!F374</f>
        <v>25年新科目</v>
      </c>
      <c r="F13" s="6" t="str">
        <f>'Reference Score Calculation'!I374</f>
        <v>/</v>
      </c>
      <c r="G13" s="6" t="str">
        <f>'Reference Score Calculation'!J374</f>
        <v>/</v>
      </c>
      <c r="H13" s="45">
        <f>計分版!J397</f>
        <v>3.2999999999999998E-9</v>
      </c>
      <c r="I13" s="237" t="str">
        <f>IFERROR(IF(I$1="差距(Median)",H13-F13,IF(I$1="差距(UQ)",H13-#REF!,IF(I$1="差距(LQ)",H13-G13))),"/")</f>
        <v>/</v>
      </c>
      <c r="J13" s="252" t="str">
        <f>IFERROR(IF(I$1="差距(Median)",(H13-F13)/H13,IF(I$1="差距(UQ)",(H13-#REF!)/H13,IF(I$1="差距(LQ)",(H13-G13)/H13))),"/")</f>
        <v>/</v>
      </c>
      <c r="K13" s="36">
        <f>'Reference Score Calculation'!U374</f>
        <v>20</v>
      </c>
      <c r="L13" s="84">
        <f>入學要求!Z383</f>
        <v>0</v>
      </c>
      <c r="M13" s="544"/>
      <c r="N13" s="174">
        <f>入學要求!L383</f>
        <v>3</v>
      </c>
      <c r="O13" s="174">
        <f>入學要求!M383</f>
        <v>3</v>
      </c>
      <c r="P13" s="174">
        <f>入學要求!N383</f>
        <v>2</v>
      </c>
      <c r="Q13" s="174">
        <f>入學要求!O383</f>
        <v>1</v>
      </c>
      <c r="R13" s="174">
        <f>入學要求!P383</f>
        <v>2</v>
      </c>
      <c r="S13" s="174">
        <f>入學要求!Q383</f>
        <v>2</v>
      </c>
      <c r="T13" s="236">
        <f>入學要求!S383</f>
        <v>0</v>
      </c>
      <c r="U13" s="236">
        <f>入學要求!T383</f>
        <v>0</v>
      </c>
      <c r="V13" s="236">
        <f>入學要求!U383</f>
        <v>0</v>
      </c>
      <c r="W13" s="236">
        <f>入學要求!V383</f>
        <v>0</v>
      </c>
      <c r="X13" s="236">
        <f>入學要求!W383</f>
        <v>0</v>
      </c>
      <c r="Y13" s="236">
        <f>入學要求!X383</f>
        <v>0</v>
      </c>
      <c r="Z13" s="15" t="str">
        <f t="shared" si="2"/>
        <v>/</v>
      </c>
      <c r="AA13" s="537"/>
      <c r="AB13" s="36" t="str" cm="1">
        <f t="array" ref="AB13">IFERROR(INDEX('Offer Statistics'!FC$2:FC$400,MATCH(1,($A13='Offer Statistics'!$EN$2:$EN$400)*($AA$2='Offer Statistics'!$EO$2:$EO$400),0)),"/")</f>
        <v>/</v>
      </c>
      <c r="AC13" s="63" t="str" cm="1">
        <f t="array" ref="AC13">IFERROR(INDEX('Offer Statistics'!EX$2:EX$400,MATCH(1,($A13='Offer Statistics'!$EN$2:$EN$400)*($AA$2='Offer Statistics'!$EO$2:$EO$400),0)),"/")</f>
        <v>/</v>
      </c>
      <c r="AD13" s="63" t="str" cm="1">
        <f t="array" ref="AD13">IFERROR(INDEX('Offer Statistics'!EY$2:EY$400,MATCH(1,($A13='Offer Statistics'!$EN$2:$EN$400)*($AA$2='Offer Statistics'!$EO$2:$EO$400),0)),"/")</f>
        <v>/</v>
      </c>
      <c r="AE13" s="63" t="str" cm="1">
        <f t="array" ref="AE13">IFERROR(INDEX('Offer Statistics'!EZ$2:EZ$400,MATCH(1,($A13='Offer Statistics'!$EN$2:$EN$400)*($AA$2='Offer Statistics'!$EO$2:$EO$400),0)),"/")</f>
        <v>/</v>
      </c>
      <c r="AF13" s="63" t="str" cm="1">
        <f t="array" ref="AF13">IFERROR(INDEX('Offer Statistics'!FA$2:FA$400,MATCH(1,($A13='Offer Statistics'!$EN$2:$EN$400)*($AA$2='Offer Statistics'!$EO$2:$EO$400),0)),"/")</f>
        <v>/</v>
      </c>
      <c r="AG13" s="63" t="str" cm="1">
        <f t="array" ref="AG13">IFERROR(INDEX('Offer Statistics'!FB$2:FB$400,MATCH(1,($A13='Offer Statistics'!$EN$2:$EN$400)*($AA$2='Offer Statistics'!$EO$2:$EO$400),0)),"/")</f>
        <v>/</v>
      </c>
      <c r="AH13" s="538"/>
      <c r="AI13" s="36" t="str" cm="1">
        <f t="array" ref="AI13">IFERROR(INDEX('Offer Statistics'!EU$2:EU$400,MATCH(1,($A13='Offer Statistics'!$EN$2:$EN$400)*($AA$2='Offer Statistics'!$EO$2:$EO$400),0)),"/")</f>
        <v>/</v>
      </c>
      <c r="AJ13" s="63" t="str" cm="1">
        <f t="array" ref="AJ13">IFERROR(INDEX('Offer Statistics'!EP$2:EP$400,MATCH(1,($A13='Offer Statistics'!$EN$2:$EN$400)*($AA$2='Offer Statistics'!$EO$2:$EO$400),0)),"/")</f>
        <v>/</v>
      </c>
      <c r="AK13" s="63" t="str" cm="1">
        <f t="array" ref="AK13">IFERROR(INDEX('Offer Statistics'!EQ$2:EQ$400,MATCH(1,($A13='Offer Statistics'!$EN$2:$EN$400)*($AA$2='Offer Statistics'!$EO$2:$EO$400),0)),"/")</f>
        <v>/</v>
      </c>
      <c r="AL13" s="63" t="str" cm="1">
        <f t="array" ref="AL13">IFERROR(INDEX('Offer Statistics'!ER$2:ER$400,MATCH(1,($A13='Offer Statistics'!$EN$2:$EN$400)*($AA$2='Offer Statistics'!$EO$2:$EO$400),0)),"/")</f>
        <v>/</v>
      </c>
      <c r="AM13" s="63" t="str" cm="1">
        <f t="array" ref="AM13">IFERROR(INDEX('Offer Statistics'!ES$2:ES$400,MATCH(1,($A13='Offer Statistics'!$EN$2:$EN$400)*($AA$2='Offer Statistics'!$EO$2:$EO$400),0)),"/")</f>
        <v>/</v>
      </c>
      <c r="AN13" s="63" t="str" cm="1">
        <f t="array" ref="AN13">IFERROR(INDEX('Offer Statistics'!ET$2:ET$400,MATCH(1,($A13='Offer Statistics'!$EN$2:$EN$400)*($AA$2='Offer Statistics'!$EO$2:$EO$400),0)),"/")</f>
        <v>/</v>
      </c>
      <c r="AP13" s="16" t="str">
        <f t="shared" si="3"/>
        <v>JS9276</v>
      </c>
    </row>
    <row r="14" spans="1:42" ht="18" customHeight="1">
      <c r="A14" s="4" t="str">
        <f>'Reference Score Calculation'!B375</f>
        <v>JS9280</v>
      </c>
      <c r="B14" s="4" t="str">
        <f>'Reference Score Calculation'!D375</f>
        <v>李兆基商業管理學院</v>
      </c>
      <c r="C14" s="4" t="str">
        <f>'Reference Score Calculation'!E375</f>
        <v>應用心理學榮譽學士，商業管理榮譽學士</v>
      </c>
      <c r="D14" s="4" t="str">
        <f>'Reference Score Calculation'!S375</f>
        <v>BAPH &amp; BBMH</v>
      </c>
      <c r="E14" s="449" t="str">
        <f>'Reference Score Calculation'!F375</f>
        <v>Best 5</v>
      </c>
      <c r="F14" s="6">
        <f>'Reference Score Calculation'!I375</f>
        <v>15</v>
      </c>
      <c r="G14" s="6">
        <f>'Reference Score Calculation'!J375</f>
        <v>14</v>
      </c>
      <c r="H14" s="45">
        <f>計分版!J398</f>
        <v>3.2999999999999998E-9</v>
      </c>
      <c r="I14" s="176">
        <f>IFERROR(IF(I$1="差距(Median)",H14-F14,IF(I$1="差距(UQ)",H14-#REF!,IF(I$1="差距(LQ)",H14-G14))),"/")</f>
        <v>-14.9999999967</v>
      </c>
      <c r="J14" s="177">
        <f>IFERROR(IF(I$1="差距(Median)",(H14-F14)/H14,IF(I$1="差距(UQ)",(H14-#REF!)/H14,IF(I$1="差距(LQ)",(H14-G14)/H14))),"/")</f>
        <v>-4545454544.454546</v>
      </c>
      <c r="K14" s="36">
        <f>'Reference Score Calculation'!U375</f>
        <v>25</v>
      </c>
      <c r="L14" s="84">
        <f>入學要求!Z384</f>
        <v>0</v>
      </c>
      <c r="M14" s="544"/>
      <c r="N14" s="174">
        <f>入學要求!L384</f>
        <v>3</v>
      </c>
      <c r="O14" s="174">
        <f>入學要求!M384</f>
        <v>3</v>
      </c>
      <c r="P14" s="174">
        <f>入學要求!N384</f>
        <v>2</v>
      </c>
      <c r="Q14" s="174">
        <f>入學要求!O384</f>
        <v>1</v>
      </c>
      <c r="R14" s="174">
        <f>入學要求!P384</f>
        <v>2</v>
      </c>
      <c r="S14" s="174">
        <f>入學要求!Q384</f>
        <v>2</v>
      </c>
      <c r="T14" s="236">
        <f>入學要求!S384</f>
        <v>0</v>
      </c>
      <c r="U14" s="236">
        <f>入學要求!T384</f>
        <v>0</v>
      </c>
      <c r="V14" s="236">
        <f>入學要求!U384</f>
        <v>0</v>
      </c>
      <c r="W14" s="236">
        <f>入學要求!V384</f>
        <v>0</v>
      </c>
      <c r="X14" s="236">
        <f>入學要求!W384</f>
        <v>0</v>
      </c>
      <c r="Y14" s="236">
        <f>入學要求!X384</f>
        <v>0</v>
      </c>
      <c r="Z14" s="15">
        <f t="shared" si="2"/>
        <v>6.77</v>
      </c>
      <c r="AA14" s="537"/>
      <c r="AB14" s="36" cm="1">
        <f t="array" ref="AB14">IFERROR(INDEX('Offer Statistics'!FC$2:FC$400,MATCH(1,($A14='Offer Statistics'!$EN$2:$EN$400)*($AA$2='Offer Statistics'!$EO$2:$EO$400),0)),"/")</f>
        <v>84</v>
      </c>
      <c r="AC14" s="63" cm="1">
        <f t="array" ref="AC14">IFERROR(INDEX('Offer Statistics'!EX$2:EX$400,MATCH(1,($A14='Offer Statistics'!$EN$2:$EN$400)*($AA$2='Offer Statistics'!$EO$2:$EO$400),0)),"/")</f>
        <v>35</v>
      </c>
      <c r="AD14" s="63" cm="1">
        <f t="array" ref="AD14">IFERROR(INDEX('Offer Statistics'!EY$2:EY$400,MATCH(1,($A14='Offer Statistics'!$EN$2:$EN$400)*($AA$2='Offer Statistics'!$EO$2:$EO$400),0)),"/")</f>
        <v>23</v>
      </c>
      <c r="AE14" s="63" cm="1">
        <f t="array" ref="AE14">IFERROR(INDEX('Offer Statistics'!EZ$2:EZ$400,MATCH(1,($A14='Offer Statistics'!$EN$2:$EN$400)*($AA$2='Offer Statistics'!$EO$2:$EO$400),0)),"/")</f>
        <v>9</v>
      </c>
      <c r="AF14" s="63" cm="1">
        <f t="array" ref="AF14">IFERROR(INDEX('Offer Statistics'!FA$2:FA$400,MATCH(1,($A14='Offer Statistics'!$EN$2:$EN$400)*($AA$2='Offer Statistics'!$EO$2:$EO$400),0)),"/")</f>
        <v>7</v>
      </c>
      <c r="AG14" s="63" cm="1">
        <f t="array" ref="AG14">IFERROR(INDEX('Offer Statistics'!FB$2:FB$400,MATCH(1,($A14='Offer Statistics'!$EN$2:$EN$400)*($AA$2='Offer Statistics'!$EO$2:$EO$400),0)),"/")</f>
        <v>10</v>
      </c>
      <c r="AH14" s="538"/>
      <c r="AI14" s="36" cm="1">
        <f t="array" ref="AI14">IFERROR(INDEX('Offer Statistics'!EU$2:EU$400,MATCH(1,($A14='Offer Statistics'!$EN$2:$EN$400)*($AA$2='Offer Statistics'!$EO$2:$EO$400),0)),"/")</f>
        <v>2660</v>
      </c>
      <c r="AJ14" s="63" cm="1">
        <f t="array" ref="AJ14">IFERROR(INDEX('Offer Statistics'!EP$2:EP$400,MATCH(1,($A14='Offer Statistics'!$EN$2:$EN$400)*($AA$2='Offer Statistics'!$EO$2:$EO$400),0)),"/")</f>
        <v>237</v>
      </c>
      <c r="AK14" s="63" cm="1">
        <f t="array" ref="AK14">IFERROR(INDEX('Offer Statistics'!EQ$2:EQ$400,MATCH(1,($A14='Offer Statistics'!$EN$2:$EN$400)*($AA$2='Offer Statistics'!$EO$2:$EO$400),0)),"/")</f>
        <v>492</v>
      </c>
      <c r="AL14" s="63" cm="1">
        <f t="array" ref="AL14">IFERROR(INDEX('Offer Statistics'!ER$2:ER$400,MATCH(1,($A14='Offer Statistics'!$EN$2:$EN$400)*($AA$2='Offer Statistics'!$EO$2:$EO$400),0)),"/")</f>
        <v>542</v>
      </c>
      <c r="AM14" s="63" cm="1">
        <f t="array" ref="AM14">IFERROR(INDEX('Offer Statistics'!ES$2:ES$400,MATCH(1,($A14='Offer Statistics'!$EN$2:$EN$400)*($AA$2='Offer Statistics'!$EO$2:$EO$400),0)),"/")</f>
        <v>686</v>
      </c>
      <c r="AN14" s="63" cm="1">
        <f t="array" ref="AN14">IFERROR(INDEX('Offer Statistics'!ET$2:ET$400,MATCH(1,($A14='Offer Statistics'!$EN$2:$EN$400)*($AA$2='Offer Statistics'!$EO$2:$EO$400),0)),"/")</f>
        <v>703</v>
      </c>
      <c r="AP14" s="16" t="str">
        <f t="shared" si="3"/>
        <v>JS9280</v>
      </c>
    </row>
    <row r="15" spans="1:42" ht="18" customHeight="1">
      <c r="A15" s="4" t="str">
        <f>'Reference Score Calculation'!B376</f>
        <v>JS9291</v>
      </c>
      <c r="B15" s="4" t="str">
        <f>'Reference Score Calculation'!D376</f>
        <v>李兆基商業管理學院</v>
      </c>
      <c r="C15" s="4" t="str">
        <f>'Reference Score Calculation'!E376</f>
        <v>酒店及可持續旅遊管理榮譽工商管理學士</v>
      </c>
      <c r="D15" s="4" t="str">
        <f>'Reference Score Calculation'!S376</f>
        <v>BBA(Hons)SusTour&amp;HosMgt</v>
      </c>
      <c r="E15" s="449" t="str">
        <f>'Reference Score Calculation'!F376</f>
        <v>Best 5</v>
      </c>
      <c r="F15" s="6">
        <f>'Reference Score Calculation'!I376</f>
        <v>16</v>
      </c>
      <c r="G15" s="6">
        <f>'Reference Score Calculation'!J376</f>
        <v>14</v>
      </c>
      <c r="H15" s="45">
        <f>計分版!J399</f>
        <v>3.2999999999999998E-9</v>
      </c>
      <c r="I15" s="176">
        <f>IFERROR(IF(I$1="差距(Median)",H15-F15,IF(I$1="差距(UQ)",H15-#REF!,IF(I$1="差距(LQ)",H15-G15))),"/")</f>
        <v>-15.9999999967</v>
      </c>
      <c r="J15" s="177">
        <f>IFERROR(IF(I$1="差距(Median)",(H15-F15)/H15,IF(I$1="差距(UQ)",(H15-#REF!)/H15,IF(I$1="差距(LQ)",(H15-G15)/H15))),"/")</f>
        <v>-4848484847.484849</v>
      </c>
      <c r="K15" s="36">
        <f>'Reference Score Calculation'!U376</f>
        <v>25</v>
      </c>
      <c r="L15" s="84">
        <f>入學要求!Z385</f>
        <v>0</v>
      </c>
      <c r="M15" s="544"/>
      <c r="N15" s="174">
        <f>入學要求!L385</f>
        <v>3</v>
      </c>
      <c r="O15" s="174">
        <f>入學要求!M385</f>
        <v>3</v>
      </c>
      <c r="P15" s="174">
        <f>入學要求!N385</f>
        <v>2</v>
      </c>
      <c r="Q15" s="174">
        <f>入學要求!O385</f>
        <v>1</v>
      </c>
      <c r="R15" s="174">
        <f>入學要求!P385</f>
        <v>2</v>
      </c>
      <c r="S15" s="174">
        <f>入學要求!Q385</f>
        <v>2</v>
      </c>
      <c r="T15" s="236">
        <f>入學要求!S385</f>
        <v>0</v>
      </c>
      <c r="U15" s="236">
        <f>入學要求!T385</f>
        <v>0</v>
      </c>
      <c r="V15" s="236">
        <f>入學要求!U385</f>
        <v>0</v>
      </c>
      <c r="W15" s="236">
        <f>入學要求!V385</f>
        <v>0</v>
      </c>
      <c r="X15" s="236">
        <f>入學要求!W385</f>
        <v>0</v>
      </c>
      <c r="Y15" s="236">
        <f>入學要求!X385</f>
        <v>0</v>
      </c>
      <c r="Z15" s="15">
        <f t="shared" si="2"/>
        <v>9.08</v>
      </c>
      <c r="AA15" s="537"/>
      <c r="AB15" s="36" cm="1">
        <f t="array" ref="AB15">IFERROR(INDEX('Offer Statistics'!FC$2:FC$400,MATCH(1,($A15='Offer Statistics'!$EN$2:$EN$400)*($AA$2='Offer Statistics'!$EO$2:$EO$400),0)),"/")</f>
        <v>106</v>
      </c>
      <c r="AC15" s="63" cm="1">
        <f t="array" ref="AC15">IFERROR(INDEX('Offer Statistics'!EX$2:EX$400,MATCH(1,($A15='Offer Statistics'!$EN$2:$EN$400)*($AA$2='Offer Statistics'!$EO$2:$EO$400),0)),"/")</f>
        <v>65</v>
      </c>
      <c r="AD15" s="63" cm="1">
        <f t="array" ref="AD15">IFERROR(INDEX('Offer Statistics'!EY$2:EY$400,MATCH(1,($A15='Offer Statistics'!$EN$2:$EN$400)*($AA$2='Offer Statistics'!$EO$2:$EO$400),0)),"/")</f>
        <v>19</v>
      </c>
      <c r="AE15" s="63" cm="1">
        <f t="array" ref="AE15">IFERROR(INDEX('Offer Statistics'!EZ$2:EZ$400,MATCH(1,($A15='Offer Statistics'!$EN$2:$EN$400)*($AA$2='Offer Statistics'!$EO$2:$EO$400),0)),"/")</f>
        <v>8</v>
      </c>
      <c r="AF15" s="63" cm="1">
        <f t="array" ref="AF15">IFERROR(INDEX('Offer Statistics'!FA$2:FA$400,MATCH(1,($A15='Offer Statistics'!$EN$2:$EN$400)*($AA$2='Offer Statistics'!$EO$2:$EO$400),0)),"/")</f>
        <v>6</v>
      </c>
      <c r="AG15" s="63" cm="1">
        <f t="array" ref="AG15">IFERROR(INDEX('Offer Statistics'!FB$2:FB$400,MATCH(1,($A15='Offer Statistics'!$EN$2:$EN$400)*($AA$2='Offer Statistics'!$EO$2:$EO$400),0)),"/")</f>
        <v>8</v>
      </c>
      <c r="AH15" s="538"/>
      <c r="AI15" s="36" cm="1">
        <f t="array" ref="AI15">IFERROR(INDEX('Offer Statistics'!EU$2:EU$400,MATCH(1,($A15='Offer Statistics'!$EN$2:$EN$400)*($AA$2='Offer Statistics'!$EO$2:$EO$400),0)),"/")</f>
        <v>3148</v>
      </c>
      <c r="AJ15" s="63" cm="1">
        <f t="array" ref="AJ15">IFERROR(INDEX('Offer Statistics'!EP$2:EP$400,MATCH(1,($A15='Offer Statistics'!$EN$2:$EN$400)*($AA$2='Offer Statistics'!$EO$2:$EO$400),0)),"/")</f>
        <v>590</v>
      </c>
      <c r="AK15" s="63" cm="1">
        <f t="array" ref="AK15">IFERROR(INDEX('Offer Statistics'!EQ$2:EQ$400,MATCH(1,($A15='Offer Statistics'!$EN$2:$EN$400)*($AA$2='Offer Statistics'!$EO$2:$EO$400),0)),"/")</f>
        <v>602</v>
      </c>
      <c r="AL15" s="63" cm="1">
        <f t="array" ref="AL15">IFERROR(INDEX('Offer Statistics'!ER$2:ER$400,MATCH(1,($A15='Offer Statistics'!$EN$2:$EN$400)*($AA$2='Offer Statistics'!$EO$2:$EO$400),0)),"/")</f>
        <v>612</v>
      </c>
      <c r="AM15" s="63" cm="1">
        <f t="array" ref="AM15">IFERROR(INDEX('Offer Statistics'!ES$2:ES$400,MATCH(1,($A15='Offer Statistics'!$EN$2:$EN$400)*($AA$2='Offer Statistics'!$EO$2:$EO$400),0)),"/")</f>
        <v>664</v>
      </c>
      <c r="AN15" s="63" cm="1">
        <f t="array" ref="AN15">IFERROR(INDEX('Offer Statistics'!ET$2:ET$400,MATCH(1,($A15='Offer Statistics'!$EN$2:$EN$400)*($AA$2='Offer Statistics'!$EO$2:$EO$400),0)),"/")</f>
        <v>680</v>
      </c>
      <c r="AP15" s="16" t="str">
        <f t="shared" si="3"/>
        <v>JS9291</v>
      </c>
    </row>
    <row r="16" spans="1:42" ht="18" customHeight="1">
      <c r="A16" s="4" t="str">
        <f>'Reference Score Calculation'!B377</f>
        <v>JS9294</v>
      </c>
      <c r="B16" s="4" t="str">
        <f>'Reference Score Calculation'!D377</f>
        <v>李兆基商業管理學院</v>
      </c>
      <c r="C16" s="4" t="str">
        <f>'Reference Score Calculation'!E377</f>
        <v>運動及電競運動管理榮譽工商管理學士</v>
      </c>
      <c r="D16" s="4" t="str">
        <f>'Reference Score Calculation'!S377</f>
        <v>BBA(Hons)eSports Mgt</v>
      </c>
      <c r="E16" s="449" t="str">
        <f>'Reference Score Calculation'!F377</f>
        <v>Best 5</v>
      </c>
      <c r="F16" s="6">
        <f>'Reference Score Calculation'!I377</f>
        <v>17</v>
      </c>
      <c r="G16" s="6">
        <f>'Reference Score Calculation'!J377</f>
        <v>15</v>
      </c>
      <c r="H16" s="45">
        <f>計分版!J400</f>
        <v>3.2999999999999998E-9</v>
      </c>
      <c r="I16" s="176">
        <f>IFERROR(IF(I$1="差距(Median)",H16-F16,IF(I$1="差距(UQ)",H16-#REF!,IF(I$1="差距(LQ)",H16-G16))),"/")</f>
        <v>-16.999999996700002</v>
      </c>
      <c r="J16" s="177">
        <f>IFERROR(IF(I$1="差距(Median)",(H16-F16)/H16,IF(I$1="差距(UQ)",(H16-#REF!)/H16,IF(I$1="差距(LQ)",(H16-G16)/H16))),"/")</f>
        <v>-5151515150.515152</v>
      </c>
      <c r="K16" s="36">
        <f>'Reference Score Calculation'!U377</f>
        <v>25</v>
      </c>
      <c r="L16" s="84">
        <f>入學要求!Z386</f>
        <v>0</v>
      </c>
      <c r="M16" s="544"/>
      <c r="N16" s="174">
        <f>入學要求!L386</f>
        <v>3</v>
      </c>
      <c r="O16" s="174">
        <f>入學要求!M386</f>
        <v>3</v>
      </c>
      <c r="P16" s="174">
        <f>入學要求!N386</f>
        <v>2</v>
      </c>
      <c r="Q16" s="174">
        <f>入學要求!O386</f>
        <v>1</v>
      </c>
      <c r="R16" s="174">
        <f>入學要求!P386</f>
        <v>2</v>
      </c>
      <c r="S16" s="174">
        <f>入學要求!Q386</f>
        <v>2</v>
      </c>
      <c r="T16" s="236">
        <f>入學要求!S386</f>
        <v>0</v>
      </c>
      <c r="U16" s="236">
        <f>入學要求!T386</f>
        <v>0</v>
      </c>
      <c r="V16" s="236">
        <f>入學要求!U386</f>
        <v>0</v>
      </c>
      <c r="W16" s="236">
        <f>入學要求!V386</f>
        <v>0</v>
      </c>
      <c r="X16" s="236">
        <f>入學要求!W386</f>
        <v>0</v>
      </c>
      <c r="Y16" s="236">
        <f>入學要求!X386</f>
        <v>0</v>
      </c>
      <c r="Z16" s="15">
        <f t="shared" si="2"/>
        <v>12.25</v>
      </c>
      <c r="AA16" s="537"/>
      <c r="AB16" s="36" cm="1">
        <f t="array" ref="AB16">IFERROR(INDEX('Offer Statistics'!FC$2:FC$400,MATCH(1,($A16='Offer Statistics'!$EN$2:$EN$400)*($AA$2='Offer Statistics'!$EO$2:$EO$400),0)),"/")</f>
        <v>66</v>
      </c>
      <c r="AC16" s="63" cm="1">
        <f t="array" ref="AC16">IFERROR(INDEX('Offer Statistics'!EX$2:EX$400,MATCH(1,($A16='Offer Statistics'!$EN$2:$EN$400)*($AA$2='Offer Statistics'!$EO$2:$EO$400),0)),"/")</f>
        <v>20</v>
      </c>
      <c r="AD16" s="63" cm="1">
        <f t="array" ref="AD16">IFERROR(INDEX('Offer Statistics'!EY$2:EY$400,MATCH(1,($A16='Offer Statistics'!$EN$2:$EN$400)*($AA$2='Offer Statistics'!$EO$2:$EO$400),0)),"/")</f>
        <v>19</v>
      </c>
      <c r="AE16" s="63" cm="1">
        <f t="array" ref="AE16">IFERROR(INDEX('Offer Statistics'!EZ$2:EZ$400,MATCH(1,($A16='Offer Statistics'!$EN$2:$EN$400)*($AA$2='Offer Statistics'!$EO$2:$EO$400),0)),"/")</f>
        <v>11</v>
      </c>
      <c r="AF16" s="63" cm="1">
        <f t="array" ref="AF16">IFERROR(INDEX('Offer Statistics'!FA$2:FA$400,MATCH(1,($A16='Offer Statistics'!$EN$2:$EN$400)*($AA$2='Offer Statistics'!$EO$2:$EO$400),0)),"/")</f>
        <v>7</v>
      </c>
      <c r="AG16" s="63" cm="1">
        <f t="array" ref="AG16">IFERROR(INDEX('Offer Statistics'!FB$2:FB$400,MATCH(1,($A16='Offer Statistics'!$EN$2:$EN$400)*($AA$2='Offer Statistics'!$EO$2:$EO$400),0)),"/")</f>
        <v>9</v>
      </c>
      <c r="AH16" s="538"/>
      <c r="AI16" s="36" cm="1">
        <f t="array" ref="AI16">IFERROR(INDEX('Offer Statistics'!EU$2:EU$400,MATCH(1,($A16='Offer Statistics'!$EN$2:$EN$400)*($AA$2='Offer Statistics'!$EO$2:$EO$400),0)),"/")</f>
        <v>2126</v>
      </c>
      <c r="AJ16" s="63" cm="1">
        <f t="array" ref="AJ16">IFERROR(INDEX('Offer Statistics'!EP$2:EP$400,MATCH(1,($A16='Offer Statistics'!$EN$2:$EN$400)*($AA$2='Offer Statistics'!$EO$2:$EO$400),0)),"/")</f>
        <v>245</v>
      </c>
      <c r="AK16" s="63" cm="1">
        <f t="array" ref="AK16">IFERROR(INDEX('Offer Statistics'!EQ$2:EQ$400,MATCH(1,($A16='Offer Statistics'!$EN$2:$EN$400)*($AA$2='Offer Statistics'!$EO$2:$EO$400),0)),"/")</f>
        <v>423</v>
      </c>
      <c r="AL16" s="63" cm="1">
        <f t="array" ref="AL16">IFERROR(INDEX('Offer Statistics'!ER$2:ER$400,MATCH(1,($A16='Offer Statistics'!$EN$2:$EN$400)*($AA$2='Offer Statistics'!$EO$2:$EO$400),0)),"/")</f>
        <v>461</v>
      </c>
      <c r="AM16" s="63" cm="1">
        <f t="array" ref="AM16">IFERROR(INDEX('Offer Statistics'!ES$2:ES$400,MATCH(1,($A16='Offer Statistics'!$EN$2:$EN$400)*($AA$2='Offer Statistics'!$EO$2:$EO$400),0)),"/")</f>
        <v>513</v>
      </c>
      <c r="AN16" s="63" cm="1">
        <f t="array" ref="AN16">IFERROR(INDEX('Offer Statistics'!ET$2:ET$400,MATCH(1,($A16='Offer Statistics'!$EN$2:$EN$400)*($AA$2='Offer Statistics'!$EO$2:$EO$400),0)),"/")</f>
        <v>484</v>
      </c>
      <c r="AP16" s="16" t="str">
        <f t="shared" si="3"/>
        <v>JS9294</v>
      </c>
    </row>
    <row r="17" spans="1:42" ht="18" customHeight="1">
      <c r="A17" s="4" t="str">
        <f>'Reference Score Calculation'!B378</f>
        <v>JS9520</v>
      </c>
      <c r="B17" s="4" t="str">
        <f>'Reference Score Calculation'!D378</f>
        <v>教育及語文學院</v>
      </c>
      <c r="C17" s="4" t="str">
        <f>'Reference Score Calculation'!E378</f>
        <v>教育榮譽學士（普通話及中文教育）及語言研究榮譽學士（漢語語言學研究）</v>
      </c>
      <c r="D17" s="4" t="str">
        <f>'Reference Score Calculation'!S378</f>
        <v>BEd&amp;BLang(Hons)Putonghua</v>
      </c>
      <c r="E17" s="449" t="str">
        <f>'Reference Score Calculation'!F378</f>
        <v>Best 5</v>
      </c>
      <c r="F17" s="6">
        <f>'Reference Score Calculation'!I378</f>
        <v>20</v>
      </c>
      <c r="G17" s="6">
        <f>'Reference Score Calculation'!J378</f>
        <v>18</v>
      </c>
      <c r="H17" s="45">
        <f>計分版!J401</f>
        <v>3.2999999999999998E-9</v>
      </c>
      <c r="I17" s="176">
        <f>IFERROR(IF(I$1="差距(Median)",H17-F17,IF(I$1="差距(UQ)",H17-#REF!,IF(I$1="差距(LQ)",H17-G17))),"/")</f>
        <v>-19.999999996700002</v>
      </c>
      <c r="J17" s="177">
        <f>IFERROR(IF(I$1="差距(Median)",(H17-F17)/H17,IF(I$1="差距(UQ)",(H17-#REF!)/H17,IF(I$1="差距(LQ)",(H17-G17)/H17))),"/")</f>
        <v>-6060606059.6060619</v>
      </c>
      <c r="K17" s="36">
        <f>'Reference Score Calculation'!U378</f>
        <v>30</v>
      </c>
      <c r="L17" s="84">
        <f>入學要求!Z387</f>
        <v>0</v>
      </c>
      <c r="M17" s="544"/>
      <c r="N17" s="174">
        <f>入學要求!L387</f>
        <v>3</v>
      </c>
      <c r="O17" s="174">
        <f>入學要求!M387</f>
        <v>3</v>
      </c>
      <c r="P17" s="174">
        <f>入學要求!N387</f>
        <v>2</v>
      </c>
      <c r="Q17" s="174">
        <f>入學要求!O387</f>
        <v>1</v>
      </c>
      <c r="R17" s="174">
        <f>入學要求!P387</f>
        <v>2</v>
      </c>
      <c r="S17" s="174">
        <f>入學要求!Q387</f>
        <v>2</v>
      </c>
      <c r="T17" s="236">
        <f>入學要求!S387</f>
        <v>0</v>
      </c>
      <c r="U17" s="236">
        <f>入學要求!T387</f>
        <v>0</v>
      </c>
      <c r="V17" s="236">
        <f>入學要求!U387</f>
        <v>0</v>
      </c>
      <c r="W17" s="236">
        <f>入學要求!V387</f>
        <v>0</v>
      </c>
      <c r="X17" s="236">
        <f>入學要求!W387</f>
        <v>0</v>
      </c>
      <c r="Y17" s="236">
        <f>入學要求!X387</f>
        <v>0</v>
      </c>
      <c r="Z17" s="15">
        <f t="shared" si="2"/>
        <v>8.25</v>
      </c>
      <c r="AA17" s="537"/>
      <c r="AB17" s="36" cm="1">
        <f t="array" ref="AB17">IFERROR(INDEX('Offer Statistics'!FC$2:FC$400,MATCH(1,($A17='Offer Statistics'!$EN$2:$EN$400)*($AA$2='Offer Statistics'!$EO$2:$EO$400),0)),"/")</f>
        <v>25</v>
      </c>
      <c r="AC17" s="63" cm="1">
        <f t="array" ref="AC17">IFERROR(INDEX('Offer Statistics'!EX$2:EX$400,MATCH(1,($A17='Offer Statistics'!$EN$2:$EN$400)*($AA$2='Offer Statistics'!$EO$2:$EO$400),0)),"/")</f>
        <v>20</v>
      </c>
      <c r="AD17" s="63" cm="1">
        <f t="array" ref="AD17">IFERROR(INDEX('Offer Statistics'!EY$2:EY$400,MATCH(1,($A17='Offer Statistics'!$EN$2:$EN$400)*($AA$2='Offer Statistics'!$EO$2:$EO$400),0)),"/")</f>
        <v>4</v>
      </c>
      <c r="AE17" s="63" cm="1">
        <f t="array" ref="AE17">IFERROR(INDEX('Offer Statistics'!EZ$2:EZ$400,MATCH(1,($A17='Offer Statistics'!$EN$2:$EN$400)*($AA$2='Offer Statistics'!$EO$2:$EO$400),0)),"/")</f>
        <v>1</v>
      </c>
      <c r="AF17" s="63" cm="1">
        <f t="array" ref="AF17">IFERROR(INDEX('Offer Statistics'!FA$2:FA$400,MATCH(1,($A17='Offer Statistics'!$EN$2:$EN$400)*($AA$2='Offer Statistics'!$EO$2:$EO$400),0)),"/")</f>
        <v>0</v>
      </c>
      <c r="AG17" s="63" cm="1">
        <f t="array" ref="AG17">IFERROR(INDEX('Offer Statistics'!FB$2:FB$400,MATCH(1,($A17='Offer Statistics'!$EN$2:$EN$400)*($AA$2='Offer Statistics'!$EO$2:$EO$400),0)),"/")</f>
        <v>0</v>
      </c>
      <c r="AH17" s="538"/>
      <c r="AI17" s="36" cm="1">
        <f t="array" ref="AI17">IFERROR(INDEX('Offer Statistics'!EU$2:EU$400,MATCH(1,($A17='Offer Statistics'!$EN$2:$EN$400)*($AA$2='Offer Statistics'!$EO$2:$EO$400),0)),"/")</f>
        <v>1048</v>
      </c>
      <c r="AJ17" s="63" cm="1">
        <f t="array" ref="AJ17">IFERROR(INDEX('Offer Statistics'!EP$2:EP$400,MATCH(1,($A17='Offer Statistics'!$EN$2:$EN$400)*($AA$2='Offer Statistics'!$EO$2:$EO$400),0)),"/")</f>
        <v>165</v>
      </c>
      <c r="AK17" s="63" cm="1">
        <f t="array" ref="AK17">IFERROR(INDEX('Offer Statistics'!EQ$2:EQ$400,MATCH(1,($A17='Offer Statistics'!$EN$2:$EN$400)*($AA$2='Offer Statistics'!$EO$2:$EO$400),0)),"/")</f>
        <v>204</v>
      </c>
      <c r="AL17" s="63" cm="1">
        <f t="array" ref="AL17">IFERROR(INDEX('Offer Statistics'!ER$2:ER$400,MATCH(1,($A17='Offer Statistics'!$EN$2:$EN$400)*($AA$2='Offer Statistics'!$EO$2:$EO$400),0)),"/")</f>
        <v>186</v>
      </c>
      <c r="AM17" s="63" cm="1">
        <f t="array" ref="AM17">IFERROR(INDEX('Offer Statistics'!ES$2:ES$400,MATCH(1,($A17='Offer Statistics'!$EN$2:$EN$400)*($AA$2='Offer Statistics'!$EO$2:$EO$400),0)),"/")</f>
        <v>226</v>
      </c>
      <c r="AN17" s="63" cm="1">
        <f t="array" ref="AN17">IFERROR(INDEX('Offer Statistics'!ET$2:ET$400,MATCH(1,($A17='Offer Statistics'!$EN$2:$EN$400)*($AA$2='Offer Statistics'!$EO$2:$EO$400),0)),"/")</f>
        <v>267</v>
      </c>
      <c r="AP17" s="16" t="str">
        <f t="shared" si="3"/>
        <v>JS9520</v>
      </c>
    </row>
    <row r="18" spans="1:42" ht="18" customHeight="1">
      <c r="A18" s="4" t="str">
        <f>'Reference Score Calculation'!B379</f>
        <v>JS9530</v>
      </c>
      <c r="B18" s="4" t="str">
        <f>'Reference Score Calculation'!D379</f>
        <v>教育及語文學院</v>
      </c>
      <c r="C18" s="4" t="str">
        <f>'Reference Score Calculation'!E379</f>
        <v>英語教學榮譽教育學士及英語研究榮譽學士</v>
      </c>
      <c r="D18" s="4" t="str">
        <f>'Reference Score Calculation'!S379</f>
        <v>BEd(Hons)&amp;BEngLang(Hons)</v>
      </c>
      <c r="E18" s="449" t="str">
        <f>'Reference Score Calculation'!F379</f>
        <v>Best 5</v>
      </c>
      <c r="F18" s="6">
        <f>'Reference Score Calculation'!I379</f>
        <v>20</v>
      </c>
      <c r="G18" s="6">
        <f>'Reference Score Calculation'!J379</f>
        <v>19</v>
      </c>
      <c r="H18" s="45">
        <f>計分版!J402</f>
        <v>3.3999999999999998E-9</v>
      </c>
      <c r="I18" s="176">
        <f>IFERROR(IF(I$1="差距(Median)",H18-F18,IF(I$1="差距(UQ)",H18-#REF!,IF(I$1="差距(LQ)",H18-G18))),"/")</f>
        <v>-19.9999999966</v>
      </c>
      <c r="J18" s="177">
        <f>IFERROR(IF(I$1="差距(Median)",(H18-F18)/H18,IF(I$1="差距(UQ)",(H18-#REF!)/H18,IF(I$1="差距(LQ)",(H18-G18)/H18))),"/")</f>
        <v>-5882352940.1764708</v>
      </c>
      <c r="K18" s="36">
        <f>'Reference Score Calculation'!U379</f>
        <v>30</v>
      </c>
      <c r="L18" s="84">
        <f>入學要求!Z388</f>
        <v>0</v>
      </c>
      <c r="M18" s="544"/>
      <c r="N18" s="174">
        <f>入學要求!L388</f>
        <v>3</v>
      </c>
      <c r="O18" s="174">
        <f>入學要求!M388</f>
        <v>3</v>
      </c>
      <c r="P18" s="174">
        <f>入學要求!N388</f>
        <v>2</v>
      </c>
      <c r="Q18" s="174">
        <f>入學要求!O388</f>
        <v>1</v>
      </c>
      <c r="R18" s="174">
        <f>入學要求!P388</f>
        <v>2</v>
      </c>
      <c r="S18" s="174">
        <f>入學要求!Q388</f>
        <v>2</v>
      </c>
      <c r="T18" s="236">
        <f>入學要求!S388</f>
        <v>0</v>
      </c>
      <c r="U18" s="236">
        <f>入學要求!T388</f>
        <v>0</v>
      </c>
      <c r="V18" s="236">
        <f>入學要求!U388</f>
        <v>0</v>
      </c>
      <c r="W18" s="236">
        <f>入學要求!V388</f>
        <v>0</v>
      </c>
      <c r="X18" s="236">
        <f>入學要求!W388</f>
        <v>0</v>
      </c>
      <c r="Y18" s="236">
        <f>入學要求!X388</f>
        <v>0</v>
      </c>
      <c r="Z18" s="15">
        <f t="shared" si="2"/>
        <v>4.58</v>
      </c>
      <c r="AA18" s="537"/>
      <c r="AB18" s="36" cm="1">
        <f t="array" ref="AB18">IFERROR(INDEX('Offer Statistics'!FC$2:FC$400,MATCH(1,($A18='Offer Statistics'!$EN$2:$EN$400)*($AA$2='Offer Statistics'!$EO$2:$EO$400),0)),"/")</f>
        <v>36</v>
      </c>
      <c r="AC18" s="63" cm="1">
        <f t="array" ref="AC18">IFERROR(INDEX('Offer Statistics'!EX$2:EX$400,MATCH(1,($A18='Offer Statistics'!$EN$2:$EN$400)*($AA$2='Offer Statistics'!$EO$2:$EO$400),0)),"/")</f>
        <v>31</v>
      </c>
      <c r="AD18" s="63" cm="1">
        <f t="array" ref="AD18">IFERROR(INDEX('Offer Statistics'!EY$2:EY$400,MATCH(1,($A18='Offer Statistics'!$EN$2:$EN$400)*($AA$2='Offer Statistics'!$EO$2:$EO$400),0)),"/")</f>
        <v>5</v>
      </c>
      <c r="AE18" s="63" cm="1">
        <f t="array" ref="AE18">IFERROR(INDEX('Offer Statistics'!EZ$2:EZ$400,MATCH(1,($A18='Offer Statistics'!$EN$2:$EN$400)*($AA$2='Offer Statistics'!$EO$2:$EO$400),0)),"/")</f>
        <v>0</v>
      </c>
      <c r="AF18" s="63" cm="1">
        <f t="array" ref="AF18">IFERROR(INDEX('Offer Statistics'!FA$2:FA$400,MATCH(1,($A18='Offer Statistics'!$EN$2:$EN$400)*($AA$2='Offer Statistics'!$EO$2:$EO$400),0)),"/")</f>
        <v>0</v>
      </c>
      <c r="AG18" s="63" cm="1">
        <f t="array" ref="AG18">IFERROR(INDEX('Offer Statistics'!FB$2:FB$400,MATCH(1,($A18='Offer Statistics'!$EN$2:$EN$400)*($AA$2='Offer Statistics'!$EO$2:$EO$400),0)),"/")</f>
        <v>0</v>
      </c>
      <c r="AH18" s="538"/>
      <c r="AI18" s="36" cm="1">
        <f t="array" ref="AI18">IFERROR(INDEX('Offer Statistics'!EU$2:EU$400,MATCH(1,($A18='Offer Statistics'!$EN$2:$EN$400)*($AA$2='Offer Statistics'!$EO$2:$EO$400),0)),"/")</f>
        <v>789</v>
      </c>
      <c r="AJ18" s="63" cm="1">
        <f t="array" ref="AJ18">IFERROR(INDEX('Offer Statistics'!EP$2:EP$400,MATCH(1,($A18='Offer Statistics'!$EN$2:$EN$400)*($AA$2='Offer Statistics'!$EO$2:$EO$400),0)),"/")</f>
        <v>142</v>
      </c>
      <c r="AK18" s="63" cm="1">
        <f t="array" ref="AK18">IFERROR(INDEX('Offer Statistics'!EQ$2:EQ$400,MATCH(1,($A18='Offer Statistics'!$EN$2:$EN$400)*($AA$2='Offer Statistics'!$EO$2:$EO$400),0)),"/")</f>
        <v>132</v>
      </c>
      <c r="AL18" s="63" cm="1">
        <f t="array" ref="AL18">IFERROR(INDEX('Offer Statistics'!ER$2:ER$400,MATCH(1,($A18='Offer Statistics'!$EN$2:$EN$400)*($AA$2='Offer Statistics'!$EO$2:$EO$400),0)),"/")</f>
        <v>149</v>
      </c>
      <c r="AM18" s="63" cm="1">
        <f t="array" ref="AM18">IFERROR(INDEX('Offer Statistics'!ES$2:ES$400,MATCH(1,($A18='Offer Statistics'!$EN$2:$EN$400)*($AA$2='Offer Statistics'!$EO$2:$EO$400),0)),"/")</f>
        <v>183</v>
      </c>
      <c r="AN18" s="63" cm="1">
        <f t="array" ref="AN18">IFERROR(INDEX('Offer Statistics'!ET$2:ET$400,MATCH(1,($A18='Offer Statistics'!$EN$2:$EN$400)*($AA$2='Offer Statistics'!$EO$2:$EO$400),0)),"/")</f>
        <v>183</v>
      </c>
      <c r="AP18" s="16" t="str">
        <f t="shared" si="3"/>
        <v>JS9530</v>
      </c>
    </row>
    <row r="19" spans="1:42" ht="18" customHeight="1">
      <c r="A19" s="4" t="str">
        <f>'Reference Score Calculation'!B380</f>
        <v>JS9540</v>
      </c>
      <c r="B19" s="4" t="str">
        <f>'Reference Score Calculation'!D380</f>
        <v>教育及語文學院</v>
      </c>
      <c r="C19" s="4" t="str">
        <f>'Reference Score Calculation'!E380</f>
        <v>英語研究榮譽學士</v>
      </c>
      <c r="D19" s="4" t="str">
        <f>'Reference Score Calculation'!S380</f>
        <v>BEng Lang (Hons)</v>
      </c>
      <c r="E19" s="449" t="str">
        <f>'Reference Score Calculation'!F380</f>
        <v>Best 5</v>
      </c>
      <c r="F19" s="6">
        <f>'Reference Score Calculation'!I380</f>
        <v>19</v>
      </c>
      <c r="G19" s="6">
        <f>'Reference Score Calculation'!J380</f>
        <v>17</v>
      </c>
      <c r="H19" s="45">
        <f>計分版!J403</f>
        <v>3.3999999999999998E-9</v>
      </c>
      <c r="I19" s="176">
        <f>IFERROR(IF(I$1="差距(Median)",H19-F19,IF(I$1="差距(UQ)",H19-#REF!,IF(I$1="差距(LQ)",H19-G19))),"/")</f>
        <v>-18.9999999966</v>
      </c>
      <c r="J19" s="177">
        <f>IFERROR(IF(I$1="差距(Median)",(H19-F19)/H19,IF(I$1="差距(UQ)",(H19-#REF!)/H19,IF(I$1="差距(LQ)",(H19-G19)/H19))),"/")</f>
        <v>-5588235293.1176472</v>
      </c>
      <c r="K19" s="36">
        <f>'Reference Score Calculation'!U380</f>
        <v>20</v>
      </c>
      <c r="L19" s="84">
        <f>入學要求!Z389</f>
        <v>0</v>
      </c>
      <c r="M19" s="544"/>
      <c r="N19" s="174">
        <f>入學要求!L389</f>
        <v>3</v>
      </c>
      <c r="O19" s="174">
        <f>入學要求!M389</f>
        <v>3</v>
      </c>
      <c r="P19" s="174">
        <f>入學要求!N389</f>
        <v>2</v>
      </c>
      <c r="Q19" s="174">
        <f>入學要求!O389</f>
        <v>1</v>
      </c>
      <c r="R19" s="174">
        <f>入學要求!P389</f>
        <v>2</v>
      </c>
      <c r="S19" s="174">
        <f>入學要求!Q389</f>
        <v>2</v>
      </c>
      <c r="T19" s="236">
        <f>入學要求!S389</f>
        <v>0</v>
      </c>
      <c r="U19" s="236">
        <f>入學要求!T389</f>
        <v>0</v>
      </c>
      <c r="V19" s="236">
        <f>入學要求!U389</f>
        <v>0</v>
      </c>
      <c r="W19" s="236">
        <f>入學要求!V389</f>
        <v>0</v>
      </c>
      <c r="X19" s="236">
        <f>入學要求!W389</f>
        <v>0</v>
      </c>
      <c r="Y19" s="236">
        <f>入學要求!X389</f>
        <v>0</v>
      </c>
      <c r="Z19" s="15">
        <f t="shared" si="2"/>
        <v>4.7300000000000004</v>
      </c>
      <c r="AA19" s="537"/>
      <c r="AB19" s="36" cm="1">
        <f t="array" ref="AB19">IFERROR(INDEX('Offer Statistics'!FC$2:FC$400,MATCH(1,($A19='Offer Statistics'!$EN$2:$EN$400)*($AA$2='Offer Statistics'!$EO$2:$EO$400),0)),"/")</f>
        <v>33</v>
      </c>
      <c r="AC19" s="63" cm="1">
        <f t="array" ref="AC19">IFERROR(INDEX('Offer Statistics'!EX$2:EX$400,MATCH(1,($A19='Offer Statistics'!$EN$2:$EN$400)*($AA$2='Offer Statistics'!$EO$2:$EO$400),0)),"/")</f>
        <v>11</v>
      </c>
      <c r="AD19" s="63" cm="1">
        <f t="array" ref="AD19">IFERROR(INDEX('Offer Statistics'!EY$2:EY$400,MATCH(1,($A19='Offer Statistics'!$EN$2:$EN$400)*($AA$2='Offer Statistics'!$EO$2:$EO$400),0)),"/")</f>
        <v>8</v>
      </c>
      <c r="AE19" s="63" cm="1">
        <f t="array" ref="AE19">IFERROR(INDEX('Offer Statistics'!EZ$2:EZ$400,MATCH(1,($A19='Offer Statistics'!$EN$2:$EN$400)*($AA$2='Offer Statistics'!$EO$2:$EO$400),0)),"/")</f>
        <v>8</v>
      </c>
      <c r="AF19" s="63" cm="1">
        <f t="array" ref="AF19">IFERROR(INDEX('Offer Statistics'!FA$2:FA$400,MATCH(1,($A19='Offer Statistics'!$EN$2:$EN$400)*($AA$2='Offer Statistics'!$EO$2:$EO$400),0)),"/")</f>
        <v>4</v>
      </c>
      <c r="AG19" s="63" cm="1">
        <f t="array" ref="AG19">IFERROR(INDEX('Offer Statistics'!FB$2:FB$400,MATCH(1,($A19='Offer Statistics'!$EN$2:$EN$400)*($AA$2='Offer Statistics'!$EO$2:$EO$400),0)),"/")</f>
        <v>2</v>
      </c>
      <c r="AH19" s="538"/>
      <c r="AI19" s="36" cm="1">
        <f t="array" ref="AI19">IFERROR(INDEX('Offer Statistics'!EU$2:EU$400,MATCH(1,($A19='Offer Statistics'!$EN$2:$EN$400)*($AA$2='Offer Statistics'!$EO$2:$EO$400),0)),"/")</f>
        <v>613</v>
      </c>
      <c r="AJ19" s="63" cm="1">
        <f t="array" ref="AJ19">IFERROR(INDEX('Offer Statistics'!EP$2:EP$400,MATCH(1,($A19='Offer Statistics'!$EN$2:$EN$400)*($AA$2='Offer Statistics'!$EO$2:$EO$400),0)),"/")</f>
        <v>52</v>
      </c>
      <c r="AK19" s="63" cm="1">
        <f t="array" ref="AK19">IFERROR(INDEX('Offer Statistics'!EQ$2:EQ$400,MATCH(1,($A19='Offer Statistics'!$EN$2:$EN$400)*($AA$2='Offer Statistics'!$EO$2:$EO$400),0)),"/")</f>
        <v>119</v>
      </c>
      <c r="AL19" s="63" cm="1">
        <f t="array" ref="AL19">IFERROR(INDEX('Offer Statistics'!ER$2:ER$400,MATCH(1,($A19='Offer Statistics'!$EN$2:$EN$400)*($AA$2='Offer Statistics'!$EO$2:$EO$400),0)),"/")</f>
        <v>113</v>
      </c>
      <c r="AM19" s="63" cm="1">
        <f t="array" ref="AM19">IFERROR(INDEX('Offer Statistics'!ES$2:ES$400,MATCH(1,($A19='Offer Statistics'!$EN$2:$EN$400)*($AA$2='Offer Statistics'!$EO$2:$EO$400),0)),"/")</f>
        <v>153</v>
      </c>
      <c r="AN19" s="63" cm="1">
        <f t="array" ref="AN19">IFERROR(INDEX('Offer Statistics'!ET$2:ET$400,MATCH(1,($A19='Offer Statistics'!$EN$2:$EN$400)*($AA$2='Offer Statistics'!$EO$2:$EO$400),0)),"/")</f>
        <v>176</v>
      </c>
      <c r="AP19" s="16" t="str">
        <f t="shared" si="3"/>
        <v>JS9540</v>
      </c>
    </row>
    <row r="20" spans="1:42" ht="18" customHeight="1">
      <c r="A20" s="4" t="str">
        <f>'Reference Score Calculation'!B381</f>
        <v>JS9550</v>
      </c>
      <c r="B20" s="4" t="str">
        <f>'Reference Score Calculation'!D381</f>
        <v>教育及語文學院</v>
      </c>
      <c r="C20" s="4" t="str">
        <f>'Reference Score Calculation'!E381</f>
        <v>語言研究榮譽學士（應用中國語言）</v>
      </c>
      <c r="D20" s="4" t="str">
        <f>'Reference Score Calculation'!S381</f>
        <v>BLang(Hons)Applied Chin</v>
      </c>
      <c r="E20" s="449" t="str">
        <f>'Reference Score Calculation'!F381</f>
        <v>Best 5</v>
      </c>
      <c r="F20" s="6">
        <f>'Reference Score Calculation'!I381</f>
        <v>19</v>
      </c>
      <c r="G20" s="6">
        <f>'Reference Score Calculation'!J381</f>
        <v>19</v>
      </c>
      <c r="H20" s="45">
        <f>計分版!J404</f>
        <v>3.2999999999999998E-9</v>
      </c>
      <c r="I20" s="176">
        <f>IFERROR(IF(I$1="差距(Median)",H20-F20,IF(I$1="差距(UQ)",H20-#REF!,IF(I$1="差距(LQ)",H20-G20))),"/")</f>
        <v>-18.999999996700002</v>
      </c>
      <c r="J20" s="177">
        <f>IFERROR(IF(I$1="差距(Median)",(H20-F20)/H20,IF(I$1="差距(UQ)",(H20-#REF!)/H20,IF(I$1="差距(LQ)",(H20-G20)/H20))),"/")</f>
        <v>-5757575756.575758</v>
      </c>
      <c r="K20" s="36">
        <f>'Reference Score Calculation'!U381</f>
        <v>20</v>
      </c>
      <c r="L20" s="84">
        <f>入學要求!Z390</f>
        <v>0</v>
      </c>
      <c r="M20" s="544"/>
      <c r="N20" s="174">
        <f>入學要求!L390</f>
        <v>3</v>
      </c>
      <c r="O20" s="174">
        <f>入學要求!M390</f>
        <v>3</v>
      </c>
      <c r="P20" s="174">
        <f>入學要求!N390</f>
        <v>2</v>
      </c>
      <c r="Q20" s="174">
        <f>入學要求!O390</f>
        <v>1</v>
      </c>
      <c r="R20" s="174">
        <f>入學要求!P390</f>
        <v>2</v>
      </c>
      <c r="S20" s="174">
        <f>入學要求!Q390</f>
        <v>2</v>
      </c>
      <c r="T20" s="236">
        <f>入學要求!S390</f>
        <v>0</v>
      </c>
      <c r="U20" s="236">
        <f>入學要求!T390</f>
        <v>0</v>
      </c>
      <c r="V20" s="236">
        <f>入學要求!U390</f>
        <v>0</v>
      </c>
      <c r="W20" s="236">
        <f>入學要求!V390</f>
        <v>0</v>
      </c>
      <c r="X20" s="236">
        <f>入學要求!W390</f>
        <v>0</v>
      </c>
      <c r="Y20" s="236">
        <f>入學要求!X390</f>
        <v>0</v>
      </c>
      <c r="Z20" s="15">
        <f t="shared" si="2"/>
        <v>12</v>
      </c>
      <c r="AA20" s="537"/>
      <c r="AB20" s="36" cm="1">
        <f t="array" ref="AB20">IFERROR(INDEX('Offer Statistics'!FC$2:FC$400,MATCH(1,($A20='Offer Statistics'!$EN$2:$EN$400)*($AA$2='Offer Statistics'!$EO$2:$EO$400),0)),"/")</f>
        <v>21</v>
      </c>
      <c r="AC20" s="63" cm="1">
        <f t="array" ref="AC20">IFERROR(INDEX('Offer Statistics'!EX$2:EX$400,MATCH(1,($A20='Offer Statistics'!$EN$2:$EN$400)*($AA$2='Offer Statistics'!$EO$2:$EO$400),0)),"/")</f>
        <v>3</v>
      </c>
      <c r="AD20" s="63" cm="1">
        <f t="array" ref="AD20">IFERROR(INDEX('Offer Statistics'!EY$2:EY$400,MATCH(1,($A20='Offer Statistics'!$EN$2:$EN$400)*($AA$2='Offer Statistics'!$EO$2:$EO$400),0)),"/")</f>
        <v>8</v>
      </c>
      <c r="AE20" s="63" cm="1">
        <f t="array" ref="AE20">IFERROR(INDEX('Offer Statistics'!EZ$2:EZ$400,MATCH(1,($A20='Offer Statistics'!$EN$2:$EN$400)*($AA$2='Offer Statistics'!$EO$2:$EO$400),0)),"/")</f>
        <v>1</v>
      </c>
      <c r="AF20" s="63" cm="1">
        <f t="array" ref="AF20">IFERROR(INDEX('Offer Statistics'!FA$2:FA$400,MATCH(1,($A20='Offer Statistics'!$EN$2:$EN$400)*($AA$2='Offer Statistics'!$EO$2:$EO$400),0)),"/")</f>
        <v>4</v>
      </c>
      <c r="AG20" s="63" cm="1">
        <f t="array" ref="AG20">IFERROR(INDEX('Offer Statistics'!FB$2:FB$400,MATCH(1,($A20='Offer Statistics'!$EN$2:$EN$400)*($AA$2='Offer Statistics'!$EO$2:$EO$400),0)),"/")</f>
        <v>5</v>
      </c>
      <c r="AH20" s="538"/>
      <c r="AI20" s="36" cm="1">
        <f t="array" ref="AI20">IFERROR(INDEX('Offer Statistics'!EU$2:EU$400,MATCH(1,($A20='Offer Statistics'!$EN$2:$EN$400)*($AA$2='Offer Statistics'!$EO$2:$EO$400),0)),"/")</f>
        <v>626</v>
      </c>
      <c r="AJ20" s="63" cm="1">
        <f t="array" ref="AJ20">IFERROR(INDEX('Offer Statistics'!EP$2:EP$400,MATCH(1,($A20='Offer Statistics'!$EN$2:$EN$400)*($AA$2='Offer Statistics'!$EO$2:$EO$400),0)),"/")</f>
        <v>36</v>
      </c>
      <c r="AK20" s="63" cm="1">
        <f t="array" ref="AK20">IFERROR(INDEX('Offer Statistics'!EQ$2:EQ$400,MATCH(1,($A20='Offer Statistics'!$EN$2:$EN$400)*($AA$2='Offer Statistics'!$EO$2:$EO$400),0)),"/")</f>
        <v>111</v>
      </c>
      <c r="AL20" s="63" cm="1">
        <f t="array" ref="AL20">IFERROR(INDEX('Offer Statistics'!ER$2:ER$400,MATCH(1,($A20='Offer Statistics'!$EN$2:$EN$400)*($AA$2='Offer Statistics'!$EO$2:$EO$400),0)),"/")</f>
        <v>121</v>
      </c>
      <c r="AM20" s="63" cm="1">
        <f t="array" ref="AM20">IFERROR(INDEX('Offer Statistics'!ES$2:ES$400,MATCH(1,($A20='Offer Statistics'!$EN$2:$EN$400)*($AA$2='Offer Statistics'!$EO$2:$EO$400),0)),"/")</f>
        <v>170</v>
      </c>
      <c r="AN20" s="63" cm="1">
        <f t="array" ref="AN20">IFERROR(INDEX('Offer Statistics'!ET$2:ET$400,MATCH(1,($A20='Offer Statistics'!$EN$2:$EN$400)*($AA$2='Offer Statistics'!$EO$2:$EO$400),0)),"/")</f>
        <v>188</v>
      </c>
      <c r="AP20" s="16" t="str">
        <f t="shared" si="3"/>
        <v>JS9550</v>
      </c>
    </row>
    <row r="21" spans="1:42" ht="18" customHeight="1">
      <c r="A21" s="4" t="str">
        <f>'Reference Score Calculation'!B382</f>
        <v>JS9555</v>
      </c>
      <c r="B21" s="4" t="str">
        <f>'Reference Score Calculation'!D382</f>
        <v>教育及語文學院</v>
      </c>
      <c r="C21" s="4" t="str">
        <f>'Reference Score Calculation'!E382</f>
        <v>雙語研究及應用戲劇語言研究榮譽學士</v>
      </c>
      <c r="D21" s="4" t="str">
        <f>'Reference Score Calculation'!S382</f>
        <v>BLang(Hons)Biligua&amp;Drama</v>
      </c>
      <c r="E21" s="449" t="str">
        <f>'Reference Score Calculation'!F382</f>
        <v>25年新科目</v>
      </c>
      <c r="F21" s="6" t="str">
        <f>'Reference Score Calculation'!I382</f>
        <v>/</v>
      </c>
      <c r="G21" s="6" t="str">
        <f>'Reference Score Calculation'!J382</f>
        <v>/</v>
      </c>
      <c r="H21" s="45">
        <f>計分版!J405</f>
        <v>3.2999999999999998E-9</v>
      </c>
      <c r="I21" s="237" t="str">
        <f>IFERROR(IF(I$1="差距(Median)",H21-F21,IF(I$1="差距(UQ)",H21-#REF!,IF(I$1="差距(LQ)",H21-G21))),"/")</f>
        <v>/</v>
      </c>
      <c r="J21" s="252" t="str">
        <f>IFERROR(IF(I$1="差距(Median)",(H21-F21)/H21,IF(I$1="差距(UQ)",(H21-#REF!)/H21,IF(I$1="差距(LQ)",(H21-G21)/H21))),"/")</f>
        <v>/</v>
      </c>
      <c r="K21" s="36">
        <f>'Reference Score Calculation'!U382</f>
        <v>20</v>
      </c>
      <c r="L21" s="84">
        <f>入學要求!Z391</f>
        <v>0</v>
      </c>
      <c r="M21" s="544"/>
      <c r="N21" s="174">
        <f>入學要求!L391</f>
        <v>3</v>
      </c>
      <c r="O21" s="174">
        <f>入學要求!M391</f>
        <v>3</v>
      </c>
      <c r="P21" s="174">
        <f>入學要求!N391</f>
        <v>2</v>
      </c>
      <c r="Q21" s="174">
        <f>入學要求!O391</f>
        <v>1</v>
      </c>
      <c r="R21" s="174">
        <f>入學要求!P391</f>
        <v>2</v>
      </c>
      <c r="S21" s="174">
        <f>入學要求!Q391</f>
        <v>2</v>
      </c>
      <c r="T21" s="236">
        <f>入學要求!S391</f>
        <v>0</v>
      </c>
      <c r="U21" s="236">
        <f>入學要求!T391</f>
        <v>0</v>
      </c>
      <c r="V21" s="236">
        <f>入學要求!U391</f>
        <v>0</v>
      </c>
      <c r="W21" s="236">
        <f>入學要求!V391</f>
        <v>0</v>
      </c>
      <c r="X21" s="236">
        <f>入學要求!W391</f>
        <v>0</v>
      </c>
      <c r="Y21" s="236">
        <f>入學要求!X391</f>
        <v>0</v>
      </c>
      <c r="Z21" s="15" t="str">
        <f t="shared" si="2"/>
        <v>/</v>
      </c>
      <c r="AA21" s="537"/>
      <c r="AB21" s="36" t="str" cm="1">
        <f t="array" ref="AB21">IFERROR(INDEX('Offer Statistics'!FC$2:FC$400,MATCH(1,($A21='Offer Statistics'!$EN$2:$EN$400)*($AA$2='Offer Statistics'!$EO$2:$EO$400),0)),"/")</f>
        <v>/</v>
      </c>
      <c r="AC21" s="63" t="str" cm="1">
        <f t="array" ref="AC21">IFERROR(INDEX('Offer Statistics'!EX$2:EX$400,MATCH(1,($A21='Offer Statistics'!$EN$2:$EN$400)*($AA$2='Offer Statistics'!$EO$2:$EO$400),0)),"/")</f>
        <v>/</v>
      </c>
      <c r="AD21" s="63" t="str" cm="1">
        <f t="array" ref="AD21">IFERROR(INDEX('Offer Statistics'!EY$2:EY$400,MATCH(1,($A21='Offer Statistics'!$EN$2:$EN$400)*($AA$2='Offer Statistics'!$EO$2:$EO$400),0)),"/")</f>
        <v>/</v>
      </c>
      <c r="AE21" s="63" t="str" cm="1">
        <f t="array" ref="AE21">IFERROR(INDEX('Offer Statistics'!EZ$2:EZ$400,MATCH(1,($A21='Offer Statistics'!$EN$2:$EN$400)*($AA$2='Offer Statistics'!$EO$2:$EO$400),0)),"/")</f>
        <v>/</v>
      </c>
      <c r="AF21" s="63" t="str" cm="1">
        <f t="array" ref="AF21">IFERROR(INDEX('Offer Statistics'!FA$2:FA$400,MATCH(1,($A21='Offer Statistics'!$EN$2:$EN$400)*($AA$2='Offer Statistics'!$EO$2:$EO$400),0)),"/")</f>
        <v>/</v>
      </c>
      <c r="AG21" s="63" t="str" cm="1">
        <f t="array" ref="AG21">IFERROR(INDEX('Offer Statistics'!FB$2:FB$400,MATCH(1,($A21='Offer Statistics'!$EN$2:$EN$400)*($AA$2='Offer Statistics'!$EO$2:$EO$400),0)),"/")</f>
        <v>/</v>
      </c>
      <c r="AH21" s="538"/>
      <c r="AI21" s="36" t="str" cm="1">
        <f t="array" ref="AI21">IFERROR(INDEX('Offer Statistics'!EU$2:EU$400,MATCH(1,($A21='Offer Statistics'!$EN$2:$EN$400)*($AA$2='Offer Statistics'!$EO$2:$EO$400),0)),"/")</f>
        <v>/</v>
      </c>
      <c r="AJ21" s="63" t="str" cm="1">
        <f t="array" ref="AJ21">IFERROR(INDEX('Offer Statistics'!EP$2:EP$400,MATCH(1,($A21='Offer Statistics'!$EN$2:$EN$400)*($AA$2='Offer Statistics'!$EO$2:$EO$400),0)),"/")</f>
        <v>/</v>
      </c>
      <c r="AK21" s="63" t="str" cm="1">
        <f t="array" ref="AK21">IFERROR(INDEX('Offer Statistics'!EQ$2:EQ$400,MATCH(1,($A21='Offer Statistics'!$EN$2:$EN$400)*($AA$2='Offer Statistics'!$EO$2:$EO$400),0)),"/")</f>
        <v>/</v>
      </c>
      <c r="AL21" s="63" t="str" cm="1">
        <f t="array" ref="AL21">IFERROR(INDEX('Offer Statistics'!ER$2:ER$400,MATCH(1,($A21='Offer Statistics'!$EN$2:$EN$400)*($AA$2='Offer Statistics'!$EO$2:$EO$400),0)),"/")</f>
        <v>/</v>
      </c>
      <c r="AM21" s="63" t="str" cm="1">
        <f t="array" ref="AM21">IFERROR(INDEX('Offer Statistics'!ES$2:ES$400,MATCH(1,($A21='Offer Statistics'!$EN$2:$EN$400)*($AA$2='Offer Statistics'!$EO$2:$EO$400),0)),"/")</f>
        <v>/</v>
      </c>
      <c r="AN21" s="63" t="str" cm="1">
        <f t="array" ref="AN21">IFERROR(INDEX('Offer Statistics'!ET$2:ET$400,MATCH(1,($A21='Offer Statistics'!$EN$2:$EN$400)*($AA$2='Offer Statistics'!$EO$2:$EO$400),0)),"/")</f>
        <v>/</v>
      </c>
      <c r="AP21" s="16" t="str">
        <f t="shared" si="3"/>
        <v>JS9555</v>
      </c>
    </row>
    <row r="22" spans="1:42" ht="18" customHeight="1">
      <c r="A22" s="4" t="str">
        <f>'Reference Score Calculation'!B383</f>
        <v>JS9560</v>
      </c>
      <c r="B22" s="4" t="str">
        <f>'Reference Score Calculation'!D383</f>
        <v>教育及語文學院</v>
      </c>
      <c r="C22" s="4" t="str">
        <f>'Reference Score Calculation'!E383</f>
        <v>教育榮譽學士（中國語文教學）及語言研究榮譽學士（應用中國語言）</v>
      </c>
      <c r="D22" s="4" t="str">
        <f>'Reference Score Calculation'!S383</f>
        <v>BEd(Hons)&amp;BLang(Hons)Chi</v>
      </c>
      <c r="E22" s="449" t="str">
        <f>'Reference Score Calculation'!F383</f>
        <v>Best 5</v>
      </c>
      <c r="F22" s="6">
        <f>'Reference Score Calculation'!I383</f>
        <v>22</v>
      </c>
      <c r="G22" s="6">
        <f>'Reference Score Calculation'!J383</f>
        <v>21</v>
      </c>
      <c r="H22" s="45">
        <f>計分版!J406</f>
        <v>3.2999999999999998E-9</v>
      </c>
      <c r="I22" s="176">
        <f>IFERROR(IF(I$1="差距(Median)",H22-F22,IF(I$1="差距(UQ)",H22-#REF!,IF(I$1="差距(LQ)",H22-G22))),"/")</f>
        <v>-21.999999996700002</v>
      </c>
      <c r="J22" s="177">
        <f>IFERROR(IF(I$1="差距(Median)",(H22-F22)/H22,IF(I$1="差距(UQ)",(H22-#REF!)/H22,IF(I$1="差距(LQ)",(H22-G22)/H22))),"/")</f>
        <v>-6666666665.6666679</v>
      </c>
      <c r="K22" s="36">
        <f>'Reference Score Calculation'!U383</f>
        <v>30</v>
      </c>
      <c r="L22" s="84">
        <f>入學要求!Z392</f>
        <v>0</v>
      </c>
      <c r="M22" s="544"/>
      <c r="N22" s="174">
        <f>入學要求!L392</f>
        <v>3</v>
      </c>
      <c r="O22" s="174">
        <f>入學要求!M392</f>
        <v>3</v>
      </c>
      <c r="P22" s="174">
        <f>入學要求!N392</f>
        <v>2</v>
      </c>
      <c r="Q22" s="174">
        <f>入學要求!O392</f>
        <v>1</v>
      </c>
      <c r="R22" s="174">
        <f>入學要求!P392</f>
        <v>2</v>
      </c>
      <c r="S22" s="174">
        <f>入學要求!Q392</f>
        <v>2</v>
      </c>
      <c r="T22" s="236">
        <f>入學要求!S392</f>
        <v>0</v>
      </c>
      <c r="U22" s="236">
        <f>入學要求!T392</f>
        <v>0</v>
      </c>
      <c r="V22" s="236">
        <f>入學要求!U392</f>
        <v>0</v>
      </c>
      <c r="W22" s="236">
        <f>入學要求!V392</f>
        <v>0</v>
      </c>
      <c r="X22" s="236">
        <f>入學要求!W392</f>
        <v>0</v>
      </c>
      <c r="Y22" s="236">
        <f>入學要求!X392</f>
        <v>0</v>
      </c>
      <c r="Z22" s="15">
        <f t="shared" si="2"/>
        <v>6.35</v>
      </c>
      <c r="AA22" s="537"/>
      <c r="AB22" s="36" cm="1">
        <f t="array" ref="AB22">IFERROR(INDEX('Offer Statistics'!FC$2:FC$400,MATCH(1,($A22='Offer Statistics'!$EN$2:$EN$400)*($AA$2='Offer Statistics'!$EO$2:$EO$400),0)),"/")</f>
        <v>29</v>
      </c>
      <c r="AC22" s="63" cm="1">
        <f t="array" ref="AC22">IFERROR(INDEX('Offer Statistics'!EX$2:EX$400,MATCH(1,($A22='Offer Statistics'!$EN$2:$EN$400)*($AA$2='Offer Statistics'!$EO$2:$EO$400),0)),"/")</f>
        <v>26</v>
      </c>
      <c r="AD22" s="63" cm="1">
        <f t="array" ref="AD22">IFERROR(INDEX('Offer Statistics'!EY$2:EY$400,MATCH(1,($A22='Offer Statistics'!$EN$2:$EN$400)*($AA$2='Offer Statistics'!$EO$2:$EO$400),0)),"/")</f>
        <v>3</v>
      </c>
      <c r="AE22" s="63" cm="1">
        <f t="array" ref="AE22">IFERROR(INDEX('Offer Statistics'!EZ$2:EZ$400,MATCH(1,($A22='Offer Statistics'!$EN$2:$EN$400)*($AA$2='Offer Statistics'!$EO$2:$EO$400),0)),"/")</f>
        <v>0</v>
      </c>
      <c r="AF22" s="63" cm="1">
        <f t="array" ref="AF22">IFERROR(INDEX('Offer Statistics'!FA$2:FA$400,MATCH(1,($A22='Offer Statistics'!$EN$2:$EN$400)*($AA$2='Offer Statistics'!$EO$2:$EO$400),0)),"/")</f>
        <v>0</v>
      </c>
      <c r="AG22" s="63" cm="1">
        <f t="array" ref="AG22">IFERROR(INDEX('Offer Statistics'!FB$2:FB$400,MATCH(1,($A22='Offer Statistics'!$EN$2:$EN$400)*($AA$2='Offer Statistics'!$EO$2:$EO$400),0)),"/")</f>
        <v>0</v>
      </c>
      <c r="AH22" s="538"/>
      <c r="AI22" s="36" cm="1">
        <f t="array" ref="AI22">IFERROR(INDEX('Offer Statistics'!EU$2:EU$400,MATCH(1,($A22='Offer Statistics'!$EN$2:$EN$400)*($AA$2='Offer Statistics'!$EO$2:$EO$400),0)),"/")</f>
        <v>1060</v>
      </c>
      <c r="AJ22" s="63" cm="1">
        <f t="array" ref="AJ22">IFERROR(INDEX('Offer Statistics'!EP$2:EP$400,MATCH(1,($A22='Offer Statistics'!$EN$2:$EN$400)*($AA$2='Offer Statistics'!$EO$2:$EO$400),0)),"/")</f>
        <v>165</v>
      </c>
      <c r="AK22" s="63" cm="1">
        <f t="array" ref="AK22">IFERROR(INDEX('Offer Statistics'!EQ$2:EQ$400,MATCH(1,($A22='Offer Statistics'!$EN$2:$EN$400)*($AA$2='Offer Statistics'!$EO$2:$EO$400),0)),"/")</f>
        <v>207</v>
      </c>
      <c r="AL22" s="63" cm="1">
        <f t="array" ref="AL22">IFERROR(INDEX('Offer Statistics'!ER$2:ER$400,MATCH(1,($A22='Offer Statistics'!$EN$2:$EN$400)*($AA$2='Offer Statistics'!$EO$2:$EO$400),0)),"/")</f>
        <v>196</v>
      </c>
      <c r="AM22" s="63" cm="1">
        <f t="array" ref="AM22">IFERROR(INDEX('Offer Statistics'!ES$2:ES$400,MATCH(1,($A22='Offer Statistics'!$EN$2:$EN$400)*($AA$2='Offer Statistics'!$EO$2:$EO$400),0)),"/")</f>
        <v>228</v>
      </c>
      <c r="AN22" s="63" cm="1">
        <f t="array" ref="AN22">IFERROR(INDEX('Offer Statistics'!ET$2:ET$400,MATCH(1,($A22='Offer Statistics'!$EN$2:$EN$400)*($AA$2='Offer Statistics'!$EO$2:$EO$400),0)),"/")</f>
        <v>264</v>
      </c>
      <c r="AP22" s="16" t="str">
        <f t="shared" si="3"/>
        <v>JS9560</v>
      </c>
    </row>
    <row r="23" spans="1:42" ht="18" customHeight="1">
      <c r="A23" s="4" t="str">
        <f>'Reference Score Calculation'!B384</f>
        <v>JS9580</v>
      </c>
      <c r="B23" s="4" t="str">
        <f>'Reference Score Calculation'!D384</f>
        <v>教育及語文學院</v>
      </c>
      <c r="C23" s="4" t="str">
        <f>'Reference Score Calculation'!E384</f>
        <v>教育榮譽學士（幼兒教育：領導及特殊教育需要）</v>
      </c>
      <c r="D23" s="4" t="str">
        <f>'Reference Score Calculation'!S384</f>
        <v>BEd(Hons)ECE-Leader&amp;SEN</v>
      </c>
      <c r="E23" s="449" t="str">
        <f>'Reference Score Calculation'!F384</f>
        <v>Best 5</v>
      </c>
      <c r="F23" s="6">
        <f>'Reference Score Calculation'!I384</f>
        <v>16</v>
      </c>
      <c r="G23" s="6">
        <f>'Reference Score Calculation'!J384</f>
        <v>14</v>
      </c>
      <c r="H23" s="45">
        <f>計分版!J407</f>
        <v>3.2999999999999998E-9</v>
      </c>
      <c r="I23" s="176">
        <f>IFERROR(IF(I$1="差距(Median)",H23-F23,IF(I$1="差距(UQ)",H23-#REF!,IF(I$1="差距(LQ)",H23-G23))),"/")</f>
        <v>-15.9999999967</v>
      </c>
      <c r="J23" s="177">
        <f>IFERROR(IF(I$1="差距(Median)",(H23-F23)/H23,IF(I$1="差距(UQ)",(H23-#REF!)/H23,IF(I$1="差距(LQ)",(H23-G23)/H23))),"/")</f>
        <v>-4848484847.484849</v>
      </c>
      <c r="K23" s="36">
        <f>'Reference Score Calculation'!U384</f>
        <v>25</v>
      </c>
      <c r="L23" s="84">
        <f>入學要求!Z393</f>
        <v>0</v>
      </c>
      <c r="M23" s="544"/>
      <c r="N23" s="174">
        <f>入學要求!L393</f>
        <v>3</v>
      </c>
      <c r="O23" s="174">
        <f>入學要求!M393</f>
        <v>3</v>
      </c>
      <c r="P23" s="174">
        <f>入學要求!N393</f>
        <v>2</v>
      </c>
      <c r="Q23" s="174">
        <f>入學要求!O393</f>
        <v>1</v>
      </c>
      <c r="R23" s="174">
        <f>入學要求!P393</f>
        <v>2</v>
      </c>
      <c r="S23" s="174">
        <f>入學要求!Q393</f>
        <v>2</v>
      </c>
      <c r="T23" s="236">
        <f>入學要求!S393</f>
        <v>0</v>
      </c>
      <c r="U23" s="236">
        <f>入學要求!T393</f>
        <v>0</v>
      </c>
      <c r="V23" s="236">
        <f>入學要求!U393</f>
        <v>0</v>
      </c>
      <c r="W23" s="236">
        <f>入學要求!V393</f>
        <v>0</v>
      </c>
      <c r="X23" s="236">
        <f>入學要求!W393</f>
        <v>0</v>
      </c>
      <c r="Y23" s="236">
        <f>入學要求!X393</f>
        <v>0</v>
      </c>
      <c r="Z23" s="15">
        <f t="shared" si="2"/>
        <v>16.96</v>
      </c>
      <c r="AA23" s="537"/>
      <c r="AB23" s="36" cm="1">
        <f t="array" ref="AB23">IFERROR(INDEX('Offer Statistics'!FC$2:FC$400,MATCH(1,($A23='Offer Statistics'!$EN$2:$EN$400)*($AA$2='Offer Statistics'!$EO$2:$EO$400),0)),"/")</f>
        <v>26</v>
      </c>
      <c r="AC23" s="63" cm="1">
        <f t="array" ref="AC23">IFERROR(INDEX('Offer Statistics'!EX$2:EX$400,MATCH(1,($A23='Offer Statistics'!$EN$2:$EN$400)*($AA$2='Offer Statistics'!$EO$2:$EO$400),0)),"/")</f>
        <v>23</v>
      </c>
      <c r="AD23" s="63" cm="1">
        <f t="array" ref="AD23">IFERROR(INDEX('Offer Statistics'!EY$2:EY$400,MATCH(1,($A23='Offer Statistics'!$EN$2:$EN$400)*($AA$2='Offer Statistics'!$EO$2:$EO$400),0)),"/")</f>
        <v>3</v>
      </c>
      <c r="AE23" s="63" cm="1">
        <f t="array" ref="AE23">IFERROR(INDEX('Offer Statistics'!EZ$2:EZ$400,MATCH(1,($A23='Offer Statistics'!$EN$2:$EN$400)*($AA$2='Offer Statistics'!$EO$2:$EO$400),0)),"/")</f>
        <v>0</v>
      </c>
      <c r="AF23" s="63" cm="1">
        <f t="array" ref="AF23">IFERROR(INDEX('Offer Statistics'!FA$2:FA$400,MATCH(1,($A23='Offer Statistics'!$EN$2:$EN$400)*($AA$2='Offer Statistics'!$EO$2:$EO$400),0)),"/")</f>
        <v>0</v>
      </c>
      <c r="AG23" s="63" cm="1">
        <f t="array" ref="AG23">IFERROR(INDEX('Offer Statistics'!FB$2:FB$400,MATCH(1,($A23='Offer Statistics'!$EN$2:$EN$400)*($AA$2='Offer Statistics'!$EO$2:$EO$400),0)),"/")</f>
        <v>0</v>
      </c>
      <c r="AH23" s="538"/>
      <c r="AI23" s="36" cm="1">
        <f t="array" ref="AI23">IFERROR(INDEX('Offer Statistics'!EU$2:EU$400,MATCH(1,($A23='Offer Statistics'!$EN$2:$EN$400)*($AA$2='Offer Statistics'!$EO$2:$EO$400),0)),"/")</f>
        <v>2395</v>
      </c>
      <c r="AJ23" s="63" cm="1">
        <f t="array" ref="AJ23">IFERROR(INDEX('Offer Statistics'!EP$2:EP$400,MATCH(1,($A23='Offer Statistics'!$EN$2:$EN$400)*($AA$2='Offer Statistics'!$EO$2:$EO$400),0)),"/")</f>
        <v>390</v>
      </c>
      <c r="AK23" s="63" cm="1">
        <f t="array" ref="AK23">IFERROR(INDEX('Offer Statistics'!EQ$2:EQ$400,MATCH(1,($A23='Offer Statistics'!$EN$2:$EN$400)*($AA$2='Offer Statistics'!$EO$2:$EO$400),0)),"/")</f>
        <v>501</v>
      </c>
      <c r="AL23" s="63" cm="1">
        <f t="array" ref="AL23">IFERROR(INDEX('Offer Statistics'!ER$2:ER$400,MATCH(1,($A23='Offer Statistics'!$EN$2:$EN$400)*($AA$2='Offer Statistics'!$EO$2:$EO$400),0)),"/")</f>
        <v>462</v>
      </c>
      <c r="AM23" s="63" cm="1">
        <f t="array" ref="AM23">IFERROR(INDEX('Offer Statistics'!ES$2:ES$400,MATCH(1,($A23='Offer Statistics'!$EN$2:$EN$400)*($AA$2='Offer Statistics'!$EO$2:$EO$400),0)),"/")</f>
        <v>522</v>
      </c>
      <c r="AN23" s="63" cm="1">
        <f t="array" ref="AN23">IFERROR(INDEX('Offer Statistics'!ET$2:ET$400,MATCH(1,($A23='Offer Statistics'!$EN$2:$EN$400)*($AA$2='Offer Statistics'!$EO$2:$EO$400),0)),"/")</f>
        <v>520</v>
      </c>
      <c r="AP23" s="16" t="str">
        <f t="shared" si="3"/>
        <v>JS9580</v>
      </c>
    </row>
    <row r="24" spans="1:42" ht="18" customHeight="1">
      <c r="A24" s="4" t="str">
        <f>'Reference Score Calculation'!B385</f>
        <v>JS9719</v>
      </c>
      <c r="B24" s="4" t="str">
        <f>'Reference Score Calculation'!D385</f>
        <v>科技學院</v>
      </c>
      <c r="C24" s="4" t="str">
        <f>'Reference Score Calculation'!E385</f>
        <v>網路及電腦安全榮譽理學士</v>
      </c>
      <c r="D24" s="4" t="str">
        <f>'Reference Score Calculation'!S385</f>
        <v>BSc(Hons)Cyber&amp;ComSecy</v>
      </c>
      <c r="E24" s="449" t="str">
        <f>'Reference Score Calculation'!F385</f>
        <v>Best 5</v>
      </c>
      <c r="F24" s="6">
        <f>'Reference Score Calculation'!I385</f>
        <v>16</v>
      </c>
      <c r="G24" s="6">
        <f>'Reference Score Calculation'!J385</f>
        <v>14</v>
      </c>
      <c r="H24" s="45">
        <f>計分版!J408</f>
        <v>3.2999999999999998E-9</v>
      </c>
      <c r="I24" s="176">
        <f>IFERROR(IF(I$1="差距(Median)",H24-F24,IF(I$1="差距(UQ)",H24-#REF!,IF(I$1="差距(LQ)",H24-G24))),"/")</f>
        <v>-15.9999999967</v>
      </c>
      <c r="J24" s="177">
        <f>IFERROR(IF(I$1="差距(Median)",(H24-F24)/H24,IF(I$1="差距(UQ)",(H24-#REF!)/H24,IF(I$1="差距(LQ)",(H24-G24)/H24))),"/")</f>
        <v>-4848484847.484849</v>
      </c>
      <c r="K24" s="36">
        <f>'Reference Score Calculation'!U385</f>
        <v>30</v>
      </c>
      <c r="L24" s="84">
        <f>入學要求!Z394</f>
        <v>0</v>
      </c>
      <c r="M24" s="544"/>
      <c r="N24" s="174">
        <f>入學要求!L394</f>
        <v>3</v>
      </c>
      <c r="O24" s="174">
        <f>入學要求!M394</f>
        <v>3</v>
      </c>
      <c r="P24" s="174">
        <f>入學要求!N394</f>
        <v>2</v>
      </c>
      <c r="Q24" s="174">
        <f>入學要求!O394</f>
        <v>1</v>
      </c>
      <c r="R24" s="174">
        <f>入學要求!P394</f>
        <v>2</v>
      </c>
      <c r="S24" s="174">
        <f>入學要求!Q394</f>
        <v>2</v>
      </c>
      <c r="T24" s="236">
        <f>入學要求!S394</f>
        <v>0</v>
      </c>
      <c r="U24" s="236">
        <f>入學要求!T394</f>
        <v>0</v>
      </c>
      <c r="V24" s="236">
        <f>入學要求!U394</f>
        <v>0</v>
      </c>
      <c r="W24" s="236">
        <f>入學要求!V394</f>
        <v>0</v>
      </c>
      <c r="X24" s="236">
        <f>入學要求!W394</f>
        <v>0</v>
      </c>
      <c r="Y24" s="236">
        <f>入學要求!X394</f>
        <v>0</v>
      </c>
      <c r="Z24" s="15">
        <f t="shared" si="2"/>
        <v>10.53</v>
      </c>
      <c r="AA24" s="537"/>
      <c r="AB24" s="36" cm="1">
        <f t="array" ref="AB24">IFERROR(INDEX('Offer Statistics'!FC$2:FC$400,MATCH(1,($A24='Offer Statistics'!$EN$2:$EN$400)*($AA$2='Offer Statistics'!$EO$2:$EO$400),0)),"/")</f>
        <v>74</v>
      </c>
      <c r="AC24" s="63" cm="1">
        <f t="array" ref="AC24">IFERROR(INDEX('Offer Statistics'!EX$2:EX$400,MATCH(1,($A24='Offer Statistics'!$EN$2:$EN$400)*($AA$2='Offer Statistics'!$EO$2:$EO$400),0)),"/")</f>
        <v>36</v>
      </c>
      <c r="AD24" s="63" cm="1">
        <f t="array" ref="AD24">IFERROR(INDEX('Offer Statistics'!EY$2:EY$400,MATCH(1,($A24='Offer Statistics'!$EN$2:$EN$400)*($AA$2='Offer Statistics'!$EO$2:$EO$400),0)),"/")</f>
        <v>14</v>
      </c>
      <c r="AE24" s="63" cm="1">
        <f t="array" ref="AE24">IFERROR(INDEX('Offer Statistics'!EZ$2:EZ$400,MATCH(1,($A24='Offer Statistics'!$EN$2:$EN$400)*($AA$2='Offer Statistics'!$EO$2:$EO$400),0)),"/")</f>
        <v>11</v>
      </c>
      <c r="AF24" s="63" cm="1">
        <f t="array" ref="AF24">IFERROR(INDEX('Offer Statistics'!FA$2:FA$400,MATCH(1,($A24='Offer Statistics'!$EN$2:$EN$400)*($AA$2='Offer Statistics'!$EO$2:$EO$400),0)),"/")</f>
        <v>6</v>
      </c>
      <c r="AG24" s="63" cm="1">
        <f t="array" ref="AG24">IFERROR(INDEX('Offer Statistics'!FB$2:FB$400,MATCH(1,($A24='Offer Statistics'!$EN$2:$EN$400)*($AA$2='Offer Statistics'!$EO$2:$EO$400),0)),"/")</f>
        <v>7</v>
      </c>
      <c r="AH24" s="538"/>
      <c r="AI24" s="36" cm="1">
        <f t="array" ref="AI24">IFERROR(INDEX('Offer Statistics'!EU$2:EU$400,MATCH(1,($A24='Offer Statistics'!$EN$2:$EN$400)*($AA$2='Offer Statistics'!$EO$2:$EO$400),0)),"/")</f>
        <v>2217</v>
      </c>
      <c r="AJ24" s="63" cm="1">
        <f t="array" ref="AJ24">IFERROR(INDEX('Offer Statistics'!EP$2:EP$400,MATCH(1,($A24='Offer Statistics'!$EN$2:$EN$400)*($AA$2='Offer Statistics'!$EO$2:$EO$400),0)),"/")</f>
        <v>379</v>
      </c>
      <c r="AK24" s="63" cm="1">
        <f t="array" ref="AK24">IFERROR(INDEX('Offer Statistics'!EQ$2:EQ$400,MATCH(1,($A24='Offer Statistics'!$EN$2:$EN$400)*($AA$2='Offer Statistics'!$EO$2:$EO$400),0)),"/")</f>
        <v>378</v>
      </c>
      <c r="AL24" s="63" cm="1">
        <f t="array" ref="AL24">IFERROR(INDEX('Offer Statistics'!ER$2:ER$400,MATCH(1,($A24='Offer Statistics'!$EN$2:$EN$400)*($AA$2='Offer Statistics'!$EO$2:$EO$400),0)),"/")</f>
        <v>459</v>
      </c>
      <c r="AM24" s="63" cm="1">
        <f t="array" ref="AM24">IFERROR(INDEX('Offer Statistics'!ES$2:ES$400,MATCH(1,($A24='Offer Statistics'!$EN$2:$EN$400)*($AA$2='Offer Statistics'!$EO$2:$EO$400),0)),"/")</f>
        <v>463</v>
      </c>
      <c r="AN24" s="63" cm="1">
        <f t="array" ref="AN24">IFERROR(INDEX('Offer Statistics'!ET$2:ET$400,MATCH(1,($A24='Offer Statistics'!$EN$2:$EN$400)*($AA$2='Offer Statistics'!$EO$2:$EO$400),0)),"/")</f>
        <v>538</v>
      </c>
      <c r="AP24" s="16" t="str">
        <f t="shared" si="3"/>
        <v>JS9719</v>
      </c>
    </row>
    <row r="25" spans="1:42" ht="18" customHeight="1">
      <c r="A25" s="4" t="str">
        <f>'Reference Score Calculation'!B386</f>
        <v>JS9720</v>
      </c>
      <c r="B25" s="4" t="str">
        <f>'Reference Score Calculation'!D386</f>
        <v>科技學院</v>
      </c>
      <c r="C25" s="4" t="str">
        <f>'Reference Score Calculation'!E386</f>
        <v>電子及電腦工程學榮譽工學士</v>
      </c>
      <c r="D25" s="4" t="str">
        <f>'Reference Score Calculation'!S386</f>
        <v>BEng(Hons)Elec &amp; CompEng</v>
      </c>
      <c r="E25" s="449" t="str">
        <f>'Reference Score Calculation'!F386</f>
        <v>Best 5</v>
      </c>
      <c r="F25" s="6">
        <f>'Reference Score Calculation'!I386</f>
        <v>17</v>
      </c>
      <c r="G25" s="6">
        <f>'Reference Score Calculation'!J386</f>
        <v>16</v>
      </c>
      <c r="H25" s="45">
        <f>計分版!J409</f>
        <v>3.2999999999999998E-9</v>
      </c>
      <c r="I25" s="176">
        <f>IFERROR(IF(I$1="差距(Median)",H25-F25,IF(I$1="差距(UQ)",H25-#REF!,IF(I$1="差距(LQ)",H25-G25))),"/")</f>
        <v>-16.999999996700002</v>
      </c>
      <c r="J25" s="177">
        <f>IFERROR(IF(I$1="差距(Median)",(H25-F25)/H25,IF(I$1="差距(UQ)",(H25-#REF!)/H25,IF(I$1="差距(LQ)",(H25-G25)/H25))),"/")</f>
        <v>-5151515150.515152</v>
      </c>
      <c r="K25" s="36">
        <f>'Reference Score Calculation'!U386</f>
        <v>30</v>
      </c>
      <c r="L25" s="84">
        <f>入學要求!Z395</f>
        <v>0</v>
      </c>
      <c r="M25" s="544"/>
      <c r="N25" s="174">
        <f>入學要求!L395</f>
        <v>3</v>
      </c>
      <c r="O25" s="174">
        <f>入學要求!M395</f>
        <v>3</v>
      </c>
      <c r="P25" s="174">
        <f>入學要求!N395</f>
        <v>2</v>
      </c>
      <c r="Q25" s="174">
        <f>入學要求!O395</f>
        <v>1</v>
      </c>
      <c r="R25" s="174">
        <f>入學要求!P395</f>
        <v>2</v>
      </c>
      <c r="S25" s="174">
        <f>入學要求!Q395</f>
        <v>2</v>
      </c>
      <c r="T25" s="236">
        <f>入學要求!S395</f>
        <v>0</v>
      </c>
      <c r="U25" s="236">
        <f>入學要求!T395</f>
        <v>0</v>
      </c>
      <c r="V25" s="236">
        <f>入學要求!U395</f>
        <v>0</v>
      </c>
      <c r="W25" s="236">
        <f>入學要求!V395</f>
        <v>0</v>
      </c>
      <c r="X25" s="236">
        <f>入學要求!W395</f>
        <v>0</v>
      </c>
      <c r="Y25" s="236">
        <f>入學要求!X395</f>
        <v>0</v>
      </c>
      <c r="Z25" s="15">
        <f t="shared" si="2"/>
        <v>5.49</v>
      </c>
      <c r="AA25" s="537"/>
      <c r="AB25" s="36" cm="1">
        <f t="array" ref="AB25">IFERROR(INDEX('Offer Statistics'!FC$2:FC$400,MATCH(1,($A25='Offer Statistics'!$EN$2:$EN$400)*($AA$2='Offer Statistics'!$EO$2:$EO$400),0)),"/")</f>
        <v>50</v>
      </c>
      <c r="AC25" s="63" cm="1">
        <f t="array" ref="AC25">IFERROR(INDEX('Offer Statistics'!EX$2:EX$400,MATCH(1,($A25='Offer Statistics'!$EN$2:$EN$400)*($AA$2='Offer Statistics'!$EO$2:$EO$400),0)),"/")</f>
        <v>39</v>
      </c>
      <c r="AD25" s="63" cm="1">
        <f t="array" ref="AD25">IFERROR(INDEX('Offer Statistics'!EY$2:EY$400,MATCH(1,($A25='Offer Statistics'!$EN$2:$EN$400)*($AA$2='Offer Statistics'!$EO$2:$EO$400),0)),"/")</f>
        <v>11</v>
      </c>
      <c r="AE25" s="63" cm="1">
        <f t="array" ref="AE25">IFERROR(INDEX('Offer Statistics'!EZ$2:EZ$400,MATCH(1,($A25='Offer Statistics'!$EN$2:$EN$400)*($AA$2='Offer Statistics'!$EO$2:$EO$400),0)),"/")</f>
        <v>0</v>
      </c>
      <c r="AF25" s="63" cm="1">
        <f t="array" ref="AF25">IFERROR(INDEX('Offer Statistics'!FA$2:FA$400,MATCH(1,($A25='Offer Statistics'!$EN$2:$EN$400)*($AA$2='Offer Statistics'!$EO$2:$EO$400),0)),"/")</f>
        <v>0</v>
      </c>
      <c r="AG25" s="63" cm="1">
        <f t="array" ref="AG25">IFERROR(INDEX('Offer Statistics'!FB$2:FB$400,MATCH(1,($A25='Offer Statistics'!$EN$2:$EN$400)*($AA$2='Offer Statistics'!$EO$2:$EO$400),0)),"/")</f>
        <v>0</v>
      </c>
      <c r="AH25" s="538"/>
      <c r="AI25" s="36" cm="1">
        <f t="array" ref="AI25">IFERROR(INDEX('Offer Statistics'!EU$2:EU$400,MATCH(1,($A25='Offer Statistics'!$EN$2:$EN$400)*($AA$2='Offer Statistics'!$EO$2:$EO$400),0)),"/")</f>
        <v>2142</v>
      </c>
      <c r="AJ25" s="63" cm="1">
        <f t="array" ref="AJ25">IFERROR(INDEX('Offer Statistics'!EP$2:EP$400,MATCH(1,($A25='Offer Statistics'!$EN$2:$EN$400)*($AA$2='Offer Statistics'!$EO$2:$EO$400),0)),"/")</f>
        <v>214</v>
      </c>
      <c r="AK25" s="63" cm="1">
        <f t="array" ref="AK25">IFERROR(INDEX('Offer Statistics'!EQ$2:EQ$400,MATCH(1,($A25='Offer Statistics'!$EN$2:$EN$400)*($AA$2='Offer Statistics'!$EO$2:$EO$400),0)),"/")</f>
        <v>382</v>
      </c>
      <c r="AL25" s="63" cm="1">
        <f t="array" ref="AL25">IFERROR(INDEX('Offer Statistics'!ER$2:ER$400,MATCH(1,($A25='Offer Statistics'!$EN$2:$EN$400)*($AA$2='Offer Statistics'!$EO$2:$EO$400),0)),"/")</f>
        <v>408</v>
      </c>
      <c r="AM25" s="63" cm="1">
        <f t="array" ref="AM25">IFERROR(INDEX('Offer Statistics'!ES$2:ES$400,MATCH(1,($A25='Offer Statistics'!$EN$2:$EN$400)*($AA$2='Offer Statistics'!$EO$2:$EO$400),0)),"/")</f>
        <v>514</v>
      </c>
      <c r="AN25" s="63" cm="1">
        <f t="array" ref="AN25">IFERROR(INDEX('Offer Statistics'!ET$2:ET$400,MATCH(1,($A25='Offer Statistics'!$EN$2:$EN$400)*($AA$2='Offer Statistics'!$EO$2:$EO$400),0)),"/")</f>
        <v>624</v>
      </c>
      <c r="AP25" s="16" t="str">
        <f t="shared" si="3"/>
        <v>JS9720</v>
      </c>
    </row>
    <row r="26" spans="1:42" ht="18" customHeight="1">
      <c r="A26" s="4" t="str">
        <f>'Reference Score Calculation'!B387</f>
        <v>JS9731</v>
      </c>
      <c r="B26" s="4" t="str">
        <f>'Reference Score Calculation'!D387</f>
        <v>科技學院</v>
      </c>
      <c r="C26" s="4" t="str">
        <f>'Reference Score Calculation'!E387</f>
        <v>環境科學與綠色管理榮譽理學士</v>
      </c>
      <c r="D26" s="4" t="str">
        <f>'Reference Score Calculation'!S387</f>
        <v>BSc(Hons)EnvSci&amp;GreenMgt</v>
      </c>
      <c r="E26" s="449" t="str">
        <f>'Reference Score Calculation'!F387</f>
        <v>Best 5</v>
      </c>
      <c r="F26" s="6">
        <f>'Reference Score Calculation'!I387</f>
        <v>17</v>
      </c>
      <c r="G26" s="6">
        <f>'Reference Score Calculation'!J387</f>
        <v>15</v>
      </c>
      <c r="H26" s="45">
        <f>計分版!J410</f>
        <v>3.2999999999999998E-9</v>
      </c>
      <c r="I26" s="176">
        <f>IFERROR(IF(I$1="差距(Median)",H26-F26,IF(I$1="差距(UQ)",H26-#REF!,IF(I$1="差距(LQ)",H26-G26))),"/")</f>
        <v>-16.999999996700002</v>
      </c>
      <c r="J26" s="177">
        <f>IFERROR(IF(I$1="差距(Median)",(H26-F26)/H26,IF(I$1="差距(UQ)",(H26-#REF!)/H26,IF(I$1="差距(LQ)",(H26-G26)/H26))),"/")</f>
        <v>-5151515150.515152</v>
      </c>
      <c r="K26" s="36">
        <f>'Reference Score Calculation'!U387</f>
        <v>35</v>
      </c>
      <c r="L26" s="84">
        <f>入學要求!Z396</f>
        <v>0</v>
      </c>
      <c r="M26" s="544"/>
      <c r="N26" s="174">
        <f>入學要求!L396</f>
        <v>3</v>
      </c>
      <c r="O26" s="174">
        <f>入學要求!M396</f>
        <v>3</v>
      </c>
      <c r="P26" s="174">
        <f>入學要求!N396</f>
        <v>2</v>
      </c>
      <c r="Q26" s="174">
        <f>入學要求!O396</f>
        <v>1</v>
      </c>
      <c r="R26" s="174">
        <f>入學要求!P396</f>
        <v>2</v>
      </c>
      <c r="S26" s="174">
        <f>入學要求!Q396</f>
        <v>2</v>
      </c>
      <c r="T26" s="236">
        <f>入學要求!S396</f>
        <v>0</v>
      </c>
      <c r="U26" s="236">
        <f>入學要求!T396</f>
        <v>0</v>
      </c>
      <c r="V26" s="236">
        <f>入學要求!U396</f>
        <v>0</v>
      </c>
      <c r="W26" s="236">
        <f>入學要求!V396</f>
        <v>0</v>
      </c>
      <c r="X26" s="236">
        <f>入學要求!W396</f>
        <v>0</v>
      </c>
      <c r="Y26" s="236">
        <f>入學要求!X396</f>
        <v>0</v>
      </c>
      <c r="Z26" s="15">
        <f t="shared" si="2"/>
        <v>4.22</v>
      </c>
      <c r="AA26" s="537"/>
      <c r="AB26" s="36" cm="1">
        <f t="array" ref="AB26">IFERROR(INDEX('Offer Statistics'!FC$2:FC$400,MATCH(1,($A26='Offer Statistics'!$EN$2:$EN$400)*($AA$2='Offer Statistics'!$EO$2:$EO$400),0)),"/")</f>
        <v>85</v>
      </c>
      <c r="AC26" s="63" cm="1">
        <f t="array" ref="AC26">IFERROR(INDEX('Offer Statistics'!EX$2:EX$400,MATCH(1,($A26='Offer Statistics'!$EN$2:$EN$400)*($AA$2='Offer Statistics'!$EO$2:$EO$400),0)),"/")</f>
        <v>45</v>
      </c>
      <c r="AD26" s="63" cm="1">
        <f t="array" ref="AD26">IFERROR(INDEX('Offer Statistics'!EY$2:EY$400,MATCH(1,($A26='Offer Statistics'!$EN$2:$EN$400)*($AA$2='Offer Statistics'!$EO$2:$EO$400),0)),"/")</f>
        <v>19</v>
      </c>
      <c r="AE26" s="63" cm="1">
        <f t="array" ref="AE26">IFERROR(INDEX('Offer Statistics'!EZ$2:EZ$400,MATCH(1,($A26='Offer Statistics'!$EN$2:$EN$400)*($AA$2='Offer Statistics'!$EO$2:$EO$400),0)),"/")</f>
        <v>10</v>
      </c>
      <c r="AF26" s="63" cm="1">
        <f t="array" ref="AF26">IFERROR(INDEX('Offer Statistics'!FA$2:FA$400,MATCH(1,($A26='Offer Statistics'!$EN$2:$EN$400)*($AA$2='Offer Statistics'!$EO$2:$EO$400),0)),"/")</f>
        <v>6</v>
      </c>
      <c r="AG26" s="63" cm="1">
        <f t="array" ref="AG26">IFERROR(INDEX('Offer Statistics'!FB$2:FB$400,MATCH(1,($A26='Offer Statistics'!$EN$2:$EN$400)*($AA$2='Offer Statistics'!$EO$2:$EO$400),0)),"/")</f>
        <v>5</v>
      </c>
      <c r="AH26" s="538"/>
      <c r="AI26" s="36" cm="1">
        <f t="array" ref="AI26">IFERROR(INDEX('Offer Statistics'!EU$2:EU$400,MATCH(1,($A26='Offer Statistics'!$EN$2:$EN$400)*($AA$2='Offer Statistics'!$EO$2:$EO$400),0)),"/")</f>
        <v>1767</v>
      </c>
      <c r="AJ26" s="63" cm="1">
        <f t="array" ref="AJ26">IFERROR(INDEX('Offer Statistics'!EP$2:EP$400,MATCH(1,($A26='Offer Statistics'!$EN$2:$EN$400)*($AA$2='Offer Statistics'!$EO$2:$EO$400),0)),"/")</f>
        <v>190</v>
      </c>
      <c r="AK26" s="63" cm="1">
        <f t="array" ref="AK26">IFERROR(INDEX('Offer Statistics'!EQ$2:EQ$400,MATCH(1,($A26='Offer Statistics'!$EN$2:$EN$400)*($AA$2='Offer Statistics'!$EO$2:$EO$400),0)),"/")</f>
        <v>281</v>
      </c>
      <c r="AL26" s="63" cm="1">
        <f t="array" ref="AL26">IFERROR(INDEX('Offer Statistics'!ER$2:ER$400,MATCH(1,($A26='Offer Statistics'!$EN$2:$EN$400)*($AA$2='Offer Statistics'!$EO$2:$EO$400),0)),"/")</f>
        <v>360</v>
      </c>
      <c r="AM26" s="63" cm="1">
        <f t="array" ref="AM26">IFERROR(INDEX('Offer Statistics'!ES$2:ES$400,MATCH(1,($A26='Offer Statistics'!$EN$2:$EN$400)*($AA$2='Offer Statistics'!$EO$2:$EO$400),0)),"/")</f>
        <v>428</v>
      </c>
      <c r="AN26" s="63" cm="1">
        <f t="array" ref="AN26">IFERROR(INDEX('Offer Statistics'!ET$2:ET$400,MATCH(1,($A26='Offer Statistics'!$EN$2:$EN$400)*($AA$2='Offer Statistics'!$EO$2:$EO$400),0)),"/")</f>
        <v>508</v>
      </c>
      <c r="AP26" s="16" t="str">
        <f t="shared" si="3"/>
        <v>JS9731</v>
      </c>
    </row>
    <row r="27" spans="1:42" ht="18" customHeight="1">
      <c r="A27" s="4" t="str">
        <f>'Reference Score Calculation'!B388</f>
        <v>JS9732</v>
      </c>
      <c r="B27" s="4" t="str">
        <f>'Reference Score Calculation'!D388</f>
        <v>科技學院</v>
      </c>
      <c r="C27" s="4" t="str">
        <f>'Reference Score Calculation'!E388</f>
        <v>生命科學榮譽理學士</v>
      </c>
      <c r="D27" s="4" t="str">
        <f>'Reference Score Calculation'!S388</f>
        <v>BSc(Hons)BioMed&amp;BioTech</v>
      </c>
      <c r="E27" s="449" t="str">
        <f>'Reference Score Calculation'!F388</f>
        <v>Best 5</v>
      </c>
      <c r="F27" s="6">
        <f>'Reference Score Calculation'!I388</f>
        <v>16</v>
      </c>
      <c r="G27" s="6">
        <f>'Reference Score Calculation'!J388</f>
        <v>16</v>
      </c>
      <c r="H27" s="45">
        <f>計分版!J411</f>
        <v>3.2999999999999998E-9</v>
      </c>
      <c r="I27" s="176">
        <f>IFERROR(IF(I$1="差距(Median)",H27-F27,IF(I$1="差距(UQ)",H27-#REF!,IF(I$1="差距(LQ)",H27-G27))),"/")</f>
        <v>-15.9999999967</v>
      </c>
      <c r="J27" s="177">
        <f>IFERROR(IF(I$1="差距(Median)",(H27-F27)/H27,IF(I$1="差距(UQ)",(H27-#REF!)/H27,IF(I$1="差距(LQ)",(H27-G27)/H27))),"/")</f>
        <v>-4848484847.484849</v>
      </c>
      <c r="K27" s="36">
        <f>'Reference Score Calculation'!U388</f>
        <v>30</v>
      </c>
      <c r="L27" s="84">
        <f>入學要求!Z397</f>
        <v>0</v>
      </c>
      <c r="M27" s="544"/>
      <c r="N27" s="174">
        <f>入學要求!L397</f>
        <v>3</v>
      </c>
      <c r="O27" s="174">
        <f>入學要求!M397</f>
        <v>3</v>
      </c>
      <c r="P27" s="174">
        <f>入學要求!N397</f>
        <v>2</v>
      </c>
      <c r="Q27" s="174">
        <f>入學要求!O397</f>
        <v>1</v>
      </c>
      <c r="R27" s="174">
        <f>入學要求!P397</f>
        <v>2</v>
      </c>
      <c r="S27" s="174">
        <f>入學要求!Q397</f>
        <v>2</v>
      </c>
      <c r="T27" s="236">
        <f>入學要求!S397</f>
        <v>0</v>
      </c>
      <c r="U27" s="236">
        <f>入學要求!T397</f>
        <v>0</v>
      </c>
      <c r="V27" s="236">
        <f>入學要求!U397</f>
        <v>0</v>
      </c>
      <c r="W27" s="236">
        <f>入學要求!V397</f>
        <v>0</v>
      </c>
      <c r="X27" s="236">
        <f>入學要求!W397</f>
        <v>0</v>
      </c>
      <c r="Y27" s="236">
        <f>入學要求!X397</f>
        <v>0</v>
      </c>
      <c r="Z27" s="15">
        <f t="shared" si="2"/>
        <v>3.39</v>
      </c>
      <c r="AA27" s="537"/>
      <c r="AB27" s="36" cm="1">
        <f t="array" ref="AB27">IFERROR(INDEX('Offer Statistics'!FC$2:FC$400,MATCH(1,($A27='Offer Statistics'!$EN$2:$EN$400)*($AA$2='Offer Statistics'!$EO$2:$EO$400),0)),"/")</f>
        <v>70</v>
      </c>
      <c r="AC27" s="63" cm="1">
        <f t="array" ref="AC27">IFERROR(INDEX('Offer Statistics'!EX$2:EX$400,MATCH(1,($A27='Offer Statistics'!$EN$2:$EN$400)*($AA$2='Offer Statistics'!$EO$2:$EO$400),0)),"/")</f>
        <v>70</v>
      </c>
      <c r="AD27" s="63" cm="1">
        <f t="array" ref="AD27">IFERROR(INDEX('Offer Statistics'!EY$2:EY$400,MATCH(1,($A27='Offer Statistics'!$EN$2:$EN$400)*($AA$2='Offer Statistics'!$EO$2:$EO$400),0)),"/")</f>
        <v>0</v>
      </c>
      <c r="AE27" s="63" cm="1">
        <f t="array" ref="AE27">IFERROR(INDEX('Offer Statistics'!EZ$2:EZ$400,MATCH(1,($A27='Offer Statistics'!$EN$2:$EN$400)*($AA$2='Offer Statistics'!$EO$2:$EO$400),0)),"/")</f>
        <v>0</v>
      </c>
      <c r="AF27" s="63" cm="1">
        <f t="array" ref="AF27">IFERROR(INDEX('Offer Statistics'!FA$2:FA$400,MATCH(1,($A27='Offer Statistics'!$EN$2:$EN$400)*($AA$2='Offer Statistics'!$EO$2:$EO$400),0)),"/")</f>
        <v>0</v>
      </c>
      <c r="AG27" s="63" cm="1">
        <f t="array" ref="AG27">IFERROR(INDEX('Offer Statistics'!FB$2:FB$400,MATCH(1,($A27='Offer Statistics'!$EN$2:$EN$400)*($AA$2='Offer Statistics'!$EO$2:$EO$400),0)),"/")</f>
        <v>0</v>
      </c>
      <c r="AH27" s="538"/>
      <c r="AI27" s="36" cm="1">
        <f t="array" ref="AI27">IFERROR(INDEX('Offer Statistics'!EU$2:EU$400,MATCH(1,($A27='Offer Statistics'!$EN$2:$EN$400)*($AA$2='Offer Statistics'!$EO$2:$EO$400),0)),"/")</f>
        <v>2350</v>
      </c>
      <c r="AJ27" s="63" cm="1">
        <f t="array" ref="AJ27">IFERROR(INDEX('Offer Statistics'!EP$2:EP$400,MATCH(1,($A27='Offer Statistics'!$EN$2:$EN$400)*($AA$2='Offer Statistics'!$EO$2:$EO$400),0)),"/")</f>
        <v>237</v>
      </c>
      <c r="AK27" s="63" cm="1">
        <f t="array" ref="AK27">IFERROR(INDEX('Offer Statistics'!EQ$2:EQ$400,MATCH(1,($A27='Offer Statistics'!$EN$2:$EN$400)*($AA$2='Offer Statistics'!$EO$2:$EO$400),0)),"/")</f>
        <v>407</v>
      </c>
      <c r="AL27" s="63" cm="1">
        <f t="array" ref="AL27">IFERROR(INDEX('Offer Statistics'!ER$2:ER$400,MATCH(1,($A27='Offer Statistics'!$EN$2:$EN$400)*($AA$2='Offer Statistics'!$EO$2:$EO$400),0)),"/")</f>
        <v>515</v>
      </c>
      <c r="AM27" s="63" cm="1">
        <f t="array" ref="AM27">IFERROR(INDEX('Offer Statistics'!ES$2:ES$400,MATCH(1,($A27='Offer Statistics'!$EN$2:$EN$400)*($AA$2='Offer Statistics'!$EO$2:$EO$400),0)),"/")</f>
        <v>613</v>
      </c>
      <c r="AN27" s="63" cm="1">
        <f t="array" ref="AN27">IFERROR(INDEX('Offer Statistics'!ET$2:ET$400,MATCH(1,($A27='Offer Statistics'!$EN$2:$EN$400)*($AA$2='Offer Statistics'!$EO$2:$EO$400),0)),"/")</f>
        <v>578</v>
      </c>
      <c r="AP27" s="16" t="str">
        <f t="shared" si="3"/>
        <v>JS9732</v>
      </c>
    </row>
    <row r="28" spans="1:42" ht="18" customHeight="1">
      <c r="A28" s="4" t="str">
        <f>'Reference Score Calculation'!B389</f>
        <v>JS9733</v>
      </c>
      <c r="B28" s="4" t="str">
        <f>'Reference Score Calculation'!D389</f>
        <v>科技學院</v>
      </c>
      <c r="C28" s="4" t="str">
        <f>'Reference Score Calculation'!E389</f>
        <v>科學（ＳＴＥＭ）榮譽理學士</v>
      </c>
      <c r="D28" s="4" t="str">
        <f>'Reference Score Calculation'!S389</f>
        <v>BSc(Hons)Science(STEAM)</v>
      </c>
      <c r="E28" s="449" t="str">
        <f>'Reference Score Calculation'!F389</f>
        <v>Best 5</v>
      </c>
      <c r="F28" s="6">
        <f>'Reference Score Calculation'!I389</f>
        <v>17</v>
      </c>
      <c r="G28" s="6">
        <f>'Reference Score Calculation'!J389</f>
        <v>16</v>
      </c>
      <c r="H28" s="45">
        <f>計分版!J412</f>
        <v>3.2999999999999998E-9</v>
      </c>
      <c r="I28" s="176">
        <f>IFERROR(IF(I$1="差距(Median)",H28-F28,IF(I$1="差距(UQ)",H28-#REF!,IF(I$1="差距(LQ)",H28-G28))),"/")</f>
        <v>-16.999999996700002</v>
      </c>
      <c r="J28" s="177">
        <f>IFERROR(IF(I$1="差距(Median)",(H28-F28)/H28,IF(I$1="差距(UQ)",(H28-#REF!)/H28,IF(I$1="差距(LQ)",(H28-G28)/H28))),"/")</f>
        <v>-5151515150.515152</v>
      </c>
      <c r="K28" s="36">
        <f>'Reference Score Calculation'!U389</f>
        <v>30</v>
      </c>
      <c r="L28" s="84">
        <f>入學要求!Z398</f>
        <v>0</v>
      </c>
      <c r="M28" s="544"/>
      <c r="N28" s="174">
        <f>入學要求!L398</f>
        <v>3</v>
      </c>
      <c r="O28" s="174">
        <f>入學要求!M398</f>
        <v>3</v>
      </c>
      <c r="P28" s="174">
        <f>入學要求!N398</f>
        <v>2</v>
      </c>
      <c r="Q28" s="174">
        <f>入學要求!O398</f>
        <v>1</v>
      </c>
      <c r="R28" s="174">
        <f>入學要求!P398</f>
        <v>2</v>
      </c>
      <c r="S28" s="174">
        <f>入學要求!Q398</f>
        <v>2</v>
      </c>
      <c r="T28" s="236">
        <f>入學要求!S398</f>
        <v>0</v>
      </c>
      <c r="U28" s="236">
        <f>入學要求!T398</f>
        <v>0</v>
      </c>
      <c r="V28" s="236">
        <f>入學要求!U398</f>
        <v>0</v>
      </c>
      <c r="W28" s="236">
        <f>入學要求!V398</f>
        <v>0</v>
      </c>
      <c r="X28" s="236">
        <f>入學要求!W398</f>
        <v>0</v>
      </c>
      <c r="Y28" s="236">
        <f>入學要求!X398</f>
        <v>0</v>
      </c>
      <c r="Z28" s="15">
        <f t="shared" si="2"/>
        <v>6.55</v>
      </c>
      <c r="AA28" s="537"/>
      <c r="AB28" s="36" cm="1">
        <f t="array" ref="AB28">IFERROR(INDEX('Offer Statistics'!FC$2:FC$400,MATCH(1,($A28='Offer Statistics'!$EN$2:$EN$400)*($AA$2='Offer Statistics'!$EO$2:$EO$400),0)),"/")</f>
        <v>36</v>
      </c>
      <c r="AC28" s="63" cm="1">
        <f t="array" ref="AC28">IFERROR(INDEX('Offer Statistics'!EX$2:EX$400,MATCH(1,($A28='Offer Statistics'!$EN$2:$EN$400)*($AA$2='Offer Statistics'!$EO$2:$EO$400),0)),"/")</f>
        <v>11</v>
      </c>
      <c r="AD28" s="63" cm="1">
        <f t="array" ref="AD28">IFERROR(INDEX('Offer Statistics'!EY$2:EY$400,MATCH(1,($A28='Offer Statistics'!$EN$2:$EN$400)*($AA$2='Offer Statistics'!$EO$2:$EO$400),0)),"/")</f>
        <v>6</v>
      </c>
      <c r="AE28" s="63" cm="1">
        <f t="array" ref="AE28">IFERROR(INDEX('Offer Statistics'!EZ$2:EZ$400,MATCH(1,($A28='Offer Statistics'!$EN$2:$EN$400)*($AA$2='Offer Statistics'!$EO$2:$EO$400),0)),"/")</f>
        <v>7</v>
      </c>
      <c r="AF28" s="63" cm="1">
        <f t="array" ref="AF28">IFERROR(INDEX('Offer Statistics'!FA$2:FA$400,MATCH(1,($A28='Offer Statistics'!$EN$2:$EN$400)*($AA$2='Offer Statistics'!$EO$2:$EO$400),0)),"/")</f>
        <v>6</v>
      </c>
      <c r="AG28" s="63" cm="1">
        <f t="array" ref="AG28">IFERROR(INDEX('Offer Statistics'!FB$2:FB$400,MATCH(1,($A28='Offer Statistics'!$EN$2:$EN$400)*($AA$2='Offer Statistics'!$EO$2:$EO$400),0)),"/")</f>
        <v>6</v>
      </c>
      <c r="AH28" s="538"/>
      <c r="AI28" s="36" cm="1">
        <f t="array" ref="AI28">IFERROR(INDEX('Offer Statistics'!EU$2:EU$400,MATCH(1,($A28='Offer Statistics'!$EN$2:$EN$400)*($AA$2='Offer Statistics'!$EO$2:$EO$400),0)),"/")</f>
        <v>1195</v>
      </c>
      <c r="AJ28" s="63" cm="1">
        <f t="array" ref="AJ28">IFERROR(INDEX('Offer Statistics'!EP$2:EP$400,MATCH(1,($A28='Offer Statistics'!$EN$2:$EN$400)*($AA$2='Offer Statistics'!$EO$2:$EO$400),0)),"/")</f>
        <v>72</v>
      </c>
      <c r="AK28" s="63" cm="1">
        <f t="array" ref="AK28">IFERROR(INDEX('Offer Statistics'!EQ$2:EQ$400,MATCH(1,($A28='Offer Statistics'!$EN$2:$EN$400)*($AA$2='Offer Statistics'!$EO$2:$EO$400),0)),"/")</f>
        <v>171</v>
      </c>
      <c r="AL28" s="63" cm="1">
        <f t="array" ref="AL28">IFERROR(INDEX('Offer Statistics'!ER$2:ER$400,MATCH(1,($A28='Offer Statistics'!$EN$2:$EN$400)*($AA$2='Offer Statistics'!$EO$2:$EO$400),0)),"/")</f>
        <v>217</v>
      </c>
      <c r="AM28" s="63" cm="1">
        <f t="array" ref="AM28">IFERROR(INDEX('Offer Statistics'!ES$2:ES$400,MATCH(1,($A28='Offer Statistics'!$EN$2:$EN$400)*($AA$2='Offer Statistics'!$EO$2:$EO$400),0)),"/")</f>
        <v>346</v>
      </c>
      <c r="AN28" s="63" cm="1">
        <f t="array" ref="AN28">IFERROR(INDEX('Offer Statistics'!ET$2:ET$400,MATCH(1,($A28='Offer Statistics'!$EN$2:$EN$400)*($AA$2='Offer Statistics'!$EO$2:$EO$400),0)),"/")</f>
        <v>389</v>
      </c>
      <c r="AP28" s="16" t="str">
        <f t="shared" si="3"/>
        <v>JS9733</v>
      </c>
    </row>
    <row r="29" spans="1:42" ht="18" customHeight="1">
      <c r="AH29" s="3"/>
      <c r="AI29" s="4"/>
      <c r="AM29" s="4"/>
      <c r="AN29" s="4"/>
      <c r="AO29" s="4"/>
      <c r="AP29" s="15"/>
    </row>
    <row r="30" spans="1:42" ht="18" customHeight="1">
      <c r="A30" s="4" t="s">
        <v>191</v>
      </c>
      <c r="B30" s="4"/>
      <c r="C30" s="4"/>
      <c r="D30" s="4"/>
      <c r="F30" s="15"/>
      <c r="G30" s="15"/>
      <c r="H30" s="15"/>
      <c r="I30" s="22"/>
      <c r="J30" s="23"/>
      <c r="K30" s="15"/>
      <c r="L30" s="15"/>
      <c r="M30" s="15"/>
      <c r="N30" s="15"/>
      <c r="O30" s="15"/>
      <c r="P30" s="15"/>
      <c r="Q30" s="15"/>
      <c r="R30" s="15"/>
      <c r="S30" s="15"/>
      <c r="T30" s="15"/>
      <c r="U30" s="15"/>
      <c r="V30" s="15"/>
      <c r="W30" s="15"/>
      <c r="X30" s="15"/>
      <c r="Y30" s="15"/>
      <c r="Z30" s="15"/>
      <c r="AI30" s="4"/>
      <c r="AM30" s="4"/>
      <c r="AN30" s="4"/>
      <c r="AO30" s="4"/>
      <c r="AP30" s="15"/>
    </row>
    <row r="31" spans="1:42" ht="18" customHeight="1">
      <c r="A31" s="4" t="s">
        <v>3131</v>
      </c>
      <c r="B31" s="4"/>
      <c r="C31" s="4"/>
      <c r="D31" s="4"/>
      <c r="F31" s="15"/>
      <c r="G31" s="15"/>
      <c r="H31" s="15"/>
      <c r="I31" s="22"/>
      <c r="J31" s="23"/>
      <c r="K31" s="15"/>
      <c r="L31" s="15"/>
      <c r="M31" s="15"/>
      <c r="N31" s="15"/>
      <c r="O31" s="15"/>
      <c r="P31" s="15"/>
      <c r="Q31" s="15"/>
      <c r="R31" s="15"/>
      <c r="S31" s="15"/>
      <c r="T31" s="15"/>
      <c r="U31" s="15"/>
      <c r="V31" s="15"/>
      <c r="W31" s="15"/>
      <c r="X31" s="15"/>
      <c r="Y31" s="15"/>
      <c r="Z31" s="15"/>
      <c r="AI31" s="4"/>
      <c r="AM31" s="4"/>
      <c r="AN31" s="4"/>
      <c r="AO31" s="4"/>
      <c r="AP31" s="15"/>
    </row>
    <row r="32" spans="1:42" ht="18" customHeight="1">
      <c r="A32" s="4"/>
      <c r="B32" s="4"/>
      <c r="C32" s="4"/>
      <c r="D32" s="4"/>
      <c r="F32" s="15"/>
      <c r="G32" s="15"/>
      <c r="H32" s="15"/>
      <c r="I32" s="22"/>
      <c r="J32" s="23"/>
      <c r="K32" s="15"/>
      <c r="L32" s="15"/>
      <c r="M32" s="15"/>
      <c r="N32" s="15"/>
      <c r="O32" s="15"/>
      <c r="P32" s="15"/>
      <c r="Q32" s="15"/>
      <c r="R32" s="15"/>
      <c r="S32" s="15"/>
      <c r="T32" s="15"/>
      <c r="U32" s="15"/>
      <c r="V32" s="15"/>
      <c r="W32" s="15"/>
      <c r="X32" s="15"/>
      <c r="Y32" s="15"/>
      <c r="Z32" s="15"/>
      <c r="AI32" s="4"/>
      <c r="AM32" s="4"/>
      <c r="AN32" s="4"/>
      <c r="AO32" s="4"/>
      <c r="AP32" s="15"/>
    </row>
    <row r="33" spans="1:44" s="4" customFormat="1" ht="18" customHeight="1">
      <c r="A33" s="23" t="s">
        <v>2962</v>
      </c>
      <c r="E33" s="36"/>
      <c r="F33" s="15"/>
      <c r="G33" s="15"/>
      <c r="H33" s="15"/>
      <c r="I33" s="15"/>
      <c r="J33" s="22"/>
      <c r="K33" s="23"/>
      <c r="L33" s="15"/>
      <c r="N33" s="15"/>
      <c r="O33" s="15"/>
      <c r="P33" s="15"/>
      <c r="Q33" s="15"/>
      <c r="R33" s="15"/>
      <c r="S33" s="15"/>
      <c r="AA33" s="15"/>
      <c r="AB33" s="15"/>
      <c r="AD33" s="15"/>
      <c r="AE33" s="15"/>
      <c r="AF33" s="15"/>
      <c r="AG33" s="15"/>
      <c r="AH33" s="15"/>
      <c r="AI33" s="15"/>
      <c r="AJ33" s="15"/>
      <c r="AK33" s="15"/>
      <c r="AL33" s="15"/>
      <c r="AM33" s="15"/>
      <c r="AN33" s="15"/>
      <c r="AO33" s="15"/>
      <c r="AP33" s="15"/>
      <c r="AR33" s="15"/>
    </row>
    <row r="34" spans="1:44" ht="18" customHeight="1">
      <c r="A34" s="23" t="s">
        <v>185</v>
      </c>
      <c r="B34" s="4"/>
      <c r="C34" s="4"/>
      <c r="D34" s="4"/>
      <c r="F34" s="15"/>
      <c r="G34" s="15"/>
      <c r="H34" s="15"/>
      <c r="I34" s="22"/>
      <c r="J34" s="23"/>
      <c r="K34" s="15"/>
      <c r="L34" s="15"/>
      <c r="M34" s="15"/>
      <c r="N34" s="15"/>
      <c r="O34" s="15"/>
      <c r="P34" s="15"/>
      <c r="Q34" s="15"/>
      <c r="R34" s="15"/>
      <c r="S34" s="15"/>
      <c r="T34" s="15"/>
      <c r="U34" s="15"/>
      <c r="V34" s="15"/>
      <c r="W34" s="15"/>
      <c r="X34" s="15"/>
      <c r="Y34" s="15"/>
      <c r="Z34" s="15"/>
      <c r="AI34" s="4"/>
      <c r="AM34" s="4"/>
      <c r="AN34" s="4"/>
      <c r="AO34" s="4"/>
      <c r="AP34" s="15"/>
    </row>
    <row r="35" spans="1:44" ht="18" customHeight="1">
      <c r="A35" s="23"/>
      <c r="B35" s="4"/>
      <c r="C35" s="4"/>
      <c r="D35" s="4"/>
      <c r="F35" s="15"/>
      <c r="G35" s="15"/>
      <c r="H35" s="15"/>
      <c r="I35" s="22"/>
      <c r="J35" s="23"/>
      <c r="K35" s="15"/>
      <c r="L35" s="15"/>
      <c r="M35" s="15"/>
      <c r="N35" s="15"/>
      <c r="O35" s="15"/>
      <c r="P35" s="15"/>
      <c r="Q35" s="15"/>
      <c r="R35" s="15"/>
      <c r="S35" s="15"/>
      <c r="T35" s="15"/>
      <c r="U35" s="15"/>
      <c r="V35" s="15"/>
      <c r="W35" s="15"/>
      <c r="X35" s="15"/>
      <c r="Y35" s="15"/>
      <c r="Z35" s="15"/>
      <c r="AI35" s="4"/>
      <c r="AM35" s="4"/>
      <c r="AN35" s="4"/>
      <c r="AO35" s="4"/>
      <c r="AP35" s="15"/>
    </row>
    <row r="36" spans="1:44" ht="18" customHeight="1">
      <c r="A36" s="3" t="s">
        <v>127</v>
      </c>
      <c r="B36" s="4"/>
      <c r="C36" s="4"/>
      <c r="D36" s="4"/>
      <c r="F36" s="15"/>
      <c r="G36" s="15"/>
      <c r="H36" s="15"/>
      <c r="I36" s="22"/>
      <c r="J36" s="23"/>
      <c r="K36" s="15"/>
      <c r="L36" s="15"/>
      <c r="M36" s="15"/>
      <c r="N36" s="15"/>
      <c r="O36" s="15"/>
      <c r="P36" s="15"/>
      <c r="Q36" s="15"/>
      <c r="R36" s="15"/>
      <c r="S36" s="15"/>
      <c r="T36" s="15"/>
      <c r="U36" s="15"/>
      <c r="V36" s="15"/>
      <c r="W36" s="15"/>
      <c r="X36" s="15"/>
      <c r="Y36" s="15"/>
      <c r="Z36" s="15"/>
      <c r="AI36" s="4"/>
      <c r="AM36" s="4"/>
      <c r="AN36" s="4"/>
      <c r="AO36" s="4"/>
      <c r="AP36" s="15"/>
    </row>
    <row r="37" spans="1:44" ht="18" customHeight="1">
      <c r="A37" s="4" t="s">
        <v>192</v>
      </c>
      <c r="AE37" s="36"/>
      <c r="AI37" s="4"/>
      <c r="AM37" s="4"/>
      <c r="AN37" s="4"/>
      <c r="AO37" s="4"/>
      <c r="AP37" s="15"/>
    </row>
    <row r="38" spans="1:44" ht="18" customHeight="1">
      <c r="A38" s="4"/>
      <c r="AE38" s="36"/>
      <c r="AI38" s="4"/>
      <c r="AM38" s="4"/>
      <c r="AN38" s="4"/>
      <c r="AO38" s="4"/>
      <c r="AP38" s="15"/>
    </row>
    <row r="39" spans="1:44" ht="18" customHeight="1">
      <c r="A39" s="4" t="s">
        <v>129</v>
      </c>
      <c r="B39" s="4"/>
      <c r="C39" s="4"/>
      <c r="D39" s="4"/>
      <c r="F39" s="15"/>
      <c r="G39" s="15"/>
      <c r="H39" s="15"/>
      <c r="I39" s="22"/>
      <c r="J39" s="23"/>
      <c r="K39" s="15"/>
      <c r="L39" s="15"/>
      <c r="M39" s="15"/>
      <c r="N39" s="15"/>
      <c r="O39" s="15"/>
      <c r="P39" s="15"/>
      <c r="Q39" s="15"/>
      <c r="R39" s="15"/>
      <c r="S39" s="15"/>
      <c r="T39" s="15"/>
      <c r="U39" s="15"/>
      <c r="V39" s="15"/>
      <c r="W39" s="15"/>
      <c r="X39" s="15"/>
      <c r="Y39" s="15"/>
      <c r="Z39" s="15"/>
      <c r="AI39" s="4"/>
      <c r="AM39" s="4"/>
      <c r="AN39" s="4"/>
      <c r="AO39" s="4"/>
      <c r="AP39" s="15"/>
    </row>
    <row r="40" spans="1:44" ht="18" customHeight="1">
      <c r="A40" s="253" t="s">
        <v>2533</v>
      </c>
      <c r="B40" s="4"/>
      <c r="C40" s="4"/>
      <c r="D40" s="4"/>
      <c r="F40" s="15"/>
      <c r="G40" s="15"/>
      <c r="H40" s="15"/>
      <c r="I40" s="22"/>
      <c r="J40" s="23"/>
      <c r="K40" s="15"/>
      <c r="L40" s="15"/>
      <c r="M40" s="15"/>
      <c r="N40" s="15"/>
      <c r="O40" s="15"/>
      <c r="P40" s="15"/>
      <c r="Q40" s="15"/>
      <c r="R40" s="15"/>
      <c r="S40" s="15"/>
      <c r="T40" s="15"/>
      <c r="U40" s="15"/>
      <c r="V40" s="15"/>
      <c r="W40" s="15"/>
      <c r="X40" s="15"/>
      <c r="Y40" s="15"/>
      <c r="Z40" s="15"/>
      <c r="AA40" s="4"/>
      <c r="AI40" s="4"/>
      <c r="AM40" s="4"/>
      <c r="AN40" s="4"/>
      <c r="AO40" s="4"/>
      <c r="AP40" s="15"/>
    </row>
    <row r="41" spans="1:44" ht="18" customHeight="1">
      <c r="A41" s="244" t="s">
        <v>193</v>
      </c>
      <c r="B41" s="4"/>
      <c r="C41" s="4"/>
      <c r="D41" s="4"/>
      <c r="F41" s="15"/>
      <c r="G41" s="15"/>
      <c r="H41" s="15"/>
      <c r="I41" s="22"/>
      <c r="J41" s="23"/>
      <c r="K41" s="15"/>
      <c r="L41" s="15"/>
      <c r="M41" s="15"/>
      <c r="N41" s="15"/>
      <c r="O41" s="15"/>
      <c r="P41" s="15"/>
      <c r="Q41" s="15"/>
      <c r="R41" s="15"/>
      <c r="S41" s="15"/>
      <c r="T41" s="15"/>
      <c r="U41" s="15"/>
      <c r="V41" s="15"/>
      <c r="W41" s="15"/>
      <c r="X41" s="15"/>
      <c r="Y41" s="15"/>
      <c r="Z41" s="15"/>
      <c r="AA41" s="4"/>
      <c r="AI41" s="4"/>
      <c r="AM41" s="4"/>
      <c r="AN41" s="4"/>
      <c r="AO41" s="4"/>
      <c r="AP41" s="15"/>
    </row>
    <row r="42" spans="1:44" ht="18" customHeight="1">
      <c r="A42" s="4"/>
      <c r="B42" s="4"/>
      <c r="C42" s="4"/>
      <c r="D42" s="4"/>
      <c r="AI42" s="4"/>
      <c r="AM42" s="4"/>
      <c r="AN42" s="4"/>
      <c r="AO42" s="4"/>
      <c r="AP42" s="15"/>
    </row>
    <row r="43" spans="1:44" ht="15.6" hidden="1">
      <c r="AI43" s="4"/>
      <c r="AM43" s="4"/>
      <c r="AN43" s="4"/>
      <c r="AO43" s="4"/>
      <c r="AP43" s="15"/>
    </row>
    <row r="44" spans="1:44" ht="15.6" hidden="1">
      <c r="AI44" s="4"/>
      <c r="AM44" s="4"/>
      <c r="AN44" s="4"/>
      <c r="AO44" s="4"/>
      <c r="AP44" s="15"/>
    </row>
    <row r="45" spans="1:44" ht="15.6" hidden="1">
      <c r="AI45" s="4"/>
      <c r="AM45" s="4"/>
      <c r="AN45" s="4"/>
      <c r="AO45" s="4"/>
      <c r="AP45" s="15"/>
    </row>
    <row r="46" spans="1:44" ht="16.5" hidden="1" customHeight="1"/>
    <row r="47" spans="1:44" ht="16.5" hidden="1" customHeight="1"/>
    <row r="48" spans="1:44" ht="16.5" hidden="1" customHeight="1"/>
    <row r="49" ht="16.5" hidden="1" customHeight="1"/>
    <row r="50" ht="16.5" hidden="1" customHeight="1"/>
    <row r="51" ht="16.5" hidden="1" customHeight="1"/>
    <row r="52" ht="16.5" hidden="1" customHeight="1"/>
    <row r="53" ht="16.5" hidden="1" customHeight="1"/>
    <row r="54" ht="16.5" hidden="1" customHeight="1"/>
    <row r="55" ht="16.5" hidden="1" customHeight="1"/>
    <row r="56" ht="16.5" hidden="1" customHeight="1"/>
    <row r="57" ht="16.5" hidden="1" customHeight="1"/>
    <row r="58" ht="16.5" hidden="1" customHeight="1"/>
    <row r="59" ht="16.5" hidden="1" customHeight="1"/>
    <row r="60" ht="16.5" hidden="1" customHeight="1"/>
    <row r="61" ht="16.5" hidden="1" customHeight="1"/>
    <row r="62" ht="16.5" hidden="1" customHeight="1"/>
    <row r="63" ht="16.5" hidden="1" customHeight="1"/>
    <row r="64" ht="16.5" hidden="1" customHeight="1"/>
    <row r="65" ht="16.5" hidden="1" customHeight="1"/>
    <row r="66" ht="16.5" hidden="1" customHeight="1"/>
    <row r="67" ht="16.5" hidden="1" customHeight="1"/>
    <row r="68" ht="16.5" hidden="1" customHeight="1"/>
    <row r="69" ht="16.5" hidden="1" customHeight="1"/>
    <row r="70" ht="16.5" hidden="1" customHeight="1"/>
    <row r="71" ht="16.5" hidden="1" customHeight="1"/>
    <row r="72" ht="16.5" hidden="1" customHeight="1"/>
    <row r="73" ht="16.5" hidden="1" customHeight="1"/>
    <row r="74" ht="16.5" hidden="1" customHeight="1"/>
    <row r="75" ht="16.5" hidden="1" customHeight="1"/>
    <row r="76" ht="16.5" hidden="1" customHeight="1"/>
    <row r="77" ht="16.5" hidden="1" customHeight="1"/>
    <row r="78" ht="16.5" hidden="1" customHeight="1"/>
    <row r="79" ht="16.5" hidden="1" customHeight="1"/>
    <row r="80" ht="16.5" hidden="1" customHeight="1"/>
    <row r="81" ht="16.5" hidden="1" customHeight="1"/>
    <row r="82" ht="16.5" hidden="1" customHeight="1"/>
    <row r="83" ht="16.5" hidden="1" customHeight="1"/>
    <row r="84" ht="16.5" hidden="1" customHeight="1"/>
    <row r="85" ht="16.5" hidden="1" customHeight="1"/>
    <row r="86" ht="16.5" hidden="1" customHeight="1"/>
    <row r="87" ht="16.5" hidden="1" customHeight="1"/>
    <row r="88" ht="16.5" hidden="1" customHeight="1"/>
    <row r="89" ht="16.5" hidden="1" customHeight="1"/>
    <row r="90" ht="16.5" hidden="1" customHeight="1"/>
    <row r="91" ht="16.5" hidden="1" customHeight="1"/>
    <row r="92" ht="16.5" hidden="1" customHeight="1"/>
    <row r="93" ht="16.5" hidden="1" customHeight="1"/>
    <row r="94" ht="16.5" hidden="1" customHeight="1"/>
    <row r="95" ht="16.5" hidden="1" customHeight="1"/>
    <row r="96" ht="16.5" hidden="1" customHeight="1"/>
    <row r="97" ht="16.5" hidden="1" customHeight="1"/>
    <row r="98" ht="16.5" hidden="1" customHeight="1"/>
    <row r="99" ht="16.5" hidden="1" customHeight="1"/>
    <row r="100" ht="16.5" hidden="1" customHeight="1"/>
    <row r="101" ht="16.5" hidden="1" customHeight="1"/>
    <row r="102" ht="16.5" hidden="1" customHeight="1"/>
    <row r="103" ht="16.5" hidden="1" customHeight="1"/>
    <row r="104" ht="16.5" hidden="1" customHeight="1"/>
    <row r="105" ht="15.6" hidden="1"/>
    <row r="106" ht="15.6" hidden="1"/>
    <row r="107" ht="16.5" hidden="1" customHeight="1"/>
    <row r="108" ht="16.5" hidden="1" customHeight="1"/>
    <row r="109" ht="16.5" hidden="1" customHeight="1"/>
    <row r="110" ht="16.5" hidden="1" customHeight="1"/>
    <row r="111" ht="16.5" hidden="1" customHeight="1"/>
    <row r="112" ht="16.5" hidden="1" customHeight="1"/>
    <row r="113" ht="16.5" hidden="1" customHeight="1"/>
    <row r="114" ht="16.5" hidden="1" customHeight="1"/>
    <row r="115" ht="16.5" hidden="1" customHeight="1"/>
    <row r="116" ht="16.5" hidden="1" customHeight="1"/>
    <row r="117" ht="16.5" hidden="1" customHeight="1"/>
    <row r="118" ht="16.5" hidden="1" customHeight="1"/>
    <row r="119" ht="16.5" hidden="1" customHeight="1"/>
    <row r="120" ht="16.5" hidden="1" customHeight="1"/>
  </sheetData>
  <sheetProtection sheet="1" sort="0" autoFilter="0" pivotTables="0"/>
  <mergeCells count="4">
    <mergeCell ref="AH2:AH28"/>
    <mergeCell ref="M2:M28"/>
    <mergeCell ref="I1:J1"/>
    <mergeCell ref="AA2:AA28"/>
  </mergeCells>
  <phoneticPr fontId="3" type="noConversion"/>
  <conditionalFormatting sqref="A2:AP2 N3:Z28 A3:L28 AI3:AP28 AB3:AG28">
    <cfRule type="expression" dxfId="114" priority="21738">
      <formula>MOD(ROW(),2)=0</formula>
    </cfRule>
  </conditionalFormatting>
  <conditionalFormatting sqref="F2:F28">
    <cfRule type="expression" dxfId="113" priority="26">
      <formula>$I$1="差距(Median)"</formula>
    </cfRule>
  </conditionalFormatting>
  <conditionalFormatting sqref="G2:G28">
    <cfRule type="expression" dxfId="112" priority="25">
      <formula>$I$1="差距(LQ)"</formula>
    </cfRule>
  </conditionalFormatting>
  <conditionalFormatting sqref="I2:J28">
    <cfRule type="cellIs" dxfId="111" priority="19" operator="equal">
      <formula>"/"</formula>
    </cfRule>
    <cfRule type="cellIs" dxfId="110" priority="23" operator="lessThan">
      <formula>0</formula>
    </cfRule>
    <cfRule type="cellIs" dxfId="109" priority="24" operator="greaterThan">
      <formula>0</formula>
    </cfRule>
  </conditionalFormatting>
  <conditionalFormatting sqref="L2:L28">
    <cfRule type="cellIs" dxfId="108" priority="70" operator="equal">
      <formula>2</formula>
    </cfRule>
    <cfRule type="cellIs" dxfId="107" priority="71" operator="equal">
      <formula>1</formula>
    </cfRule>
    <cfRule type="cellIs" dxfId="106" priority="72" operator="equal">
      <formula>0</formula>
    </cfRule>
  </conditionalFormatting>
  <conditionalFormatting sqref="N2:S28">
    <cfRule type="expression" dxfId="105" priority="21729">
      <formula>T2=2</formula>
    </cfRule>
    <cfRule type="expression" dxfId="104" priority="21730">
      <formula>T2=0</formula>
    </cfRule>
    <cfRule type="expression" dxfId="103" priority="21731">
      <formula>T2=1</formula>
    </cfRule>
  </conditionalFormatting>
  <conditionalFormatting sqref="AA2 AH2 AO2 AO4:AO28">
    <cfRule type="expression" dxfId="102" priority="5">
      <formula>TRUE</formula>
    </cfRule>
  </conditionalFormatting>
  <conditionalFormatting sqref="AA2">
    <cfRule type="expression" dxfId="101" priority="6">
      <formula>MOD(ROW(),2)=0</formula>
    </cfRule>
  </conditionalFormatting>
  <hyperlinks>
    <hyperlink ref="A41" r:id="rId1" xr:uid="{00000000-0004-0000-0F00-000000000000}"/>
    <hyperlink ref="A40" r:id="rId2" xr:uid="{00000000-0004-0000-0F00-000001000000}"/>
  </hyperlinks>
  <pageMargins left="0.7" right="0.7" top="0.75" bottom="0.75" header="0.3" footer="0.3"/>
  <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選單!$K$2:$K$3</xm:f>
          </x14:formula1>
          <xm:sqref>I1:J1</xm:sqref>
        </x14:dataValidation>
        <x14:dataValidation type="list" allowBlank="1" showInputMessage="1" showErrorMessage="1" xr:uid="{BE1FB36C-EF5D-4F5B-88BE-6291A21DD482}">
          <x14:formula1>
            <xm:f>選單!$J$1:$J$7</xm:f>
          </x14:formula1>
          <xm:sqref>AA2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工作表14">
    <tabColor rgb="FFA88000"/>
  </sheetPr>
  <dimension ref="A1:AZ162"/>
  <sheetViews>
    <sheetView zoomScale="85" workbookViewId="0">
      <selection activeCell="B1" sqref="B1"/>
    </sheetView>
  </sheetViews>
  <sheetFormatPr defaultColWidth="0" defaultRowHeight="0" customHeight="1" zeroHeight="1"/>
  <cols>
    <col min="1" max="1" width="7.19921875" style="5" customWidth="1"/>
    <col min="2" max="2" width="9.19921875" style="5" customWidth="1"/>
    <col min="3" max="3" width="23.69921875" style="5" customWidth="1"/>
    <col min="4" max="4" width="10.5" style="5" customWidth="1"/>
    <col min="5" max="5" width="10.19921875" style="36" customWidth="1"/>
    <col min="6" max="6" width="7.69921875" style="36" customWidth="1"/>
    <col min="7" max="9" width="7.69921875" style="14" customWidth="1"/>
    <col min="10" max="10" width="7.69921875" style="17" customWidth="1"/>
    <col min="11" max="11" width="7.69921875" style="18" customWidth="1"/>
    <col min="12" max="13" width="4.69921875" style="14" customWidth="1"/>
    <col min="14" max="14" width="14.3984375" style="14" customWidth="1"/>
    <col min="15" max="20" width="2.19921875" style="14" customWidth="1"/>
    <col min="21" max="26" width="2.19921875" style="14" hidden="1" customWidth="1"/>
    <col min="27" max="27" width="11" style="14" customWidth="1"/>
    <col min="28" max="28" width="8.69921875" style="15" customWidth="1"/>
    <col min="29" max="29" width="6.19921875" style="16" customWidth="1"/>
    <col min="30" max="34" width="6.19921875" style="15" customWidth="1"/>
    <col min="35" max="35" width="8.69921875" style="16" customWidth="1"/>
    <col min="36" max="41" width="6.19921875" style="16" customWidth="1"/>
    <col min="42" max="42" width="3.19921875" style="2" customWidth="1"/>
    <col min="43" max="43" width="8.19921875" style="16" customWidth="1"/>
    <col min="44" max="44" width="3.19921875" style="2" hidden="1" customWidth="1"/>
    <col min="45" max="46" width="9.19921875" style="2" hidden="1" customWidth="1"/>
    <col min="47" max="48" width="0" style="2" hidden="1" customWidth="1"/>
    <col min="49" max="52" width="3.19921875" style="2" hidden="1" customWidth="1"/>
    <col min="53" max="16384" width="9.19921875" style="2" hidden="1"/>
  </cols>
  <sheetData>
    <row r="1" spans="1:44" s="61" customFormat="1" ht="18" customHeight="1">
      <c r="A1" s="49" t="s">
        <v>104</v>
      </c>
      <c r="B1" s="49" t="s">
        <v>105</v>
      </c>
      <c r="C1" s="49" t="s">
        <v>106</v>
      </c>
      <c r="D1" s="49"/>
      <c r="E1" s="50" t="s">
        <v>107</v>
      </c>
      <c r="F1" s="50" t="s">
        <v>32</v>
      </c>
      <c r="G1" s="50" t="s">
        <v>102</v>
      </c>
      <c r="H1" s="50" t="s">
        <v>100</v>
      </c>
      <c r="I1" s="50" t="s">
        <v>108</v>
      </c>
      <c r="J1" s="551" t="s">
        <v>109</v>
      </c>
      <c r="K1" s="551"/>
      <c r="L1" s="50" t="s">
        <v>36</v>
      </c>
      <c r="M1" s="50" t="s">
        <v>110</v>
      </c>
      <c r="N1" s="50"/>
      <c r="O1" s="50" t="s">
        <v>111</v>
      </c>
      <c r="P1" s="50" t="s">
        <v>112</v>
      </c>
      <c r="Q1" s="50" t="s">
        <v>113</v>
      </c>
      <c r="R1" s="50" t="s">
        <v>114</v>
      </c>
      <c r="S1" s="50" t="s">
        <v>115</v>
      </c>
      <c r="T1" s="50" t="s">
        <v>2059</v>
      </c>
      <c r="U1" s="50"/>
      <c r="V1" s="50"/>
      <c r="W1" s="50"/>
      <c r="X1" s="50"/>
      <c r="Y1" s="50"/>
      <c r="Z1" s="50"/>
      <c r="AA1" s="50" t="s">
        <v>117</v>
      </c>
      <c r="AB1" s="50" t="s">
        <v>118</v>
      </c>
      <c r="AC1" s="50" t="s">
        <v>135</v>
      </c>
      <c r="AD1" s="50" t="s">
        <v>120</v>
      </c>
      <c r="AE1" s="50" t="s">
        <v>121</v>
      </c>
      <c r="AF1" s="50" t="s">
        <v>122</v>
      </c>
      <c r="AG1" s="50" t="s">
        <v>123</v>
      </c>
      <c r="AH1" s="50" t="s">
        <v>124</v>
      </c>
      <c r="AI1" s="50" t="s">
        <v>136</v>
      </c>
      <c r="AJ1" s="50" t="s">
        <v>135</v>
      </c>
      <c r="AK1" s="50" t="s">
        <v>120</v>
      </c>
      <c r="AL1" s="50" t="s">
        <v>121</v>
      </c>
      <c r="AM1" s="50" t="s">
        <v>122</v>
      </c>
      <c r="AN1" s="50" t="s">
        <v>123</v>
      </c>
      <c r="AO1" s="50" t="s">
        <v>124</v>
      </c>
      <c r="AP1" s="49"/>
      <c r="AQ1" s="50"/>
      <c r="AR1" s="49"/>
    </row>
    <row r="2" spans="1:44" ht="14.55" customHeight="1">
      <c r="A2" s="4" t="str">
        <f>'Reference Score Calculation'!B393</f>
        <v>JSSA01</v>
      </c>
      <c r="B2" s="4" t="str">
        <f>'Reference Score Calculation'!D393</f>
        <v>聖方濟各大學</v>
      </c>
      <c r="C2" s="4" t="str">
        <f>'Reference Score Calculation'!E393</f>
        <v>護理學（榮譽）學士</v>
      </c>
      <c r="D2" s="4" t="str">
        <f>'Reference Score Calculation'!S393</f>
        <v>BN (Hons)</v>
      </c>
      <c r="E2" s="15" t="str">
        <f>'Reference Score Calculation'!F393</f>
        <v>Best 5</v>
      </c>
      <c r="F2" s="6" t="str">
        <f>'Reference Score Calculation'!H393</f>
        <v>/</v>
      </c>
      <c r="G2" s="44">
        <f>'Reference Score Calculation'!I393</f>
        <v>16</v>
      </c>
      <c r="H2" s="6" t="str">
        <f>'Reference Score Calculation'!J393</f>
        <v>/</v>
      </c>
      <c r="I2" s="45">
        <f>計分版!J416</f>
        <v>3.4999999999999999E-9</v>
      </c>
      <c r="J2" s="25">
        <f t="shared" ref="J2:J7" si="0">IFERROR(I2-G2,"/")</f>
        <v>-15.9999999965</v>
      </c>
      <c r="K2" s="26">
        <f t="shared" ref="K2:K7" si="1">IFERROR((I2-G2)/I2,"/")</f>
        <v>-4571428570.4285717</v>
      </c>
      <c r="L2" s="36">
        <f>'Reference Score Calculation'!U393</f>
        <v>640</v>
      </c>
      <c r="M2" s="84">
        <f>入學要求!Z402</f>
        <v>0</v>
      </c>
      <c r="N2" s="544" t="s">
        <v>2104</v>
      </c>
      <c r="O2" s="15">
        <v>3</v>
      </c>
      <c r="P2" s="15">
        <v>3</v>
      </c>
      <c r="Q2" s="15">
        <v>2</v>
      </c>
      <c r="R2" s="15">
        <v>2</v>
      </c>
      <c r="S2" s="15">
        <v>2</v>
      </c>
      <c r="T2" s="15"/>
      <c r="U2" s="255">
        <f>入學要求!S402</f>
        <v>0</v>
      </c>
      <c r="V2" s="255">
        <f>入學要求!T402</f>
        <v>0</v>
      </c>
      <c r="W2" s="255">
        <f>入學要求!U402</f>
        <v>0</v>
      </c>
      <c r="X2" s="255">
        <f>入學要求!V402</f>
        <v>0</v>
      </c>
      <c r="Y2" s="255">
        <f>入學要求!W402</f>
        <v>0</v>
      </c>
      <c r="Z2" s="255">
        <f>入學要求!X402</f>
        <v>0</v>
      </c>
      <c r="AA2" s="36">
        <f>IFERROR(ROUND(AK2/AD2,2),"/")</f>
        <v>4.41</v>
      </c>
      <c r="AB2" s="537" t="s">
        <v>2253</v>
      </c>
      <c r="AC2" s="36" cm="1">
        <f t="array" ref="AC2">IFERROR(INDEX('Offer Statistics'!FU$2:FU$400,MATCH(1,($A2='Offer Statistics'!$FF$2:$FF$400)*($AB$2='Offer Statistics'!$FG$2:$FG$400),0)),"/")</f>
        <v>720</v>
      </c>
      <c r="AD2" s="63" cm="1">
        <f t="array" ref="AD2">IFERROR(INDEX('Offer Statistics'!FP$2:FP$400,MATCH(1,($A2='Offer Statistics'!$FF$2:$FF$400)*($AB$2='Offer Statistics'!$FG$2:$FG$400),0)),"/")</f>
        <v>613</v>
      </c>
      <c r="AE2" s="63" cm="1">
        <f t="array" ref="AE2">IFERROR(INDEX('Offer Statistics'!FQ$2:FQ$400,MATCH(1,($A2='Offer Statistics'!$FF$2:$FF$400)*($AB$2='Offer Statistics'!$FG$2:$FG$400),0)),"/")</f>
        <v>85</v>
      </c>
      <c r="AF2" s="63" cm="1">
        <f t="array" ref="AF2">IFERROR(INDEX('Offer Statistics'!FR$2:FR$400,MATCH(1,($A2='Offer Statistics'!$FF$2:$FF$400)*($AB$2='Offer Statistics'!$FG$2:$FG$400),0)),"/")</f>
        <v>22</v>
      </c>
      <c r="AG2" s="63" cm="1">
        <f t="array" ref="AG2">IFERROR(INDEX('Offer Statistics'!FS$2:FS$400,MATCH(1,($A2='Offer Statistics'!$FF$2:$FF$400)*($AB$2='Offer Statistics'!$FG$2:$FG$400),0)),"/")</f>
        <v>0</v>
      </c>
      <c r="AH2" s="63" cm="1">
        <f t="array" ref="AH2">IFERROR(INDEX('Offer Statistics'!FT$2:FT$400,MATCH(1,($A2='Offer Statistics'!$FF$2:$FF$400)*($AB$2='Offer Statistics'!$FG$2:$FG$400),0)),"/")</f>
        <v>0</v>
      </c>
      <c r="AI2" s="552" t="str">
        <f>AB2</f>
        <v>2024年</v>
      </c>
      <c r="AJ2" s="36" cm="1">
        <f t="array" ref="AJ2">IFERROR(INDEX('Offer Statistics'!FM$2:FM$400,MATCH(1,($A2='Offer Statistics'!$FF$2:$FF$400)*($AB$2='Offer Statistics'!$FG$2:$FG$400),0)),"/")</f>
        <v>6765</v>
      </c>
      <c r="AK2" s="63" cm="1">
        <f t="array" ref="AK2">IFERROR(INDEX('Offer Statistics'!FH$2:FH$400,MATCH(1,($A2='Offer Statistics'!$FF$2:$FF$400)*($AB$2='Offer Statistics'!$FG$2:$FG$400),0)),"/")</f>
        <v>2705</v>
      </c>
      <c r="AL2" s="63" cm="1">
        <f t="array" ref="AL2">IFERROR(INDEX('Offer Statistics'!FI$2:FI$400,MATCH(1,($A2='Offer Statistics'!$FF$2:$FF$400)*($AB$2='Offer Statistics'!$FG$2:$FG$400),0)),"/")</f>
        <v>1401</v>
      </c>
      <c r="AM2" s="63" cm="1">
        <f t="array" ref="AM2">IFERROR(INDEX('Offer Statistics'!FJ$2:FJ$400,MATCH(1,($A2='Offer Statistics'!$FF$2:$FF$400)*($AB$2='Offer Statistics'!$FG$2:$FG$400),0)),"/")</f>
        <v>914</v>
      </c>
      <c r="AN2" s="63" cm="1">
        <f t="array" ref="AN2">IFERROR(INDEX('Offer Statistics'!FK$2:FK$400,MATCH(1,($A2='Offer Statistics'!$FF$2:$FF$400)*($AB$2='Offer Statistics'!$FG$2:$FG$400),0)),"/")</f>
        <v>792</v>
      </c>
      <c r="AO2" s="63" cm="1">
        <f t="array" ref="AO2">IFERROR(INDEX('Offer Statistics'!FL$2:FL$400,MATCH(1,($A2='Offer Statistics'!$FF$2:$FF$400)*($AB$2='Offer Statistics'!$FG$2:$FG$400),0)),"/")</f>
        <v>953</v>
      </c>
      <c r="AP2" s="4"/>
      <c r="AQ2" s="15" t="str">
        <f>A2</f>
        <v>JSSA01</v>
      </c>
      <c r="AR2" s="4"/>
    </row>
    <row r="3" spans="1:44" ht="14.55" customHeight="1">
      <c r="A3" s="4" t="str">
        <f>'Reference Score Calculation'!B394</f>
        <v>JSSA02</v>
      </c>
      <c r="B3" s="4" t="str">
        <f>'Reference Score Calculation'!D394</f>
        <v>聖方濟各大學</v>
      </c>
      <c r="C3" s="4" t="str">
        <f>'Reference Score Calculation'!E394</f>
        <v>數碼娛樂科技（榮譽）理學士</v>
      </c>
      <c r="D3" s="4" t="str">
        <f>'Reference Score Calculation'!S394</f>
        <v>BSDET (Hons)</v>
      </c>
      <c r="E3" s="15" t="str">
        <f>'Reference Score Calculation'!F394</f>
        <v>Best 5</v>
      </c>
      <c r="F3" s="6" t="str">
        <f>'Reference Score Calculation'!H394</f>
        <v>/</v>
      </c>
      <c r="G3" s="44">
        <f>'Reference Score Calculation'!I394</f>
        <v>16</v>
      </c>
      <c r="H3" s="6" t="str">
        <f>'Reference Score Calculation'!J394</f>
        <v>/</v>
      </c>
      <c r="I3" s="45">
        <f>計分版!J417</f>
        <v>3.4999999999999999E-9</v>
      </c>
      <c r="J3" s="25">
        <f t="shared" si="0"/>
        <v>-15.9999999965</v>
      </c>
      <c r="K3" s="26">
        <f t="shared" si="1"/>
        <v>-4571428570.4285717</v>
      </c>
      <c r="L3" s="36">
        <f>'Reference Score Calculation'!U394</f>
        <v>15</v>
      </c>
      <c r="M3" s="84">
        <f>入學要求!Z403</f>
        <v>0</v>
      </c>
      <c r="N3" s="544"/>
      <c r="O3" s="15">
        <v>3</v>
      </c>
      <c r="P3" s="15">
        <v>3</v>
      </c>
      <c r="Q3" s="15">
        <v>2</v>
      </c>
      <c r="R3" s="15">
        <v>2</v>
      </c>
      <c r="S3" s="15">
        <v>2</v>
      </c>
      <c r="T3" s="15"/>
      <c r="U3" s="255">
        <f>入學要求!S403</f>
        <v>0</v>
      </c>
      <c r="V3" s="255">
        <f>入學要求!T403</f>
        <v>0</v>
      </c>
      <c r="W3" s="255">
        <f>入學要求!U403</f>
        <v>0</v>
      </c>
      <c r="X3" s="255">
        <f>入學要求!V403</f>
        <v>0</v>
      </c>
      <c r="Y3" s="255">
        <f>入學要求!W403</f>
        <v>0</v>
      </c>
      <c r="Z3" s="255">
        <f>入學要求!X403</f>
        <v>0</v>
      </c>
      <c r="AA3" s="36">
        <f t="shared" ref="AA3:AA54" si="2">IFERROR(ROUND(AK3/AD3,2),"/")</f>
        <v>13.82</v>
      </c>
      <c r="AB3" s="537"/>
      <c r="AC3" s="36" cm="1">
        <f t="array" ref="AC3">IFERROR(INDEX('Offer Statistics'!FU$2:FU$400,MATCH(1,($A3='Offer Statistics'!$FF$2:$FF$400)*($AB$2='Offer Statistics'!$FG$2:$FG$400),0)),"/")</f>
        <v>28</v>
      </c>
      <c r="AD3" s="63" cm="1">
        <f t="array" ref="AD3">IFERROR(INDEX('Offer Statistics'!FP$2:FP$400,MATCH(1,($A3='Offer Statistics'!$FF$2:$FF$400)*($AB$2='Offer Statistics'!$FG$2:$FG$400),0)),"/")</f>
        <v>17</v>
      </c>
      <c r="AE3" s="63" cm="1">
        <f t="array" ref="AE3">IFERROR(INDEX('Offer Statistics'!FQ$2:FQ$400,MATCH(1,($A3='Offer Statistics'!$FF$2:$FF$400)*($AB$2='Offer Statistics'!$FG$2:$FG$400),0)),"/")</f>
        <v>5</v>
      </c>
      <c r="AF3" s="63" cm="1">
        <f t="array" ref="AF3">IFERROR(INDEX('Offer Statistics'!FR$2:FR$400,MATCH(1,($A3='Offer Statistics'!$FF$2:$FF$400)*($AB$2='Offer Statistics'!$FG$2:$FG$400),0)),"/")</f>
        <v>3</v>
      </c>
      <c r="AG3" s="63" cm="1">
        <f t="array" ref="AG3">IFERROR(INDEX('Offer Statistics'!FS$2:FS$400,MATCH(1,($A3='Offer Statistics'!$FF$2:$FF$400)*($AB$2='Offer Statistics'!$FG$2:$FG$400),0)),"/")</f>
        <v>1</v>
      </c>
      <c r="AH3" s="63" cm="1">
        <f t="array" ref="AH3">IFERROR(INDEX('Offer Statistics'!FT$2:FT$400,MATCH(1,($A3='Offer Statistics'!$FF$2:$FF$400)*($AB$2='Offer Statistics'!$FG$2:$FG$400),0)),"/")</f>
        <v>2</v>
      </c>
      <c r="AI3" s="552"/>
      <c r="AJ3" s="36" cm="1">
        <f t="array" ref="AJ3">IFERROR(INDEX('Offer Statistics'!FM$2:FM$400,MATCH(1,($A3='Offer Statistics'!$FF$2:$FF$400)*($AB$2='Offer Statistics'!$FG$2:$FG$400),0)),"/")</f>
        <v>1590</v>
      </c>
      <c r="AK3" s="63" cm="1">
        <f t="array" ref="AK3">IFERROR(INDEX('Offer Statistics'!FH$2:FH$400,MATCH(1,($A3='Offer Statistics'!$FF$2:$FF$400)*($AB$2='Offer Statistics'!$FG$2:$FG$400),0)),"/")</f>
        <v>235</v>
      </c>
      <c r="AL3" s="63" cm="1">
        <f t="array" ref="AL3">IFERROR(INDEX('Offer Statistics'!FI$2:FI$400,MATCH(1,($A3='Offer Statistics'!$FF$2:$FF$400)*($AB$2='Offer Statistics'!$FG$2:$FG$400),0)),"/")</f>
        <v>272</v>
      </c>
      <c r="AM3" s="63" cm="1">
        <f t="array" ref="AM3">IFERROR(INDEX('Offer Statistics'!FJ$2:FJ$400,MATCH(1,($A3='Offer Statistics'!$FF$2:$FF$400)*($AB$2='Offer Statistics'!$FG$2:$FG$400),0)),"/")</f>
        <v>293</v>
      </c>
      <c r="AN3" s="63" cm="1">
        <f t="array" ref="AN3">IFERROR(INDEX('Offer Statistics'!FK$2:FK$400,MATCH(1,($A3='Offer Statistics'!$FF$2:$FF$400)*($AB$2='Offer Statistics'!$FG$2:$FG$400),0)),"/")</f>
        <v>334</v>
      </c>
      <c r="AO3" s="63" cm="1">
        <f t="array" ref="AO3">IFERROR(INDEX('Offer Statistics'!FL$2:FL$400,MATCH(1,($A3='Offer Statistics'!$FF$2:$FF$400)*($AB$2='Offer Statistics'!$FG$2:$FG$400),0)),"/")</f>
        <v>456</v>
      </c>
      <c r="AP3" s="4"/>
      <c r="AQ3" s="15" t="str">
        <f t="shared" ref="AQ3:AQ54" si="3">A3</f>
        <v>JSSA02</v>
      </c>
      <c r="AR3" s="4"/>
    </row>
    <row r="4" spans="1:44" ht="14.55" customHeight="1">
      <c r="A4" s="4" t="str">
        <f>'Reference Score Calculation'!B395</f>
        <v>JSSA03</v>
      </c>
      <c r="B4" s="4" t="str">
        <f>'Reference Score Calculation'!D395</f>
        <v>聖方濟各大學</v>
      </c>
      <c r="C4" s="4" t="str">
        <f>'Reference Score Calculation'!E395</f>
        <v>物理治療學（榮譽）理學士</v>
      </c>
      <c r="D4" s="4" t="str">
        <f>'Reference Score Calculation'!S395</f>
        <v>BSPT (Hons)</v>
      </c>
      <c r="E4" s="15" t="str">
        <f>'Reference Score Calculation'!F395</f>
        <v>Best 5</v>
      </c>
      <c r="F4" s="6" t="str">
        <f>'Reference Score Calculation'!H395</f>
        <v>/</v>
      </c>
      <c r="G4" s="44">
        <f>'Reference Score Calculation'!I395</f>
        <v>21</v>
      </c>
      <c r="H4" s="6" t="str">
        <f>'Reference Score Calculation'!J395</f>
        <v>/</v>
      </c>
      <c r="I4" s="45">
        <f>計分版!J418</f>
        <v>3.4999999999999999E-9</v>
      </c>
      <c r="J4" s="25">
        <f t="shared" si="0"/>
        <v>-20.999999996500001</v>
      </c>
      <c r="K4" s="26">
        <f t="shared" si="1"/>
        <v>-5999999999.000001</v>
      </c>
      <c r="L4" s="36">
        <f>'Reference Score Calculation'!U395</f>
        <v>60</v>
      </c>
      <c r="M4" s="84">
        <f>入學要求!Z404</f>
        <v>0</v>
      </c>
      <c r="N4" s="544"/>
      <c r="O4" s="15">
        <v>3</v>
      </c>
      <c r="P4" s="15">
        <v>3</v>
      </c>
      <c r="Q4" s="15">
        <v>2</v>
      </c>
      <c r="R4" s="15">
        <v>2</v>
      </c>
      <c r="S4" s="15">
        <v>2</v>
      </c>
      <c r="T4" s="15"/>
      <c r="U4" s="255">
        <f>入學要求!S404</f>
        <v>0</v>
      </c>
      <c r="V4" s="255">
        <f>入學要求!T404</f>
        <v>0</v>
      </c>
      <c r="W4" s="255">
        <f>入學要求!U404</f>
        <v>0</v>
      </c>
      <c r="X4" s="255">
        <f>入學要求!V404</f>
        <v>0</v>
      </c>
      <c r="Y4" s="255">
        <f>入學要求!W404</f>
        <v>0</v>
      </c>
      <c r="Z4" s="255">
        <f>入學要求!X404</f>
        <v>0</v>
      </c>
      <c r="AA4" s="36">
        <f t="shared" si="2"/>
        <v>10.4</v>
      </c>
      <c r="AB4" s="537"/>
      <c r="AC4" s="36" cm="1">
        <f t="array" ref="AC4">IFERROR(INDEX('Offer Statistics'!FU$2:FU$400,MATCH(1,($A4='Offer Statistics'!$FF$2:$FF$400)*($AB$2='Offer Statistics'!$FG$2:$FG$400),0)),"/")</f>
        <v>60</v>
      </c>
      <c r="AD4" s="63" cm="1">
        <f t="array" ref="AD4">IFERROR(INDEX('Offer Statistics'!FP$2:FP$400,MATCH(1,($A4='Offer Statistics'!$FF$2:$FF$400)*($AB$2='Offer Statistics'!$FG$2:$FG$400),0)),"/")</f>
        <v>60</v>
      </c>
      <c r="AE4" s="63" cm="1">
        <f t="array" ref="AE4">IFERROR(INDEX('Offer Statistics'!FQ$2:FQ$400,MATCH(1,($A4='Offer Statistics'!$FF$2:$FF$400)*($AB$2='Offer Statistics'!$FG$2:$FG$400),0)),"/")</f>
        <v>0</v>
      </c>
      <c r="AF4" s="63" cm="1">
        <f t="array" ref="AF4">IFERROR(INDEX('Offer Statistics'!FR$2:FR$400,MATCH(1,($A4='Offer Statistics'!$FF$2:$FF$400)*($AB$2='Offer Statistics'!$FG$2:$FG$400),0)),"/")</f>
        <v>0</v>
      </c>
      <c r="AG4" s="63" cm="1">
        <f t="array" ref="AG4">IFERROR(INDEX('Offer Statistics'!FS$2:FS$400,MATCH(1,($A4='Offer Statistics'!$FF$2:$FF$400)*($AB$2='Offer Statistics'!$FG$2:$FG$400),0)),"/")</f>
        <v>0</v>
      </c>
      <c r="AH4" s="63" cm="1">
        <f t="array" ref="AH4">IFERROR(INDEX('Offer Statistics'!FT$2:FT$400,MATCH(1,($A4='Offer Statistics'!$FF$2:$FF$400)*($AB$2='Offer Statistics'!$FG$2:$FG$400),0)),"/")</f>
        <v>0</v>
      </c>
      <c r="AI4" s="552"/>
      <c r="AJ4" s="36" cm="1">
        <f t="array" ref="AJ4">IFERROR(INDEX('Offer Statistics'!FM$2:FM$400,MATCH(1,($A4='Offer Statistics'!$FF$2:$FF$400)*($AB$2='Offer Statistics'!$FG$2:$FG$400),0)),"/")</f>
        <v>3588</v>
      </c>
      <c r="AK4" s="63" cm="1">
        <f t="array" ref="AK4">IFERROR(INDEX('Offer Statistics'!FH$2:FH$400,MATCH(1,($A4='Offer Statistics'!$FF$2:$FF$400)*($AB$2='Offer Statistics'!$FG$2:$FG$400),0)),"/")</f>
        <v>624</v>
      </c>
      <c r="AL4" s="63" cm="1">
        <f t="array" ref="AL4">IFERROR(INDEX('Offer Statistics'!FI$2:FI$400,MATCH(1,($A4='Offer Statistics'!$FF$2:$FF$400)*($AB$2='Offer Statistics'!$FG$2:$FG$400),0)),"/")</f>
        <v>586</v>
      </c>
      <c r="AM4" s="63" cm="1">
        <f t="array" ref="AM4">IFERROR(INDEX('Offer Statistics'!FJ$2:FJ$400,MATCH(1,($A4='Offer Statistics'!$FF$2:$FF$400)*($AB$2='Offer Statistics'!$FG$2:$FG$400),0)),"/")</f>
        <v>781</v>
      </c>
      <c r="AN4" s="63" cm="1">
        <f t="array" ref="AN4">IFERROR(INDEX('Offer Statistics'!FK$2:FK$400,MATCH(1,($A4='Offer Statistics'!$FF$2:$FF$400)*($AB$2='Offer Statistics'!$FG$2:$FG$400),0)),"/")</f>
        <v>763</v>
      </c>
      <c r="AO4" s="63" cm="1">
        <f t="array" ref="AO4">IFERROR(INDEX('Offer Statistics'!FL$2:FL$400,MATCH(1,($A4='Offer Statistics'!$FF$2:$FF$400)*($AB$2='Offer Statistics'!$FG$2:$FG$400),0)),"/")</f>
        <v>834</v>
      </c>
      <c r="AP4" s="4"/>
      <c r="AQ4" s="15" t="str">
        <f t="shared" si="3"/>
        <v>JSSA03</v>
      </c>
      <c r="AR4" s="4"/>
    </row>
    <row r="5" spans="1:44" ht="14.55" customHeight="1">
      <c r="A5" s="4" t="str">
        <f>'Reference Score Calculation'!B396</f>
        <v>JSSA04</v>
      </c>
      <c r="B5" s="4" t="str">
        <f>'Reference Score Calculation'!D396</f>
        <v>聖方濟各大學</v>
      </c>
      <c r="C5" s="4" t="str">
        <f>'Reference Score Calculation'!E396</f>
        <v>人工智能（榮譽）理學士</v>
      </c>
      <c r="D5" s="4" t="str">
        <f>'Reference Score Calculation'!S396</f>
        <v>BSAI (Hons)</v>
      </c>
      <c r="E5" s="15" t="str">
        <f>'Reference Score Calculation'!F396</f>
        <v>Best 5</v>
      </c>
      <c r="F5" s="6" t="str">
        <f>'Reference Score Calculation'!H396</f>
        <v>/</v>
      </c>
      <c r="G5" s="44">
        <f>'Reference Score Calculation'!I396</f>
        <v>16</v>
      </c>
      <c r="H5" s="6" t="str">
        <f>'Reference Score Calculation'!J396</f>
        <v>/</v>
      </c>
      <c r="I5" s="45">
        <f>計分版!J419</f>
        <v>3.4999999999999999E-9</v>
      </c>
      <c r="J5" s="25">
        <f t="shared" si="0"/>
        <v>-15.9999999965</v>
      </c>
      <c r="K5" s="26">
        <f t="shared" si="1"/>
        <v>-4571428570.4285717</v>
      </c>
      <c r="L5" s="36">
        <f>'Reference Score Calculation'!U396</f>
        <v>25</v>
      </c>
      <c r="M5" s="84">
        <f>入學要求!Z405</f>
        <v>0</v>
      </c>
      <c r="N5" s="544"/>
      <c r="O5" s="15">
        <v>3</v>
      </c>
      <c r="P5" s="15">
        <v>3</v>
      </c>
      <c r="Q5" s="15">
        <v>2</v>
      </c>
      <c r="R5" s="15">
        <v>2</v>
      </c>
      <c r="S5" s="15">
        <v>2</v>
      </c>
      <c r="T5" s="15"/>
      <c r="U5" s="255">
        <f>入學要求!S405</f>
        <v>0</v>
      </c>
      <c r="V5" s="255">
        <f>入學要求!T405</f>
        <v>0</v>
      </c>
      <c r="W5" s="255">
        <f>入學要求!U405</f>
        <v>0</v>
      </c>
      <c r="X5" s="255">
        <f>入學要求!V405</f>
        <v>0</v>
      </c>
      <c r="Y5" s="255">
        <f>入學要求!W405</f>
        <v>0</v>
      </c>
      <c r="Z5" s="255">
        <f>入學要求!X405</f>
        <v>0</v>
      </c>
      <c r="AA5" s="36">
        <f t="shared" si="2"/>
        <v>10.95</v>
      </c>
      <c r="AB5" s="537"/>
      <c r="AC5" s="36" cm="1">
        <f t="array" ref="AC5">IFERROR(INDEX('Offer Statistics'!FU$2:FU$400,MATCH(1,($A5='Offer Statistics'!$FF$2:$FF$400)*($AB$2='Offer Statistics'!$FG$2:$FG$400),0)),"/")</f>
        <v>66</v>
      </c>
      <c r="AD5" s="63" cm="1">
        <f t="array" ref="AD5">IFERROR(INDEX('Offer Statistics'!FP$2:FP$400,MATCH(1,($A5='Offer Statistics'!$FF$2:$FF$400)*($AB$2='Offer Statistics'!$FG$2:$FG$400),0)),"/")</f>
        <v>19</v>
      </c>
      <c r="AE5" s="63" cm="1">
        <f t="array" ref="AE5">IFERROR(INDEX('Offer Statistics'!FQ$2:FQ$400,MATCH(1,($A5='Offer Statistics'!$FF$2:$FF$400)*($AB$2='Offer Statistics'!$FG$2:$FG$400),0)),"/")</f>
        <v>14</v>
      </c>
      <c r="AF5" s="63" cm="1">
        <f t="array" ref="AF5">IFERROR(INDEX('Offer Statistics'!FR$2:FR$400,MATCH(1,($A5='Offer Statistics'!$FF$2:$FF$400)*($AB$2='Offer Statistics'!$FG$2:$FG$400),0)),"/")</f>
        <v>12</v>
      </c>
      <c r="AG5" s="63" cm="1">
        <f t="array" ref="AG5">IFERROR(INDEX('Offer Statistics'!FS$2:FS$400,MATCH(1,($A5='Offer Statistics'!$FF$2:$FF$400)*($AB$2='Offer Statistics'!$FG$2:$FG$400),0)),"/")</f>
        <v>8</v>
      </c>
      <c r="AH5" s="63" cm="1">
        <f t="array" ref="AH5">IFERROR(INDEX('Offer Statistics'!FT$2:FT$400,MATCH(1,($A5='Offer Statistics'!$FF$2:$FF$400)*($AB$2='Offer Statistics'!$FG$2:$FG$400),0)),"/")</f>
        <v>13</v>
      </c>
      <c r="AI5" s="552"/>
      <c r="AJ5" s="36" cm="1">
        <f t="array" ref="AJ5">IFERROR(INDEX('Offer Statistics'!FM$2:FM$400,MATCH(1,($A5='Offer Statistics'!$FF$2:$FF$400)*($AB$2='Offer Statistics'!$FG$2:$FG$400),0)),"/")</f>
        <v>1937</v>
      </c>
      <c r="AK5" s="63" cm="1">
        <f t="array" ref="AK5">IFERROR(INDEX('Offer Statistics'!FH$2:FH$400,MATCH(1,($A5='Offer Statistics'!$FF$2:$FF$400)*($AB$2='Offer Statistics'!$FG$2:$FG$400),0)),"/")</f>
        <v>208</v>
      </c>
      <c r="AL5" s="63" cm="1">
        <f t="array" ref="AL5">IFERROR(INDEX('Offer Statistics'!FI$2:FI$400,MATCH(1,($A5='Offer Statistics'!$FF$2:$FF$400)*($AB$2='Offer Statistics'!$FG$2:$FG$400),0)),"/")</f>
        <v>325</v>
      </c>
      <c r="AM5" s="63" cm="1">
        <f t="array" ref="AM5">IFERROR(INDEX('Offer Statistics'!FJ$2:FJ$400,MATCH(1,($A5='Offer Statistics'!$FF$2:$FF$400)*($AB$2='Offer Statistics'!$FG$2:$FG$400),0)),"/")</f>
        <v>378</v>
      </c>
      <c r="AN5" s="63" cm="1">
        <f t="array" ref="AN5">IFERROR(INDEX('Offer Statistics'!FK$2:FK$400,MATCH(1,($A5='Offer Statistics'!$FF$2:$FF$400)*($AB$2='Offer Statistics'!$FG$2:$FG$400),0)),"/")</f>
        <v>436</v>
      </c>
      <c r="AO5" s="63" cm="1">
        <f t="array" ref="AO5">IFERROR(INDEX('Offer Statistics'!FL$2:FL$400,MATCH(1,($A5='Offer Statistics'!$FF$2:$FF$400)*($AB$2='Offer Statistics'!$FG$2:$FG$400),0)),"/")</f>
        <v>590</v>
      </c>
      <c r="AP5" s="4"/>
      <c r="AQ5" s="15" t="str">
        <f t="shared" si="3"/>
        <v>JSSA04</v>
      </c>
      <c r="AR5" s="4"/>
    </row>
    <row r="6" spans="1:44" ht="14.55" customHeight="1">
      <c r="A6" s="4" t="str">
        <f>'Reference Score Calculation'!B397</f>
        <v>JSSA05</v>
      </c>
      <c r="B6" s="4" t="str">
        <f>'Reference Score Calculation'!D397</f>
        <v>聖方濟各大學</v>
      </c>
      <c r="C6" s="4" t="str">
        <f>'Reference Score Calculation'!E397</f>
        <v>翻譯科技（榮譽）文學士</v>
      </c>
      <c r="D6" s="4" t="str">
        <f>'Reference Score Calculation'!S397</f>
        <v>BATT (Hons)</v>
      </c>
      <c r="E6" s="15" t="str">
        <f>'Reference Score Calculation'!F397</f>
        <v>Best 5</v>
      </c>
      <c r="F6" s="6" t="str">
        <f>'Reference Score Calculation'!H397</f>
        <v>/</v>
      </c>
      <c r="G6" s="44">
        <f>'Reference Score Calculation'!I397</f>
        <v>17</v>
      </c>
      <c r="H6" s="6" t="str">
        <f>'Reference Score Calculation'!J397</f>
        <v>/</v>
      </c>
      <c r="I6" s="45">
        <f>計分版!J420</f>
        <v>3.4999999999999999E-9</v>
      </c>
      <c r="J6" s="25">
        <f t="shared" si="0"/>
        <v>-16.999999996500001</v>
      </c>
      <c r="K6" s="26">
        <f t="shared" si="1"/>
        <v>-4857142856.1428576</v>
      </c>
      <c r="L6" s="36">
        <f>'Reference Score Calculation'!U397</f>
        <v>5</v>
      </c>
      <c r="M6" s="84">
        <f>入學要求!Z406</f>
        <v>0</v>
      </c>
      <c r="N6" s="544"/>
      <c r="O6" s="15">
        <v>3</v>
      </c>
      <c r="P6" s="15">
        <v>3</v>
      </c>
      <c r="Q6" s="15">
        <v>2</v>
      </c>
      <c r="R6" s="15">
        <v>2</v>
      </c>
      <c r="S6" s="15">
        <v>2</v>
      </c>
      <c r="T6" s="15"/>
      <c r="U6" s="255">
        <f>入學要求!S406</f>
        <v>0</v>
      </c>
      <c r="V6" s="255">
        <f>入學要求!T406</f>
        <v>0</v>
      </c>
      <c r="W6" s="255">
        <f>入學要求!U406</f>
        <v>0</v>
      </c>
      <c r="X6" s="255">
        <f>入學要求!V406</f>
        <v>0</v>
      </c>
      <c r="Y6" s="255">
        <f>入學要求!W406</f>
        <v>0</v>
      </c>
      <c r="Z6" s="255">
        <f>入學要求!X406</f>
        <v>0</v>
      </c>
      <c r="AA6" s="36">
        <f t="shared" si="2"/>
        <v>14</v>
      </c>
      <c r="AB6" s="537"/>
      <c r="AC6" s="36" cm="1">
        <f t="array" ref="AC6">IFERROR(INDEX('Offer Statistics'!FU$2:FU$400,MATCH(1,($A6='Offer Statistics'!$FF$2:$FF$400)*($AB$2='Offer Statistics'!$FG$2:$FG$400),0)),"/")</f>
        <v>22</v>
      </c>
      <c r="AD6" s="63" cm="1">
        <f t="array" ref="AD6">IFERROR(INDEX('Offer Statistics'!FP$2:FP$400,MATCH(1,($A6='Offer Statistics'!$FF$2:$FF$400)*($AB$2='Offer Statistics'!$FG$2:$FG$400),0)),"/")</f>
        <v>4</v>
      </c>
      <c r="AE6" s="63" cm="1">
        <f t="array" ref="AE6">IFERROR(INDEX('Offer Statistics'!FQ$2:FQ$400,MATCH(1,($A6='Offer Statistics'!$FF$2:$FF$400)*($AB$2='Offer Statistics'!$FG$2:$FG$400),0)),"/")</f>
        <v>7</v>
      </c>
      <c r="AF6" s="63" cm="1">
        <f t="array" ref="AF6">IFERROR(INDEX('Offer Statistics'!FR$2:FR$400,MATCH(1,($A6='Offer Statistics'!$FF$2:$FF$400)*($AB$2='Offer Statistics'!$FG$2:$FG$400),0)),"/")</f>
        <v>3</v>
      </c>
      <c r="AG6" s="63" cm="1">
        <f t="array" ref="AG6">IFERROR(INDEX('Offer Statistics'!FS$2:FS$400,MATCH(1,($A6='Offer Statistics'!$FF$2:$FF$400)*($AB$2='Offer Statistics'!$FG$2:$FG$400),0)),"/")</f>
        <v>4</v>
      </c>
      <c r="AH6" s="63" cm="1">
        <f t="array" ref="AH6">IFERROR(INDEX('Offer Statistics'!FT$2:FT$400,MATCH(1,($A6='Offer Statistics'!$FF$2:$FF$400)*($AB$2='Offer Statistics'!$FG$2:$FG$400),0)),"/")</f>
        <v>4</v>
      </c>
      <c r="AI6" s="552"/>
      <c r="AJ6" s="36" cm="1">
        <f t="array" ref="AJ6">IFERROR(INDEX('Offer Statistics'!FM$2:FM$400,MATCH(1,($A6='Offer Statistics'!$FF$2:$FF$400)*($AB$2='Offer Statistics'!$FG$2:$FG$400),0)),"/")</f>
        <v>652</v>
      </c>
      <c r="AK6" s="63" cm="1">
        <f t="array" ref="AK6">IFERROR(INDEX('Offer Statistics'!FH$2:FH$400,MATCH(1,($A6='Offer Statistics'!$FF$2:$FF$400)*($AB$2='Offer Statistics'!$FG$2:$FG$400),0)),"/")</f>
        <v>56</v>
      </c>
      <c r="AL6" s="63" cm="1">
        <f t="array" ref="AL6">IFERROR(INDEX('Offer Statistics'!FI$2:FI$400,MATCH(1,($A6='Offer Statistics'!$FF$2:$FF$400)*($AB$2='Offer Statistics'!$FG$2:$FG$400),0)),"/")</f>
        <v>96</v>
      </c>
      <c r="AM6" s="63" cm="1">
        <f t="array" ref="AM6">IFERROR(INDEX('Offer Statistics'!FJ$2:FJ$400,MATCH(1,($A6='Offer Statistics'!$FF$2:$FF$400)*($AB$2='Offer Statistics'!$FG$2:$FG$400),0)),"/")</f>
        <v>125</v>
      </c>
      <c r="AN6" s="63" cm="1">
        <f t="array" ref="AN6">IFERROR(INDEX('Offer Statistics'!FK$2:FK$400,MATCH(1,($A6='Offer Statistics'!$FF$2:$FF$400)*($AB$2='Offer Statistics'!$FG$2:$FG$400),0)),"/")</f>
        <v>164</v>
      </c>
      <c r="AO6" s="63" cm="1">
        <f t="array" ref="AO6">IFERROR(INDEX('Offer Statistics'!FL$2:FL$400,MATCH(1,($A6='Offer Statistics'!$FF$2:$FF$400)*($AB$2='Offer Statistics'!$FG$2:$FG$400),0)),"/")</f>
        <v>211</v>
      </c>
      <c r="AP6" s="4"/>
      <c r="AQ6" s="15" t="str">
        <f t="shared" si="3"/>
        <v>JSSA05</v>
      </c>
      <c r="AR6" s="4"/>
    </row>
    <row r="7" spans="1:44" ht="14.55" customHeight="1">
      <c r="A7" s="4" t="str">
        <f>'Reference Score Calculation'!B398</f>
        <v>JSSA06</v>
      </c>
      <c r="B7" s="4" t="str">
        <f>'Reference Score Calculation'!D398</f>
        <v>聖方濟各大學</v>
      </c>
      <c r="C7" s="4" t="str">
        <f>'Reference Score Calculation'!E398</f>
        <v>工商管理（榮譽）酒店及旅遊管理應用學士</v>
      </c>
      <c r="D7" s="4" t="str">
        <f>'Reference Score Calculation'!S398</f>
        <v>BBA-AHTM</v>
      </c>
      <c r="E7" s="15" t="str">
        <f>'Reference Score Calculation'!F398</f>
        <v>Best 5</v>
      </c>
      <c r="F7" s="6" t="str">
        <f>'Reference Score Calculation'!H398</f>
        <v>/</v>
      </c>
      <c r="G7" s="44">
        <f>'Reference Score Calculation'!I398</f>
        <v>15</v>
      </c>
      <c r="H7" s="6" t="str">
        <f>'Reference Score Calculation'!J398</f>
        <v>/</v>
      </c>
      <c r="I7" s="45">
        <f>計分版!J421</f>
        <v>3.4999999999999999E-9</v>
      </c>
      <c r="J7" s="25">
        <f t="shared" si="0"/>
        <v>-14.9999999965</v>
      </c>
      <c r="K7" s="26">
        <f t="shared" si="1"/>
        <v>-4285714284.7142859</v>
      </c>
      <c r="L7" s="36">
        <f>'Reference Score Calculation'!U398</f>
        <v>25</v>
      </c>
      <c r="M7" s="84">
        <f>入學要求!Z407</f>
        <v>0</v>
      </c>
      <c r="N7" s="544"/>
      <c r="O7" s="15">
        <v>3</v>
      </c>
      <c r="P7" s="15">
        <v>3</v>
      </c>
      <c r="Q7" s="15">
        <v>2</v>
      </c>
      <c r="R7" s="15">
        <v>2</v>
      </c>
      <c r="S7" s="15">
        <v>2</v>
      </c>
      <c r="T7" s="15"/>
      <c r="U7" s="255">
        <f>入學要求!S407</f>
        <v>0</v>
      </c>
      <c r="V7" s="255">
        <f>入學要求!T407</f>
        <v>0</v>
      </c>
      <c r="W7" s="255">
        <f>入學要求!U407</f>
        <v>0</v>
      </c>
      <c r="X7" s="255">
        <f>入學要求!V407</f>
        <v>0</v>
      </c>
      <c r="Y7" s="255">
        <f>入學要求!W407</f>
        <v>0</v>
      </c>
      <c r="Z7" s="255">
        <f>入學要求!X407</f>
        <v>0</v>
      </c>
      <c r="AA7" s="36">
        <f t="shared" si="2"/>
        <v>12.36</v>
      </c>
      <c r="AB7" s="537"/>
      <c r="AC7" s="36" cm="1">
        <f t="array" ref="AC7">IFERROR(INDEX('Offer Statistics'!FU$2:FU$400,MATCH(1,($A7='Offer Statistics'!$FF$2:$FF$400)*($AB$2='Offer Statistics'!$FG$2:$FG$400),0)),"/")</f>
        <v>81</v>
      </c>
      <c r="AD7" s="63" cm="1">
        <f t="array" ref="AD7">IFERROR(INDEX('Offer Statistics'!FP$2:FP$400,MATCH(1,($A7='Offer Statistics'!$FF$2:$FF$400)*($AB$2='Offer Statistics'!$FG$2:$FG$400),0)),"/")</f>
        <v>39</v>
      </c>
      <c r="AE7" s="63" cm="1">
        <f t="array" ref="AE7">IFERROR(INDEX('Offer Statistics'!FQ$2:FQ$400,MATCH(1,($A7='Offer Statistics'!$FF$2:$FF$400)*($AB$2='Offer Statistics'!$FG$2:$FG$400),0)),"/")</f>
        <v>17</v>
      </c>
      <c r="AF7" s="63" cm="1">
        <f t="array" ref="AF7">IFERROR(INDEX('Offer Statistics'!FR$2:FR$400,MATCH(1,($A7='Offer Statistics'!$FF$2:$FF$400)*($AB$2='Offer Statistics'!$FG$2:$FG$400),0)),"/")</f>
        <v>6</v>
      </c>
      <c r="AG7" s="63" cm="1">
        <f t="array" ref="AG7">IFERROR(INDEX('Offer Statistics'!FS$2:FS$400,MATCH(1,($A7='Offer Statistics'!$FF$2:$FF$400)*($AB$2='Offer Statistics'!$FG$2:$FG$400),0)),"/")</f>
        <v>9</v>
      </c>
      <c r="AH7" s="63" cm="1">
        <f t="array" ref="AH7">IFERROR(INDEX('Offer Statistics'!FT$2:FT$400,MATCH(1,($A7='Offer Statistics'!$FF$2:$FF$400)*($AB$2='Offer Statistics'!$FG$2:$FG$400),0)),"/")</f>
        <v>10</v>
      </c>
      <c r="AI7" s="552"/>
      <c r="AJ7" s="36" cm="1">
        <f t="array" ref="AJ7">IFERROR(INDEX('Offer Statistics'!FM$2:FM$400,MATCH(1,($A7='Offer Statistics'!$FF$2:$FF$400)*($AB$2='Offer Statistics'!$FG$2:$FG$400),0)),"/")</f>
        <v>2597</v>
      </c>
      <c r="AK7" s="63" cm="1">
        <f t="array" ref="AK7">IFERROR(INDEX('Offer Statistics'!FH$2:FH$400,MATCH(1,($A7='Offer Statistics'!$FF$2:$FF$400)*($AB$2='Offer Statistics'!$FG$2:$FG$400),0)),"/")</f>
        <v>482</v>
      </c>
      <c r="AL7" s="63" cm="1">
        <f t="array" ref="AL7">IFERROR(INDEX('Offer Statistics'!FI$2:FI$400,MATCH(1,($A7='Offer Statistics'!$FF$2:$FF$400)*($AB$2='Offer Statistics'!$FG$2:$FG$400),0)),"/")</f>
        <v>451</v>
      </c>
      <c r="AM7" s="63" cm="1">
        <f t="array" ref="AM7">IFERROR(INDEX('Offer Statistics'!FJ$2:FJ$400,MATCH(1,($A7='Offer Statistics'!$FF$2:$FF$400)*($AB$2='Offer Statistics'!$FG$2:$FG$400),0)),"/")</f>
        <v>478</v>
      </c>
      <c r="AN7" s="63" cm="1">
        <f t="array" ref="AN7">IFERROR(INDEX('Offer Statistics'!FK$2:FK$400,MATCH(1,($A7='Offer Statistics'!$FF$2:$FF$400)*($AB$2='Offer Statistics'!$FG$2:$FG$400),0)),"/")</f>
        <v>536</v>
      </c>
      <c r="AO7" s="63" cm="1">
        <f t="array" ref="AO7">IFERROR(INDEX('Offer Statistics'!FL$2:FL$400,MATCH(1,($A7='Offer Statistics'!$FF$2:$FF$400)*($AB$2='Offer Statistics'!$FG$2:$FG$400),0)),"/")</f>
        <v>650</v>
      </c>
      <c r="AP7" s="4"/>
      <c r="AQ7" s="15" t="str">
        <f t="shared" si="3"/>
        <v>JSSA06</v>
      </c>
      <c r="AR7" s="4"/>
    </row>
    <row r="8" spans="1:44" ht="14.55" customHeight="1">
      <c r="A8" s="4" t="str">
        <f>'Reference Score Calculation'!B399</f>
        <v>JSSC02</v>
      </c>
      <c r="B8" s="4" t="str">
        <f>'Reference Score Calculation'!D399</f>
        <v>珠海學院</v>
      </c>
      <c r="C8" s="4" t="str">
        <f>'Reference Score Calculation'!E399</f>
        <v>建築學（榮譽）理學士</v>
      </c>
      <c r="D8" s="4" t="str">
        <f>'Reference Score Calculation'!S399</f>
        <v>B.Sc (Hons) in Arch</v>
      </c>
      <c r="E8" s="15" t="str">
        <f>'Reference Score Calculation'!F399</f>
        <v>Best 4</v>
      </c>
      <c r="F8" s="6">
        <f>'Reference Score Calculation'!H399</f>
        <v>15</v>
      </c>
      <c r="G8" s="413" t="str">
        <f>'Reference Score Calculation'!I399</f>
        <v>/</v>
      </c>
      <c r="H8" s="6">
        <f>'Reference Score Calculation'!J399</f>
        <v>13</v>
      </c>
      <c r="I8" s="45">
        <f>計分版!J422</f>
        <v>3.3500000000000002E-9</v>
      </c>
      <c r="J8" s="25">
        <f>IFERROR(IF(J$1="差距(Median)",I8-F8,IF(J$1="差距(UQ)",I8-F8,IF(J$1="差距(LQ)",I8-H8))),"/")</f>
        <v>-14.999999996650001</v>
      </c>
      <c r="K8" s="26">
        <f>IFERROR(IF(J$1="差距(Median)",(I8-F8)/I8,IF(J$1="差距(UQ)",(I8-F8)/I8,IF(J$1="差距(LQ)",(I8-H8)/I8))),"/")</f>
        <v>-4477611939.2985077</v>
      </c>
      <c r="L8" s="36">
        <f>'Reference Score Calculation'!U399</f>
        <v>20</v>
      </c>
      <c r="M8" s="84">
        <f>入學要求!Z408</f>
        <v>0</v>
      </c>
      <c r="N8" s="544"/>
      <c r="O8" s="15">
        <v>3</v>
      </c>
      <c r="P8" s="15">
        <v>3</v>
      </c>
      <c r="Q8" s="15">
        <v>2</v>
      </c>
      <c r="R8" s="15">
        <v>2</v>
      </c>
      <c r="S8" s="15">
        <v>2</v>
      </c>
      <c r="T8" s="15"/>
      <c r="U8" s="255">
        <f>入學要求!S408</f>
        <v>0</v>
      </c>
      <c r="V8" s="255">
        <f>入學要求!T408</f>
        <v>0</v>
      </c>
      <c r="W8" s="255">
        <f>入學要求!U408</f>
        <v>0</v>
      </c>
      <c r="X8" s="255">
        <f>入學要求!V408</f>
        <v>0</v>
      </c>
      <c r="Y8" s="255">
        <f>入學要求!W408</f>
        <v>0</v>
      </c>
      <c r="Z8" s="255">
        <f>入學要求!X408</f>
        <v>0</v>
      </c>
      <c r="AA8" s="36">
        <f t="shared" si="2"/>
        <v>5.67</v>
      </c>
      <c r="AB8" s="537"/>
      <c r="AC8" s="36" cm="1">
        <f t="array" ref="AC8">IFERROR(INDEX('Offer Statistics'!FU$2:FU$400,MATCH(1,($A8='Offer Statistics'!$FF$2:$FF$400)*($AB$2='Offer Statistics'!$FG$2:$FG$400),0)),"/")</f>
        <v>27</v>
      </c>
      <c r="AD8" s="63" cm="1">
        <f t="array" ref="AD8">IFERROR(INDEX('Offer Statistics'!FP$2:FP$400,MATCH(1,($A8='Offer Statistics'!$FF$2:$FF$400)*($AB$2='Offer Statistics'!$FG$2:$FG$400),0)),"/")</f>
        <v>15</v>
      </c>
      <c r="AE8" s="63" cm="1">
        <f t="array" ref="AE8">IFERROR(INDEX('Offer Statistics'!FQ$2:FQ$400,MATCH(1,($A8='Offer Statistics'!$FF$2:$FF$400)*($AB$2='Offer Statistics'!$FG$2:$FG$400),0)),"/")</f>
        <v>1</v>
      </c>
      <c r="AF8" s="63" cm="1">
        <f t="array" ref="AF8">IFERROR(INDEX('Offer Statistics'!FR$2:FR$400,MATCH(1,($A8='Offer Statistics'!$FF$2:$FF$400)*($AB$2='Offer Statistics'!$FG$2:$FG$400),0)),"/")</f>
        <v>2</v>
      </c>
      <c r="AG8" s="63" cm="1">
        <f t="array" ref="AG8">IFERROR(INDEX('Offer Statistics'!FS$2:FS$400,MATCH(1,($A8='Offer Statistics'!$FF$2:$FF$400)*($AB$2='Offer Statistics'!$FG$2:$FG$400),0)),"/")</f>
        <v>4</v>
      </c>
      <c r="AH8" s="63" cm="1">
        <f t="array" ref="AH8">IFERROR(INDEX('Offer Statistics'!FT$2:FT$400,MATCH(1,($A8='Offer Statistics'!$FF$2:$FF$400)*($AB$2='Offer Statistics'!$FG$2:$FG$400),0)),"/")</f>
        <v>5</v>
      </c>
      <c r="AI8" s="552"/>
      <c r="AJ8" s="36" cm="1">
        <f t="array" ref="AJ8">IFERROR(INDEX('Offer Statistics'!FM$2:FM$400,MATCH(1,($A8='Offer Statistics'!$FF$2:$FF$400)*($AB$2='Offer Statistics'!$FG$2:$FG$400),0)),"/")</f>
        <v>965</v>
      </c>
      <c r="AK8" s="63" cm="1">
        <f t="array" ref="AK8">IFERROR(INDEX('Offer Statistics'!FH$2:FH$400,MATCH(1,($A8='Offer Statistics'!$FF$2:$FF$400)*($AB$2='Offer Statistics'!$FG$2:$FG$400),0)),"/")</f>
        <v>85</v>
      </c>
      <c r="AL8" s="63" cm="1">
        <f t="array" ref="AL8">IFERROR(INDEX('Offer Statistics'!FI$2:FI$400,MATCH(1,($A8='Offer Statistics'!$FF$2:$FF$400)*($AB$2='Offer Statistics'!$FG$2:$FG$400),0)),"/")</f>
        <v>112</v>
      </c>
      <c r="AM8" s="63" cm="1">
        <f t="array" ref="AM8">IFERROR(INDEX('Offer Statistics'!FJ$2:FJ$400,MATCH(1,($A8='Offer Statistics'!$FF$2:$FF$400)*($AB$2='Offer Statistics'!$FG$2:$FG$400),0)),"/")</f>
        <v>175</v>
      </c>
      <c r="AN8" s="63" cm="1">
        <f t="array" ref="AN8">IFERROR(INDEX('Offer Statistics'!FK$2:FK$400,MATCH(1,($A8='Offer Statistics'!$FF$2:$FF$400)*($AB$2='Offer Statistics'!$FG$2:$FG$400),0)),"/")</f>
        <v>254</v>
      </c>
      <c r="AO8" s="63" cm="1">
        <f t="array" ref="AO8">IFERROR(INDEX('Offer Statistics'!FL$2:FL$400,MATCH(1,($A8='Offer Statistics'!$FF$2:$FF$400)*($AB$2='Offer Statistics'!$FG$2:$FG$400),0)),"/")</f>
        <v>339</v>
      </c>
      <c r="AP8" s="4"/>
      <c r="AQ8" s="15" t="str">
        <f t="shared" si="3"/>
        <v>JSSC02</v>
      </c>
      <c r="AR8" s="4"/>
    </row>
    <row r="9" spans="1:44" ht="14.55" customHeight="1">
      <c r="A9" s="4" t="str">
        <f>'Reference Score Calculation'!B400</f>
        <v>JSSH01</v>
      </c>
      <c r="B9" s="4" t="str">
        <f>'Reference Score Calculation'!D400</f>
        <v>恒生大學</v>
      </c>
      <c r="C9" s="4" t="str">
        <f>'Reference Score Calculation'!E400</f>
        <v>供應鏈管理工商管理（榮譽）學士</v>
      </c>
      <c r="D9" s="4" t="str">
        <f>'Reference Score Calculation'!S400</f>
        <v>BBA-SCM</v>
      </c>
      <c r="E9" s="15" t="str">
        <f>'Reference Score Calculation'!F400</f>
        <v>Best 5</v>
      </c>
      <c r="F9" s="6" t="str">
        <f>'Reference Score Calculation'!H400</f>
        <v>/</v>
      </c>
      <c r="G9" s="44">
        <f>'Reference Score Calculation'!I400</f>
        <v>16.23</v>
      </c>
      <c r="H9" s="6" t="str">
        <f>'Reference Score Calculation'!J400</f>
        <v>/</v>
      </c>
      <c r="I9" s="45">
        <f>計分版!J423</f>
        <v>3.4999999999999999E-9</v>
      </c>
      <c r="J9" s="25">
        <f>IFERROR(I9-G9,"/")</f>
        <v>-16.229999996500002</v>
      </c>
      <c r="K9" s="26">
        <f>IFERROR((I9-G9)/I9,"/")</f>
        <v>-4637142856.1428576</v>
      </c>
      <c r="L9" s="36">
        <f>'Reference Score Calculation'!U400</f>
        <v>105</v>
      </c>
      <c r="M9" s="84">
        <f>入學要求!Z409</f>
        <v>0</v>
      </c>
      <c r="N9" s="544"/>
      <c r="O9" s="15">
        <v>3</v>
      </c>
      <c r="P9" s="15">
        <v>3</v>
      </c>
      <c r="Q9" s="15">
        <v>2</v>
      </c>
      <c r="R9" s="15">
        <v>2</v>
      </c>
      <c r="S9" s="15">
        <v>2</v>
      </c>
      <c r="T9" s="15"/>
      <c r="U9" s="255">
        <f>入學要求!S409</f>
        <v>0</v>
      </c>
      <c r="V9" s="255">
        <f>入學要求!T409</f>
        <v>0</v>
      </c>
      <c r="W9" s="255">
        <f>入學要求!U409</f>
        <v>0</v>
      </c>
      <c r="X9" s="255">
        <f>入學要求!V409</f>
        <v>0</v>
      </c>
      <c r="Y9" s="255">
        <f>入學要求!W409</f>
        <v>0</v>
      </c>
      <c r="Z9" s="255">
        <f>入學要求!X409</f>
        <v>0</v>
      </c>
      <c r="AA9" s="36">
        <f t="shared" si="2"/>
        <v>3.6</v>
      </c>
      <c r="AB9" s="537"/>
      <c r="AC9" s="36" cm="1">
        <f t="array" ref="AC9">IFERROR(INDEX('Offer Statistics'!FU$2:FU$400,MATCH(1,($A9='Offer Statistics'!$FF$2:$FF$400)*($AB$2='Offer Statistics'!$FG$2:$FG$400),0)),"/")</f>
        <v>227</v>
      </c>
      <c r="AD9" s="63" cm="1">
        <f t="array" ref="AD9">IFERROR(INDEX('Offer Statistics'!FP$2:FP$400,MATCH(1,($A9='Offer Statistics'!$FF$2:$FF$400)*($AB$2='Offer Statistics'!$FG$2:$FG$400),0)),"/")</f>
        <v>147</v>
      </c>
      <c r="AE9" s="63" cm="1">
        <f t="array" ref="AE9">IFERROR(INDEX('Offer Statistics'!FQ$2:FQ$400,MATCH(1,($A9='Offer Statistics'!$FF$2:$FF$400)*($AB$2='Offer Statistics'!$FG$2:$FG$400),0)),"/")</f>
        <v>50</v>
      </c>
      <c r="AF9" s="63" cm="1">
        <f t="array" ref="AF9">IFERROR(INDEX('Offer Statistics'!FR$2:FR$400,MATCH(1,($A9='Offer Statistics'!$FF$2:$FF$400)*($AB$2='Offer Statistics'!$FG$2:$FG$400),0)),"/")</f>
        <v>13</v>
      </c>
      <c r="AG9" s="63" cm="1">
        <f t="array" ref="AG9">IFERROR(INDEX('Offer Statistics'!FS$2:FS$400,MATCH(1,($A9='Offer Statistics'!$FF$2:$FF$400)*($AB$2='Offer Statistics'!$FG$2:$FG$400),0)),"/")</f>
        <v>16</v>
      </c>
      <c r="AH9" s="63" cm="1">
        <f t="array" ref="AH9">IFERROR(INDEX('Offer Statistics'!FT$2:FT$400,MATCH(1,($A9='Offer Statistics'!$FF$2:$FF$400)*($AB$2='Offer Statistics'!$FG$2:$FG$400),0)),"/")</f>
        <v>1</v>
      </c>
      <c r="AI9" s="552"/>
      <c r="AJ9" s="36" cm="1">
        <f t="array" ref="AJ9">IFERROR(INDEX('Offer Statistics'!FM$2:FM$400,MATCH(1,($A9='Offer Statistics'!$FF$2:$FF$400)*($AB$2='Offer Statistics'!$FG$2:$FG$400),0)),"/")</f>
        <v>2475</v>
      </c>
      <c r="AK9" s="63" cm="1">
        <f t="array" ref="AK9">IFERROR(INDEX('Offer Statistics'!FH$2:FH$400,MATCH(1,($A9='Offer Statistics'!$FF$2:$FF$400)*($AB$2='Offer Statistics'!$FG$2:$FG$400),0)),"/")</f>
        <v>529</v>
      </c>
      <c r="AL9" s="63" cm="1">
        <f t="array" ref="AL9">IFERROR(INDEX('Offer Statistics'!FI$2:FI$400,MATCH(1,($A9='Offer Statistics'!$FF$2:$FF$400)*($AB$2='Offer Statistics'!$FG$2:$FG$400),0)),"/")</f>
        <v>462</v>
      </c>
      <c r="AM9" s="63" cm="1">
        <f t="array" ref="AM9">IFERROR(INDEX('Offer Statistics'!FJ$2:FJ$400,MATCH(1,($A9='Offer Statistics'!$FF$2:$FF$400)*($AB$2='Offer Statistics'!$FG$2:$FG$400),0)),"/")</f>
        <v>452</v>
      </c>
      <c r="AN9" s="63" cm="1">
        <f t="array" ref="AN9">IFERROR(INDEX('Offer Statistics'!FK$2:FK$400,MATCH(1,($A9='Offer Statistics'!$FF$2:$FF$400)*($AB$2='Offer Statistics'!$FG$2:$FG$400),0)),"/")</f>
        <v>454</v>
      </c>
      <c r="AO9" s="63" cm="1">
        <f t="array" ref="AO9">IFERROR(INDEX('Offer Statistics'!FL$2:FL$400,MATCH(1,($A9='Offer Statistics'!$FF$2:$FF$400)*($AB$2='Offer Statistics'!$FG$2:$FG$400),0)),"/")</f>
        <v>578</v>
      </c>
      <c r="AP9" s="4"/>
      <c r="AQ9" s="15" t="str">
        <f t="shared" si="3"/>
        <v>JSSH01</v>
      </c>
      <c r="AR9" s="4"/>
    </row>
    <row r="10" spans="1:44" ht="14.55" customHeight="1">
      <c r="A10" s="4" t="str">
        <f>'Reference Score Calculation'!B401</f>
        <v>JSSH02</v>
      </c>
      <c r="B10" s="4" t="str">
        <f>'Reference Score Calculation'!D401</f>
        <v>恒生大學</v>
      </c>
      <c r="C10" s="4" t="str">
        <f>'Reference Score Calculation'!E401</f>
        <v>精算及保險 （榮譽）理學士</v>
      </c>
      <c r="D10" s="4" t="str">
        <f>'Reference Score Calculation'!S401</f>
        <v>BSc-AIN</v>
      </c>
      <c r="E10" s="15" t="str">
        <f>'Reference Score Calculation'!F401</f>
        <v>Best 5</v>
      </c>
      <c r="F10" s="6" t="str">
        <f>'Reference Score Calculation'!H401</f>
        <v>/</v>
      </c>
      <c r="G10" s="44">
        <f>'Reference Score Calculation'!I401</f>
        <v>16.420000000000002</v>
      </c>
      <c r="H10" s="6" t="str">
        <f>'Reference Score Calculation'!J401</f>
        <v>/</v>
      </c>
      <c r="I10" s="45">
        <f>計分版!J424</f>
        <v>3.4999999999999999E-9</v>
      </c>
      <c r="J10" s="25">
        <f t="shared" ref="J10:J20" si="4">IFERROR(I10-G10,"/")</f>
        <v>-16.419999996500003</v>
      </c>
      <c r="K10" s="26">
        <f t="shared" ref="K10:K20" si="5">IFERROR((I10-G10)/I10,"/")</f>
        <v>-4691428570.4285727</v>
      </c>
      <c r="L10" s="36">
        <f>'Reference Score Calculation'!U401</f>
        <v>35</v>
      </c>
      <c r="M10" s="84">
        <f>入學要求!Z410</f>
        <v>0</v>
      </c>
      <c r="N10" s="544"/>
      <c r="O10" s="15">
        <v>3</v>
      </c>
      <c r="P10" s="15">
        <v>3</v>
      </c>
      <c r="Q10" s="15">
        <v>2</v>
      </c>
      <c r="R10" s="15">
        <v>2</v>
      </c>
      <c r="S10" s="15">
        <v>2</v>
      </c>
      <c r="T10" s="15"/>
      <c r="U10" s="255">
        <f>入學要求!S410</f>
        <v>0</v>
      </c>
      <c r="V10" s="255">
        <f>入學要求!T410</f>
        <v>0</v>
      </c>
      <c r="W10" s="255">
        <f>入學要求!U410</f>
        <v>0</v>
      </c>
      <c r="X10" s="255">
        <f>入學要求!V410</f>
        <v>0</v>
      </c>
      <c r="Y10" s="255">
        <f>入學要求!W410</f>
        <v>0</v>
      </c>
      <c r="Z10" s="255">
        <f>入學要求!X410</f>
        <v>0</v>
      </c>
      <c r="AA10" s="36">
        <f t="shared" si="2"/>
        <v>4.17</v>
      </c>
      <c r="AB10" s="537"/>
      <c r="AC10" s="36" cm="1">
        <f t="array" ref="AC10">IFERROR(INDEX('Offer Statistics'!FU$2:FU$400,MATCH(1,($A10='Offer Statistics'!$FF$2:$FF$400)*($AB$2='Offer Statistics'!$FG$2:$FG$400),0)),"/")</f>
        <v>64</v>
      </c>
      <c r="AD10" s="63" cm="1">
        <f t="array" ref="AD10">IFERROR(INDEX('Offer Statistics'!FP$2:FP$400,MATCH(1,($A10='Offer Statistics'!$FF$2:$FF$400)*($AB$2='Offer Statistics'!$FG$2:$FG$400),0)),"/")</f>
        <v>29</v>
      </c>
      <c r="AE10" s="63" cm="1">
        <f t="array" ref="AE10">IFERROR(INDEX('Offer Statistics'!FQ$2:FQ$400,MATCH(1,($A10='Offer Statistics'!$FF$2:$FF$400)*($AB$2='Offer Statistics'!$FG$2:$FG$400),0)),"/")</f>
        <v>11</v>
      </c>
      <c r="AF10" s="63" cm="1">
        <f t="array" ref="AF10">IFERROR(INDEX('Offer Statistics'!FR$2:FR$400,MATCH(1,($A10='Offer Statistics'!$FF$2:$FF$400)*($AB$2='Offer Statistics'!$FG$2:$FG$400),0)),"/")</f>
        <v>10</v>
      </c>
      <c r="AG10" s="63" cm="1">
        <f t="array" ref="AG10">IFERROR(INDEX('Offer Statistics'!FS$2:FS$400,MATCH(1,($A10='Offer Statistics'!$FF$2:$FF$400)*($AB$2='Offer Statistics'!$FG$2:$FG$400),0)),"/")</f>
        <v>7</v>
      </c>
      <c r="AH10" s="63" cm="1">
        <f t="array" ref="AH10">IFERROR(INDEX('Offer Statistics'!FT$2:FT$400,MATCH(1,($A10='Offer Statistics'!$FF$2:$FF$400)*($AB$2='Offer Statistics'!$FG$2:$FG$400),0)),"/")</f>
        <v>7</v>
      </c>
      <c r="AI10" s="552"/>
      <c r="AJ10" s="36" cm="1">
        <f t="array" ref="AJ10">IFERROR(INDEX('Offer Statistics'!FM$2:FM$400,MATCH(1,($A10='Offer Statistics'!$FF$2:$FF$400)*($AB$2='Offer Statistics'!$FG$2:$FG$400),0)),"/")</f>
        <v>1150</v>
      </c>
      <c r="AK10" s="63" cm="1">
        <f t="array" ref="AK10">IFERROR(INDEX('Offer Statistics'!FH$2:FH$400,MATCH(1,($A10='Offer Statistics'!$FF$2:$FF$400)*($AB$2='Offer Statistics'!$FG$2:$FG$400),0)),"/")</f>
        <v>121</v>
      </c>
      <c r="AL10" s="63" cm="1">
        <f t="array" ref="AL10">IFERROR(INDEX('Offer Statistics'!FI$2:FI$400,MATCH(1,($A10='Offer Statistics'!$FF$2:$FF$400)*($AB$2='Offer Statistics'!$FG$2:$FG$400),0)),"/")</f>
        <v>198</v>
      </c>
      <c r="AM10" s="63" cm="1">
        <f t="array" ref="AM10">IFERROR(INDEX('Offer Statistics'!FJ$2:FJ$400,MATCH(1,($A10='Offer Statistics'!$FF$2:$FF$400)*($AB$2='Offer Statistics'!$FG$2:$FG$400),0)),"/")</f>
        <v>198</v>
      </c>
      <c r="AN10" s="63" cm="1">
        <f t="array" ref="AN10">IFERROR(INDEX('Offer Statistics'!FK$2:FK$400,MATCH(1,($A10='Offer Statistics'!$FF$2:$FF$400)*($AB$2='Offer Statistics'!$FG$2:$FG$400),0)),"/")</f>
        <v>267</v>
      </c>
      <c r="AO10" s="63" cm="1">
        <f t="array" ref="AO10">IFERROR(INDEX('Offer Statistics'!FL$2:FL$400,MATCH(1,($A10='Offer Statistics'!$FF$2:$FF$400)*($AB$2='Offer Statistics'!$FG$2:$FG$400),0)),"/")</f>
        <v>366</v>
      </c>
      <c r="AP10" s="4"/>
      <c r="AQ10" s="15" t="str">
        <f t="shared" si="3"/>
        <v>JSSH02</v>
      </c>
      <c r="AR10" s="4"/>
    </row>
    <row r="11" spans="1:44" ht="14.55" customHeight="1">
      <c r="A11" s="4" t="str">
        <f>'Reference Score Calculation'!B402</f>
        <v>JSSH03</v>
      </c>
      <c r="B11" s="4" t="str">
        <f>'Reference Score Calculation'!D402</f>
        <v>恒生大學</v>
      </c>
      <c r="C11" s="4" t="str">
        <f>'Reference Score Calculation'!E402</f>
        <v>計算機應用（榮譽）理學士</v>
      </c>
      <c r="D11" s="4" t="str">
        <f>'Reference Score Calculation'!S402</f>
        <v>BSc-AC</v>
      </c>
      <c r="E11" s="15" t="str">
        <f>'Reference Score Calculation'!F402</f>
        <v>Best 5</v>
      </c>
      <c r="F11" s="6" t="str">
        <f>'Reference Score Calculation'!H402</f>
        <v>/</v>
      </c>
      <c r="G11" s="44">
        <f>'Reference Score Calculation'!I402</f>
        <v>15.73</v>
      </c>
      <c r="H11" s="6" t="str">
        <f>'Reference Score Calculation'!J402</f>
        <v>/</v>
      </c>
      <c r="I11" s="45">
        <f>計分版!J425</f>
        <v>3.4999999999999999E-9</v>
      </c>
      <c r="J11" s="25">
        <f t="shared" si="4"/>
        <v>-15.7299999965</v>
      </c>
      <c r="K11" s="26">
        <f t="shared" si="5"/>
        <v>-4494285713.2857141</v>
      </c>
      <c r="L11" s="36">
        <f>'Reference Score Calculation'!U402</f>
        <v>55</v>
      </c>
      <c r="M11" s="84">
        <f>入學要求!Z411</f>
        <v>0</v>
      </c>
      <c r="N11" s="544"/>
      <c r="O11" s="15">
        <v>3</v>
      </c>
      <c r="P11" s="15">
        <v>3</v>
      </c>
      <c r="Q11" s="15">
        <v>2</v>
      </c>
      <c r="R11" s="15">
        <v>2</v>
      </c>
      <c r="S11" s="15">
        <v>2</v>
      </c>
      <c r="T11" s="15"/>
      <c r="U11" s="255">
        <f>入學要求!S411</f>
        <v>0</v>
      </c>
      <c r="V11" s="255">
        <f>入學要求!T411</f>
        <v>0</v>
      </c>
      <c r="W11" s="255">
        <f>入學要求!U411</f>
        <v>0</v>
      </c>
      <c r="X11" s="255">
        <f>入學要求!V411</f>
        <v>0</v>
      </c>
      <c r="Y11" s="255">
        <f>入學要求!W411</f>
        <v>0</v>
      </c>
      <c r="Z11" s="255">
        <f>入學要求!X411</f>
        <v>0</v>
      </c>
      <c r="AA11" s="36">
        <f t="shared" si="2"/>
        <v>5.89</v>
      </c>
      <c r="AB11" s="537"/>
      <c r="AC11" s="36" cm="1">
        <f t="array" ref="AC11">IFERROR(INDEX('Offer Statistics'!FU$2:FU$400,MATCH(1,($A11='Offer Statistics'!$FF$2:$FF$400)*($AB$2='Offer Statistics'!$FG$2:$FG$400),0)),"/")</f>
        <v>70</v>
      </c>
      <c r="AD11" s="63" cm="1">
        <f t="array" ref="AD11">IFERROR(INDEX('Offer Statistics'!FP$2:FP$400,MATCH(1,($A11='Offer Statistics'!$FF$2:$FF$400)*($AB$2='Offer Statistics'!$FG$2:$FG$400),0)),"/")</f>
        <v>53</v>
      </c>
      <c r="AE11" s="63" cm="1">
        <f t="array" ref="AE11">IFERROR(INDEX('Offer Statistics'!FQ$2:FQ$400,MATCH(1,($A11='Offer Statistics'!$FF$2:$FF$400)*($AB$2='Offer Statistics'!$FG$2:$FG$400),0)),"/")</f>
        <v>13</v>
      </c>
      <c r="AF11" s="63" cm="1">
        <f t="array" ref="AF11">IFERROR(INDEX('Offer Statistics'!FR$2:FR$400,MATCH(1,($A11='Offer Statistics'!$FF$2:$FF$400)*($AB$2='Offer Statistics'!$FG$2:$FG$400),0)),"/")</f>
        <v>4</v>
      </c>
      <c r="AG11" s="63" cm="1">
        <f t="array" ref="AG11">IFERROR(INDEX('Offer Statistics'!FS$2:FS$400,MATCH(1,($A11='Offer Statistics'!$FF$2:$FF$400)*($AB$2='Offer Statistics'!$FG$2:$FG$400),0)),"/")</f>
        <v>0</v>
      </c>
      <c r="AH11" s="63" cm="1">
        <f t="array" ref="AH11">IFERROR(INDEX('Offer Statistics'!FT$2:FT$400,MATCH(1,($A11='Offer Statistics'!$FF$2:$FF$400)*($AB$2='Offer Statistics'!$FG$2:$FG$400),0)),"/")</f>
        <v>0</v>
      </c>
      <c r="AI11" s="552"/>
      <c r="AJ11" s="36" cm="1">
        <f t="array" ref="AJ11">IFERROR(INDEX('Offer Statistics'!FM$2:FM$400,MATCH(1,($A11='Offer Statistics'!$FF$2:$FF$400)*($AB$2='Offer Statistics'!$FG$2:$FG$400),0)),"/")</f>
        <v>1681</v>
      </c>
      <c r="AK11" s="63" cm="1">
        <f t="array" ref="AK11">IFERROR(INDEX('Offer Statistics'!FH$2:FH$400,MATCH(1,($A11='Offer Statistics'!$FF$2:$FF$400)*($AB$2='Offer Statistics'!$FG$2:$FG$400),0)),"/")</f>
        <v>312</v>
      </c>
      <c r="AL11" s="63" cm="1">
        <f t="array" ref="AL11">IFERROR(INDEX('Offer Statistics'!FI$2:FI$400,MATCH(1,($A11='Offer Statistics'!$FF$2:$FF$400)*($AB$2='Offer Statistics'!$FG$2:$FG$400),0)),"/")</f>
        <v>301</v>
      </c>
      <c r="AM11" s="63" cm="1">
        <f t="array" ref="AM11">IFERROR(INDEX('Offer Statistics'!FJ$2:FJ$400,MATCH(1,($A11='Offer Statistics'!$FF$2:$FF$400)*($AB$2='Offer Statistics'!$FG$2:$FG$400),0)),"/")</f>
        <v>290</v>
      </c>
      <c r="AN11" s="63" cm="1">
        <f t="array" ref="AN11">IFERROR(INDEX('Offer Statistics'!FK$2:FK$400,MATCH(1,($A11='Offer Statistics'!$FF$2:$FF$400)*($AB$2='Offer Statistics'!$FG$2:$FG$400),0)),"/")</f>
        <v>320</v>
      </c>
      <c r="AO11" s="63" cm="1">
        <f t="array" ref="AO11">IFERROR(INDEX('Offer Statistics'!FL$2:FL$400,MATCH(1,($A11='Offer Statistics'!$FF$2:$FF$400)*($AB$2='Offer Statistics'!$FG$2:$FG$400),0)),"/")</f>
        <v>458</v>
      </c>
      <c r="AP11" s="4"/>
      <c r="AQ11" s="15" t="str">
        <f t="shared" si="3"/>
        <v>JSSH03</v>
      </c>
      <c r="AR11" s="4"/>
    </row>
    <row r="12" spans="1:44" ht="14.55" customHeight="1">
      <c r="A12" s="4" t="str">
        <f>'Reference Score Calculation'!B403</f>
        <v>JSSH04</v>
      </c>
      <c r="B12" s="4" t="str">
        <f>'Reference Score Calculation'!D403</f>
        <v>恒生大學</v>
      </c>
      <c r="C12" s="4" t="str">
        <f>'Reference Score Calculation'!E403</f>
        <v>數據科學及商業智能學（榮譽）理學士</v>
      </c>
      <c r="D12" s="4" t="str">
        <f>'Reference Score Calculation'!S403</f>
        <v>BSc-DSBI</v>
      </c>
      <c r="E12" s="15" t="str">
        <f>'Reference Score Calculation'!F403</f>
        <v>Best 5</v>
      </c>
      <c r="F12" s="6" t="str">
        <f>'Reference Score Calculation'!H403</f>
        <v>/</v>
      </c>
      <c r="G12" s="44">
        <f>'Reference Score Calculation'!I403</f>
        <v>16</v>
      </c>
      <c r="H12" s="6" t="str">
        <f>'Reference Score Calculation'!J403</f>
        <v>/</v>
      </c>
      <c r="I12" s="45">
        <f>計分版!J426</f>
        <v>3.4999999999999999E-9</v>
      </c>
      <c r="J12" s="25">
        <f t="shared" si="4"/>
        <v>-15.9999999965</v>
      </c>
      <c r="K12" s="26">
        <f t="shared" si="5"/>
        <v>-4571428570.4285717</v>
      </c>
      <c r="L12" s="36">
        <f>'Reference Score Calculation'!U403</f>
        <v>60</v>
      </c>
      <c r="M12" s="84">
        <f>入學要求!Z412</f>
        <v>0</v>
      </c>
      <c r="N12" s="544"/>
      <c r="O12" s="15">
        <v>3</v>
      </c>
      <c r="P12" s="15">
        <v>3</v>
      </c>
      <c r="Q12" s="15">
        <v>2</v>
      </c>
      <c r="R12" s="15">
        <v>2</v>
      </c>
      <c r="S12" s="15">
        <v>2</v>
      </c>
      <c r="T12" s="15"/>
      <c r="U12" s="255">
        <f>入學要求!S412</f>
        <v>0</v>
      </c>
      <c r="V12" s="255">
        <f>入學要求!T412</f>
        <v>0</v>
      </c>
      <c r="W12" s="255">
        <f>入學要求!U412</f>
        <v>0</v>
      </c>
      <c r="X12" s="255">
        <f>入學要求!V412</f>
        <v>0</v>
      </c>
      <c r="Y12" s="255">
        <f>入學要求!W412</f>
        <v>0</v>
      </c>
      <c r="Z12" s="255">
        <f>入學要求!X412</f>
        <v>0</v>
      </c>
      <c r="AA12" s="36">
        <f t="shared" si="2"/>
        <v>5.27</v>
      </c>
      <c r="AB12" s="537"/>
      <c r="AC12" s="36" cm="1">
        <f t="array" ref="AC12">IFERROR(INDEX('Offer Statistics'!FU$2:FU$400,MATCH(1,($A12='Offer Statistics'!$FF$2:$FF$400)*($AB$2='Offer Statistics'!$FG$2:$FG$400),0)),"/")</f>
        <v>89</v>
      </c>
      <c r="AD12" s="63" cm="1">
        <f t="array" ref="AD12">IFERROR(INDEX('Offer Statistics'!FP$2:FP$400,MATCH(1,($A12='Offer Statistics'!$FF$2:$FF$400)*($AB$2='Offer Statistics'!$FG$2:$FG$400),0)),"/")</f>
        <v>49</v>
      </c>
      <c r="AE12" s="63" cm="1">
        <f t="array" ref="AE12">IFERROR(INDEX('Offer Statistics'!FQ$2:FQ$400,MATCH(1,($A12='Offer Statistics'!$FF$2:$FF$400)*($AB$2='Offer Statistics'!$FG$2:$FG$400),0)),"/")</f>
        <v>22</v>
      </c>
      <c r="AF12" s="63" cm="1">
        <f t="array" ref="AF12">IFERROR(INDEX('Offer Statistics'!FR$2:FR$400,MATCH(1,($A12='Offer Statistics'!$FF$2:$FF$400)*($AB$2='Offer Statistics'!$FG$2:$FG$400),0)),"/")</f>
        <v>8</v>
      </c>
      <c r="AG12" s="63" cm="1">
        <f t="array" ref="AG12">IFERROR(INDEX('Offer Statistics'!FS$2:FS$400,MATCH(1,($A12='Offer Statistics'!$FF$2:$FF$400)*($AB$2='Offer Statistics'!$FG$2:$FG$400),0)),"/")</f>
        <v>1</v>
      </c>
      <c r="AH12" s="63" cm="1">
        <f t="array" ref="AH12">IFERROR(INDEX('Offer Statistics'!FT$2:FT$400,MATCH(1,($A12='Offer Statistics'!$FF$2:$FF$400)*($AB$2='Offer Statistics'!$FG$2:$FG$400),0)),"/")</f>
        <v>9</v>
      </c>
      <c r="AI12" s="552"/>
      <c r="AJ12" s="36" cm="1">
        <f t="array" ref="AJ12">IFERROR(INDEX('Offer Statistics'!FM$2:FM$400,MATCH(1,($A12='Offer Statistics'!$FF$2:$FF$400)*($AB$2='Offer Statistics'!$FG$2:$FG$400),0)),"/")</f>
        <v>1862</v>
      </c>
      <c r="AK12" s="63" cm="1">
        <f t="array" ref="AK12">IFERROR(INDEX('Offer Statistics'!FH$2:FH$400,MATCH(1,($A12='Offer Statistics'!$FF$2:$FF$400)*($AB$2='Offer Statistics'!$FG$2:$FG$400),0)),"/")</f>
        <v>258</v>
      </c>
      <c r="AL12" s="63" cm="1">
        <f t="array" ref="AL12">IFERROR(INDEX('Offer Statistics'!FI$2:FI$400,MATCH(1,($A12='Offer Statistics'!$FF$2:$FF$400)*($AB$2='Offer Statistics'!$FG$2:$FG$400),0)),"/")</f>
        <v>351</v>
      </c>
      <c r="AM12" s="63" cm="1">
        <f t="array" ref="AM12">IFERROR(INDEX('Offer Statistics'!FJ$2:FJ$400,MATCH(1,($A12='Offer Statistics'!$FF$2:$FF$400)*($AB$2='Offer Statistics'!$FG$2:$FG$400),0)),"/")</f>
        <v>348</v>
      </c>
      <c r="AN12" s="63" cm="1">
        <f t="array" ref="AN12">IFERROR(INDEX('Offer Statistics'!FK$2:FK$400,MATCH(1,($A12='Offer Statistics'!$FF$2:$FF$400)*($AB$2='Offer Statistics'!$FG$2:$FG$400),0)),"/")</f>
        <v>365</v>
      </c>
      <c r="AO12" s="63" cm="1">
        <f t="array" ref="AO12">IFERROR(INDEX('Offer Statistics'!FL$2:FL$400,MATCH(1,($A12='Offer Statistics'!$FF$2:$FF$400)*($AB$2='Offer Statistics'!$FG$2:$FG$400),0)),"/")</f>
        <v>540</v>
      </c>
      <c r="AP12" s="4"/>
      <c r="AQ12" s="15" t="str">
        <f t="shared" si="3"/>
        <v>JSSH04</v>
      </c>
      <c r="AR12" s="4"/>
    </row>
    <row r="13" spans="1:44" ht="14.55" customHeight="1">
      <c r="A13" s="4" t="str">
        <f>'Reference Score Calculation'!B404</f>
        <v>JSSH05</v>
      </c>
      <c r="B13" s="4" t="str">
        <f>'Reference Score Calculation'!D404</f>
        <v>恒生大學</v>
      </c>
      <c r="C13" s="4" t="str">
        <f>'Reference Score Calculation'!E404</f>
        <v>管理科學與資訊管理（榮譽）學士</v>
      </c>
      <c r="D13" s="4" t="str">
        <f>'Reference Score Calculation'!S404</f>
        <v>BSc-BAIM</v>
      </c>
      <c r="E13" s="15" t="str">
        <f>'Reference Score Calculation'!F404</f>
        <v>Best 5</v>
      </c>
      <c r="F13" s="6" t="str">
        <f>'Reference Score Calculation'!H404</f>
        <v>/</v>
      </c>
      <c r="G13" s="44">
        <f>'Reference Score Calculation'!I404</f>
        <v>16.05</v>
      </c>
      <c r="H13" s="6" t="str">
        <f>'Reference Score Calculation'!J404</f>
        <v>/</v>
      </c>
      <c r="I13" s="45">
        <f>計分版!J427</f>
        <v>3.4999999999999999E-9</v>
      </c>
      <c r="J13" s="25">
        <f t="shared" si="4"/>
        <v>-16.049999996500002</v>
      </c>
      <c r="K13" s="26">
        <f t="shared" si="5"/>
        <v>-4585714284.7142868</v>
      </c>
      <c r="L13" s="36">
        <f>'Reference Score Calculation'!U404</f>
        <v>50</v>
      </c>
      <c r="M13" s="84">
        <f>入學要求!Z413</f>
        <v>0</v>
      </c>
      <c r="N13" s="544"/>
      <c r="O13" s="15">
        <v>3</v>
      </c>
      <c r="P13" s="15">
        <v>3</v>
      </c>
      <c r="Q13" s="15">
        <v>2</v>
      </c>
      <c r="R13" s="15">
        <v>2</v>
      </c>
      <c r="S13" s="15">
        <v>2</v>
      </c>
      <c r="T13" s="15"/>
      <c r="U13" s="255">
        <f>入學要求!S413</f>
        <v>0</v>
      </c>
      <c r="V13" s="255">
        <f>入學要求!T413</f>
        <v>0</v>
      </c>
      <c r="W13" s="255">
        <f>入學要求!U413</f>
        <v>0</v>
      </c>
      <c r="X13" s="255">
        <f>入學要求!V413</f>
        <v>0</v>
      </c>
      <c r="Y13" s="255">
        <f>入學要求!W413</f>
        <v>0</v>
      </c>
      <c r="Z13" s="255">
        <f>入學要求!X413</f>
        <v>0</v>
      </c>
      <c r="AA13" s="36">
        <f t="shared" si="2"/>
        <v>4.67</v>
      </c>
      <c r="AB13" s="537"/>
      <c r="AC13" s="36" cm="1">
        <f t="array" ref="AC13">IFERROR(INDEX('Offer Statistics'!FU$2:FU$400,MATCH(1,($A13='Offer Statistics'!$FF$2:$FF$400)*($AB$2='Offer Statistics'!$FG$2:$FG$400),0)),"/")</f>
        <v>70</v>
      </c>
      <c r="AD13" s="63" cm="1">
        <f t="array" ref="AD13">IFERROR(INDEX('Offer Statistics'!FP$2:FP$400,MATCH(1,($A13='Offer Statistics'!$FF$2:$FF$400)*($AB$2='Offer Statistics'!$FG$2:$FG$400),0)),"/")</f>
        <v>39</v>
      </c>
      <c r="AE13" s="63" cm="1">
        <f t="array" ref="AE13">IFERROR(INDEX('Offer Statistics'!FQ$2:FQ$400,MATCH(1,($A13='Offer Statistics'!$FF$2:$FF$400)*($AB$2='Offer Statistics'!$FG$2:$FG$400),0)),"/")</f>
        <v>13</v>
      </c>
      <c r="AF13" s="63" cm="1">
        <f t="array" ref="AF13">IFERROR(INDEX('Offer Statistics'!FR$2:FR$400,MATCH(1,($A13='Offer Statistics'!$FF$2:$FF$400)*($AB$2='Offer Statistics'!$FG$2:$FG$400),0)),"/")</f>
        <v>6</v>
      </c>
      <c r="AG13" s="63" cm="1">
        <f t="array" ref="AG13">IFERROR(INDEX('Offer Statistics'!FS$2:FS$400,MATCH(1,($A13='Offer Statistics'!$FF$2:$FF$400)*($AB$2='Offer Statistics'!$FG$2:$FG$400),0)),"/")</f>
        <v>3</v>
      </c>
      <c r="AH13" s="63" cm="1">
        <f t="array" ref="AH13">IFERROR(INDEX('Offer Statistics'!FT$2:FT$400,MATCH(1,($A13='Offer Statistics'!$FF$2:$FF$400)*($AB$2='Offer Statistics'!$FG$2:$FG$400),0)),"/")</f>
        <v>9</v>
      </c>
      <c r="AI13" s="552"/>
      <c r="AJ13" s="36" cm="1">
        <f t="array" ref="AJ13">IFERROR(INDEX('Offer Statistics'!FM$2:FM$400,MATCH(1,($A13='Offer Statistics'!$FF$2:$FF$400)*($AB$2='Offer Statistics'!$FG$2:$FG$400),0)),"/")</f>
        <v>1592</v>
      </c>
      <c r="AK13" s="63" cm="1">
        <f t="array" ref="AK13">IFERROR(INDEX('Offer Statistics'!FH$2:FH$400,MATCH(1,($A13='Offer Statistics'!$FF$2:$FF$400)*($AB$2='Offer Statistics'!$FG$2:$FG$400),0)),"/")</f>
        <v>182</v>
      </c>
      <c r="AL13" s="63" cm="1">
        <f t="array" ref="AL13">IFERROR(INDEX('Offer Statistics'!FI$2:FI$400,MATCH(1,($A13='Offer Statistics'!$FF$2:$FF$400)*($AB$2='Offer Statistics'!$FG$2:$FG$400),0)),"/")</f>
        <v>302</v>
      </c>
      <c r="AM13" s="63" cm="1">
        <f t="array" ref="AM13">IFERROR(INDEX('Offer Statistics'!FJ$2:FJ$400,MATCH(1,($A13='Offer Statistics'!$FF$2:$FF$400)*($AB$2='Offer Statistics'!$FG$2:$FG$400),0)),"/")</f>
        <v>311</v>
      </c>
      <c r="AN13" s="63" cm="1">
        <f t="array" ref="AN13">IFERROR(INDEX('Offer Statistics'!FK$2:FK$400,MATCH(1,($A13='Offer Statistics'!$FF$2:$FF$400)*($AB$2='Offer Statistics'!$FG$2:$FG$400),0)),"/")</f>
        <v>352</v>
      </c>
      <c r="AO13" s="63" cm="1">
        <f t="array" ref="AO13">IFERROR(INDEX('Offer Statistics'!FL$2:FL$400,MATCH(1,($A13='Offer Statistics'!$FF$2:$FF$400)*($AB$2='Offer Statistics'!$FG$2:$FG$400),0)),"/")</f>
        <v>445</v>
      </c>
      <c r="AP13" s="4"/>
      <c r="AQ13" s="15" t="str">
        <f t="shared" si="3"/>
        <v>JSSH05</v>
      </c>
      <c r="AR13" s="4"/>
    </row>
    <row r="14" spans="1:44" ht="14.55" customHeight="1">
      <c r="A14" s="4" t="str">
        <f>'Reference Score Calculation'!B405</f>
        <v>JSSH06</v>
      </c>
      <c r="B14" s="4" t="str">
        <f>'Reference Score Calculation'!D405</f>
        <v>恒生大學</v>
      </c>
      <c r="C14" s="4" t="str">
        <f>'Reference Score Calculation'!E405</f>
        <v>藝術設計（榮譽）文學士</v>
      </c>
      <c r="D14" s="4" t="str">
        <f>'Reference Score Calculation'!S405</f>
        <v>BA-AD</v>
      </c>
      <c r="E14" s="15" t="str">
        <f>'Reference Score Calculation'!F405</f>
        <v>Best 5</v>
      </c>
      <c r="F14" s="6" t="str">
        <f>'Reference Score Calculation'!H405</f>
        <v>/</v>
      </c>
      <c r="G14" s="44">
        <f>'Reference Score Calculation'!I405</f>
        <v>15.49</v>
      </c>
      <c r="H14" s="6" t="str">
        <f>'Reference Score Calculation'!J405</f>
        <v>/</v>
      </c>
      <c r="I14" s="45">
        <f>計分版!J428</f>
        <v>3.4999999999999999E-9</v>
      </c>
      <c r="J14" s="25">
        <f t="shared" si="4"/>
        <v>-15.4899999965</v>
      </c>
      <c r="K14" s="26">
        <f t="shared" si="5"/>
        <v>-4425714284.7142859</v>
      </c>
      <c r="L14" s="36">
        <f>'Reference Score Calculation'!U405</f>
        <v>40</v>
      </c>
      <c r="M14" s="84">
        <f>入學要求!Z414</f>
        <v>0</v>
      </c>
      <c r="N14" s="544"/>
      <c r="O14" s="15">
        <v>3</v>
      </c>
      <c r="P14" s="15">
        <v>3</v>
      </c>
      <c r="Q14" s="15">
        <v>2</v>
      </c>
      <c r="R14" s="15">
        <v>2</v>
      </c>
      <c r="S14" s="15">
        <v>2</v>
      </c>
      <c r="T14" s="15"/>
      <c r="U14" s="255">
        <f>入學要求!S414</f>
        <v>0</v>
      </c>
      <c r="V14" s="255">
        <f>入學要求!T414</f>
        <v>0</v>
      </c>
      <c r="W14" s="255">
        <f>入學要求!U414</f>
        <v>0</v>
      </c>
      <c r="X14" s="255">
        <f>入學要求!V414</f>
        <v>0</v>
      </c>
      <c r="Y14" s="255">
        <f>入學要求!W414</f>
        <v>0</v>
      </c>
      <c r="Z14" s="255">
        <f>入學要求!X414</f>
        <v>0</v>
      </c>
      <c r="AA14" s="36">
        <f t="shared" si="2"/>
        <v>6.13</v>
      </c>
      <c r="AB14" s="537"/>
      <c r="AC14" s="36" cm="1">
        <f t="array" ref="AC14">IFERROR(INDEX('Offer Statistics'!FU$2:FU$400,MATCH(1,($A14='Offer Statistics'!$FF$2:$FF$400)*($AB$2='Offer Statistics'!$FG$2:$FG$400),0)),"/")</f>
        <v>76</v>
      </c>
      <c r="AD14" s="63" cm="1">
        <f t="array" ref="AD14">IFERROR(INDEX('Offer Statistics'!FP$2:FP$400,MATCH(1,($A14='Offer Statistics'!$FF$2:$FF$400)*($AB$2='Offer Statistics'!$FG$2:$FG$400),0)),"/")</f>
        <v>61</v>
      </c>
      <c r="AE14" s="63" cm="1">
        <f t="array" ref="AE14">IFERROR(INDEX('Offer Statistics'!FQ$2:FQ$400,MATCH(1,($A14='Offer Statistics'!$FF$2:$FF$400)*($AB$2='Offer Statistics'!$FG$2:$FG$400),0)),"/")</f>
        <v>9</v>
      </c>
      <c r="AF14" s="63" cm="1">
        <f t="array" ref="AF14">IFERROR(INDEX('Offer Statistics'!FR$2:FR$400,MATCH(1,($A14='Offer Statistics'!$FF$2:$FF$400)*($AB$2='Offer Statistics'!$FG$2:$FG$400),0)),"/")</f>
        <v>6</v>
      </c>
      <c r="AG14" s="63" cm="1">
        <f t="array" ref="AG14">IFERROR(INDEX('Offer Statistics'!FS$2:FS$400,MATCH(1,($A14='Offer Statistics'!$FF$2:$FF$400)*($AB$2='Offer Statistics'!$FG$2:$FG$400),0)),"/")</f>
        <v>0</v>
      </c>
      <c r="AH14" s="63" cm="1">
        <f t="array" ref="AH14">IFERROR(INDEX('Offer Statistics'!FT$2:FT$400,MATCH(1,($A14='Offer Statistics'!$FF$2:$FF$400)*($AB$2='Offer Statistics'!$FG$2:$FG$400),0)),"/")</f>
        <v>0</v>
      </c>
      <c r="AI14" s="552"/>
      <c r="AJ14" s="36" cm="1">
        <f t="array" ref="AJ14">IFERROR(INDEX('Offer Statistics'!FM$2:FM$400,MATCH(1,($A14='Offer Statistics'!$FF$2:$FF$400)*($AB$2='Offer Statistics'!$FG$2:$FG$400),0)),"/")</f>
        <v>2336</v>
      </c>
      <c r="AK14" s="63" cm="1">
        <f t="array" ref="AK14">IFERROR(INDEX('Offer Statistics'!FH$2:FH$400,MATCH(1,($A14='Offer Statistics'!$FF$2:$FF$400)*($AB$2='Offer Statistics'!$FG$2:$FG$400),0)),"/")</f>
        <v>374</v>
      </c>
      <c r="AL14" s="63" cm="1">
        <f t="array" ref="AL14">IFERROR(INDEX('Offer Statistics'!FI$2:FI$400,MATCH(1,($A14='Offer Statistics'!$FF$2:$FF$400)*($AB$2='Offer Statistics'!$FG$2:$FG$400),0)),"/")</f>
        <v>435</v>
      </c>
      <c r="AM14" s="63" cm="1">
        <f t="array" ref="AM14">IFERROR(INDEX('Offer Statistics'!FJ$2:FJ$400,MATCH(1,($A14='Offer Statistics'!$FF$2:$FF$400)*($AB$2='Offer Statistics'!$FG$2:$FG$400),0)),"/")</f>
        <v>492</v>
      </c>
      <c r="AN14" s="63" cm="1">
        <f t="array" ref="AN14">IFERROR(INDEX('Offer Statistics'!FK$2:FK$400,MATCH(1,($A14='Offer Statistics'!$FF$2:$FF$400)*($AB$2='Offer Statistics'!$FG$2:$FG$400),0)),"/")</f>
        <v>498</v>
      </c>
      <c r="AO14" s="63" cm="1">
        <f t="array" ref="AO14">IFERROR(INDEX('Offer Statistics'!FL$2:FL$400,MATCH(1,($A14='Offer Statistics'!$FF$2:$FF$400)*($AB$2='Offer Statistics'!$FG$2:$FG$400),0)),"/")</f>
        <v>537</v>
      </c>
      <c r="AP14" s="4"/>
      <c r="AQ14" s="15" t="str">
        <f t="shared" si="3"/>
        <v>JSSH06</v>
      </c>
      <c r="AR14" s="4"/>
    </row>
    <row r="15" spans="1:44" ht="14.55" customHeight="1">
      <c r="A15" s="4" t="str">
        <f>'Reference Score Calculation'!B406</f>
        <v>JSST01</v>
      </c>
      <c r="B15" s="4" t="str">
        <f>'Reference Score Calculation'!D406</f>
        <v>東華學院</v>
      </c>
      <c r="C15" s="4" t="str">
        <f>'Reference Score Calculation'!E406</f>
        <v>護理學（榮譽）健康科學學士</v>
      </c>
      <c r="D15" s="4" t="str">
        <f>'Reference Score Calculation'!S406</f>
        <v>BHSc(N)</v>
      </c>
      <c r="E15" s="15" t="str">
        <f>'Reference Score Calculation'!F406</f>
        <v>Best 5</v>
      </c>
      <c r="F15" s="6" t="str">
        <f>'Reference Score Calculation'!H406</f>
        <v>/</v>
      </c>
      <c r="G15" s="44">
        <f>'Reference Score Calculation'!I406</f>
        <v>16.2</v>
      </c>
      <c r="H15" s="6" t="str">
        <f>'Reference Score Calculation'!J406</f>
        <v>/</v>
      </c>
      <c r="I15" s="45">
        <f>計分版!J429</f>
        <v>3.4999999999999999E-9</v>
      </c>
      <c r="J15" s="25">
        <f t="shared" si="4"/>
        <v>-16.199999996500001</v>
      </c>
      <c r="K15" s="26">
        <f t="shared" si="5"/>
        <v>-4628571427.5714293</v>
      </c>
      <c r="L15" s="36">
        <f>'Reference Score Calculation'!U406</f>
        <v>400</v>
      </c>
      <c r="M15" s="84">
        <f>入學要求!Z415</f>
        <v>0</v>
      </c>
      <c r="N15" s="544"/>
      <c r="O15" s="15">
        <v>3</v>
      </c>
      <c r="P15" s="15">
        <v>3</v>
      </c>
      <c r="Q15" s="15">
        <v>2</v>
      </c>
      <c r="R15" s="15">
        <v>2</v>
      </c>
      <c r="S15" s="15">
        <v>2</v>
      </c>
      <c r="T15" s="15"/>
      <c r="U15" s="255">
        <f>入學要求!S415</f>
        <v>0</v>
      </c>
      <c r="V15" s="255">
        <f>入學要求!T415</f>
        <v>0</v>
      </c>
      <c r="W15" s="255">
        <f>入學要求!U415</f>
        <v>0</v>
      </c>
      <c r="X15" s="255">
        <f>入學要求!V415</f>
        <v>0</v>
      </c>
      <c r="Y15" s="255">
        <f>入學要求!W415</f>
        <v>0</v>
      </c>
      <c r="Z15" s="255">
        <f>入學要求!X415</f>
        <v>0</v>
      </c>
      <c r="AA15" s="36">
        <f t="shared" si="2"/>
        <v>4.26</v>
      </c>
      <c r="AB15" s="537"/>
      <c r="AC15" s="36" cm="1">
        <f t="array" ref="AC15">IFERROR(INDEX('Offer Statistics'!FU$2:FU$400,MATCH(1,($A15='Offer Statistics'!$FF$2:$FF$400)*($AB$2='Offer Statistics'!$FG$2:$FG$400),0)),"/")</f>
        <v>545</v>
      </c>
      <c r="AD15" s="63" cm="1">
        <f t="array" ref="AD15">IFERROR(INDEX('Offer Statistics'!FP$2:FP$400,MATCH(1,($A15='Offer Statistics'!$FF$2:$FF$400)*($AB$2='Offer Statistics'!$FG$2:$FG$400),0)),"/")</f>
        <v>443</v>
      </c>
      <c r="AE15" s="63" cm="1">
        <f t="array" ref="AE15">IFERROR(INDEX('Offer Statistics'!FQ$2:FQ$400,MATCH(1,($A15='Offer Statistics'!$FF$2:$FF$400)*($AB$2='Offer Statistics'!$FG$2:$FG$400),0)),"/")</f>
        <v>102</v>
      </c>
      <c r="AF15" s="63" cm="1">
        <f t="array" ref="AF15">IFERROR(INDEX('Offer Statistics'!FR$2:FR$400,MATCH(1,($A15='Offer Statistics'!$FF$2:$FF$400)*($AB$2='Offer Statistics'!$FG$2:$FG$400),0)),"/")</f>
        <v>0</v>
      </c>
      <c r="AG15" s="63" cm="1">
        <f t="array" ref="AG15">IFERROR(INDEX('Offer Statistics'!FS$2:FS$400,MATCH(1,($A15='Offer Statistics'!$FF$2:$FF$400)*($AB$2='Offer Statistics'!$FG$2:$FG$400),0)),"/")</f>
        <v>0</v>
      </c>
      <c r="AH15" s="63" cm="1">
        <f t="array" ref="AH15">IFERROR(INDEX('Offer Statistics'!FT$2:FT$400,MATCH(1,($A15='Offer Statistics'!$FF$2:$FF$400)*($AB$2='Offer Statistics'!$FG$2:$FG$400),0)),"/")</f>
        <v>0</v>
      </c>
      <c r="AI15" s="552"/>
      <c r="AJ15" s="36" cm="1">
        <f t="array" ref="AJ15">IFERROR(INDEX('Offer Statistics'!FM$2:FM$400,MATCH(1,($A15='Offer Statistics'!$FF$2:$FF$400)*($AB$2='Offer Statistics'!$FG$2:$FG$400),0)),"/")</f>
        <v>5902</v>
      </c>
      <c r="AK15" s="63" cm="1">
        <f t="array" ref="AK15">IFERROR(INDEX('Offer Statistics'!FH$2:FH$400,MATCH(1,($A15='Offer Statistics'!$FF$2:$FF$400)*($AB$2='Offer Statistics'!$FG$2:$FG$400),0)),"/")</f>
        <v>1889</v>
      </c>
      <c r="AL15" s="63" cm="1">
        <f t="array" ref="AL15">IFERROR(INDEX('Offer Statistics'!FI$2:FI$400,MATCH(1,($A15='Offer Statistics'!$FF$2:$FF$400)*($AB$2='Offer Statistics'!$FG$2:$FG$400),0)),"/")</f>
        <v>1471</v>
      </c>
      <c r="AM15" s="63" cm="1">
        <f t="array" ref="AM15">IFERROR(INDEX('Offer Statistics'!FJ$2:FJ$400,MATCH(1,($A15='Offer Statistics'!$FF$2:$FF$400)*($AB$2='Offer Statistics'!$FG$2:$FG$400),0)),"/")</f>
        <v>888</v>
      </c>
      <c r="AN15" s="63" cm="1">
        <f t="array" ref="AN15">IFERROR(INDEX('Offer Statistics'!FK$2:FK$400,MATCH(1,($A15='Offer Statistics'!$FF$2:$FF$400)*($AB$2='Offer Statistics'!$FG$2:$FG$400),0)),"/")</f>
        <v>769</v>
      </c>
      <c r="AO15" s="63" cm="1">
        <f t="array" ref="AO15">IFERROR(INDEX('Offer Statistics'!FL$2:FL$400,MATCH(1,($A15='Offer Statistics'!$FF$2:$FF$400)*($AB$2='Offer Statistics'!$FG$2:$FG$400),0)),"/")</f>
        <v>885</v>
      </c>
      <c r="AP15" s="4"/>
      <c r="AQ15" s="15" t="str">
        <f t="shared" si="3"/>
        <v>JSST01</v>
      </c>
      <c r="AR15" s="4"/>
    </row>
    <row r="16" spans="1:44" ht="14.55" customHeight="1">
      <c r="A16" s="4" t="str">
        <f>'Reference Score Calculation'!B407</f>
        <v>JSST02</v>
      </c>
      <c r="B16" s="4" t="str">
        <f>'Reference Score Calculation'!D407</f>
        <v>東華學院</v>
      </c>
      <c r="C16" s="4" t="str">
        <f>'Reference Score Calculation'!E407</f>
        <v>醫療化驗科學（榮譽）理學士</v>
      </c>
      <c r="D16" s="4" t="str">
        <f>'Reference Score Calculation'!S407</f>
        <v>BSc(MLSc)</v>
      </c>
      <c r="E16" s="15" t="str">
        <f>'Reference Score Calculation'!F407</f>
        <v>Best 5</v>
      </c>
      <c r="F16" s="6" t="str">
        <f>'Reference Score Calculation'!H407</f>
        <v>/</v>
      </c>
      <c r="G16" s="44">
        <f>'Reference Score Calculation'!I407</f>
        <v>21.2</v>
      </c>
      <c r="H16" s="6" t="str">
        <f>'Reference Score Calculation'!J407</f>
        <v>/</v>
      </c>
      <c r="I16" s="45">
        <f>計分版!J430</f>
        <v>3.4999999999999999E-9</v>
      </c>
      <c r="J16" s="25">
        <f t="shared" si="4"/>
        <v>-21.199999996500001</v>
      </c>
      <c r="K16" s="26">
        <f t="shared" si="5"/>
        <v>-6057142856.1428576</v>
      </c>
      <c r="L16" s="36">
        <f>'Reference Score Calculation'!U407</f>
        <v>45</v>
      </c>
      <c r="M16" s="84">
        <f>入學要求!Z416</f>
        <v>0</v>
      </c>
      <c r="N16" s="544"/>
      <c r="O16" s="15">
        <v>3</v>
      </c>
      <c r="P16" s="15">
        <v>3</v>
      </c>
      <c r="Q16" s="15">
        <v>2</v>
      </c>
      <c r="R16" s="15">
        <v>2</v>
      </c>
      <c r="S16" s="15">
        <v>2</v>
      </c>
      <c r="T16" s="15"/>
      <c r="U16" s="255">
        <f>入學要求!S416</f>
        <v>0</v>
      </c>
      <c r="V16" s="255">
        <f>入學要求!T416</f>
        <v>0</v>
      </c>
      <c r="W16" s="255">
        <f>入學要求!U416</f>
        <v>0</v>
      </c>
      <c r="X16" s="255">
        <f>入學要求!V416</f>
        <v>0</v>
      </c>
      <c r="Y16" s="255">
        <f>入學要求!W416</f>
        <v>0</v>
      </c>
      <c r="Z16" s="255">
        <f>入學要求!X416</f>
        <v>0</v>
      </c>
      <c r="AA16" s="36">
        <f t="shared" si="2"/>
        <v>6.27</v>
      </c>
      <c r="AB16" s="537"/>
      <c r="AC16" s="36" cm="1">
        <f t="array" ref="AC16">IFERROR(INDEX('Offer Statistics'!FU$2:FU$400,MATCH(1,($A16='Offer Statistics'!$FF$2:$FF$400)*($AB$2='Offer Statistics'!$FG$2:$FG$400),0)),"/")</f>
        <v>46</v>
      </c>
      <c r="AD16" s="63" cm="1">
        <f t="array" ref="AD16">IFERROR(INDEX('Offer Statistics'!FP$2:FP$400,MATCH(1,($A16='Offer Statistics'!$FF$2:$FF$400)*($AB$2='Offer Statistics'!$FG$2:$FG$400),0)),"/")</f>
        <v>41</v>
      </c>
      <c r="AE16" s="63" cm="1">
        <f t="array" ref="AE16">IFERROR(INDEX('Offer Statistics'!FQ$2:FQ$400,MATCH(1,($A16='Offer Statistics'!$FF$2:$FF$400)*($AB$2='Offer Statistics'!$FG$2:$FG$400),0)),"/")</f>
        <v>5</v>
      </c>
      <c r="AF16" s="63" cm="1">
        <f t="array" ref="AF16">IFERROR(INDEX('Offer Statistics'!FR$2:FR$400,MATCH(1,($A16='Offer Statistics'!$FF$2:$FF$400)*($AB$2='Offer Statistics'!$FG$2:$FG$400),0)),"/")</f>
        <v>0</v>
      </c>
      <c r="AG16" s="63" cm="1">
        <f t="array" ref="AG16">IFERROR(INDEX('Offer Statistics'!FS$2:FS$400,MATCH(1,($A16='Offer Statistics'!$FF$2:$FF$400)*($AB$2='Offer Statistics'!$FG$2:$FG$400),0)),"/")</f>
        <v>0</v>
      </c>
      <c r="AH16" s="63" cm="1">
        <f t="array" ref="AH16">IFERROR(INDEX('Offer Statistics'!FT$2:FT$400,MATCH(1,($A16='Offer Statistics'!$FF$2:$FF$400)*($AB$2='Offer Statistics'!$FG$2:$FG$400),0)),"/")</f>
        <v>0</v>
      </c>
      <c r="AI16" s="552"/>
      <c r="AJ16" s="36" cm="1">
        <f t="array" ref="AJ16">IFERROR(INDEX('Offer Statistics'!FM$2:FM$400,MATCH(1,($A16='Offer Statistics'!$FF$2:$FF$400)*($AB$2='Offer Statistics'!$FG$2:$FG$400),0)),"/")</f>
        <v>2491</v>
      </c>
      <c r="AK16" s="63" cm="1">
        <f t="array" ref="AK16">IFERROR(INDEX('Offer Statistics'!FH$2:FH$400,MATCH(1,($A16='Offer Statistics'!$FF$2:$FF$400)*($AB$2='Offer Statistics'!$FG$2:$FG$400),0)),"/")</f>
        <v>257</v>
      </c>
      <c r="AL16" s="63" cm="1">
        <f t="array" ref="AL16">IFERROR(INDEX('Offer Statistics'!FI$2:FI$400,MATCH(1,($A16='Offer Statistics'!$FF$2:$FF$400)*($AB$2='Offer Statistics'!$FG$2:$FG$400),0)),"/")</f>
        <v>467</v>
      </c>
      <c r="AM16" s="63" cm="1">
        <f t="array" ref="AM16">IFERROR(INDEX('Offer Statistics'!FJ$2:FJ$400,MATCH(1,($A16='Offer Statistics'!$FF$2:$FF$400)*($AB$2='Offer Statistics'!$FG$2:$FG$400),0)),"/")</f>
        <v>569</v>
      </c>
      <c r="AN16" s="63" cm="1">
        <f t="array" ref="AN16">IFERROR(INDEX('Offer Statistics'!FK$2:FK$400,MATCH(1,($A16='Offer Statistics'!$FF$2:$FF$400)*($AB$2='Offer Statistics'!$FG$2:$FG$400),0)),"/")</f>
        <v>563</v>
      </c>
      <c r="AO16" s="63" cm="1">
        <f t="array" ref="AO16">IFERROR(INDEX('Offer Statistics'!FL$2:FL$400,MATCH(1,($A16='Offer Statistics'!$FF$2:$FF$400)*($AB$2='Offer Statistics'!$FG$2:$FG$400),0)),"/")</f>
        <v>635</v>
      </c>
      <c r="AP16" s="4"/>
      <c r="AQ16" s="15" t="str">
        <f t="shared" si="3"/>
        <v>JSST02</v>
      </c>
      <c r="AR16" s="4"/>
    </row>
    <row r="17" spans="1:44" ht="14.55" customHeight="1">
      <c r="A17" s="4" t="str">
        <f>'Reference Score Calculation'!B408</f>
        <v>JSST03</v>
      </c>
      <c r="B17" s="4" t="str">
        <f>'Reference Score Calculation'!D408</f>
        <v>東華學院</v>
      </c>
      <c r="C17" s="4" t="str">
        <f>'Reference Score Calculation'!E408</f>
        <v>放射治療學（榮譽）理學士</v>
      </c>
      <c r="D17" s="4" t="str">
        <f>'Reference Score Calculation'!S408</f>
        <v>BSc(RT)</v>
      </c>
      <c r="E17" s="15" t="str">
        <f>'Reference Score Calculation'!F408</f>
        <v>Best 5</v>
      </c>
      <c r="F17" s="6" t="str">
        <f>'Reference Score Calculation'!H408</f>
        <v>/</v>
      </c>
      <c r="G17" s="44">
        <f>'Reference Score Calculation'!I408</f>
        <v>24.3</v>
      </c>
      <c r="H17" s="6" t="str">
        <f>'Reference Score Calculation'!J408</f>
        <v>/</v>
      </c>
      <c r="I17" s="45">
        <f>計分版!J431</f>
        <v>3.4999999999999999E-9</v>
      </c>
      <c r="J17" s="25">
        <f t="shared" si="4"/>
        <v>-24.299999996500002</v>
      </c>
      <c r="K17" s="26">
        <f t="shared" si="5"/>
        <v>-6942857141.8571434</v>
      </c>
      <c r="L17" s="36">
        <f>'Reference Score Calculation'!U408</f>
        <v>20</v>
      </c>
      <c r="M17" s="84">
        <f>入學要求!Z417</f>
        <v>0</v>
      </c>
      <c r="N17" s="544"/>
      <c r="O17" s="15">
        <v>3</v>
      </c>
      <c r="P17" s="15">
        <v>3</v>
      </c>
      <c r="Q17" s="15">
        <v>2</v>
      </c>
      <c r="R17" s="15">
        <v>2</v>
      </c>
      <c r="S17" s="15">
        <v>2</v>
      </c>
      <c r="T17" s="15"/>
      <c r="U17" s="255">
        <f>入學要求!S417</f>
        <v>0</v>
      </c>
      <c r="V17" s="255">
        <f>入學要求!T417</f>
        <v>0</v>
      </c>
      <c r="W17" s="255">
        <f>入學要求!U417</f>
        <v>0</v>
      </c>
      <c r="X17" s="255">
        <f>入學要求!V417</f>
        <v>0</v>
      </c>
      <c r="Y17" s="255">
        <f>入學要求!W417</f>
        <v>0</v>
      </c>
      <c r="Z17" s="255">
        <f>入學要求!X417</f>
        <v>0</v>
      </c>
      <c r="AA17" s="36">
        <f t="shared" si="2"/>
        <v>6.71</v>
      </c>
      <c r="AB17" s="537"/>
      <c r="AC17" s="36" cm="1">
        <f t="array" ref="AC17">IFERROR(INDEX('Offer Statistics'!FU$2:FU$400,MATCH(1,($A17='Offer Statistics'!$FF$2:$FF$400)*($AB$2='Offer Statistics'!$FG$2:$FG$400),0)),"/")</f>
        <v>22</v>
      </c>
      <c r="AD17" s="63" cm="1">
        <f t="array" ref="AD17">IFERROR(INDEX('Offer Statistics'!FP$2:FP$400,MATCH(1,($A17='Offer Statistics'!$FF$2:$FF$400)*($AB$2='Offer Statistics'!$FG$2:$FG$400),0)),"/")</f>
        <v>21</v>
      </c>
      <c r="AE17" s="63" cm="1">
        <f t="array" ref="AE17">IFERROR(INDEX('Offer Statistics'!FQ$2:FQ$400,MATCH(1,($A17='Offer Statistics'!$FF$2:$FF$400)*($AB$2='Offer Statistics'!$FG$2:$FG$400),0)),"/")</f>
        <v>1</v>
      </c>
      <c r="AF17" s="63" cm="1">
        <f t="array" ref="AF17">IFERROR(INDEX('Offer Statistics'!FR$2:FR$400,MATCH(1,($A17='Offer Statistics'!$FF$2:$FF$400)*($AB$2='Offer Statistics'!$FG$2:$FG$400),0)),"/")</f>
        <v>0</v>
      </c>
      <c r="AG17" s="63" cm="1">
        <f t="array" ref="AG17">IFERROR(INDEX('Offer Statistics'!FS$2:FS$400,MATCH(1,($A17='Offer Statistics'!$FF$2:$FF$400)*($AB$2='Offer Statistics'!$FG$2:$FG$400),0)),"/")</f>
        <v>0</v>
      </c>
      <c r="AH17" s="63" cm="1">
        <f t="array" ref="AH17">IFERROR(INDEX('Offer Statistics'!FT$2:FT$400,MATCH(1,($A17='Offer Statistics'!$FF$2:$FF$400)*($AB$2='Offer Statistics'!$FG$2:$FG$400),0)),"/")</f>
        <v>0</v>
      </c>
      <c r="AI17" s="552"/>
      <c r="AJ17" s="36" cm="1">
        <f t="array" ref="AJ17">IFERROR(INDEX('Offer Statistics'!FM$2:FM$400,MATCH(1,($A17='Offer Statistics'!$FF$2:$FF$400)*($AB$2='Offer Statistics'!$FG$2:$FG$400),0)),"/")</f>
        <v>2117</v>
      </c>
      <c r="AK17" s="63" cm="1">
        <f t="array" ref="AK17">IFERROR(INDEX('Offer Statistics'!FH$2:FH$400,MATCH(1,($A17='Offer Statistics'!$FF$2:$FF$400)*($AB$2='Offer Statistics'!$FG$2:$FG$400),0)),"/")</f>
        <v>141</v>
      </c>
      <c r="AL17" s="63" cm="1">
        <f t="array" ref="AL17">IFERROR(INDEX('Offer Statistics'!FI$2:FI$400,MATCH(1,($A17='Offer Statistics'!$FF$2:$FF$400)*($AB$2='Offer Statistics'!$FG$2:$FG$400),0)),"/")</f>
        <v>329</v>
      </c>
      <c r="AM17" s="63" cm="1">
        <f t="array" ref="AM17">IFERROR(INDEX('Offer Statistics'!FJ$2:FJ$400,MATCH(1,($A17='Offer Statistics'!$FF$2:$FF$400)*($AB$2='Offer Statistics'!$FG$2:$FG$400),0)),"/")</f>
        <v>487</v>
      </c>
      <c r="AN17" s="63" cm="1">
        <f t="array" ref="AN17">IFERROR(INDEX('Offer Statistics'!FK$2:FK$400,MATCH(1,($A17='Offer Statistics'!$FF$2:$FF$400)*($AB$2='Offer Statistics'!$FG$2:$FG$400),0)),"/")</f>
        <v>562</v>
      </c>
      <c r="AO17" s="63" cm="1">
        <f t="array" ref="AO17">IFERROR(INDEX('Offer Statistics'!FL$2:FL$400,MATCH(1,($A17='Offer Statistics'!$FF$2:$FF$400)*($AB$2='Offer Statistics'!$FG$2:$FG$400),0)),"/")</f>
        <v>598</v>
      </c>
      <c r="AP17" s="4"/>
      <c r="AQ17" s="15" t="str">
        <f t="shared" si="3"/>
        <v>JSST03</v>
      </c>
      <c r="AR17" s="4"/>
    </row>
    <row r="18" spans="1:44" ht="14.55" customHeight="1">
      <c r="A18" s="4" t="str">
        <f>'Reference Score Calculation'!B409</f>
        <v>JSST04</v>
      </c>
      <c r="B18" s="4" t="str">
        <f>'Reference Score Calculation'!D409</f>
        <v>東華學院</v>
      </c>
      <c r="C18" s="4" t="str">
        <f>'Reference Score Calculation'!E409</f>
        <v>職業治療學（榮譽）理學士</v>
      </c>
      <c r="D18" s="4" t="str">
        <f>'Reference Score Calculation'!S409</f>
        <v>BSc(OT)</v>
      </c>
      <c r="E18" s="15" t="str">
        <f>'Reference Score Calculation'!F409</f>
        <v>Best 5</v>
      </c>
      <c r="F18" s="6" t="str">
        <f>'Reference Score Calculation'!H409</f>
        <v>/</v>
      </c>
      <c r="G18" s="44">
        <f>'Reference Score Calculation'!I409</f>
        <v>21.3</v>
      </c>
      <c r="H18" s="6" t="str">
        <f>'Reference Score Calculation'!J409</f>
        <v>/</v>
      </c>
      <c r="I18" s="45">
        <f>計分版!J432</f>
        <v>3.4999999999999999E-9</v>
      </c>
      <c r="J18" s="25">
        <f t="shared" si="4"/>
        <v>-21.299999996500002</v>
      </c>
      <c r="K18" s="26">
        <f t="shared" si="5"/>
        <v>-6085714284.7142868</v>
      </c>
      <c r="L18" s="36">
        <f>'Reference Score Calculation'!U409</f>
        <v>60</v>
      </c>
      <c r="M18" s="84">
        <f>入學要求!Z418</f>
        <v>0</v>
      </c>
      <c r="N18" s="544"/>
      <c r="O18" s="15">
        <v>3</v>
      </c>
      <c r="P18" s="15">
        <v>3</v>
      </c>
      <c r="Q18" s="15">
        <v>2</v>
      </c>
      <c r="R18" s="15">
        <v>2</v>
      </c>
      <c r="S18" s="15">
        <v>2</v>
      </c>
      <c r="T18" s="15"/>
      <c r="U18" s="255">
        <f>入學要求!S418</f>
        <v>0</v>
      </c>
      <c r="V18" s="255">
        <f>入學要求!T418</f>
        <v>0</v>
      </c>
      <c r="W18" s="255">
        <f>入學要求!U418</f>
        <v>0</v>
      </c>
      <c r="X18" s="255">
        <f>入學要求!V418</f>
        <v>0</v>
      </c>
      <c r="Y18" s="255">
        <f>入學要求!W418</f>
        <v>0</v>
      </c>
      <c r="Z18" s="255">
        <f>入學要求!X418</f>
        <v>0</v>
      </c>
      <c r="AA18" s="36">
        <f t="shared" si="2"/>
        <v>5.28</v>
      </c>
      <c r="AB18" s="537"/>
      <c r="AC18" s="36" cm="1">
        <f t="array" ref="AC18">IFERROR(INDEX('Offer Statistics'!FU$2:FU$400,MATCH(1,($A18='Offer Statistics'!$FF$2:$FF$400)*($AB$2='Offer Statistics'!$FG$2:$FG$400),0)),"/")</f>
        <v>65</v>
      </c>
      <c r="AD18" s="63" cm="1">
        <f t="array" ref="AD18">IFERROR(INDEX('Offer Statistics'!FP$2:FP$400,MATCH(1,($A18='Offer Statistics'!$FF$2:$FF$400)*($AB$2='Offer Statistics'!$FG$2:$FG$400),0)),"/")</f>
        <v>65</v>
      </c>
      <c r="AE18" s="63" cm="1">
        <f t="array" ref="AE18">IFERROR(INDEX('Offer Statistics'!FQ$2:FQ$400,MATCH(1,($A18='Offer Statistics'!$FF$2:$FF$400)*($AB$2='Offer Statistics'!$FG$2:$FG$400),0)),"/")</f>
        <v>0</v>
      </c>
      <c r="AF18" s="63" cm="1">
        <f t="array" ref="AF18">IFERROR(INDEX('Offer Statistics'!FR$2:FR$400,MATCH(1,($A18='Offer Statistics'!$FF$2:$FF$400)*($AB$2='Offer Statistics'!$FG$2:$FG$400),0)),"/")</f>
        <v>0</v>
      </c>
      <c r="AG18" s="63" cm="1">
        <f t="array" ref="AG18">IFERROR(INDEX('Offer Statistics'!FS$2:FS$400,MATCH(1,($A18='Offer Statistics'!$FF$2:$FF$400)*($AB$2='Offer Statistics'!$FG$2:$FG$400),0)),"/")</f>
        <v>0</v>
      </c>
      <c r="AH18" s="63" cm="1">
        <f t="array" ref="AH18">IFERROR(INDEX('Offer Statistics'!FT$2:FT$400,MATCH(1,($A18='Offer Statistics'!$FF$2:$FF$400)*($AB$2='Offer Statistics'!$FG$2:$FG$400),0)),"/")</f>
        <v>0</v>
      </c>
      <c r="AI18" s="552"/>
      <c r="AJ18" s="36" cm="1">
        <f t="array" ref="AJ18">IFERROR(INDEX('Offer Statistics'!FM$2:FM$400,MATCH(1,($A18='Offer Statistics'!$FF$2:$FF$400)*($AB$2='Offer Statistics'!$FG$2:$FG$400),0)),"/")</f>
        <v>2738</v>
      </c>
      <c r="AK18" s="63" cm="1">
        <f t="array" ref="AK18">IFERROR(INDEX('Offer Statistics'!FH$2:FH$400,MATCH(1,($A18='Offer Statistics'!$FF$2:$FF$400)*($AB$2='Offer Statistics'!$FG$2:$FG$400),0)),"/")</f>
        <v>343</v>
      </c>
      <c r="AL18" s="63" cm="1">
        <f t="array" ref="AL18">IFERROR(INDEX('Offer Statistics'!FI$2:FI$400,MATCH(1,($A18='Offer Statistics'!$FF$2:$FF$400)*($AB$2='Offer Statistics'!$FG$2:$FG$400),0)),"/")</f>
        <v>435</v>
      </c>
      <c r="AM18" s="63" cm="1">
        <f t="array" ref="AM18">IFERROR(INDEX('Offer Statistics'!FJ$2:FJ$400,MATCH(1,($A18='Offer Statistics'!$FF$2:$FF$400)*($AB$2='Offer Statistics'!$FG$2:$FG$400),0)),"/")</f>
        <v>631</v>
      </c>
      <c r="AN18" s="63" cm="1">
        <f t="array" ref="AN18">IFERROR(INDEX('Offer Statistics'!FK$2:FK$400,MATCH(1,($A18='Offer Statistics'!$FF$2:$FF$400)*($AB$2='Offer Statistics'!$FG$2:$FG$400),0)),"/")</f>
        <v>658</v>
      </c>
      <c r="AO18" s="63" cm="1">
        <f t="array" ref="AO18">IFERROR(INDEX('Offer Statistics'!FL$2:FL$400,MATCH(1,($A18='Offer Statistics'!$FF$2:$FF$400)*($AB$2='Offer Statistics'!$FG$2:$FG$400),0)),"/")</f>
        <v>671</v>
      </c>
      <c r="AP18" s="4"/>
      <c r="AQ18" s="15" t="str">
        <f t="shared" si="3"/>
        <v>JSST04</v>
      </c>
      <c r="AR18" s="4"/>
    </row>
    <row r="19" spans="1:44" ht="14.55" customHeight="1">
      <c r="A19" s="4" t="str">
        <f>'Reference Score Calculation'!B410</f>
        <v>JSST05</v>
      </c>
      <c r="B19" s="4" t="str">
        <f>'Reference Score Calculation'!D410</f>
        <v>東華學院</v>
      </c>
      <c r="C19" s="4" t="str">
        <f>'Reference Score Calculation'!E410</f>
        <v>物理治療學（榮譽）理學士</v>
      </c>
      <c r="D19" s="4" t="str">
        <f>'Reference Score Calculation'!S410</f>
        <v>BSc(PT)</v>
      </c>
      <c r="E19" s="15" t="str">
        <f>'Reference Score Calculation'!F410</f>
        <v>Best 5</v>
      </c>
      <c r="F19" s="6" t="str">
        <f>'Reference Score Calculation'!H410</f>
        <v>/</v>
      </c>
      <c r="G19" s="44">
        <f>'Reference Score Calculation'!I410</f>
        <v>23.7</v>
      </c>
      <c r="H19" s="6" t="str">
        <f>'Reference Score Calculation'!J410</f>
        <v>/</v>
      </c>
      <c r="I19" s="45">
        <f>計分版!J433</f>
        <v>3.4999999999999999E-9</v>
      </c>
      <c r="J19" s="25">
        <f t="shared" si="4"/>
        <v>-23.699999996500001</v>
      </c>
      <c r="K19" s="26">
        <f t="shared" si="5"/>
        <v>-6771428570.4285717</v>
      </c>
      <c r="L19" s="36">
        <f>'Reference Score Calculation'!U410</f>
        <v>60</v>
      </c>
      <c r="M19" s="84">
        <f>入學要求!Z419</f>
        <v>0</v>
      </c>
      <c r="N19" s="544"/>
      <c r="O19" s="15">
        <v>3</v>
      </c>
      <c r="P19" s="15">
        <v>3</v>
      </c>
      <c r="Q19" s="15">
        <v>2</v>
      </c>
      <c r="R19" s="15">
        <v>2</v>
      </c>
      <c r="S19" s="15">
        <v>2</v>
      </c>
      <c r="T19" s="15"/>
      <c r="U19" s="255">
        <f>入學要求!S419</f>
        <v>0</v>
      </c>
      <c r="V19" s="255">
        <f>入學要求!T419</f>
        <v>0</v>
      </c>
      <c r="W19" s="255">
        <f>入學要求!U419</f>
        <v>0</v>
      </c>
      <c r="X19" s="255">
        <f>入學要求!V419</f>
        <v>0</v>
      </c>
      <c r="Y19" s="255">
        <f>入學要求!W419</f>
        <v>0</v>
      </c>
      <c r="Z19" s="255">
        <f>入學要求!X419</f>
        <v>0</v>
      </c>
      <c r="AA19" s="36">
        <f t="shared" si="2"/>
        <v>7.69</v>
      </c>
      <c r="AB19" s="537"/>
      <c r="AC19" s="36" cm="1">
        <f t="array" ref="AC19">IFERROR(INDEX('Offer Statistics'!FU$2:FU$400,MATCH(1,($A19='Offer Statistics'!$FF$2:$FF$400)*($AB$2='Offer Statistics'!$FG$2:$FG$400),0)),"/")</f>
        <v>48</v>
      </c>
      <c r="AD19" s="63" cm="1">
        <f t="array" ref="AD19">IFERROR(INDEX('Offer Statistics'!FP$2:FP$400,MATCH(1,($A19='Offer Statistics'!$FF$2:$FF$400)*($AB$2='Offer Statistics'!$FG$2:$FG$400),0)),"/")</f>
        <v>48</v>
      </c>
      <c r="AE19" s="63" cm="1">
        <f t="array" ref="AE19">IFERROR(INDEX('Offer Statistics'!FQ$2:FQ$400,MATCH(1,($A19='Offer Statistics'!$FF$2:$FF$400)*($AB$2='Offer Statistics'!$FG$2:$FG$400),0)),"/")</f>
        <v>0</v>
      </c>
      <c r="AF19" s="63" cm="1">
        <f t="array" ref="AF19">IFERROR(INDEX('Offer Statistics'!FR$2:FR$400,MATCH(1,($A19='Offer Statistics'!$FF$2:$FF$400)*($AB$2='Offer Statistics'!$FG$2:$FG$400),0)),"/")</f>
        <v>0</v>
      </c>
      <c r="AG19" s="63" cm="1">
        <f t="array" ref="AG19">IFERROR(INDEX('Offer Statistics'!FS$2:FS$400,MATCH(1,($A19='Offer Statistics'!$FF$2:$FF$400)*($AB$2='Offer Statistics'!$FG$2:$FG$400),0)),"/")</f>
        <v>0</v>
      </c>
      <c r="AH19" s="63" cm="1">
        <f t="array" ref="AH19">IFERROR(INDEX('Offer Statistics'!FT$2:FT$400,MATCH(1,($A19='Offer Statistics'!$FF$2:$FF$400)*($AB$2='Offer Statistics'!$FG$2:$FG$400),0)),"/")</f>
        <v>0</v>
      </c>
      <c r="AI19" s="552"/>
      <c r="AJ19" s="36" cm="1">
        <f t="array" ref="AJ19">IFERROR(INDEX('Offer Statistics'!FM$2:FM$400,MATCH(1,($A19='Offer Statistics'!$FF$2:$FF$400)*($AB$2='Offer Statistics'!$FG$2:$FG$400),0)),"/")</f>
        <v>3197</v>
      </c>
      <c r="AK19" s="63" cm="1">
        <f t="array" ref="AK19">IFERROR(INDEX('Offer Statistics'!FH$2:FH$400,MATCH(1,($A19='Offer Statistics'!$FF$2:$FF$400)*($AB$2='Offer Statistics'!$FG$2:$FG$400),0)),"/")</f>
        <v>369</v>
      </c>
      <c r="AL19" s="63" cm="1">
        <f t="array" ref="AL19">IFERROR(INDEX('Offer Statistics'!FI$2:FI$400,MATCH(1,($A19='Offer Statistics'!$FF$2:$FF$400)*($AB$2='Offer Statistics'!$FG$2:$FG$400),0)),"/")</f>
        <v>530</v>
      </c>
      <c r="AM19" s="63" cm="1">
        <f t="array" ref="AM19">IFERROR(INDEX('Offer Statistics'!FJ$2:FJ$400,MATCH(1,($A19='Offer Statistics'!$FF$2:$FF$400)*($AB$2='Offer Statistics'!$FG$2:$FG$400),0)),"/")</f>
        <v>730</v>
      </c>
      <c r="AN19" s="63" cm="1">
        <f t="array" ref="AN19">IFERROR(INDEX('Offer Statistics'!FK$2:FK$400,MATCH(1,($A19='Offer Statistics'!$FF$2:$FF$400)*($AB$2='Offer Statistics'!$FG$2:$FG$400),0)),"/")</f>
        <v>759</v>
      </c>
      <c r="AO19" s="63" cm="1">
        <f t="array" ref="AO19">IFERROR(INDEX('Offer Statistics'!FL$2:FL$400,MATCH(1,($A19='Offer Statistics'!$FF$2:$FF$400)*($AB$2='Offer Statistics'!$FG$2:$FG$400),0)),"/")</f>
        <v>809</v>
      </c>
      <c r="AP19" s="4"/>
      <c r="AQ19" s="15" t="str">
        <f t="shared" si="3"/>
        <v>JSST05</v>
      </c>
      <c r="AR19" s="4"/>
    </row>
    <row r="20" spans="1:44" ht="14.55" customHeight="1">
      <c r="A20" s="4" t="str">
        <f>'Reference Score Calculation'!B411</f>
        <v>JSST06</v>
      </c>
      <c r="B20" s="4" t="str">
        <f>'Reference Score Calculation'!D411</f>
        <v>東華學院</v>
      </c>
      <c r="C20" s="4" t="str">
        <f>'Reference Score Calculation'!E411</f>
        <v>應用老年學（榮譽）理學士</v>
      </c>
      <c r="D20" s="4" t="str">
        <f>'Reference Score Calculation'!S411</f>
        <v>BSc(AG)</v>
      </c>
      <c r="E20" s="15" t="str">
        <f>'Reference Score Calculation'!F411</f>
        <v>Best 5</v>
      </c>
      <c r="F20" s="6" t="str">
        <f>'Reference Score Calculation'!H411</f>
        <v>/</v>
      </c>
      <c r="G20" s="44">
        <f>'Reference Score Calculation'!I411</f>
        <v>18</v>
      </c>
      <c r="H20" s="6" t="str">
        <f>'Reference Score Calculation'!J411</f>
        <v>/</v>
      </c>
      <c r="I20" s="45">
        <f>計分版!J434</f>
        <v>3.4999999999999999E-9</v>
      </c>
      <c r="J20" s="25">
        <f t="shared" si="4"/>
        <v>-17.999999996500001</v>
      </c>
      <c r="K20" s="26">
        <f t="shared" si="5"/>
        <v>-5142857141.8571434</v>
      </c>
      <c r="L20" s="36">
        <f>'Reference Score Calculation'!U411</f>
        <v>40</v>
      </c>
      <c r="M20" s="84">
        <f>入學要求!Z420</f>
        <v>0</v>
      </c>
      <c r="N20" s="544"/>
      <c r="O20" s="15">
        <v>3</v>
      </c>
      <c r="P20" s="15">
        <v>3</v>
      </c>
      <c r="Q20" s="15">
        <v>2</v>
      </c>
      <c r="R20" s="15">
        <v>2</v>
      </c>
      <c r="S20" s="15">
        <v>2</v>
      </c>
      <c r="T20" s="15"/>
      <c r="U20" s="255">
        <f>入學要求!S420</f>
        <v>0</v>
      </c>
      <c r="V20" s="255">
        <f>入學要求!T420</f>
        <v>0</v>
      </c>
      <c r="W20" s="255">
        <f>入學要求!U420</f>
        <v>0</v>
      </c>
      <c r="X20" s="255">
        <f>入學要求!V420</f>
        <v>0</v>
      </c>
      <c r="Y20" s="255">
        <f>入學要求!W420</f>
        <v>0</v>
      </c>
      <c r="Z20" s="255">
        <f>入學要求!X420</f>
        <v>0</v>
      </c>
      <c r="AA20" s="36">
        <f t="shared" si="2"/>
        <v>5.4</v>
      </c>
      <c r="AB20" s="537"/>
      <c r="AC20" s="36" cm="1">
        <f t="array" ref="AC20">IFERROR(INDEX('Offer Statistics'!FU$2:FU$400,MATCH(1,($A20='Offer Statistics'!$FF$2:$FF$400)*($AB$2='Offer Statistics'!$FG$2:$FG$400),0)),"/")</f>
        <v>23</v>
      </c>
      <c r="AD20" s="63" cm="1">
        <f t="array" ref="AD20">IFERROR(INDEX('Offer Statistics'!FP$2:FP$400,MATCH(1,($A20='Offer Statistics'!$FF$2:$FF$400)*($AB$2='Offer Statistics'!$FG$2:$FG$400),0)),"/")</f>
        <v>10</v>
      </c>
      <c r="AE20" s="63" cm="1">
        <f t="array" ref="AE20">IFERROR(INDEX('Offer Statistics'!FQ$2:FQ$400,MATCH(1,($A20='Offer Statistics'!$FF$2:$FF$400)*($AB$2='Offer Statistics'!$FG$2:$FG$400),0)),"/")</f>
        <v>8</v>
      </c>
      <c r="AF20" s="63" cm="1">
        <f t="array" ref="AF20">IFERROR(INDEX('Offer Statistics'!FR$2:FR$400,MATCH(1,($A20='Offer Statistics'!$FF$2:$FF$400)*($AB$2='Offer Statistics'!$FG$2:$FG$400),0)),"/")</f>
        <v>2</v>
      </c>
      <c r="AG20" s="63" cm="1">
        <f t="array" ref="AG20">IFERROR(INDEX('Offer Statistics'!FS$2:FS$400,MATCH(1,($A20='Offer Statistics'!$FF$2:$FF$400)*($AB$2='Offer Statistics'!$FG$2:$FG$400),0)),"/")</f>
        <v>2</v>
      </c>
      <c r="AH20" s="63" cm="1">
        <f t="array" ref="AH20">IFERROR(INDEX('Offer Statistics'!FT$2:FT$400,MATCH(1,($A20='Offer Statistics'!$FF$2:$FF$400)*($AB$2='Offer Statistics'!$FG$2:$FG$400),0)),"/")</f>
        <v>1</v>
      </c>
      <c r="AI20" s="552"/>
      <c r="AJ20" s="36" cm="1">
        <f t="array" ref="AJ20">IFERROR(INDEX('Offer Statistics'!FM$2:FM$400,MATCH(1,($A20='Offer Statistics'!$FF$2:$FF$400)*($AB$2='Offer Statistics'!$FG$2:$FG$400),0)),"/")</f>
        <v>1074</v>
      </c>
      <c r="AK20" s="63" cm="1">
        <f t="array" ref="AK20">IFERROR(INDEX('Offer Statistics'!FH$2:FH$400,MATCH(1,($A20='Offer Statistics'!$FF$2:$FF$400)*($AB$2='Offer Statistics'!$FG$2:$FG$400),0)),"/")</f>
        <v>54</v>
      </c>
      <c r="AL20" s="63" cm="1">
        <f t="array" ref="AL20">IFERROR(INDEX('Offer Statistics'!FI$2:FI$400,MATCH(1,($A20='Offer Statistics'!$FF$2:$FF$400)*($AB$2='Offer Statistics'!$FG$2:$FG$400),0)),"/")</f>
        <v>216</v>
      </c>
      <c r="AM20" s="63" cm="1">
        <f t="array" ref="AM20">IFERROR(INDEX('Offer Statistics'!FJ$2:FJ$400,MATCH(1,($A20='Offer Statistics'!$FF$2:$FF$400)*($AB$2='Offer Statistics'!$FG$2:$FG$400),0)),"/")</f>
        <v>242</v>
      </c>
      <c r="AN20" s="63" cm="1">
        <f t="array" ref="AN20">IFERROR(INDEX('Offer Statistics'!FK$2:FK$400,MATCH(1,($A20='Offer Statistics'!$FF$2:$FF$400)*($AB$2='Offer Statistics'!$FG$2:$FG$400),0)),"/")</f>
        <v>285</v>
      </c>
      <c r="AO20" s="63" cm="1">
        <f t="array" ref="AO20">IFERROR(INDEX('Offer Statistics'!FL$2:FL$400,MATCH(1,($A20='Offer Statistics'!$FF$2:$FF$400)*($AB$2='Offer Statistics'!$FG$2:$FG$400),0)),"/")</f>
        <v>277</v>
      </c>
      <c r="AP20" s="4"/>
      <c r="AQ20" s="15" t="str">
        <f t="shared" si="3"/>
        <v>JSST06</v>
      </c>
      <c r="AR20" s="4"/>
    </row>
    <row r="21" spans="1:44" ht="14.55" customHeight="1">
      <c r="A21" s="4" t="str">
        <f>'Reference Score Calculation'!B412</f>
        <v>JSST07</v>
      </c>
      <c r="B21" s="4" t="str">
        <f>'Reference Score Calculation'!D412</f>
        <v>東華學院</v>
      </c>
      <c r="C21" s="4" t="str">
        <f>'Reference Score Calculation'!E412</f>
        <v>醫療資訊及服務管理（榮譽）學士</v>
      </c>
      <c r="D21" s="4" t="str">
        <f>'Reference Score Calculation'!S412</f>
        <v>BHISM</v>
      </c>
      <c r="E21" s="15" t="str">
        <f>'Reference Score Calculation'!F412</f>
        <v>Best 5</v>
      </c>
      <c r="F21" s="6" t="str">
        <f>'Reference Score Calculation'!H412</f>
        <v>/</v>
      </c>
      <c r="G21" s="44">
        <f>'Reference Score Calculation'!I412</f>
        <v>15.8</v>
      </c>
      <c r="H21" s="6" t="str">
        <f>'Reference Score Calculation'!J412</f>
        <v>/</v>
      </c>
      <c r="I21" s="45">
        <f>計分版!J435</f>
        <v>3.4999999999999999E-9</v>
      </c>
      <c r="J21" s="25">
        <f>IFERROR(I21-G21,"/")</f>
        <v>-15.7999999965</v>
      </c>
      <c r="K21" s="26">
        <f>IFERROR((I21-G21)/I21,"/")</f>
        <v>-4514285713.2857141</v>
      </c>
      <c r="L21" s="36">
        <f>'Reference Score Calculation'!U412</f>
        <v>25</v>
      </c>
      <c r="M21" s="84">
        <f>入學要求!Z421</f>
        <v>0</v>
      </c>
      <c r="N21" s="544"/>
      <c r="O21" s="15">
        <v>3</v>
      </c>
      <c r="P21" s="15">
        <v>3</v>
      </c>
      <c r="Q21" s="15">
        <v>2</v>
      </c>
      <c r="R21" s="15">
        <v>2</v>
      </c>
      <c r="S21" s="15">
        <v>2</v>
      </c>
      <c r="T21" s="15"/>
      <c r="U21" s="255">
        <f>入學要求!S421</f>
        <v>0</v>
      </c>
      <c r="V21" s="255">
        <f>入學要求!T421</f>
        <v>0</v>
      </c>
      <c r="W21" s="255">
        <f>入學要求!U421</f>
        <v>0</v>
      </c>
      <c r="X21" s="255">
        <f>入學要求!V421</f>
        <v>0</v>
      </c>
      <c r="Y21" s="255">
        <f>入學要求!W421</f>
        <v>0</v>
      </c>
      <c r="Z21" s="255">
        <f>入學要求!X421</f>
        <v>0</v>
      </c>
      <c r="AA21" s="36">
        <f t="shared" si="2"/>
        <v>4.79</v>
      </c>
      <c r="AB21" s="537"/>
      <c r="AC21" s="36" cm="1">
        <f t="array" ref="AC21">IFERROR(INDEX('Offer Statistics'!FU$2:FU$400,MATCH(1,($A21='Offer Statistics'!$FF$2:$FF$400)*($AB$2='Offer Statistics'!$FG$2:$FG$400),0)),"/")</f>
        <v>24</v>
      </c>
      <c r="AD21" s="63" cm="1">
        <f t="array" ref="AD21">IFERROR(INDEX('Offer Statistics'!FP$2:FP$400,MATCH(1,($A21='Offer Statistics'!$FF$2:$FF$400)*($AB$2='Offer Statistics'!$FG$2:$FG$400),0)),"/")</f>
        <v>14</v>
      </c>
      <c r="AE21" s="63" cm="1">
        <f t="array" ref="AE21">IFERROR(INDEX('Offer Statistics'!FQ$2:FQ$400,MATCH(1,($A21='Offer Statistics'!$FF$2:$FF$400)*($AB$2='Offer Statistics'!$FG$2:$FG$400),0)),"/")</f>
        <v>4</v>
      </c>
      <c r="AF21" s="63" cm="1">
        <f t="array" ref="AF21">IFERROR(INDEX('Offer Statistics'!FR$2:FR$400,MATCH(1,($A21='Offer Statistics'!$FF$2:$FF$400)*($AB$2='Offer Statistics'!$FG$2:$FG$400),0)),"/")</f>
        <v>3</v>
      </c>
      <c r="AG21" s="63" cm="1">
        <f t="array" ref="AG21">IFERROR(INDEX('Offer Statistics'!FS$2:FS$400,MATCH(1,($A21='Offer Statistics'!$FF$2:$FF$400)*($AB$2='Offer Statistics'!$FG$2:$FG$400),0)),"/")</f>
        <v>1</v>
      </c>
      <c r="AH21" s="63" cm="1">
        <f t="array" ref="AH21">IFERROR(INDEX('Offer Statistics'!FT$2:FT$400,MATCH(1,($A21='Offer Statistics'!$FF$2:$FF$400)*($AB$2='Offer Statistics'!$FG$2:$FG$400),0)),"/")</f>
        <v>2</v>
      </c>
      <c r="AI21" s="552"/>
      <c r="AJ21" s="36" cm="1">
        <f t="array" ref="AJ21">IFERROR(INDEX('Offer Statistics'!FM$2:FM$400,MATCH(1,($A21='Offer Statistics'!$FF$2:$FF$400)*($AB$2='Offer Statistics'!$FG$2:$FG$400),0)),"/")</f>
        <v>1117</v>
      </c>
      <c r="AK21" s="63" cm="1">
        <f t="array" ref="AK21">IFERROR(INDEX('Offer Statistics'!FH$2:FH$400,MATCH(1,($A21='Offer Statistics'!$FF$2:$FF$400)*($AB$2='Offer Statistics'!$FG$2:$FG$400),0)),"/")</f>
        <v>67</v>
      </c>
      <c r="AL21" s="63" cm="1">
        <f t="array" ref="AL21">IFERROR(INDEX('Offer Statistics'!FI$2:FI$400,MATCH(1,($A21='Offer Statistics'!$FF$2:$FF$400)*($AB$2='Offer Statistics'!$FG$2:$FG$400),0)),"/")</f>
        <v>191</v>
      </c>
      <c r="AM21" s="63" cm="1">
        <f t="array" ref="AM21">IFERROR(INDEX('Offer Statistics'!FJ$2:FJ$400,MATCH(1,($A21='Offer Statistics'!$FF$2:$FF$400)*($AB$2='Offer Statistics'!$FG$2:$FG$400),0)),"/")</f>
        <v>226</v>
      </c>
      <c r="AN21" s="63" cm="1">
        <f t="array" ref="AN21">IFERROR(INDEX('Offer Statistics'!FK$2:FK$400,MATCH(1,($A21='Offer Statistics'!$FF$2:$FF$400)*($AB$2='Offer Statistics'!$FG$2:$FG$400),0)),"/")</f>
        <v>298</v>
      </c>
      <c r="AO21" s="63" cm="1">
        <f t="array" ref="AO21">IFERROR(INDEX('Offer Statistics'!FL$2:FL$400,MATCH(1,($A21='Offer Statistics'!$FF$2:$FF$400)*($AB$2='Offer Statistics'!$FG$2:$FG$400),0)),"/")</f>
        <v>335</v>
      </c>
      <c r="AP21" s="4"/>
      <c r="AQ21" s="15" t="str">
        <f t="shared" si="3"/>
        <v>JSST07</v>
      </c>
      <c r="AR21" s="4"/>
    </row>
    <row r="22" spans="1:44" ht="14.55" customHeight="1">
      <c r="A22" s="4" t="str">
        <f>'Reference Score Calculation'!B413</f>
        <v>JSST08</v>
      </c>
      <c r="B22" s="4" t="str">
        <f>'Reference Score Calculation'!D413</f>
        <v>東華學院</v>
      </c>
      <c r="C22" s="4" t="str">
        <f>'Reference Score Calculation'!E413</f>
        <v>醫療影像學（榮譽）理學士</v>
      </c>
      <c r="D22" s="4" t="str">
        <f>'Reference Score Calculation'!S413</f>
        <v>BSc(MI)</v>
      </c>
      <c r="E22" s="15" t="str">
        <f>'Reference Score Calculation'!F413</f>
        <v>25年新科目</v>
      </c>
      <c r="F22" s="6" t="str">
        <f>'Reference Score Calculation'!H413</f>
        <v>/</v>
      </c>
      <c r="G22" s="44" t="str">
        <f>'Reference Score Calculation'!I413</f>
        <v>/</v>
      </c>
      <c r="H22" s="6" t="str">
        <f>'Reference Score Calculation'!J413</f>
        <v>/</v>
      </c>
      <c r="I22" s="45">
        <f>計分版!J436</f>
        <v>3.4999999999999999E-9</v>
      </c>
      <c r="J22" s="7" t="str">
        <f>IFERROR(I22-G22,"/")</f>
        <v>/</v>
      </c>
      <c r="K22" s="8" t="str">
        <f>IFERROR((I22-G22)/I22,"/")</f>
        <v>/</v>
      </c>
      <c r="L22" s="36">
        <f>'Reference Score Calculation'!U413</f>
        <v>30</v>
      </c>
      <c r="M22" s="84">
        <f>入學要求!Z422</f>
        <v>0</v>
      </c>
      <c r="N22" s="544"/>
      <c r="O22" s="15">
        <v>3</v>
      </c>
      <c r="P22" s="15">
        <v>3</v>
      </c>
      <c r="Q22" s="15">
        <v>2</v>
      </c>
      <c r="R22" s="15">
        <v>2</v>
      </c>
      <c r="S22" s="15">
        <v>2</v>
      </c>
      <c r="T22" s="15"/>
      <c r="U22" s="255">
        <f>入學要求!S422</f>
        <v>0</v>
      </c>
      <c r="V22" s="255">
        <f>入學要求!T422</f>
        <v>0</v>
      </c>
      <c r="W22" s="255">
        <f>入學要求!U422</f>
        <v>0</v>
      </c>
      <c r="X22" s="255">
        <f>入學要求!V422</f>
        <v>0</v>
      </c>
      <c r="Y22" s="255">
        <f>入學要求!W422</f>
        <v>0</v>
      </c>
      <c r="Z22" s="255">
        <f>入學要求!X422</f>
        <v>0</v>
      </c>
      <c r="AA22" s="36" t="str">
        <f t="shared" ref="AA22" si="6">IFERROR(ROUND(AK22/AD22,2),"/")</f>
        <v>/</v>
      </c>
      <c r="AB22" s="537"/>
      <c r="AC22" s="36" t="str" cm="1">
        <f t="array" ref="AC22">IFERROR(INDEX('Offer Statistics'!FU$2:FU$400,MATCH(1,($A22='Offer Statistics'!$FF$2:$FF$400)*($AB$2='Offer Statistics'!$FG$2:$FG$400),0)),"/")</f>
        <v>/</v>
      </c>
      <c r="AD22" s="63" t="str" cm="1">
        <f t="array" ref="AD22">IFERROR(INDEX('Offer Statistics'!FP$2:FP$400,MATCH(1,($A22='Offer Statistics'!$FF$2:$FF$400)*($AB$2='Offer Statistics'!$FG$2:$FG$400),0)),"/")</f>
        <v>/</v>
      </c>
      <c r="AE22" s="63" t="str" cm="1">
        <f t="array" ref="AE22">IFERROR(INDEX('Offer Statistics'!FQ$2:FQ$400,MATCH(1,($A22='Offer Statistics'!$FF$2:$FF$400)*($AB$2='Offer Statistics'!$FG$2:$FG$400),0)),"/")</f>
        <v>/</v>
      </c>
      <c r="AF22" s="63" t="str" cm="1">
        <f t="array" ref="AF22">IFERROR(INDEX('Offer Statistics'!FR$2:FR$400,MATCH(1,($A22='Offer Statistics'!$FF$2:$FF$400)*($AB$2='Offer Statistics'!$FG$2:$FG$400),0)),"/")</f>
        <v>/</v>
      </c>
      <c r="AG22" s="63" t="str" cm="1">
        <f t="array" ref="AG22">IFERROR(INDEX('Offer Statistics'!FS$2:FS$400,MATCH(1,($A22='Offer Statistics'!$FF$2:$FF$400)*($AB$2='Offer Statistics'!$FG$2:$FG$400),0)),"/")</f>
        <v>/</v>
      </c>
      <c r="AH22" s="63" t="str" cm="1">
        <f t="array" ref="AH22">IFERROR(INDEX('Offer Statistics'!FT$2:FT$400,MATCH(1,($A22='Offer Statistics'!$FF$2:$FF$400)*($AB$2='Offer Statistics'!$FG$2:$FG$400),0)),"/")</f>
        <v>/</v>
      </c>
      <c r="AI22" s="552"/>
      <c r="AJ22" s="36" t="str" cm="1">
        <f t="array" ref="AJ22">IFERROR(INDEX('Offer Statistics'!FM$2:FM$400,MATCH(1,($A22='Offer Statistics'!$FF$2:$FF$400)*($AB$2='Offer Statistics'!$FG$2:$FG$400),0)),"/")</f>
        <v>/</v>
      </c>
      <c r="AK22" s="63" t="str" cm="1">
        <f t="array" ref="AK22">IFERROR(INDEX('Offer Statistics'!FH$2:FH$400,MATCH(1,($A22='Offer Statistics'!$FF$2:$FF$400)*($AB$2='Offer Statistics'!$FG$2:$FG$400),0)),"/")</f>
        <v>/</v>
      </c>
      <c r="AL22" s="63" t="str" cm="1">
        <f t="array" ref="AL22">IFERROR(INDEX('Offer Statistics'!FI$2:FI$400,MATCH(1,($A22='Offer Statistics'!$FF$2:$FF$400)*($AB$2='Offer Statistics'!$FG$2:$FG$400),0)),"/")</f>
        <v>/</v>
      </c>
      <c r="AM22" s="63" t="str" cm="1">
        <f t="array" ref="AM22">IFERROR(INDEX('Offer Statistics'!FJ$2:FJ$400,MATCH(1,($A22='Offer Statistics'!$FF$2:$FF$400)*($AB$2='Offer Statistics'!$FG$2:$FG$400),0)),"/")</f>
        <v>/</v>
      </c>
      <c r="AN22" s="63" t="str" cm="1">
        <f t="array" ref="AN22">IFERROR(INDEX('Offer Statistics'!FK$2:FK$400,MATCH(1,($A22='Offer Statistics'!$FF$2:$FF$400)*($AB$2='Offer Statistics'!$FG$2:$FG$400),0)),"/")</f>
        <v>/</v>
      </c>
      <c r="AO22" s="63" t="str" cm="1">
        <f t="array" ref="AO22">IFERROR(INDEX('Offer Statistics'!FL$2:FL$400,MATCH(1,($A22='Offer Statistics'!$FF$2:$FF$400)*($AB$2='Offer Statistics'!$FG$2:$FG$400),0)),"/")</f>
        <v>/</v>
      </c>
      <c r="AP22" s="4"/>
      <c r="AQ22" s="15" t="str">
        <f t="shared" ref="AQ22" si="7">A22</f>
        <v>JSST08</v>
      </c>
      <c r="AR22" s="4"/>
    </row>
    <row r="23" spans="1:44" ht="14.55" customHeight="1">
      <c r="A23" s="4" t="str">
        <f>'Reference Score Calculation'!B414</f>
        <v>JSSU12</v>
      </c>
      <c r="B23" s="4" t="str">
        <f>'Reference Score Calculation'!D414</f>
        <v>都會大學</v>
      </c>
      <c r="C23" s="4" t="str">
        <f>'Reference Score Calculation'!E414</f>
        <v>創意寫作與電影藝術榮譽文學士</v>
      </c>
      <c r="D23" s="4" t="str">
        <f>'Reference Score Calculation'!S414</f>
        <v>BA(Hons)CreaWri&amp;FilmArts</v>
      </c>
      <c r="E23" s="15" t="str">
        <f>'Reference Score Calculation'!F414</f>
        <v>Best 5</v>
      </c>
      <c r="F23" s="6" t="str">
        <f>'Reference Score Calculation'!H414</f>
        <v>/</v>
      </c>
      <c r="G23" s="413">
        <f>'Reference Score Calculation'!I414</f>
        <v>19</v>
      </c>
      <c r="H23" s="6">
        <f>'Reference Score Calculation'!J414</f>
        <v>17</v>
      </c>
      <c r="I23" s="45">
        <f>計分版!J437</f>
        <v>3.4999999999999999E-9</v>
      </c>
      <c r="J23" s="25">
        <f>IFERROR(IF(J$1="差距(Median)",I23-G23,IF(J$1="差距(UQ)",I23-G23,IF(J$1="差距(LQ)",I23-H23))),"/")</f>
        <v>-18.999999996500001</v>
      </c>
      <c r="K23" s="26">
        <f>IFERROR(IF(J$1="差距(Median)",(I23-G23)/I23,IF(J$1="差距(UQ)",(I23-G23)/I23,IF(J$1="差距(LQ)",(I23-H23)/I23))),"/")</f>
        <v>-5428571427.5714293</v>
      </c>
      <c r="L23" s="36">
        <f>'Reference Score Calculation'!U414</f>
        <v>50</v>
      </c>
      <c r="M23" s="84">
        <f>入學要求!Z423</f>
        <v>0</v>
      </c>
      <c r="N23" s="544"/>
      <c r="O23" s="15">
        <v>3</v>
      </c>
      <c r="P23" s="15">
        <v>3</v>
      </c>
      <c r="Q23" s="15">
        <v>2</v>
      </c>
      <c r="R23" s="15">
        <v>2</v>
      </c>
      <c r="S23" s="15">
        <v>2</v>
      </c>
      <c r="T23" s="15">
        <v>2</v>
      </c>
      <c r="U23" s="255">
        <f>入學要求!S423</f>
        <v>0</v>
      </c>
      <c r="V23" s="255">
        <f>入學要求!T423</f>
        <v>0</v>
      </c>
      <c r="W23" s="255">
        <f>入學要求!U423</f>
        <v>0</v>
      </c>
      <c r="X23" s="255">
        <f>入學要求!V423</f>
        <v>0</v>
      </c>
      <c r="Y23" s="255">
        <f>入學要求!W423</f>
        <v>0</v>
      </c>
      <c r="Z23" s="255">
        <f>入學要求!X423</f>
        <v>0</v>
      </c>
      <c r="AA23" s="36">
        <f t="shared" si="2"/>
        <v>4.5199999999999996</v>
      </c>
      <c r="AB23" s="537"/>
      <c r="AC23" s="36" cm="1">
        <f t="array" ref="AC23">IFERROR(INDEX('Offer Statistics'!FU$2:FU$400,MATCH(1,($A23='Offer Statistics'!$FF$2:$FF$400)*($AB$2='Offer Statistics'!$FG$2:$FG$400),0)),"/")</f>
        <v>119</v>
      </c>
      <c r="AD23" s="63" cm="1">
        <f t="array" ref="AD23">IFERROR(INDEX('Offer Statistics'!FP$2:FP$400,MATCH(1,($A23='Offer Statistics'!$FF$2:$FF$400)*($AB$2='Offer Statistics'!$FG$2:$FG$400),0)),"/")</f>
        <v>66</v>
      </c>
      <c r="AE23" s="63" cm="1">
        <f t="array" ref="AE23">IFERROR(INDEX('Offer Statistics'!FQ$2:FQ$400,MATCH(1,($A23='Offer Statistics'!$FF$2:$FF$400)*($AB$2='Offer Statistics'!$FG$2:$FG$400),0)),"/")</f>
        <v>23</v>
      </c>
      <c r="AF23" s="63" cm="1">
        <f t="array" ref="AF23">IFERROR(INDEX('Offer Statistics'!FR$2:FR$400,MATCH(1,($A23='Offer Statistics'!$FF$2:$FF$400)*($AB$2='Offer Statistics'!$FG$2:$FG$400),0)),"/")</f>
        <v>10</v>
      </c>
      <c r="AG23" s="63" cm="1">
        <f t="array" ref="AG23">IFERROR(INDEX('Offer Statistics'!FS$2:FS$400,MATCH(1,($A23='Offer Statistics'!$FF$2:$FF$400)*($AB$2='Offer Statistics'!$FG$2:$FG$400),0)),"/")</f>
        <v>9</v>
      </c>
      <c r="AH23" s="63" cm="1">
        <f t="array" ref="AH23">IFERROR(INDEX('Offer Statistics'!FT$2:FT$400,MATCH(1,($A23='Offer Statistics'!$FF$2:$FF$400)*($AB$2='Offer Statistics'!$FG$2:$FG$400),0)),"/")</f>
        <v>11</v>
      </c>
      <c r="AI23" s="552"/>
      <c r="AJ23" s="36" cm="1">
        <f t="array" ref="AJ23">IFERROR(INDEX('Offer Statistics'!FM$2:FM$400,MATCH(1,($A23='Offer Statistics'!$FF$2:$FF$400)*($AB$2='Offer Statistics'!$FG$2:$FG$400),0)),"/")</f>
        <v>2348</v>
      </c>
      <c r="AK23" s="63" cm="1">
        <f t="array" ref="AK23">IFERROR(INDEX('Offer Statistics'!FH$2:FH$400,MATCH(1,($A23='Offer Statistics'!$FF$2:$FF$400)*($AB$2='Offer Statistics'!$FG$2:$FG$400),0)),"/")</f>
        <v>298</v>
      </c>
      <c r="AL23" s="63" cm="1">
        <f t="array" ref="AL23">IFERROR(INDEX('Offer Statistics'!FI$2:FI$400,MATCH(1,($A23='Offer Statistics'!$FF$2:$FF$400)*($AB$2='Offer Statistics'!$FG$2:$FG$400),0)),"/")</f>
        <v>401</v>
      </c>
      <c r="AM23" s="63" cm="1">
        <f t="array" ref="AM23">IFERROR(INDEX('Offer Statistics'!FJ$2:FJ$400,MATCH(1,($A23='Offer Statistics'!$FF$2:$FF$400)*($AB$2='Offer Statistics'!$FG$2:$FG$400),0)),"/")</f>
        <v>472</v>
      </c>
      <c r="AN23" s="63" cm="1">
        <f t="array" ref="AN23">IFERROR(INDEX('Offer Statistics'!FK$2:FK$400,MATCH(1,($A23='Offer Statistics'!$FF$2:$FF$400)*($AB$2='Offer Statistics'!$FG$2:$FG$400),0)),"/")</f>
        <v>541</v>
      </c>
      <c r="AO23" s="63" cm="1">
        <f t="array" ref="AO23">IFERROR(INDEX('Offer Statistics'!FL$2:FL$400,MATCH(1,($A23='Offer Statistics'!$FF$2:$FF$400)*($AB$2='Offer Statistics'!$FG$2:$FG$400),0)),"/")</f>
        <v>636</v>
      </c>
      <c r="AP23" s="4"/>
      <c r="AQ23" s="15" t="str">
        <f t="shared" si="3"/>
        <v>JSSU12</v>
      </c>
      <c r="AR23" s="4"/>
    </row>
    <row r="24" spans="1:44" ht="14.55" customHeight="1">
      <c r="A24" s="4" t="str">
        <f>'Reference Score Calculation'!B415</f>
        <v>JSSU14</v>
      </c>
      <c r="B24" s="4" t="str">
        <f>'Reference Score Calculation'!D415</f>
        <v>都會大學</v>
      </c>
      <c r="C24" s="4" t="str">
        <f>'Reference Score Calculation'!E415</f>
        <v>動畫及視覺特效榮譽藝術學士</v>
      </c>
      <c r="D24" s="4" t="str">
        <f>'Reference Score Calculation'!S415</f>
        <v>BFA(Hons)AnimatVisEff</v>
      </c>
      <c r="E24" s="15" t="str">
        <f>'Reference Score Calculation'!F415</f>
        <v>Best 5</v>
      </c>
      <c r="F24" s="6" t="str">
        <f>'Reference Score Calculation'!H415</f>
        <v>/</v>
      </c>
      <c r="G24" s="413">
        <f>'Reference Score Calculation'!I415</f>
        <v>16</v>
      </c>
      <c r="H24" s="6">
        <f>'Reference Score Calculation'!J415</f>
        <v>15</v>
      </c>
      <c r="I24" s="45">
        <f>計分版!J438</f>
        <v>3.4999999999999999E-9</v>
      </c>
      <c r="J24" s="25">
        <f t="shared" ref="J24:J42" si="8">IFERROR(IF(J$1="差距(Median)",I24-G24,IF(J$1="差距(UQ)",I24-G24,IF(J$1="差距(LQ)",I24-H24))),"/")</f>
        <v>-15.9999999965</v>
      </c>
      <c r="K24" s="26">
        <f t="shared" ref="K24:K42" si="9">IFERROR(IF(J$1="差距(Median)",(I24-G24)/I24,IF(J$1="差距(UQ)",(I24-G24)/I24,IF(J$1="差距(LQ)",(I24-H24)/I24))),"/")</f>
        <v>-4571428570.4285717</v>
      </c>
      <c r="L24" s="36">
        <f>'Reference Score Calculation'!U415</f>
        <v>80</v>
      </c>
      <c r="M24" s="84">
        <f>入學要求!Z424</f>
        <v>0</v>
      </c>
      <c r="N24" s="544"/>
      <c r="O24" s="15">
        <v>3</v>
      </c>
      <c r="P24" s="15">
        <v>3</v>
      </c>
      <c r="Q24" s="15">
        <v>2</v>
      </c>
      <c r="R24" s="15">
        <v>2</v>
      </c>
      <c r="S24" s="15">
        <v>2</v>
      </c>
      <c r="T24" s="15">
        <v>2</v>
      </c>
      <c r="U24" s="255">
        <f>入學要求!S424</f>
        <v>0</v>
      </c>
      <c r="V24" s="255">
        <f>入學要求!T424</f>
        <v>0</v>
      </c>
      <c r="W24" s="255">
        <f>入學要求!U424</f>
        <v>0</v>
      </c>
      <c r="X24" s="255">
        <f>入學要求!V424</f>
        <v>0</v>
      </c>
      <c r="Y24" s="255">
        <f>入學要求!W424</f>
        <v>0</v>
      </c>
      <c r="Z24" s="255">
        <f>入學要求!X424</f>
        <v>0</v>
      </c>
      <c r="AA24" s="36">
        <f t="shared" si="2"/>
        <v>5.42</v>
      </c>
      <c r="AB24" s="537"/>
      <c r="AC24" s="36" cm="1">
        <f t="array" ref="AC24">IFERROR(INDEX('Offer Statistics'!FU$2:FU$400,MATCH(1,($A24='Offer Statistics'!$FF$2:$FF$400)*($AB$2='Offer Statistics'!$FG$2:$FG$400),0)),"/")</f>
        <v>118</v>
      </c>
      <c r="AD24" s="63" cm="1">
        <f t="array" ref="AD24">IFERROR(INDEX('Offer Statistics'!FP$2:FP$400,MATCH(1,($A24='Offer Statistics'!$FF$2:$FF$400)*($AB$2='Offer Statistics'!$FG$2:$FG$400),0)),"/")</f>
        <v>83</v>
      </c>
      <c r="AE24" s="63" cm="1">
        <f t="array" ref="AE24">IFERROR(INDEX('Offer Statistics'!FQ$2:FQ$400,MATCH(1,($A24='Offer Statistics'!$FF$2:$FF$400)*($AB$2='Offer Statistics'!$FG$2:$FG$400),0)),"/")</f>
        <v>17</v>
      </c>
      <c r="AF24" s="63" cm="1">
        <f t="array" ref="AF24">IFERROR(INDEX('Offer Statistics'!FR$2:FR$400,MATCH(1,($A24='Offer Statistics'!$FF$2:$FF$400)*($AB$2='Offer Statistics'!$FG$2:$FG$400),0)),"/")</f>
        <v>6</v>
      </c>
      <c r="AG24" s="63" cm="1">
        <f t="array" ref="AG24">IFERROR(INDEX('Offer Statistics'!FS$2:FS$400,MATCH(1,($A24='Offer Statistics'!$FF$2:$FF$400)*($AB$2='Offer Statistics'!$FG$2:$FG$400),0)),"/")</f>
        <v>5</v>
      </c>
      <c r="AH24" s="63" cm="1">
        <f t="array" ref="AH24">IFERROR(INDEX('Offer Statistics'!FT$2:FT$400,MATCH(1,($A24='Offer Statistics'!$FF$2:$FF$400)*($AB$2='Offer Statistics'!$FG$2:$FG$400),0)),"/")</f>
        <v>7</v>
      </c>
      <c r="AI24" s="552"/>
      <c r="AJ24" s="36" cm="1">
        <f t="array" ref="AJ24">IFERROR(INDEX('Offer Statistics'!FM$2:FM$400,MATCH(1,($A24='Offer Statistics'!$FF$2:$FF$400)*($AB$2='Offer Statistics'!$FG$2:$FG$400),0)),"/")</f>
        <v>2837</v>
      </c>
      <c r="AK24" s="63" cm="1">
        <f t="array" ref="AK24">IFERROR(INDEX('Offer Statistics'!FH$2:FH$400,MATCH(1,($A24='Offer Statistics'!$FF$2:$FF$400)*($AB$2='Offer Statistics'!$FG$2:$FG$400),0)),"/")</f>
        <v>450</v>
      </c>
      <c r="AL24" s="63" cm="1">
        <f t="array" ref="AL24">IFERROR(INDEX('Offer Statistics'!FI$2:FI$400,MATCH(1,($A24='Offer Statistics'!$FF$2:$FF$400)*($AB$2='Offer Statistics'!$FG$2:$FG$400),0)),"/")</f>
        <v>538</v>
      </c>
      <c r="AM24" s="63" cm="1">
        <f t="array" ref="AM24">IFERROR(INDEX('Offer Statistics'!FJ$2:FJ$400,MATCH(1,($A24='Offer Statistics'!$FF$2:$FF$400)*($AB$2='Offer Statistics'!$FG$2:$FG$400),0)),"/")</f>
        <v>533</v>
      </c>
      <c r="AN24" s="63" cm="1">
        <f t="array" ref="AN24">IFERROR(INDEX('Offer Statistics'!FK$2:FK$400,MATCH(1,($A24='Offer Statistics'!$FF$2:$FF$400)*($AB$2='Offer Statistics'!$FG$2:$FG$400),0)),"/")</f>
        <v>638</v>
      </c>
      <c r="AO24" s="63" cm="1">
        <f t="array" ref="AO24">IFERROR(INDEX('Offer Statistics'!FL$2:FL$400,MATCH(1,($A24='Offer Statistics'!$FF$2:$FF$400)*($AB$2='Offer Statistics'!$FG$2:$FG$400),0)),"/")</f>
        <v>678</v>
      </c>
      <c r="AP24" s="4"/>
      <c r="AQ24" s="15" t="str">
        <f t="shared" si="3"/>
        <v>JSSU14</v>
      </c>
      <c r="AR24" s="4"/>
    </row>
    <row r="25" spans="1:44" ht="14.55" customHeight="1">
      <c r="A25" s="4" t="str">
        <f>'Reference Score Calculation'!B416</f>
        <v>JSSU15</v>
      </c>
      <c r="B25" s="4" t="str">
        <f>'Reference Score Calculation'!D416</f>
        <v>都會大學</v>
      </c>
      <c r="C25" s="4" t="str">
        <f>'Reference Score Calculation'!E416</f>
        <v>影像設計及數碼藝術榮譽藝術學士</v>
      </c>
      <c r="D25" s="4" t="str">
        <f>'Reference Score Calculation'!S416</f>
        <v>BFA(Hons)IDDA</v>
      </c>
      <c r="E25" s="15" t="str">
        <f>'Reference Score Calculation'!F416</f>
        <v>Best 5</v>
      </c>
      <c r="F25" s="6" t="str">
        <f>'Reference Score Calculation'!H416</f>
        <v>/</v>
      </c>
      <c r="G25" s="413">
        <f>'Reference Score Calculation'!I416</f>
        <v>16</v>
      </c>
      <c r="H25" s="6">
        <f>'Reference Score Calculation'!J416</f>
        <v>15</v>
      </c>
      <c r="I25" s="45">
        <f>計分版!J439</f>
        <v>3.4999999999999999E-9</v>
      </c>
      <c r="J25" s="25">
        <f t="shared" si="8"/>
        <v>-15.9999999965</v>
      </c>
      <c r="K25" s="26">
        <f t="shared" si="9"/>
        <v>-4571428570.4285717</v>
      </c>
      <c r="L25" s="36">
        <f>'Reference Score Calculation'!U416</f>
        <v>30</v>
      </c>
      <c r="M25" s="84">
        <f>入學要求!Z425</f>
        <v>0</v>
      </c>
      <c r="N25" s="544"/>
      <c r="O25" s="15">
        <v>3</v>
      </c>
      <c r="P25" s="15">
        <v>3</v>
      </c>
      <c r="Q25" s="15">
        <v>2</v>
      </c>
      <c r="R25" s="15">
        <v>2</v>
      </c>
      <c r="S25" s="15">
        <v>2</v>
      </c>
      <c r="T25" s="15">
        <v>2</v>
      </c>
      <c r="U25" s="255">
        <f>入學要求!S425</f>
        <v>0</v>
      </c>
      <c r="V25" s="255">
        <f>入學要求!T425</f>
        <v>0</v>
      </c>
      <c r="W25" s="255">
        <f>入學要求!U425</f>
        <v>0</v>
      </c>
      <c r="X25" s="255">
        <f>入學要求!V425</f>
        <v>0</v>
      </c>
      <c r="Y25" s="255">
        <f>入學要求!W425</f>
        <v>0</v>
      </c>
      <c r="Z25" s="255">
        <f>入學要求!X425</f>
        <v>0</v>
      </c>
      <c r="AA25" s="36">
        <f t="shared" si="2"/>
        <v>8.77</v>
      </c>
      <c r="AB25" s="537"/>
      <c r="AC25" s="36" cm="1">
        <f t="array" ref="AC25">IFERROR(INDEX('Offer Statistics'!FU$2:FU$400,MATCH(1,($A25='Offer Statistics'!$FF$2:$FF$400)*($AB$2='Offer Statistics'!$FG$2:$FG$400),0)),"/")</f>
        <v>54</v>
      </c>
      <c r="AD25" s="63" cm="1">
        <f t="array" ref="AD25">IFERROR(INDEX('Offer Statistics'!FP$2:FP$400,MATCH(1,($A25='Offer Statistics'!$FF$2:$FF$400)*($AB$2='Offer Statistics'!$FG$2:$FG$400),0)),"/")</f>
        <v>35</v>
      </c>
      <c r="AE25" s="63" cm="1">
        <f t="array" ref="AE25">IFERROR(INDEX('Offer Statistics'!FQ$2:FQ$400,MATCH(1,($A25='Offer Statistics'!$FF$2:$FF$400)*($AB$2='Offer Statistics'!$FG$2:$FG$400),0)),"/")</f>
        <v>6</v>
      </c>
      <c r="AF25" s="63" cm="1">
        <f t="array" ref="AF25">IFERROR(INDEX('Offer Statistics'!FR$2:FR$400,MATCH(1,($A25='Offer Statistics'!$FF$2:$FF$400)*($AB$2='Offer Statistics'!$FG$2:$FG$400),0)),"/")</f>
        <v>5</v>
      </c>
      <c r="AG25" s="63" cm="1">
        <f t="array" ref="AG25">IFERROR(INDEX('Offer Statistics'!FS$2:FS$400,MATCH(1,($A25='Offer Statistics'!$FF$2:$FF$400)*($AB$2='Offer Statistics'!$FG$2:$FG$400),0)),"/")</f>
        <v>2</v>
      </c>
      <c r="AH25" s="63" cm="1">
        <f t="array" ref="AH25">IFERROR(INDEX('Offer Statistics'!FT$2:FT$400,MATCH(1,($A25='Offer Statistics'!$FF$2:$FF$400)*($AB$2='Offer Statistics'!$FG$2:$FG$400),0)),"/")</f>
        <v>6</v>
      </c>
      <c r="AI25" s="552"/>
      <c r="AJ25" s="36" cm="1">
        <f t="array" ref="AJ25">IFERROR(INDEX('Offer Statistics'!FM$2:FM$400,MATCH(1,($A25='Offer Statistics'!$FF$2:$FF$400)*($AB$2='Offer Statistics'!$FG$2:$FG$400),0)),"/")</f>
        <v>2530</v>
      </c>
      <c r="AK25" s="63" cm="1">
        <f t="array" ref="AK25">IFERROR(INDEX('Offer Statistics'!FH$2:FH$400,MATCH(1,($A25='Offer Statistics'!$FF$2:$FF$400)*($AB$2='Offer Statistics'!$FG$2:$FG$400),0)),"/")</f>
        <v>307</v>
      </c>
      <c r="AL25" s="63" cm="1">
        <f t="array" ref="AL25">IFERROR(INDEX('Offer Statistics'!FI$2:FI$400,MATCH(1,($A25='Offer Statistics'!$FF$2:$FF$400)*($AB$2='Offer Statistics'!$FG$2:$FG$400),0)),"/")</f>
        <v>479</v>
      </c>
      <c r="AM25" s="63" cm="1">
        <f t="array" ref="AM25">IFERROR(INDEX('Offer Statistics'!FJ$2:FJ$400,MATCH(1,($A25='Offer Statistics'!$FF$2:$FF$400)*($AB$2='Offer Statistics'!$FG$2:$FG$400),0)),"/")</f>
        <v>501</v>
      </c>
      <c r="AN25" s="63" cm="1">
        <f t="array" ref="AN25">IFERROR(INDEX('Offer Statistics'!FK$2:FK$400,MATCH(1,($A25='Offer Statistics'!$FF$2:$FF$400)*($AB$2='Offer Statistics'!$FG$2:$FG$400),0)),"/")</f>
        <v>613</v>
      </c>
      <c r="AO25" s="63" cm="1">
        <f t="array" ref="AO25">IFERROR(INDEX('Offer Statistics'!FL$2:FL$400,MATCH(1,($A25='Offer Statistics'!$FF$2:$FF$400)*($AB$2='Offer Statistics'!$FG$2:$FG$400),0)),"/")</f>
        <v>630</v>
      </c>
      <c r="AP25" s="4"/>
      <c r="AQ25" s="15" t="str">
        <f t="shared" si="3"/>
        <v>JSSU15</v>
      </c>
      <c r="AR25" s="4"/>
    </row>
    <row r="26" spans="1:44" ht="14.55" customHeight="1">
      <c r="A26" s="4" t="str">
        <f>'Reference Score Calculation'!B417</f>
        <v>JSSU18</v>
      </c>
      <c r="B26" s="4" t="str">
        <f>'Reference Score Calculation'!D417</f>
        <v>都會大學</v>
      </c>
      <c r="C26" s="4" t="str">
        <f>'Reference Score Calculation'!E417</f>
        <v>新音樂及互動娛樂榮譽文學士</v>
      </c>
      <c r="D26" s="4" t="str">
        <f>'Reference Score Calculation'!S417</f>
        <v>BA(Hons)NewMusic&amp;Enter</v>
      </c>
      <c r="E26" s="15" t="str">
        <f>'Reference Score Calculation'!F417</f>
        <v>Best 5</v>
      </c>
      <c r="F26" s="6" t="str">
        <f>'Reference Score Calculation'!H417</f>
        <v>/</v>
      </c>
      <c r="G26" s="413">
        <f>'Reference Score Calculation'!I417</f>
        <v>16</v>
      </c>
      <c r="H26" s="6">
        <f>'Reference Score Calculation'!J417</f>
        <v>14</v>
      </c>
      <c r="I26" s="45">
        <f>計分版!J440</f>
        <v>3.4999999999999999E-9</v>
      </c>
      <c r="J26" s="25">
        <f>IFERROR(IF(J$1="差距(Median)",I26-G26,IF(J$1="差距(UQ)",I26-G26,IF(J$1="差距(LQ)",I26-H26))),"/")</f>
        <v>-15.9999999965</v>
      </c>
      <c r="K26" s="26">
        <f>IFERROR(IF(J$1="差距(Median)",(I26-G26)/I26,IF(J$1="差距(UQ)",(I26-G26)/I26,IF(J$1="差距(LQ)",(I26-H26)/I26))),"/")</f>
        <v>-4571428570.4285717</v>
      </c>
      <c r="L26" s="36">
        <f>'Reference Score Calculation'!U417</f>
        <v>40</v>
      </c>
      <c r="M26" s="84">
        <f>入學要求!Z426</f>
        <v>0</v>
      </c>
      <c r="N26" s="544"/>
      <c r="O26" s="15">
        <v>3</v>
      </c>
      <c r="P26" s="15">
        <v>3</v>
      </c>
      <c r="Q26" s="15">
        <v>2</v>
      </c>
      <c r="R26" s="15">
        <v>2</v>
      </c>
      <c r="S26" s="15">
        <v>2</v>
      </c>
      <c r="T26" s="15">
        <v>2</v>
      </c>
      <c r="U26" s="255">
        <f>入學要求!S426</f>
        <v>0</v>
      </c>
      <c r="V26" s="255">
        <f>入學要求!T426</f>
        <v>0</v>
      </c>
      <c r="W26" s="255">
        <f>入學要求!U426</f>
        <v>0</v>
      </c>
      <c r="X26" s="255">
        <f>入學要求!V426</f>
        <v>0</v>
      </c>
      <c r="Y26" s="255">
        <f>入學要求!W426</f>
        <v>0</v>
      </c>
      <c r="Z26" s="255">
        <f>入學要求!X426</f>
        <v>0</v>
      </c>
      <c r="AA26" s="36">
        <f t="shared" si="2"/>
        <v>6.4</v>
      </c>
      <c r="AB26" s="537"/>
      <c r="AC26" s="36" cm="1">
        <f t="array" ref="AC26">IFERROR(INDEX('Offer Statistics'!FU$2:FU$400,MATCH(1,($A26='Offer Statistics'!$FF$2:$FF$400)*($AB$2='Offer Statistics'!$FG$2:$FG$400),0)),"/")</f>
        <v>34</v>
      </c>
      <c r="AD26" s="63" cm="1">
        <f t="array" ref="AD26">IFERROR(INDEX('Offer Statistics'!FP$2:FP$400,MATCH(1,($A26='Offer Statistics'!$FF$2:$FF$400)*($AB$2='Offer Statistics'!$FG$2:$FG$400),0)),"/")</f>
        <v>20</v>
      </c>
      <c r="AE26" s="63" cm="1">
        <f t="array" ref="AE26">IFERROR(INDEX('Offer Statistics'!FQ$2:FQ$400,MATCH(1,($A26='Offer Statistics'!$FF$2:$FF$400)*($AB$2='Offer Statistics'!$FG$2:$FG$400),0)),"/")</f>
        <v>8</v>
      </c>
      <c r="AF26" s="63" cm="1">
        <f t="array" ref="AF26">IFERROR(INDEX('Offer Statistics'!FR$2:FR$400,MATCH(1,($A26='Offer Statistics'!$FF$2:$FF$400)*($AB$2='Offer Statistics'!$FG$2:$FG$400),0)),"/")</f>
        <v>4</v>
      </c>
      <c r="AG26" s="63" cm="1">
        <f t="array" ref="AG26">IFERROR(INDEX('Offer Statistics'!FS$2:FS$400,MATCH(1,($A26='Offer Statistics'!$FF$2:$FF$400)*($AB$2='Offer Statistics'!$FG$2:$FG$400),0)),"/")</f>
        <v>2</v>
      </c>
      <c r="AH26" s="63" cm="1">
        <f t="array" ref="AH26">IFERROR(INDEX('Offer Statistics'!FT$2:FT$400,MATCH(1,($A26='Offer Statistics'!$FF$2:$FF$400)*($AB$2='Offer Statistics'!$FG$2:$FG$400),0)),"/")</f>
        <v>0</v>
      </c>
      <c r="AI26" s="552"/>
      <c r="AJ26" s="36" cm="1">
        <f t="array" ref="AJ26">IFERROR(INDEX('Offer Statistics'!FM$2:FM$400,MATCH(1,($A26='Offer Statistics'!$FF$2:$FF$400)*($AB$2='Offer Statistics'!$FG$2:$FG$400),0)),"/")</f>
        <v>958</v>
      </c>
      <c r="AK26" s="63" cm="1">
        <f t="array" ref="AK26">IFERROR(INDEX('Offer Statistics'!FH$2:FH$400,MATCH(1,($A26='Offer Statistics'!$FF$2:$FF$400)*($AB$2='Offer Statistics'!$FG$2:$FG$400),0)),"/")</f>
        <v>128</v>
      </c>
      <c r="AL26" s="63" cm="1">
        <f t="array" ref="AL26">IFERROR(INDEX('Offer Statistics'!FI$2:FI$400,MATCH(1,($A26='Offer Statistics'!$FF$2:$FF$400)*($AB$2='Offer Statistics'!$FG$2:$FG$400),0)),"/")</f>
        <v>169</v>
      </c>
      <c r="AM26" s="63" cm="1">
        <f t="array" ref="AM26">IFERROR(INDEX('Offer Statistics'!FJ$2:FJ$400,MATCH(1,($A26='Offer Statistics'!$FF$2:$FF$400)*($AB$2='Offer Statistics'!$FG$2:$FG$400),0)),"/")</f>
        <v>200</v>
      </c>
      <c r="AN26" s="63" cm="1">
        <f t="array" ref="AN26">IFERROR(INDEX('Offer Statistics'!FK$2:FK$400,MATCH(1,($A26='Offer Statistics'!$FF$2:$FF$400)*($AB$2='Offer Statistics'!$FG$2:$FG$400),0)),"/")</f>
        <v>215</v>
      </c>
      <c r="AO26" s="63" cm="1">
        <f t="array" ref="AO26">IFERROR(INDEX('Offer Statistics'!FL$2:FL$400,MATCH(1,($A26='Offer Statistics'!$FF$2:$FF$400)*($AB$2='Offer Statistics'!$FG$2:$FG$400),0)),"/")</f>
        <v>246</v>
      </c>
      <c r="AP26" s="4"/>
      <c r="AQ26" s="15" t="str">
        <f t="shared" si="3"/>
        <v>JSSU18</v>
      </c>
      <c r="AR26" s="4"/>
    </row>
    <row r="27" spans="1:44" ht="14.55" customHeight="1">
      <c r="A27" s="4" t="str">
        <f>'Reference Score Calculation'!B418</f>
        <v>JSSU40</v>
      </c>
      <c r="B27" s="4" t="str">
        <f>'Reference Score Calculation'!D418</f>
        <v>都會大學</v>
      </c>
      <c r="C27" s="4" t="str">
        <f>'Reference Score Calculation'!E418</f>
        <v>護理學榮譽學士（普通科）</v>
      </c>
      <c r="D27" s="4" t="str">
        <f>'Reference Score Calculation'!S418</f>
        <v>BNursing(Hons)General</v>
      </c>
      <c r="E27" s="15" t="str">
        <f>'Reference Score Calculation'!F418</f>
        <v>Best 5</v>
      </c>
      <c r="F27" s="6" t="str">
        <f>'Reference Score Calculation'!H418</f>
        <v>/</v>
      </c>
      <c r="G27" s="413">
        <f>'Reference Score Calculation'!I418</f>
        <v>20</v>
      </c>
      <c r="H27" s="6">
        <f>'Reference Score Calculation'!J418</f>
        <v>19</v>
      </c>
      <c r="I27" s="45">
        <f>計分版!J441</f>
        <v>3.4999999999999999E-9</v>
      </c>
      <c r="J27" s="25">
        <f t="shared" si="8"/>
        <v>-19.999999996500001</v>
      </c>
      <c r="K27" s="26">
        <f t="shared" si="9"/>
        <v>-5714285713.2857151</v>
      </c>
      <c r="L27" s="36">
        <f>'Reference Score Calculation'!U418</f>
        <v>410</v>
      </c>
      <c r="M27" s="84">
        <f>入學要求!Z427</f>
        <v>0</v>
      </c>
      <c r="N27" s="544"/>
      <c r="O27" s="15">
        <v>3</v>
      </c>
      <c r="P27" s="15">
        <v>3</v>
      </c>
      <c r="Q27" s="15">
        <v>2</v>
      </c>
      <c r="R27" s="15">
        <v>2</v>
      </c>
      <c r="S27" s="15">
        <v>2</v>
      </c>
      <c r="T27" s="15">
        <v>2</v>
      </c>
      <c r="U27" s="255">
        <f>入學要求!S427</f>
        <v>0</v>
      </c>
      <c r="V27" s="255">
        <f>入學要求!T427</f>
        <v>0</v>
      </c>
      <c r="W27" s="255">
        <f>入學要求!U427</f>
        <v>0</v>
      </c>
      <c r="X27" s="255">
        <f>入學要求!V427</f>
        <v>0</v>
      </c>
      <c r="Y27" s="255">
        <f>入學要求!W427</f>
        <v>0</v>
      </c>
      <c r="Z27" s="255">
        <f>入學要求!X427</f>
        <v>0</v>
      </c>
      <c r="AA27" s="36">
        <f t="shared" si="2"/>
        <v>5.25</v>
      </c>
      <c r="AB27" s="537"/>
      <c r="AC27" s="36" cm="1">
        <f t="array" ref="AC27">IFERROR(INDEX('Offer Statistics'!FU$2:FU$400,MATCH(1,($A27='Offer Statistics'!$FF$2:$FF$400)*($AB$2='Offer Statistics'!$FG$2:$FG$400),0)),"/")</f>
        <v>390</v>
      </c>
      <c r="AD27" s="63" cm="1">
        <f t="array" ref="AD27">IFERROR(INDEX('Offer Statistics'!FP$2:FP$400,MATCH(1,($A27='Offer Statistics'!$FF$2:$FF$400)*($AB$2='Offer Statistics'!$FG$2:$FG$400),0)),"/")</f>
        <v>390</v>
      </c>
      <c r="AE27" s="63" cm="1">
        <f t="array" ref="AE27">IFERROR(INDEX('Offer Statistics'!FQ$2:FQ$400,MATCH(1,($A27='Offer Statistics'!$FF$2:$FF$400)*($AB$2='Offer Statistics'!$FG$2:$FG$400),0)),"/")</f>
        <v>0</v>
      </c>
      <c r="AF27" s="63" cm="1">
        <f t="array" ref="AF27">IFERROR(INDEX('Offer Statistics'!FR$2:FR$400,MATCH(1,($A27='Offer Statistics'!$FF$2:$FF$400)*($AB$2='Offer Statistics'!$FG$2:$FG$400),0)),"/")</f>
        <v>0</v>
      </c>
      <c r="AG27" s="63" cm="1">
        <f t="array" ref="AG27">IFERROR(INDEX('Offer Statistics'!FS$2:FS$400,MATCH(1,($A27='Offer Statistics'!$FF$2:$FF$400)*($AB$2='Offer Statistics'!$FG$2:$FG$400),0)),"/")</f>
        <v>0</v>
      </c>
      <c r="AH27" s="63" cm="1">
        <f t="array" ref="AH27">IFERROR(INDEX('Offer Statistics'!FT$2:FT$400,MATCH(1,($A27='Offer Statistics'!$FF$2:$FF$400)*($AB$2='Offer Statistics'!$FG$2:$FG$400),0)),"/")</f>
        <v>0</v>
      </c>
      <c r="AI27" s="552"/>
      <c r="AJ27" s="36" cm="1">
        <f t="array" ref="AJ27">IFERROR(INDEX('Offer Statistics'!FM$2:FM$400,MATCH(1,($A27='Offer Statistics'!$FF$2:$FF$400)*($AB$2='Offer Statistics'!$FG$2:$FG$400),0)),"/")</f>
        <v>5202</v>
      </c>
      <c r="AK27" s="63" cm="1">
        <f t="array" ref="AK27">IFERROR(INDEX('Offer Statistics'!FH$2:FH$400,MATCH(1,($A27='Offer Statistics'!$FF$2:$FF$400)*($AB$2='Offer Statistics'!$FG$2:$FG$400),0)),"/")</f>
        <v>2046</v>
      </c>
      <c r="AL27" s="63" cm="1">
        <f t="array" ref="AL27">IFERROR(INDEX('Offer Statistics'!FI$2:FI$400,MATCH(1,($A27='Offer Statistics'!$FF$2:$FF$400)*($AB$2='Offer Statistics'!$FG$2:$FG$400),0)),"/")</f>
        <v>972</v>
      </c>
      <c r="AM27" s="63" cm="1">
        <f t="array" ref="AM27">IFERROR(INDEX('Offer Statistics'!FJ$2:FJ$400,MATCH(1,($A27='Offer Statistics'!$FF$2:$FF$400)*($AB$2='Offer Statistics'!$FG$2:$FG$400),0)),"/")</f>
        <v>772</v>
      </c>
      <c r="AN27" s="63" cm="1">
        <f t="array" ref="AN27">IFERROR(INDEX('Offer Statistics'!FK$2:FK$400,MATCH(1,($A27='Offer Statistics'!$FF$2:$FF$400)*($AB$2='Offer Statistics'!$FG$2:$FG$400),0)),"/")</f>
        <v>686</v>
      </c>
      <c r="AO27" s="63" cm="1">
        <f t="array" ref="AO27">IFERROR(INDEX('Offer Statistics'!FL$2:FL$400,MATCH(1,($A27='Offer Statistics'!$FF$2:$FF$400)*($AB$2='Offer Statistics'!$FG$2:$FG$400),0)),"/")</f>
        <v>726</v>
      </c>
      <c r="AP27" s="4"/>
      <c r="AQ27" s="15" t="str">
        <f t="shared" si="3"/>
        <v>JSSU40</v>
      </c>
      <c r="AR27" s="4"/>
    </row>
    <row r="28" spans="1:44" ht="14.55" customHeight="1">
      <c r="A28" s="4" t="str">
        <f>'Reference Score Calculation'!B419</f>
        <v>JSSU50</v>
      </c>
      <c r="B28" s="4" t="str">
        <f>'Reference Score Calculation'!D419</f>
        <v>都會大學</v>
      </c>
      <c r="C28" s="4" t="str">
        <f>'Reference Score Calculation'!E419</f>
        <v>護理學榮譽學士（精神科）</v>
      </c>
      <c r="D28" s="4" t="str">
        <f>'Reference Score Calculation'!S419</f>
        <v>BNursing(Hons)Mental</v>
      </c>
      <c r="E28" s="15" t="str">
        <f>'Reference Score Calculation'!F419</f>
        <v>Best 5</v>
      </c>
      <c r="F28" s="6" t="str">
        <f>'Reference Score Calculation'!H419</f>
        <v>/</v>
      </c>
      <c r="G28" s="413">
        <f>'Reference Score Calculation'!I419</f>
        <v>17</v>
      </c>
      <c r="H28" s="6">
        <f>'Reference Score Calculation'!J419</f>
        <v>16</v>
      </c>
      <c r="I28" s="45">
        <f>計分版!J442</f>
        <v>3.4999999999999999E-9</v>
      </c>
      <c r="J28" s="25">
        <f t="shared" si="8"/>
        <v>-16.999999996500001</v>
      </c>
      <c r="K28" s="26">
        <f t="shared" si="9"/>
        <v>-4857142856.1428576</v>
      </c>
      <c r="L28" s="36">
        <f>'Reference Score Calculation'!U419</f>
        <v>130</v>
      </c>
      <c r="M28" s="84">
        <f>入學要求!Z428</f>
        <v>0</v>
      </c>
      <c r="N28" s="544"/>
      <c r="O28" s="15">
        <v>3</v>
      </c>
      <c r="P28" s="15">
        <v>3</v>
      </c>
      <c r="Q28" s="15">
        <v>2</v>
      </c>
      <c r="R28" s="15">
        <v>2</v>
      </c>
      <c r="S28" s="15">
        <v>2</v>
      </c>
      <c r="T28" s="15">
        <v>2</v>
      </c>
      <c r="U28" s="255">
        <f>入學要求!S428</f>
        <v>0</v>
      </c>
      <c r="V28" s="255">
        <f>入學要求!T428</f>
        <v>0</v>
      </c>
      <c r="W28" s="255">
        <f>入學要求!U428</f>
        <v>0</v>
      </c>
      <c r="X28" s="255">
        <f>入學要求!V428</f>
        <v>0</v>
      </c>
      <c r="Y28" s="255">
        <f>入學要求!W428</f>
        <v>0</v>
      </c>
      <c r="Z28" s="255">
        <f>入學要求!X428</f>
        <v>0</v>
      </c>
      <c r="AA28" s="36">
        <f t="shared" si="2"/>
        <v>7.62</v>
      </c>
      <c r="AB28" s="537"/>
      <c r="AC28" s="36" cm="1">
        <f t="array" ref="AC28">IFERROR(INDEX('Offer Statistics'!FU$2:FU$400,MATCH(1,($A28='Offer Statistics'!$FF$2:$FF$400)*($AB$2='Offer Statistics'!$FG$2:$FG$400),0)),"/")</f>
        <v>135</v>
      </c>
      <c r="AD28" s="63" cm="1">
        <f t="array" ref="AD28">IFERROR(INDEX('Offer Statistics'!FP$2:FP$400,MATCH(1,($A28='Offer Statistics'!$FF$2:$FF$400)*($AB$2='Offer Statistics'!$FG$2:$FG$400),0)),"/")</f>
        <v>135</v>
      </c>
      <c r="AE28" s="63" cm="1">
        <f t="array" ref="AE28">IFERROR(INDEX('Offer Statistics'!FQ$2:FQ$400,MATCH(1,($A28='Offer Statistics'!$FF$2:$FF$400)*($AB$2='Offer Statistics'!$FG$2:$FG$400),0)),"/")</f>
        <v>0</v>
      </c>
      <c r="AF28" s="63" cm="1">
        <f t="array" ref="AF28">IFERROR(INDEX('Offer Statistics'!FR$2:FR$400,MATCH(1,($A28='Offer Statistics'!$FF$2:$FF$400)*($AB$2='Offer Statistics'!$FG$2:$FG$400),0)),"/")</f>
        <v>0</v>
      </c>
      <c r="AG28" s="63" cm="1">
        <f t="array" ref="AG28">IFERROR(INDEX('Offer Statistics'!FS$2:FS$400,MATCH(1,($A28='Offer Statistics'!$FF$2:$FF$400)*($AB$2='Offer Statistics'!$FG$2:$FG$400),0)),"/")</f>
        <v>0</v>
      </c>
      <c r="AH28" s="63" cm="1">
        <f t="array" ref="AH28">IFERROR(INDEX('Offer Statistics'!FT$2:FT$400,MATCH(1,($A28='Offer Statistics'!$FF$2:$FF$400)*($AB$2='Offer Statistics'!$FG$2:$FG$400),0)),"/")</f>
        <v>0</v>
      </c>
      <c r="AI28" s="552"/>
      <c r="AJ28" s="36" cm="1">
        <f t="array" ref="AJ28">IFERROR(INDEX('Offer Statistics'!FM$2:FM$400,MATCH(1,($A28='Offer Statistics'!$FF$2:$FF$400)*($AB$2='Offer Statistics'!$FG$2:$FG$400),0)),"/")</f>
        <v>3912</v>
      </c>
      <c r="AK28" s="63" cm="1">
        <f t="array" ref="AK28">IFERROR(INDEX('Offer Statistics'!FH$2:FH$400,MATCH(1,($A28='Offer Statistics'!$FF$2:$FF$400)*($AB$2='Offer Statistics'!$FG$2:$FG$400),0)),"/")</f>
        <v>1029</v>
      </c>
      <c r="AL28" s="63" cm="1">
        <f t="array" ref="AL28">IFERROR(INDEX('Offer Statistics'!FI$2:FI$400,MATCH(1,($A28='Offer Statistics'!$FF$2:$FF$400)*($AB$2='Offer Statistics'!$FG$2:$FG$400),0)),"/")</f>
        <v>1076</v>
      </c>
      <c r="AM28" s="63" cm="1">
        <f t="array" ref="AM28">IFERROR(INDEX('Offer Statistics'!FJ$2:FJ$400,MATCH(1,($A28='Offer Statistics'!$FF$2:$FF$400)*($AB$2='Offer Statistics'!$FG$2:$FG$400),0)),"/")</f>
        <v>690</v>
      </c>
      <c r="AN28" s="63" cm="1">
        <f t="array" ref="AN28">IFERROR(INDEX('Offer Statistics'!FK$2:FK$400,MATCH(1,($A28='Offer Statistics'!$FF$2:$FF$400)*($AB$2='Offer Statistics'!$FG$2:$FG$400),0)),"/")</f>
        <v>560</v>
      </c>
      <c r="AO28" s="63" cm="1">
        <f t="array" ref="AO28">IFERROR(INDEX('Offer Statistics'!FL$2:FL$400,MATCH(1,($A28='Offer Statistics'!$FF$2:$FF$400)*($AB$2='Offer Statistics'!$FG$2:$FG$400),0)),"/")</f>
        <v>557</v>
      </c>
      <c r="AP28" s="4"/>
      <c r="AQ28" s="15" t="str">
        <f t="shared" si="3"/>
        <v>JSSU50</v>
      </c>
      <c r="AR28" s="4"/>
    </row>
    <row r="29" spans="1:44" ht="14.55" customHeight="1">
      <c r="A29" s="4" t="str">
        <f>'Reference Score Calculation'!B420</f>
        <v>JSSU55</v>
      </c>
      <c r="B29" s="4" t="str">
        <f>'Reference Score Calculation'!D420</f>
        <v>都會大學</v>
      </c>
      <c r="C29" s="4" t="str">
        <f>'Reference Score Calculation'!E420</f>
        <v>物理治療學榮譽理學士</v>
      </c>
      <c r="D29" s="4" t="str">
        <f>'Reference Score Calculation'!S420</f>
        <v>BSc(Hons)Physiotherapy</v>
      </c>
      <c r="E29" s="15" t="str">
        <f>'Reference Score Calculation'!F420</f>
        <v>Best 5</v>
      </c>
      <c r="F29" s="6" t="str">
        <f>'Reference Score Calculation'!H420</f>
        <v>/</v>
      </c>
      <c r="G29" s="413">
        <f>'Reference Score Calculation'!I420</f>
        <v>25</v>
      </c>
      <c r="H29" s="6">
        <f>'Reference Score Calculation'!J420</f>
        <v>24</v>
      </c>
      <c r="I29" s="45">
        <f>計分版!J443</f>
        <v>3.4999999999999999E-9</v>
      </c>
      <c r="J29" s="25">
        <f t="shared" si="8"/>
        <v>-24.999999996500001</v>
      </c>
      <c r="K29" s="26">
        <f t="shared" si="9"/>
        <v>-7142857141.8571434</v>
      </c>
      <c r="L29" s="36">
        <f>'Reference Score Calculation'!U420</f>
        <v>55</v>
      </c>
      <c r="M29" s="84">
        <f>入學要求!Z429</f>
        <v>0</v>
      </c>
      <c r="N29" s="544"/>
      <c r="O29" s="15">
        <v>3</v>
      </c>
      <c r="P29" s="15">
        <v>3</v>
      </c>
      <c r="Q29" s="15">
        <v>2</v>
      </c>
      <c r="R29" s="15">
        <v>2</v>
      </c>
      <c r="S29" s="15">
        <v>2</v>
      </c>
      <c r="T29" s="15">
        <v>2</v>
      </c>
      <c r="U29" s="255">
        <f>入學要求!S429</f>
        <v>0</v>
      </c>
      <c r="V29" s="255">
        <f>入學要求!T429</f>
        <v>0</v>
      </c>
      <c r="W29" s="255">
        <f>入學要求!U429</f>
        <v>0</v>
      </c>
      <c r="X29" s="255">
        <f>入學要求!V429</f>
        <v>0</v>
      </c>
      <c r="Y29" s="255">
        <f>入學要求!W429</f>
        <v>0</v>
      </c>
      <c r="Z29" s="255">
        <f>入學要求!X429</f>
        <v>0</v>
      </c>
      <c r="AA29" s="36">
        <f t="shared" si="2"/>
        <v>5.9</v>
      </c>
      <c r="AB29" s="537"/>
      <c r="AC29" s="36" cm="1">
        <f t="array" ref="AC29">IFERROR(INDEX('Offer Statistics'!FU$2:FU$400,MATCH(1,($A29='Offer Statistics'!$FF$2:$FF$400)*($AB$2='Offer Statistics'!$FG$2:$FG$400),0)),"/")</f>
        <v>50</v>
      </c>
      <c r="AD29" s="63" cm="1">
        <f t="array" ref="AD29">IFERROR(INDEX('Offer Statistics'!FP$2:FP$400,MATCH(1,($A29='Offer Statistics'!$FF$2:$FF$400)*($AB$2='Offer Statistics'!$FG$2:$FG$400),0)),"/")</f>
        <v>50</v>
      </c>
      <c r="AE29" s="63" cm="1">
        <f t="array" ref="AE29">IFERROR(INDEX('Offer Statistics'!FQ$2:FQ$400,MATCH(1,($A29='Offer Statistics'!$FF$2:$FF$400)*($AB$2='Offer Statistics'!$FG$2:$FG$400),0)),"/")</f>
        <v>0</v>
      </c>
      <c r="AF29" s="63" cm="1">
        <f t="array" ref="AF29">IFERROR(INDEX('Offer Statistics'!FR$2:FR$400,MATCH(1,($A29='Offer Statistics'!$FF$2:$FF$400)*($AB$2='Offer Statistics'!$FG$2:$FG$400),0)),"/")</f>
        <v>0</v>
      </c>
      <c r="AG29" s="63" cm="1">
        <f t="array" ref="AG29">IFERROR(INDEX('Offer Statistics'!FS$2:FS$400,MATCH(1,($A29='Offer Statistics'!$FF$2:$FF$400)*($AB$2='Offer Statistics'!$FG$2:$FG$400),0)),"/")</f>
        <v>0</v>
      </c>
      <c r="AH29" s="63" cm="1">
        <f t="array" ref="AH29">IFERROR(INDEX('Offer Statistics'!FT$2:FT$400,MATCH(1,($A29='Offer Statistics'!$FF$2:$FF$400)*($AB$2='Offer Statistics'!$FG$2:$FG$400),0)),"/")</f>
        <v>0</v>
      </c>
      <c r="AI29" s="552"/>
      <c r="AJ29" s="36" cm="1">
        <f t="array" ref="AJ29">IFERROR(INDEX('Offer Statistics'!FM$2:FM$400,MATCH(1,($A29='Offer Statistics'!$FF$2:$FF$400)*($AB$2='Offer Statistics'!$FG$2:$FG$400),0)),"/")</f>
        <v>2327</v>
      </c>
      <c r="AK29" s="63" cm="1">
        <f t="array" ref="AK29">IFERROR(INDEX('Offer Statistics'!FH$2:FH$400,MATCH(1,($A29='Offer Statistics'!$FF$2:$FF$400)*($AB$2='Offer Statistics'!$FG$2:$FG$400),0)),"/")</f>
        <v>295</v>
      </c>
      <c r="AL29" s="63" cm="1">
        <f t="array" ref="AL29">IFERROR(INDEX('Offer Statistics'!FI$2:FI$400,MATCH(1,($A29='Offer Statistics'!$FF$2:$FF$400)*($AB$2='Offer Statistics'!$FG$2:$FG$400),0)),"/")</f>
        <v>317</v>
      </c>
      <c r="AM29" s="63" cm="1">
        <f t="array" ref="AM29">IFERROR(INDEX('Offer Statistics'!FJ$2:FJ$400,MATCH(1,($A29='Offer Statistics'!$FF$2:$FF$400)*($AB$2='Offer Statistics'!$FG$2:$FG$400),0)),"/")</f>
        <v>538</v>
      </c>
      <c r="AN29" s="63" cm="1">
        <f t="array" ref="AN29">IFERROR(INDEX('Offer Statistics'!FK$2:FK$400,MATCH(1,($A29='Offer Statistics'!$FF$2:$FF$400)*($AB$2='Offer Statistics'!$FG$2:$FG$400),0)),"/")</f>
        <v>591</v>
      </c>
      <c r="AO29" s="63" cm="1">
        <f t="array" ref="AO29">IFERROR(INDEX('Offer Statistics'!FL$2:FL$400,MATCH(1,($A29='Offer Statistics'!$FF$2:$FF$400)*($AB$2='Offer Statistics'!$FG$2:$FG$400),0)),"/")</f>
        <v>586</v>
      </c>
      <c r="AP29" s="4"/>
      <c r="AQ29" s="15" t="str">
        <f t="shared" si="3"/>
        <v>JSSU55</v>
      </c>
      <c r="AR29" s="4"/>
    </row>
    <row r="30" spans="1:44" ht="14.55" customHeight="1">
      <c r="A30" s="4" t="str">
        <f>'Reference Score Calculation'!B421</f>
        <v>JSSU61</v>
      </c>
      <c r="B30" s="4" t="str">
        <f>'Reference Score Calculation'!D421</f>
        <v>都會大學</v>
      </c>
      <c r="C30" s="4" t="str">
        <f>'Reference Score Calculation'!E421</f>
        <v>綜合檢測和認證榮譽應用理學士</v>
      </c>
      <c r="D30" s="4" t="str">
        <f>'Reference Score Calculation'!S421</f>
        <v>BASc(Hons)IntTestInsCert</v>
      </c>
      <c r="E30" s="15" t="str">
        <f>'Reference Score Calculation'!F421</f>
        <v>Best 5</v>
      </c>
      <c r="F30" s="6" t="str">
        <f>'Reference Score Calculation'!H421</f>
        <v>/</v>
      </c>
      <c r="G30" s="413">
        <f>'Reference Score Calculation'!I421</f>
        <v>16</v>
      </c>
      <c r="H30" s="6">
        <f>'Reference Score Calculation'!J421</f>
        <v>16</v>
      </c>
      <c r="I30" s="45">
        <f>計分版!J444</f>
        <v>3.4999999999999999E-9</v>
      </c>
      <c r="J30" s="25">
        <f t="shared" si="8"/>
        <v>-15.9999999965</v>
      </c>
      <c r="K30" s="26">
        <f t="shared" si="9"/>
        <v>-4571428570.4285717</v>
      </c>
      <c r="L30" s="36">
        <f>'Reference Score Calculation'!U421</f>
        <v>80</v>
      </c>
      <c r="M30" s="84">
        <f>入學要求!Z430</f>
        <v>0</v>
      </c>
      <c r="N30" s="544"/>
      <c r="O30" s="15">
        <v>3</v>
      </c>
      <c r="P30" s="15">
        <v>3</v>
      </c>
      <c r="Q30" s="15">
        <v>2</v>
      </c>
      <c r="R30" s="15">
        <v>2</v>
      </c>
      <c r="S30" s="15">
        <v>2</v>
      </c>
      <c r="T30" s="15">
        <v>2</v>
      </c>
      <c r="U30" s="255">
        <f>入學要求!S430</f>
        <v>0</v>
      </c>
      <c r="V30" s="255">
        <f>入學要求!T430</f>
        <v>0</v>
      </c>
      <c r="W30" s="255">
        <f>入學要求!U430</f>
        <v>0</v>
      </c>
      <c r="X30" s="255">
        <f>入學要求!V430</f>
        <v>0</v>
      </c>
      <c r="Y30" s="255">
        <f>入學要求!W430</f>
        <v>0</v>
      </c>
      <c r="Z30" s="255">
        <f>入學要求!X430</f>
        <v>0</v>
      </c>
      <c r="AA30" s="36">
        <f t="shared" si="2"/>
        <v>3.52</v>
      </c>
      <c r="AB30" s="537"/>
      <c r="AC30" s="36" cm="1">
        <f t="array" ref="AC30">IFERROR(INDEX('Offer Statistics'!FU$2:FU$400,MATCH(1,($A30='Offer Statistics'!$FF$2:$FF$400)*($AB$2='Offer Statistics'!$FG$2:$FG$400),0)),"/")</f>
        <v>90</v>
      </c>
      <c r="AD30" s="63" cm="1">
        <f t="array" ref="AD30">IFERROR(INDEX('Offer Statistics'!FP$2:FP$400,MATCH(1,($A30='Offer Statistics'!$FF$2:$FF$400)*($AB$2='Offer Statistics'!$FG$2:$FG$400),0)),"/")</f>
        <v>87</v>
      </c>
      <c r="AE30" s="63" cm="1">
        <f t="array" ref="AE30">IFERROR(INDEX('Offer Statistics'!FQ$2:FQ$400,MATCH(1,($A30='Offer Statistics'!$FF$2:$FF$400)*($AB$2='Offer Statistics'!$FG$2:$FG$400),0)),"/")</f>
        <v>3</v>
      </c>
      <c r="AF30" s="63" cm="1">
        <f t="array" ref="AF30">IFERROR(INDEX('Offer Statistics'!FR$2:FR$400,MATCH(1,($A30='Offer Statistics'!$FF$2:$FF$400)*($AB$2='Offer Statistics'!$FG$2:$FG$400),0)),"/")</f>
        <v>0</v>
      </c>
      <c r="AG30" s="63" cm="1">
        <f t="array" ref="AG30">IFERROR(INDEX('Offer Statistics'!FS$2:FS$400,MATCH(1,($A30='Offer Statistics'!$FF$2:$FF$400)*($AB$2='Offer Statistics'!$FG$2:$FG$400),0)),"/")</f>
        <v>0</v>
      </c>
      <c r="AH30" s="63" cm="1">
        <f t="array" ref="AH30">IFERROR(INDEX('Offer Statistics'!FT$2:FT$400,MATCH(1,($A30='Offer Statistics'!$FF$2:$FF$400)*($AB$2='Offer Statistics'!$FG$2:$FG$400),0)),"/")</f>
        <v>0</v>
      </c>
      <c r="AI30" s="552"/>
      <c r="AJ30" s="36" cm="1">
        <f t="array" ref="AJ30">IFERROR(INDEX('Offer Statistics'!FM$2:FM$400,MATCH(1,($A30='Offer Statistics'!$FF$2:$FF$400)*($AB$2='Offer Statistics'!$FG$2:$FG$400),0)),"/")</f>
        <v>1508</v>
      </c>
      <c r="AK30" s="63" cm="1">
        <f t="array" ref="AK30">IFERROR(INDEX('Offer Statistics'!FH$2:FH$400,MATCH(1,($A30='Offer Statistics'!$FF$2:$FF$400)*($AB$2='Offer Statistics'!$FG$2:$FG$400),0)),"/")</f>
        <v>306</v>
      </c>
      <c r="AL30" s="63" cm="1">
        <f t="array" ref="AL30">IFERROR(INDEX('Offer Statistics'!FI$2:FI$400,MATCH(1,($A30='Offer Statistics'!$FF$2:$FF$400)*($AB$2='Offer Statistics'!$FG$2:$FG$400),0)),"/")</f>
        <v>306</v>
      </c>
      <c r="AM30" s="63" cm="1">
        <f t="array" ref="AM30">IFERROR(INDEX('Offer Statistics'!FJ$2:FJ$400,MATCH(1,($A30='Offer Statistics'!$FF$2:$FF$400)*($AB$2='Offer Statistics'!$FG$2:$FG$400),0)),"/")</f>
        <v>274</v>
      </c>
      <c r="AN30" s="63" cm="1">
        <f t="array" ref="AN30">IFERROR(INDEX('Offer Statistics'!FK$2:FK$400,MATCH(1,($A30='Offer Statistics'!$FF$2:$FF$400)*($AB$2='Offer Statistics'!$FG$2:$FG$400),0)),"/")</f>
        <v>298</v>
      </c>
      <c r="AO30" s="63" cm="1">
        <f t="array" ref="AO30">IFERROR(INDEX('Offer Statistics'!FL$2:FL$400,MATCH(1,($A30='Offer Statistics'!$FF$2:$FF$400)*($AB$2='Offer Statistics'!$FG$2:$FG$400),0)),"/")</f>
        <v>324</v>
      </c>
      <c r="AP30" s="4"/>
      <c r="AQ30" s="15" t="str">
        <f t="shared" si="3"/>
        <v>JSSU61</v>
      </c>
      <c r="AR30" s="4"/>
    </row>
    <row r="31" spans="1:44" ht="14.55" customHeight="1">
      <c r="A31" s="4" t="str">
        <f>'Reference Score Calculation'!B422</f>
        <v>JSSU67</v>
      </c>
      <c r="B31" s="4" t="str">
        <f>'Reference Score Calculation'!D422</f>
        <v>都會大學</v>
      </c>
      <c r="C31" s="4" t="str">
        <f>'Reference Score Calculation'!E422</f>
        <v>醫療化驗科學榮譽理學士</v>
      </c>
      <c r="D31" s="4" t="str">
        <f>'Reference Score Calculation'!S422</f>
        <v>BSc(Hons)MedLabSci</v>
      </c>
      <c r="E31" s="15" t="str">
        <f>'Reference Score Calculation'!F422</f>
        <v>Best 5</v>
      </c>
      <c r="F31" s="6" t="str">
        <f>'Reference Score Calculation'!H422</f>
        <v>/</v>
      </c>
      <c r="G31" s="413">
        <f>'Reference Score Calculation'!I422</f>
        <v>17</v>
      </c>
      <c r="H31" s="6">
        <f>'Reference Score Calculation'!J422</f>
        <v>17</v>
      </c>
      <c r="I31" s="45">
        <f>計分版!J445</f>
        <v>3.4999999999999999E-9</v>
      </c>
      <c r="J31" s="25">
        <f t="shared" si="8"/>
        <v>-16.999999996500001</v>
      </c>
      <c r="K31" s="26">
        <f t="shared" si="9"/>
        <v>-4857142856.1428576</v>
      </c>
      <c r="L31" s="36">
        <f>'Reference Score Calculation'!U422</f>
        <v>60</v>
      </c>
      <c r="M31" s="84">
        <f>入學要求!Z431</f>
        <v>0</v>
      </c>
      <c r="N31" s="544"/>
      <c r="O31" s="15">
        <v>3</v>
      </c>
      <c r="P31" s="15">
        <v>3</v>
      </c>
      <c r="Q31" s="15">
        <v>2</v>
      </c>
      <c r="R31" s="15">
        <v>2</v>
      </c>
      <c r="S31" s="15">
        <v>2</v>
      </c>
      <c r="T31" s="15">
        <v>2</v>
      </c>
      <c r="U31" s="255">
        <f>入學要求!S431</f>
        <v>0</v>
      </c>
      <c r="V31" s="255">
        <f>入學要求!T431</f>
        <v>0</v>
      </c>
      <c r="W31" s="255">
        <f>入學要求!U431</f>
        <v>0</v>
      </c>
      <c r="X31" s="255">
        <f>入學要求!V431</f>
        <v>0</v>
      </c>
      <c r="Y31" s="255">
        <f>入學要求!W431</f>
        <v>0</v>
      </c>
      <c r="Z31" s="255">
        <f>入學要求!X431</f>
        <v>0</v>
      </c>
      <c r="AA31" s="36">
        <f t="shared" si="2"/>
        <v>6.86</v>
      </c>
      <c r="AB31" s="537"/>
      <c r="AC31" s="36" cm="1">
        <f t="array" ref="AC31">IFERROR(INDEX('Offer Statistics'!FU$2:FU$400,MATCH(1,($A31='Offer Statistics'!$FF$2:$FF$400)*($AB$2='Offer Statistics'!$FG$2:$FG$400),0)),"/")</f>
        <v>63</v>
      </c>
      <c r="AD31" s="63" cm="1">
        <f t="array" ref="AD31">IFERROR(INDEX('Offer Statistics'!FP$2:FP$400,MATCH(1,($A31='Offer Statistics'!$FF$2:$FF$400)*($AB$2='Offer Statistics'!$FG$2:$FG$400),0)),"/")</f>
        <v>63</v>
      </c>
      <c r="AE31" s="63" cm="1">
        <f t="array" ref="AE31">IFERROR(INDEX('Offer Statistics'!FQ$2:FQ$400,MATCH(1,($A31='Offer Statistics'!$FF$2:$FF$400)*($AB$2='Offer Statistics'!$FG$2:$FG$400),0)),"/")</f>
        <v>0</v>
      </c>
      <c r="AF31" s="63" cm="1">
        <f t="array" ref="AF31">IFERROR(INDEX('Offer Statistics'!FR$2:FR$400,MATCH(1,($A31='Offer Statistics'!$FF$2:$FF$400)*($AB$2='Offer Statistics'!$FG$2:$FG$400),0)),"/")</f>
        <v>0</v>
      </c>
      <c r="AG31" s="63" cm="1">
        <f t="array" ref="AG31">IFERROR(INDEX('Offer Statistics'!FS$2:FS$400,MATCH(1,($A31='Offer Statistics'!$FF$2:$FF$400)*($AB$2='Offer Statistics'!$FG$2:$FG$400),0)),"/")</f>
        <v>0</v>
      </c>
      <c r="AH31" s="63" cm="1">
        <f t="array" ref="AH31">IFERROR(INDEX('Offer Statistics'!FT$2:FT$400,MATCH(1,($A31='Offer Statistics'!$FF$2:$FF$400)*($AB$2='Offer Statistics'!$FG$2:$FG$400),0)),"/")</f>
        <v>0</v>
      </c>
      <c r="AI31" s="552"/>
      <c r="AJ31" s="36" cm="1">
        <f t="array" ref="AJ31">IFERROR(INDEX('Offer Statistics'!FM$2:FM$400,MATCH(1,($A31='Offer Statistics'!$FF$2:$FF$400)*($AB$2='Offer Statistics'!$FG$2:$FG$400),0)),"/")</f>
        <v>2687</v>
      </c>
      <c r="AK31" s="63" cm="1">
        <f t="array" ref="AK31">IFERROR(INDEX('Offer Statistics'!FH$2:FH$400,MATCH(1,($A31='Offer Statistics'!$FF$2:$FF$400)*($AB$2='Offer Statistics'!$FG$2:$FG$400),0)),"/")</f>
        <v>432</v>
      </c>
      <c r="AL31" s="63" cm="1">
        <f t="array" ref="AL31">IFERROR(INDEX('Offer Statistics'!FI$2:FI$400,MATCH(1,($A31='Offer Statistics'!$FF$2:$FF$400)*($AB$2='Offer Statistics'!$FG$2:$FG$400),0)),"/")</f>
        <v>641</v>
      </c>
      <c r="AM31" s="63" cm="1">
        <f t="array" ref="AM31">IFERROR(INDEX('Offer Statistics'!FJ$2:FJ$400,MATCH(1,($A31='Offer Statistics'!$FF$2:$FF$400)*($AB$2='Offer Statistics'!$FG$2:$FG$400),0)),"/")</f>
        <v>558</v>
      </c>
      <c r="AN31" s="63" cm="1">
        <f t="array" ref="AN31">IFERROR(INDEX('Offer Statistics'!FK$2:FK$400,MATCH(1,($A31='Offer Statistics'!$FF$2:$FF$400)*($AB$2='Offer Statistics'!$FG$2:$FG$400),0)),"/")</f>
        <v>529</v>
      </c>
      <c r="AO31" s="63" cm="1">
        <f t="array" ref="AO31">IFERROR(INDEX('Offer Statistics'!FL$2:FL$400,MATCH(1,($A31='Offer Statistics'!$FF$2:$FF$400)*($AB$2='Offer Statistics'!$FG$2:$FG$400),0)),"/")</f>
        <v>527</v>
      </c>
      <c r="AP31" s="4"/>
      <c r="AQ31" s="15" t="str">
        <f t="shared" si="3"/>
        <v>JSSU67</v>
      </c>
      <c r="AR31" s="4"/>
    </row>
    <row r="32" spans="1:44" ht="14.55" customHeight="1">
      <c r="A32" s="4" t="str">
        <f>'Reference Score Calculation'!B423</f>
        <v>JSSU69</v>
      </c>
      <c r="B32" s="4" t="str">
        <f>'Reference Score Calculation'!D423</f>
        <v>都會大學</v>
      </c>
      <c r="C32" s="4" t="str">
        <f>'Reference Score Calculation'!E423</f>
        <v>食品測試科學榮譽理學士</v>
      </c>
      <c r="D32" s="4" t="str">
        <f>'Reference Score Calculation'!S423</f>
        <v>BSc(Hons)FoodTestSci</v>
      </c>
      <c r="E32" s="15" t="str">
        <f>'Reference Score Calculation'!F423</f>
        <v>Best 5</v>
      </c>
      <c r="F32" s="6" t="str">
        <f>'Reference Score Calculation'!H423</f>
        <v>/</v>
      </c>
      <c r="G32" s="413">
        <f>'Reference Score Calculation'!I423</f>
        <v>16</v>
      </c>
      <c r="H32" s="6">
        <f>'Reference Score Calculation'!J423</f>
        <v>15</v>
      </c>
      <c r="I32" s="45">
        <f>計分版!J446</f>
        <v>3.4999999999999999E-9</v>
      </c>
      <c r="J32" s="25">
        <f t="shared" si="8"/>
        <v>-15.9999999965</v>
      </c>
      <c r="K32" s="26">
        <f t="shared" si="9"/>
        <v>-4571428570.4285717</v>
      </c>
      <c r="L32" s="36">
        <f>'Reference Score Calculation'!U423</f>
        <v>40</v>
      </c>
      <c r="M32" s="84">
        <f>入學要求!Z432</f>
        <v>0</v>
      </c>
      <c r="N32" s="544"/>
      <c r="O32" s="15">
        <v>3</v>
      </c>
      <c r="P32" s="15">
        <v>3</v>
      </c>
      <c r="Q32" s="15">
        <v>2</v>
      </c>
      <c r="R32" s="15">
        <v>2</v>
      </c>
      <c r="S32" s="15">
        <v>2</v>
      </c>
      <c r="T32" s="15">
        <v>2</v>
      </c>
      <c r="U32" s="255">
        <f>入學要求!S432</f>
        <v>0</v>
      </c>
      <c r="V32" s="255">
        <f>入學要求!T432</f>
        <v>0</v>
      </c>
      <c r="W32" s="255">
        <f>入學要求!U432</f>
        <v>0</v>
      </c>
      <c r="X32" s="255">
        <f>入學要求!V432</f>
        <v>0</v>
      </c>
      <c r="Y32" s="255">
        <f>入學要求!W432</f>
        <v>0</v>
      </c>
      <c r="Z32" s="255">
        <f>入學要求!X432</f>
        <v>0</v>
      </c>
      <c r="AA32" s="36">
        <f t="shared" si="2"/>
        <v>7.24</v>
      </c>
      <c r="AB32" s="537"/>
      <c r="AC32" s="36" cm="1">
        <f t="array" ref="AC32">IFERROR(INDEX('Offer Statistics'!FU$2:FU$400,MATCH(1,($A32='Offer Statistics'!$FF$2:$FF$400)*($AB$2='Offer Statistics'!$FG$2:$FG$400),0)),"/")</f>
        <v>65</v>
      </c>
      <c r="AD32" s="63" cm="1">
        <f t="array" ref="AD32">IFERROR(INDEX('Offer Statistics'!FP$2:FP$400,MATCH(1,($A32='Offer Statistics'!$FF$2:$FF$400)*($AB$2='Offer Statistics'!$FG$2:$FG$400),0)),"/")</f>
        <v>55</v>
      </c>
      <c r="AE32" s="63" cm="1">
        <f t="array" ref="AE32">IFERROR(INDEX('Offer Statistics'!FQ$2:FQ$400,MATCH(1,($A32='Offer Statistics'!$FF$2:$FF$400)*($AB$2='Offer Statistics'!$FG$2:$FG$400),0)),"/")</f>
        <v>10</v>
      </c>
      <c r="AF32" s="63" cm="1">
        <f t="array" ref="AF32">IFERROR(INDEX('Offer Statistics'!FR$2:FR$400,MATCH(1,($A32='Offer Statistics'!$FF$2:$FF$400)*($AB$2='Offer Statistics'!$FG$2:$FG$400),0)),"/")</f>
        <v>0</v>
      </c>
      <c r="AG32" s="63" cm="1">
        <f t="array" ref="AG32">IFERROR(INDEX('Offer Statistics'!FS$2:FS$400,MATCH(1,($A32='Offer Statistics'!$FF$2:$FF$400)*($AB$2='Offer Statistics'!$FG$2:$FG$400),0)),"/")</f>
        <v>0</v>
      </c>
      <c r="AH32" s="63" cm="1">
        <f t="array" ref="AH32">IFERROR(INDEX('Offer Statistics'!FT$2:FT$400,MATCH(1,($A32='Offer Statistics'!$FF$2:$FF$400)*($AB$2='Offer Statistics'!$FG$2:$FG$400),0)),"/")</f>
        <v>0</v>
      </c>
      <c r="AI32" s="552"/>
      <c r="AJ32" s="36" cm="1">
        <f t="array" ref="AJ32">IFERROR(INDEX('Offer Statistics'!FM$2:FM$400,MATCH(1,($A32='Offer Statistics'!$FF$2:$FF$400)*($AB$2='Offer Statistics'!$FG$2:$FG$400),0)),"/")</f>
        <v>3015</v>
      </c>
      <c r="AK32" s="63" cm="1">
        <f t="array" ref="AK32">IFERROR(INDEX('Offer Statistics'!FH$2:FH$400,MATCH(1,($A32='Offer Statistics'!$FF$2:$FF$400)*($AB$2='Offer Statistics'!$FG$2:$FG$400),0)),"/")</f>
        <v>398</v>
      </c>
      <c r="AL32" s="63" cm="1">
        <f t="array" ref="AL32">IFERROR(INDEX('Offer Statistics'!FI$2:FI$400,MATCH(1,($A32='Offer Statistics'!$FF$2:$FF$400)*($AB$2='Offer Statistics'!$FG$2:$FG$400),0)),"/")</f>
        <v>613</v>
      </c>
      <c r="AM32" s="63" cm="1">
        <f t="array" ref="AM32">IFERROR(INDEX('Offer Statistics'!FJ$2:FJ$400,MATCH(1,($A32='Offer Statistics'!$FF$2:$FF$400)*($AB$2='Offer Statistics'!$FG$2:$FG$400),0)),"/")</f>
        <v>670</v>
      </c>
      <c r="AN32" s="63" cm="1">
        <f t="array" ref="AN32">IFERROR(INDEX('Offer Statistics'!FK$2:FK$400,MATCH(1,($A32='Offer Statistics'!$FF$2:$FF$400)*($AB$2='Offer Statistics'!$FG$2:$FG$400),0)),"/")</f>
        <v>593</v>
      </c>
      <c r="AO32" s="63" cm="1">
        <f t="array" ref="AO32">IFERROR(INDEX('Offer Statistics'!FL$2:FL$400,MATCH(1,($A32='Offer Statistics'!$FF$2:$FF$400)*($AB$2='Offer Statistics'!$FG$2:$FG$400),0)),"/")</f>
        <v>741</v>
      </c>
      <c r="AP32" s="4"/>
      <c r="AQ32" s="15" t="str">
        <f t="shared" si="3"/>
        <v>JSSU69</v>
      </c>
      <c r="AR32" s="4"/>
    </row>
    <row r="33" spans="1:44" ht="14.55" customHeight="1">
      <c r="A33" s="4" t="str">
        <f>'Reference Score Calculation'!B424</f>
        <v>JSSU70</v>
      </c>
      <c r="B33" s="4" t="str">
        <f>'Reference Score Calculation'!D424</f>
        <v>都會大學</v>
      </c>
      <c r="C33" s="4" t="str">
        <f>'Reference Score Calculation'!E424</f>
        <v>數據科學及人工智能榮譽理學士</v>
      </c>
      <c r="D33" s="4" t="str">
        <f>'Reference Score Calculation'!S424</f>
        <v>BSc (Hons) Data Sci &amp; AI</v>
      </c>
      <c r="E33" s="15" t="str">
        <f>'Reference Score Calculation'!F424</f>
        <v>Best 5</v>
      </c>
      <c r="F33" s="6" t="str">
        <f>'Reference Score Calculation'!H424</f>
        <v>/</v>
      </c>
      <c r="G33" s="413">
        <f>'Reference Score Calculation'!I424</f>
        <v>16</v>
      </c>
      <c r="H33" s="6">
        <f>'Reference Score Calculation'!J424</f>
        <v>15</v>
      </c>
      <c r="I33" s="45">
        <f>計分版!J447</f>
        <v>3.4999999999999999E-9</v>
      </c>
      <c r="J33" s="25">
        <f t="shared" si="8"/>
        <v>-15.9999999965</v>
      </c>
      <c r="K33" s="26">
        <f t="shared" si="9"/>
        <v>-4571428570.4285717</v>
      </c>
      <c r="L33" s="36">
        <f>'Reference Score Calculation'!U424</f>
        <v>35</v>
      </c>
      <c r="M33" s="84">
        <f>入學要求!Z433</f>
        <v>0</v>
      </c>
      <c r="N33" s="544"/>
      <c r="O33" s="15">
        <v>3</v>
      </c>
      <c r="P33" s="15">
        <v>3</v>
      </c>
      <c r="Q33" s="15">
        <v>2</v>
      </c>
      <c r="R33" s="15">
        <v>2</v>
      </c>
      <c r="S33" s="15">
        <v>2</v>
      </c>
      <c r="T33" s="15">
        <v>2</v>
      </c>
      <c r="U33" s="255">
        <f>入學要求!S433</f>
        <v>0</v>
      </c>
      <c r="V33" s="255">
        <f>入學要求!T433</f>
        <v>0</v>
      </c>
      <c r="W33" s="255">
        <f>入學要求!U433</f>
        <v>0</v>
      </c>
      <c r="X33" s="255">
        <f>入學要求!V433</f>
        <v>0</v>
      </c>
      <c r="Y33" s="255">
        <f>入學要求!W433</f>
        <v>0</v>
      </c>
      <c r="Z33" s="255">
        <f>入學要求!X433</f>
        <v>0</v>
      </c>
      <c r="AA33" s="36">
        <f t="shared" si="2"/>
        <v>5.75</v>
      </c>
      <c r="AB33" s="537"/>
      <c r="AC33" s="36" cm="1">
        <f t="array" ref="AC33">IFERROR(INDEX('Offer Statistics'!FU$2:FU$400,MATCH(1,($A33='Offer Statistics'!$FF$2:$FF$400)*($AB$2='Offer Statistics'!$FG$2:$FG$400),0)),"/")</f>
        <v>60</v>
      </c>
      <c r="AD33" s="63" cm="1">
        <f t="array" ref="AD33">IFERROR(INDEX('Offer Statistics'!FP$2:FP$400,MATCH(1,($A33='Offer Statistics'!$FF$2:$FF$400)*($AB$2='Offer Statistics'!$FG$2:$FG$400),0)),"/")</f>
        <v>44</v>
      </c>
      <c r="AE33" s="63" cm="1">
        <f t="array" ref="AE33">IFERROR(INDEX('Offer Statistics'!FQ$2:FQ$400,MATCH(1,($A33='Offer Statistics'!$FF$2:$FF$400)*($AB$2='Offer Statistics'!$FG$2:$FG$400),0)),"/")</f>
        <v>15</v>
      </c>
      <c r="AF33" s="63" cm="1">
        <f t="array" ref="AF33">IFERROR(INDEX('Offer Statistics'!FR$2:FR$400,MATCH(1,($A33='Offer Statistics'!$FF$2:$FF$400)*($AB$2='Offer Statistics'!$FG$2:$FG$400),0)),"/")</f>
        <v>1</v>
      </c>
      <c r="AG33" s="63" cm="1">
        <f t="array" ref="AG33">IFERROR(INDEX('Offer Statistics'!FS$2:FS$400,MATCH(1,($A33='Offer Statistics'!$FF$2:$FF$400)*($AB$2='Offer Statistics'!$FG$2:$FG$400),0)),"/")</f>
        <v>0</v>
      </c>
      <c r="AH33" s="63" cm="1">
        <f t="array" ref="AH33">IFERROR(INDEX('Offer Statistics'!FT$2:FT$400,MATCH(1,($A33='Offer Statistics'!$FF$2:$FF$400)*($AB$2='Offer Statistics'!$FG$2:$FG$400),0)),"/")</f>
        <v>0</v>
      </c>
      <c r="AI33" s="552"/>
      <c r="AJ33" s="36" cm="1">
        <f t="array" ref="AJ33">IFERROR(INDEX('Offer Statistics'!FM$2:FM$400,MATCH(1,($A33='Offer Statistics'!$FF$2:$FF$400)*($AB$2='Offer Statistics'!$FG$2:$FG$400),0)),"/")</f>
        <v>2078</v>
      </c>
      <c r="AK33" s="63" cm="1">
        <f t="array" ref="AK33">IFERROR(INDEX('Offer Statistics'!FH$2:FH$400,MATCH(1,($A33='Offer Statistics'!$FF$2:$FF$400)*($AB$2='Offer Statistics'!$FG$2:$FG$400),0)),"/")</f>
        <v>253</v>
      </c>
      <c r="AL33" s="63" cm="1">
        <f t="array" ref="AL33">IFERROR(INDEX('Offer Statistics'!FI$2:FI$400,MATCH(1,($A33='Offer Statistics'!$FF$2:$FF$400)*($AB$2='Offer Statistics'!$FG$2:$FG$400),0)),"/")</f>
        <v>397</v>
      </c>
      <c r="AM33" s="63" cm="1">
        <f t="array" ref="AM33">IFERROR(INDEX('Offer Statistics'!FJ$2:FJ$400,MATCH(1,($A33='Offer Statistics'!$FF$2:$FF$400)*($AB$2='Offer Statistics'!$FG$2:$FG$400),0)),"/")</f>
        <v>382</v>
      </c>
      <c r="AN33" s="63" cm="1">
        <f t="array" ref="AN33">IFERROR(INDEX('Offer Statistics'!FK$2:FK$400,MATCH(1,($A33='Offer Statistics'!$FF$2:$FF$400)*($AB$2='Offer Statistics'!$FG$2:$FG$400),0)),"/")</f>
        <v>444</v>
      </c>
      <c r="AO33" s="63" cm="1">
        <f t="array" ref="AO33">IFERROR(INDEX('Offer Statistics'!FL$2:FL$400,MATCH(1,($A33='Offer Statistics'!$FF$2:$FF$400)*($AB$2='Offer Statistics'!$FG$2:$FG$400),0)),"/")</f>
        <v>602</v>
      </c>
      <c r="AP33" s="4"/>
      <c r="AQ33" s="15" t="str">
        <f t="shared" si="3"/>
        <v>JSSU70</v>
      </c>
      <c r="AR33" s="4"/>
    </row>
    <row r="34" spans="1:44" ht="14.55" customHeight="1">
      <c r="A34" s="4" t="str">
        <f>'Reference Score Calculation'!B425</f>
        <v>JSSU72</v>
      </c>
      <c r="B34" s="4" t="str">
        <f>'Reference Score Calculation'!D425</f>
        <v>都會大學</v>
      </c>
      <c r="C34" s="4" t="str">
        <f>'Reference Score Calculation'!E425</f>
        <v>電腦科學榮譽理學士</v>
      </c>
      <c r="D34" s="4" t="str">
        <f>'Reference Score Calculation'!S425</f>
        <v>BSc (Hons)CompSci</v>
      </c>
      <c r="E34" s="15" t="str">
        <f>'Reference Score Calculation'!F425</f>
        <v>Best 5</v>
      </c>
      <c r="F34" s="6" t="str">
        <f>'Reference Score Calculation'!H425</f>
        <v>/</v>
      </c>
      <c r="G34" s="413">
        <f>'Reference Score Calculation'!I425</f>
        <v>16</v>
      </c>
      <c r="H34" s="6">
        <f>'Reference Score Calculation'!J425</f>
        <v>16</v>
      </c>
      <c r="I34" s="45">
        <f>計分版!J448</f>
        <v>3.4999999999999999E-9</v>
      </c>
      <c r="J34" s="25">
        <f t="shared" si="8"/>
        <v>-15.9999999965</v>
      </c>
      <c r="K34" s="26">
        <f t="shared" si="9"/>
        <v>-4571428570.4285717</v>
      </c>
      <c r="L34" s="36">
        <f>'Reference Score Calculation'!U425</f>
        <v>50</v>
      </c>
      <c r="M34" s="84">
        <f>入學要求!Z434</f>
        <v>0</v>
      </c>
      <c r="N34" s="544"/>
      <c r="O34" s="15">
        <v>3</v>
      </c>
      <c r="P34" s="15">
        <v>3</v>
      </c>
      <c r="Q34" s="15">
        <v>2</v>
      </c>
      <c r="R34" s="15">
        <v>2</v>
      </c>
      <c r="S34" s="15">
        <v>2</v>
      </c>
      <c r="T34" s="15">
        <v>2</v>
      </c>
      <c r="U34" s="255">
        <f>入學要求!S434</f>
        <v>0</v>
      </c>
      <c r="V34" s="255">
        <f>入學要求!T434</f>
        <v>0</v>
      </c>
      <c r="W34" s="255">
        <f>入學要求!U434</f>
        <v>0</v>
      </c>
      <c r="X34" s="255">
        <f>入學要求!V434</f>
        <v>0</v>
      </c>
      <c r="Y34" s="255">
        <f>入學要求!W434</f>
        <v>0</v>
      </c>
      <c r="Z34" s="255">
        <f>入學要求!X434</f>
        <v>0</v>
      </c>
      <c r="AA34" s="36">
        <f t="shared" si="2"/>
        <v>4.47</v>
      </c>
      <c r="AB34" s="537"/>
      <c r="AC34" s="36" cm="1">
        <f t="array" ref="AC34">IFERROR(INDEX('Offer Statistics'!FU$2:FU$400,MATCH(1,($A34='Offer Statistics'!$FF$2:$FF$400)*($AB$2='Offer Statistics'!$FG$2:$FG$400),0)),"/")</f>
        <v>70</v>
      </c>
      <c r="AD34" s="63" cm="1">
        <f t="array" ref="AD34">IFERROR(INDEX('Offer Statistics'!FP$2:FP$400,MATCH(1,($A34='Offer Statistics'!$FF$2:$FF$400)*($AB$2='Offer Statistics'!$FG$2:$FG$400),0)),"/")</f>
        <v>64</v>
      </c>
      <c r="AE34" s="63" cm="1">
        <f t="array" ref="AE34">IFERROR(INDEX('Offer Statistics'!FQ$2:FQ$400,MATCH(1,($A34='Offer Statistics'!$FF$2:$FF$400)*($AB$2='Offer Statistics'!$FG$2:$FG$400),0)),"/")</f>
        <v>6</v>
      </c>
      <c r="AF34" s="63" cm="1">
        <f t="array" ref="AF34">IFERROR(INDEX('Offer Statistics'!FR$2:FR$400,MATCH(1,($A34='Offer Statistics'!$FF$2:$FF$400)*($AB$2='Offer Statistics'!$FG$2:$FG$400),0)),"/")</f>
        <v>0</v>
      </c>
      <c r="AG34" s="63" cm="1">
        <f t="array" ref="AG34">IFERROR(INDEX('Offer Statistics'!FS$2:FS$400,MATCH(1,($A34='Offer Statistics'!$FF$2:$FF$400)*($AB$2='Offer Statistics'!$FG$2:$FG$400),0)),"/")</f>
        <v>0</v>
      </c>
      <c r="AH34" s="63" cm="1">
        <f t="array" ref="AH34">IFERROR(INDEX('Offer Statistics'!FT$2:FT$400,MATCH(1,($A34='Offer Statistics'!$FF$2:$FF$400)*($AB$2='Offer Statistics'!$FG$2:$FG$400),0)),"/")</f>
        <v>0</v>
      </c>
      <c r="AI34" s="552"/>
      <c r="AJ34" s="36" cm="1">
        <f t="array" ref="AJ34">IFERROR(INDEX('Offer Statistics'!FM$2:FM$400,MATCH(1,($A34='Offer Statistics'!$FF$2:$FF$400)*($AB$2='Offer Statistics'!$FG$2:$FG$400),0)),"/")</f>
        <v>1937</v>
      </c>
      <c r="AK34" s="63" cm="1">
        <f t="array" ref="AK34">IFERROR(INDEX('Offer Statistics'!FH$2:FH$400,MATCH(1,($A34='Offer Statistics'!$FF$2:$FF$400)*($AB$2='Offer Statistics'!$FG$2:$FG$400),0)),"/")</f>
        <v>286</v>
      </c>
      <c r="AL34" s="63" cm="1">
        <f t="array" ref="AL34">IFERROR(INDEX('Offer Statistics'!FI$2:FI$400,MATCH(1,($A34='Offer Statistics'!$FF$2:$FF$400)*($AB$2='Offer Statistics'!$FG$2:$FG$400),0)),"/")</f>
        <v>354</v>
      </c>
      <c r="AM34" s="63" cm="1">
        <f t="array" ref="AM34">IFERROR(INDEX('Offer Statistics'!FJ$2:FJ$400,MATCH(1,($A34='Offer Statistics'!$FF$2:$FF$400)*($AB$2='Offer Statistics'!$FG$2:$FG$400),0)),"/")</f>
        <v>365</v>
      </c>
      <c r="AN34" s="63" cm="1">
        <f t="array" ref="AN34">IFERROR(INDEX('Offer Statistics'!FK$2:FK$400,MATCH(1,($A34='Offer Statistics'!$FF$2:$FF$400)*($AB$2='Offer Statistics'!$FG$2:$FG$400),0)),"/")</f>
        <v>386</v>
      </c>
      <c r="AO34" s="63" cm="1">
        <f t="array" ref="AO34">IFERROR(INDEX('Offer Statistics'!FL$2:FL$400,MATCH(1,($A34='Offer Statistics'!$FF$2:$FF$400)*($AB$2='Offer Statistics'!$FG$2:$FG$400),0)),"/")</f>
        <v>546</v>
      </c>
      <c r="AQ34" s="15" t="str">
        <f t="shared" si="3"/>
        <v>JSSU72</v>
      </c>
    </row>
    <row r="35" spans="1:44" ht="14.55" customHeight="1">
      <c r="A35" s="4" t="str">
        <f>'Reference Score Calculation'!B426</f>
        <v>JSSU77</v>
      </c>
      <c r="B35" s="4" t="str">
        <f>'Reference Score Calculation'!D426</f>
        <v>都會大學</v>
      </c>
      <c r="C35" s="4" t="str">
        <f>'Reference Score Calculation'!E426</f>
        <v>建築管理及工料測量學榮譽理學士</v>
      </c>
      <c r="D35" s="4" t="str">
        <f>'Reference Score Calculation'!S426</f>
        <v>BSc(Hons)CMQSurveying</v>
      </c>
      <c r="E35" s="15" t="str">
        <f>'Reference Score Calculation'!F426</f>
        <v>Best 5</v>
      </c>
      <c r="F35" s="6" t="str">
        <f>'Reference Score Calculation'!H426</f>
        <v>/</v>
      </c>
      <c r="G35" s="413">
        <f>'Reference Score Calculation'!I426</f>
        <v>17</v>
      </c>
      <c r="H35" s="6">
        <f>'Reference Score Calculation'!J426</f>
        <v>16</v>
      </c>
      <c r="I35" s="45">
        <f>計分版!J449</f>
        <v>3.4999999999999999E-9</v>
      </c>
      <c r="J35" s="25">
        <f>IFERROR(IF(J$1="差距(Median)",I35-G35,IF(J$1="差距(UQ)",I35-G35,IF(J$1="差距(LQ)",I35-H35))),"/")</f>
        <v>-16.999999996500001</v>
      </c>
      <c r="K35" s="26">
        <f>IFERROR(IF(J$1="差距(Median)",(I35-G35)/I35,IF(J$1="差距(UQ)",(I35-G35)/I35,IF(J$1="差距(LQ)",(I35-H35)/I35))),"/")</f>
        <v>-4857142856.1428576</v>
      </c>
      <c r="L35" s="36">
        <f>'Reference Score Calculation'!U426</f>
        <v>25</v>
      </c>
      <c r="M35" s="84">
        <f>入學要求!Z435</f>
        <v>0</v>
      </c>
      <c r="N35" s="544"/>
      <c r="O35" s="15">
        <v>3</v>
      </c>
      <c r="P35" s="15">
        <v>3</v>
      </c>
      <c r="Q35" s="15">
        <v>2</v>
      </c>
      <c r="R35" s="15">
        <v>2</v>
      </c>
      <c r="S35" s="15">
        <v>2</v>
      </c>
      <c r="T35" s="15">
        <v>2</v>
      </c>
      <c r="U35" s="255">
        <f>入學要求!S435</f>
        <v>0</v>
      </c>
      <c r="V35" s="255">
        <f>入學要求!T435</f>
        <v>0</v>
      </c>
      <c r="W35" s="255">
        <f>入學要求!U435</f>
        <v>0</v>
      </c>
      <c r="X35" s="255">
        <f>入學要求!V435</f>
        <v>0</v>
      </c>
      <c r="Y35" s="255">
        <f>入學要求!W435</f>
        <v>0</v>
      </c>
      <c r="Z35" s="255">
        <f>入學要求!X435</f>
        <v>0</v>
      </c>
      <c r="AA35" s="36">
        <f t="shared" si="2"/>
        <v>7.17</v>
      </c>
      <c r="AB35" s="537"/>
      <c r="AC35" s="36" cm="1">
        <f t="array" ref="AC35">IFERROR(INDEX('Offer Statistics'!FU$2:FU$400,MATCH(1,($A35='Offer Statistics'!$FF$2:$FF$400)*($AB$2='Offer Statistics'!$FG$2:$FG$400),0)),"/")</f>
        <v>28</v>
      </c>
      <c r="AD35" s="63" cm="1">
        <f t="array" ref="AD35">IFERROR(INDEX('Offer Statistics'!FP$2:FP$400,MATCH(1,($A35='Offer Statistics'!$FF$2:$FF$400)*($AB$2='Offer Statistics'!$FG$2:$FG$400),0)),"/")</f>
        <v>12</v>
      </c>
      <c r="AE35" s="63" cm="1">
        <f t="array" ref="AE35">IFERROR(INDEX('Offer Statistics'!FQ$2:FQ$400,MATCH(1,($A35='Offer Statistics'!$FF$2:$FF$400)*($AB$2='Offer Statistics'!$FG$2:$FG$400),0)),"/")</f>
        <v>3</v>
      </c>
      <c r="AF35" s="63" cm="1">
        <f t="array" ref="AF35">IFERROR(INDEX('Offer Statistics'!FR$2:FR$400,MATCH(1,($A35='Offer Statistics'!$FF$2:$FF$400)*($AB$2='Offer Statistics'!$FG$2:$FG$400),0)),"/")</f>
        <v>5</v>
      </c>
      <c r="AG35" s="63" cm="1">
        <f t="array" ref="AG35">IFERROR(INDEX('Offer Statistics'!FS$2:FS$400,MATCH(1,($A35='Offer Statistics'!$FF$2:$FF$400)*($AB$2='Offer Statistics'!$FG$2:$FG$400),0)),"/")</f>
        <v>3</v>
      </c>
      <c r="AH35" s="63" cm="1">
        <f t="array" ref="AH35">IFERROR(INDEX('Offer Statistics'!FT$2:FT$400,MATCH(1,($A35='Offer Statistics'!$FF$2:$FF$400)*($AB$2='Offer Statistics'!$FG$2:$FG$400),0)),"/")</f>
        <v>5</v>
      </c>
      <c r="AI35" s="552"/>
      <c r="AJ35" s="36" cm="1">
        <f t="array" ref="AJ35">IFERROR(INDEX('Offer Statistics'!FM$2:FM$400,MATCH(1,($A35='Offer Statistics'!$FF$2:$FF$400)*($AB$2='Offer Statistics'!$FG$2:$FG$400),0)),"/")</f>
        <v>680</v>
      </c>
      <c r="AK35" s="63" cm="1">
        <f t="array" ref="AK35">IFERROR(INDEX('Offer Statistics'!FH$2:FH$400,MATCH(1,($A35='Offer Statistics'!$FF$2:$FF$400)*($AB$2='Offer Statistics'!$FG$2:$FG$400),0)),"/")</f>
        <v>86</v>
      </c>
      <c r="AL35" s="63" cm="1">
        <f t="array" ref="AL35">IFERROR(INDEX('Offer Statistics'!FI$2:FI$400,MATCH(1,($A35='Offer Statistics'!$FF$2:$FF$400)*($AB$2='Offer Statistics'!$FG$2:$FG$400),0)),"/")</f>
        <v>122</v>
      </c>
      <c r="AM35" s="63" cm="1">
        <f t="array" ref="AM35">IFERROR(INDEX('Offer Statistics'!FJ$2:FJ$400,MATCH(1,($A35='Offer Statistics'!$FF$2:$FF$400)*($AB$2='Offer Statistics'!$FG$2:$FG$400),0)),"/")</f>
        <v>138</v>
      </c>
      <c r="AN35" s="63" cm="1">
        <f t="array" ref="AN35">IFERROR(INDEX('Offer Statistics'!FK$2:FK$400,MATCH(1,($A35='Offer Statistics'!$FF$2:$FF$400)*($AB$2='Offer Statistics'!$FG$2:$FG$400),0)),"/")</f>
        <v>147</v>
      </c>
      <c r="AO35" s="63" cm="1">
        <f t="array" ref="AO35">IFERROR(INDEX('Offer Statistics'!FL$2:FL$400,MATCH(1,($A35='Offer Statistics'!$FF$2:$FF$400)*($AB$2='Offer Statistics'!$FG$2:$FG$400),0)),"/")</f>
        <v>187</v>
      </c>
      <c r="AQ35" s="15" t="str">
        <f t="shared" si="3"/>
        <v>JSSU77</v>
      </c>
    </row>
    <row r="36" spans="1:44" ht="14.55" customHeight="1">
      <c r="A36" s="4" t="str">
        <f>'Reference Score Calculation'!B427</f>
        <v>JSSU78</v>
      </c>
      <c r="B36" s="4" t="str">
        <f>'Reference Score Calculation'!D427</f>
        <v>都會大學</v>
      </c>
      <c r="C36" s="4" t="str">
        <f>'Reference Score Calculation'!E427</f>
        <v>屋宇設備工程及可持續發展榮譽工學士</v>
      </c>
      <c r="D36" s="4" t="str">
        <f>'Reference Score Calculation'!S427</f>
        <v>BEng(Hons)BSE&amp;SustainDev</v>
      </c>
      <c r="E36" s="15" t="str">
        <f>'Reference Score Calculation'!F427</f>
        <v>Best 5</v>
      </c>
      <c r="F36" s="6" t="str">
        <f>'Reference Score Calculation'!H427</f>
        <v>/</v>
      </c>
      <c r="G36" s="413">
        <f>'Reference Score Calculation'!I427</f>
        <v>17</v>
      </c>
      <c r="H36" s="6">
        <f>'Reference Score Calculation'!J427</f>
        <v>16</v>
      </c>
      <c r="I36" s="45">
        <f>計分版!J450</f>
        <v>3.4999999999999999E-9</v>
      </c>
      <c r="J36" s="25">
        <f t="shared" si="8"/>
        <v>-16.999999996500001</v>
      </c>
      <c r="K36" s="26">
        <f t="shared" si="9"/>
        <v>-4857142856.1428576</v>
      </c>
      <c r="L36" s="36">
        <f>'Reference Score Calculation'!U427</f>
        <v>20</v>
      </c>
      <c r="M36" s="84">
        <f>入學要求!Z436</f>
        <v>0</v>
      </c>
      <c r="N36" s="544"/>
      <c r="O36" s="15">
        <v>3</v>
      </c>
      <c r="P36" s="15">
        <v>3</v>
      </c>
      <c r="Q36" s="15">
        <v>2</v>
      </c>
      <c r="R36" s="15">
        <v>2</v>
      </c>
      <c r="S36" s="15">
        <v>2</v>
      </c>
      <c r="T36" s="15">
        <v>2</v>
      </c>
      <c r="U36" s="255">
        <f>入學要求!S436</f>
        <v>0</v>
      </c>
      <c r="V36" s="255">
        <f>入學要求!T436</f>
        <v>0</v>
      </c>
      <c r="W36" s="255">
        <f>入學要求!U436</f>
        <v>0</v>
      </c>
      <c r="X36" s="255">
        <f>入學要求!V436</f>
        <v>0</v>
      </c>
      <c r="Y36" s="255">
        <f>入學要求!W436</f>
        <v>0</v>
      </c>
      <c r="Z36" s="255">
        <f>入學要求!X436</f>
        <v>0</v>
      </c>
      <c r="AA36" s="36">
        <f t="shared" si="2"/>
        <v>13</v>
      </c>
      <c r="AB36" s="537"/>
      <c r="AC36" s="36" cm="1">
        <f t="array" ref="AC36">IFERROR(INDEX('Offer Statistics'!FU$2:FU$400,MATCH(1,($A36='Offer Statistics'!$FF$2:$FF$400)*($AB$2='Offer Statistics'!$FG$2:$FG$400),0)),"/")</f>
        <v>17</v>
      </c>
      <c r="AD36" s="63" cm="1">
        <f t="array" ref="AD36">IFERROR(INDEX('Offer Statistics'!FP$2:FP$400,MATCH(1,($A36='Offer Statistics'!$FF$2:$FF$400)*($AB$2='Offer Statistics'!$FG$2:$FG$400),0)),"/")</f>
        <v>8</v>
      </c>
      <c r="AE36" s="63" cm="1">
        <f t="array" ref="AE36">IFERROR(INDEX('Offer Statistics'!FQ$2:FQ$400,MATCH(1,($A36='Offer Statistics'!$FF$2:$FF$400)*($AB$2='Offer Statistics'!$FG$2:$FG$400),0)),"/")</f>
        <v>4</v>
      </c>
      <c r="AF36" s="63" cm="1">
        <f t="array" ref="AF36">IFERROR(INDEX('Offer Statistics'!FR$2:FR$400,MATCH(1,($A36='Offer Statistics'!$FF$2:$FF$400)*($AB$2='Offer Statistics'!$FG$2:$FG$400),0)),"/")</f>
        <v>0</v>
      </c>
      <c r="AG36" s="63" cm="1">
        <f t="array" ref="AG36">IFERROR(INDEX('Offer Statistics'!FS$2:FS$400,MATCH(1,($A36='Offer Statistics'!$FF$2:$FF$400)*($AB$2='Offer Statistics'!$FG$2:$FG$400),0)),"/")</f>
        <v>3</v>
      </c>
      <c r="AH36" s="63" cm="1">
        <f t="array" ref="AH36">IFERROR(INDEX('Offer Statistics'!FT$2:FT$400,MATCH(1,($A36='Offer Statistics'!$FF$2:$FF$400)*($AB$2='Offer Statistics'!$FG$2:$FG$400),0)),"/")</f>
        <v>2</v>
      </c>
      <c r="AI36" s="552"/>
      <c r="AJ36" s="36" cm="1">
        <f t="array" ref="AJ36">IFERROR(INDEX('Offer Statistics'!FM$2:FM$400,MATCH(1,($A36='Offer Statistics'!$FF$2:$FF$400)*($AB$2='Offer Statistics'!$FG$2:$FG$400),0)),"/")</f>
        <v>1054</v>
      </c>
      <c r="AK36" s="63" cm="1">
        <f t="array" ref="AK36">IFERROR(INDEX('Offer Statistics'!FH$2:FH$400,MATCH(1,($A36='Offer Statistics'!$FF$2:$FF$400)*($AB$2='Offer Statistics'!$FG$2:$FG$400),0)),"/")</f>
        <v>104</v>
      </c>
      <c r="AL36" s="63" cm="1">
        <f t="array" ref="AL36">IFERROR(INDEX('Offer Statistics'!FI$2:FI$400,MATCH(1,($A36='Offer Statistics'!$FF$2:$FF$400)*($AB$2='Offer Statistics'!$FG$2:$FG$400),0)),"/")</f>
        <v>179</v>
      </c>
      <c r="AM36" s="63" cm="1">
        <f t="array" ref="AM36">IFERROR(INDEX('Offer Statistics'!FJ$2:FJ$400,MATCH(1,($A36='Offer Statistics'!$FF$2:$FF$400)*($AB$2='Offer Statistics'!$FG$2:$FG$400),0)),"/")</f>
        <v>224</v>
      </c>
      <c r="AN36" s="63" cm="1">
        <f t="array" ref="AN36">IFERROR(INDEX('Offer Statistics'!FK$2:FK$400,MATCH(1,($A36='Offer Statistics'!$FF$2:$FF$400)*($AB$2='Offer Statistics'!$FG$2:$FG$400),0)),"/")</f>
        <v>249</v>
      </c>
      <c r="AO36" s="63" cm="1">
        <f t="array" ref="AO36">IFERROR(INDEX('Offer Statistics'!FL$2:FL$400,MATCH(1,($A36='Offer Statistics'!$FF$2:$FF$400)*($AB$2='Offer Statistics'!$FG$2:$FG$400),0)),"/")</f>
        <v>298</v>
      </c>
      <c r="AQ36" s="15" t="str">
        <f t="shared" si="3"/>
        <v>JSSU78</v>
      </c>
    </row>
    <row r="37" spans="1:44" ht="14.55" customHeight="1">
      <c r="A37" s="4" t="str">
        <f>'Reference Score Calculation'!B428</f>
        <v>JSSU79</v>
      </c>
      <c r="B37" s="4" t="str">
        <f>'Reference Score Calculation'!D428</f>
        <v>都會大學</v>
      </c>
      <c r="C37" s="4" t="str">
        <f>'Reference Score Calculation'!E428</f>
        <v>土木工程榮譽工學士</v>
      </c>
      <c r="D37" s="4" t="str">
        <f>'Reference Score Calculation'!S428</f>
        <v>BEng(Hons)Civil Eng</v>
      </c>
      <c r="E37" s="15" t="str">
        <f>'Reference Score Calculation'!F428</f>
        <v>Best 5</v>
      </c>
      <c r="F37" s="6" t="str">
        <f>'Reference Score Calculation'!H428</f>
        <v>/</v>
      </c>
      <c r="G37" s="413">
        <f>'Reference Score Calculation'!I428</f>
        <v>16</v>
      </c>
      <c r="H37" s="6">
        <f>'Reference Score Calculation'!J428</f>
        <v>16</v>
      </c>
      <c r="I37" s="45">
        <f>計分版!J451</f>
        <v>3.4999999999999999E-9</v>
      </c>
      <c r="J37" s="25">
        <f t="shared" si="8"/>
        <v>-15.9999999965</v>
      </c>
      <c r="K37" s="26">
        <f t="shared" si="9"/>
        <v>-4571428570.4285717</v>
      </c>
      <c r="L37" s="36">
        <f>'Reference Score Calculation'!U428</f>
        <v>45</v>
      </c>
      <c r="M37" s="84">
        <f>入學要求!Z437</f>
        <v>0</v>
      </c>
      <c r="N37" s="544"/>
      <c r="O37" s="15">
        <v>3</v>
      </c>
      <c r="P37" s="15">
        <v>3</v>
      </c>
      <c r="Q37" s="15">
        <v>2</v>
      </c>
      <c r="R37" s="15">
        <v>2</v>
      </c>
      <c r="S37" s="15">
        <v>2</v>
      </c>
      <c r="T37" s="15">
        <v>2</v>
      </c>
      <c r="U37" s="255">
        <f>入學要求!S437</f>
        <v>0</v>
      </c>
      <c r="V37" s="255">
        <f>入學要求!T437</f>
        <v>0</v>
      </c>
      <c r="W37" s="255">
        <f>入學要求!U437</f>
        <v>0</v>
      </c>
      <c r="X37" s="255">
        <f>入學要求!V437</f>
        <v>0</v>
      </c>
      <c r="Y37" s="255">
        <f>入學要求!W437</f>
        <v>0</v>
      </c>
      <c r="Z37" s="255">
        <f>入學要求!X437</f>
        <v>0</v>
      </c>
      <c r="AA37" s="36">
        <f t="shared" si="2"/>
        <v>4.9400000000000004</v>
      </c>
      <c r="AB37" s="537"/>
      <c r="AC37" s="36" cm="1">
        <f t="array" ref="AC37">IFERROR(INDEX('Offer Statistics'!FU$2:FU$400,MATCH(1,($A37='Offer Statistics'!$FF$2:$FF$400)*($AB$2='Offer Statistics'!$FG$2:$FG$400),0)),"/")</f>
        <v>65</v>
      </c>
      <c r="AD37" s="63" cm="1">
        <f t="array" ref="AD37">IFERROR(INDEX('Offer Statistics'!FP$2:FP$400,MATCH(1,($A37='Offer Statistics'!$FF$2:$FF$400)*($AB$2='Offer Statistics'!$FG$2:$FG$400),0)),"/")</f>
        <v>48</v>
      </c>
      <c r="AE37" s="63" cm="1">
        <f t="array" ref="AE37">IFERROR(INDEX('Offer Statistics'!FQ$2:FQ$400,MATCH(1,($A37='Offer Statistics'!$FF$2:$FF$400)*($AB$2='Offer Statistics'!$FG$2:$FG$400),0)),"/")</f>
        <v>17</v>
      </c>
      <c r="AF37" s="63" cm="1">
        <f t="array" ref="AF37">IFERROR(INDEX('Offer Statistics'!FR$2:FR$400,MATCH(1,($A37='Offer Statistics'!$FF$2:$FF$400)*($AB$2='Offer Statistics'!$FG$2:$FG$400),0)),"/")</f>
        <v>0</v>
      </c>
      <c r="AG37" s="63" cm="1">
        <f t="array" ref="AG37">IFERROR(INDEX('Offer Statistics'!FS$2:FS$400,MATCH(1,($A37='Offer Statistics'!$FF$2:$FF$400)*($AB$2='Offer Statistics'!$FG$2:$FG$400),0)),"/")</f>
        <v>0</v>
      </c>
      <c r="AH37" s="63" cm="1">
        <f t="array" ref="AH37">IFERROR(INDEX('Offer Statistics'!FT$2:FT$400,MATCH(1,($A37='Offer Statistics'!$FF$2:$FF$400)*($AB$2='Offer Statistics'!$FG$2:$FG$400),0)),"/")</f>
        <v>0</v>
      </c>
      <c r="AI37" s="552"/>
      <c r="AJ37" s="36" cm="1">
        <f t="array" ref="AJ37">IFERROR(INDEX('Offer Statistics'!FM$2:FM$400,MATCH(1,($A37='Offer Statistics'!$FF$2:$FF$400)*($AB$2='Offer Statistics'!$FG$2:$FG$400),0)),"/")</f>
        <v>1822</v>
      </c>
      <c r="AK37" s="63" cm="1">
        <f t="array" ref="AK37">IFERROR(INDEX('Offer Statistics'!FH$2:FH$400,MATCH(1,($A37='Offer Statistics'!$FF$2:$FF$400)*($AB$2='Offer Statistics'!$FG$2:$FG$400),0)),"/")</f>
        <v>237</v>
      </c>
      <c r="AL37" s="63" cm="1">
        <f t="array" ref="AL37">IFERROR(INDEX('Offer Statistics'!FI$2:FI$400,MATCH(1,($A37='Offer Statistics'!$FF$2:$FF$400)*($AB$2='Offer Statistics'!$FG$2:$FG$400),0)),"/")</f>
        <v>313</v>
      </c>
      <c r="AM37" s="63" cm="1">
        <f t="array" ref="AM37">IFERROR(INDEX('Offer Statistics'!FJ$2:FJ$400,MATCH(1,($A37='Offer Statistics'!$FF$2:$FF$400)*($AB$2='Offer Statistics'!$FG$2:$FG$400),0)),"/")</f>
        <v>348</v>
      </c>
      <c r="AN37" s="63" cm="1">
        <f t="array" ref="AN37">IFERROR(INDEX('Offer Statistics'!FK$2:FK$400,MATCH(1,($A37='Offer Statistics'!$FF$2:$FF$400)*($AB$2='Offer Statistics'!$FG$2:$FG$400),0)),"/")</f>
        <v>407</v>
      </c>
      <c r="AO37" s="63" cm="1">
        <f t="array" ref="AO37">IFERROR(INDEX('Offer Statistics'!FL$2:FL$400,MATCH(1,($A37='Offer Statistics'!$FF$2:$FF$400)*($AB$2='Offer Statistics'!$FG$2:$FG$400),0)),"/")</f>
        <v>517</v>
      </c>
      <c r="AP37" s="4"/>
      <c r="AQ37" s="15" t="str">
        <f t="shared" si="3"/>
        <v>JSSU79</v>
      </c>
      <c r="AR37" s="4"/>
    </row>
    <row r="38" spans="1:44" ht="14.55" customHeight="1">
      <c r="A38" s="4" t="str">
        <f>'Reference Score Calculation'!B429</f>
        <v>JSSU90</v>
      </c>
      <c r="B38" s="4" t="str">
        <f>'Reference Score Calculation'!D429</f>
        <v>都會大學</v>
      </c>
      <c r="C38" s="4" t="str">
        <f>'Reference Score Calculation'!E429</f>
        <v>國際款待及景區管理榮譽工商管理學士</v>
      </c>
      <c r="D38" s="4" t="str">
        <f>'Reference Score Calculation'!S429</f>
        <v>BBA(Hons)Hos&amp;AttractMgt</v>
      </c>
      <c r="E38" s="15" t="str">
        <f>'Reference Score Calculation'!F429</f>
        <v>Best 5</v>
      </c>
      <c r="F38" s="6" t="str">
        <f>'Reference Score Calculation'!H429</f>
        <v>/</v>
      </c>
      <c r="G38" s="413">
        <f>'Reference Score Calculation'!I429</f>
        <v>16</v>
      </c>
      <c r="H38" s="6">
        <f>'Reference Score Calculation'!J429</f>
        <v>15</v>
      </c>
      <c r="I38" s="45">
        <f>計分版!J452</f>
        <v>3.4999999999999999E-9</v>
      </c>
      <c r="J38" s="25">
        <f t="shared" si="8"/>
        <v>-15.9999999965</v>
      </c>
      <c r="K38" s="26">
        <f t="shared" si="9"/>
        <v>-4571428570.4285717</v>
      </c>
      <c r="L38" s="36">
        <f>'Reference Score Calculation'!U429</f>
        <v>40</v>
      </c>
      <c r="M38" s="84">
        <f>入學要求!Z438</f>
        <v>0</v>
      </c>
      <c r="N38" s="544"/>
      <c r="O38" s="15">
        <v>3</v>
      </c>
      <c r="P38" s="15">
        <v>3</v>
      </c>
      <c r="Q38" s="15">
        <v>2</v>
      </c>
      <c r="R38" s="15">
        <v>2</v>
      </c>
      <c r="S38" s="15">
        <v>2</v>
      </c>
      <c r="T38" s="15">
        <v>2</v>
      </c>
      <c r="U38" s="255">
        <f>入學要求!S438</f>
        <v>0</v>
      </c>
      <c r="V38" s="255">
        <f>入學要求!T438</f>
        <v>0</v>
      </c>
      <c r="W38" s="255">
        <f>入學要求!U438</f>
        <v>0</v>
      </c>
      <c r="X38" s="255">
        <f>入學要求!V438</f>
        <v>0</v>
      </c>
      <c r="Y38" s="255">
        <f>入學要求!W438</f>
        <v>0</v>
      </c>
      <c r="Z38" s="255">
        <f>入學要求!X438</f>
        <v>0</v>
      </c>
      <c r="AA38" s="36">
        <f t="shared" si="2"/>
        <v>7.96</v>
      </c>
      <c r="AB38" s="537"/>
      <c r="AC38" s="36" cm="1">
        <f t="array" ref="AC38">IFERROR(INDEX('Offer Statistics'!FU$2:FU$400,MATCH(1,($A38='Offer Statistics'!$FF$2:$FF$400)*($AB$2='Offer Statistics'!$FG$2:$FG$400),0)),"/")</f>
        <v>81</v>
      </c>
      <c r="AD38" s="63" cm="1">
        <f t="array" ref="AD38">IFERROR(INDEX('Offer Statistics'!FP$2:FP$400,MATCH(1,($A38='Offer Statistics'!$FF$2:$FF$400)*($AB$2='Offer Statistics'!$FG$2:$FG$400),0)),"/")</f>
        <v>47</v>
      </c>
      <c r="AE38" s="63" cm="1">
        <f t="array" ref="AE38">IFERROR(INDEX('Offer Statistics'!FQ$2:FQ$400,MATCH(1,($A38='Offer Statistics'!$FF$2:$FF$400)*($AB$2='Offer Statistics'!$FG$2:$FG$400),0)),"/")</f>
        <v>18</v>
      </c>
      <c r="AF38" s="63" cm="1">
        <f t="array" ref="AF38">IFERROR(INDEX('Offer Statistics'!FR$2:FR$400,MATCH(1,($A38='Offer Statistics'!$FF$2:$FF$400)*($AB$2='Offer Statistics'!$FG$2:$FG$400),0)),"/")</f>
        <v>7</v>
      </c>
      <c r="AG38" s="63" cm="1">
        <f t="array" ref="AG38">IFERROR(INDEX('Offer Statistics'!FS$2:FS$400,MATCH(1,($A38='Offer Statistics'!$FF$2:$FF$400)*($AB$2='Offer Statistics'!$FG$2:$FG$400),0)),"/")</f>
        <v>7</v>
      </c>
      <c r="AH38" s="63" cm="1">
        <f t="array" ref="AH38">IFERROR(INDEX('Offer Statistics'!FT$2:FT$400,MATCH(1,($A38='Offer Statistics'!$FF$2:$FF$400)*($AB$2='Offer Statistics'!$FG$2:$FG$400),0)),"/")</f>
        <v>2</v>
      </c>
      <c r="AI38" s="552"/>
      <c r="AJ38" s="36" cm="1">
        <f t="array" ref="AJ38">IFERROR(INDEX('Offer Statistics'!FM$2:FM$400,MATCH(1,($A38='Offer Statistics'!$FF$2:$FF$400)*($AB$2='Offer Statistics'!$FG$2:$FG$400),0)),"/")</f>
        <v>2233</v>
      </c>
      <c r="AK38" s="63" cm="1">
        <f t="array" ref="AK38">IFERROR(INDEX('Offer Statistics'!FH$2:FH$400,MATCH(1,($A38='Offer Statistics'!$FF$2:$FF$400)*($AB$2='Offer Statistics'!$FG$2:$FG$400),0)),"/")</f>
        <v>374</v>
      </c>
      <c r="AL38" s="63" cm="1">
        <f t="array" ref="AL38">IFERROR(INDEX('Offer Statistics'!FI$2:FI$400,MATCH(1,($A38='Offer Statistics'!$FF$2:$FF$400)*($AB$2='Offer Statistics'!$FG$2:$FG$400),0)),"/")</f>
        <v>420</v>
      </c>
      <c r="AM38" s="63" cm="1">
        <f t="array" ref="AM38">IFERROR(INDEX('Offer Statistics'!FJ$2:FJ$400,MATCH(1,($A38='Offer Statistics'!$FF$2:$FF$400)*($AB$2='Offer Statistics'!$FG$2:$FG$400),0)),"/")</f>
        <v>426</v>
      </c>
      <c r="AN38" s="63" cm="1">
        <f t="array" ref="AN38">IFERROR(INDEX('Offer Statistics'!FK$2:FK$400,MATCH(1,($A38='Offer Statistics'!$FF$2:$FF$400)*($AB$2='Offer Statistics'!$FG$2:$FG$400),0)),"/")</f>
        <v>483</v>
      </c>
      <c r="AO38" s="63" cm="1">
        <f t="array" ref="AO38">IFERROR(INDEX('Offer Statistics'!FL$2:FL$400,MATCH(1,($A38='Offer Statistics'!$FF$2:$FF$400)*($AB$2='Offer Statistics'!$FG$2:$FG$400),0)),"/")</f>
        <v>530</v>
      </c>
      <c r="AP38" s="4"/>
      <c r="AQ38" s="15" t="str">
        <f t="shared" si="3"/>
        <v>JSSU90</v>
      </c>
      <c r="AR38" s="4"/>
    </row>
    <row r="39" spans="1:44" ht="14.55" customHeight="1">
      <c r="A39" s="4" t="str">
        <f>'Reference Score Calculation'!B430</f>
        <v>JSSU93</v>
      </c>
      <c r="B39" s="4" t="str">
        <f>'Reference Score Calculation'!D430</f>
        <v>都會大學</v>
      </c>
      <c r="C39" s="4" t="str">
        <f>'Reference Score Calculation'!E430</f>
        <v>航空服務管理榮譽工商管理學士</v>
      </c>
      <c r="D39" s="4" t="str">
        <f>'Reference Score Calculation'!S430</f>
        <v>BBA(Hons)AviServMgt</v>
      </c>
      <c r="E39" s="15" t="str">
        <f>'Reference Score Calculation'!F430</f>
        <v>25年新科目</v>
      </c>
      <c r="F39" s="6" t="str">
        <f>'Reference Score Calculation'!H430</f>
        <v>/</v>
      </c>
      <c r="G39" s="413">
        <f>'Reference Score Calculation'!I430</f>
        <v>16</v>
      </c>
      <c r="H39" s="6">
        <f>'Reference Score Calculation'!J430</f>
        <v>16</v>
      </c>
      <c r="I39" s="45">
        <f>計分版!J453</f>
        <v>3.4999999999999999E-9</v>
      </c>
      <c r="J39" s="25">
        <f t="shared" ref="J39" si="10">IFERROR(IF(J$1="差距(Median)",I39-G39,IF(J$1="差距(UQ)",I39-G39,IF(J$1="差距(LQ)",I39-H39))),"/")</f>
        <v>-15.9999999965</v>
      </c>
      <c r="K39" s="26">
        <f t="shared" ref="K39" si="11">IFERROR(IF(J$1="差距(Median)",(I39-G39)/I39,IF(J$1="差距(UQ)",(I39-G39)/I39,IF(J$1="差距(LQ)",(I39-H39)/I39))),"/")</f>
        <v>-4571428570.4285717</v>
      </c>
      <c r="L39" s="36">
        <f>'Reference Score Calculation'!U430</f>
        <v>40</v>
      </c>
      <c r="M39" s="84">
        <f>入學要求!Z439</f>
        <v>0</v>
      </c>
      <c r="N39" s="544"/>
      <c r="O39" s="15">
        <v>3</v>
      </c>
      <c r="P39" s="15">
        <v>3</v>
      </c>
      <c r="Q39" s="15">
        <v>2</v>
      </c>
      <c r="R39" s="15">
        <v>2</v>
      </c>
      <c r="S39" s="15">
        <v>2</v>
      </c>
      <c r="T39" s="15">
        <v>2</v>
      </c>
      <c r="U39" s="255">
        <f>入學要求!S439</f>
        <v>0</v>
      </c>
      <c r="V39" s="255">
        <f>入學要求!T439</f>
        <v>0</v>
      </c>
      <c r="W39" s="255">
        <f>入學要求!U439</f>
        <v>0</v>
      </c>
      <c r="X39" s="255">
        <f>入學要求!V439</f>
        <v>0</v>
      </c>
      <c r="Y39" s="255">
        <f>入學要求!W439</f>
        <v>0</v>
      </c>
      <c r="Z39" s="255">
        <f>入學要求!X439</f>
        <v>0</v>
      </c>
      <c r="AA39" s="36" t="str">
        <f t="shared" ref="AA39" si="12">IFERROR(ROUND(AK39/AD39,2),"/")</f>
        <v>/</v>
      </c>
      <c r="AB39" s="537"/>
      <c r="AC39" s="36" t="str" cm="1">
        <f t="array" ref="AC39">IFERROR(INDEX('Offer Statistics'!FU$2:FU$400,MATCH(1,($A39='Offer Statistics'!$FF$2:$FF$400)*($AB$2='Offer Statistics'!$FG$2:$FG$400),0)),"/")</f>
        <v>/</v>
      </c>
      <c r="AD39" s="63" t="str" cm="1">
        <f t="array" ref="AD39">IFERROR(INDEX('Offer Statistics'!FP$2:FP$400,MATCH(1,($A39='Offer Statistics'!$FF$2:$FF$400)*($AB$2='Offer Statistics'!$FG$2:$FG$400),0)),"/")</f>
        <v>/</v>
      </c>
      <c r="AE39" s="63" t="str" cm="1">
        <f t="array" ref="AE39">IFERROR(INDEX('Offer Statistics'!FQ$2:FQ$400,MATCH(1,($A39='Offer Statistics'!$FF$2:$FF$400)*($AB$2='Offer Statistics'!$FG$2:$FG$400),0)),"/")</f>
        <v>/</v>
      </c>
      <c r="AF39" s="63" t="str" cm="1">
        <f t="array" ref="AF39">IFERROR(INDEX('Offer Statistics'!FR$2:FR$400,MATCH(1,($A39='Offer Statistics'!$FF$2:$FF$400)*($AB$2='Offer Statistics'!$FG$2:$FG$400),0)),"/")</f>
        <v>/</v>
      </c>
      <c r="AG39" s="63" t="str" cm="1">
        <f t="array" ref="AG39">IFERROR(INDEX('Offer Statistics'!FS$2:FS$400,MATCH(1,($A39='Offer Statistics'!$FF$2:$FF$400)*($AB$2='Offer Statistics'!$FG$2:$FG$400),0)),"/")</f>
        <v>/</v>
      </c>
      <c r="AH39" s="63" t="str" cm="1">
        <f t="array" ref="AH39">IFERROR(INDEX('Offer Statistics'!FT$2:FT$400,MATCH(1,($A39='Offer Statistics'!$FF$2:$FF$400)*($AB$2='Offer Statistics'!$FG$2:$FG$400),0)),"/")</f>
        <v>/</v>
      </c>
      <c r="AI39" s="552"/>
      <c r="AJ39" s="36" t="str" cm="1">
        <f t="array" ref="AJ39">IFERROR(INDEX('Offer Statistics'!FM$2:FM$400,MATCH(1,($A39='Offer Statistics'!$FF$2:$FF$400)*($AB$2='Offer Statistics'!$FG$2:$FG$400),0)),"/")</f>
        <v>/</v>
      </c>
      <c r="AK39" s="63" t="str" cm="1">
        <f t="array" ref="AK39">IFERROR(INDEX('Offer Statistics'!FH$2:FH$400,MATCH(1,($A39='Offer Statistics'!$FF$2:$FF$400)*($AB$2='Offer Statistics'!$FG$2:$FG$400),0)),"/")</f>
        <v>/</v>
      </c>
      <c r="AL39" s="63" t="str" cm="1">
        <f t="array" ref="AL39">IFERROR(INDEX('Offer Statistics'!FI$2:FI$400,MATCH(1,($A39='Offer Statistics'!$FF$2:$FF$400)*($AB$2='Offer Statistics'!$FG$2:$FG$400),0)),"/")</f>
        <v>/</v>
      </c>
      <c r="AM39" s="63" t="str" cm="1">
        <f t="array" ref="AM39">IFERROR(INDEX('Offer Statistics'!FJ$2:FJ$400,MATCH(1,($A39='Offer Statistics'!$FF$2:$FF$400)*($AB$2='Offer Statistics'!$FG$2:$FG$400),0)),"/")</f>
        <v>/</v>
      </c>
      <c r="AN39" s="63" t="str" cm="1">
        <f t="array" ref="AN39">IFERROR(INDEX('Offer Statistics'!FK$2:FK$400,MATCH(1,($A39='Offer Statistics'!$FF$2:$FF$400)*($AB$2='Offer Statistics'!$FG$2:$FG$400),0)),"/")</f>
        <v>/</v>
      </c>
      <c r="AO39" s="63" t="str" cm="1">
        <f t="array" ref="AO39">IFERROR(INDEX('Offer Statistics'!FL$2:FL$400,MATCH(1,($A39='Offer Statistics'!$FF$2:$FF$400)*($AB$2='Offer Statistics'!$FG$2:$FG$400),0)),"/")</f>
        <v>/</v>
      </c>
      <c r="AP39" s="4"/>
      <c r="AQ39" s="15" t="str">
        <f t="shared" ref="AQ39" si="13">A39</f>
        <v>JSSU93</v>
      </c>
      <c r="AR39" s="4"/>
    </row>
    <row r="40" spans="1:44" ht="14.55" customHeight="1">
      <c r="A40" s="4" t="str">
        <f>'Reference Score Calculation'!B431</f>
        <v>JSSU95</v>
      </c>
      <c r="B40" s="4" t="str">
        <f>'Reference Score Calculation'!D431</f>
        <v>都會大學</v>
      </c>
      <c r="C40" s="4" t="str">
        <f>'Reference Score Calculation'!E431</f>
        <v>運動及康樂管理榮譽工商管理學士</v>
      </c>
      <c r="D40" s="4" t="str">
        <f>'Reference Score Calculation'!S431</f>
        <v>BBA(Hons)Sports&amp;RecMgt</v>
      </c>
      <c r="E40" s="15" t="str">
        <f>'Reference Score Calculation'!F431</f>
        <v>Best 5</v>
      </c>
      <c r="F40" s="6" t="str">
        <f>'Reference Score Calculation'!H431</f>
        <v>/</v>
      </c>
      <c r="G40" s="413">
        <f>'Reference Score Calculation'!I431</f>
        <v>17</v>
      </c>
      <c r="H40" s="6">
        <f>'Reference Score Calculation'!J431</f>
        <v>15</v>
      </c>
      <c r="I40" s="45">
        <f>計分版!J454</f>
        <v>3.4999999999999999E-9</v>
      </c>
      <c r="J40" s="25">
        <f t="shared" si="8"/>
        <v>-16.999999996500001</v>
      </c>
      <c r="K40" s="26">
        <f t="shared" si="9"/>
        <v>-4857142856.1428576</v>
      </c>
      <c r="L40" s="36">
        <f>'Reference Score Calculation'!U431</f>
        <v>50</v>
      </c>
      <c r="M40" s="84">
        <f>入學要求!Z440</f>
        <v>0</v>
      </c>
      <c r="N40" s="544"/>
      <c r="O40" s="15">
        <v>3</v>
      </c>
      <c r="P40" s="15">
        <v>3</v>
      </c>
      <c r="Q40" s="15">
        <v>2</v>
      </c>
      <c r="R40" s="15">
        <v>2</v>
      </c>
      <c r="S40" s="15">
        <v>2</v>
      </c>
      <c r="T40" s="15">
        <v>2</v>
      </c>
      <c r="U40" s="255">
        <f>入學要求!S440</f>
        <v>0</v>
      </c>
      <c r="V40" s="255">
        <f>入學要求!T440</f>
        <v>0</v>
      </c>
      <c r="W40" s="255">
        <f>入學要求!U440</f>
        <v>0</v>
      </c>
      <c r="X40" s="255">
        <f>入學要求!V440</f>
        <v>0</v>
      </c>
      <c r="Y40" s="255">
        <f>入學要求!W440</f>
        <v>0</v>
      </c>
      <c r="Z40" s="255">
        <f>入學要求!X440</f>
        <v>0</v>
      </c>
      <c r="AA40" s="36">
        <f t="shared" si="2"/>
        <v>5.74</v>
      </c>
      <c r="AB40" s="537"/>
      <c r="AC40" s="36" cm="1">
        <f t="array" ref="AC40">IFERROR(INDEX('Offer Statistics'!FU$2:FU$400,MATCH(1,($A40='Offer Statistics'!$FF$2:$FF$400)*($AB$2='Offer Statistics'!$FG$2:$FG$400),0)),"/")</f>
        <v>70</v>
      </c>
      <c r="AD40" s="63" cm="1">
        <f t="array" ref="AD40">IFERROR(INDEX('Offer Statistics'!FP$2:FP$400,MATCH(1,($A40='Offer Statistics'!$FF$2:$FF$400)*($AB$2='Offer Statistics'!$FG$2:$FG$400),0)),"/")</f>
        <v>70</v>
      </c>
      <c r="AE40" s="63" cm="1">
        <f t="array" ref="AE40">IFERROR(INDEX('Offer Statistics'!FQ$2:FQ$400,MATCH(1,($A40='Offer Statistics'!$FF$2:$FF$400)*($AB$2='Offer Statistics'!$FG$2:$FG$400),0)),"/")</f>
        <v>0</v>
      </c>
      <c r="AF40" s="63" cm="1">
        <f t="array" ref="AF40">IFERROR(INDEX('Offer Statistics'!FR$2:FR$400,MATCH(1,($A40='Offer Statistics'!$FF$2:$FF$400)*($AB$2='Offer Statistics'!$FG$2:$FG$400),0)),"/")</f>
        <v>0</v>
      </c>
      <c r="AG40" s="63" cm="1">
        <f t="array" ref="AG40">IFERROR(INDEX('Offer Statistics'!FS$2:FS$400,MATCH(1,($A40='Offer Statistics'!$FF$2:$FF$400)*($AB$2='Offer Statistics'!$FG$2:$FG$400),0)),"/")</f>
        <v>0</v>
      </c>
      <c r="AH40" s="63" cm="1">
        <f t="array" ref="AH40">IFERROR(INDEX('Offer Statistics'!FT$2:FT$400,MATCH(1,($A40='Offer Statistics'!$FF$2:$FF$400)*($AB$2='Offer Statistics'!$FG$2:$FG$400),0)),"/")</f>
        <v>0</v>
      </c>
      <c r="AI40" s="552"/>
      <c r="AJ40" s="36" cm="1">
        <f t="array" ref="AJ40">IFERROR(INDEX('Offer Statistics'!FM$2:FM$400,MATCH(1,($A40='Offer Statistics'!$FF$2:$FF$400)*($AB$2='Offer Statistics'!$FG$2:$FG$400),0)),"/")</f>
        <v>2101</v>
      </c>
      <c r="AK40" s="63" cm="1">
        <f t="array" ref="AK40">IFERROR(INDEX('Offer Statistics'!FH$2:FH$400,MATCH(1,($A40='Offer Statistics'!$FF$2:$FF$400)*($AB$2='Offer Statistics'!$FG$2:$FG$400),0)),"/")</f>
        <v>402</v>
      </c>
      <c r="AL40" s="63" cm="1">
        <f t="array" ref="AL40">IFERROR(INDEX('Offer Statistics'!FI$2:FI$400,MATCH(1,($A40='Offer Statistics'!$FF$2:$FF$400)*($AB$2='Offer Statistics'!$FG$2:$FG$400),0)),"/")</f>
        <v>483</v>
      </c>
      <c r="AM40" s="63" cm="1">
        <f t="array" ref="AM40">IFERROR(INDEX('Offer Statistics'!FJ$2:FJ$400,MATCH(1,($A40='Offer Statistics'!$FF$2:$FF$400)*($AB$2='Offer Statistics'!$FG$2:$FG$400),0)),"/")</f>
        <v>421</v>
      </c>
      <c r="AN40" s="63" cm="1">
        <f t="array" ref="AN40">IFERROR(INDEX('Offer Statistics'!FK$2:FK$400,MATCH(1,($A40='Offer Statistics'!$FF$2:$FF$400)*($AB$2='Offer Statistics'!$FG$2:$FG$400),0)),"/")</f>
        <v>379</v>
      </c>
      <c r="AO40" s="63" cm="1">
        <f t="array" ref="AO40">IFERROR(INDEX('Offer Statistics'!FL$2:FL$400,MATCH(1,($A40='Offer Statistics'!$FF$2:$FF$400)*($AB$2='Offer Statistics'!$FG$2:$FG$400),0)),"/")</f>
        <v>416</v>
      </c>
      <c r="AP40" s="4"/>
      <c r="AQ40" s="15" t="str">
        <f t="shared" si="3"/>
        <v>JSSU95</v>
      </c>
      <c r="AR40" s="4"/>
    </row>
    <row r="41" spans="1:44" ht="14.55" customHeight="1">
      <c r="A41" s="4" t="str">
        <f>'Reference Score Calculation'!B432</f>
        <v>JSSU96</v>
      </c>
      <c r="B41" s="4" t="str">
        <f>'Reference Score Calculation'!D432</f>
        <v>都會大學</v>
      </c>
      <c r="C41" s="4" t="str">
        <f>'Reference Score Calculation'!E432</f>
        <v>財務及金融科技榮譽工商管理學士</v>
      </c>
      <c r="D41" s="4" t="str">
        <f>'Reference Score Calculation'!S432</f>
        <v>BBA(Hons)Fin&amp;FinTech</v>
      </c>
      <c r="E41" s="15" t="str">
        <f>'Reference Score Calculation'!F432</f>
        <v>Best 5</v>
      </c>
      <c r="F41" s="6" t="str">
        <f>'Reference Score Calculation'!H432</f>
        <v>/</v>
      </c>
      <c r="G41" s="413">
        <f>'Reference Score Calculation'!I432</f>
        <v>17</v>
      </c>
      <c r="H41" s="6">
        <f>'Reference Score Calculation'!J432</f>
        <v>16</v>
      </c>
      <c r="I41" s="45">
        <f>計分版!J455</f>
        <v>3.4999999999999999E-9</v>
      </c>
      <c r="J41" s="25">
        <f t="shared" si="8"/>
        <v>-16.999999996500001</v>
      </c>
      <c r="K41" s="26">
        <f t="shared" si="9"/>
        <v>-4857142856.1428576</v>
      </c>
      <c r="L41" s="36">
        <f>'Reference Score Calculation'!U432</f>
        <v>25</v>
      </c>
      <c r="M41" s="84">
        <f>入學要求!Z441</f>
        <v>0</v>
      </c>
      <c r="N41" s="544"/>
      <c r="O41" s="15">
        <v>3</v>
      </c>
      <c r="P41" s="15">
        <v>3</v>
      </c>
      <c r="Q41" s="15">
        <v>2</v>
      </c>
      <c r="R41" s="15">
        <v>2</v>
      </c>
      <c r="S41" s="15">
        <v>2</v>
      </c>
      <c r="T41" s="15">
        <v>2</v>
      </c>
      <c r="U41" s="255">
        <f>入學要求!S441</f>
        <v>0</v>
      </c>
      <c r="V41" s="255">
        <f>入學要求!T441</f>
        <v>0</v>
      </c>
      <c r="W41" s="255">
        <f>入學要求!U441</f>
        <v>0</v>
      </c>
      <c r="X41" s="255">
        <f>入學要求!V441</f>
        <v>0</v>
      </c>
      <c r="Y41" s="255">
        <f>入學要求!W441</f>
        <v>0</v>
      </c>
      <c r="Z41" s="255">
        <f>入學要求!X441</f>
        <v>0</v>
      </c>
      <c r="AA41" s="36">
        <f t="shared" si="2"/>
        <v>5.39</v>
      </c>
      <c r="AB41" s="537"/>
      <c r="AC41" s="36" cm="1">
        <f t="array" ref="AC41">IFERROR(INDEX('Offer Statistics'!FU$2:FU$400,MATCH(1,($A41='Offer Statistics'!$FF$2:$FF$400)*($AB$2='Offer Statistics'!$FG$2:$FG$400),0)),"/")</f>
        <v>67</v>
      </c>
      <c r="AD41" s="63" cm="1">
        <f t="array" ref="AD41">IFERROR(INDEX('Offer Statistics'!FP$2:FP$400,MATCH(1,($A41='Offer Statistics'!$FF$2:$FF$400)*($AB$2='Offer Statistics'!$FG$2:$FG$400),0)),"/")</f>
        <v>38</v>
      </c>
      <c r="AE41" s="63" cm="1">
        <f t="array" ref="AE41">IFERROR(INDEX('Offer Statistics'!FQ$2:FQ$400,MATCH(1,($A41='Offer Statistics'!$FF$2:$FF$400)*($AB$2='Offer Statistics'!$FG$2:$FG$400),0)),"/")</f>
        <v>16</v>
      </c>
      <c r="AF41" s="63" cm="1">
        <f t="array" ref="AF41">IFERROR(INDEX('Offer Statistics'!FR$2:FR$400,MATCH(1,($A41='Offer Statistics'!$FF$2:$FF$400)*($AB$2='Offer Statistics'!$FG$2:$FG$400),0)),"/")</f>
        <v>2</v>
      </c>
      <c r="AG41" s="63" cm="1">
        <f t="array" ref="AG41">IFERROR(INDEX('Offer Statistics'!FS$2:FS$400,MATCH(1,($A41='Offer Statistics'!$FF$2:$FF$400)*($AB$2='Offer Statistics'!$FG$2:$FG$400),0)),"/")</f>
        <v>4</v>
      </c>
      <c r="AH41" s="63" cm="1">
        <f t="array" ref="AH41">IFERROR(INDEX('Offer Statistics'!FT$2:FT$400,MATCH(1,($A41='Offer Statistics'!$FF$2:$FF$400)*($AB$2='Offer Statistics'!$FG$2:$FG$400),0)),"/")</f>
        <v>7</v>
      </c>
      <c r="AI41" s="552"/>
      <c r="AJ41" s="36" cm="1">
        <f t="array" ref="AJ41">IFERROR(INDEX('Offer Statistics'!FM$2:FM$400,MATCH(1,($A41='Offer Statistics'!$FF$2:$FF$400)*($AB$2='Offer Statistics'!$FG$2:$FG$400),0)),"/")</f>
        <v>1876</v>
      </c>
      <c r="AK41" s="63" cm="1">
        <f t="array" ref="AK41">IFERROR(INDEX('Offer Statistics'!FH$2:FH$400,MATCH(1,($A41='Offer Statistics'!$FF$2:$FF$400)*($AB$2='Offer Statistics'!$FG$2:$FG$400),0)),"/")</f>
        <v>205</v>
      </c>
      <c r="AL41" s="63" cm="1">
        <f t="array" ref="AL41">IFERROR(INDEX('Offer Statistics'!FI$2:FI$400,MATCH(1,($A41='Offer Statistics'!$FF$2:$FF$400)*($AB$2='Offer Statistics'!$FG$2:$FG$400),0)),"/")</f>
        <v>301</v>
      </c>
      <c r="AM41" s="63" cm="1">
        <f t="array" ref="AM41">IFERROR(INDEX('Offer Statistics'!FJ$2:FJ$400,MATCH(1,($A41='Offer Statistics'!$FF$2:$FF$400)*($AB$2='Offer Statistics'!$FG$2:$FG$400),0)),"/")</f>
        <v>371</v>
      </c>
      <c r="AN41" s="63" cm="1">
        <f t="array" ref="AN41">IFERROR(INDEX('Offer Statistics'!FK$2:FK$400,MATCH(1,($A41='Offer Statistics'!$FF$2:$FF$400)*($AB$2='Offer Statistics'!$FG$2:$FG$400),0)),"/")</f>
        <v>438</v>
      </c>
      <c r="AO41" s="63" cm="1">
        <f t="array" ref="AO41">IFERROR(INDEX('Offer Statistics'!FL$2:FL$400,MATCH(1,($A41='Offer Statistics'!$FF$2:$FF$400)*($AB$2='Offer Statistics'!$FG$2:$FG$400),0)),"/")</f>
        <v>561</v>
      </c>
      <c r="AP41" s="4"/>
      <c r="AQ41" s="15" t="str">
        <f t="shared" si="3"/>
        <v>JSSU96</v>
      </c>
      <c r="AR41" s="4"/>
    </row>
    <row r="42" spans="1:44" ht="14.55" customHeight="1">
      <c r="A42" s="4" t="str">
        <f>'Reference Score Calculation'!B433</f>
        <v>JSSU97</v>
      </c>
      <c r="B42" s="4" t="str">
        <f>'Reference Score Calculation'!D433</f>
        <v>都會大學</v>
      </c>
      <c r="C42" s="4" t="str">
        <f>'Reference Score Calculation'!E433</f>
        <v>環球市場及供應鏈管理榮譽工商管理學士</v>
      </c>
      <c r="D42" s="4" t="str">
        <f>'Reference Score Calculation'!S433</f>
        <v>BBA(Hons)GM &amp; SCM</v>
      </c>
      <c r="E42" s="15" t="str">
        <f>'Reference Score Calculation'!F433</f>
        <v>Best 5</v>
      </c>
      <c r="F42" s="6" t="str">
        <f>'Reference Score Calculation'!H433</f>
        <v>/</v>
      </c>
      <c r="G42" s="413">
        <f>'Reference Score Calculation'!I433</f>
        <v>17</v>
      </c>
      <c r="H42" s="6">
        <f>'Reference Score Calculation'!J433</f>
        <v>16</v>
      </c>
      <c r="I42" s="45">
        <f>計分版!J456</f>
        <v>3.4999999999999999E-9</v>
      </c>
      <c r="J42" s="25">
        <f t="shared" si="8"/>
        <v>-16.999999996500001</v>
      </c>
      <c r="K42" s="26">
        <f t="shared" si="9"/>
        <v>-4857142856.1428576</v>
      </c>
      <c r="L42" s="36">
        <f>'Reference Score Calculation'!U433</f>
        <v>20</v>
      </c>
      <c r="M42" s="84">
        <f>入學要求!Z442</f>
        <v>0</v>
      </c>
      <c r="N42" s="544"/>
      <c r="O42" s="15">
        <v>3</v>
      </c>
      <c r="P42" s="15">
        <v>3</v>
      </c>
      <c r="Q42" s="15">
        <v>2</v>
      </c>
      <c r="R42" s="15">
        <v>2</v>
      </c>
      <c r="S42" s="15">
        <v>2</v>
      </c>
      <c r="T42" s="15">
        <v>2</v>
      </c>
      <c r="U42" s="255">
        <f>入學要求!S442</f>
        <v>0</v>
      </c>
      <c r="V42" s="255">
        <f>入學要求!T442</f>
        <v>0</v>
      </c>
      <c r="W42" s="255">
        <f>入學要求!U442</f>
        <v>0</v>
      </c>
      <c r="X42" s="255">
        <f>入學要求!V442</f>
        <v>0</v>
      </c>
      <c r="Y42" s="255">
        <f>入學要求!W442</f>
        <v>0</v>
      </c>
      <c r="Z42" s="255">
        <f>入學要求!X442</f>
        <v>0</v>
      </c>
      <c r="AA42" s="36">
        <f t="shared" si="2"/>
        <v>7.74</v>
      </c>
      <c r="AB42" s="537"/>
      <c r="AC42" s="36" cm="1">
        <f t="array" ref="AC42">IFERROR(INDEX('Offer Statistics'!FU$2:FU$400,MATCH(1,($A42='Offer Statistics'!$FF$2:$FF$400)*($AB$2='Offer Statistics'!$FG$2:$FG$400),0)),"/")</f>
        <v>43</v>
      </c>
      <c r="AD42" s="63" cm="1">
        <f t="array" ref="AD42">IFERROR(INDEX('Offer Statistics'!FP$2:FP$400,MATCH(1,($A42='Offer Statistics'!$FF$2:$FF$400)*($AB$2='Offer Statistics'!$FG$2:$FG$400),0)),"/")</f>
        <v>19</v>
      </c>
      <c r="AE42" s="63" cm="1">
        <f t="array" ref="AE42">IFERROR(INDEX('Offer Statistics'!FQ$2:FQ$400,MATCH(1,($A42='Offer Statistics'!$FF$2:$FF$400)*($AB$2='Offer Statistics'!$FG$2:$FG$400),0)),"/")</f>
        <v>7</v>
      </c>
      <c r="AF42" s="63" cm="1">
        <f t="array" ref="AF42">IFERROR(INDEX('Offer Statistics'!FR$2:FR$400,MATCH(1,($A42='Offer Statistics'!$FF$2:$FF$400)*($AB$2='Offer Statistics'!$FG$2:$FG$400),0)),"/")</f>
        <v>6</v>
      </c>
      <c r="AG42" s="63" cm="1">
        <f t="array" ref="AG42">IFERROR(INDEX('Offer Statistics'!FS$2:FS$400,MATCH(1,($A42='Offer Statistics'!$FF$2:$FF$400)*($AB$2='Offer Statistics'!$FG$2:$FG$400),0)),"/")</f>
        <v>3</v>
      </c>
      <c r="AH42" s="63" cm="1">
        <f t="array" ref="AH42">IFERROR(INDEX('Offer Statistics'!FT$2:FT$400,MATCH(1,($A42='Offer Statistics'!$FF$2:$FF$400)*($AB$2='Offer Statistics'!$FG$2:$FG$400),0)),"/")</f>
        <v>8</v>
      </c>
      <c r="AI42" s="552"/>
      <c r="AJ42" s="36" cm="1">
        <f t="array" ref="AJ42">IFERROR(INDEX('Offer Statistics'!FM$2:FM$400,MATCH(1,($A42='Offer Statistics'!$FF$2:$FF$400)*($AB$2='Offer Statistics'!$FG$2:$FG$400),0)),"/")</f>
        <v>1815</v>
      </c>
      <c r="AK42" s="63" cm="1">
        <f t="array" ref="AK42">IFERROR(INDEX('Offer Statistics'!FH$2:FH$400,MATCH(1,($A42='Offer Statistics'!$FF$2:$FF$400)*($AB$2='Offer Statistics'!$FG$2:$FG$400),0)),"/")</f>
        <v>147</v>
      </c>
      <c r="AL42" s="63" cm="1">
        <f t="array" ref="AL42">IFERROR(INDEX('Offer Statistics'!FI$2:FI$400,MATCH(1,($A42='Offer Statistics'!$FF$2:$FF$400)*($AB$2='Offer Statistics'!$FG$2:$FG$400),0)),"/")</f>
        <v>275</v>
      </c>
      <c r="AM42" s="63" cm="1">
        <f t="array" ref="AM42">IFERROR(INDEX('Offer Statistics'!FJ$2:FJ$400,MATCH(1,($A42='Offer Statistics'!$FF$2:$FF$400)*($AB$2='Offer Statistics'!$FG$2:$FG$400),0)),"/")</f>
        <v>352</v>
      </c>
      <c r="AN42" s="63" cm="1">
        <f t="array" ref="AN42">IFERROR(INDEX('Offer Statistics'!FK$2:FK$400,MATCH(1,($A42='Offer Statistics'!$FF$2:$FF$400)*($AB$2='Offer Statistics'!$FG$2:$FG$400),0)),"/")</f>
        <v>453</v>
      </c>
      <c r="AO42" s="63" cm="1">
        <f t="array" ref="AO42">IFERROR(INDEX('Offer Statistics'!FL$2:FL$400,MATCH(1,($A42='Offer Statistics'!$FF$2:$FF$400)*($AB$2='Offer Statistics'!$FG$2:$FG$400),0)),"/")</f>
        <v>588</v>
      </c>
      <c r="AP42" s="4"/>
      <c r="AQ42" s="15" t="str">
        <f t="shared" si="3"/>
        <v>JSSU97</v>
      </c>
      <c r="AR42" s="4"/>
    </row>
    <row r="43" spans="1:44" ht="14.55" customHeight="1">
      <c r="A43" s="4" t="str">
        <f>'Reference Score Calculation'!B434</f>
        <v>JSSV01</v>
      </c>
      <c r="B43" s="4" t="str">
        <f>'Reference Score Calculation'!D434</f>
        <v>THEi</v>
      </c>
      <c r="C43" s="4" t="str">
        <f>'Reference Score Calculation'!E434</f>
        <v>時裝設計（榮譽）文學士</v>
      </c>
      <c r="D43" s="4" t="str">
        <f>'Reference Score Calculation'!S434</f>
        <v>BA(FD)</v>
      </c>
      <c r="E43" s="15" t="str">
        <f>'Reference Score Calculation'!F434</f>
        <v>Best 5</v>
      </c>
      <c r="F43" s="6" t="str">
        <f>'Reference Score Calculation'!H434</f>
        <v>/</v>
      </c>
      <c r="G43" s="44">
        <f>'Reference Score Calculation'!I434</f>
        <v>15</v>
      </c>
      <c r="H43" s="6" t="str">
        <f>'Reference Score Calculation'!J434</f>
        <v>/</v>
      </c>
      <c r="I43" s="45">
        <f>計分版!J457</f>
        <v>3.2999999999999998E-9</v>
      </c>
      <c r="J43" s="25">
        <f>IFERROR(I43-G43,"/")</f>
        <v>-14.9999999967</v>
      </c>
      <c r="K43" s="26">
        <f>IFERROR((I43-G43)/I43,"/")</f>
        <v>-4545454544.454546</v>
      </c>
      <c r="L43" s="36">
        <f>'Reference Score Calculation'!U434</f>
        <v>20</v>
      </c>
      <c r="M43" s="84">
        <f>入學要求!Z443</f>
        <v>0</v>
      </c>
      <c r="N43" s="544"/>
      <c r="O43" s="15">
        <v>3</v>
      </c>
      <c r="P43" s="15">
        <v>3</v>
      </c>
      <c r="Q43" s="15">
        <v>2</v>
      </c>
      <c r="R43" s="15">
        <v>2</v>
      </c>
      <c r="S43" s="15">
        <v>2</v>
      </c>
      <c r="T43" s="15"/>
      <c r="U43" s="255">
        <f>入學要求!S443</f>
        <v>0</v>
      </c>
      <c r="V43" s="255">
        <f>入學要求!T443</f>
        <v>0</v>
      </c>
      <c r="W43" s="255">
        <f>入學要求!U443</f>
        <v>0</v>
      </c>
      <c r="X43" s="255">
        <f>入學要求!V443</f>
        <v>0</v>
      </c>
      <c r="Y43" s="255">
        <f>入學要求!W443</f>
        <v>0</v>
      </c>
      <c r="Z43" s="255">
        <f>入學要求!X443</f>
        <v>0</v>
      </c>
      <c r="AA43" s="36">
        <f t="shared" si="2"/>
        <v>11.21</v>
      </c>
      <c r="AB43" s="537"/>
      <c r="AC43" s="36" cm="1">
        <f t="array" ref="AC43">IFERROR(INDEX('Offer Statistics'!FU$2:FU$400,MATCH(1,($A43='Offer Statistics'!$FF$2:$FF$400)*($AB$2='Offer Statistics'!$FG$2:$FG$400),0)),"/")</f>
        <v>51</v>
      </c>
      <c r="AD43" s="63" cm="1">
        <f t="array" ref="AD43">IFERROR(INDEX('Offer Statistics'!FP$2:FP$400,MATCH(1,($A43='Offer Statistics'!$FF$2:$FF$400)*($AB$2='Offer Statistics'!$FG$2:$FG$400),0)),"/")</f>
        <v>24</v>
      </c>
      <c r="AE43" s="63" cm="1">
        <f t="array" ref="AE43">IFERROR(INDEX('Offer Statistics'!FQ$2:FQ$400,MATCH(1,($A43='Offer Statistics'!$FF$2:$FF$400)*($AB$2='Offer Statistics'!$FG$2:$FG$400),0)),"/")</f>
        <v>11</v>
      </c>
      <c r="AF43" s="63" cm="1">
        <f t="array" ref="AF43">IFERROR(INDEX('Offer Statistics'!FR$2:FR$400,MATCH(1,($A43='Offer Statistics'!$FF$2:$FF$400)*($AB$2='Offer Statistics'!$FG$2:$FG$400),0)),"/")</f>
        <v>7</v>
      </c>
      <c r="AG43" s="63" cm="1">
        <f t="array" ref="AG43">IFERROR(INDEX('Offer Statistics'!FS$2:FS$400,MATCH(1,($A43='Offer Statistics'!$FF$2:$FF$400)*($AB$2='Offer Statistics'!$FG$2:$FG$400),0)),"/")</f>
        <v>3</v>
      </c>
      <c r="AH43" s="63" cm="1">
        <f t="array" ref="AH43">IFERROR(INDEX('Offer Statistics'!FT$2:FT$400,MATCH(1,($A43='Offer Statistics'!$FF$2:$FF$400)*($AB$2='Offer Statistics'!$FG$2:$FG$400),0)),"/")</f>
        <v>6</v>
      </c>
      <c r="AI43" s="552"/>
      <c r="AJ43" s="36" cm="1">
        <f t="array" ref="AJ43">IFERROR(INDEX('Offer Statistics'!FM$2:FM$400,MATCH(1,($A43='Offer Statistics'!$FF$2:$FF$400)*($AB$2='Offer Statistics'!$FG$2:$FG$400),0)),"/")</f>
        <v>1649</v>
      </c>
      <c r="AK43" s="63" cm="1">
        <f t="array" ref="AK43">IFERROR(INDEX('Offer Statistics'!FH$2:FH$400,MATCH(1,($A43='Offer Statistics'!$FF$2:$FF$400)*($AB$2='Offer Statistics'!$FG$2:$FG$400),0)),"/")</f>
        <v>269</v>
      </c>
      <c r="AL43" s="63" cm="1">
        <f t="array" ref="AL43">IFERROR(INDEX('Offer Statistics'!FI$2:FI$400,MATCH(1,($A43='Offer Statistics'!$FF$2:$FF$400)*($AB$2='Offer Statistics'!$FG$2:$FG$400),0)),"/")</f>
        <v>256</v>
      </c>
      <c r="AM43" s="63" cm="1">
        <f t="array" ref="AM43">IFERROR(INDEX('Offer Statistics'!FJ$2:FJ$400,MATCH(1,($A43='Offer Statistics'!$FF$2:$FF$400)*($AB$2='Offer Statistics'!$FG$2:$FG$400),0)),"/")</f>
        <v>342</v>
      </c>
      <c r="AN43" s="63" cm="1">
        <f t="array" ref="AN43">IFERROR(INDEX('Offer Statistics'!FK$2:FK$400,MATCH(1,($A43='Offer Statistics'!$FF$2:$FF$400)*($AB$2='Offer Statistics'!$FG$2:$FG$400),0)),"/")</f>
        <v>357</v>
      </c>
      <c r="AO43" s="63" cm="1">
        <f t="array" ref="AO43">IFERROR(INDEX('Offer Statistics'!FL$2:FL$400,MATCH(1,($A43='Offer Statistics'!$FF$2:$FF$400)*($AB$2='Offer Statistics'!$FG$2:$FG$400),0)),"/")</f>
        <v>425</v>
      </c>
      <c r="AP43" s="4"/>
      <c r="AQ43" s="15" t="str">
        <f t="shared" si="3"/>
        <v>JSSV01</v>
      </c>
      <c r="AR43" s="4"/>
    </row>
    <row r="44" spans="1:44" ht="14.55" customHeight="1">
      <c r="A44" s="4" t="str">
        <f>'Reference Score Calculation'!B435</f>
        <v>JSSV02</v>
      </c>
      <c r="B44" s="4" t="str">
        <f>'Reference Score Calculation'!D435</f>
        <v>THEi</v>
      </c>
      <c r="C44" s="4" t="str">
        <f>'Reference Score Calculation'!E435</f>
        <v>產品設計（榮譽）文學士</v>
      </c>
      <c r="D44" s="4" t="str">
        <f>'Reference Score Calculation'!S435</f>
        <v>BA(PD)</v>
      </c>
      <c r="E44" s="15" t="str">
        <f>'Reference Score Calculation'!F435</f>
        <v>Best 5</v>
      </c>
      <c r="F44" s="6" t="str">
        <f>'Reference Score Calculation'!H435</f>
        <v>/</v>
      </c>
      <c r="G44" s="44">
        <f>'Reference Score Calculation'!I435</f>
        <v>15</v>
      </c>
      <c r="H44" s="6" t="str">
        <f>'Reference Score Calculation'!J435</f>
        <v>/</v>
      </c>
      <c r="I44" s="45">
        <f>計分版!J458</f>
        <v>3.2999999999999998E-9</v>
      </c>
      <c r="J44" s="25">
        <f t="shared" ref="J44:J53" si="14">IFERROR(I44-G44,"/")</f>
        <v>-14.9999999967</v>
      </c>
      <c r="K44" s="26">
        <f t="shared" ref="K44:K53" si="15">IFERROR((I44-G44)/I44,"/")</f>
        <v>-4545454544.454546</v>
      </c>
      <c r="L44" s="36">
        <f>'Reference Score Calculation'!U435</f>
        <v>10</v>
      </c>
      <c r="M44" s="84">
        <f>入學要求!Z444</f>
        <v>0</v>
      </c>
      <c r="N44" s="544"/>
      <c r="O44" s="15">
        <v>3</v>
      </c>
      <c r="P44" s="15">
        <v>3</v>
      </c>
      <c r="Q44" s="15">
        <v>2</v>
      </c>
      <c r="R44" s="15">
        <v>2</v>
      </c>
      <c r="S44" s="15">
        <v>2</v>
      </c>
      <c r="T44" s="15"/>
      <c r="U44" s="255">
        <f>入學要求!S444</f>
        <v>0</v>
      </c>
      <c r="V44" s="255">
        <f>入學要求!T444</f>
        <v>0</v>
      </c>
      <c r="W44" s="255">
        <f>入學要求!U444</f>
        <v>0</v>
      </c>
      <c r="X44" s="255">
        <f>入學要求!V444</f>
        <v>0</v>
      </c>
      <c r="Y44" s="255">
        <f>入學要求!W444</f>
        <v>0</v>
      </c>
      <c r="Z44" s="255">
        <f>入學要求!X444</f>
        <v>0</v>
      </c>
      <c r="AA44" s="36">
        <f t="shared" si="2"/>
        <v>15.2</v>
      </c>
      <c r="AB44" s="537"/>
      <c r="AC44" s="36" cm="1">
        <f t="array" ref="AC44">IFERROR(INDEX('Offer Statistics'!FU$2:FU$400,MATCH(1,($A44='Offer Statistics'!$FF$2:$FF$400)*($AB$2='Offer Statistics'!$FG$2:$FG$400),0)),"/")</f>
        <v>17</v>
      </c>
      <c r="AD44" s="63" cm="1">
        <f t="array" ref="AD44">IFERROR(INDEX('Offer Statistics'!FP$2:FP$400,MATCH(1,($A44='Offer Statistics'!$FF$2:$FF$400)*($AB$2='Offer Statistics'!$FG$2:$FG$400),0)),"/")</f>
        <v>10</v>
      </c>
      <c r="AE44" s="63" cm="1">
        <f t="array" ref="AE44">IFERROR(INDEX('Offer Statistics'!FQ$2:FQ$400,MATCH(1,($A44='Offer Statistics'!$FF$2:$FF$400)*($AB$2='Offer Statistics'!$FG$2:$FG$400),0)),"/")</f>
        <v>2</v>
      </c>
      <c r="AF44" s="63" cm="1">
        <f t="array" ref="AF44">IFERROR(INDEX('Offer Statistics'!FR$2:FR$400,MATCH(1,($A44='Offer Statistics'!$FF$2:$FF$400)*($AB$2='Offer Statistics'!$FG$2:$FG$400),0)),"/")</f>
        <v>1</v>
      </c>
      <c r="AG44" s="63" cm="1">
        <f t="array" ref="AG44">IFERROR(INDEX('Offer Statistics'!FS$2:FS$400,MATCH(1,($A44='Offer Statistics'!$FF$2:$FF$400)*($AB$2='Offer Statistics'!$FG$2:$FG$400),0)),"/")</f>
        <v>1</v>
      </c>
      <c r="AH44" s="63" cm="1">
        <f t="array" ref="AH44">IFERROR(INDEX('Offer Statistics'!FT$2:FT$400,MATCH(1,($A44='Offer Statistics'!$FF$2:$FF$400)*($AB$2='Offer Statistics'!$FG$2:$FG$400),0)),"/")</f>
        <v>3</v>
      </c>
      <c r="AI44" s="552"/>
      <c r="AJ44" s="36" cm="1">
        <f t="array" ref="AJ44">IFERROR(INDEX('Offer Statistics'!FM$2:FM$400,MATCH(1,($A44='Offer Statistics'!$FF$2:$FF$400)*($AB$2='Offer Statistics'!$FG$2:$FG$400),0)),"/")</f>
        <v>1486</v>
      </c>
      <c r="AK44" s="63" cm="1">
        <f t="array" ref="AK44">IFERROR(INDEX('Offer Statistics'!FH$2:FH$400,MATCH(1,($A44='Offer Statistics'!$FF$2:$FF$400)*($AB$2='Offer Statistics'!$FG$2:$FG$400),0)),"/")</f>
        <v>152</v>
      </c>
      <c r="AL44" s="63" cm="1">
        <f t="array" ref="AL44">IFERROR(INDEX('Offer Statistics'!FI$2:FI$400,MATCH(1,($A44='Offer Statistics'!$FF$2:$FF$400)*($AB$2='Offer Statistics'!$FG$2:$FG$400),0)),"/")</f>
        <v>232</v>
      </c>
      <c r="AM44" s="63" cm="1">
        <f t="array" ref="AM44">IFERROR(INDEX('Offer Statistics'!FJ$2:FJ$400,MATCH(1,($A44='Offer Statistics'!$FF$2:$FF$400)*($AB$2='Offer Statistics'!$FG$2:$FG$400),0)),"/")</f>
        <v>278</v>
      </c>
      <c r="AN44" s="63" cm="1">
        <f t="array" ref="AN44">IFERROR(INDEX('Offer Statistics'!FK$2:FK$400,MATCH(1,($A44='Offer Statistics'!$FF$2:$FF$400)*($AB$2='Offer Statistics'!$FG$2:$FG$400),0)),"/")</f>
        <v>375</v>
      </c>
      <c r="AO44" s="63" cm="1">
        <f t="array" ref="AO44">IFERROR(INDEX('Offer Statistics'!FL$2:FL$400,MATCH(1,($A44='Offer Statistics'!$FF$2:$FF$400)*($AB$2='Offer Statistics'!$FG$2:$FG$400),0)),"/")</f>
        <v>449</v>
      </c>
      <c r="AP44" s="4"/>
      <c r="AQ44" s="15" t="str">
        <f t="shared" si="3"/>
        <v>JSSV02</v>
      </c>
      <c r="AR44" s="4"/>
    </row>
    <row r="45" spans="1:44" ht="14.55" customHeight="1">
      <c r="A45" s="4" t="str">
        <f>'Reference Score Calculation'!B436</f>
        <v>JSSV03</v>
      </c>
      <c r="B45" s="4" t="str">
        <f>'Reference Score Calculation'!D436</f>
        <v>THEi</v>
      </c>
      <c r="C45" s="4" t="str">
        <f>'Reference Score Calculation'!E436</f>
        <v>園境建築（榮譽）文學士</v>
      </c>
      <c r="D45" s="4" t="str">
        <f>'Reference Score Calculation'!S436</f>
        <v>BA(LA)</v>
      </c>
      <c r="E45" s="15" t="str">
        <f>'Reference Score Calculation'!F436</f>
        <v>Best 5</v>
      </c>
      <c r="F45" s="6" t="str">
        <f>'Reference Score Calculation'!H436</f>
        <v>/</v>
      </c>
      <c r="G45" s="44">
        <f>'Reference Score Calculation'!I436</f>
        <v>16</v>
      </c>
      <c r="H45" s="6" t="str">
        <f>'Reference Score Calculation'!J436</f>
        <v>/</v>
      </c>
      <c r="I45" s="45">
        <f>計分版!J459</f>
        <v>3.2999999999999998E-9</v>
      </c>
      <c r="J45" s="25">
        <f t="shared" si="14"/>
        <v>-15.9999999967</v>
      </c>
      <c r="K45" s="26">
        <f t="shared" si="15"/>
        <v>-4848484847.484849</v>
      </c>
      <c r="L45" s="36">
        <f>'Reference Score Calculation'!U436</f>
        <v>15</v>
      </c>
      <c r="M45" s="84">
        <f>入學要求!Z445</f>
        <v>0</v>
      </c>
      <c r="N45" s="544"/>
      <c r="O45" s="15">
        <v>3</v>
      </c>
      <c r="P45" s="15">
        <v>3</v>
      </c>
      <c r="Q45" s="15">
        <v>2</v>
      </c>
      <c r="R45" s="15">
        <v>2</v>
      </c>
      <c r="S45" s="15">
        <v>2</v>
      </c>
      <c r="T45" s="15"/>
      <c r="U45" s="255">
        <f>入學要求!S445</f>
        <v>0</v>
      </c>
      <c r="V45" s="255">
        <f>入學要求!T445</f>
        <v>0</v>
      </c>
      <c r="W45" s="255">
        <f>入學要求!U445</f>
        <v>0</v>
      </c>
      <c r="X45" s="255">
        <f>入學要求!V445</f>
        <v>0</v>
      </c>
      <c r="Y45" s="255">
        <f>入學要求!W445</f>
        <v>0</v>
      </c>
      <c r="Z45" s="255">
        <f>入學要求!X445</f>
        <v>0</v>
      </c>
      <c r="AA45" s="36">
        <f t="shared" si="2"/>
        <v>8.3800000000000008</v>
      </c>
      <c r="AB45" s="537"/>
      <c r="AC45" s="36" cm="1">
        <f t="array" ref="AC45">IFERROR(INDEX('Offer Statistics'!FU$2:FU$400,MATCH(1,($A45='Offer Statistics'!$FF$2:$FF$400)*($AB$2='Offer Statistics'!$FG$2:$FG$400),0)),"/")</f>
        <v>15</v>
      </c>
      <c r="AD45" s="63" cm="1">
        <f t="array" ref="AD45">IFERROR(INDEX('Offer Statistics'!FP$2:FP$400,MATCH(1,($A45='Offer Statistics'!$FF$2:$FF$400)*($AB$2='Offer Statistics'!$FG$2:$FG$400),0)),"/")</f>
        <v>8</v>
      </c>
      <c r="AE45" s="63" cm="1">
        <f t="array" ref="AE45">IFERROR(INDEX('Offer Statistics'!FQ$2:FQ$400,MATCH(1,($A45='Offer Statistics'!$FF$2:$FF$400)*($AB$2='Offer Statistics'!$FG$2:$FG$400),0)),"/")</f>
        <v>1</v>
      </c>
      <c r="AF45" s="63" cm="1">
        <f t="array" ref="AF45">IFERROR(INDEX('Offer Statistics'!FR$2:FR$400,MATCH(1,($A45='Offer Statistics'!$FF$2:$FF$400)*($AB$2='Offer Statistics'!$FG$2:$FG$400),0)),"/")</f>
        <v>1</v>
      </c>
      <c r="AG45" s="63" cm="1">
        <f t="array" ref="AG45">IFERROR(INDEX('Offer Statistics'!FS$2:FS$400,MATCH(1,($A45='Offer Statistics'!$FF$2:$FF$400)*($AB$2='Offer Statistics'!$FG$2:$FG$400),0)),"/")</f>
        <v>2</v>
      </c>
      <c r="AH45" s="63" cm="1">
        <f t="array" ref="AH45">IFERROR(INDEX('Offer Statistics'!FT$2:FT$400,MATCH(1,($A45='Offer Statistics'!$FF$2:$FF$400)*($AB$2='Offer Statistics'!$FG$2:$FG$400),0)),"/")</f>
        <v>3</v>
      </c>
      <c r="AI45" s="552"/>
      <c r="AJ45" s="36" cm="1">
        <f t="array" ref="AJ45">IFERROR(INDEX('Offer Statistics'!FM$2:FM$400,MATCH(1,($A45='Offer Statistics'!$FF$2:$FF$400)*($AB$2='Offer Statistics'!$FG$2:$FG$400),0)),"/")</f>
        <v>739</v>
      </c>
      <c r="AK45" s="63" cm="1">
        <f t="array" ref="AK45">IFERROR(INDEX('Offer Statistics'!FH$2:FH$400,MATCH(1,($A45='Offer Statistics'!$FF$2:$FF$400)*($AB$2='Offer Statistics'!$FG$2:$FG$400),0)),"/")</f>
        <v>67</v>
      </c>
      <c r="AL45" s="63" cm="1">
        <f t="array" ref="AL45">IFERROR(INDEX('Offer Statistics'!FI$2:FI$400,MATCH(1,($A45='Offer Statistics'!$FF$2:$FF$400)*($AB$2='Offer Statistics'!$FG$2:$FG$400),0)),"/")</f>
        <v>105</v>
      </c>
      <c r="AM45" s="63" cm="1">
        <f t="array" ref="AM45">IFERROR(INDEX('Offer Statistics'!FJ$2:FJ$400,MATCH(1,($A45='Offer Statistics'!$FF$2:$FF$400)*($AB$2='Offer Statistics'!$FG$2:$FG$400),0)),"/")</f>
        <v>139</v>
      </c>
      <c r="AN45" s="63" cm="1">
        <f t="array" ref="AN45">IFERROR(INDEX('Offer Statistics'!FK$2:FK$400,MATCH(1,($A45='Offer Statistics'!$FF$2:$FF$400)*($AB$2='Offer Statistics'!$FG$2:$FG$400),0)),"/")</f>
        <v>186</v>
      </c>
      <c r="AO45" s="63" cm="1">
        <f t="array" ref="AO45">IFERROR(INDEX('Offer Statistics'!FL$2:FL$400,MATCH(1,($A45='Offer Statistics'!$FF$2:$FF$400)*($AB$2='Offer Statistics'!$FG$2:$FG$400),0)),"/")</f>
        <v>242</v>
      </c>
      <c r="AP45" s="4"/>
      <c r="AQ45" s="15" t="str">
        <f t="shared" si="3"/>
        <v>JSSV03</v>
      </c>
      <c r="AR45" s="4"/>
    </row>
    <row r="46" spans="1:44" ht="14.55" customHeight="1">
      <c r="A46" s="4" t="str">
        <f>'Reference Score Calculation'!B437</f>
        <v>JSSV04</v>
      </c>
      <c r="B46" s="4" t="str">
        <f>'Reference Score Calculation'!D437</f>
        <v>THEi</v>
      </c>
      <c r="C46" s="4" t="str">
        <f>'Reference Score Calculation'!E437</f>
        <v>廚藝及管理（榮譽）文學士</v>
      </c>
      <c r="D46" s="4" t="str">
        <f>'Reference Score Calculation'!S437</f>
        <v>BA(CAM)</v>
      </c>
      <c r="E46" s="15" t="str">
        <f>'Reference Score Calculation'!F437</f>
        <v>Best 5</v>
      </c>
      <c r="F46" s="6" t="str">
        <f>'Reference Score Calculation'!H437</f>
        <v>/</v>
      </c>
      <c r="G46" s="44">
        <f>'Reference Score Calculation'!I437</f>
        <v>16</v>
      </c>
      <c r="H46" s="6" t="str">
        <f>'Reference Score Calculation'!J437</f>
        <v>/</v>
      </c>
      <c r="I46" s="45">
        <f>計分版!J460</f>
        <v>3.2999999999999998E-9</v>
      </c>
      <c r="J46" s="25">
        <f t="shared" si="14"/>
        <v>-15.9999999967</v>
      </c>
      <c r="K46" s="26">
        <f t="shared" si="15"/>
        <v>-4848484847.484849</v>
      </c>
      <c r="L46" s="36">
        <f>'Reference Score Calculation'!U437</f>
        <v>10</v>
      </c>
      <c r="M46" s="84">
        <f>入學要求!Z446</f>
        <v>0</v>
      </c>
      <c r="N46" s="544"/>
      <c r="O46" s="15">
        <v>3</v>
      </c>
      <c r="P46" s="15">
        <v>3</v>
      </c>
      <c r="Q46" s="15">
        <v>2</v>
      </c>
      <c r="R46" s="15">
        <v>2</v>
      </c>
      <c r="S46" s="15">
        <v>2</v>
      </c>
      <c r="T46" s="15"/>
      <c r="U46" s="255">
        <f>入學要求!S446</f>
        <v>0</v>
      </c>
      <c r="V46" s="255">
        <f>入學要求!T446</f>
        <v>0</v>
      </c>
      <c r="W46" s="255">
        <f>入學要求!U446</f>
        <v>0</v>
      </c>
      <c r="X46" s="255">
        <f>入學要求!V446</f>
        <v>0</v>
      </c>
      <c r="Y46" s="255">
        <f>入學要求!W446</f>
        <v>0</v>
      </c>
      <c r="Z46" s="255">
        <f>入學要求!X446</f>
        <v>0</v>
      </c>
      <c r="AA46" s="36">
        <f t="shared" si="2"/>
        <v>18.170000000000002</v>
      </c>
      <c r="AB46" s="537"/>
      <c r="AC46" s="36" cm="1">
        <f t="array" ref="AC46">IFERROR(INDEX('Offer Statistics'!FU$2:FU$400,MATCH(1,($A46='Offer Statistics'!$FF$2:$FF$400)*($AB$2='Offer Statistics'!$FG$2:$FG$400),0)),"/")</f>
        <v>24</v>
      </c>
      <c r="AD46" s="63" cm="1">
        <f t="array" ref="AD46">IFERROR(INDEX('Offer Statistics'!FP$2:FP$400,MATCH(1,($A46='Offer Statistics'!$FF$2:$FF$400)*($AB$2='Offer Statistics'!$FG$2:$FG$400),0)),"/")</f>
        <v>12</v>
      </c>
      <c r="AE46" s="63" cm="1">
        <f t="array" ref="AE46">IFERROR(INDEX('Offer Statistics'!FQ$2:FQ$400,MATCH(1,($A46='Offer Statistics'!$FF$2:$FF$400)*($AB$2='Offer Statistics'!$FG$2:$FG$400),0)),"/")</f>
        <v>1</v>
      </c>
      <c r="AF46" s="63" cm="1">
        <f t="array" ref="AF46">IFERROR(INDEX('Offer Statistics'!FR$2:FR$400,MATCH(1,($A46='Offer Statistics'!$FF$2:$FF$400)*($AB$2='Offer Statistics'!$FG$2:$FG$400),0)),"/")</f>
        <v>5</v>
      </c>
      <c r="AG46" s="63" cm="1">
        <f t="array" ref="AG46">IFERROR(INDEX('Offer Statistics'!FS$2:FS$400,MATCH(1,($A46='Offer Statistics'!$FF$2:$FF$400)*($AB$2='Offer Statistics'!$FG$2:$FG$400),0)),"/")</f>
        <v>3</v>
      </c>
      <c r="AH46" s="63" cm="1">
        <f t="array" ref="AH46">IFERROR(INDEX('Offer Statistics'!FT$2:FT$400,MATCH(1,($A46='Offer Statistics'!$FF$2:$FF$400)*($AB$2='Offer Statistics'!$FG$2:$FG$400),0)),"/")</f>
        <v>3</v>
      </c>
      <c r="AI46" s="552"/>
      <c r="AJ46" s="36" cm="1">
        <f t="array" ref="AJ46">IFERROR(INDEX('Offer Statistics'!FM$2:FM$400,MATCH(1,($A46='Offer Statistics'!$FF$2:$FF$400)*($AB$2='Offer Statistics'!$FG$2:$FG$400),0)),"/")</f>
        <v>1359</v>
      </c>
      <c r="AK46" s="63" cm="1">
        <f t="array" ref="AK46">IFERROR(INDEX('Offer Statistics'!FH$2:FH$400,MATCH(1,($A46='Offer Statistics'!$FF$2:$FF$400)*($AB$2='Offer Statistics'!$FG$2:$FG$400),0)),"/")</f>
        <v>218</v>
      </c>
      <c r="AL46" s="63" cm="1">
        <f t="array" ref="AL46">IFERROR(INDEX('Offer Statistics'!FI$2:FI$400,MATCH(1,($A46='Offer Statistics'!$FF$2:$FF$400)*($AB$2='Offer Statistics'!$FG$2:$FG$400),0)),"/")</f>
        <v>178</v>
      </c>
      <c r="AM46" s="63" cm="1">
        <f t="array" ref="AM46">IFERROR(INDEX('Offer Statistics'!FJ$2:FJ$400,MATCH(1,($A46='Offer Statistics'!$FF$2:$FF$400)*($AB$2='Offer Statistics'!$FG$2:$FG$400),0)),"/")</f>
        <v>244</v>
      </c>
      <c r="AN46" s="63" cm="1">
        <f t="array" ref="AN46">IFERROR(INDEX('Offer Statistics'!FK$2:FK$400,MATCH(1,($A46='Offer Statistics'!$FF$2:$FF$400)*($AB$2='Offer Statistics'!$FG$2:$FG$400),0)),"/")</f>
        <v>302</v>
      </c>
      <c r="AO46" s="63" cm="1">
        <f t="array" ref="AO46">IFERROR(INDEX('Offer Statistics'!FL$2:FL$400,MATCH(1,($A46='Offer Statistics'!$FF$2:$FF$400)*($AB$2='Offer Statistics'!$FG$2:$FG$400),0)),"/")</f>
        <v>417</v>
      </c>
      <c r="AP46" s="4"/>
      <c r="AQ46" s="15" t="str">
        <f t="shared" si="3"/>
        <v>JSSV04</v>
      </c>
      <c r="AR46" s="4"/>
    </row>
    <row r="47" spans="1:44" ht="14.55" customHeight="1">
      <c r="A47" s="4" t="str">
        <f>'Reference Score Calculation'!B438</f>
        <v>JSSV05</v>
      </c>
      <c r="B47" s="4" t="str">
        <f>'Reference Score Calculation'!D438</f>
        <v>THEi</v>
      </c>
      <c r="C47" s="4" t="str">
        <f>'Reference Score Calculation'!E438</f>
        <v>土木工程（榮譽）工學士</v>
      </c>
      <c r="D47" s="4" t="str">
        <f>'Reference Score Calculation'!S438</f>
        <v>BEng(CE)</v>
      </c>
      <c r="E47" s="15" t="str">
        <f>'Reference Score Calculation'!F438</f>
        <v>Best 5</v>
      </c>
      <c r="F47" s="6" t="str">
        <f>'Reference Score Calculation'!H438</f>
        <v>/</v>
      </c>
      <c r="G47" s="44">
        <f>'Reference Score Calculation'!I438</f>
        <v>16</v>
      </c>
      <c r="H47" s="6" t="str">
        <f>'Reference Score Calculation'!J438</f>
        <v>/</v>
      </c>
      <c r="I47" s="45">
        <f>計分版!J461</f>
        <v>3.4999999999999999E-9</v>
      </c>
      <c r="J47" s="25">
        <f t="shared" si="14"/>
        <v>-15.9999999965</v>
      </c>
      <c r="K47" s="26">
        <f t="shared" si="15"/>
        <v>-4571428570.4285717</v>
      </c>
      <c r="L47" s="36">
        <f>'Reference Score Calculation'!U438</f>
        <v>20</v>
      </c>
      <c r="M47" s="84">
        <f>入學要求!Z447</f>
        <v>0</v>
      </c>
      <c r="N47" s="544"/>
      <c r="O47" s="15">
        <v>3</v>
      </c>
      <c r="P47" s="15">
        <v>3</v>
      </c>
      <c r="Q47" s="15">
        <v>2</v>
      </c>
      <c r="R47" s="15">
        <v>2</v>
      </c>
      <c r="S47" s="15">
        <v>2</v>
      </c>
      <c r="T47" s="15"/>
      <c r="U47" s="255">
        <f>入學要求!S447</f>
        <v>0</v>
      </c>
      <c r="V47" s="255">
        <f>入學要求!T447</f>
        <v>0</v>
      </c>
      <c r="W47" s="255">
        <f>入學要求!U447</f>
        <v>0</v>
      </c>
      <c r="X47" s="255">
        <f>入學要求!V447</f>
        <v>0</v>
      </c>
      <c r="Y47" s="255">
        <f>入學要求!W447</f>
        <v>0</v>
      </c>
      <c r="Z47" s="255">
        <f>入學要求!X447</f>
        <v>0</v>
      </c>
      <c r="AA47" s="36">
        <f t="shared" si="2"/>
        <v>22.4</v>
      </c>
      <c r="AB47" s="537"/>
      <c r="AC47" s="36" cm="1">
        <f t="array" ref="AC47">IFERROR(INDEX('Offer Statistics'!FU$2:FU$400,MATCH(1,($A47='Offer Statistics'!$FF$2:$FF$400)*($AB$2='Offer Statistics'!$FG$2:$FG$400),0)),"/")</f>
        <v>26</v>
      </c>
      <c r="AD47" s="63" cm="1">
        <f t="array" ref="AD47">IFERROR(INDEX('Offer Statistics'!FP$2:FP$400,MATCH(1,($A47='Offer Statistics'!$FF$2:$FF$400)*($AB$2='Offer Statistics'!$FG$2:$FG$400),0)),"/")</f>
        <v>5</v>
      </c>
      <c r="AE47" s="63" cm="1">
        <f t="array" ref="AE47">IFERROR(INDEX('Offer Statistics'!FQ$2:FQ$400,MATCH(1,($A47='Offer Statistics'!$FF$2:$FF$400)*($AB$2='Offer Statistics'!$FG$2:$FG$400),0)),"/")</f>
        <v>6</v>
      </c>
      <c r="AF47" s="63" cm="1">
        <f t="array" ref="AF47">IFERROR(INDEX('Offer Statistics'!FR$2:FR$400,MATCH(1,($A47='Offer Statistics'!$FF$2:$FF$400)*($AB$2='Offer Statistics'!$FG$2:$FG$400),0)),"/")</f>
        <v>3</v>
      </c>
      <c r="AG47" s="63" cm="1">
        <f t="array" ref="AG47">IFERROR(INDEX('Offer Statistics'!FS$2:FS$400,MATCH(1,($A47='Offer Statistics'!$FF$2:$FF$400)*($AB$2='Offer Statistics'!$FG$2:$FG$400),0)),"/")</f>
        <v>5</v>
      </c>
      <c r="AH47" s="63" cm="1">
        <f t="array" ref="AH47">IFERROR(INDEX('Offer Statistics'!FT$2:FT$400,MATCH(1,($A47='Offer Statistics'!$FF$2:$FF$400)*($AB$2='Offer Statistics'!$FG$2:$FG$400),0)),"/")</f>
        <v>7</v>
      </c>
      <c r="AI47" s="552"/>
      <c r="AJ47" s="36" cm="1">
        <f t="array" ref="AJ47">IFERROR(INDEX('Offer Statistics'!FM$2:FM$400,MATCH(1,($A47='Offer Statistics'!$FF$2:$FF$400)*($AB$2='Offer Statistics'!$FG$2:$FG$400),0)),"/")</f>
        <v>1100</v>
      </c>
      <c r="AK47" s="63" cm="1">
        <f t="array" ref="AK47">IFERROR(INDEX('Offer Statistics'!FH$2:FH$400,MATCH(1,($A47='Offer Statistics'!$FF$2:$FF$400)*($AB$2='Offer Statistics'!$FG$2:$FG$400),0)),"/")</f>
        <v>112</v>
      </c>
      <c r="AL47" s="63" cm="1">
        <f t="array" ref="AL47">IFERROR(INDEX('Offer Statistics'!FI$2:FI$400,MATCH(1,($A47='Offer Statistics'!$FF$2:$FF$400)*($AB$2='Offer Statistics'!$FG$2:$FG$400),0)),"/")</f>
        <v>168</v>
      </c>
      <c r="AM47" s="63" cm="1">
        <f t="array" ref="AM47">IFERROR(INDEX('Offer Statistics'!FJ$2:FJ$400,MATCH(1,($A47='Offer Statistics'!$FF$2:$FF$400)*($AB$2='Offer Statistics'!$FG$2:$FG$400),0)),"/")</f>
        <v>213</v>
      </c>
      <c r="AN47" s="63" cm="1">
        <f t="array" ref="AN47">IFERROR(INDEX('Offer Statistics'!FK$2:FK$400,MATCH(1,($A47='Offer Statistics'!$FF$2:$FF$400)*($AB$2='Offer Statistics'!$FG$2:$FG$400),0)),"/")</f>
        <v>245</v>
      </c>
      <c r="AO47" s="63" cm="1">
        <f t="array" ref="AO47">IFERROR(INDEX('Offer Statistics'!FL$2:FL$400,MATCH(1,($A47='Offer Statistics'!$FF$2:$FF$400)*($AB$2='Offer Statistics'!$FG$2:$FG$400),0)),"/")</f>
        <v>362</v>
      </c>
      <c r="AP47" s="4"/>
      <c r="AQ47" s="15" t="str">
        <f t="shared" si="3"/>
        <v>JSSV05</v>
      </c>
      <c r="AR47" s="4"/>
    </row>
    <row r="48" spans="1:44" ht="14.55" customHeight="1">
      <c r="A48" s="4" t="str">
        <f>'Reference Score Calculation'!B439</f>
        <v>JSSV07</v>
      </c>
      <c r="B48" s="4" t="str">
        <f>'Reference Score Calculation'!D439</f>
        <v>THEi</v>
      </c>
      <c r="C48" s="4" t="str">
        <f>'Reference Score Calculation'!E439</f>
        <v>園藝樹藝及園境管理（榮譽）理學士</v>
      </c>
      <c r="D48" s="4" t="str">
        <f>'Reference Score Calculation'!S439</f>
        <v>BSc(HALM)</v>
      </c>
      <c r="E48" s="15" t="str">
        <f>'Reference Score Calculation'!F439</f>
        <v>Best 5</v>
      </c>
      <c r="F48" s="6" t="str">
        <f>'Reference Score Calculation'!H439</f>
        <v>/</v>
      </c>
      <c r="G48" s="44">
        <f>'Reference Score Calculation'!I439</f>
        <v>15</v>
      </c>
      <c r="H48" s="6" t="str">
        <f>'Reference Score Calculation'!J439</f>
        <v>/</v>
      </c>
      <c r="I48" s="45">
        <f>計分版!J462</f>
        <v>3.2999999999999998E-9</v>
      </c>
      <c r="J48" s="25">
        <f t="shared" si="14"/>
        <v>-14.9999999967</v>
      </c>
      <c r="K48" s="26">
        <f t="shared" si="15"/>
        <v>-4545454544.454546</v>
      </c>
      <c r="L48" s="36">
        <f>'Reference Score Calculation'!U439</f>
        <v>15</v>
      </c>
      <c r="M48" s="84">
        <f>入學要求!Z448</f>
        <v>0</v>
      </c>
      <c r="N48" s="544"/>
      <c r="O48" s="15">
        <v>3</v>
      </c>
      <c r="P48" s="15">
        <v>3</v>
      </c>
      <c r="Q48" s="15">
        <v>2</v>
      </c>
      <c r="R48" s="15">
        <v>2</v>
      </c>
      <c r="S48" s="15">
        <v>2</v>
      </c>
      <c r="T48" s="15"/>
      <c r="U48" s="255">
        <f>入學要求!S448</f>
        <v>0</v>
      </c>
      <c r="V48" s="255">
        <f>入學要求!T448</f>
        <v>0</v>
      </c>
      <c r="W48" s="255">
        <f>入學要求!U448</f>
        <v>0</v>
      </c>
      <c r="X48" s="255">
        <f>入學要求!V448</f>
        <v>0</v>
      </c>
      <c r="Y48" s="255">
        <f>入學要求!W448</f>
        <v>0</v>
      </c>
      <c r="Z48" s="255">
        <f>入學要求!X448</f>
        <v>0</v>
      </c>
      <c r="AA48" s="36">
        <f t="shared" si="2"/>
        <v>9.57</v>
      </c>
      <c r="AB48" s="537"/>
      <c r="AC48" s="36" cm="1">
        <f t="array" ref="AC48">IFERROR(INDEX('Offer Statistics'!FU$2:FU$400,MATCH(1,($A48='Offer Statistics'!$FF$2:$FF$400)*($AB$2='Offer Statistics'!$FG$2:$FG$400),0)),"/")</f>
        <v>12</v>
      </c>
      <c r="AD48" s="63" cm="1">
        <f t="array" ref="AD48">IFERROR(INDEX('Offer Statistics'!FP$2:FP$400,MATCH(1,($A48='Offer Statistics'!$FF$2:$FF$400)*($AB$2='Offer Statistics'!$FG$2:$FG$400),0)),"/")</f>
        <v>7</v>
      </c>
      <c r="AE48" s="63" cm="1">
        <f t="array" ref="AE48">IFERROR(INDEX('Offer Statistics'!FQ$2:FQ$400,MATCH(1,($A48='Offer Statistics'!$FF$2:$FF$400)*($AB$2='Offer Statistics'!$FG$2:$FG$400),0)),"/")</f>
        <v>1</v>
      </c>
      <c r="AF48" s="63" cm="1">
        <f t="array" ref="AF48">IFERROR(INDEX('Offer Statistics'!FR$2:FR$400,MATCH(1,($A48='Offer Statistics'!$FF$2:$FF$400)*($AB$2='Offer Statistics'!$FG$2:$FG$400),0)),"/")</f>
        <v>2</v>
      </c>
      <c r="AG48" s="63" cm="1">
        <f t="array" ref="AG48">IFERROR(INDEX('Offer Statistics'!FS$2:FS$400,MATCH(1,($A48='Offer Statistics'!$FF$2:$FF$400)*($AB$2='Offer Statistics'!$FG$2:$FG$400),0)),"/")</f>
        <v>1</v>
      </c>
      <c r="AH48" s="63" cm="1">
        <f t="array" ref="AH48">IFERROR(INDEX('Offer Statistics'!FT$2:FT$400,MATCH(1,($A48='Offer Statistics'!$FF$2:$FF$400)*($AB$2='Offer Statistics'!$FG$2:$FG$400),0)),"/")</f>
        <v>1</v>
      </c>
      <c r="AI48" s="552"/>
      <c r="AJ48" s="36" cm="1">
        <f t="array" ref="AJ48">IFERROR(INDEX('Offer Statistics'!FM$2:FM$400,MATCH(1,($A48='Offer Statistics'!$FF$2:$FF$400)*($AB$2='Offer Statistics'!$FG$2:$FG$400),0)),"/")</f>
        <v>797</v>
      </c>
      <c r="AK48" s="63" cm="1">
        <f t="array" ref="AK48">IFERROR(INDEX('Offer Statistics'!FH$2:FH$400,MATCH(1,($A48='Offer Statistics'!$FF$2:$FF$400)*($AB$2='Offer Statistics'!$FG$2:$FG$400),0)),"/")</f>
        <v>67</v>
      </c>
      <c r="AL48" s="63" cm="1">
        <f t="array" ref="AL48">IFERROR(INDEX('Offer Statistics'!FI$2:FI$400,MATCH(1,($A48='Offer Statistics'!$FF$2:$FF$400)*($AB$2='Offer Statistics'!$FG$2:$FG$400),0)),"/")</f>
        <v>96</v>
      </c>
      <c r="AM48" s="63" cm="1">
        <f t="array" ref="AM48">IFERROR(INDEX('Offer Statistics'!FJ$2:FJ$400,MATCH(1,($A48='Offer Statistics'!$FF$2:$FF$400)*($AB$2='Offer Statistics'!$FG$2:$FG$400),0)),"/")</f>
        <v>150</v>
      </c>
      <c r="AN48" s="63" cm="1">
        <f t="array" ref="AN48">IFERROR(INDEX('Offer Statistics'!FK$2:FK$400,MATCH(1,($A48='Offer Statistics'!$FF$2:$FF$400)*($AB$2='Offer Statistics'!$FG$2:$FG$400),0)),"/")</f>
        <v>210</v>
      </c>
      <c r="AO48" s="63" cm="1">
        <f t="array" ref="AO48">IFERROR(INDEX('Offer Statistics'!FL$2:FL$400,MATCH(1,($A48='Offer Statistics'!$FF$2:$FF$400)*($AB$2='Offer Statistics'!$FG$2:$FG$400),0)),"/")</f>
        <v>274</v>
      </c>
      <c r="AP48" s="4"/>
      <c r="AQ48" s="15" t="str">
        <f t="shared" si="3"/>
        <v>JSSV07</v>
      </c>
      <c r="AR48" s="4"/>
    </row>
    <row r="49" spans="1:45" ht="14.55" customHeight="1">
      <c r="A49" s="4" t="str">
        <f>'Reference Score Calculation'!B440</f>
        <v>JSSV08</v>
      </c>
      <c r="B49" s="4" t="str">
        <f>'Reference Score Calculation'!D440</f>
        <v>THEi</v>
      </c>
      <c r="C49" s="4" t="str">
        <f>'Reference Score Calculation'!E440</f>
        <v>測量學（榮譽）理學士</v>
      </c>
      <c r="D49" s="4" t="str">
        <f>'Reference Score Calculation'!S440</f>
        <v>BSc(SUR)</v>
      </c>
      <c r="E49" s="15" t="str">
        <f>'Reference Score Calculation'!F440</f>
        <v>Best 5</v>
      </c>
      <c r="F49" s="6" t="str">
        <f>'Reference Score Calculation'!H440</f>
        <v>/</v>
      </c>
      <c r="G49" s="44">
        <f>'Reference Score Calculation'!I440</f>
        <v>16</v>
      </c>
      <c r="H49" s="6" t="str">
        <f>'Reference Score Calculation'!J440</f>
        <v>/</v>
      </c>
      <c r="I49" s="45">
        <f>計分版!J463</f>
        <v>3.2999999999999998E-9</v>
      </c>
      <c r="J49" s="25">
        <f t="shared" si="14"/>
        <v>-15.9999999967</v>
      </c>
      <c r="K49" s="26">
        <f t="shared" si="15"/>
        <v>-4848484847.484849</v>
      </c>
      <c r="L49" s="36">
        <f>'Reference Score Calculation'!U440</f>
        <v>15</v>
      </c>
      <c r="M49" s="84">
        <f>入學要求!Z449</f>
        <v>0</v>
      </c>
      <c r="N49" s="544"/>
      <c r="O49" s="15">
        <v>3</v>
      </c>
      <c r="P49" s="15">
        <v>3</v>
      </c>
      <c r="Q49" s="15">
        <v>2</v>
      </c>
      <c r="R49" s="15">
        <v>2</v>
      </c>
      <c r="S49" s="15">
        <v>2</v>
      </c>
      <c r="T49" s="15"/>
      <c r="U49" s="255">
        <f>入學要求!S449</f>
        <v>0</v>
      </c>
      <c r="V49" s="255">
        <f>入學要求!T449</f>
        <v>0</v>
      </c>
      <c r="W49" s="255">
        <f>入學要求!U449</f>
        <v>0</v>
      </c>
      <c r="X49" s="255">
        <f>入學要求!V449</f>
        <v>0</v>
      </c>
      <c r="Y49" s="255">
        <f>入學要求!W449</f>
        <v>0</v>
      </c>
      <c r="Z49" s="255">
        <f>入學要求!X449</f>
        <v>0</v>
      </c>
      <c r="AA49" s="36">
        <f t="shared" si="2"/>
        <v>5.13</v>
      </c>
      <c r="AB49" s="537"/>
      <c r="AC49" s="36" cm="1">
        <f t="array" ref="AC49">IFERROR(INDEX('Offer Statistics'!FU$2:FU$400,MATCH(1,($A49='Offer Statistics'!$FF$2:$FF$400)*($AB$2='Offer Statistics'!$FG$2:$FG$400),0)),"/")</f>
        <v>26</v>
      </c>
      <c r="AD49" s="63" cm="1">
        <f t="array" ref="AD49">IFERROR(INDEX('Offer Statistics'!FP$2:FP$400,MATCH(1,($A49='Offer Statistics'!$FF$2:$FF$400)*($AB$2='Offer Statistics'!$FG$2:$FG$400),0)),"/")</f>
        <v>16</v>
      </c>
      <c r="AE49" s="63" cm="1">
        <f t="array" ref="AE49">IFERROR(INDEX('Offer Statistics'!FQ$2:FQ$400,MATCH(1,($A49='Offer Statistics'!$FF$2:$FF$400)*($AB$2='Offer Statistics'!$FG$2:$FG$400),0)),"/")</f>
        <v>5</v>
      </c>
      <c r="AF49" s="63" cm="1">
        <f t="array" ref="AF49">IFERROR(INDEX('Offer Statistics'!FR$2:FR$400,MATCH(1,($A49='Offer Statistics'!$FF$2:$FF$400)*($AB$2='Offer Statistics'!$FG$2:$FG$400),0)),"/")</f>
        <v>3</v>
      </c>
      <c r="AG49" s="63" cm="1">
        <f t="array" ref="AG49">IFERROR(INDEX('Offer Statistics'!FS$2:FS$400,MATCH(1,($A49='Offer Statistics'!$FF$2:$FF$400)*($AB$2='Offer Statistics'!$FG$2:$FG$400),0)),"/")</f>
        <v>1</v>
      </c>
      <c r="AH49" s="63" cm="1">
        <f t="array" ref="AH49">IFERROR(INDEX('Offer Statistics'!FT$2:FT$400,MATCH(1,($A49='Offer Statistics'!$FF$2:$FF$400)*($AB$2='Offer Statistics'!$FG$2:$FG$400),0)),"/")</f>
        <v>1</v>
      </c>
      <c r="AI49" s="552"/>
      <c r="AJ49" s="36" cm="1">
        <f t="array" ref="AJ49">IFERROR(INDEX('Offer Statistics'!FM$2:FM$400,MATCH(1,($A49='Offer Statistics'!$FF$2:$FF$400)*($AB$2='Offer Statistics'!$FG$2:$FG$400),0)),"/")</f>
        <v>757</v>
      </c>
      <c r="AK49" s="63" cm="1">
        <f t="array" ref="AK49">IFERROR(INDEX('Offer Statistics'!FH$2:FH$400,MATCH(1,($A49='Offer Statistics'!$FF$2:$FF$400)*($AB$2='Offer Statistics'!$FG$2:$FG$400),0)),"/")</f>
        <v>82</v>
      </c>
      <c r="AL49" s="63" cm="1">
        <f t="array" ref="AL49">IFERROR(INDEX('Offer Statistics'!FI$2:FI$400,MATCH(1,($A49='Offer Statistics'!$FF$2:$FF$400)*($AB$2='Offer Statistics'!$FG$2:$FG$400),0)),"/")</f>
        <v>124</v>
      </c>
      <c r="AM49" s="63" cm="1">
        <f t="array" ref="AM49">IFERROR(INDEX('Offer Statistics'!FJ$2:FJ$400,MATCH(1,($A49='Offer Statistics'!$FF$2:$FF$400)*($AB$2='Offer Statistics'!$FG$2:$FG$400),0)),"/")</f>
        <v>134</v>
      </c>
      <c r="AN49" s="63" cm="1">
        <f t="array" ref="AN49">IFERROR(INDEX('Offer Statistics'!FK$2:FK$400,MATCH(1,($A49='Offer Statistics'!$FF$2:$FF$400)*($AB$2='Offer Statistics'!$FG$2:$FG$400),0)),"/")</f>
        <v>174</v>
      </c>
      <c r="AO49" s="63" cm="1">
        <f t="array" ref="AO49">IFERROR(INDEX('Offer Statistics'!FL$2:FL$400,MATCH(1,($A49='Offer Statistics'!$FF$2:$FF$400)*($AB$2='Offer Statistics'!$FG$2:$FG$400),0)),"/")</f>
        <v>243</v>
      </c>
      <c r="AP49" s="4"/>
      <c r="AQ49" s="15" t="str">
        <f t="shared" si="3"/>
        <v>JSSV08</v>
      </c>
      <c r="AR49" s="4"/>
    </row>
    <row r="50" spans="1:45" ht="14.55" customHeight="1">
      <c r="A50" s="4" t="str">
        <f>'Reference Score Calculation'!B441</f>
        <v>JSSV09</v>
      </c>
      <c r="B50" s="4" t="str">
        <f>'Reference Score Calculation'!D441</f>
        <v>THEi</v>
      </c>
      <c r="C50" s="4" t="str">
        <f>'Reference Score Calculation'!E441</f>
        <v>運動及康樂管理（榮譽）社會科學學士</v>
      </c>
      <c r="D50" s="4" t="str">
        <f>'Reference Score Calculation'!S441</f>
        <v>BSocSc(SRM)</v>
      </c>
      <c r="E50" s="15" t="str">
        <f>'Reference Score Calculation'!F441</f>
        <v>Best 5</v>
      </c>
      <c r="F50" s="6" t="str">
        <f>'Reference Score Calculation'!H441</f>
        <v>/</v>
      </c>
      <c r="G50" s="44">
        <f>'Reference Score Calculation'!I441</f>
        <v>15</v>
      </c>
      <c r="H50" s="6" t="str">
        <f>'Reference Score Calculation'!J441</f>
        <v>/</v>
      </c>
      <c r="I50" s="45">
        <f>計分版!J464</f>
        <v>3.2999999999999998E-9</v>
      </c>
      <c r="J50" s="25">
        <f t="shared" si="14"/>
        <v>-14.9999999967</v>
      </c>
      <c r="K50" s="26">
        <f t="shared" si="15"/>
        <v>-4545454544.454546</v>
      </c>
      <c r="L50" s="36">
        <f>'Reference Score Calculation'!U441</f>
        <v>20</v>
      </c>
      <c r="M50" s="84">
        <f>入學要求!Z450</f>
        <v>0</v>
      </c>
      <c r="N50" s="544"/>
      <c r="O50" s="15">
        <v>3</v>
      </c>
      <c r="P50" s="15">
        <v>3</v>
      </c>
      <c r="Q50" s="15">
        <v>2</v>
      </c>
      <c r="R50" s="15">
        <v>2</v>
      </c>
      <c r="S50" s="15">
        <v>2</v>
      </c>
      <c r="T50" s="15"/>
      <c r="U50" s="255">
        <f>入學要求!S450</f>
        <v>0</v>
      </c>
      <c r="V50" s="255">
        <f>入學要求!T450</f>
        <v>0</v>
      </c>
      <c r="W50" s="255">
        <f>入學要求!U450</f>
        <v>0</v>
      </c>
      <c r="X50" s="255">
        <f>入學要求!V450</f>
        <v>0</v>
      </c>
      <c r="Y50" s="255">
        <f>入學要求!W450</f>
        <v>0</v>
      </c>
      <c r="Z50" s="255">
        <f>入學要求!X450</f>
        <v>0</v>
      </c>
      <c r="AA50" s="36">
        <f t="shared" si="2"/>
        <v>7.85</v>
      </c>
      <c r="AB50" s="537"/>
      <c r="AC50" s="36" cm="1">
        <f t="array" ref="AC50">IFERROR(INDEX('Offer Statistics'!FU$2:FU$400,MATCH(1,($A50='Offer Statistics'!$FF$2:$FF$400)*($AB$2='Offer Statistics'!$FG$2:$FG$400),0)),"/")</f>
        <v>63</v>
      </c>
      <c r="AD50" s="63" cm="1">
        <f t="array" ref="AD50">IFERROR(INDEX('Offer Statistics'!FP$2:FP$400,MATCH(1,($A50='Offer Statistics'!$FF$2:$FF$400)*($AB$2='Offer Statistics'!$FG$2:$FG$400),0)),"/")</f>
        <v>34</v>
      </c>
      <c r="AE50" s="63" cm="1">
        <f t="array" ref="AE50">IFERROR(INDEX('Offer Statistics'!FQ$2:FQ$400,MATCH(1,($A50='Offer Statistics'!$FF$2:$FF$400)*($AB$2='Offer Statistics'!$FG$2:$FG$400),0)),"/")</f>
        <v>16</v>
      </c>
      <c r="AF50" s="63" cm="1">
        <f t="array" ref="AF50">IFERROR(INDEX('Offer Statistics'!FR$2:FR$400,MATCH(1,($A50='Offer Statistics'!$FF$2:$FF$400)*($AB$2='Offer Statistics'!$FG$2:$FG$400),0)),"/")</f>
        <v>8</v>
      </c>
      <c r="AG50" s="63" cm="1">
        <f t="array" ref="AG50">IFERROR(INDEX('Offer Statistics'!FS$2:FS$400,MATCH(1,($A50='Offer Statistics'!$FF$2:$FF$400)*($AB$2='Offer Statistics'!$FG$2:$FG$400),0)),"/")</f>
        <v>4</v>
      </c>
      <c r="AH50" s="63" cm="1">
        <f t="array" ref="AH50">IFERROR(INDEX('Offer Statistics'!FT$2:FT$400,MATCH(1,($A50='Offer Statistics'!$FF$2:$FF$400)*($AB$2='Offer Statistics'!$FG$2:$FG$400),0)),"/")</f>
        <v>1</v>
      </c>
      <c r="AI50" s="552"/>
      <c r="AJ50" s="36" cm="1">
        <f t="array" ref="AJ50">IFERROR(INDEX('Offer Statistics'!FM$2:FM$400,MATCH(1,($A50='Offer Statistics'!$FF$2:$FF$400)*($AB$2='Offer Statistics'!$FG$2:$FG$400),0)),"/")</f>
        <v>1507</v>
      </c>
      <c r="AK50" s="63" cm="1">
        <f t="array" ref="AK50">IFERROR(INDEX('Offer Statistics'!FH$2:FH$400,MATCH(1,($A50='Offer Statistics'!$FF$2:$FF$400)*($AB$2='Offer Statistics'!$FG$2:$FG$400),0)),"/")</f>
        <v>267</v>
      </c>
      <c r="AL50" s="63" cm="1">
        <f t="array" ref="AL50">IFERROR(INDEX('Offer Statistics'!FI$2:FI$400,MATCH(1,($A50='Offer Statistics'!$FF$2:$FF$400)*($AB$2='Offer Statistics'!$FG$2:$FG$400),0)),"/")</f>
        <v>286</v>
      </c>
      <c r="AM50" s="63" cm="1">
        <f t="array" ref="AM50">IFERROR(INDEX('Offer Statistics'!FJ$2:FJ$400,MATCH(1,($A50='Offer Statistics'!$FF$2:$FF$400)*($AB$2='Offer Statistics'!$FG$2:$FG$400),0)),"/")</f>
        <v>312</v>
      </c>
      <c r="AN50" s="63" cm="1">
        <f t="array" ref="AN50">IFERROR(INDEX('Offer Statistics'!FK$2:FK$400,MATCH(1,($A50='Offer Statistics'!$FF$2:$FF$400)*($AB$2='Offer Statistics'!$FG$2:$FG$400),0)),"/")</f>
        <v>267</v>
      </c>
      <c r="AO50" s="63" cm="1">
        <f t="array" ref="AO50">IFERROR(INDEX('Offer Statistics'!FL$2:FL$400,MATCH(1,($A50='Offer Statistics'!$FF$2:$FF$400)*($AB$2='Offer Statistics'!$FG$2:$FG$400),0)),"/")</f>
        <v>375</v>
      </c>
      <c r="AP50" s="4"/>
      <c r="AQ50" s="15" t="str">
        <f t="shared" si="3"/>
        <v>JSSV09</v>
      </c>
      <c r="AR50" s="4"/>
    </row>
    <row r="51" spans="1:45" ht="14.55" customHeight="1">
      <c r="A51" s="4" t="str">
        <f>'Reference Score Calculation'!B442</f>
        <v>JSSV10</v>
      </c>
      <c r="B51" s="4" t="str">
        <f>'Reference Score Calculation'!D442</f>
        <v>THEi</v>
      </c>
      <c r="C51" s="4" t="str">
        <f>'Reference Score Calculation'!E442</f>
        <v>屋宇設備工程（榮譽）工學士</v>
      </c>
      <c r="D51" s="4" t="str">
        <f>'Reference Score Calculation'!S442</f>
        <v>BEng(BSE)</v>
      </c>
      <c r="E51" s="15" t="str">
        <f>'Reference Score Calculation'!F442</f>
        <v>Best 5</v>
      </c>
      <c r="F51" s="6" t="str">
        <f>'Reference Score Calculation'!H442</f>
        <v>/</v>
      </c>
      <c r="G51" s="44">
        <f>'Reference Score Calculation'!I442</f>
        <v>15</v>
      </c>
      <c r="H51" s="6" t="str">
        <f>'Reference Score Calculation'!J442</f>
        <v>/</v>
      </c>
      <c r="I51" s="45">
        <f>計分版!J465</f>
        <v>3.4999999999999999E-9</v>
      </c>
      <c r="J51" s="25">
        <f t="shared" si="14"/>
        <v>-14.9999999965</v>
      </c>
      <c r="K51" s="26">
        <f t="shared" si="15"/>
        <v>-4285714284.7142859</v>
      </c>
      <c r="L51" s="36">
        <f>'Reference Score Calculation'!U442</f>
        <v>10</v>
      </c>
      <c r="M51" s="84">
        <f>入學要求!Z451</f>
        <v>0</v>
      </c>
      <c r="N51" s="544"/>
      <c r="O51" s="15">
        <v>3</v>
      </c>
      <c r="P51" s="15">
        <v>3</v>
      </c>
      <c r="Q51" s="15">
        <v>2</v>
      </c>
      <c r="R51" s="15">
        <v>2</v>
      </c>
      <c r="S51" s="15">
        <v>2</v>
      </c>
      <c r="T51" s="15"/>
      <c r="U51" s="255">
        <f>入學要求!S451</f>
        <v>0</v>
      </c>
      <c r="V51" s="255">
        <f>入學要求!T451</f>
        <v>0</v>
      </c>
      <c r="W51" s="255">
        <f>入學要求!U451</f>
        <v>0</v>
      </c>
      <c r="X51" s="255">
        <f>入學要求!V451</f>
        <v>0</v>
      </c>
      <c r="Y51" s="255">
        <f>入學要求!W451</f>
        <v>0</v>
      </c>
      <c r="Z51" s="255">
        <f>入學要求!X451</f>
        <v>0</v>
      </c>
      <c r="AA51" s="36">
        <f t="shared" si="2"/>
        <v>16.670000000000002</v>
      </c>
      <c r="AB51" s="537"/>
      <c r="AC51" s="36" cm="1">
        <f t="array" ref="AC51">IFERROR(INDEX('Offer Statistics'!FU$2:FU$400,MATCH(1,($A51='Offer Statistics'!$FF$2:$FF$400)*($AB$2='Offer Statistics'!$FG$2:$FG$400),0)),"/")</f>
        <v>5</v>
      </c>
      <c r="AD51" s="63" cm="1">
        <f t="array" ref="AD51">IFERROR(INDEX('Offer Statistics'!FP$2:FP$400,MATCH(1,($A51='Offer Statistics'!$FF$2:$FF$400)*($AB$2='Offer Statistics'!$FG$2:$FG$400),0)),"/")</f>
        <v>3</v>
      </c>
      <c r="AE51" s="63" cm="1">
        <f t="array" ref="AE51">IFERROR(INDEX('Offer Statistics'!FQ$2:FQ$400,MATCH(1,($A51='Offer Statistics'!$FF$2:$FF$400)*($AB$2='Offer Statistics'!$FG$2:$FG$400),0)),"/")</f>
        <v>1</v>
      </c>
      <c r="AF51" s="63" cm="1">
        <f t="array" ref="AF51">IFERROR(INDEX('Offer Statistics'!FR$2:FR$400,MATCH(1,($A51='Offer Statistics'!$FF$2:$FF$400)*($AB$2='Offer Statistics'!$FG$2:$FG$400),0)),"/")</f>
        <v>0</v>
      </c>
      <c r="AG51" s="63" cm="1">
        <f t="array" ref="AG51">IFERROR(INDEX('Offer Statistics'!FS$2:FS$400,MATCH(1,($A51='Offer Statistics'!$FF$2:$FF$400)*($AB$2='Offer Statistics'!$FG$2:$FG$400),0)),"/")</f>
        <v>0</v>
      </c>
      <c r="AH51" s="63" cm="1">
        <f t="array" ref="AH51">IFERROR(INDEX('Offer Statistics'!FT$2:FT$400,MATCH(1,($A51='Offer Statistics'!$FF$2:$FF$400)*($AB$2='Offer Statistics'!$FG$2:$FG$400),0)),"/")</f>
        <v>1</v>
      </c>
      <c r="AI51" s="552"/>
      <c r="AJ51" s="36" cm="1">
        <f t="array" ref="AJ51">IFERROR(INDEX('Offer Statistics'!FM$2:FM$400,MATCH(1,($A51='Offer Statistics'!$FF$2:$FF$400)*($AB$2='Offer Statistics'!$FG$2:$FG$400),0)),"/")</f>
        <v>600</v>
      </c>
      <c r="AK51" s="63" cm="1">
        <f t="array" ref="AK51">IFERROR(INDEX('Offer Statistics'!FH$2:FH$400,MATCH(1,($A51='Offer Statistics'!$FF$2:$FF$400)*($AB$2='Offer Statistics'!$FG$2:$FG$400),0)),"/")</f>
        <v>50</v>
      </c>
      <c r="AL51" s="63" cm="1">
        <f t="array" ref="AL51">IFERROR(INDEX('Offer Statistics'!FI$2:FI$400,MATCH(1,($A51='Offer Statistics'!$FF$2:$FF$400)*($AB$2='Offer Statistics'!$FG$2:$FG$400),0)),"/")</f>
        <v>75</v>
      </c>
      <c r="AM51" s="63" cm="1">
        <f t="array" ref="AM51">IFERROR(INDEX('Offer Statistics'!FJ$2:FJ$400,MATCH(1,($A51='Offer Statistics'!$FF$2:$FF$400)*($AB$2='Offer Statistics'!$FG$2:$FG$400),0)),"/")</f>
        <v>120</v>
      </c>
      <c r="AN51" s="63" cm="1">
        <f t="array" ref="AN51">IFERROR(INDEX('Offer Statistics'!FK$2:FK$400,MATCH(1,($A51='Offer Statistics'!$FF$2:$FF$400)*($AB$2='Offer Statistics'!$FG$2:$FG$400),0)),"/")</f>
        <v>149</v>
      </c>
      <c r="AO51" s="63" cm="1">
        <f t="array" ref="AO51">IFERROR(INDEX('Offer Statistics'!FL$2:FL$400,MATCH(1,($A51='Offer Statistics'!$FF$2:$FF$400)*($AB$2='Offer Statistics'!$FG$2:$FG$400),0)),"/")</f>
        <v>206</v>
      </c>
      <c r="AP51" s="4"/>
      <c r="AQ51" s="15" t="str">
        <f t="shared" si="3"/>
        <v>JSSV10</v>
      </c>
      <c r="AR51" s="4"/>
    </row>
    <row r="52" spans="1:45" ht="14.55" customHeight="1">
      <c r="A52" s="4" t="str">
        <f>'Reference Score Calculation'!B443</f>
        <v>JSSV13</v>
      </c>
      <c r="B52" s="4" t="str">
        <f>'Reference Score Calculation'!D443</f>
        <v>THEi</v>
      </c>
      <c r="C52" s="4" t="str">
        <f>'Reference Score Calculation'!E443</f>
        <v>運動教練(榮譽)社會科學學士</v>
      </c>
      <c r="D52" s="4" t="str">
        <f>'Reference Score Calculation'!S443</f>
        <v>BSocSc(SC)</v>
      </c>
      <c r="E52" s="15" t="str">
        <f>'Reference Score Calculation'!F443</f>
        <v>25年新科目</v>
      </c>
      <c r="F52" s="6" t="str">
        <f>'Reference Score Calculation'!H443</f>
        <v>/</v>
      </c>
      <c r="G52" s="44" t="str">
        <f>'Reference Score Calculation'!I443</f>
        <v>/</v>
      </c>
      <c r="H52" s="6" t="str">
        <f>'Reference Score Calculation'!J443</f>
        <v>/</v>
      </c>
      <c r="I52" s="45">
        <f>計分版!J466</f>
        <v>3.2999999999999998E-9</v>
      </c>
      <c r="J52" s="7" t="str">
        <f t="shared" ref="J52" si="16">IFERROR(I52-G52,"/")</f>
        <v>/</v>
      </c>
      <c r="K52" s="8" t="str">
        <f t="shared" ref="K52" si="17">IFERROR((I52-G52)/I52,"/")</f>
        <v>/</v>
      </c>
      <c r="L52" s="36">
        <f>'Reference Score Calculation'!U443</f>
        <v>10</v>
      </c>
      <c r="M52" s="84">
        <f>入學要求!Z452</f>
        <v>0</v>
      </c>
      <c r="N52" s="544"/>
      <c r="O52" s="15">
        <v>3</v>
      </c>
      <c r="P52" s="15">
        <v>3</v>
      </c>
      <c r="Q52" s="15">
        <v>2</v>
      </c>
      <c r="R52" s="15">
        <v>2</v>
      </c>
      <c r="S52" s="15">
        <v>2</v>
      </c>
      <c r="T52" s="15"/>
      <c r="U52" s="255">
        <f>入學要求!S452</f>
        <v>0</v>
      </c>
      <c r="V52" s="255">
        <f>入學要求!T452</f>
        <v>0</v>
      </c>
      <c r="W52" s="255">
        <f>入學要求!U452</f>
        <v>0</v>
      </c>
      <c r="X52" s="255">
        <f>入學要求!V452</f>
        <v>0</v>
      </c>
      <c r="Y52" s="255">
        <f>入學要求!W452</f>
        <v>0</v>
      </c>
      <c r="Z52" s="255">
        <f>入學要求!X452</f>
        <v>0</v>
      </c>
      <c r="AA52" s="36" t="str">
        <f t="shared" ref="AA52" si="18">IFERROR(ROUND(AK52/AD52,2),"/")</f>
        <v>/</v>
      </c>
      <c r="AB52" s="537"/>
      <c r="AC52" s="36" t="str" cm="1">
        <f t="array" ref="AC52">IFERROR(INDEX('Offer Statistics'!FU$2:FU$400,MATCH(1,($A52='Offer Statistics'!$FF$2:$FF$400)*($AB$2='Offer Statistics'!$FG$2:$FG$400),0)),"/")</f>
        <v>/</v>
      </c>
      <c r="AD52" s="63" t="str" cm="1">
        <f t="array" ref="AD52">IFERROR(INDEX('Offer Statistics'!FP$2:FP$400,MATCH(1,($A52='Offer Statistics'!$FF$2:$FF$400)*($AB$2='Offer Statistics'!$FG$2:$FG$400),0)),"/")</f>
        <v>/</v>
      </c>
      <c r="AE52" s="63" t="str" cm="1">
        <f t="array" ref="AE52">IFERROR(INDEX('Offer Statistics'!FQ$2:FQ$400,MATCH(1,($A52='Offer Statistics'!$FF$2:$FF$400)*($AB$2='Offer Statistics'!$FG$2:$FG$400),0)),"/")</f>
        <v>/</v>
      </c>
      <c r="AF52" s="63" t="str" cm="1">
        <f t="array" ref="AF52">IFERROR(INDEX('Offer Statistics'!FR$2:FR$400,MATCH(1,($A52='Offer Statistics'!$FF$2:$FF$400)*($AB$2='Offer Statistics'!$FG$2:$FG$400),0)),"/")</f>
        <v>/</v>
      </c>
      <c r="AG52" s="63" t="str" cm="1">
        <f t="array" ref="AG52">IFERROR(INDEX('Offer Statistics'!FS$2:FS$400,MATCH(1,($A52='Offer Statistics'!$FF$2:$FF$400)*($AB$2='Offer Statistics'!$FG$2:$FG$400),0)),"/")</f>
        <v>/</v>
      </c>
      <c r="AH52" s="63" t="str" cm="1">
        <f t="array" ref="AH52">IFERROR(INDEX('Offer Statistics'!FT$2:FT$400,MATCH(1,($A52='Offer Statistics'!$FF$2:$FF$400)*($AB$2='Offer Statistics'!$FG$2:$FG$400),0)),"/")</f>
        <v>/</v>
      </c>
      <c r="AI52" s="552"/>
      <c r="AJ52" s="36" t="str" cm="1">
        <f t="array" ref="AJ52">IFERROR(INDEX('Offer Statistics'!FM$2:FM$400,MATCH(1,($A52='Offer Statistics'!$FF$2:$FF$400)*($AB$2='Offer Statistics'!$FG$2:$FG$400),0)),"/")</f>
        <v>/</v>
      </c>
      <c r="AK52" s="63" t="str" cm="1">
        <f t="array" ref="AK52">IFERROR(INDEX('Offer Statistics'!FH$2:FH$400,MATCH(1,($A52='Offer Statistics'!$FF$2:$FF$400)*($AB$2='Offer Statistics'!$FG$2:$FG$400),0)),"/")</f>
        <v>/</v>
      </c>
      <c r="AL52" s="63" t="str" cm="1">
        <f t="array" ref="AL52">IFERROR(INDEX('Offer Statistics'!FI$2:FI$400,MATCH(1,($A52='Offer Statistics'!$FF$2:$FF$400)*($AB$2='Offer Statistics'!$FG$2:$FG$400),0)),"/")</f>
        <v>/</v>
      </c>
      <c r="AM52" s="63" t="str" cm="1">
        <f t="array" ref="AM52">IFERROR(INDEX('Offer Statistics'!FJ$2:FJ$400,MATCH(1,($A52='Offer Statistics'!$FF$2:$FF$400)*($AB$2='Offer Statistics'!$FG$2:$FG$400),0)),"/")</f>
        <v>/</v>
      </c>
      <c r="AN52" s="63" t="str" cm="1">
        <f t="array" ref="AN52">IFERROR(INDEX('Offer Statistics'!FK$2:FK$400,MATCH(1,($A52='Offer Statistics'!$FF$2:$FF$400)*($AB$2='Offer Statistics'!$FG$2:$FG$400),0)),"/")</f>
        <v>/</v>
      </c>
      <c r="AO52" s="63" t="str" cm="1">
        <f t="array" ref="AO52">IFERROR(INDEX('Offer Statistics'!FL$2:FL$400,MATCH(1,($A52='Offer Statistics'!$FF$2:$FF$400)*($AB$2='Offer Statistics'!$FG$2:$FG$400),0)),"/")</f>
        <v>/</v>
      </c>
      <c r="AP52" s="4"/>
      <c r="AQ52" s="15" t="str">
        <f t="shared" ref="AQ52" si="19">A52</f>
        <v>JSSV13</v>
      </c>
      <c r="AR52" s="4"/>
    </row>
    <row r="53" spans="1:45" ht="14.55" customHeight="1">
      <c r="A53" s="4" t="str">
        <f>'Reference Score Calculation'!B444</f>
        <v>JSSW01</v>
      </c>
      <c r="B53" s="4" t="str">
        <f>'Reference Score Calculation'!D444</f>
        <v>伍倫貢學院</v>
      </c>
      <c r="C53" s="4" t="str">
        <f>'Reference Score Calculation'!E444</f>
        <v>營運及管理（榮譽）航空學士</v>
      </c>
      <c r="D53" s="4" t="str">
        <f>'Reference Score Calculation'!S444</f>
        <v>BAvOM</v>
      </c>
      <c r="E53" s="15" t="str">
        <f>'Reference Score Calculation'!F444</f>
        <v>Best 5</v>
      </c>
      <c r="F53" s="6" t="str">
        <f>'Reference Score Calculation'!H444</f>
        <v>/</v>
      </c>
      <c r="G53" s="44">
        <f>'Reference Score Calculation'!I444</f>
        <v>14.3</v>
      </c>
      <c r="H53" s="6" t="str">
        <f>'Reference Score Calculation'!J444</f>
        <v>/</v>
      </c>
      <c r="I53" s="45">
        <f>計分版!J467</f>
        <v>3.2999999999999998E-9</v>
      </c>
      <c r="J53" s="25">
        <f t="shared" si="14"/>
        <v>-14.2999999967</v>
      </c>
      <c r="K53" s="26">
        <f t="shared" si="15"/>
        <v>-4333333332.333334</v>
      </c>
      <c r="L53" s="36">
        <f>'Reference Score Calculation'!U444</f>
        <v>15</v>
      </c>
      <c r="M53" s="84">
        <f>入學要求!Z453</f>
        <v>0</v>
      </c>
      <c r="N53" s="544"/>
      <c r="O53" s="15">
        <v>3</v>
      </c>
      <c r="P53" s="15">
        <v>3</v>
      </c>
      <c r="Q53" s="15">
        <v>2</v>
      </c>
      <c r="R53" s="15">
        <v>2</v>
      </c>
      <c r="S53" s="15">
        <v>2</v>
      </c>
      <c r="T53" s="15"/>
      <c r="U53" s="255">
        <f>入學要求!S453</f>
        <v>0</v>
      </c>
      <c r="V53" s="255">
        <f>入學要求!T453</f>
        <v>0</v>
      </c>
      <c r="W53" s="255">
        <f>入學要求!U453</f>
        <v>0</v>
      </c>
      <c r="X53" s="255">
        <f>入學要求!V453</f>
        <v>0</v>
      </c>
      <c r="Y53" s="255">
        <f>入學要求!W453</f>
        <v>0</v>
      </c>
      <c r="Z53" s="255">
        <f>入學要求!X453</f>
        <v>0</v>
      </c>
      <c r="AA53" s="36">
        <f t="shared" si="2"/>
        <v>9.17</v>
      </c>
      <c r="AB53" s="537"/>
      <c r="AC53" s="36" cm="1">
        <f t="array" ref="AC53">IFERROR(INDEX('Offer Statistics'!FU$2:FU$400,MATCH(1,($A53='Offer Statistics'!$FF$2:$FF$400)*($AB$2='Offer Statistics'!$FG$2:$FG$400),0)),"/")</f>
        <v>31</v>
      </c>
      <c r="AD53" s="63" cm="1">
        <f t="array" ref="AD53">IFERROR(INDEX('Offer Statistics'!FP$2:FP$400,MATCH(1,($A53='Offer Statistics'!$FF$2:$FF$400)*($AB$2='Offer Statistics'!$FG$2:$FG$400),0)),"/")</f>
        <v>18</v>
      </c>
      <c r="AE53" s="63" cm="1">
        <f t="array" ref="AE53">IFERROR(INDEX('Offer Statistics'!FQ$2:FQ$400,MATCH(1,($A53='Offer Statistics'!$FF$2:$FF$400)*($AB$2='Offer Statistics'!$FG$2:$FG$400),0)),"/")</f>
        <v>8</v>
      </c>
      <c r="AF53" s="63" cm="1">
        <f t="array" ref="AF53">IFERROR(INDEX('Offer Statistics'!FR$2:FR$400,MATCH(1,($A53='Offer Statistics'!$FF$2:$FF$400)*($AB$2='Offer Statistics'!$FG$2:$FG$400),0)),"/")</f>
        <v>1</v>
      </c>
      <c r="AG53" s="63" cm="1">
        <f t="array" ref="AG53">IFERROR(INDEX('Offer Statistics'!FS$2:FS$400,MATCH(1,($A53='Offer Statistics'!$FF$2:$FF$400)*($AB$2='Offer Statistics'!$FG$2:$FG$400),0)),"/")</f>
        <v>4</v>
      </c>
      <c r="AH53" s="63" cm="1">
        <f t="array" ref="AH53">IFERROR(INDEX('Offer Statistics'!FT$2:FT$400,MATCH(1,($A53='Offer Statistics'!$FF$2:$FF$400)*($AB$2='Offer Statistics'!$FG$2:$FG$400),0)),"/")</f>
        <v>0</v>
      </c>
      <c r="AI53" s="552"/>
      <c r="AJ53" s="36" cm="1">
        <f t="array" ref="AJ53">IFERROR(INDEX('Offer Statistics'!FM$2:FM$400,MATCH(1,($A53='Offer Statistics'!$FF$2:$FF$400)*($AB$2='Offer Statistics'!$FG$2:$FG$400),0)),"/")</f>
        <v>1156</v>
      </c>
      <c r="AK53" s="63" cm="1">
        <f t="array" ref="AK53">IFERROR(INDEX('Offer Statistics'!FH$2:FH$400,MATCH(1,($A53='Offer Statistics'!$FF$2:$FF$400)*($AB$2='Offer Statistics'!$FG$2:$FG$400),0)),"/")</f>
        <v>165</v>
      </c>
      <c r="AL53" s="63" cm="1">
        <f t="array" ref="AL53">IFERROR(INDEX('Offer Statistics'!FI$2:FI$400,MATCH(1,($A53='Offer Statistics'!$FF$2:$FF$400)*($AB$2='Offer Statistics'!$FG$2:$FG$400),0)),"/")</f>
        <v>200</v>
      </c>
      <c r="AM53" s="63" cm="1">
        <f t="array" ref="AM53">IFERROR(INDEX('Offer Statistics'!FJ$2:FJ$400,MATCH(1,($A53='Offer Statistics'!$FF$2:$FF$400)*($AB$2='Offer Statistics'!$FG$2:$FG$400),0)),"/")</f>
        <v>223</v>
      </c>
      <c r="AN53" s="63" cm="1">
        <f t="array" ref="AN53">IFERROR(INDEX('Offer Statistics'!FK$2:FK$400,MATCH(1,($A53='Offer Statistics'!$FF$2:$FF$400)*($AB$2='Offer Statistics'!$FG$2:$FG$400),0)),"/")</f>
        <v>230</v>
      </c>
      <c r="AO53" s="63" cm="1">
        <f t="array" ref="AO53">IFERROR(INDEX('Offer Statistics'!FL$2:FL$400,MATCH(1,($A53='Offer Statistics'!$FF$2:$FF$400)*($AB$2='Offer Statistics'!$FG$2:$FG$400),0)),"/")</f>
        <v>338</v>
      </c>
      <c r="AP53" s="4"/>
      <c r="AQ53" s="15" t="str">
        <f t="shared" si="3"/>
        <v>JSSW01</v>
      </c>
      <c r="AR53" s="4"/>
    </row>
    <row r="54" spans="1:45" ht="14.55" customHeight="1">
      <c r="A54" s="4" t="str">
        <f>'Reference Score Calculation'!B445</f>
        <v>JSSW02</v>
      </c>
      <c r="B54" s="4" t="str">
        <f>'Reference Score Calculation'!D445</f>
        <v>伍倫貢學院</v>
      </c>
      <c r="C54" s="4" t="str">
        <f>'Reference Score Calculation'!E445</f>
        <v>航運服務及營運管理學士（榮譽）</v>
      </c>
      <c r="D54" s="4" t="str">
        <f>'Reference Score Calculation'!S445</f>
        <v>BMSOM</v>
      </c>
      <c r="E54" s="15" t="str">
        <f>'Reference Score Calculation'!F445</f>
        <v>Best 5</v>
      </c>
      <c r="F54" s="6" t="str">
        <f>'Reference Score Calculation'!H445</f>
        <v>/</v>
      </c>
      <c r="G54" s="44">
        <f>'Reference Score Calculation'!I445</f>
        <v>14</v>
      </c>
      <c r="H54" s="6" t="str">
        <f>'Reference Score Calculation'!J445</f>
        <v>/</v>
      </c>
      <c r="I54" s="45">
        <f>計分版!J468</f>
        <v>3.2999999999999998E-9</v>
      </c>
      <c r="J54" s="25">
        <f>IFERROR(I54-G54,"/")</f>
        <v>-13.9999999967</v>
      </c>
      <c r="K54" s="26">
        <f>IFERROR((I54-G54)/I54,"/")</f>
        <v>-4242424241.4242425</v>
      </c>
      <c r="L54" s="36">
        <f>'Reference Score Calculation'!U445</f>
        <v>10</v>
      </c>
      <c r="M54" s="84">
        <f>入學要求!Z454</f>
        <v>0</v>
      </c>
      <c r="N54" s="544"/>
      <c r="O54" s="15">
        <v>3</v>
      </c>
      <c r="P54" s="15">
        <v>3</v>
      </c>
      <c r="Q54" s="15">
        <v>2</v>
      </c>
      <c r="R54" s="15">
        <v>2</v>
      </c>
      <c r="S54" s="15">
        <v>2</v>
      </c>
      <c r="T54" s="15"/>
      <c r="U54" s="255">
        <f>入學要求!S454</f>
        <v>0</v>
      </c>
      <c r="V54" s="255">
        <f>入學要求!T454</f>
        <v>0</v>
      </c>
      <c r="W54" s="255">
        <f>入學要求!U454</f>
        <v>0</v>
      </c>
      <c r="X54" s="255">
        <f>入學要求!V454</f>
        <v>0</v>
      </c>
      <c r="Y54" s="255">
        <f>入學要求!W454</f>
        <v>0</v>
      </c>
      <c r="Z54" s="255">
        <f>入學要求!X454</f>
        <v>0</v>
      </c>
      <c r="AA54" s="36">
        <f t="shared" si="2"/>
        <v>14.4</v>
      </c>
      <c r="AB54" s="537"/>
      <c r="AC54" s="36" cm="1">
        <f t="array" ref="AC54">IFERROR(INDEX('Offer Statistics'!FU$2:FU$400,MATCH(1,($A54='Offer Statistics'!$FF$2:$FF$400)*($AB$2='Offer Statistics'!$FG$2:$FG$400),0)),"/")</f>
        <v>8</v>
      </c>
      <c r="AD54" s="63" cm="1">
        <f t="array" ref="AD54">IFERROR(INDEX('Offer Statistics'!FP$2:FP$400,MATCH(1,($A54='Offer Statistics'!$FF$2:$FF$400)*($AB$2='Offer Statistics'!$FG$2:$FG$400),0)),"/")</f>
        <v>5</v>
      </c>
      <c r="AE54" s="63" cm="1">
        <f t="array" ref="AE54">IFERROR(INDEX('Offer Statistics'!FQ$2:FQ$400,MATCH(1,($A54='Offer Statistics'!$FF$2:$FF$400)*($AB$2='Offer Statistics'!$FG$2:$FG$400),0)),"/")</f>
        <v>0</v>
      </c>
      <c r="AF54" s="63" cm="1">
        <f t="array" ref="AF54">IFERROR(INDEX('Offer Statistics'!FR$2:FR$400,MATCH(1,($A54='Offer Statistics'!$FF$2:$FF$400)*($AB$2='Offer Statistics'!$FG$2:$FG$400),0)),"/")</f>
        <v>1</v>
      </c>
      <c r="AG54" s="63" cm="1">
        <f t="array" ref="AG54">IFERROR(INDEX('Offer Statistics'!FS$2:FS$400,MATCH(1,($A54='Offer Statistics'!$FF$2:$FF$400)*($AB$2='Offer Statistics'!$FG$2:$FG$400),0)),"/")</f>
        <v>2</v>
      </c>
      <c r="AH54" s="63" cm="1">
        <f t="array" ref="AH54">IFERROR(INDEX('Offer Statistics'!FT$2:FT$400,MATCH(1,($A54='Offer Statistics'!$FF$2:$FF$400)*($AB$2='Offer Statistics'!$FG$2:$FG$400),0)),"/")</f>
        <v>0</v>
      </c>
      <c r="AI54" s="552"/>
      <c r="AJ54" s="36" cm="1">
        <f t="array" ref="AJ54">IFERROR(INDEX('Offer Statistics'!FM$2:FM$400,MATCH(1,($A54='Offer Statistics'!$FF$2:$FF$400)*($AB$2='Offer Statistics'!$FG$2:$FG$400),0)),"/")</f>
        <v>587</v>
      </c>
      <c r="AK54" s="63" cm="1">
        <f t="array" ref="AK54">IFERROR(INDEX('Offer Statistics'!FH$2:FH$400,MATCH(1,($A54='Offer Statistics'!$FF$2:$FF$400)*($AB$2='Offer Statistics'!$FG$2:$FG$400),0)),"/")</f>
        <v>72</v>
      </c>
      <c r="AL54" s="63" cm="1">
        <f t="array" ref="AL54">IFERROR(INDEX('Offer Statistics'!FI$2:FI$400,MATCH(1,($A54='Offer Statistics'!$FF$2:$FF$400)*($AB$2='Offer Statistics'!$FG$2:$FG$400),0)),"/")</f>
        <v>70</v>
      </c>
      <c r="AM54" s="63" cm="1">
        <f t="array" ref="AM54">IFERROR(INDEX('Offer Statistics'!FJ$2:FJ$400,MATCH(1,($A54='Offer Statistics'!$FF$2:$FF$400)*($AB$2='Offer Statistics'!$FG$2:$FG$400),0)),"/")</f>
        <v>112</v>
      </c>
      <c r="AN54" s="63" cm="1">
        <f t="array" ref="AN54">IFERROR(INDEX('Offer Statistics'!FK$2:FK$400,MATCH(1,($A54='Offer Statistics'!$FF$2:$FF$400)*($AB$2='Offer Statistics'!$FG$2:$FG$400),0)),"/")</f>
        <v>126</v>
      </c>
      <c r="AO54" s="63" cm="1">
        <f t="array" ref="AO54">IFERROR(INDEX('Offer Statistics'!FL$2:FL$400,MATCH(1,($A54='Offer Statistics'!$FF$2:$FF$400)*($AB$2='Offer Statistics'!$FG$2:$FG$400),0)),"/")</f>
        <v>207</v>
      </c>
      <c r="AP54" s="4"/>
      <c r="AQ54" s="15" t="str">
        <f t="shared" si="3"/>
        <v>JSSW02</v>
      </c>
      <c r="AR54" s="4"/>
    </row>
    <row r="55" spans="1:45" ht="14.55" customHeight="1">
      <c r="A55" s="4" t="str">
        <f>'Reference Score Calculation'!B446</f>
        <v>JSSY01</v>
      </c>
      <c r="B55" s="4" t="str">
        <f>'Reference Score Calculation'!D446</f>
        <v>樹仁大學</v>
      </c>
      <c r="C55" s="4" t="str">
        <f>'Reference Score Calculation'!E446</f>
        <v>金融科技（榮譽）商學士</v>
      </c>
      <c r="D55" s="4" t="str">
        <f>'Reference Score Calculation'!S446</f>
        <v>BCom (Hons) FinTech</v>
      </c>
      <c r="E55" s="15" t="str">
        <f>'Reference Score Calculation'!F446</f>
        <v>Best 5</v>
      </c>
      <c r="F55" s="6" t="str">
        <f>'Reference Score Calculation'!H446</f>
        <v>/</v>
      </c>
      <c r="G55" s="44">
        <f>'Reference Score Calculation'!I446</f>
        <v>15.9</v>
      </c>
      <c r="H55" s="6" t="str">
        <f>'Reference Score Calculation'!J446</f>
        <v>/</v>
      </c>
      <c r="I55" s="45">
        <f>計分版!J469</f>
        <v>3.4999999999999999E-9</v>
      </c>
      <c r="J55" s="25">
        <f>IFERROR(I55-G55,"/")</f>
        <v>-15.8999999965</v>
      </c>
      <c r="K55" s="26">
        <f>IFERROR((I55-G55)/I55,"/")</f>
        <v>-4542857141.8571434</v>
      </c>
      <c r="L55" s="36">
        <f>'Reference Score Calculation'!U446</f>
        <v>25</v>
      </c>
      <c r="M55" s="84">
        <f>入學要求!Z455</f>
        <v>0</v>
      </c>
      <c r="N55" s="544"/>
      <c r="O55" s="15">
        <v>3</v>
      </c>
      <c r="P55" s="15">
        <v>3</v>
      </c>
      <c r="Q55" s="15">
        <v>2</v>
      </c>
      <c r="R55" s="15">
        <v>2</v>
      </c>
      <c r="S55" s="15">
        <v>2</v>
      </c>
      <c r="T55" s="15"/>
      <c r="U55" s="255">
        <f>入學要求!S455</f>
        <v>0</v>
      </c>
      <c r="V55" s="255">
        <f>入學要求!T455</f>
        <v>0</v>
      </c>
      <c r="W55" s="255">
        <f>入學要求!U455</f>
        <v>0</v>
      </c>
      <c r="X55" s="255">
        <f>入學要求!V455</f>
        <v>0</v>
      </c>
      <c r="Y55" s="255">
        <f>入學要求!W455</f>
        <v>0</v>
      </c>
      <c r="Z55" s="255">
        <f>入學要求!X455</f>
        <v>0</v>
      </c>
      <c r="AA55" s="36">
        <f t="shared" ref="AA55:AA56" si="20">IFERROR(ROUND(AK55/AD55,2),"/")</f>
        <v>6.42</v>
      </c>
      <c r="AB55" s="537"/>
      <c r="AC55" s="36" cm="1">
        <f t="array" ref="AC55">IFERROR(INDEX('Offer Statistics'!FU$2:FU$400,MATCH(1,($A55='Offer Statistics'!$FF$2:$FF$400)*($AB$2='Offer Statistics'!$FG$2:$FG$400),0)),"/")</f>
        <v>62</v>
      </c>
      <c r="AD55" s="63" cm="1">
        <f t="array" ref="AD55">IFERROR(INDEX('Offer Statistics'!FP$2:FP$400,MATCH(1,($A55='Offer Statistics'!$FF$2:$FF$400)*($AB$2='Offer Statistics'!$FG$2:$FG$400),0)),"/")</f>
        <v>26</v>
      </c>
      <c r="AE55" s="63" cm="1">
        <f t="array" ref="AE55">IFERROR(INDEX('Offer Statistics'!FQ$2:FQ$400,MATCH(1,($A55='Offer Statistics'!$FF$2:$FF$400)*($AB$2='Offer Statistics'!$FG$2:$FG$400),0)),"/")</f>
        <v>21</v>
      </c>
      <c r="AF55" s="63" cm="1">
        <f t="array" ref="AF55">IFERROR(INDEX('Offer Statistics'!FR$2:FR$400,MATCH(1,($A55='Offer Statistics'!$FF$2:$FF$400)*($AB$2='Offer Statistics'!$FG$2:$FG$400),0)),"/")</f>
        <v>8</v>
      </c>
      <c r="AG55" s="63" cm="1">
        <f t="array" ref="AG55">IFERROR(INDEX('Offer Statistics'!FS$2:FS$400,MATCH(1,($A55='Offer Statistics'!$FF$2:$FF$400)*($AB$2='Offer Statistics'!$FG$2:$FG$400),0)),"/")</f>
        <v>2</v>
      </c>
      <c r="AH55" s="63" cm="1">
        <f t="array" ref="AH55">IFERROR(INDEX('Offer Statistics'!FT$2:FT$400,MATCH(1,($A55='Offer Statistics'!$FF$2:$FF$400)*($AB$2='Offer Statistics'!$FG$2:$FG$400),0)),"/")</f>
        <v>5</v>
      </c>
      <c r="AI55" s="552"/>
      <c r="AJ55" s="36" cm="1">
        <f t="array" ref="AJ55">IFERROR(INDEX('Offer Statistics'!FM$2:FM$400,MATCH(1,($A55='Offer Statistics'!$FF$2:$FF$400)*($AB$2='Offer Statistics'!$FG$2:$FG$400),0)),"/")</f>
        <v>1619</v>
      </c>
      <c r="AK55" s="63" cm="1">
        <f t="array" ref="AK55">IFERROR(INDEX('Offer Statistics'!FH$2:FH$400,MATCH(1,($A55='Offer Statistics'!$FF$2:$FF$400)*($AB$2='Offer Statistics'!$FG$2:$FG$400),0)),"/")</f>
        <v>167</v>
      </c>
      <c r="AL55" s="63" cm="1">
        <f t="array" ref="AL55">IFERROR(INDEX('Offer Statistics'!FI$2:FI$400,MATCH(1,($A55='Offer Statistics'!$FF$2:$FF$400)*($AB$2='Offer Statistics'!$FG$2:$FG$400),0)),"/")</f>
        <v>285</v>
      </c>
      <c r="AM55" s="63" cm="1">
        <f t="array" ref="AM55">IFERROR(INDEX('Offer Statistics'!FJ$2:FJ$400,MATCH(1,($A55='Offer Statistics'!$FF$2:$FF$400)*($AB$2='Offer Statistics'!$FG$2:$FG$400),0)),"/")</f>
        <v>316</v>
      </c>
      <c r="AN55" s="63" cm="1">
        <f t="array" ref="AN55">IFERROR(INDEX('Offer Statistics'!FK$2:FK$400,MATCH(1,($A55='Offer Statistics'!$FF$2:$FF$400)*($AB$2='Offer Statistics'!$FG$2:$FG$400),0)),"/")</f>
        <v>377</v>
      </c>
      <c r="AO55" s="63" cm="1">
        <f t="array" ref="AO55">IFERROR(INDEX('Offer Statistics'!FL$2:FL$400,MATCH(1,($A55='Offer Statistics'!$FF$2:$FF$400)*($AB$2='Offer Statistics'!$FG$2:$FG$400),0)),"/")</f>
        <v>474</v>
      </c>
      <c r="AP55" s="4"/>
      <c r="AQ55" s="15" t="str">
        <f t="shared" ref="AQ55:AQ56" si="21">A55</f>
        <v>JSSY01</v>
      </c>
      <c r="AR55" s="4"/>
    </row>
    <row r="56" spans="1:45" ht="14.55" customHeight="1">
      <c r="A56" s="4" t="str">
        <f>'Reference Score Calculation'!B447</f>
        <v>JSSY02</v>
      </c>
      <c r="B56" s="4" t="str">
        <f>'Reference Score Calculation'!D447</f>
        <v>樹仁大學</v>
      </c>
      <c r="C56" s="4" t="str">
        <f>'Reference Score Calculation'!E447</f>
        <v>應用數據科學（榮譽）理學士</v>
      </c>
      <c r="D56" s="4" t="str">
        <f>'Reference Score Calculation'!S447</f>
        <v>BSc (Hons) ADS</v>
      </c>
      <c r="E56" s="15" t="str">
        <f>'Reference Score Calculation'!F447</f>
        <v>25年新科目</v>
      </c>
      <c r="F56" s="6" t="str">
        <f>'Reference Score Calculation'!H447</f>
        <v>/</v>
      </c>
      <c r="G56" s="44">
        <f>'Reference Score Calculation'!I447</f>
        <v>16</v>
      </c>
      <c r="H56" s="6" t="str">
        <f>'Reference Score Calculation'!J447</f>
        <v>/</v>
      </c>
      <c r="I56" s="45">
        <f>計分版!J470</f>
        <v>3.4999999999999999E-9</v>
      </c>
      <c r="J56" s="25">
        <f>IFERROR(I56-G56,"/")</f>
        <v>-15.9999999965</v>
      </c>
      <c r="K56" s="26">
        <f>IFERROR((I56-G56)/I56,"/")</f>
        <v>-4571428570.4285717</v>
      </c>
      <c r="L56" s="36">
        <f>'Reference Score Calculation'!U447</f>
        <v>30</v>
      </c>
      <c r="M56" s="84">
        <f>入學要求!Z456</f>
        <v>0</v>
      </c>
      <c r="N56" s="544"/>
      <c r="O56" s="15">
        <v>3</v>
      </c>
      <c r="P56" s="15">
        <v>3</v>
      </c>
      <c r="Q56" s="15">
        <v>2</v>
      </c>
      <c r="R56" s="15">
        <v>2</v>
      </c>
      <c r="S56" s="15">
        <v>2</v>
      </c>
      <c r="T56" s="15"/>
      <c r="U56" s="255">
        <f>入學要求!S456</f>
        <v>0</v>
      </c>
      <c r="V56" s="255">
        <f>入學要求!T456</f>
        <v>0</v>
      </c>
      <c r="W56" s="255">
        <f>入學要求!U456</f>
        <v>0</v>
      </c>
      <c r="X56" s="255">
        <f>入學要求!V456</f>
        <v>0</v>
      </c>
      <c r="Y56" s="255">
        <f>入學要求!W456</f>
        <v>0</v>
      </c>
      <c r="Z56" s="255">
        <f>入學要求!X456</f>
        <v>0</v>
      </c>
      <c r="AA56" s="36" t="str">
        <f t="shared" si="20"/>
        <v>/</v>
      </c>
      <c r="AB56" s="537"/>
      <c r="AC56" s="36" t="str" cm="1">
        <f t="array" ref="AC56">IFERROR(INDEX('Offer Statistics'!FU$2:FU$400,MATCH(1,($A56='Offer Statistics'!$FF$2:$FF$400)*($AB$2='Offer Statistics'!$FG$2:$FG$400),0)),"/")</f>
        <v>/</v>
      </c>
      <c r="AD56" s="63" t="str" cm="1">
        <f t="array" ref="AD56">IFERROR(INDEX('Offer Statistics'!FP$2:FP$400,MATCH(1,($A56='Offer Statistics'!$FF$2:$FF$400)*($AB$2='Offer Statistics'!$FG$2:$FG$400),0)),"/")</f>
        <v>/</v>
      </c>
      <c r="AE56" s="63" t="str" cm="1">
        <f t="array" ref="AE56">IFERROR(INDEX('Offer Statistics'!FQ$2:FQ$400,MATCH(1,($A56='Offer Statistics'!$FF$2:$FF$400)*($AB$2='Offer Statistics'!$FG$2:$FG$400),0)),"/")</f>
        <v>/</v>
      </c>
      <c r="AF56" s="63" t="str" cm="1">
        <f t="array" ref="AF56">IFERROR(INDEX('Offer Statistics'!FR$2:FR$400,MATCH(1,($A56='Offer Statistics'!$FF$2:$FF$400)*($AB$2='Offer Statistics'!$FG$2:$FG$400),0)),"/")</f>
        <v>/</v>
      </c>
      <c r="AG56" s="63" t="str" cm="1">
        <f t="array" ref="AG56">IFERROR(INDEX('Offer Statistics'!FS$2:FS$400,MATCH(1,($A56='Offer Statistics'!$FF$2:$FF$400)*($AB$2='Offer Statistics'!$FG$2:$FG$400),0)),"/")</f>
        <v>/</v>
      </c>
      <c r="AH56" s="63" t="str" cm="1">
        <f t="array" ref="AH56">IFERROR(INDEX('Offer Statistics'!FT$2:FT$400,MATCH(1,($A56='Offer Statistics'!$FF$2:$FF$400)*($AB$2='Offer Statistics'!$FG$2:$FG$400),0)),"/")</f>
        <v>/</v>
      </c>
      <c r="AI56" s="552"/>
      <c r="AJ56" s="36" t="str" cm="1">
        <f t="array" ref="AJ56">IFERROR(INDEX('Offer Statistics'!FM$2:FM$400,MATCH(1,($A56='Offer Statistics'!$FF$2:$FF$400)*($AB$2='Offer Statistics'!$FG$2:$FG$400),0)),"/")</f>
        <v>/</v>
      </c>
      <c r="AK56" s="63" t="str" cm="1">
        <f t="array" ref="AK56">IFERROR(INDEX('Offer Statistics'!FH$2:FH$400,MATCH(1,($A56='Offer Statistics'!$FF$2:$FF$400)*($AB$2='Offer Statistics'!$FG$2:$FG$400),0)),"/")</f>
        <v>/</v>
      </c>
      <c r="AL56" s="63" t="str" cm="1">
        <f t="array" ref="AL56">IFERROR(INDEX('Offer Statistics'!FI$2:FI$400,MATCH(1,($A56='Offer Statistics'!$FF$2:$FF$400)*($AB$2='Offer Statistics'!$FG$2:$FG$400),0)),"/")</f>
        <v>/</v>
      </c>
      <c r="AM56" s="63" t="str" cm="1">
        <f t="array" ref="AM56">IFERROR(INDEX('Offer Statistics'!FJ$2:FJ$400,MATCH(1,($A56='Offer Statistics'!$FF$2:$FF$400)*($AB$2='Offer Statistics'!$FG$2:$FG$400),0)),"/")</f>
        <v>/</v>
      </c>
      <c r="AN56" s="63" t="str" cm="1">
        <f t="array" ref="AN56">IFERROR(INDEX('Offer Statistics'!FK$2:FK$400,MATCH(1,($A56='Offer Statistics'!$FF$2:$FF$400)*($AB$2='Offer Statistics'!$FG$2:$FG$400),0)),"/")</f>
        <v>/</v>
      </c>
      <c r="AO56" s="63" t="str" cm="1">
        <f t="array" ref="AO56">IFERROR(INDEX('Offer Statistics'!FL$2:FL$400,MATCH(1,($A56='Offer Statistics'!$FF$2:$FF$400)*($AB$2='Offer Statistics'!$FG$2:$FG$400),0)),"/")</f>
        <v>/</v>
      </c>
      <c r="AP56" s="4"/>
      <c r="AQ56" s="15" t="str">
        <f t="shared" si="21"/>
        <v>JSSY02</v>
      </c>
      <c r="AR56" s="4"/>
    </row>
    <row r="57" spans="1:45" ht="18" customHeight="1">
      <c r="A57" s="4"/>
      <c r="B57" s="4"/>
      <c r="C57" s="4"/>
      <c r="D57" s="4"/>
      <c r="E57" s="15"/>
      <c r="F57" s="6"/>
      <c r="G57" s="44"/>
      <c r="H57" s="6"/>
      <c r="I57" s="45"/>
      <c r="J57" s="25"/>
      <c r="K57" s="26"/>
      <c r="L57" s="36"/>
      <c r="M57" s="36"/>
      <c r="N57" s="36"/>
      <c r="O57" s="15"/>
      <c r="P57" s="15"/>
      <c r="Q57" s="15"/>
      <c r="R57" s="15"/>
      <c r="S57" s="15"/>
      <c r="T57" s="15"/>
      <c r="U57" s="3"/>
      <c r="V57" s="3"/>
      <c r="W57" s="3"/>
      <c r="X57" s="3"/>
      <c r="Y57" s="3"/>
      <c r="Z57" s="3"/>
      <c r="AA57" s="3"/>
      <c r="AB57" s="251"/>
      <c r="AC57" s="36"/>
      <c r="AD57" s="63"/>
      <c r="AE57" s="63"/>
      <c r="AF57" s="63"/>
      <c r="AG57" s="63"/>
      <c r="AH57" s="63"/>
      <c r="AI57" s="250"/>
      <c r="AJ57" s="36"/>
      <c r="AK57" s="63"/>
      <c r="AL57" s="63"/>
      <c r="AM57" s="63"/>
      <c r="AN57" s="63"/>
      <c r="AO57" s="63"/>
      <c r="AP57" s="4"/>
      <c r="AQ57" s="15"/>
      <c r="AR57" s="4"/>
    </row>
    <row r="58" spans="1:45" ht="18" customHeight="1">
      <c r="A58" s="4" t="s">
        <v>3131</v>
      </c>
      <c r="D58" s="4"/>
      <c r="G58" s="15"/>
      <c r="H58" s="15"/>
      <c r="I58" s="15"/>
      <c r="J58" s="22"/>
      <c r="K58" s="23"/>
      <c r="L58" s="15"/>
      <c r="M58" s="15"/>
      <c r="N58" s="15"/>
      <c r="O58" s="15"/>
      <c r="P58" s="15"/>
      <c r="Q58" s="15"/>
      <c r="R58" s="15"/>
      <c r="S58" s="15"/>
      <c r="T58" s="15"/>
      <c r="U58" s="15"/>
      <c r="V58" s="15"/>
      <c r="W58" s="15"/>
      <c r="X58" s="15"/>
      <c r="Y58" s="15"/>
      <c r="Z58" s="15"/>
      <c r="AA58" s="15"/>
      <c r="AC58" s="15"/>
      <c r="AI58" s="15"/>
      <c r="AJ58" s="15"/>
      <c r="AK58" s="15"/>
      <c r="AL58" s="15"/>
      <c r="AM58" s="15"/>
      <c r="AN58" s="15"/>
      <c r="AO58" s="15"/>
      <c r="AP58" s="4"/>
      <c r="AQ58" s="15"/>
      <c r="AR58" s="4"/>
    </row>
    <row r="59" spans="1:45" s="4" customFormat="1" ht="18" customHeight="1">
      <c r="A59" s="23"/>
      <c r="E59" s="36"/>
      <c r="F59" s="15"/>
      <c r="G59" s="15"/>
      <c r="H59" s="15"/>
      <c r="I59" s="15"/>
      <c r="J59" s="22"/>
      <c r="K59" s="23"/>
      <c r="L59" s="15"/>
      <c r="N59" s="15"/>
      <c r="O59" s="15"/>
      <c r="P59" s="15"/>
      <c r="Q59" s="15"/>
      <c r="R59" s="15"/>
      <c r="S59" s="15"/>
      <c r="T59" s="15"/>
      <c r="U59" s="15"/>
      <c r="V59" s="15"/>
      <c r="W59" s="15"/>
      <c r="X59" s="15"/>
      <c r="Y59" s="15"/>
      <c r="Z59" s="15"/>
      <c r="AA59" s="15"/>
      <c r="AB59" s="15"/>
      <c r="AC59" s="15"/>
      <c r="AE59" s="15"/>
      <c r="AF59" s="15"/>
      <c r="AG59" s="15"/>
      <c r="AH59" s="15"/>
      <c r="AI59" s="15"/>
      <c r="AJ59" s="15"/>
      <c r="AK59" s="15"/>
      <c r="AL59" s="15"/>
      <c r="AM59" s="15"/>
      <c r="AN59" s="15"/>
      <c r="AO59" s="15"/>
      <c r="AP59" s="15"/>
      <c r="AR59" s="15"/>
      <c r="AS59" s="15"/>
    </row>
    <row r="60" spans="1:45" s="4" customFormat="1" ht="18" customHeight="1">
      <c r="C60" s="23"/>
      <c r="E60" s="15"/>
      <c r="H60" s="15"/>
      <c r="K60" s="36"/>
      <c r="L60" s="15"/>
    </row>
    <row r="61" spans="1:45" s="4" customFormat="1" ht="18" customHeight="1">
      <c r="A61" s="23" t="s">
        <v>2962</v>
      </c>
      <c r="E61" s="36"/>
      <c r="F61" s="15"/>
      <c r="G61" s="15"/>
      <c r="H61" s="15"/>
      <c r="I61" s="15"/>
      <c r="J61" s="22"/>
      <c r="K61" s="23"/>
      <c r="L61" s="15"/>
      <c r="N61" s="15"/>
      <c r="O61" s="15"/>
      <c r="P61" s="15"/>
      <c r="Q61" s="15"/>
      <c r="R61" s="15"/>
      <c r="S61" s="15"/>
      <c r="T61" s="15"/>
      <c r="U61" s="15"/>
      <c r="V61" s="15"/>
      <c r="W61" s="15"/>
      <c r="X61" s="15"/>
      <c r="Y61" s="15"/>
      <c r="Z61" s="15"/>
      <c r="AA61" s="15"/>
      <c r="AB61" s="15"/>
      <c r="AC61" s="15"/>
      <c r="AE61" s="15"/>
      <c r="AF61" s="15"/>
      <c r="AG61" s="15"/>
      <c r="AH61" s="15"/>
      <c r="AI61" s="15"/>
      <c r="AJ61" s="15"/>
      <c r="AK61" s="15"/>
      <c r="AL61" s="15"/>
      <c r="AM61" s="15"/>
      <c r="AN61" s="15"/>
      <c r="AO61" s="15"/>
      <c r="AP61" s="15"/>
      <c r="AR61" s="15"/>
      <c r="AS61" s="15"/>
    </row>
    <row r="62" spans="1:45" s="4" customFormat="1" ht="18" customHeight="1">
      <c r="A62" s="23" t="s">
        <v>185</v>
      </c>
      <c r="E62" s="36"/>
      <c r="F62" s="15"/>
      <c r="G62" s="15"/>
      <c r="H62" s="15"/>
      <c r="I62" s="15"/>
      <c r="J62" s="22"/>
      <c r="K62" s="23"/>
      <c r="L62" s="15"/>
      <c r="N62" s="15"/>
      <c r="O62" s="15"/>
      <c r="P62" s="15"/>
      <c r="Q62" s="15"/>
      <c r="R62" s="15"/>
      <c r="S62" s="15"/>
      <c r="T62" s="15"/>
      <c r="U62" s="15"/>
      <c r="V62" s="15"/>
      <c r="W62" s="15"/>
      <c r="X62" s="15"/>
      <c r="Y62" s="15"/>
      <c r="Z62" s="15"/>
      <c r="AA62" s="15"/>
      <c r="AB62" s="15"/>
      <c r="AC62" s="15"/>
      <c r="AE62" s="15"/>
      <c r="AF62" s="15"/>
      <c r="AG62" s="15"/>
      <c r="AH62" s="15"/>
      <c r="AI62" s="15"/>
      <c r="AJ62" s="15"/>
      <c r="AK62" s="15"/>
      <c r="AL62" s="15"/>
      <c r="AM62" s="15"/>
      <c r="AN62" s="15"/>
      <c r="AO62" s="15"/>
      <c r="AP62" s="15"/>
      <c r="AR62" s="15"/>
      <c r="AS62" s="15"/>
    </row>
    <row r="63" spans="1:45" s="4" customFormat="1" ht="18" customHeight="1">
      <c r="A63" s="23"/>
      <c r="E63" s="36"/>
      <c r="F63" s="15"/>
      <c r="G63" s="15"/>
      <c r="H63" s="15"/>
      <c r="I63" s="15"/>
      <c r="J63" s="22"/>
      <c r="K63" s="23"/>
      <c r="L63" s="15"/>
      <c r="N63" s="15"/>
      <c r="O63" s="15"/>
      <c r="P63" s="15"/>
      <c r="Q63" s="15"/>
      <c r="R63" s="15"/>
      <c r="S63" s="15"/>
      <c r="T63" s="15"/>
      <c r="U63" s="15"/>
      <c r="V63" s="15"/>
      <c r="W63" s="15"/>
      <c r="X63" s="15"/>
      <c r="Y63" s="15"/>
      <c r="Z63" s="15"/>
      <c r="AA63" s="15"/>
      <c r="AB63" s="15"/>
      <c r="AC63" s="15"/>
      <c r="AE63" s="15"/>
      <c r="AF63" s="15"/>
      <c r="AG63" s="15"/>
      <c r="AH63" s="15"/>
      <c r="AI63" s="15"/>
      <c r="AJ63" s="15"/>
      <c r="AK63" s="15"/>
      <c r="AL63" s="15"/>
      <c r="AM63" s="15"/>
      <c r="AN63" s="15"/>
      <c r="AO63" s="15"/>
      <c r="AP63" s="15"/>
      <c r="AR63" s="15"/>
      <c r="AS63" s="15"/>
    </row>
    <row r="64" spans="1:45" ht="18" customHeight="1">
      <c r="A64" s="3" t="s">
        <v>189</v>
      </c>
      <c r="D64" s="4"/>
      <c r="G64" s="15"/>
      <c r="H64" s="15"/>
      <c r="I64" s="15"/>
      <c r="J64" s="22"/>
      <c r="K64" s="23"/>
      <c r="L64" s="15"/>
      <c r="M64" s="15"/>
      <c r="N64" s="15"/>
      <c r="O64" s="15"/>
      <c r="P64" s="15"/>
      <c r="Q64" s="15"/>
      <c r="R64" s="15"/>
      <c r="S64" s="15"/>
      <c r="T64" s="15"/>
      <c r="U64" s="15"/>
      <c r="V64" s="15"/>
      <c r="W64" s="15"/>
      <c r="X64" s="15"/>
      <c r="Y64" s="15"/>
      <c r="Z64" s="15"/>
      <c r="AA64" s="15"/>
      <c r="AC64" s="15"/>
      <c r="AD64" s="2"/>
      <c r="AI64" s="15"/>
      <c r="AJ64" s="15"/>
      <c r="AK64" s="15"/>
      <c r="AL64" s="15"/>
      <c r="AM64" s="15"/>
      <c r="AN64" s="15"/>
      <c r="AO64" s="15"/>
      <c r="AP64" s="4"/>
      <c r="AQ64" s="15"/>
      <c r="AR64" s="4"/>
    </row>
    <row r="65" spans="1:44" ht="18" customHeight="1">
      <c r="A65" s="2" t="s">
        <v>194</v>
      </c>
      <c r="D65" s="4"/>
      <c r="G65" s="15"/>
      <c r="H65" s="15"/>
      <c r="I65" s="15"/>
      <c r="J65" s="22"/>
      <c r="K65" s="23"/>
      <c r="L65" s="15"/>
      <c r="M65" s="15"/>
      <c r="N65" s="15"/>
      <c r="O65" s="15"/>
      <c r="P65" s="15"/>
      <c r="Q65" s="15"/>
      <c r="R65" s="15"/>
      <c r="S65" s="15"/>
      <c r="T65" s="15"/>
      <c r="U65" s="15"/>
      <c r="V65" s="15"/>
      <c r="W65" s="15"/>
      <c r="X65" s="15"/>
      <c r="Y65" s="15"/>
      <c r="Z65" s="15"/>
      <c r="AA65" s="15"/>
      <c r="AC65" s="15"/>
      <c r="AI65" s="15"/>
      <c r="AJ65" s="15"/>
      <c r="AK65" s="15"/>
      <c r="AL65" s="15"/>
      <c r="AM65" s="15"/>
      <c r="AN65" s="15"/>
      <c r="AO65" s="15"/>
      <c r="AP65" s="4"/>
      <c r="AQ65" s="15"/>
      <c r="AR65" s="4"/>
    </row>
    <row r="66" spans="1:44" ht="18" customHeight="1">
      <c r="A66" s="88" t="s">
        <v>195</v>
      </c>
      <c r="B66" s="23" t="s">
        <v>2530</v>
      </c>
      <c r="D66" s="4"/>
      <c r="G66" s="15"/>
      <c r="H66" s="15"/>
      <c r="I66" s="15"/>
      <c r="J66" s="22"/>
      <c r="K66" s="23"/>
      <c r="L66" s="15"/>
      <c r="M66" s="15"/>
      <c r="N66" s="15"/>
      <c r="O66" s="15"/>
      <c r="P66" s="15"/>
      <c r="Q66" s="15"/>
      <c r="R66" s="15"/>
      <c r="S66" s="15"/>
      <c r="T66" s="15"/>
      <c r="U66" s="15"/>
      <c r="V66" s="15"/>
      <c r="W66" s="15"/>
      <c r="X66" s="15"/>
      <c r="Y66" s="15"/>
      <c r="Z66" s="15"/>
      <c r="AA66" s="15"/>
      <c r="AC66" s="15"/>
      <c r="AI66" s="15"/>
      <c r="AJ66" s="15"/>
      <c r="AK66" s="15"/>
      <c r="AL66" s="15"/>
      <c r="AM66" s="15"/>
      <c r="AN66" s="15"/>
      <c r="AO66" s="15"/>
      <c r="AP66" s="4"/>
      <c r="AQ66" s="15"/>
      <c r="AR66" s="4"/>
    </row>
    <row r="67" spans="1:44" ht="18" customHeight="1">
      <c r="A67" s="89" t="s">
        <v>197</v>
      </c>
      <c r="B67" s="23" t="s">
        <v>198</v>
      </c>
      <c r="D67" s="4"/>
      <c r="G67" s="15"/>
      <c r="H67" s="15"/>
      <c r="I67" s="15"/>
      <c r="J67" s="22"/>
      <c r="K67" s="23"/>
      <c r="L67" s="15"/>
      <c r="M67" s="15"/>
      <c r="N67" s="15"/>
      <c r="O67" s="15"/>
      <c r="P67" s="15"/>
      <c r="Q67" s="15"/>
      <c r="R67" s="15"/>
      <c r="S67" s="15"/>
      <c r="T67" s="15"/>
      <c r="U67" s="15"/>
      <c r="V67" s="15"/>
      <c r="W67" s="15"/>
      <c r="X67" s="15"/>
      <c r="Y67" s="15"/>
      <c r="Z67" s="15"/>
      <c r="AA67" s="15"/>
      <c r="AC67" s="15"/>
      <c r="AI67" s="15"/>
      <c r="AJ67" s="15"/>
      <c r="AK67" s="15"/>
      <c r="AL67" s="15"/>
      <c r="AM67" s="15"/>
      <c r="AN67" s="15"/>
      <c r="AO67" s="15"/>
      <c r="AP67" s="4"/>
      <c r="AQ67" s="15"/>
      <c r="AR67" s="4"/>
    </row>
    <row r="68" spans="1:44" ht="18" customHeight="1">
      <c r="A68" s="88" t="s">
        <v>199</v>
      </c>
      <c r="B68" s="4" t="s">
        <v>200</v>
      </c>
      <c r="D68" s="4"/>
      <c r="G68" s="15"/>
      <c r="H68" s="15"/>
      <c r="I68" s="15"/>
      <c r="J68" s="22"/>
      <c r="K68" s="23"/>
      <c r="L68" s="15"/>
      <c r="M68" s="15"/>
      <c r="N68" s="15"/>
      <c r="O68" s="15"/>
      <c r="P68" s="15"/>
      <c r="Q68" s="15"/>
      <c r="R68" s="15"/>
      <c r="S68" s="15"/>
      <c r="T68" s="15"/>
      <c r="U68" s="15"/>
      <c r="V68" s="15"/>
      <c r="W68" s="15"/>
      <c r="X68" s="15"/>
      <c r="Y68" s="15"/>
      <c r="Z68" s="15"/>
      <c r="AA68" s="15"/>
      <c r="AC68" s="15"/>
      <c r="AI68" s="15"/>
      <c r="AJ68" s="15"/>
      <c r="AK68" s="15"/>
      <c r="AL68" s="15"/>
      <c r="AM68" s="15"/>
      <c r="AN68" s="15"/>
      <c r="AO68" s="15"/>
      <c r="AP68" s="4"/>
      <c r="AQ68" s="15"/>
      <c r="AR68" s="4"/>
    </row>
    <row r="69" spans="1:44" ht="18" customHeight="1">
      <c r="A69" s="89" t="s">
        <v>201</v>
      </c>
      <c r="B69" s="23" t="s">
        <v>196</v>
      </c>
      <c r="D69" s="4"/>
      <c r="G69" s="15"/>
      <c r="H69" s="15"/>
      <c r="I69" s="15"/>
      <c r="J69" s="22"/>
      <c r="K69" s="23"/>
      <c r="L69" s="15"/>
      <c r="M69" s="15"/>
      <c r="N69" s="15"/>
      <c r="O69" s="15"/>
      <c r="P69" s="15"/>
      <c r="Q69" s="15"/>
      <c r="R69" s="15"/>
      <c r="S69" s="15"/>
      <c r="T69" s="15"/>
      <c r="U69" s="15"/>
      <c r="V69" s="15"/>
      <c r="W69" s="15"/>
      <c r="X69" s="15"/>
      <c r="Y69" s="15"/>
      <c r="Z69" s="15"/>
      <c r="AA69" s="15"/>
      <c r="AC69" s="15"/>
      <c r="AI69" s="15"/>
      <c r="AJ69" s="15"/>
      <c r="AK69" s="15"/>
      <c r="AL69" s="15"/>
      <c r="AM69" s="15"/>
      <c r="AN69" s="15"/>
      <c r="AO69" s="15"/>
      <c r="AP69" s="4"/>
      <c r="AQ69" s="15"/>
      <c r="AR69" s="4"/>
    </row>
    <row r="70" spans="1:44" ht="18" customHeight="1">
      <c r="A70" s="88" t="s">
        <v>202</v>
      </c>
      <c r="B70" s="4" t="s">
        <v>203</v>
      </c>
      <c r="D70" s="4"/>
      <c r="G70" s="15"/>
      <c r="H70" s="15"/>
      <c r="I70" s="15"/>
      <c r="J70" s="22"/>
      <c r="K70" s="23"/>
      <c r="L70" s="15"/>
      <c r="M70" s="15"/>
      <c r="N70" s="15"/>
      <c r="O70" s="15"/>
      <c r="P70" s="15"/>
      <c r="Q70" s="15"/>
      <c r="R70" s="15"/>
      <c r="S70" s="15"/>
      <c r="T70" s="15"/>
      <c r="U70" s="15"/>
      <c r="V70" s="15"/>
      <c r="W70" s="15"/>
      <c r="X70" s="15"/>
      <c r="Y70" s="15"/>
      <c r="Z70" s="15"/>
      <c r="AA70" s="15"/>
      <c r="AC70" s="15"/>
      <c r="AI70" s="15"/>
      <c r="AJ70" s="15"/>
      <c r="AK70" s="15"/>
      <c r="AL70" s="15"/>
      <c r="AM70" s="15"/>
      <c r="AN70" s="15"/>
      <c r="AO70" s="15"/>
      <c r="AP70" s="4"/>
      <c r="AQ70" s="15"/>
      <c r="AR70" s="4"/>
    </row>
    <row r="71" spans="1:44" ht="18" customHeight="1">
      <c r="A71" s="89" t="s">
        <v>204</v>
      </c>
      <c r="B71" s="4" t="s">
        <v>200</v>
      </c>
      <c r="D71" s="4"/>
      <c r="G71" s="15"/>
      <c r="H71" s="15"/>
      <c r="I71" s="15"/>
      <c r="J71" s="22"/>
      <c r="K71" s="23"/>
      <c r="L71" s="15"/>
      <c r="M71" s="15"/>
      <c r="N71" s="15"/>
      <c r="O71" s="15"/>
      <c r="P71" s="15"/>
      <c r="Q71" s="15"/>
      <c r="R71" s="15"/>
      <c r="S71" s="15"/>
      <c r="T71" s="15"/>
      <c r="U71" s="15"/>
      <c r="V71" s="15"/>
      <c r="W71" s="15"/>
      <c r="X71" s="15"/>
      <c r="Y71" s="15"/>
      <c r="Z71" s="15"/>
      <c r="AA71" s="15"/>
      <c r="AC71" s="15"/>
      <c r="AI71" s="15"/>
      <c r="AJ71" s="15"/>
      <c r="AK71" s="15"/>
      <c r="AL71" s="15"/>
      <c r="AM71" s="15"/>
      <c r="AN71" s="15"/>
      <c r="AO71" s="15"/>
      <c r="AP71" s="4"/>
      <c r="AQ71" s="15"/>
      <c r="AR71" s="4"/>
    </row>
    <row r="72" spans="1:44" ht="18" customHeight="1">
      <c r="A72" s="89" t="s">
        <v>205</v>
      </c>
      <c r="B72" s="58" t="s">
        <v>196</v>
      </c>
      <c r="D72" s="4"/>
      <c r="G72" s="15"/>
      <c r="H72" s="15"/>
      <c r="I72" s="15"/>
      <c r="J72" s="22"/>
      <c r="K72" s="23"/>
      <c r="L72" s="15"/>
      <c r="M72" s="15"/>
      <c r="N72" s="15"/>
      <c r="O72" s="15"/>
      <c r="P72" s="15"/>
      <c r="Q72" s="15"/>
      <c r="R72" s="15"/>
      <c r="S72" s="15"/>
      <c r="T72" s="15"/>
      <c r="U72" s="15"/>
      <c r="V72" s="15"/>
      <c r="W72" s="15"/>
      <c r="X72" s="15"/>
      <c r="Y72" s="15"/>
      <c r="Z72" s="15"/>
      <c r="AA72" s="15"/>
      <c r="AC72" s="15"/>
      <c r="AI72" s="15"/>
      <c r="AJ72" s="15"/>
      <c r="AK72" s="15"/>
      <c r="AL72" s="15"/>
      <c r="AM72" s="15"/>
      <c r="AN72" s="15"/>
      <c r="AO72" s="15"/>
      <c r="AP72" s="4"/>
      <c r="AQ72" s="15"/>
      <c r="AR72" s="4"/>
    </row>
    <row r="73" spans="1:44" ht="18" customHeight="1">
      <c r="A73" s="89" t="s">
        <v>206</v>
      </c>
      <c r="B73" s="23" t="s">
        <v>196</v>
      </c>
      <c r="D73" s="4"/>
      <c r="G73" s="15"/>
      <c r="H73" s="15"/>
      <c r="I73" s="15"/>
      <c r="J73" s="22"/>
      <c r="K73" s="23"/>
      <c r="L73" s="15"/>
      <c r="M73" s="15"/>
      <c r="N73" s="15"/>
      <c r="O73" s="15"/>
      <c r="P73" s="15"/>
      <c r="Q73" s="15"/>
      <c r="R73" s="15"/>
      <c r="S73" s="15"/>
      <c r="T73" s="15"/>
      <c r="U73" s="15"/>
      <c r="V73" s="15"/>
      <c r="W73" s="15"/>
      <c r="X73" s="15"/>
      <c r="Y73" s="15"/>
      <c r="Z73" s="15"/>
      <c r="AA73" s="15"/>
      <c r="AC73" s="15"/>
      <c r="AI73" s="15"/>
      <c r="AJ73" s="15"/>
      <c r="AK73" s="15"/>
      <c r="AL73" s="15"/>
      <c r="AM73" s="15"/>
      <c r="AN73" s="15"/>
      <c r="AO73" s="15"/>
      <c r="AP73" s="4"/>
      <c r="AQ73" s="15"/>
      <c r="AR73" s="4"/>
    </row>
    <row r="74" spans="1:44" ht="18" customHeight="1">
      <c r="A74" s="4"/>
      <c r="B74" s="4"/>
      <c r="D74" s="4"/>
      <c r="G74" s="15"/>
      <c r="H74" s="15"/>
      <c r="I74" s="15"/>
      <c r="J74" s="22"/>
      <c r="K74" s="23"/>
      <c r="L74" s="15"/>
      <c r="M74" s="15"/>
      <c r="N74" s="15"/>
      <c r="O74" s="15"/>
      <c r="P74" s="15"/>
      <c r="Q74" s="15"/>
      <c r="R74" s="15"/>
      <c r="S74" s="15"/>
      <c r="T74" s="15"/>
      <c r="U74" s="15"/>
      <c r="V74" s="15"/>
      <c r="W74" s="15"/>
      <c r="X74" s="15"/>
      <c r="Y74" s="15"/>
      <c r="Z74" s="15"/>
      <c r="AA74" s="15"/>
      <c r="AC74" s="15"/>
      <c r="AI74" s="15"/>
      <c r="AJ74" s="15"/>
      <c r="AK74" s="15"/>
      <c r="AL74" s="15"/>
      <c r="AM74" s="15"/>
      <c r="AN74" s="15"/>
      <c r="AO74" s="15"/>
      <c r="AP74" s="4"/>
      <c r="AQ74" s="15"/>
      <c r="AR74" s="4"/>
    </row>
    <row r="75" spans="1:44" ht="18" customHeight="1">
      <c r="A75" s="3" t="s">
        <v>129</v>
      </c>
      <c r="B75" s="4"/>
      <c r="C75" s="4"/>
      <c r="D75" s="4"/>
      <c r="AC75" s="15"/>
      <c r="AI75" s="15"/>
      <c r="AJ75" s="15"/>
      <c r="AK75" s="15"/>
      <c r="AL75" s="15"/>
      <c r="AM75" s="15"/>
      <c r="AN75" s="15"/>
      <c r="AO75" s="15"/>
      <c r="AP75" s="4"/>
      <c r="AQ75" s="15"/>
      <c r="AR75" s="4"/>
    </row>
    <row r="76" spans="1:44" ht="18" customHeight="1">
      <c r="A76" s="22" t="s">
        <v>207</v>
      </c>
      <c r="B76" s="46" t="s">
        <v>208</v>
      </c>
      <c r="C76" s="4"/>
      <c r="D76" s="4"/>
      <c r="AC76" s="15"/>
      <c r="AI76" s="15"/>
      <c r="AJ76" s="15"/>
      <c r="AK76" s="15"/>
      <c r="AL76" s="15"/>
      <c r="AM76" s="15"/>
      <c r="AN76" s="15"/>
      <c r="AO76" s="15"/>
      <c r="AP76" s="4"/>
      <c r="AQ76" s="15"/>
      <c r="AR76" s="4"/>
    </row>
    <row r="77" spans="1:44" ht="18" customHeight="1">
      <c r="A77" s="87" t="s">
        <v>209</v>
      </c>
      <c r="B77" s="247" t="s">
        <v>3296</v>
      </c>
      <c r="C77" s="4"/>
      <c r="AC77" s="15"/>
      <c r="AI77" s="15"/>
      <c r="AJ77" s="15"/>
      <c r="AK77" s="15"/>
      <c r="AL77" s="15"/>
      <c r="AM77" s="15"/>
      <c r="AN77" s="15"/>
      <c r="AO77" s="15"/>
      <c r="AP77" s="4"/>
      <c r="AQ77" s="15"/>
      <c r="AR77" s="4"/>
    </row>
    <row r="78" spans="1:44" ht="18" customHeight="1">
      <c r="A78" s="17"/>
      <c r="B78" s="165"/>
      <c r="C78" s="4"/>
      <c r="AC78" s="15"/>
      <c r="AI78" s="15"/>
      <c r="AJ78" s="15"/>
      <c r="AK78" s="15"/>
      <c r="AL78" s="15"/>
      <c r="AM78" s="15"/>
      <c r="AN78" s="15"/>
      <c r="AO78" s="15"/>
      <c r="AP78" s="4"/>
      <c r="AQ78" s="15"/>
      <c r="AR78" s="4"/>
    </row>
    <row r="79" spans="1:44" ht="18" customHeight="1">
      <c r="A79" s="22" t="s">
        <v>195</v>
      </c>
      <c r="B79" s="46" t="s">
        <v>210</v>
      </c>
      <c r="C79" s="4"/>
      <c r="AC79" s="15"/>
      <c r="AI79" s="15"/>
      <c r="AJ79" s="15"/>
      <c r="AK79" s="15"/>
      <c r="AL79" s="15"/>
      <c r="AM79" s="15"/>
      <c r="AN79" s="15"/>
      <c r="AO79" s="15"/>
      <c r="AP79" s="4"/>
      <c r="AQ79" s="15"/>
      <c r="AR79" s="4"/>
    </row>
    <row r="80" spans="1:44" ht="18" customHeight="1">
      <c r="A80" s="87" t="s">
        <v>197</v>
      </c>
      <c r="B80" s="247" t="s">
        <v>2531</v>
      </c>
      <c r="C80" s="4"/>
      <c r="AC80" s="15"/>
      <c r="AI80" s="15"/>
      <c r="AJ80" s="15"/>
      <c r="AK80" s="15"/>
      <c r="AL80" s="15"/>
      <c r="AM80" s="15"/>
      <c r="AN80" s="15"/>
      <c r="AO80" s="15"/>
      <c r="AP80" s="4"/>
      <c r="AQ80" s="15"/>
      <c r="AR80" s="4"/>
    </row>
    <row r="81" spans="1:44" ht="18" customHeight="1">
      <c r="A81" s="22" t="s">
        <v>199</v>
      </c>
      <c r="B81" s="46" t="s">
        <v>211</v>
      </c>
      <c r="C81" s="4"/>
      <c r="AC81" s="15"/>
      <c r="AI81" s="15"/>
      <c r="AJ81" s="15"/>
      <c r="AK81" s="15"/>
      <c r="AL81" s="15"/>
      <c r="AM81" s="15"/>
      <c r="AN81" s="15"/>
      <c r="AO81" s="15"/>
      <c r="AP81" s="4"/>
      <c r="AQ81" s="15"/>
      <c r="AR81" s="4"/>
    </row>
    <row r="82" spans="1:44" ht="18" customHeight="1">
      <c r="A82" s="87" t="s">
        <v>201</v>
      </c>
      <c r="B82" s="46" t="s">
        <v>212</v>
      </c>
      <c r="C82" s="4"/>
      <c r="AC82" s="15"/>
      <c r="AI82" s="15"/>
      <c r="AJ82" s="15"/>
      <c r="AK82" s="15"/>
      <c r="AL82" s="15"/>
      <c r="AM82" s="15"/>
      <c r="AN82" s="15"/>
      <c r="AO82" s="15"/>
      <c r="AP82" s="4"/>
      <c r="AQ82" s="15"/>
      <c r="AR82" s="4"/>
    </row>
    <row r="83" spans="1:44" ht="18" customHeight="1">
      <c r="A83" s="22" t="s">
        <v>202</v>
      </c>
      <c r="B83" s="46" t="s">
        <v>213</v>
      </c>
      <c r="C83" s="4"/>
      <c r="AC83" s="15"/>
      <c r="AI83" s="15"/>
      <c r="AJ83" s="15"/>
      <c r="AK83" s="15"/>
      <c r="AL83" s="15"/>
      <c r="AM83" s="15"/>
      <c r="AN83" s="15"/>
      <c r="AO83" s="15"/>
      <c r="AP83" s="4"/>
      <c r="AQ83" s="15"/>
      <c r="AR83" s="4"/>
    </row>
    <row r="84" spans="1:44" ht="18" customHeight="1">
      <c r="A84" s="87" t="s">
        <v>204</v>
      </c>
      <c r="B84" s="247" t="s">
        <v>2532</v>
      </c>
      <c r="C84" s="4"/>
      <c r="AC84" s="15"/>
      <c r="AI84" s="15"/>
      <c r="AJ84" s="15"/>
      <c r="AK84" s="15"/>
      <c r="AL84" s="15"/>
      <c r="AM84" s="15"/>
      <c r="AN84" s="15"/>
      <c r="AO84" s="15"/>
      <c r="AP84" s="4"/>
      <c r="AQ84" s="15"/>
      <c r="AR84" s="4"/>
    </row>
    <row r="85" spans="1:44" ht="18" customHeight="1">
      <c r="A85" s="87" t="s">
        <v>205</v>
      </c>
      <c r="B85" s="46" t="s">
        <v>214</v>
      </c>
      <c r="C85" s="4"/>
      <c r="AC85" s="15"/>
      <c r="AI85" s="15"/>
      <c r="AJ85" s="15"/>
      <c r="AK85" s="15"/>
      <c r="AL85" s="15"/>
      <c r="AM85" s="15"/>
      <c r="AN85" s="15"/>
      <c r="AO85" s="15"/>
      <c r="AP85" s="4"/>
      <c r="AQ85" s="15"/>
      <c r="AR85" s="4"/>
    </row>
    <row r="86" spans="1:44" ht="18" customHeight="1">
      <c r="A86" s="87" t="s">
        <v>206</v>
      </c>
      <c r="B86" s="46" t="s">
        <v>215</v>
      </c>
      <c r="C86" s="4"/>
      <c r="AC86" s="15"/>
      <c r="AI86" s="15"/>
      <c r="AJ86" s="15"/>
      <c r="AK86" s="15"/>
      <c r="AL86" s="15"/>
      <c r="AM86" s="15"/>
      <c r="AN86" s="15"/>
      <c r="AO86" s="15"/>
      <c r="AP86" s="4"/>
      <c r="AQ86" s="15"/>
      <c r="AR86" s="4"/>
    </row>
    <row r="87" spans="1:44" ht="18" customHeight="1">
      <c r="B87" s="4"/>
      <c r="AC87" s="15"/>
      <c r="AI87" s="15"/>
      <c r="AJ87" s="15"/>
      <c r="AK87" s="15"/>
      <c r="AL87" s="15"/>
      <c r="AM87" s="15"/>
      <c r="AN87" s="15"/>
      <c r="AO87" s="15"/>
      <c r="AP87" s="4"/>
      <c r="AQ87" s="15"/>
      <c r="AR87" s="4"/>
    </row>
    <row r="88" spans="1:44" ht="18" hidden="1" customHeight="1"/>
    <row r="89" spans="1:44" ht="18" hidden="1" customHeight="1"/>
    <row r="90" spans="1:44" ht="18" hidden="1" customHeight="1"/>
    <row r="91" spans="1:44" ht="18" hidden="1" customHeight="1"/>
    <row r="92" spans="1:44" ht="18" hidden="1" customHeight="1"/>
    <row r="93" spans="1:44" ht="18" hidden="1" customHeight="1"/>
    <row r="94" spans="1:44" ht="18" hidden="1" customHeight="1"/>
    <row r="95" spans="1:44" ht="18" hidden="1" customHeight="1"/>
    <row r="96" spans="1:44" ht="18" hidden="1" customHeight="1"/>
    <row r="97" ht="18" hidden="1" customHeight="1"/>
    <row r="98" ht="18" hidden="1" customHeight="1"/>
    <row r="99" ht="18" hidden="1" customHeight="1"/>
    <row r="100" ht="18" hidden="1" customHeight="1"/>
    <row r="101" ht="18" hidden="1" customHeight="1"/>
    <row r="102" ht="18" hidden="1" customHeight="1"/>
    <row r="103" ht="18" hidden="1" customHeight="1"/>
    <row r="104" ht="18" hidden="1" customHeight="1"/>
    <row r="105" ht="18" hidden="1" customHeight="1"/>
    <row r="106" ht="18" hidden="1" customHeight="1"/>
    <row r="107" ht="18" hidden="1" customHeight="1"/>
    <row r="108" ht="18" hidden="1" customHeight="1"/>
    <row r="109" ht="18" hidden="1" customHeight="1"/>
    <row r="110" ht="18" hidden="1" customHeight="1"/>
    <row r="111" ht="18" hidden="1" customHeight="1"/>
    <row r="112" ht="18" hidden="1" customHeight="1"/>
    <row r="113" ht="18" hidden="1" customHeight="1"/>
    <row r="114" ht="18" hidden="1" customHeight="1"/>
    <row r="115" ht="18" hidden="1" customHeight="1"/>
    <row r="116" ht="18" hidden="1" customHeight="1"/>
    <row r="117" ht="18" hidden="1" customHeight="1"/>
    <row r="118" ht="18" hidden="1" customHeight="1"/>
    <row r="119" ht="18" hidden="1" customHeight="1"/>
    <row r="120" ht="18" hidden="1" customHeight="1"/>
    <row r="121" ht="18" hidden="1" customHeight="1"/>
    <row r="122" ht="18" hidden="1" customHeight="1"/>
    <row r="123" ht="18" hidden="1" customHeight="1"/>
    <row r="124" ht="18" hidden="1" customHeight="1"/>
    <row r="125" ht="18" hidden="1" customHeight="1"/>
    <row r="126" ht="18" hidden="1" customHeight="1"/>
    <row r="127" ht="18" hidden="1" customHeight="1"/>
    <row r="128" ht="18" hidden="1" customHeight="1"/>
    <row r="129" ht="18" hidden="1" customHeight="1"/>
    <row r="130" ht="18" hidden="1" customHeight="1"/>
    <row r="131" ht="18" hidden="1" customHeight="1"/>
    <row r="132" ht="18" hidden="1" customHeight="1"/>
    <row r="133" ht="18" hidden="1" customHeight="1"/>
    <row r="134" ht="18" hidden="1" customHeight="1"/>
    <row r="135" ht="18" hidden="1" customHeight="1"/>
    <row r="136" ht="18" hidden="1" customHeight="1"/>
    <row r="137" ht="18" hidden="1" customHeight="1"/>
    <row r="138" ht="18" hidden="1" customHeight="1"/>
    <row r="139" ht="18" hidden="1" customHeight="1"/>
    <row r="140" ht="18" hidden="1" customHeight="1"/>
    <row r="141" ht="18" hidden="1" customHeight="1"/>
    <row r="142" ht="18" hidden="1" customHeight="1"/>
    <row r="143" ht="18" hidden="1" customHeight="1"/>
    <row r="144" ht="18" hidden="1" customHeight="1"/>
    <row r="145" ht="18" hidden="1" customHeight="1"/>
    <row r="146" ht="18" hidden="1" customHeight="1"/>
    <row r="147" ht="15.6" hidden="1"/>
    <row r="148" ht="15.6" hidden="1"/>
    <row r="149" ht="18" hidden="1" customHeight="1"/>
    <row r="150" ht="18" hidden="1" customHeight="1"/>
    <row r="151" ht="18" hidden="1" customHeight="1"/>
    <row r="152" ht="18" hidden="1" customHeight="1"/>
    <row r="153" ht="18" hidden="1" customHeight="1"/>
    <row r="154" ht="18" hidden="1" customHeight="1"/>
    <row r="155" ht="18" hidden="1" customHeight="1"/>
    <row r="156" ht="18" hidden="1" customHeight="1"/>
    <row r="157" ht="18" hidden="1" customHeight="1"/>
    <row r="158" ht="18" hidden="1" customHeight="1"/>
    <row r="159" ht="18" hidden="1" customHeight="1"/>
    <row r="160" ht="18" hidden="1" customHeight="1"/>
    <row r="161" ht="18" hidden="1" customHeight="1"/>
    <row r="162" ht="18" hidden="1" customHeight="1"/>
  </sheetData>
  <sheetProtection sheet="1" objects="1" scenarios="1" sort="0" autoFilter="0" pivotTables="0"/>
  <mergeCells count="4">
    <mergeCell ref="J1:K1"/>
    <mergeCell ref="N2:N56"/>
    <mergeCell ref="AB2:AB56"/>
    <mergeCell ref="AI2:AI56"/>
  </mergeCells>
  <phoneticPr fontId="3" type="noConversion"/>
  <conditionalFormatting sqref="A2:AI2 O3:AA56 AJ2:AQ56 A3:M56 AC3:AH56">
    <cfRule type="expression" dxfId="100" priority="21750">
      <formula>MOD(ROW(),2)=0</formula>
    </cfRule>
  </conditionalFormatting>
  <conditionalFormatting sqref="F8 G23:G42">
    <cfRule type="expression" dxfId="99" priority="5">
      <formula>OR($J$1="差距(UQ)",$J$1="差距(Median)")</formula>
    </cfRule>
  </conditionalFormatting>
  <conditionalFormatting sqref="H8 H23:H42">
    <cfRule type="expression" dxfId="98" priority="3">
      <formula>$J$1="差距(LQ)"</formula>
    </cfRule>
  </conditionalFormatting>
  <conditionalFormatting sqref="J2:K57">
    <cfRule type="cellIs" dxfId="97" priority="14" operator="equal">
      <formula>"/"</formula>
    </cfRule>
    <cfRule type="cellIs" dxfId="96" priority="29" operator="lessThan">
      <formula>0</formula>
    </cfRule>
    <cfRule type="cellIs" dxfId="95" priority="30" operator="greaterThan">
      <formula>0</formula>
    </cfRule>
  </conditionalFormatting>
  <conditionalFormatting sqref="M2:M56">
    <cfRule type="cellIs" dxfId="94" priority="11" operator="equal">
      <formula>2</formula>
    </cfRule>
    <cfRule type="cellIs" dxfId="93" priority="12" operator="equal">
      <formula>1</formula>
    </cfRule>
    <cfRule type="cellIs" dxfId="92" priority="13" operator="equal">
      <formula>0</formula>
    </cfRule>
  </conditionalFormatting>
  <conditionalFormatting sqref="O2:S38 T23:T38 O39:T39 T40:T42 O40:S56">
    <cfRule type="expression" dxfId="91" priority="21747">
      <formula>U2=2</formula>
    </cfRule>
    <cfRule type="expression" dxfId="90" priority="21748">
      <formula>U2=0</formula>
    </cfRule>
    <cfRule type="expression" dxfId="89" priority="21749">
      <formula>U2=1</formula>
    </cfRule>
  </conditionalFormatting>
  <conditionalFormatting sqref="AB2 AI2 AP2:AR2 AP3:AQ22 AR3:AR33 AP23:AP33 AQ23:AQ38 AP37:AP38 AR37:AR52 AP39:AQ52 AQ53:AQ57">
    <cfRule type="expression" dxfId="88" priority="51">
      <formula>TRUE</formula>
    </cfRule>
  </conditionalFormatting>
  <hyperlinks>
    <hyperlink ref="B79" r:id="rId1" xr:uid="{00000000-0004-0000-1100-000000000000}"/>
    <hyperlink ref="B82" r:id="rId2" xr:uid="{00000000-0004-0000-1100-000001000000}"/>
    <hyperlink ref="B80" r:id="rId3" xr:uid="{00000000-0004-0000-1100-000002000000}"/>
    <hyperlink ref="B81" r:id="rId4" xr:uid="{00000000-0004-0000-1100-000003000000}"/>
    <hyperlink ref="B83" r:id="rId5" xr:uid="{00000000-0004-0000-1100-000004000000}"/>
    <hyperlink ref="B84" r:id="rId6" xr:uid="{00000000-0004-0000-1100-000005000000}"/>
    <hyperlink ref="B85" r:id="rId7" xr:uid="{00000000-0004-0000-1100-000006000000}"/>
    <hyperlink ref="B86" r:id="rId8" xr:uid="{00000000-0004-0000-1100-000007000000}"/>
    <hyperlink ref="B76" r:id="rId9" xr:uid="{00000000-0004-0000-1100-000008000000}"/>
    <hyperlink ref="B77" r:id="rId10" xr:uid="{00000000-0004-0000-1100-000009000000}"/>
  </hyperlinks>
  <pageMargins left="0.7" right="0.7" top="0.75" bottom="0.75" header="0.3" footer="0.3"/>
  <pageSetup paperSize="9" orientation="portrait" r:id="rId11"/>
  <ignoredErrors>
    <ignoredError sqref="J8:K8" formula="1"/>
  </ignoredErrors>
  <drawing r:id="rId1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選單!$K$1:$K$3</xm:f>
          </x14:formula1>
          <xm:sqref>J1</xm:sqref>
        </x14:dataValidation>
        <x14:dataValidation type="list" allowBlank="1" showInputMessage="1" showErrorMessage="1" xr:uid="{44CA95C6-6B8C-418D-89A9-585FA7515AB3}">
          <x14:formula1>
            <xm:f>選單!$J$1:$J$7</xm:f>
          </x14:formula1>
          <xm:sqref>AB2</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4"/>
  <dimension ref="A1:CZ474"/>
  <sheetViews>
    <sheetView topLeftCell="AJ11" zoomScale="115" zoomScaleNormal="115" workbookViewId="0">
      <selection activeCell="BF23" sqref="BF23"/>
    </sheetView>
  </sheetViews>
  <sheetFormatPr defaultColWidth="8.69921875" defaultRowHeight="13.8"/>
  <cols>
    <col min="1" max="1" width="10.19921875" style="117" customWidth="1"/>
    <col min="2" max="2" width="9.69921875" style="117" customWidth="1"/>
    <col min="3" max="3" width="21.19921875" style="117" customWidth="1"/>
    <col min="4" max="4" width="7.5" style="117" hidden="1" customWidth="1"/>
    <col min="5" max="5" width="9.296875" style="129" customWidth="1"/>
    <col min="6" max="6" width="8.796875" style="129" customWidth="1"/>
    <col min="7" max="7" width="4.296875" style="117" customWidth="1"/>
    <col min="8" max="8" width="3.19921875" style="117" customWidth="1"/>
    <col min="9" max="9" width="6.19921875" style="117" customWidth="1"/>
    <col min="10" max="10" width="8.69921875" style="117" customWidth="1"/>
    <col min="11" max="11" width="4.796875" style="117" customWidth="1"/>
    <col min="12" max="13" width="5.69921875" style="117" customWidth="1"/>
    <col min="14" max="14" width="6.69921875" style="117" customWidth="1"/>
    <col min="15" max="20" width="5.69921875" style="117" customWidth="1"/>
    <col min="21" max="21" width="4.69921875" style="117" customWidth="1"/>
    <col min="22" max="41" width="5.69921875" style="117" customWidth="1"/>
    <col min="42" max="42" width="8" style="117" customWidth="1"/>
    <col min="43" max="43" width="7" style="117" customWidth="1"/>
    <col min="44" max="44" width="7.19921875" style="117" customWidth="1"/>
    <col min="45" max="45" width="7" style="117" customWidth="1"/>
    <col min="46" max="46" width="8" style="117" customWidth="1"/>
    <col min="47" max="47" width="8.19921875" style="117" customWidth="1"/>
    <col min="48" max="51" width="7.19921875" style="117" customWidth="1"/>
    <col min="52" max="52" width="14.19921875" style="117" customWidth="1"/>
    <col min="53" max="53" width="45.3984375" style="117" customWidth="1"/>
    <col min="54" max="54" width="20.69921875" style="117" customWidth="1"/>
    <col min="55" max="55" width="9" style="117" customWidth="1"/>
    <col min="56" max="56" width="8.8984375" style="117" customWidth="1"/>
    <col min="57" max="57" width="10.19921875" style="117" customWidth="1"/>
    <col min="58" max="58" width="12.796875" style="117" customWidth="1"/>
    <col min="59" max="70" width="5.19921875" style="117" customWidth="1"/>
    <col min="71" max="71" width="9" style="117" bestFit="1" customWidth="1"/>
    <col min="72" max="72" width="5" style="117" customWidth="1"/>
    <col min="73" max="104" width="4.69921875" style="117" customWidth="1"/>
    <col min="105" max="16384" width="8.69921875" style="117"/>
  </cols>
  <sheetData>
    <row r="1" spans="2:76" s="127" customFormat="1">
      <c r="E1" s="128" t="s">
        <v>216</v>
      </c>
      <c r="F1" s="128"/>
      <c r="G1" s="118" t="s">
        <v>2282</v>
      </c>
      <c r="H1" s="353" t="s">
        <v>2283</v>
      </c>
      <c r="I1" s="118"/>
      <c r="J1" s="118" t="s">
        <v>217</v>
      </c>
      <c r="K1" s="118" t="s">
        <v>12</v>
      </c>
      <c r="L1" s="118" t="s">
        <v>14</v>
      </c>
      <c r="M1" s="118" t="s">
        <v>17</v>
      </c>
      <c r="N1" s="118" t="s">
        <v>2099</v>
      </c>
      <c r="O1" s="118" t="s">
        <v>218</v>
      </c>
      <c r="P1" s="118" t="str">
        <f>主頁!B15</f>
        <v>請選擇第一選修科</v>
      </c>
      <c r="Q1" s="118" t="str">
        <f>主頁!B16</f>
        <v>請選擇第二選修科</v>
      </c>
      <c r="R1" s="118" t="str">
        <f>主頁!B17</f>
        <v>請選擇第三選修科</v>
      </c>
      <c r="S1" s="118" t="str">
        <f>主頁!B18</f>
        <v>請選擇第四選修科</v>
      </c>
      <c r="T1" s="118" t="str">
        <f>主頁!B19</f>
        <v>請選擇語言科目</v>
      </c>
      <c r="U1" s="118"/>
      <c r="V1" s="128"/>
      <c r="X1" s="127" t="s">
        <v>219</v>
      </c>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T1" s="118"/>
    </row>
    <row r="2" spans="2:76">
      <c r="G2" s="129"/>
      <c r="I2" s="129"/>
      <c r="J2" s="130" t="s">
        <v>220</v>
      </c>
      <c r="K2" s="129" t="str">
        <f>IF($E$15=FALSE,主頁!C8,X7)</f>
        <v>請選擇等級</v>
      </c>
      <c r="L2" s="129" t="str">
        <f>IF($E$15=FALSE,主頁!C9,Y7)</f>
        <v>請選擇等級</v>
      </c>
      <c r="M2" s="129" t="str">
        <f>IF($E$15=FALSE,主頁!C10,Z7)</f>
        <v>請選擇等級</v>
      </c>
      <c r="N2" s="129" t="str">
        <f>IF($E$15=FALSE,主頁!C11,AA7)</f>
        <v>請選擇等級</v>
      </c>
      <c r="O2" s="129" t="str">
        <f>IF($E$15=FALSE,主頁!C12,AB7)</f>
        <v>請選擇等級</v>
      </c>
      <c r="P2" s="129">
        <f>IF($E$15=FALSE,IF(主頁!B15="請選擇第一選修科",0,主頁!C15),AC7)</f>
        <v>0</v>
      </c>
      <c r="Q2" s="129">
        <f>IF($E$15=FALSE,IF(主頁!B16="請選擇第二選修科",0,主頁!C16),AD7)</f>
        <v>0</v>
      </c>
      <c r="R2" s="129">
        <f>IF($E$15=FALSE,IF(主頁!B17="請選擇第三選修科",0,主頁!C17),AE7)</f>
        <v>0</v>
      </c>
      <c r="S2" s="129">
        <f>IF($E$15=FALSE,IF(主頁!B18="請選擇第四選修科",0,主頁!C18),AF7)</f>
        <v>0</v>
      </c>
      <c r="T2" s="448">
        <f>IF($E$15=FALSE,IF(主頁!B19="請選擇語言科目",0,主頁!C19),AG7)</f>
        <v>0</v>
      </c>
      <c r="U2" s="129"/>
      <c r="X2" s="117" t="str">
        <f>INDEX(O$1:T$1,MATCH(LARGE(O13:T13,1),O13:T13,0))</f>
        <v>請選擇第四選修科</v>
      </c>
    </row>
    <row r="3" spans="2:76">
      <c r="B3" s="130"/>
      <c r="C3" s="130" t="s">
        <v>2256</v>
      </c>
      <c r="D3" s="130"/>
      <c r="E3" s="131">
        <f>LARGE((K13:M13,P13:S13),1)+LARGE((K13:M13,P13:S13),2)+LARGE((K13:M13,P13:S13),3)+LARGE((K13:M13,P13:S13),4)</f>
        <v>3E-9</v>
      </c>
      <c r="F3" s="131"/>
      <c r="G3" s="129"/>
      <c r="I3" s="129"/>
      <c r="J3" s="132" t="s">
        <v>221</v>
      </c>
      <c r="K3" s="129">
        <f>IF(OR(K2="請選擇等級",K2=FALSE,K2=0),0,LOOKUP(K2,{1,2,3,4,5,"5*","5**","U"},{1,2,3,4,5.5,7,8.5,0}))+0.0000000001</f>
        <v>1E-10</v>
      </c>
      <c r="L3" s="129">
        <f>IF(OR(L2="請選擇等級",L2=FALSE,L2=0),0,LOOKUP(L2,{1,2,3,4,5,"5*","5**","U"},{1,2,3,4,5.5,7,8.5,0}))+0.0000000002</f>
        <v>2.0000000000000001E-10</v>
      </c>
      <c r="M3" s="129">
        <f>IF(OR(M2="請選擇等級",M2=FALSE,M2=0),0,LOOKUP(M2,{1,2,3,4,5,"5*","5**","U"},{1,2,3,4,5.5,7,8.5,0}))+0.0000000003</f>
        <v>3E-10</v>
      </c>
      <c r="N3" s="129">
        <f>IF(N$2="達標",1,0)</f>
        <v>0</v>
      </c>
      <c r="O3" s="129">
        <f>IF(OR(O2="請選擇等級",O2=FALSE,O2=0),0,LOOKUP(O2,{1,2,3,4,5,"5*","5**","U"},{1,2,3,4,5.5,7,8.5,0}))+0.0000000005</f>
        <v>5.0000000000000003E-10</v>
      </c>
      <c r="P3" s="129">
        <f>IF(OR(P2="請選擇等級",P2=FALSE,P2=0),0,LOOKUP(P2,{1,2,3,4,5,"5*","5**","U"},{1,2,3,4,5.5,7,8.5,0}))+0.0000000006</f>
        <v>6E-10</v>
      </c>
      <c r="Q3" s="129">
        <f>IF(OR(Q2="請選擇等級",Q2=FALSE,Q2=0),0,LOOKUP(Q2,{1,2,3,4,5,"5*","5**","U"},{1,2,3,4,5.5,7,8.5,0}))+0.0000000007</f>
        <v>6.9999999999999996E-10</v>
      </c>
      <c r="R3" s="129">
        <f>IF(OR(R2="請選擇等級",R2=FALSE,R2=0),0,LOOKUP(R2,{1,2,3,4,5,"5*","5**","U"},{1,2,3,4,5.5,7,8.5,0}))+0.0000000008</f>
        <v>8.0000000000000003E-10</v>
      </c>
      <c r="S3" s="129">
        <f>IF(OR(S2="請選擇等級",S2=FALSE,S2=0),0,LOOKUP(S2,{1,2,3,4,5,"5*","5**","U"},{1,2,3,4,5.5,7,8.5,0}))+0.0000000009</f>
        <v>8.9999999999999999E-10</v>
      </c>
      <c r="T3" s="448">
        <f>IF(OR($T$2="請選擇等級",$T$2=FALSE,$T$2=0),0,$AP11+0.00000000095)</f>
        <v>0</v>
      </c>
      <c r="U3" s="129"/>
    </row>
    <row r="4" spans="2:76">
      <c r="C4" s="130" t="s">
        <v>785</v>
      </c>
      <c r="D4" s="130"/>
      <c r="E4" s="131">
        <f>LARGE((K13:M13,P13:S13),1)+LARGE((K13:M13,P13:S13),2)+LARGE((K13:M13,P13:S13),3)+LARGE((K13:M13,P13:S13),4)+LARGE((K13:M13,P13:S13),5)</f>
        <v>3.2999999999999998E-9</v>
      </c>
      <c r="F4" s="131"/>
      <c r="G4" s="129"/>
      <c r="I4" s="129"/>
      <c r="J4" s="132" t="s">
        <v>222</v>
      </c>
      <c r="K4" s="129">
        <f>IF(OR(K2="請選擇等級",K2=FALSE,K2=0),0,LOOKUP(K2,{1,2,3,4,5,"5*","5**","U"},{1,2,3,4,5,6,7,0}))+0.0000000001</f>
        <v>1E-10</v>
      </c>
      <c r="L4" s="129">
        <f>IF(OR(L2="請選擇等級",L2=FALSE,L2=0),0,LOOKUP(L2,{1,2,3,4,5,"5*","5**","U"},{1,2,3,4,5,6,7,0}))+0.0000000002</f>
        <v>2.0000000000000001E-10</v>
      </c>
      <c r="M4" s="129">
        <f>IF(OR(M2="請選擇等級",M2=FALSE,M2=0),0,LOOKUP(M2,{1,2,3,4,5,"5*","5**","U"},{1,2,3,4,5,6,7,0}))+0.0000000003</f>
        <v>3E-10</v>
      </c>
      <c r="N4" s="129">
        <f t="shared" ref="N4:N11" si="0">IF(N$2="達標",1,0)</f>
        <v>0</v>
      </c>
      <c r="O4" s="129">
        <f>IF(OR(O2="請選擇等級",O2=FALSE,O2=0),0,LOOKUP(O2,{"U",1,2,3,4,5,"5*","5**"},{0,1,2,3,4,5,6,7}))+0.0000000005</f>
        <v>5.0000000000000003E-10</v>
      </c>
      <c r="P4" s="129">
        <f>IF(OR(P2="請選擇等級",P2=FALSE,P2=0),0,LOOKUP(P2,{1,2,3,4,5,"5*","5**","U"},{1,2,3,4,5,6,7,0}))+0.0000000006</f>
        <v>6E-10</v>
      </c>
      <c r="Q4" s="129">
        <f>IF(OR(Q2="請選擇等級",Q2=FALSE,Q2=0),0,LOOKUP(Q2,{1,2,3,4,5,"5*","5**","U"},{1,2,3,4,5,6,7,0}))+0.0000000007</f>
        <v>6.9999999999999996E-10</v>
      </c>
      <c r="R4" s="129">
        <f>IF(OR(R2="請選擇等級",R2=FALSE,R2=0),0,LOOKUP(R2,{1,2,3,4,5,"5*","5**","U"},{1,2,3,4,5,6,7,0}))+0.0000000008</f>
        <v>8.0000000000000003E-10</v>
      </c>
      <c r="S4" s="129">
        <f>IF(OR(S2="請選擇等級",S2=FALSE,S2=0),0,LOOKUP(S2,{1,2,3,4,5,"5*","5**","U"},{1,2,3,4,5,6,7,0}))+0.0000000009</f>
        <v>8.9999999999999999E-10</v>
      </c>
      <c r="T4" s="448">
        <f t="shared" ref="T4:T11" si="1">IF(OR($T$2="請選擇等級",$T$2=FALSE,$T$2=0),0,$AP12+0.00000000095)</f>
        <v>0</v>
      </c>
      <c r="U4" s="129"/>
      <c r="V4" s="122" t="s">
        <v>223</v>
      </c>
      <c r="W4" s="122"/>
      <c r="X4" s="116" t="s">
        <v>224</v>
      </c>
      <c r="Y4" s="116"/>
      <c r="Z4" s="116"/>
      <c r="AA4" s="116"/>
      <c r="AB4" s="116"/>
      <c r="AC4" s="116"/>
      <c r="AD4" s="116"/>
      <c r="AE4" s="116"/>
      <c r="AF4" s="116"/>
      <c r="AG4" s="116"/>
      <c r="AH4" s="116"/>
    </row>
    <row r="5" spans="2:76">
      <c r="C5" s="130" t="s">
        <v>2102</v>
      </c>
      <c r="D5" s="130"/>
      <c r="E5" s="131">
        <f>SUM($K$13:$M$13)+LARGE(($P$13:$R$13,$S$13),1)</f>
        <v>1.5E-9</v>
      </c>
      <c r="F5" s="131"/>
      <c r="G5" s="129"/>
      <c r="I5" s="129"/>
      <c r="J5" s="132" t="s">
        <v>225</v>
      </c>
      <c r="K5" s="129">
        <f>IF(OR(K2="請選擇等級",K2=FALSE,K2=0),0,LOOKUP(K2,{1,2,3,4,5,"5*","5**","U"},{1,2,3,4,5.5,7,8.5,0}))+0.0000000001</f>
        <v>1E-10</v>
      </c>
      <c r="L5" s="129">
        <f>IF(OR(L2="請選擇等級",L2=FALSE,L2=0),0,LOOKUP(L2,{1,2,3,4,5,"5*","5**","U"},{1,2,3,4,5.5,7,8.5,0}))+0.0000000002</f>
        <v>2.0000000000000001E-10</v>
      </c>
      <c r="M5" s="129">
        <f>IF(OR(M2="請選擇等級",M2=FALSE,M2=0),0,LOOKUP(M2,{1,2,3,4,5,"5*","5**","U"},{1,2,3,4,5.5,7,8.5,0}))+0.0000000003</f>
        <v>3E-10</v>
      </c>
      <c r="N5" s="129">
        <f t="shared" si="0"/>
        <v>0</v>
      </c>
      <c r="O5" s="129">
        <f>IF(OR(O2="請選擇等級",O2=FALSE,O2=0),0,LOOKUP(O2,{1,2,3,4,5,"5*","5**","U"},{1,2,3,4,5.5,7,8.5,0}))+0.0000000005</f>
        <v>5.0000000000000003E-10</v>
      </c>
      <c r="P5" s="129">
        <f>IF(OR(P2="請選擇等級",P2=FALSE,P2=0),0,LOOKUP(P2,{1,2,3,4,5,"5*","5**","U"},{1,2,3,4,5.5,7,8.5,0}))+0.0000000006</f>
        <v>6E-10</v>
      </c>
      <c r="Q5" s="129">
        <f>IF(OR(Q2="請選擇等級",Q2=FALSE,Q2=0),0,LOOKUP(Q2,{1,2,3,4,5,"5*","5**","U"},{1,2,3,4,5.5,7,8.5,0}))+0.0000000007</f>
        <v>6.9999999999999996E-10</v>
      </c>
      <c r="R5" s="129">
        <f>IF(OR(R2="請選擇等級",R2=FALSE,R2=0),0,LOOKUP(R2,{1,2,3,4,5,"5*","5**","U"},{1,2,3,4,5.5,7,8.5,0}))+0.0000000008</f>
        <v>8.0000000000000003E-10</v>
      </c>
      <c r="S5" s="129">
        <f>IF(OR(S2="請選擇等級",S2=FALSE,S2=0),0,LOOKUP(S2,{1,2,3,4,5,"5*","5**","U"},{1,2,3,4,5.5,7,8.5,0}))+0.0000000009</f>
        <v>8.9999999999999999E-10</v>
      </c>
      <c r="T5" s="448">
        <f t="shared" si="1"/>
        <v>0</v>
      </c>
      <c r="U5" s="129"/>
      <c r="V5" s="116" t="s">
        <v>226</v>
      </c>
      <c r="W5" s="116"/>
      <c r="X5" s="133">
        <f>主頁!D8</f>
        <v>0</v>
      </c>
      <c r="Y5" s="133">
        <f>主頁!D9</f>
        <v>0</v>
      </c>
      <c r="Z5" s="133">
        <f>主頁!D10</f>
        <v>0</v>
      </c>
      <c r="AA5" s="133">
        <f>主頁!D11</f>
        <v>0</v>
      </c>
      <c r="AB5" s="133">
        <f>主頁!D12</f>
        <v>0</v>
      </c>
      <c r="AC5" s="133">
        <f>IF(主頁!B15="請選擇第一選修科",0,主頁!D15)</f>
        <v>0</v>
      </c>
      <c r="AD5" s="133">
        <f>IF(主頁!B16="請選擇第二選修科",0,主頁!D16)</f>
        <v>0</v>
      </c>
      <c r="AE5" s="133">
        <f>IF(主頁!B17="請選擇第三選修科",0,主頁!D17)</f>
        <v>0</v>
      </c>
      <c r="AF5" s="133">
        <f>IF(主頁!B18="請選擇第四選修科",0,主頁!D18)</f>
        <v>0</v>
      </c>
      <c r="AG5" s="133">
        <f>IF(主頁!B19="請選擇語言科目",0,主頁!D19)</f>
        <v>0</v>
      </c>
      <c r="AH5" s="116"/>
    </row>
    <row r="6" spans="2:76">
      <c r="C6" s="130" t="s">
        <v>2103</v>
      </c>
      <c r="D6" s="130"/>
      <c r="E6" s="131">
        <f>SUM($K$13:$M$13)+LARGE(($P$13:$R$13,$S$13),1)+LARGE(($P$13:$R$13,$S$13),2)</f>
        <v>2.2999999999999999E-9</v>
      </c>
      <c r="F6" s="131"/>
      <c r="G6" s="129"/>
      <c r="I6" s="129"/>
      <c r="J6" s="132" t="s">
        <v>227</v>
      </c>
      <c r="K6" s="129">
        <f>IF(OR(K2="請選擇等級",K2=FALSE,K2=0),0,LOOKUP(K2,{1,2,3,4,5,"5*","5**","U"},{1,2,3,4,5.5,7,8.5,0}))+0.0000000001</f>
        <v>1E-10</v>
      </c>
      <c r="L6" s="129">
        <f>IF(OR(L2="請選擇等級",L2=FALSE,L2=0),0,LOOKUP(L2,{1,2,3,4,5,"5*","5**","U"},{1,2,3,4,5.5,7,8.5,0}))+0.0000000002</f>
        <v>2.0000000000000001E-10</v>
      </c>
      <c r="M6" s="129">
        <f>IF(OR(M2="請選擇等級",M2=FALSE,M2=0),0,LOOKUP(M2,{1,2,3,4,5,"5*","5**","U"},{1,2,3,4,5.5,7,8.5,0}))+0.0000000003</f>
        <v>3E-10</v>
      </c>
      <c r="N6" s="129">
        <f t="shared" si="0"/>
        <v>0</v>
      </c>
      <c r="O6" s="129">
        <f>IF(OR(O2="請選擇等級",O2=FALSE,O2=0),0,LOOKUP(O2,{1,2,3,4,5,"5*","5**","U"},{1,2,3,4,5.5,7,8.5,0}))+0.0000000005</f>
        <v>5.0000000000000003E-10</v>
      </c>
      <c r="P6" s="129">
        <f>IF(OR(P2="請選擇等級",P2=FALSE,P2=0),0,LOOKUP(P2,{1,2,3,4,5,"5*","5**","U"},{1,2,3,4,5.5,7,8.5,0}))+0.0000000006</f>
        <v>6E-10</v>
      </c>
      <c r="Q6" s="129">
        <f>IF(OR(Q2="請選擇等級",Q2=FALSE,Q2=0),0,LOOKUP(Q2,{1,2,3,4,5,"5*","5**","U"},{1,2,3,4,5.5,7,8.5,0}))+0.0000000007</f>
        <v>6.9999999999999996E-10</v>
      </c>
      <c r="R6" s="129">
        <f>IF(OR(R2="請選擇等級",R2=FALSE,R2=0),0,LOOKUP(R2,{1,2,3,4,5,"5*","5**","U"},{1,2,3,4,5.5,7,8.5,0}))+0.0000000008</f>
        <v>8.0000000000000003E-10</v>
      </c>
      <c r="S6" s="129">
        <f>IF(OR(S2="請選擇等級",S2=FALSE,S2=0),0,LOOKUP(S2,{1,2,3,4,5,"5*","5**","U"},{1,2,3,4,5.5,7,8.5,0}))+0.0000000009</f>
        <v>8.9999999999999999E-10</v>
      </c>
      <c r="T6" s="448">
        <f t="shared" si="1"/>
        <v>0</v>
      </c>
      <c r="U6" s="129"/>
      <c r="V6" s="116" t="s">
        <v>228</v>
      </c>
      <c r="W6" s="116"/>
      <c r="X6" s="133" t="b">
        <f t="shared" ref="X6:AF6" si="2">ISNUMBER(X5)</f>
        <v>1</v>
      </c>
      <c r="Y6" s="133" t="b">
        <f t="shared" si="2"/>
        <v>1</v>
      </c>
      <c r="Z6" s="133" t="b">
        <f t="shared" si="2"/>
        <v>1</v>
      </c>
      <c r="AA6" s="133" t="b">
        <f t="shared" si="2"/>
        <v>1</v>
      </c>
      <c r="AB6" s="133" t="b">
        <f t="shared" si="2"/>
        <v>1</v>
      </c>
      <c r="AC6" s="133" t="b">
        <f t="shared" si="2"/>
        <v>1</v>
      </c>
      <c r="AD6" s="133" t="b">
        <f t="shared" si="2"/>
        <v>1</v>
      </c>
      <c r="AE6" s="133" t="b">
        <f t="shared" si="2"/>
        <v>1</v>
      </c>
      <c r="AF6" s="133" t="b">
        <f t="shared" si="2"/>
        <v>1</v>
      </c>
      <c r="AG6" s="133" t="b">
        <f>ISTEXT(AG5)</f>
        <v>0</v>
      </c>
      <c r="AH6" s="116"/>
    </row>
    <row r="7" spans="2:76">
      <c r="E7" s="131"/>
      <c r="F7" s="131"/>
      <c r="G7" s="129"/>
      <c r="I7" s="129"/>
      <c r="J7" s="132" t="s">
        <v>229</v>
      </c>
      <c r="K7" s="129">
        <f>IF(OR(K2="請選擇等級",K2=FALSE,K2=0),0,LOOKUP(K2,{1,2,3,4,5,"5*","5**","U"},{1,2,3,4,5.5,7,8.5,0}))+0.0000000001</f>
        <v>1E-10</v>
      </c>
      <c r="L7" s="129">
        <f>IF(OR(L2="請選擇等級",L2=FALSE,L2=0),0,LOOKUP(L2,{1,2,3,4,5,"5*","5**","U"},{1,2,3,4,5.5,7,8.5,0}))+0.0000000002</f>
        <v>2.0000000000000001E-10</v>
      </c>
      <c r="M7" s="129">
        <f>IF(OR(M2="請選擇等級",M2=FALSE,M2=0),0,LOOKUP(M2,{1,2,3,4,5,"5*","5**","U"},{1,2,3,4,5.5,7,8.5,0}))+0.0000000003</f>
        <v>3E-10</v>
      </c>
      <c r="N7" s="129">
        <f t="shared" si="0"/>
        <v>0</v>
      </c>
      <c r="O7" s="129">
        <f>IF(OR(O2="請選擇等級",O2=FALSE,O2=0),0,LOOKUP(O2,{1,2,3,4,5,"5*","5**","U"},{1,2,3,4,5.5,7,8.5,0}))+0.0000000005</f>
        <v>5.0000000000000003E-10</v>
      </c>
      <c r="P7" s="129">
        <f>IF(OR(P2="請選擇等級",P2=FALSE,P2=0),0,LOOKUP(P2,{1,2,3,4,5,"5*","5**","U"},{1,2,3,4,5.5,7,8.5,0}))+0.0000000006</f>
        <v>6E-10</v>
      </c>
      <c r="Q7" s="129">
        <f>IF(OR(Q2="請選擇等級",Q2=FALSE,Q2=0),0,LOOKUP(Q2,{1,2,3,4,5,"5*","5**","U"},{1,2,3,4,5.5,7,8.5,0}))+0.0000000007</f>
        <v>6.9999999999999996E-10</v>
      </c>
      <c r="R7" s="129">
        <f>IF(OR(R2="請選擇等級",R2=FALSE,R2=0),0,LOOKUP(R2,{1,2,3,4,5,"5*","5**","U"},{1,2,3,4,5.5,7,8.5,0}))+0.0000000008</f>
        <v>8.0000000000000003E-10</v>
      </c>
      <c r="S7" s="129">
        <f>IF(OR(S2="請選擇等級",S2=FALSE,S2=0),0,LOOKUP(S2,{1,2,3,4,5,"5*","5**","U"},{1,2,3,4,5.5,7,8.5,0}))+0.0000000009</f>
        <v>8.9999999999999999E-10</v>
      </c>
      <c r="T7" s="448">
        <f t="shared" si="1"/>
        <v>0</v>
      </c>
      <c r="U7" s="129"/>
      <c r="V7" s="116" t="s">
        <v>230</v>
      </c>
      <c r="W7" s="116"/>
      <c r="X7" s="133">
        <f>IF(OR(X5="請選擇等級",X6=FALSE,X5=0),0,LOOKUP(X5,{1,2,3,4,5,6,7,0},{1,2,3,4,5,"5*","5**","U"}))</f>
        <v>0</v>
      </c>
      <c r="Y7" s="133">
        <f>IF(OR(Y5="請選擇等級",Y6=FALSE,Y5=0),0,LOOKUP(Y5,{1,2,3,4,5,6,7,0},{1,2,3,4,5,"5*","5**","U"}))</f>
        <v>0</v>
      </c>
      <c r="Z7" s="133">
        <f>IF(OR(Z5="請選擇等級",Z6=FALSE,Z5=0),0,LOOKUP(Z5,{1,2,3,4,5,6,7,0},{1,2,3,4,5,"5*","5**","U"}))</f>
        <v>0</v>
      </c>
      <c r="AA7" s="133" t="str">
        <f>LOOKUP(AA5,{0,1},{"不達標","達標"})</f>
        <v>不達標</v>
      </c>
      <c r="AB7" s="133">
        <f>IF(OR(AB5="請選擇等級",AB6=FALSE,AB5=0),0,LOOKUP(AB5,{1,2,3,4,5,6,7,0},{1,2,3,4,5,"5*","5**","U"}))</f>
        <v>0</v>
      </c>
      <c r="AC7" s="133">
        <f>IF(OR(AC5="請選擇等級",AC6=FALSE,AC5=0),0,LOOKUP(AC5,{1,2,3,4,5,6,7,0},{1,2,3,4,5,"5*","5**","U"}))</f>
        <v>0</v>
      </c>
      <c r="AD7" s="133">
        <f>IF(OR(AD5="請選擇等級",AD6=FALSE,AD5=0),0,LOOKUP(AD5,{1,2,3,4,5,6,7,0},{1,2,3,4,5,"5*","5**","U"}))</f>
        <v>0</v>
      </c>
      <c r="AE7" s="133">
        <f>IF(OR(AE5="請選擇等級",AE6=FALSE,AE5=0),0,LOOKUP(AE5,{1,2,3,4,5,6,7,0},{1,2,3,4,5,"5*","5**","U"}))</f>
        <v>0</v>
      </c>
      <c r="AF7" s="133">
        <f>IF(OR(AF5="請選擇等級",AF6=FALSE,AF5=0),0,LOOKUP(AF5,{1,2,3,4,5,6,7,0},{1,2,3,4,5,"5*","5**","U"}))</f>
        <v>0</v>
      </c>
      <c r="AG7" s="133">
        <f>IF(AG6=TRUE,AG5,0)</f>
        <v>0</v>
      </c>
      <c r="AH7" s="116"/>
    </row>
    <row r="8" spans="2:76">
      <c r="C8" s="130" t="s">
        <v>2284</v>
      </c>
      <c r="D8" s="130"/>
      <c r="E8" s="131">
        <f>LARGE((K13:M13,O13:S13),1)+LARGE((K13:M13,O13:S13),2)+LARGE((K13:M13,O13:S13),3)+LARGE((K13:M13,O13:S13),4)</f>
        <v>3E-9</v>
      </c>
      <c r="F8" s="131"/>
      <c r="G8" s="129"/>
      <c r="J8" s="132" t="s">
        <v>231</v>
      </c>
      <c r="K8" s="129">
        <f>IF(OR(K2="請選擇等級",K2=FALSE,K2=0),0,LOOKUP(K2,{1,2,3,4,5,"5*","5**","U"},{1,2,3,4,5.5,7,8.5,0}))+0.0000000001</f>
        <v>1E-10</v>
      </c>
      <c r="L8" s="129">
        <f>IF(OR(L2="請選擇等級",L2=FALSE,L2=0),0,LOOKUP(L2,{1,2,3,4,5,"5*","5**","U"},{1,2,3,4,5.5,7,8.5,0}))+0.0000000002</f>
        <v>2.0000000000000001E-10</v>
      </c>
      <c r="M8" s="129">
        <f>IF(OR(M2="請選擇等級",M2=FALSE,M2=0),0,LOOKUP(M2,{1,2,3,4,5,"5*","5**","U"},{1,2,3,4,5.5,7,8.5,0}))+0.0000000003</f>
        <v>3E-10</v>
      </c>
      <c r="N8" s="129">
        <f t="shared" si="0"/>
        <v>0</v>
      </c>
      <c r="O8" s="129">
        <f>IF(OR(O2="請選擇等級",O2=FALSE,O2=0),0,LOOKUP(O2,{1,2,3,4,5,"5*","5**","U"},{1,2,3,4,5.5,7,8.5,0}))+0.0000000005</f>
        <v>5.0000000000000003E-10</v>
      </c>
      <c r="P8" s="129">
        <f>IF(OR(P2="請選擇等級",P2=FALSE,P2=0),0,LOOKUP(P2,{1,2,3,4,5,"5*","5**","U"},{1,2,3,4,5.5,7,8.5,0}))+0.0000000006</f>
        <v>6E-10</v>
      </c>
      <c r="Q8" s="129">
        <f>IF(OR(Q2="請選擇等級",Q2=FALSE,Q2=0),0,LOOKUP(Q2,{1,2,3,4,5,"5*","5**","U"},{1,2,3,4,5.5,7,8.5,0}))+0.0000000007</f>
        <v>6.9999999999999996E-10</v>
      </c>
      <c r="R8" s="129">
        <f>IF(OR(R2="請選擇等級",R2=FALSE,R2=0),0,LOOKUP(R2,{1,2,3,4,5,"5*","5**","U"},{1,2,3,4,5.5,7,8.5,0}))+0.0000000008</f>
        <v>8.0000000000000003E-10</v>
      </c>
      <c r="S8" s="129">
        <f>IF(OR(S2="請選擇等級",S2=FALSE,S2=0),0,LOOKUP(S2,{1,2,3,4,5,"5*","5**","U"},{1,2,3,4,5.5,7,8.5,0}))+0.0000000009</f>
        <v>8.9999999999999999E-10</v>
      </c>
      <c r="T8" s="448">
        <f t="shared" si="1"/>
        <v>0</v>
      </c>
      <c r="U8" s="129"/>
      <c r="V8" s="116"/>
      <c r="W8" s="116"/>
      <c r="X8" s="116"/>
      <c r="Y8" s="116"/>
      <c r="Z8" s="116"/>
      <c r="AA8" s="116"/>
      <c r="AB8" s="116"/>
      <c r="AC8" s="116"/>
      <c r="AD8" s="116"/>
      <c r="AE8" s="116"/>
      <c r="AF8" s="116"/>
      <c r="AG8" s="116"/>
      <c r="AH8" s="116"/>
    </row>
    <row r="9" spans="2:76">
      <c r="C9" s="130" t="s">
        <v>2285</v>
      </c>
      <c r="D9" s="130"/>
      <c r="E9" s="131">
        <f>LARGE((K13:M13,O13:S13),1)+LARGE((K13:M13,O13:S13),2)+LARGE((K13:M13,O13:S13),3)+LARGE((K13:M13,O13:S13),4)+LARGE((K13:M13,O13:S13),5)</f>
        <v>3.4999999999999999E-9</v>
      </c>
      <c r="F9" s="131"/>
      <c r="G9" s="129"/>
      <c r="J9" s="132" t="s">
        <v>232</v>
      </c>
      <c r="K9" s="129">
        <f>IF(OR(K2="請選擇等級",K2=FALSE,K2=0),0,LOOKUP(K2,{1,2,3,4,5,"5*","5**","U"},{1,2,3,4,5,6,7,0}))+0.0000000001</f>
        <v>1E-10</v>
      </c>
      <c r="L9" s="129">
        <f>IF(OR(L2="請選擇等級",L2=FALSE,L2=0),0,LOOKUP(L2,{1,2,3,4,5,"5*","5**","U"},{1,2,3,4,5,6,7,0}))+0.0000000002</f>
        <v>2.0000000000000001E-10</v>
      </c>
      <c r="M9" s="129">
        <f>IF(OR(M2="請選擇等級",M2=FALSE,M2=0),0,LOOKUP(M2,{1,2,3,4,5,"5*","5**","U"},{1,2,3,4,5,6,7,0}))+0.0000000003</f>
        <v>3E-10</v>
      </c>
      <c r="N9" s="129">
        <f t="shared" si="0"/>
        <v>0</v>
      </c>
      <c r="O9" s="129">
        <f>IF(OR(O2="請選擇等級",O2=FALSE,O2=0),0,LOOKUP(O2,{1,2,3,4,5,"5*","5**","U"},{1,2,3,4,5,6,7,0}))+0.0000000005</f>
        <v>5.0000000000000003E-10</v>
      </c>
      <c r="P9" s="129">
        <f>IF(OR(P2="請選擇等級",P2=FALSE,P2=0),0,LOOKUP(P2,{1,2,3,4,5,"5*","5**","U"},{1,2,3,4,5,6,7,0}))+0.0000000006</f>
        <v>6E-10</v>
      </c>
      <c r="Q9" s="129">
        <f>IF(OR(Q2="請選擇等級",Q2=FALSE,Q2=0),0,LOOKUP(Q2,{1,2,3,4,5,"5*","5**","U"},{1,2,3,4,5,6,7,0}))+0.0000000007</f>
        <v>6.9999999999999996E-10</v>
      </c>
      <c r="R9" s="129">
        <f>IF(OR(R2="請選擇等級",R2=FALSE,R2=0),0,LOOKUP(R2,{1,2,3,4,5,"5*","5**","U"},{1,2,3,4,5,6,7,0}))+0.0000000008</f>
        <v>8.0000000000000003E-10</v>
      </c>
      <c r="S9" s="129">
        <f>IF(OR(S2="請選擇等級",S2=FALSE,S2=0),0,LOOKUP(S2,{1,2,3,4,5,"5*","5**","U"},{1,2,3,4,5,6,7,0}))+0.0000000009</f>
        <v>8.9999999999999999E-10</v>
      </c>
      <c r="T9" s="448">
        <f t="shared" si="1"/>
        <v>0</v>
      </c>
      <c r="U9" s="129"/>
    </row>
    <row r="10" spans="2:76">
      <c r="E10" s="131"/>
      <c r="F10" s="131"/>
      <c r="G10" s="129"/>
      <c r="J10" s="132" t="s">
        <v>233</v>
      </c>
      <c r="K10" s="129">
        <f>IF(OR(K2="請選擇等級",K2=FALSE,K2=0),0,LOOKUP(K2,{1,2,3,4,5,"5*","5**","U"},{1,2,3,4,5,6,7,0}))+0.0000000001</f>
        <v>1E-10</v>
      </c>
      <c r="L10" s="129">
        <f>IF(OR(L2="請選擇等級",L2=FALSE,L2=0),0,LOOKUP(L2,{1,2,3,4,5,"5*","5**","U"},{1,2,3,4,5,6,7,0}))+0.0000000002</f>
        <v>2.0000000000000001E-10</v>
      </c>
      <c r="M10" s="129">
        <f>IF(OR(M2="請選擇等級",M2=FALSE,M2=0),0,LOOKUP(M2,{1,2,3,4,5,"5*","5**","U"},{1,2,3,4,5,6,7,0}))+0.0000000003</f>
        <v>3E-10</v>
      </c>
      <c r="N10" s="129">
        <f t="shared" si="0"/>
        <v>0</v>
      </c>
      <c r="O10" s="129">
        <f>IF(OR(O2="請選擇等級",O2=FALSE,O2=0),0,LOOKUP(O2,{1,2,3,4,5,"5*","5**","U"},{1,2,3,4,5,6,7,0}))+0.0000000005</f>
        <v>5.0000000000000003E-10</v>
      </c>
      <c r="P10" s="129">
        <f>IF(OR(P2="請選擇等級",P2=FALSE,P2=0),0,LOOKUP(P2,{1,2,3,4,5,"5*","5**","U"},{1,2,3,4,5,6,7,0}))+0.0000000006</f>
        <v>6E-10</v>
      </c>
      <c r="Q10" s="129">
        <f>IF(OR(Q2="請選擇等級",Q2=FALSE,Q2=0),0,LOOKUP(Q2,{1,2,3,4,5,"5*","5**","U"},{1,2,3,4,5,6,7,0}))+0.0000000007</f>
        <v>6.9999999999999996E-10</v>
      </c>
      <c r="R10" s="129">
        <f>IF(OR(R2="請選擇等級",R2=FALSE,R2=0),0,LOOKUP(R2,{1,2,3,4,5,"5*","5**","U"},{1,2,3,4,5,6,7,0}))+0.0000000008</f>
        <v>8.0000000000000003E-10</v>
      </c>
      <c r="S10" s="129">
        <f>IF(OR(S2="請選擇等級",S2=FALSE,S2=0),0,LOOKUP(S2,{1,2,3,4,5,"5*","5**","U"},{1,2,3,4,5,6,7,0}))+0.0000000009</f>
        <v>8.9999999999999999E-10</v>
      </c>
      <c r="T10" s="448">
        <f t="shared" si="1"/>
        <v>0</v>
      </c>
      <c r="U10" s="117" t="s">
        <v>234</v>
      </c>
      <c r="V10" s="117" t="s">
        <v>235</v>
      </c>
      <c r="W10" s="117" t="s">
        <v>236</v>
      </c>
      <c r="AI10" s="1" t="s">
        <v>2081</v>
      </c>
      <c r="AJ10" s="1" t="s">
        <v>2085</v>
      </c>
      <c r="AK10" s="1" t="s">
        <v>2088</v>
      </c>
      <c r="AL10" s="1" t="s">
        <v>3280</v>
      </c>
      <c r="AM10" s="1" t="s">
        <v>2089</v>
      </c>
      <c r="AN10" s="1" t="s">
        <v>2090</v>
      </c>
    </row>
    <row r="11" spans="2:76">
      <c r="E11" s="131"/>
      <c r="F11" s="131"/>
      <c r="G11" s="129"/>
      <c r="I11" s="129"/>
      <c r="J11" s="132" t="s">
        <v>237</v>
      </c>
      <c r="K11" s="129">
        <f>IF(OR(K2="請選擇等級",K2=FALSE,K2=0),0,LOOKUP(K2,{1,2,3,4,5,"5*","5**","U"},{1,2,3,4,5,6,7,0}))+0.0000000001</f>
        <v>1E-10</v>
      </c>
      <c r="L11" s="129">
        <f>IF(OR(L2="請選擇等級",L2=FALSE,L2=0),0,LOOKUP(L2,{1,2,3,4,5,"5*","5**","U"},{1,2,3,4,5,6,7,0}))+0.0000000002</f>
        <v>2.0000000000000001E-10</v>
      </c>
      <c r="M11" s="129">
        <f>IF(OR(M2="請選擇等級",M2=FALSE,M2=0),0,LOOKUP(M2,{1,2,3,4,5,"5*","5**","U"},{1,2,3,4,5,6,7,0}))+0.0000000003</f>
        <v>3E-10</v>
      </c>
      <c r="N11" s="129">
        <f t="shared" si="0"/>
        <v>0</v>
      </c>
      <c r="O11" s="129"/>
      <c r="P11" s="129">
        <f>IF(OR(P2="請選擇等級",P2=FALSE,P2=0),0,LOOKUP(P2,{1,2,3,4,5,"5*","5**","U"},{1,2,3,4,5,6,7,0}))+0.0000000006</f>
        <v>6E-10</v>
      </c>
      <c r="Q11" s="129">
        <f>IF(OR(Q2="請選擇等級",Q2=FALSE,Q2=0),0,LOOKUP(Q2,{1,2,3,4,5,"5*","5**","U"},{1,2,3,4,5,6,7,0}))+0.0000000007</f>
        <v>6.9999999999999996E-10</v>
      </c>
      <c r="R11" s="129">
        <f>IF(OR(R2="請選擇等級",R2=FALSE,R2=0),0,LOOKUP(R2,{1,2,3,4,5,"5*","5**","U"},{1,2,3,4,5,6,7,0}))+0.0000000008</f>
        <v>8.0000000000000003E-10</v>
      </c>
      <c r="S11" s="129">
        <f>IF(OR(S2="請選擇等級",S2=FALSE,S2=0),0,LOOKUP(S2,{1,2,3,4,5,"5*","5**","U"},{1,2,3,4,5,6,7,0}))+0.0000000009</f>
        <v>8.9999999999999999E-10</v>
      </c>
      <c r="T11" s="448">
        <f t="shared" si="1"/>
        <v>0</v>
      </c>
      <c r="U11" s="117">
        <f>IF(OR(T2="請選擇等級",T2=FALSE,T2=0),0,LOOKUP(T2,{"A","B","C","D","E","U"},{3,3,3,2,2,0}))+0.00000000095</f>
        <v>9.5000000000000003E-10</v>
      </c>
      <c r="V11" s="117">
        <f>IF(OR(T2="請選擇等級",T2=FALSE,T2=0),0,LOOKUP(T2,{"A","B","C","D","E","U"},{5,4,3,2,1,0}))+0.00000000095</f>
        <v>9.5000000000000003E-10</v>
      </c>
      <c r="AA11" s="117" t="str">
        <f>T1</f>
        <v>請選擇語言科目</v>
      </c>
      <c r="AB11" s="508" t="s">
        <v>3277</v>
      </c>
      <c r="AE11" s="1" t="s">
        <v>2081</v>
      </c>
      <c r="AF11" s="117">
        <f>IF($T$2=$AB$11,"C2",IF($T$2=$AB$12,"C1",IF($T$2=$AB$13,"B2",IF($T$2=$AB$14,"B1",IF($T$2=$AB$15,"A2",0)))))</f>
        <v>0</v>
      </c>
      <c r="AG11" s="117" t="e">
        <f>INDEX(AF11:AF16,MATCH(AA11,AE11:AE16,0))</f>
        <v>#N/A</v>
      </c>
      <c r="AH11" s="117" t="s">
        <v>1889</v>
      </c>
      <c r="AI11" s="117" t="e">
        <f>LOOKUP($AG$11,{"C2","C1","B2","B1","A2"},{7,5.5,4,3,3})</f>
        <v>#N/A</v>
      </c>
      <c r="AJ11" s="117" t="e">
        <f>LOOKUP($AG$11,{"N1","N2","N3"},{7,5.5,4})</f>
        <v>#N/A</v>
      </c>
      <c r="AK11" s="117" t="e">
        <f>LOOKUP($AG$11,{"C2","C1","B2","B1","A2"},{7,5.5,4,3,3})</f>
        <v>#N/A</v>
      </c>
      <c r="AL11" s="117" t="e">
        <f>LOOKUP($AG$11,{"3","4","5","6"},{3,4,5.5,7})</f>
        <v>#N/A</v>
      </c>
      <c r="AM11" s="117" t="e">
        <f>LOOKUP($AG$11,{"C2","C1","B2","B1","A2"},{7,5.5,4,3,3})</f>
        <v>#N/A</v>
      </c>
      <c r="AN11" s="117" t="s">
        <v>324</v>
      </c>
      <c r="AP11" s="117">
        <f>IFERROR(IF($AA$11=$AI$10,AI11,IF($AA$11=$AJ$10,AJ11,IF($AA$11=$AK$10,AK11,IF($AA$11=$AL$10,AL11,IF($AA$11=$AM$10,AM11,IF($AA$11=$AN$10,AN11,0)))))),0)</f>
        <v>0</v>
      </c>
    </row>
    <row r="12" spans="2:76">
      <c r="C12" s="130" t="s">
        <v>2314</v>
      </c>
      <c r="D12" s="130"/>
      <c r="E12" s="131">
        <f>SUM($K$13:$M$13)+LARGE(($O$13:$S$13),1)</f>
        <v>1.5E-9</v>
      </c>
      <c r="F12" s="131"/>
      <c r="G12" s="129"/>
      <c r="I12" s="129"/>
      <c r="J12" s="132"/>
      <c r="K12" s="129"/>
      <c r="L12" s="129"/>
      <c r="M12" s="129"/>
      <c r="N12" s="129"/>
      <c r="O12" s="129"/>
      <c r="P12" s="129"/>
      <c r="Q12" s="129"/>
      <c r="R12" s="129"/>
      <c r="S12" s="129"/>
      <c r="T12" s="448"/>
      <c r="U12" s="129"/>
      <c r="AB12" s="508" t="s">
        <v>3274</v>
      </c>
      <c r="AE12" s="1" t="s">
        <v>2085</v>
      </c>
      <c r="AF12" s="117">
        <f>IF($T$2=$AB$11,"N1",IF($T$2=$AB$12,"N2",IF($T$2=$AB$13,"N3",0)))</f>
        <v>0</v>
      </c>
      <c r="AH12" s="117" t="s">
        <v>222</v>
      </c>
      <c r="AI12" s="117" t="e">
        <f>LOOKUP($AG$11,{"C2","C1","B2","B1","A2"},{7,7,5.5,5.5,3})</f>
        <v>#N/A</v>
      </c>
      <c r="AJ12" s="117" t="e">
        <f>LOOKUP($AG$11,{"N1","N2","N3"},{7,5.5,4})</f>
        <v>#N/A</v>
      </c>
      <c r="AK12" s="117" t="e">
        <f>LOOKUP($AG$11,{"C2","C1","B2","B1","A2"},{7,7,5.5,5.5,3})</f>
        <v>#N/A</v>
      </c>
      <c r="AL12" s="117" t="e">
        <f>LOOKUP($AG$11,{"3","4","5","6"},{3,5.5,5.5,7})</f>
        <v>#N/A</v>
      </c>
      <c r="AM12" s="117" t="e">
        <f>LOOKUP($AG$11,{"C2","C1","B2","B1","A2"},{7,7,5.5,5.5,3})</f>
        <v>#N/A</v>
      </c>
      <c r="AP12" s="117">
        <f t="shared" ref="AP12:AP20" si="3">IFERROR(IF($AA$11=$AI$10,AI12,IF($AA$11=$AJ$10,AJ12,IF($AA$11=$AK$10,AK12,IF($AA$11=$AL$10,AL12,IF($AA$11=$AM$10,AM12,IF($AA$11=$AN$10,AN12,0)))))),0)</f>
        <v>0</v>
      </c>
    </row>
    <row r="13" spans="2:76">
      <c r="C13" s="130" t="s">
        <v>2315</v>
      </c>
      <c r="D13" s="130"/>
      <c r="E13" s="131">
        <f>SUM($K$13:$M$13)+LARGE(($O$13:$S$13),1)+LARGE(($O$13:$S$13),2)</f>
        <v>2.2999999999999999E-9</v>
      </c>
      <c r="F13" s="131"/>
      <c r="G13" s="129"/>
      <c r="I13" s="129"/>
      <c r="J13" s="132" t="s">
        <v>238</v>
      </c>
      <c r="K13" s="129">
        <f>IF(OR(K2="請選擇等級",K2=FALSE,K2=0),0,LOOKUP(K2,{1,2,3,4,5,"5*","5**","U"},{1,2,3,4,5,6,7,0}))+0.0000000001</f>
        <v>1E-10</v>
      </c>
      <c r="L13" s="129">
        <f>IF(OR(L2="請選擇等級",L2=FALSE,L2=0),0,LOOKUP(L2,{1,2,3,4,5,"5*","5**","U"},{1,2,3,4,5,6,7,0}))+0.0000000002</f>
        <v>2.0000000000000001E-10</v>
      </c>
      <c r="M13" s="129">
        <f>IF(OR(M2="請選擇等級",M2=FALSE,M2=0),0,LOOKUP(M2,{1,2,3,4,5,"5*","5**","U"},{1,2,3,4,5,6,7,0}))+0.0000000003</f>
        <v>3E-10</v>
      </c>
      <c r="N13" s="129">
        <f>IF(N$2="達標",1,0)</f>
        <v>0</v>
      </c>
      <c r="O13" s="129">
        <f>IF(OR(O2="請選擇等級",O2=FALSE,O2=0),0,LOOKUP(O2,{1,2,3,4,5,"5*","5**","U"},{1,2,3,4,5,6,7,0}))+0.0000000005</f>
        <v>5.0000000000000003E-10</v>
      </c>
      <c r="P13" s="129">
        <f>IF(OR(P2="請選擇等級",P2=FALSE,P2=0),0,LOOKUP(P2,{1,2,3,4,5,"5*","5**","U"},{1,2,3,4,5,6,7,0}))+0.0000000006</f>
        <v>6E-10</v>
      </c>
      <c r="Q13" s="129">
        <f>IF(OR(Q2="請選擇等級",Q2=FALSE,Q2=0),0,LOOKUP(Q2,{1,2,3,4,5,"5*","5**","U"},{1,2,3,4,5,6,7,0}))+0.0000000007</f>
        <v>6.9999999999999996E-10</v>
      </c>
      <c r="R13" s="129">
        <f>IF(OR(R2="請選擇等級",R2=FALSE,R2=0),0,LOOKUP(R2,{1,2,3,4,5,"5*","5**","U"},{1,2,3,4,5,6,7,0}))+0.0000000008</f>
        <v>8.0000000000000003E-10</v>
      </c>
      <c r="S13" s="129">
        <f>IF(OR(S2="請選擇等級",S2=FALSE,S2=0),0,LOOKUP(S2,{1,2,3,4,5,"5*","5**","U"},{1,2,3,4,5,6,7,0}))+0.0000000009</f>
        <v>8.9999999999999999E-10</v>
      </c>
      <c r="T13" s="448">
        <f>IF(OR($T$2="請選擇等級",$T$2=FALSE,$T$2=0),0,$AP20+0.00000000095)</f>
        <v>0</v>
      </c>
      <c r="U13" s="129"/>
      <c r="AB13" s="508" t="s">
        <v>3275</v>
      </c>
      <c r="AE13" s="1" t="s">
        <v>2088</v>
      </c>
      <c r="AF13" s="117">
        <f>IF($T$2=$AB$11,"C2",IF($T$2=$AB$12,"C1",IF($T$2=$AB$13,"B2",IF($T$2=$AB$14,"B1",IF($T$2=$AB$15,"A2",0)))))</f>
        <v>0</v>
      </c>
      <c r="AH13" s="117" t="s">
        <v>1909</v>
      </c>
      <c r="AI13" s="117" t="e">
        <f>LOOKUP($AG$11,{"C2","C1","B2","B1","A2"},{8.5,7,5.5,4,3})</f>
        <v>#N/A</v>
      </c>
      <c r="AJ13" s="117" t="e">
        <f>LOOKUP($AG$11,{"N1","N2","N3"},{8.5,5.5,3})</f>
        <v>#N/A</v>
      </c>
      <c r="AK13" s="117" t="e">
        <f>LOOKUP($AG$11,{"C2","C1","B2","B1","A2"},{8.5,7,5.5,4,3})</f>
        <v>#N/A</v>
      </c>
      <c r="AL13" s="117" t="e">
        <f>LOOKUP($AG$11,{"3","4","5","6"},{3,4,7,8.5})</f>
        <v>#N/A</v>
      </c>
      <c r="AM13" s="117" t="e">
        <f>LOOKUP($AG$11,{"C2","C1","B2","B1","A2"},{8.5,7,5.5,4,3})</f>
        <v>#N/A</v>
      </c>
      <c r="AP13" s="117">
        <f t="shared" si="3"/>
        <v>0</v>
      </c>
    </row>
    <row r="14" spans="2:76">
      <c r="C14" s="130" t="s">
        <v>2094</v>
      </c>
      <c r="D14" s="130"/>
      <c r="E14" s="131" t="b">
        <f>IF(主頁!I5="是",TRUE,IF(主頁!I5="否",FALSE))</f>
        <v>1</v>
      </c>
      <c r="F14" s="131"/>
      <c r="G14" s="129"/>
      <c r="I14" s="129"/>
      <c r="J14" s="132" t="s">
        <v>239</v>
      </c>
      <c r="K14" s="129" t="str">
        <f>IF(OR(K2="請選擇等級",K2=FALSE,K2=0),"無",K2)</f>
        <v>無</v>
      </c>
      <c r="L14" s="129" t="str">
        <f t="shared" ref="L14:T14" si="4">IF(OR(L2="請選擇等級",L2=FALSE,L2=0),"無",L2)</f>
        <v>無</v>
      </c>
      <c r="M14" s="129" t="str">
        <f t="shared" si="4"/>
        <v>無</v>
      </c>
      <c r="N14" s="129" t="str">
        <f>IF(OR(N2="請選擇等級",N2=FALSE,N2=0),"無",N2)</f>
        <v>無</v>
      </c>
      <c r="O14" s="129" t="str">
        <f t="shared" si="4"/>
        <v>無</v>
      </c>
      <c r="P14" s="129" t="str">
        <f t="shared" si="4"/>
        <v>無</v>
      </c>
      <c r="Q14" s="129" t="str">
        <f t="shared" si="4"/>
        <v>無</v>
      </c>
      <c r="R14" s="129" t="str">
        <f t="shared" si="4"/>
        <v>無</v>
      </c>
      <c r="S14" s="129" t="str">
        <f t="shared" si="4"/>
        <v>無</v>
      </c>
      <c r="T14" s="129" t="str">
        <f t="shared" si="4"/>
        <v>無</v>
      </c>
      <c r="U14" s="129"/>
      <c r="W14" s="117" t="s">
        <v>240</v>
      </c>
      <c r="AB14" s="508" t="s">
        <v>3279</v>
      </c>
      <c r="AE14" s="1" t="s">
        <v>3280</v>
      </c>
      <c r="AF14" s="117">
        <f>IF($T$2=$AB$11,"6",IF($T$2=$AB$12,"5",IF($T$2=$AB$13,"4",IF($T$2=$AB$14,"3",0))))</f>
        <v>0</v>
      </c>
      <c r="AH14" s="117" t="s">
        <v>1882</v>
      </c>
      <c r="AI14" s="117" t="e">
        <f>LOOKUP($AG$11,{"C2","C1","B2","B1","A2"},{7,5.5,4,3,3})</f>
        <v>#N/A</v>
      </c>
      <c r="AJ14" s="117" t="e">
        <f>LOOKUP($AG$11,{"N1","N2","N3"},{7,5.5,4})</f>
        <v>#N/A</v>
      </c>
      <c r="AK14" s="117" t="e">
        <f>LOOKUP($AG$11,{"C2","C1","B2","B1","A2"},{7,5.5,4,3,3})</f>
        <v>#N/A</v>
      </c>
      <c r="AL14" s="117" t="e">
        <f>LOOKUP($AG$11,{"3","4","5","6"},{3,4,5.5,7})</f>
        <v>#N/A</v>
      </c>
      <c r="AM14" s="117" t="e">
        <f>LOOKUP($AG$11,{"C2","C1","B2","B1","A2"},{7,5.5,4,3,3})</f>
        <v>#N/A</v>
      </c>
      <c r="AP14" s="117">
        <f t="shared" si="3"/>
        <v>0</v>
      </c>
    </row>
    <row r="15" spans="2:76">
      <c r="C15" s="130" t="s">
        <v>2093</v>
      </c>
      <c r="D15" s="130"/>
      <c r="E15" s="134" t="b">
        <f>IF(主頁!D5="是",TRUE,IF(主頁!D5="否",FALSE))</f>
        <v>0</v>
      </c>
      <c r="F15" s="134"/>
      <c r="G15" s="129"/>
      <c r="H15" s="129"/>
      <c r="I15" s="129"/>
      <c r="J15" s="132" t="s">
        <v>241</v>
      </c>
      <c r="K15" s="129" t="b">
        <v>0</v>
      </c>
      <c r="L15" s="129" t="b">
        <v>0</v>
      </c>
      <c r="M15" s="129" t="b">
        <v>0</v>
      </c>
      <c r="N15" s="129" t="b">
        <v>0</v>
      </c>
      <c r="O15" s="129" t="b">
        <v>0</v>
      </c>
      <c r="P15" s="129" t="b">
        <v>0</v>
      </c>
      <c r="Q15" s="129" t="b">
        <f>IF(主頁!D39="是",TRUE,IF(主頁!D39="否",FALSE))</f>
        <v>0</v>
      </c>
      <c r="R15" s="129" t="b">
        <f>IF(主頁!D40="是",TRUE,IF(主頁!D40="否",FALSE))</f>
        <v>0</v>
      </c>
      <c r="S15" s="129" t="b">
        <f>IF(主頁!D41="是",TRUE,IF(主頁!D41="否",FALSE))</f>
        <v>0</v>
      </c>
      <c r="T15" s="129" t="b">
        <v>0</v>
      </c>
      <c r="U15" s="129"/>
      <c r="W15" s="117" t="b">
        <f>OR(K15:T15)</f>
        <v>0</v>
      </c>
      <c r="AB15" s="508" t="s">
        <v>3278</v>
      </c>
      <c r="AE15" s="1" t="s">
        <v>2089</v>
      </c>
      <c r="AF15" s="117">
        <f>IF($T$2=$AB$11,"C2",IF($T$2=$AB$12,"C1",IF($T$2=$AB$13,"B2",IF($T$2=$AB$14,"B1",IF($T$2=$AB$15,"A2",0)))))</f>
        <v>0</v>
      </c>
      <c r="AH15" s="117" t="s">
        <v>1957</v>
      </c>
      <c r="AI15" s="117" t="e">
        <f>LOOKUP($AG$11,{"C2","C1","B2","B1","A2"},{8.5,7,5.5,4,3})</f>
        <v>#N/A</v>
      </c>
      <c r="AJ15" s="117" t="e">
        <f>LOOKUP($AG$11,{"N1","N2","N3"},{8.5,5.5,3})</f>
        <v>#N/A</v>
      </c>
      <c r="AK15" s="117" t="e">
        <f>LOOKUP($AG$11,{"C2","C1","B2","B1","A2"},{8.5,7,5.5,4,3})</f>
        <v>#N/A</v>
      </c>
      <c r="AL15" s="117" t="e">
        <f>LOOKUP($AG$11,{"3","4","5","6"},{3,4,5.5,8.5})</f>
        <v>#N/A</v>
      </c>
      <c r="AM15" s="117" t="e">
        <f>LOOKUP($AG$11,{"C2","C1","B2","B1","A2"},{8.5,7,5.5,4,3})</f>
        <v>#N/A</v>
      </c>
      <c r="AP15" s="117">
        <f t="shared" si="3"/>
        <v>0</v>
      </c>
    </row>
    <row r="16" spans="2:76">
      <c r="D16" s="130"/>
      <c r="E16" s="131"/>
      <c r="F16" s="131"/>
      <c r="G16" s="129"/>
      <c r="H16" s="129"/>
      <c r="I16" s="129"/>
      <c r="J16" s="132"/>
      <c r="K16" s="129"/>
      <c r="L16" s="129"/>
      <c r="M16" s="129"/>
      <c r="N16" s="129"/>
      <c r="O16" s="129"/>
      <c r="P16" s="129"/>
      <c r="Q16" s="129"/>
      <c r="R16" s="129"/>
      <c r="S16" s="129"/>
      <c r="T16" s="129"/>
      <c r="U16" s="129"/>
      <c r="AB16" s="508" t="s">
        <v>3276</v>
      </c>
      <c r="AE16" s="1" t="s">
        <v>2090</v>
      </c>
      <c r="AF16" s="117">
        <f>IF($T$2=$AB$11,"A",IF($T$2=$AB$12,"B++",IF($T$2=$AB$13,"B+",IF($T$2=$AB$14,"B",IF($T$2=$AB$15,"C",IF($T$2=$AB$16,"D",IF($T$2=$AB$17,"E",0)))))))</f>
        <v>0</v>
      </c>
      <c r="AH16" s="117" t="s">
        <v>1473</v>
      </c>
      <c r="AI16" s="117" t="e">
        <f>LOOKUP($AG$11,{"C2","C1","B2","B1","A2"},{8.5,8.5,7,5.5,4})</f>
        <v>#N/A</v>
      </c>
      <c r="AJ16" s="117" t="e">
        <f>LOOKUP($AG$11,{"N1","N2","N3"},{8.5,7,4})</f>
        <v>#N/A</v>
      </c>
      <c r="AK16" s="117" t="e">
        <f>LOOKUP($AG$11,{"C2","C1","B2","B1","A2"},{8.5,8.5,7,5.5,4})</f>
        <v>#N/A</v>
      </c>
      <c r="AL16" s="117" t="e">
        <f>LOOKUP($AG$11,{"3","4","5","6"},{4,5.5,7,8.5})</f>
        <v>#N/A</v>
      </c>
      <c r="AM16" s="117" t="e">
        <f>LOOKUP($AG$11,{"C2","C1","B2","B1","A2"},{8.5,8.5,7,5.5,4})</f>
        <v>#N/A</v>
      </c>
      <c r="AN16" s="117" t="e">
        <f>LOOKUP($AG$11,{"A","B++","B+","B","C","D","E"},{8.5,7,5.5,4,3,2,1})</f>
        <v>#N/A</v>
      </c>
      <c r="AP16" s="117">
        <f t="shared" si="3"/>
        <v>0</v>
      </c>
      <c r="BX16" s="117" t="s">
        <v>242</v>
      </c>
    </row>
    <row r="17" spans="2:76">
      <c r="D17" s="130"/>
      <c r="E17" s="131"/>
      <c r="F17" s="131"/>
      <c r="G17" s="129"/>
      <c r="H17" s="129"/>
      <c r="I17" s="129"/>
      <c r="J17" s="132"/>
      <c r="K17" s="129"/>
      <c r="L17" s="129"/>
      <c r="M17" s="129"/>
      <c r="N17" s="129"/>
      <c r="O17" s="129"/>
      <c r="P17" s="129"/>
      <c r="Q17" s="129"/>
      <c r="R17" s="129"/>
      <c r="S17" s="129"/>
      <c r="T17" s="129"/>
      <c r="AB17" s="508" t="s">
        <v>420</v>
      </c>
      <c r="AH17" s="117" t="s">
        <v>232</v>
      </c>
      <c r="AI17" s="117" t="e">
        <f>LOOKUP($AG$11,{"C2","C1","B2","B1","A2"},{7,7,6,5,4})</f>
        <v>#N/A</v>
      </c>
      <c r="AJ17" s="117" t="e">
        <f>LOOKUP($AG$11,{"N1","N2","N3"},{7,5,4})</f>
        <v>#N/A</v>
      </c>
      <c r="AK17" s="117" t="e">
        <f>LOOKUP($AG$11,{"C2","C1","B2","B1","A2"},{7,7,6,5,4})</f>
        <v>#N/A</v>
      </c>
      <c r="AL17" s="117" t="e">
        <f>LOOKUP($AG$11,{"3","4","5","6"},{4,5,6,7})</f>
        <v>#N/A</v>
      </c>
      <c r="AM17" s="117" t="e">
        <f>LOOKUP($AG$11,{"C2","C1","B2","B1","A2"},{7,7,6,5,4})</f>
        <v>#N/A</v>
      </c>
      <c r="AP17" s="117">
        <f t="shared" si="3"/>
        <v>0</v>
      </c>
    </row>
    <row r="18" spans="2:76">
      <c r="D18" s="130"/>
      <c r="E18" s="131"/>
      <c r="F18" s="131"/>
      <c r="G18" s="129"/>
      <c r="H18" s="129"/>
      <c r="I18" s="129"/>
      <c r="J18" s="132"/>
      <c r="K18" s="129"/>
      <c r="L18" s="129"/>
      <c r="M18" s="129"/>
      <c r="N18" s="129"/>
      <c r="O18" s="129"/>
      <c r="P18" s="129"/>
      <c r="Q18" s="129"/>
      <c r="R18" s="129"/>
      <c r="S18" s="129"/>
      <c r="T18" s="129"/>
      <c r="U18" s="129"/>
      <c r="AH18" s="117" t="s">
        <v>233</v>
      </c>
      <c r="AI18" s="117" t="e">
        <f>LOOKUP($AG$11,{"C2","C1","B2","B1","A2"},{7,6,5,4,3})</f>
        <v>#N/A</v>
      </c>
      <c r="AJ18" s="117" t="e">
        <f>LOOKUP($AG$11,{"N1","N2","N3"},{7,5,4})</f>
        <v>#N/A</v>
      </c>
      <c r="AK18" s="117" t="e">
        <f>LOOKUP($AG$11,{"C2","C1","B2","B1","A2"},{7,6,5,4,3})</f>
        <v>#N/A</v>
      </c>
      <c r="AL18" s="117" t="e">
        <f>LOOKUP($AG$11,{"3","4","5","6"},{4,5,6,7})</f>
        <v>#N/A</v>
      </c>
      <c r="AM18" s="117" t="e">
        <f>LOOKUP($AG$11,{"C2","C1","B2","B1","A2"},{7,6,5,4,3})</f>
        <v>#N/A</v>
      </c>
      <c r="AP18" s="117">
        <f t="shared" si="3"/>
        <v>0</v>
      </c>
    </row>
    <row r="19" spans="2:76">
      <c r="D19" s="130"/>
      <c r="E19" s="134"/>
      <c r="F19" s="134"/>
      <c r="G19" s="129"/>
      <c r="H19" s="129"/>
      <c r="I19" s="129"/>
      <c r="J19" s="132"/>
      <c r="K19" s="129"/>
      <c r="L19" s="129"/>
      <c r="M19" s="129"/>
      <c r="N19" s="129"/>
      <c r="O19" s="129"/>
      <c r="P19" s="129"/>
      <c r="Q19" s="129"/>
      <c r="R19" s="129"/>
      <c r="S19" s="129"/>
      <c r="T19" s="129"/>
      <c r="U19" s="129"/>
      <c r="AH19" s="117" t="s">
        <v>237</v>
      </c>
      <c r="AI19" s="117" t="e">
        <f>LOOKUP($AG$11,{"C2","C1","B2","B1","A2"},{7,6,5,4,3})</f>
        <v>#N/A</v>
      </c>
      <c r="AJ19" s="117" t="e">
        <f>LOOKUP($AG$11,{"N1","N2","N3"},{7,5,4})</f>
        <v>#N/A</v>
      </c>
      <c r="AK19" s="117" t="e">
        <f>LOOKUP($AG$11,{"C2","C1","B2","B1","A2"},{7,6,5,4,3})</f>
        <v>#N/A</v>
      </c>
      <c r="AL19" s="117" t="e">
        <f>LOOKUP($AG$11,{"3","4","5","6"},{4,5,6,7})</f>
        <v>#N/A</v>
      </c>
      <c r="AM19" s="117" t="e">
        <f>LOOKUP($AG$11,{"C2","C1","B2","B1","A2"},{7,6,5,4,3})</f>
        <v>#N/A</v>
      </c>
      <c r="AP19" s="117">
        <f t="shared" si="3"/>
        <v>0</v>
      </c>
      <c r="BX19" s="117" t="s">
        <v>243</v>
      </c>
    </row>
    <row r="20" spans="2:76">
      <c r="E20" s="117"/>
      <c r="F20" s="117"/>
      <c r="G20" s="129"/>
      <c r="H20" s="129"/>
      <c r="I20" s="129"/>
      <c r="J20" s="132"/>
      <c r="K20" s="129"/>
      <c r="L20" s="129"/>
      <c r="M20" s="129"/>
      <c r="N20" s="129"/>
      <c r="O20" s="129"/>
      <c r="P20" s="129"/>
      <c r="Q20" s="129"/>
      <c r="R20" s="129"/>
      <c r="S20" s="129"/>
      <c r="T20" s="129"/>
      <c r="U20" s="129"/>
      <c r="AH20" s="117" t="s">
        <v>3281</v>
      </c>
      <c r="AI20" s="117" t="e">
        <f>LOOKUP($AG$11,{"C2","C1","B2","B1","A2"},{6,5,4,3,3})</f>
        <v>#N/A</v>
      </c>
      <c r="AJ20" s="117" t="e">
        <f>LOOKUP($AG$11,{"N1","N2","N3"},{6,5,4})</f>
        <v>#N/A</v>
      </c>
      <c r="AK20" s="117" t="e">
        <f>LOOKUP($AG$11,{"C2","C1","B2","B1","A2"},{6,5,4,3,3})</f>
        <v>#N/A</v>
      </c>
      <c r="AL20" s="117" t="e">
        <f>LOOKUP($AG$11,{"3","4","5","6"},{3,4,5,6})</f>
        <v>#N/A</v>
      </c>
      <c r="AM20" s="117" t="e">
        <f>LOOKUP($AG$11,{"C2","C1","B2","B1","A2"},{6,5,4,3,3})</f>
        <v>#N/A</v>
      </c>
      <c r="AP20" s="117">
        <f t="shared" si="3"/>
        <v>0</v>
      </c>
    </row>
    <row r="21" spans="2:76">
      <c r="C21" s="130"/>
      <c r="D21" s="130"/>
      <c r="J21" s="130"/>
    </row>
    <row r="22" spans="2:76">
      <c r="B22" s="117" t="s">
        <v>244</v>
      </c>
      <c r="J22" s="117" t="s">
        <v>245</v>
      </c>
      <c r="K22" s="130" t="s">
        <v>246</v>
      </c>
      <c r="L22" s="130" t="s">
        <v>247</v>
      </c>
      <c r="M22" s="130" t="s">
        <v>248</v>
      </c>
      <c r="N22" s="130" t="s">
        <v>249</v>
      </c>
      <c r="O22" s="130" t="s">
        <v>250</v>
      </c>
      <c r="P22" s="130" t="s">
        <v>251</v>
      </c>
      <c r="Q22" s="130" t="s">
        <v>252</v>
      </c>
      <c r="R22" s="130" t="s">
        <v>253</v>
      </c>
      <c r="S22" s="130" t="s">
        <v>254</v>
      </c>
      <c r="T22" s="130" t="s">
        <v>255</v>
      </c>
      <c r="V22" s="117" t="str">
        <f t="shared" ref="V22:AE22" si="5">K1</f>
        <v>中國語文</v>
      </c>
      <c r="W22" s="117" t="str">
        <f t="shared" si="5"/>
        <v>英國語文</v>
      </c>
      <c r="X22" s="117" t="str">
        <f t="shared" si="5"/>
        <v>數學</v>
      </c>
      <c r="Z22" s="117" t="str">
        <f t="shared" si="5"/>
        <v>數學延伸</v>
      </c>
      <c r="AA22" s="117" t="str">
        <f t="shared" si="5"/>
        <v>請選擇第一選修科</v>
      </c>
      <c r="AB22" s="117" t="str">
        <f t="shared" si="5"/>
        <v>請選擇第二選修科</v>
      </c>
      <c r="AC22" s="117" t="str">
        <f t="shared" si="5"/>
        <v>請選擇第三選修科</v>
      </c>
      <c r="AD22" s="117" t="str">
        <f t="shared" si="5"/>
        <v>請選擇第四選修科</v>
      </c>
      <c r="AE22" s="117" t="str">
        <f t="shared" si="5"/>
        <v>請選擇語言科目</v>
      </c>
      <c r="AP22" s="117" t="s">
        <v>256</v>
      </c>
      <c r="AQ22" s="117" t="s">
        <v>257</v>
      </c>
      <c r="AR22" s="117" t="s">
        <v>258</v>
      </c>
      <c r="AT22" s="117" t="s">
        <v>259</v>
      </c>
      <c r="AU22" s="117" t="s">
        <v>260</v>
      </c>
      <c r="AV22" s="117" t="s">
        <v>261</v>
      </c>
      <c r="AW22" s="117" t="s">
        <v>262</v>
      </c>
      <c r="AX22" s="117" t="s">
        <v>263</v>
      </c>
      <c r="AY22" s="117" t="s">
        <v>264</v>
      </c>
    </row>
    <row r="23" spans="2:76">
      <c r="J23" s="117">
        <f t="shared" ref="J23:X23" si="6">IFERROR(INDEX(J$36:J$534,MATCH($B24,$B$36:$B$534,0)),"")</f>
        <v>3.3999999999999998E-9</v>
      </c>
      <c r="K23" s="117">
        <f t="shared" si="6"/>
        <v>1</v>
      </c>
      <c r="L23" s="117">
        <f t="shared" si="6"/>
        <v>2</v>
      </c>
      <c r="M23" s="117">
        <f t="shared" si="6"/>
        <v>2</v>
      </c>
      <c r="N23" s="117">
        <f t="shared" si="6"/>
        <v>0</v>
      </c>
      <c r="O23" s="117">
        <f t="shared" si="6"/>
        <v>1</v>
      </c>
      <c r="P23" s="117">
        <f t="shared" si="6"/>
        <v>1</v>
      </c>
      <c r="Q23" s="117">
        <f t="shared" si="6"/>
        <v>1</v>
      </c>
      <c r="R23" s="117">
        <f t="shared" si="6"/>
        <v>1</v>
      </c>
      <c r="S23" s="117">
        <f t="shared" si="6"/>
        <v>1</v>
      </c>
      <c r="T23" s="117">
        <f t="shared" si="6"/>
        <v>1</v>
      </c>
      <c r="U23" s="117">
        <f t="shared" si="6"/>
        <v>0</v>
      </c>
      <c r="V23" s="117">
        <f t="shared" si="6"/>
        <v>1E-10</v>
      </c>
      <c r="W23" s="117">
        <f t="shared" si="6"/>
        <v>4.0000000000000001E-10</v>
      </c>
      <c r="X23" s="117">
        <f t="shared" si="6"/>
        <v>6E-10</v>
      </c>
      <c r="Z23" s="117">
        <f t="shared" ref="Z23:AE23" si="7">IFERROR(INDEX(Z$36:Z$534,MATCH($B24,$B$36:$B$534,0)),"")</f>
        <v>5.0000000000000003E-10</v>
      </c>
      <c r="AA23" s="117">
        <f t="shared" si="7"/>
        <v>6E-10</v>
      </c>
      <c r="AB23" s="117">
        <f t="shared" si="7"/>
        <v>6.9999999999999996E-10</v>
      </c>
      <c r="AC23" s="117">
        <f t="shared" si="7"/>
        <v>8.0000000000000003E-10</v>
      </c>
      <c r="AD23" s="117">
        <f t="shared" si="7"/>
        <v>8.9999999999999999E-10</v>
      </c>
      <c r="AE23" s="117">
        <f t="shared" si="7"/>
        <v>0</v>
      </c>
      <c r="AP23" s="117" t="b">
        <f>IFERROR(INDEX(AP$36:AP$534,MATCH($B24,$B$36:$B$534,0)),"")</f>
        <v>0</v>
      </c>
      <c r="AQ23" s="117" t="b">
        <f>IFERROR(INDEX(AQ$36:AQ$534,MATCH($B24,$B$36:$B$534,0)),"")</f>
        <v>1</v>
      </c>
      <c r="AR23" s="117" t="b">
        <f>IFERROR(INDEX(AR$36:AR$534,MATCH($B24,$B$36:$B$534,0)),"")</f>
        <v>1</v>
      </c>
      <c r="AT23" s="117" t="b">
        <f t="shared" ref="AT23:AX23" si="8">IFERROR(INDEX(AT$36:AT$534,MATCH($B24,$B$36:$B$534,0)),"")</f>
        <v>0</v>
      </c>
      <c r="AU23" s="117" t="b">
        <f t="shared" si="8"/>
        <v>0</v>
      </c>
      <c r="AV23" s="117" t="b">
        <f t="shared" si="8"/>
        <v>1</v>
      </c>
      <c r="AW23" s="117" t="b">
        <f t="shared" si="8"/>
        <v>1</v>
      </c>
      <c r="AX23" s="117" t="b">
        <f t="shared" si="8"/>
        <v>1</v>
      </c>
      <c r="AY23" s="117" t="b">
        <f>IFERROR(INDEX(AY$36:AY$534,MATCH($B24,$B$36:$B$534,0)),"")</f>
        <v>0</v>
      </c>
      <c r="AZ23" s="117" t="str">
        <f t="shared" ref="AZ23:BG23" si="9">IFERROR(INDEX(AZ$36:AZ$534,MATCH($B24,$B$36:$B$534,0)),"")</f>
        <v>JS5331</v>
      </c>
      <c r="BC23" s="117" t="str">
        <f t="shared" si="9"/>
        <v>請選擇第一選修科</v>
      </c>
      <c r="BD23" s="117">
        <f t="shared" si="9"/>
        <v>6E-10</v>
      </c>
      <c r="BE23" s="117">
        <f t="shared" si="9"/>
        <v>1</v>
      </c>
      <c r="BF23" s="117" t="str">
        <f t="shared" si="9"/>
        <v>Best 5總分 x 1</v>
      </c>
      <c r="BG23" s="117">
        <f t="shared" si="9"/>
        <v>0</v>
      </c>
    </row>
    <row r="24" spans="2:76">
      <c r="B24" s="117" t="str">
        <f>'All in One'!C8</f>
        <v>JS5331</v>
      </c>
      <c r="C24" s="117" t="str">
        <f>'All in One'!E8</f>
        <v>HKUST</v>
      </c>
      <c r="J24" s="117">
        <f t="shared" ref="J24:X24" si="10">IFERROR(ROUND(J23,2),"")</f>
        <v>0</v>
      </c>
      <c r="K24" s="117">
        <f t="shared" si="10"/>
        <v>1</v>
      </c>
      <c r="L24" s="117">
        <f t="shared" si="10"/>
        <v>2</v>
      </c>
      <c r="M24" s="117">
        <f t="shared" si="10"/>
        <v>2</v>
      </c>
      <c r="N24" s="117">
        <f t="shared" si="10"/>
        <v>0</v>
      </c>
      <c r="O24" s="117">
        <f t="shared" si="10"/>
        <v>1</v>
      </c>
      <c r="P24" s="117">
        <f t="shared" si="10"/>
        <v>1</v>
      </c>
      <c r="Q24" s="117">
        <f t="shared" si="10"/>
        <v>1</v>
      </c>
      <c r="R24" s="117">
        <f t="shared" si="10"/>
        <v>1</v>
      </c>
      <c r="S24" s="117">
        <f t="shared" si="10"/>
        <v>1</v>
      </c>
      <c r="T24" s="117">
        <f t="shared" si="10"/>
        <v>1</v>
      </c>
      <c r="U24" s="117">
        <f t="shared" si="10"/>
        <v>0</v>
      </c>
      <c r="V24" s="117">
        <f t="shared" si="10"/>
        <v>0</v>
      </c>
      <c r="W24" s="117">
        <f t="shared" si="10"/>
        <v>0</v>
      </c>
      <c r="X24" s="117">
        <f t="shared" si="10"/>
        <v>0</v>
      </c>
      <c r="Z24" s="117">
        <f t="shared" ref="Z24:AE24" si="11">IFERROR(ROUND(Z23,2),"")</f>
        <v>0</v>
      </c>
      <c r="AA24" s="117">
        <f t="shared" si="11"/>
        <v>0</v>
      </c>
      <c r="AB24" s="117">
        <f t="shared" si="11"/>
        <v>0</v>
      </c>
      <c r="AC24" s="117">
        <f t="shared" si="11"/>
        <v>0</v>
      </c>
      <c r="AD24" s="117">
        <f t="shared" si="11"/>
        <v>0</v>
      </c>
      <c r="AE24" s="117">
        <f t="shared" si="11"/>
        <v>0</v>
      </c>
      <c r="AP24" s="117">
        <f>IFERROR(ROUND(AP23,2),"")</f>
        <v>0</v>
      </c>
      <c r="AQ24" s="117">
        <f>IFERROR(ROUND(AQ23,2),"")</f>
        <v>1</v>
      </c>
      <c r="AR24" s="117">
        <f>IFERROR(ROUND(AR23,2),"")</f>
        <v>1</v>
      </c>
      <c r="AT24" s="117">
        <f t="shared" ref="AT24:AY24" si="12">IFERROR(ROUND(AT23,2),"")</f>
        <v>0</v>
      </c>
      <c r="AU24" s="117">
        <f t="shared" si="12"/>
        <v>0</v>
      </c>
      <c r="AV24" s="117">
        <f t="shared" si="12"/>
        <v>1</v>
      </c>
      <c r="AW24" s="117">
        <f t="shared" si="12"/>
        <v>1</v>
      </c>
      <c r="AX24" s="117">
        <f t="shared" si="12"/>
        <v>1</v>
      </c>
      <c r="AY24" s="117">
        <f t="shared" si="12"/>
        <v>0</v>
      </c>
      <c r="AZ24" s="117" t="str">
        <f t="shared" ref="AZ24:BG24" si="13">IFERROR(ROUND(AZ23,2),"")</f>
        <v/>
      </c>
      <c r="BC24" s="117" t="str">
        <f t="shared" si="13"/>
        <v/>
      </c>
      <c r="BD24" s="117">
        <f t="shared" si="13"/>
        <v>0</v>
      </c>
      <c r="BE24" s="117">
        <f>IFERROR(ROUND(BE23,4),"")</f>
        <v>1</v>
      </c>
      <c r="BF24" s="117" t="str">
        <f>IFERROR(ROUND(BF23,4),"")</f>
        <v/>
      </c>
      <c r="BG24" s="117">
        <f t="shared" si="13"/>
        <v>0</v>
      </c>
    </row>
    <row r="25" spans="2:76">
      <c r="I25" s="117">
        <v>2</v>
      </c>
      <c r="J25" s="117" t="str">
        <f t="shared" ref="J25:X25" si="14">IFERROR(INDEX(J$36:J$534,MATCH($B26,$B$36:$B$534,0)),"")</f>
        <v/>
      </c>
      <c r="K25" s="117" t="str">
        <f t="shared" si="14"/>
        <v/>
      </c>
      <c r="L25" s="117" t="str">
        <f t="shared" si="14"/>
        <v/>
      </c>
      <c r="M25" s="117" t="str">
        <f t="shared" si="14"/>
        <v/>
      </c>
      <c r="N25" s="117" t="str">
        <f t="shared" si="14"/>
        <v/>
      </c>
      <c r="O25" s="117" t="str">
        <f t="shared" si="14"/>
        <v/>
      </c>
      <c r="P25" s="117" t="str">
        <f t="shared" si="14"/>
        <v/>
      </c>
      <c r="Q25" s="117" t="str">
        <f t="shared" si="14"/>
        <v/>
      </c>
      <c r="R25" s="117" t="str">
        <f t="shared" si="14"/>
        <v/>
      </c>
      <c r="S25" s="117" t="str">
        <f t="shared" si="14"/>
        <v/>
      </c>
      <c r="T25" s="117" t="str">
        <f t="shared" si="14"/>
        <v/>
      </c>
      <c r="U25" s="117" t="str">
        <f t="shared" si="14"/>
        <v/>
      </c>
      <c r="V25" s="117" t="str">
        <f t="shared" si="14"/>
        <v/>
      </c>
      <c r="W25" s="117" t="str">
        <f t="shared" si="14"/>
        <v/>
      </c>
      <c r="X25" s="117" t="str">
        <f t="shared" si="14"/>
        <v/>
      </c>
      <c r="Z25" s="117" t="str">
        <f t="shared" ref="Z25:AE25" si="15">IFERROR(INDEX(Z$36:Z$534,MATCH($B26,$B$36:$B$534,0)),"")</f>
        <v/>
      </c>
      <c r="AA25" s="117" t="str">
        <f t="shared" si="15"/>
        <v/>
      </c>
      <c r="AB25" s="117" t="str">
        <f t="shared" si="15"/>
        <v/>
      </c>
      <c r="AC25" s="117" t="str">
        <f t="shared" si="15"/>
        <v/>
      </c>
      <c r="AD25" s="117" t="str">
        <f t="shared" si="15"/>
        <v/>
      </c>
      <c r="AE25" s="117" t="str">
        <f t="shared" si="15"/>
        <v/>
      </c>
      <c r="AP25" s="117" t="str">
        <f>IFERROR(INDEX(AP$36:AP$534,MATCH($B26,$B$36:$B$534,0)),"")</f>
        <v/>
      </c>
      <c r="AQ25" s="117" t="str">
        <f>IFERROR(INDEX(AQ$36:AQ$534,MATCH($B26,$B$36:$B$534,0)),"")</f>
        <v/>
      </c>
      <c r="AR25" s="117" t="str">
        <f>IFERROR(INDEX(AR$36:AR$534,MATCH($B26,$B$36:$B$534,0)),"")</f>
        <v/>
      </c>
      <c r="AT25" s="117" t="str">
        <f t="shared" ref="AT25:BG25" si="16">IFERROR(INDEX(AT$36:AT$534,MATCH($B26,$B$36:$B$534,0)),"")</f>
        <v/>
      </c>
      <c r="AU25" s="117" t="str">
        <f t="shared" si="16"/>
        <v/>
      </c>
      <c r="AV25" s="117" t="str">
        <f t="shared" si="16"/>
        <v/>
      </c>
      <c r="AW25" s="117" t="str">
        <f t="shared" si="16"/>
        <v/>
      </c>
      <c r="AX25" s="117" t="str">
        <f t="shared" si="16"/>
        <v/>
      </c>
      <c r="AY25" s="117" t="str">
        <f t="shared" si="16"/>
        <v/>
      </c>
      <c r="AZ25" s="117" t="str">
        <f t="shared" si="16"/>
        <v/>
      </c>
      <c r="BC25" s="117" t="str">
        <f t="shared" si="16"/>
        <v/>
      </c>
      <c r="BD25" s="117" t="str">
        <f t="shared" si="16"/>
        <v/>
      </c>
      <c r="BE25" s="117" t="str">
        <f t="shared" si="16"/>
        <v/>
      </c>
      <c r="BF25" s="117" t="str">
        <f t="shared" si="16"/>
        <v/>
      </c>
      <c r="BG25" s="117" t="str">
        <f t="shared" si="16"/>
        <v/>
      </c>
    </row>
    <row r="26" spans="2:76">
      <c r="B26" s="117" t="str">
        <f>_xlfn.CONCAT(B24,"-2")</f>
        <v>JS5331-2</v>
      </c>
      <c r="J26" s="117" t="str">
        <f>IFERROR(ROUND(J25,2),"")</f>
        <v/>
      </c>
      <c r="K26" s="117" t="str">
        <f t="shared" ref="K26:AE26" si="17">IFERROR(ROUND(K25,2),"")</f>
        <v/>
      </c>
      <c r="L26" s="117" t="str">
        <f t="shared" si="17"/>
        <v/>
      </c>
      <c r="M26" s="117" t="str">
        <f t="shared" si="17"/>
        <v/>
      </c>
      <c r="N26" s="117" t="str">
        <f t="shared" si="17"/>
        <v/>
      </c>
      <c r="O26" s="117" t="str">
        <f t="shared" si="17"/>
        <v/>
      </c>
      <c r="P26" s="117" t="str">
        <f t="shared" si="17"/>
        <v/>
      </c>
      <c r="Q26" s="117" t="str">
        <f t="shared" si="17"/>
        <v/>
      </c>
      <c r="R26" s="117" t="str">
        <f t="shared" si="17"/>
        <v/>
      </c>
      <c r="S26" s="117" t="str">
        <f t="shared" si="17"/>
        <v/>
      </c>
      <c r="T26" s="117" t="str">
        <f t="shared" si="17"/>
        <v/>
      </c>
      <c r="U26" s="117" t="str">
        <f t="shared" si="17"/>
        <v/>
      </c>
      <c r="V26" s="117" t="str">
        <f t="shared" si="17"/>
        <v/>
      </c>
      <c r="W26" s="117" t="str">
        <f t="shared" si="17"/>
        <v/>
      </c>
      <c r="X26" s="117" t="str">
        <f t="shared" si="17"/>
        <v/>
      </c>
      <c r="Z26" s="117" t="str">
        <f t="shared" si="17"/>
        <v/>
      </c>
      <c r="AA26" s="117" t="str">
        <f t="shared" si="17"/>
        <v/>
      </c>
      <c r="AB26" s="117" t="str">
        <f t="shared" si="17"/>
        <v/>
      </c>
      <c r="AC26" s="117" t="str">
        <f t="shared" si="17"/>
        <v/>
      </c>
      <c r="AD26" s="117" t="str">
        <f t="shared" si="17"/>
        <v/>
      </c>
      <c r="AE26" s="117" t="str">
        <f t="shared" si="17"/>
        <v/>
      </c>
      <c r="AP26" s="117" t="str">
        <f>IFERROR(ROUND(AP25,2),"")</f>
        <v/>
      </c>
      <c r="AQ26" s="117" t="str">
        <f>IFERROR(ROUND(AQ25,2),"")</f>
        <v/>
      </c>
      <c r="AR26" s="117" t="str">
        <f>IFERROR(ROUND(AR25,2),"")</f>
        <v/>
      </c>
      <c r="AT26" s="117" t="str">
        <f t="shared" ref="AT26:AY26" si="18">IFERROR(ROUND(AT25,2),"")</f>
        <v/>
      </c>
      <c r="AU26" s="117" t="str">
        <f t="shared" si="18"/>
        <v/>
      </c>
      <c r="AV26" s="117" t="str">
        <f t="shared" si="18"/>
        <v/>
      </c>
      <c r="AW26" s="117" t="str">
        <f t="shared" si="18"/>
        <v/>
      </c>
      <c r="AX26" s="117" t="str">
        <f t="shared" si="18"/>
        <v/>
      </c>
      <c r="AY26" s="117" t="str">
        <f t="shared" si="18"/>
        <v/>
      </c>
      <c r="AZ26" s="117" t="str">
        <f t="shared" ref="AZ26:BG26" si="19">IFERROR(ROUND(AZ25,2),"")</f>
        <v/>
      </c>
      <c r="BC26" s="117" t="str">
        <f t="shared" si="19"/>
        <v/>
      </c>
      <c r="BD26" s="117" t="str">
        <f t="shared" si="19"/>
        <v/>
      </c>
      <c r="BE26" s="117" t="str">
        <f t="shared" si="19"/>
        <v/>
      </c>
      <c r="BF26" s="117" t="str">
        <f t="shared" ref="BF26" si="20">IFERROR(ROUND(BF25,2),"")</f>
        <v/>
      </c>
      <c r="BG26" s="117" t="str">
        <f t="shared" si="19"/>
        <v/>
      </c>
    </row>
    <row r="27" spans="2:76">
      <c r="I27" s="117">
        <v>3</v>
      </c>
      <c r="J27" s="117" t="str">
        <f t="shared" ref="J27:X27" si="21">IFERROR(INDEX(J$36:J$534,MATCH($B28,$B$36:$B$534,0)),"")</f>
        <v/>
      </c>
      <c r="K27" s="117" t="str">
        <f t="shared" si="21"/>
        <v/>
      </c>
      <c r="L27" s="117" t="str">
        <f t="shared" si="21"/>
        <v/>
      </c>
      <c r="M27" s="117" t="str">
        <f t="shared" si="21"/>
        <v/>
      </c>
      <c r="N27" s="117" t="str">
        <f t="shared" si="21"/>
        <v/>
      </c>
      <c r="O27" s="117" t="str">
        <f t="shared" si="21"/>
        <v/>
      </c>
      <c r="P27" s="117" t="str">
        <f t="shared" si="21"/>
        <v/>
      </c>
      <c r="Q27" s="117" t="str">
        <f t="shared" si="21"/>
        <v/>
      </c>
      <c r="R27" s="117" t="str">
        <f t="shared" si="21"/>
        <v/>
      </c>
      <c r="S27" s="117" t="str">
        <f t="shared" si="21"/>
        <v/>
      </c>
      <c r="T27" s="117" t="str">
        <f t="shared" si="21"/>
        <v/>
      </c>
      <c r="U27" s="117" t="str">
        <f t="shared" si="21"/>
        <v/>
      </c>
      <c r="V27" s="117" t="str">
        <f t="shared" si="21"/>
        <v/>
      </c>
      <c r="W27" s="117" t="str">
        <f t="shared" si="21"/>
        <v/>
      </c>
      <c r="X27" s="117" t="str">
        <f t="shared" si="21"/>
        <v/>
      </c>
      <c r="Z27" s="117" t="str">
        <f t="shared" ref="Z27:AE27" si="22">IFERROR(INDEX(Z$36:Z$534,MATCH($B28,$B$36:$B$534,0)),"")</f>
        <v/>
      </c>
      <c r="AA27" s="117" t="str">
        <f t="shared" si="22"/>
        <v/>
      </c>
      <c r="AB27" s="117" t="str">
        <f t="shared" si="22"/>
        <v/>
      </c>
      <c r="AC27" s="117" t="str">
        <f t="shared" si="22"/>
        <v/>
      </c>
      <c r="AD27" s="117" t="str">
        <f t="shared" si="22"/>
        <v/>
      </c>
      <c r="AE27" s="117" t="str">
        <f t="shared" si="22"/>
        <v/>
      </c>
      <c r="AP27" s="117" t="str">
        <f>IFERROR(INDEX(AP$36:AP$534,MATCH($B28,$B$36:$B$534,0)),"")</f>
        <v/>
      </c>
      <c r="AQ27" s="117" t="str">
        <f>IFERROR(INDEX(AQ$36:AQ$534,MATCH($B28,$B$36:$B$534,0)),"")</f>
        <v/>
      </c>
      <c r="AR27" s="117" t="str">
        <f>IFERROR(INDEX(AR$36:AR$534,MATCH($B28,$B$36:$B$534,0)),"")</f>
        <v/>
      </c>
      <c r="AT27" s="117" t="str">
        <f t="shared" ref="AT27:BG27" si="23">IFERROR(INDEX(AT$36:AT$534,MATCH($B28,$B$36:$B$534,0)),"")</f>
        <v/>
      </c>
      <c r="AU27" s="117" t="str">
        <f t="shared" si="23"/>
        <v/>
      </c>
      <c r="AV27" s="117" t="str">
        <f t="shared" si="23"/>
        <v/>
      </c>
      <c r="AW27" s="117" t="str">
        <f t="shared" si="23"/>
        <v/>
      </c>
      <c r="AX27" s="117" t="str">
        <f t="shared" si="23"/>
        <v/>
      </c>
      <c r="AY27" s="117" t="str">
        <f t="shared" si="23"/>
        <v/>
      </c>
      <c r="AZ27" s="117" t="str">
        <f t="shared" si="23"/>
        <v/>
      </c>
      <c r="BC27" s="117" t="str">
        <f t="shared" si="23"/>
        <v/>
      </c>
      <c r="BD27" s="117" t="str">
        <f t="shared" si="23"/>
        <v/>
      </c>
      <c r="BE27" s="117" t="str">
        <f t="shared" si="23"/>
        <v/>
      </c>
      <c r="BF27" s="117" t="str">
        <f t="shared" si="23"/>
        <v/>
      </c>
      <c r="BG27" s="117" t="str">
        <f t="shared" si="23"/>
        <v/>
      </c>
    </row>
    <row r="28" spans="2:76">
      <c r="B28" s="117" t="str">
        <f>_xlfn.CONCAT(B24,"-3")</f>
        <v>JS5331-3</v>
      </c>
      <c r="J28" s="117" t="str">
        <f t="shared" ref="J28:X28" si="24">IFERROR(ROUND(J27,2),"")</f>
        <v/>
      </c>
      <c r="K28" s="117" t="str">
        <f t="shared" si="24"/>
        <v/>
      </c>
      <c r="L28" s="117" t="str">
        <f t="shared" si="24"/>
        <v/>
      </c>
      <c r="M28" s="117" t="str">
        <f t="shared" si="24"/>
        <v/>
      </c>
      <c r="N28" s="117" t="str">
        <f t="shared" si="24"/>
        <v/>
      </c>
      <c r="O28" s="117" t="str">
        <f t="shared" si="24"/>
        <v/>
      </c>
      <c r="P28" s="117" t="str">
        <f t="shared" si="24"/>
        <v/>
      </c>
      <c r="Q28" s="117" t="str">
        <f t="shared" si="24"/>
        <v/>
      </c>
      <c r="R28" s="117" t="str">
        <f t="shared" si="24"/>
        <v/>
      </c>
      <c r="S28" s="117" t="str">
        <f t="shared" si="24"/>
        <v/>
      </c>
      <c r="T28" s="117" t="str">
        <f t="shared" si="24"/>
        <v/>
      </c>
      <c r="U28" s="117" t="str">
        <f t="shared" si="24"/>
        <v/>
      </c>
      <c r="V28" s="117" t="str">
        <f t="shared" si="24"/>
        <v/>
      </c>
      <c r="W28" s="117" t="str">
        <f t="shared" si="24"/>
        <v/>
      </c>
      <c r="X28" s="117" t="str">
        <f t="shared" si="24"/>
        <v/>
      </c>
      <c r="Z28" s="117" t="str">
        <f t="shared" ref="Z28:AE28" si="25">IFERROR(ROUND(Z27,2),"")</f>
        <v/>
      </c>
      <c r="AA28" s="117" t="str">
        <f t="shared" si="25"/>
        <v/>
      </c>
      <c r="AB28" s="117" t="str">
        <f t="shared" si="25"/>
        <v/>
      </c>
      <c r="AC28" s="117" t="str">
        <f t="shared" si="25"/>
        <v/>
      </c>
      <c r="AD28" s="117" t="str">
        <f t="shared" si="25"/>
        <v/>
      </c>
      <c r="AE28" s="117" t="str">
        <f t="shared" si="25"/>
        <v/>
      </c>
      <c r="AP28" s="117" t="str">
        <f>IFERROR(ROUND(AP27,2),"")</f>
        <v/>
      </c>
      <c r="AQ28" s="117" t="str">
        <f>IFERROR(ROUND(AQ27,2),"")</f>
        <v/>
      </c>
      <c r="AR28" s="117" t="str">
        <f>IFERROR(ROUND(AR27,2),"")</f>
        <v/>
      </c>
      <c r="AT28" s="117" t="str">
        <f t="shared" ref="AT28:AY28" si="26">IFERROR(ROUND(AT27,2),"")</f>
        <v/>
      </c>
      <c r="AU28" s="117" t="str">
        <f t="shared" si="26"/>
        <v/>
      </c>
      <c r="AV28" s="117" t="str">
        <f t="shared" si="26"/>
        <v/>
      </c>
      <c r="AW28" s="117" t="str">
        <f t="shared" si="26"/>
        <v/>
      </c>
      <c r="AX28" s="117" t="str">
        <f t="shared" si="26"/>
        <v/>
      </c>
      <c r="AY28" s="117" t="str">
        <f t="shared" si="26"/>
        <v/>
      </c>
      <c r="AZ28" s="117" t="str">
        <f t="shared" ref="AZ28:BG28" si="27">IFERROR(ROUND(AZ27,2),"")</f>
        <v/>
      </c>
      <c r="BC28" s="117" t="str">
        <f t="shared" si="27"/>
        <v/>
      </c>
      <c r="BD28" s="117" t="str">
        <f t="shared" si="27"/>
        <v/>
      </c>
      <c r="BE28" s="117" t="str">
        <f t="shared" si="27"/>
        <v/>
      </c>
      <c r="BF28" s="117" t="str">
        <f t="shared" ref="BF28" si="28">IFERROR(ROUND(BF27,2),"")</f>
        <v/>
      </c>
      <c r="BG28" s="117" t="str">
        <f t="shared" si="27"/>
        <v/>
      </c>
    </row>
    <row r="29" spans="2:76">
      <c r="P29" s="134"/>
      <c r="Q29" s="134"/>
    </row>
    <row r="30" spans="2:76">
      <c r="J30" s="117" t="s">
        <v>220</v>
      </c>
      <c r="K30" s="140">
        <f t="shared" ref="K30:T30" si="29">IFERROR(IF(OR($B$24="JS4501",$B$24="JS4502"),K13,INDEX(K3:K11,MATCH($C$24,$J3:$J11,0))),K13)</f>
        <v>1E-10</v>
      </c>
      <c r="L30" s="140">
        <f t="shared" si="29"/>
        <v>2.0000000000000001E-10</v>
      </c>
      <c r="M30" s="140">
        <f t="shared" si="29"/>
        <v>3E-10</v>
      </c>
      <c r="N30" s="140">
        <f t="shared" si="29"/>
        <v>0</v>
      </c>
      <c r="O30" s="140">
        <f t="shared" si="29"/>
        <v>5.0000000000000003E-10</v>
      </c>
      <c r="P30" s="140">
        <f t="shared" si="29"/>
        <v>6E-10</v>
      </c>
      <c r="Q30" s="140">
        <f t="shared" si="29"/>
        <v>6.9999999999999996E-10</v>
      </c>
      <c r="R30" s="140">
        <f t="shared" si="29"/>
        <v>8.0000000000000003E-10</v>
      </c>
      <c r="S30" s="140">
        <f t="shared" si="29"/>
        <v>8.9999999999999999E-10</v>
      </c>
      <c r="T30" s="140">
        <f t="shared" si="29"/>
        <v>0</v>
      </c>
    </row>
    <row r="31" spans="2:76">
      <c r="K31" s="117">
        <f t="shared" ref="K31:T31" si="30">ROUND(K30,2)</f>
        <v>0</v>
      </c>
      <c r="L31" s="117">
        <f t="shared" si="30"/>
        <v>0</v>
      </c>
      <c r="M31" s="117">
        <f t="shared" si="30"/>
        <v>0</v>
      </c>
      <c r="N31" s="117">
        <f t="shared" si="30"/>
        <v>0</v>
      </c>
      <c r="O31" s="117">
        <f t="shared" si="30"/>
        <v>0</v>
      </c>
      <c r="P31" s="117">
        <f t="shared" si="30"/>
        <v>0</v>
      </c>
      <c r="Q31" s="117">
        <f t="shared" si="30"/>
        <v>0</v>
      </c>
      <c r="R31" s="117">
        <f t="shared" si="30"/>
        <v>0</v>
      </c>
      <c r="S31" s="117">
        <f t="shared" si="30"/>
        <v>0</v>
      </c>
      <c r="T31" s="117">
        <f t="shared" si="30"/>
        <v>0</v>
      </c>
    </row>
    <row r="32" spans="2:76">
      <c r="J32" s="130"/>
    </row>
    <row r="33" spans="1:82">
      <c r="J33" s="130"/>
      <c r="L33" s="130"/>
      <c r="P33" s="134"/>
      <c r="AP33" s="215" t="s">
        <v>2958</v>
      </c>
    </row>
    <row r="34" spans="1:82">
      <c r="A34" s="214" t="s">
        <v>265</v>
      </c>
      <c r="B34" s="135"/>
      <c r="C34" s="135"/>
      <c r="D34" s="153"/>
      <c r="E34" s="136"/>
      <c r="F34" s="136"/>
      <c r="G34" s="135"/>
      <c r="H34" s="135"/>
      <c r="I34" s="135"/>
      <c r="J34" s="135"/>
      <c r="K34" s="135"/>
      <c r="L34" s="135"/>
      <c r="M34" s="135"/>
      <c r="N34" s="135"/>
      <c r="O34" s="135"/>
      <c r="P34" s="135"/>
      <c r="Q34" s="135"/>
      <c r="R34" s="135"/>
      <c r="S34" s="135"/>
      <c r="T34" s="135"/>
      <c r="U34" s="135"/>
      <c r="BH34" s="117" t="s">
        <v>2959</v>
      </c>
    </row>
    <row r="35" spans="1:82">
      <c r="A35" s="215" t="s">
        <v>266</v>
      </c>
      <c r="B35" s="149" t="s">
        <v>221</v>
      </c>
      <c r="C35" s="137"/>
      <c r="D35" s="137"/>
      <c r="E35" s="138"/>
      <c r="F35" s="399"/>
      <c r="G35" s="19" t="s">
        <v>267</v>
      </c>
      <c r="H35" s="19" t="s">
        <v>268</v>
      </c>
      <c r="I35" s="19" t="s">
        <v>269</v>
      </c>
      <c r="J35" s="130" t="s">
        <v>245</v>
      </c>
      <c r="K35" s="130" t="s">
        <v>246</v>
      </c>
      <c r="L35" s="130" t="s">
        <v>247</v>
      </c>
      <c r="M35" s="130" t="s">
        <v>248</v>
      </c>
      <c r="N35" s="130" t="s">
        <v>2099</v>
      </c>
      <c r="O35" s="130" t="s">
        <v>250</v>
      </c>
      <c r="P35" s="130" t="s">
        <v>251</v>
      </c>
      <c r="Q35" s="130" t="s">
        <v>252</v>
      </c>
      <c r="R35" s="130" t="s">
        <v>253</v>
      </c>
      <c r="S35" s="130" t="s">
        <v>254</v>
      </c>
      <c r="T35" s="130" t="s">
        <v>255</v>
      </c>
      <c r="U35" s="130"/>
      <c r="V35" s="130" t="str">
        <f t="shared" ref="V35:AE35" si="31">K1</f>
        <v>中國語文</v>
      </c>
      <c r="W35" s="130" t="str">
        <f t="shared" si="31"/>
        <v>英國語文</v>
      </c>
      <c r="X35" s="130" t="str">
        <f t="shared" si="31"/>
        <v>數學</v>
      </c>
      <c r="Y35" s="130"/>
      <c r="Z35" s="130" t="str">
        <f t="shared" si="31"/>
        <v>數學延伸</v>
      </c>
      <c r="AA35" s="130" t="str">
        <f t="shared" si="31"/>
        <v>請選擇第一選修科</v>
      </c>
      <c r="AB35" s="130" t="str">
        <f t="shared" si="31"/>
        <v>請選擇第二選修科</v>
      </c>
      <c r="AC35" s="130" t="str">
        <f t="shared" si="31"/>
        <v>請選擇第三選修科</v>
      </c>
      <c r="AD35" s="130" t="str">
        <f t="shared" si="31"/>
        <v>請選擇第四選修科</v>
      </c>
      <c r="AE35" s="130" t="str">
        <f t="shared" si="31"/>
        <v>請選擇語言科目</v>
      </c>
      <c r="AF35" s="439" t="str">
        <f>K1</f>
        <v>中國語文</v>
      </c>
      <c r="AG35" s="439" t="str">
        <f t="shared" ref="AG35:AO35" si="32">L1</f>
        <v>英國語文</v>
      </c>
      <c r="AH35" s="439" t="str">
        <f t="shared" si="32"/>
        <v>數學</v>
      </c>
      <c r="AI35" s="439" t="str">
        <f t="shared" si="32"/>
        <v>公社科</v>
      </c>
      <c r="AJ35" s="439" t="str">
        <f t="shared" si="32"/>
        <v>數學延伸</v>
      </c>
      <c r="AK35" s="439" t="str">
        <f t="shared" si="32"/>
        <v>請選擇第一選修科</v>
      </c>
      <c r="AL35" s="439" t="str">
        <f t="shared" si="32"/>
        <v>請選擇第二選修科</v>
      </c>
      <c r="AM35" s="439" t="str">
        <f t="shared" si="32"/>
        <v>請選擇第三選修科</v>
      </c>
      <c r="AN35" s="439" t="str">
        <f t="shared" si="32"/>
        <v>請選擇第四選修科</v>
      </c>
      <c r="AO35" s="439" t="str">
        <f t="shared" si="32"/>
        <v>請選擇語言科目</v>
      </c>
      <c r="AP35" s="130"/>
      <c r="AQ35" s="130" t="s">
        <v>257</v>
      </c>
      <c r="AR35" s="130" t="s">
        <v>258</v>
      </c>
      <c r="AS35" s="130"/>
      <c r="AT35" s="130" t="s">
        <v>259</v>
      </c>
      <c r="AU35" s="130" t="s">
        <v>260</v>
      </c>
      <c r="AV35" s="130" t="s">
        <v>261</v>
      </c>
      <c r="AW35" s="130" t="s">
        <v>262</v>
      </c>
      <c r="AX35" s="130" t="s">
        <v>263</v>
      </c>
      <c r="AY35" s="130" t="s">
        <v>264</v>
      </c>
      <c r="BA35" s="2"/>
      <c r="BB35" s="2"/>
      <c r="BC35" s="2"/>
      <c r="BD35" s="2"/>
      <c r="BE35" s="2"/>
      <c r="BF35" s="2"/>
      <c r="BG35" s="2"/>
      <c r="BH35" s="2" t="str">
        <f t="shared" ref="BH35:BQ35" si="33">K1</f>
        <v>中國語文</v>
      </c>
      <c r="BI35" s="2" t="str">
        <f t="shared" si="33"/>
        <v>英國語文</v>
      </c>
      <c r="BJ35" s="2" t="str">
        <f t="shared" si="33"/>
        <v>數學</v>
      </c>
      <c r="BK35" s="2" t="str">
        <f t="shared" si="33"/>
        <v>公社科</v>
      </c>
      <c r="BL35" s="2" t="str">
        <f t="shared" si="33"/>
        <v>數學延伸</v>
      </c>
      <c r="BM35" s="2" t="str">
        <f t="shared" si="33"/>
        <v>請選擇第一選修科</v>
      </c>
      <c r="BN35" s="2" t="str">
        <f t="shared" si="33"/>
        <v>請選擇第二選修科</v>
      </c>
      <c r="BO35" s="2" t="str">
        <f t="shared" si="33"/>
        <v>請選擇第三選修科</v>
      </c>
      <c r="BP35" s="2" t="str">
        <f t="shared" si="33"/>
        <v>請選擇第四選修科</v>
      </c>
      <c r="BQ35" s="2" t="str">
        <f t="shared" si="33"/>
        <v>請選擇語言科目</v>
      </c>
      <c r="BR35" s="2" t="s">
        <v>64</v>
      </c>
      <c r="BS35" s="216" t="s">
        <v>221</v>
      </c>
      <c r="BT35" s="216" t="s">
        <v>270</v>
      </c>
      <c r="BU35" s="217"/>
      <c r="BV35" s="218"/>
      <c r="BW35" s="218"/>
      <c r="BX35" s="218"/>
      <c r="BY35" s="218"/>
      <c r="BZ35" s="218"/>
      <c r="CA35" s="218"/>
      <c r="CB35" s="218"/>
      <c r="CC35" s="218"/>
      <c r="CD35" s="218"/>
    </row>
    <row r="36" spans="1:82">
      <c r="A36" s="117" t="s">
        <v>709</v>
      </c>
      <c r="B36" s="117" t="str">
        <f>'Reference Score Calculation'!B13</f>
        <v>JS1000</v>
      </c>
      <c r="C36" s="117" t="str">
        <f>'Reference Score Calculation'!E13</f>
        <v>理學士(計算金融及金融科技) (專修：計算金融 / 金融科技)</v>
      </c>
      <c r="D36" s="2"/>
      <c r="E36" s="355" t="str">
        <f>'Reference Score Calculation'!F13</f>
        <v>3C2X</v>
      </c>
      <c r="F36" s="355"/>
      <c r="G36" s="16" t="str">
        <f>入學要求!AB22</f>
        <v>v</v>
      </c>
      <c r="H36" s="16" t="str">
        <f>入學要求!AC22</f>
        <v>E</v>
      </c>
      <c r="I36" s="16" t="str">
        <f>入學要求!AD22</f>
        <v>NO</v>
      </c>
      <c r="J36" s="117">
        <f t="shared" ref="J36:J67" si="34">SUMIF(AP36:AY36,TRUE,V36:AE36)</f>
        <v>2.2999999999999999E-9</v>
      </c>
      <c r="K36" s="120">
        <v>1</v>
      </c>
      <c r="L36" s="120">
        <v>1</v>
      </c>
      <c r="M36" s="120">
        <v>1</v>
      </c>
      <c r="N36" s="120"/>
      <c r="O36" s="120">
        <v>1</v>
      </c>
      <c r="P36" s="120">
        <v>1</v>
      </c>
      <c r="Q36" s="120">
        <v>1</v>
      </c>
      <c r="R36" s="120">
        <v>1</v>
      </c>
      <c r="S36" s="120">
        <v>1</v>
      </c>
      <c r="T36" s="120">
        <v>1</v>
      </c>
      <c r="V36" s="117">
        <f t="shared" ref="V36:V49" si="35">K$3*K36</f>
        <v>1E-10</v>
      </c>
      <c r="W36" s="117">
        <f t="shared" ref="W36:W49" si="36">L$3*L36</f>
        <v>2.0000000000000001E-10</v>
      </c>
      <c r="X36" s="117">
        <f t="shared" ref="X36:X49" si="37">M$3*M36</f>
        <v>3E-10</v>
      </c>
      <c r="Z36" s="117">
        <f t="shared" ref="Z36:Z49" si="38">IF(G36="v",O$3*O36,0)</f>
        <v>5.0000000000000003E-10</v>
      </c>
      <c r="AA36" s="117">
        <f t="shared" ref="AA36:AA49" si="39">P$3*P36</f>
        <v>6E-10</v>
      </c>
      <c r="AB36" s="117">
        <f t="shared" ref="AB36:AB49" si="40">Q$3*Q36</f>
        <v>6.9999999999999996E-10</v>
      </c>
      <c r="AC36" s="117">
        <f t="shared" ref="AC36:AC49" si="41">R$3*R36</f>
        <v>8.0000000000000003E-10</v>
      </c>
      <c r="AD36" s="117">
        <f t="shared" ref="AD36:AD49" si="42">S$3*S36</f>
        <v>8.9999999999999999E-10</v>
      </c>
      <c r="AE36" s="117">
        <f t="shared" ref="AE36:AE49" si="43">IF(H36="E",T$3*T36,0)</f>
        <v>0</v>
      </c>
      <c r="AF36" s="117">
        <f t="shared" ref="AF36:AF67" si="44">IF(BH36=TRUE,V36+99,V36)</f>
        <v>1E-10</v>
      </c>
      <c r="AG36" s="117">
        <f t="shared" ref="AG36:AG67" si="45">IF(BI36=TRUE,W36+99,W36)</f>
        <v>2.0000000000000001E-10</v>
      </c>
      <c r="AH36" s="117">
        <f t="shared" ref="AH36:AH67" si="46">IF(BJ36=TRUE,X36+99,X36)</f>
        <v>3E-10</v>
      </c>
      <c r="AI36" s="117">
        <f t="shared" ref="AI36:AI67" si="47">IF(BK36=TRUE,Y36+99,Y36)</f>
        <v>0</v>
      </c>
      <c r="AJ36" s="117">
        <f t="shared" ref="AJ36:AJ67" si="48">IF(BL36=TRUE,Z36+99,Z36)</f>
        <v>5.0000000000000003E-10</v>
      </c>
      <c r="AK36" s="117">
        <f t="shared" ref="AK36:AK67" si="49">IF(BM36=TRUE,AA36+99,AA36)</f>
        <v>6E-10</v>
      </c>
      <c r="AL36" s="117">
        <f t="shared" ref="AL36:AL67" si="50">IF(BN36=TRUE,AB36+99,AB36)</f>
        <v>6.9999999999999996E-10</v>
      </c>
      <c r="AM36" s="117">
        <f t="shared" ref="AM36:AM67" si="51">IF(BO36=TRUE,AC36+99,AC36)</f>
        <v>8.0000000000000003E-10</v>
      </c>
      <c r="AN36" s="117">
        <f t="shared" ref="AN36:AN67" si="52">IF(BP36=TRUE,AD36+99,AD36)</f>
        <v>8.9999999999999999E-10</v>
      </c>
      <c r="AO36" s="117">
        <f t="shared" ref="AO36:AO67" si="53">IF(BQ36=TRUE,AE36+99,AE36)</f>
        <v>0</v>
      </c>
      <c r="AP36" s="117" t="b">
        <f t="shared" ref="AP36:AP49" si="54">IF(BH36=TRUE,TRUE,IF($E36="3C2X",TRUE,IF($E36="Best 5",IF(AF36&gt;LARGE($AF36:$AO36,6),TRUE),IF($E36="Best 4",IF(AF36&gt;LARGE($AF36:$AO36,5),TRUE)))))</f>
        <v>1</v>
      </c>
      <c r="AQ36" s="117" t="b">
        <f t="shared" ref="AQ36:AQ49" si="55">IF(BI36=TRUE,TRUE,IF($E36="3C2X",TRUE,IF($E36="Best 5",IF(AG36&gt;LARGE($AF36:$AO36,6),TRUE),IF($E36="Best 4",IF(AG36&gt;LARGE($AF36:$AO36,5),TRUE)))))</f>
        <v>1</v>
      </c>
      <c r="AR36" s="117" t="b">
        <f t="shared" ref="AR36:AR49" si="56">IF(BJ36=TRUE,TRUE,IF($E36="3C2X",TRUE,IF($E36="Best 5",IF(AH36&gt;LARGE($AF36:$AO36,6),TRUE),IF($E36="Best 4",IF(AH36&gt;LARGE($AF36:$AO36,5),TRUE)))))</f>
        <v>1</v>
      </c>
      <c r="AT36" s="437" t="b">
        <f t="shared" ref="AT36:AT49" si="57">IF(BL36=TRUE,TRUE,IF($E36="3C2X",IF(AJ36&gt;LARGE($AJ36:$AO36,3),TRUE),IF($E36="Best 4",IF(AJ36&gt;LARGE($AF36:$AO36,5),TRUE),IF($E36="Best 5",IF(AJ36&gt;LARGE($AF36:$AO36,6),TRUE)))))</f>
        <v>0</v>
      </c>
      <c r="AU36" s="437" t="b">
        <f t="shared" ref="AU36:AU49" si="58">IF(BM36=TRUE,TRUE,IF($E36="3C2X",IF(AK36&gt;LARGE($AJ36:$AO36,3),TRUE),IF($E36="Best 4",IF(AK36&gt;LARGE($AF36:$AO36,5),TRUE),IF($E36="Best 5",IF(AK36&gt;LARGE($AF36:$AO36,6),TRUE)))))</f>
        <v>0</v>
      </c>
      <c r="AV36" s="437" t="b">
        <f t="shared" ref="AV36:AV49" si="59">IF(BN36=TRUE,TRUE,IF($E36="3C2X",IF(AL36&gt;LARGE($AJ36:$AO36,3),TRUE),IF($E36="Best 4",IF(AL36&gt;LARGE($AF36:$AO36,5),TRUE),IF($E36="Best 5",IF(AL36&gt;LARGE($AF36:$AO36,6),TRUE)))))</f>
        <v>0</v>
      </c>
      <c r="AW36" s="437" t="b">
        <f t="shared" ref="AW36:AW49" si="60">IF(BO36=TRUE,TRUE,IF($E36="3C2X",IF(AM36&gt;LARGE($AJ36:$AO36,3),TRUE),IF($E36="Best 4",IF(AM36&gt;LARGE($AF36:$AO36,5),TRUE),IF($E36="Best 5",IF(AM36&gt;LARGE($AF36:$AO36,6),TRUE)))))</f>
        <v>1</v>
      </c>
      <c r="AX36" s="437" t="b">
        <f t="shared" ref="AX36:AX49" si="61">IF(BP36=TRUE,TRUE,IF($E36="3C2X",IF(AN36&gt;LARGE($AJ36:$AO36,3),TRUE),IF($E36="Best 4",IF(AN36&gt;LARGE($AF36:$AO36,5),TRUE),IF($E36="Best 5",IF(AN36&gt;LARGE($AF36:$AO36,6),TRUE)))))</f>
        <v>1</v>
      </c>
      <c r="AY36" s="437" t="b">
        <f t="shared" ref="AY36:AY49" si="62">IF(BQ36=TRUE,TRUE,IF($E36="3C2X",IF(AO36&gt;LARGE($AJ36:$AO36,3),TRUE),IF($E36="Best 4",IF(AO36&gt;LARGE($AF36:$AO36,5),TRUE),IF($E36="Best 5",IF(AO36&gt;LARGE($AF36:$AO36,6),TRUE)))))</f>
        <v>0</v>
      </c>
      <c r="BA36" s="2" t="str">
        <f>'Reference Score Calculation'!N13</f>
        <v>/</v>
      </c>
      <c r="BB36" s="2" t="str">
        <f>'Reference Score Calculation'!O13</f>
        <v>/</v>
      </c>
      <c r="BC36" s="2"/>
      <c r="BD36" s="2"/>
      <c r="BE36" s="2"/>
      <c r="BF36" s="2"/>
      <c r="BG36" s="2"/>
      <c r="BH36" s="85"/>
      <c r="BI36" s="85"/>
      <c r="BJ36" s="85"/>
      <c r="BK36" s="85"/>
      <c r="BL36" s="85"/>
      <c r="BM36" s="85"/>
      <c r="BN36" s="85"/>
      <c r="BO36" s="85"/>
      <c r="BP36" s="85"/>
      <c r="BQ36" s="85"/>
      <c r="BR36" s="2" t="s">
        <v>64</v>
      </c>
      <c r="BS36" s="217"/>
      <c r="BT36" s="216"/>
      <c r="BU36" s="217"/>
      <c r="BV36" s="218"/>
      <c r="BW36" s="218"/>
      <c r="BX36" s="218"/>
      <c r="BY36" s="218"/>
      <c r="BZ36" s="218"/>
      <c r="CA36" s="218"/>
      <c r="CB36" s="218"/>
      <c r="CC36" s="218"/>
      <c r="CD36" s="218"/>
    </row>
    <row r="37" spans="1:82">
      <c r="A37" s="117" t="s">
        <v>717</v>
      </c>
      <c r="B37" s="117" t="str">
        <f>'Reference Score Calculation'!B14</f>
        <v>JS1001</v>
      </c>
      <c r="C37" s="117" t="str">
        <f>'Reference Score Calculation'!E14</f>
        <v>工商管理學士(環球商業) (特點: 三次海外交流 / 美國哥倫比亞大學雙聯學士學位 / 海外暑期及遊學課程 / 商業諮詢課程 / 獎學金及資助)</v>
      </c>
      <c r="D37" s="2"/>
      <c r="E37" s="355" t="str">
        <f>'Reference Score Calculation'!F14</f>
        <v>3C2X</v>
      </c>
      <c r="F37" s="355"/>
      <c r="G37" s="16" t="str">
        <f>入學要求!AB23</f>
        <v>v</v>
      </c>
      <c r="H37" s="16" t="str">
        <f>入學要求!AC23</f>
        <v>E</v>
      </c>
      <c r="I37" s="16" t="str">
        <f>入學要求!AD23</f>
        <v>NO</v>
      </c>
      <c r="J37" s="117">
        <f t="shared" si="34"/>
        <v>2.2999999999999999E-9</v>
      </c>
      <c r="K37" s="120">
        <v>1</v>
      </c>
      <c r="L37" s="120">
        <v>1</v>
      </c>
      <c r="M37" s="120">
        <v>1</v>
      </c>
      <c r="N37" s="120"/>
      <c r="O37" s="120">
        <v>1</v>
      </c>
      <c r="P37" s="120">
        <v>1</v>
      </c>
      <c r="Q37" s="120">
        <v>1</v>
      </c>
      <c r="R37" s="120">
        <v>1</v>
      </c>
      <c r="S37" s="120">
        <v>1</v>
      </c>
      <c r="T37" s="120">
        <v>1</v>
      </c>
      <c r="V37" s="117">
        <f t="shared" si="35"/>
        <v>1E-10</v>
      </c>
      <c r="W37" s="117">
        <f t="shared" si="36"/>
        <v>2.0000000000000001E-10</v>
      </c>
      <c r="X37" s="117">
        <f t="shared" si="37"/>
        <v>3E-10</v>
      </c>
      <c r="Z37" s="117">
        <f t="shared" si="38"/>
        <v>5.0000000000000003E-10</v>
      </c>
      <c r="AA37" s="117">
        <f t="shared" si="39"/>
        <v>6E-10</v>
      </c>
      <c r="AB37" s="117">
        <f t="shared" si="40"/>
        <v>6.9999999999999996E-10</v>
      </c>
      <c r="AC37" s="117">
        <f t="shared" si="41"/>
        <v>8.0000000000000003E-10</v>
      </c>
      <c r="AD37" s="117">
        <f t="shared" si="42"/>
        <v>8.9999999999999999E-10</v>
      </c>
      <c r="AE37" s="117">
        <f t="shared" si="43"/>
        <v>0</v>
      </c>
      <c r="AF37" s="117">
        <f t="shared" si="44"/>
        <v>1E-10</v>
      </c>
      <c r="AG37" s="117">
        <f t="shared" si="45"/>
        <v>2.0000000000000001E-10</v>
      </c>
      <c r="AH37" s="117">
        <f t="shared" si="46"/>
        <v>3E-10</v>
      </c>
      <c r="AI37" s="117">
        <f t="shared" si="47"/>
        <v>0</v>
      </c>
      <c r="AJ37" s="117">
        <f t="shared" si="48"/>
        <v>5.0000000000000003E-10</v>
      </c>
      <c r="AK37" s="117">
        <f t="shared" si="49"/>
        <v>6E-10</v>
      </c>
      <c r="AL37" s="117">
        <f t="shared" si="50"/>
        <v>6.9999999999999996E-10</v>
      </c>
      <c r="AM37" s="117">
        <f t="shared" si="51"/>
        <v>8.0000000000000003E-10</v>
      </c>
      <c r="AN37" s="117">
        <f t="shared" si="52"/>
        <v>8.9999999999999999E-10</v>
      </c>
      <c r="AO37" s="117">
        <f t="shared" si="53"/>
        <v>0</v>
      </c>
      <c r="AP37" s="117" t="b">
        <f t="shared" si="54"/>
        <v>1</v>
      </c>
      <c r="AQ37" s="117" t="b">
        <f t="shared" si="55"/>
        <v>1</v>
      </c>
      <c r="AR37" s="117" t="b">
        <f t="shared" si="56"/>
        <v>1</v>
      </c>
      <c r="AT37" s="437" t="b">
        <f t="shared" si="57"/>
        <v>0</v>
      </c>
      <c r="AU37" s="437" t="b">
        <f t="shared" si="58"/>
        <v>0</v>
      </c>
      <c r="AV37" s="437" t="b">
        <f t="shared" si="59"/>
        <v>0</v>
      </c>
      <c r="AW37" s="437" t="b">
        <f t="shared" si="60"/>
        <v>1</v>
      </c>
      <c r="AX37" s="437" t="b">
        <f t="shared" si="61"/>
        <v>1</v>
      </c>
      <c r="AY37" s="437" t="b">
        <f t="shared" si="62"/>
        <v>0</v>
      </c>
      <c r="BA37" s="2" t="str">
        <f>'Reference Score Calculation'!N14</f>
        <v>/</v>
      </c>
      <c r="BB37" s="2" t="str">
        <f>'Reference Score Calculation'!O14</f>
        <v>/</v>
      </c>
      <c r="BC37" s="2"/>
      <c r="BD37" s="2"/>
      <c r="BE37" s="2"/>
      <c r="BF37" s="2"/>
      <c r="BG37" s="2"/>
      <c r="BH37" s="85"/>
      <c r="BI37" s="85"/>
      <c r="BJ37" s="85"/>
      <c r="BK37" s="85"/>
      <c r="BL37" s="85"/>
      <c r="BM37" s="85"/>
      <c r="BN37" s="85"/>
      <c r="BO37" s="85"/>
      <c r="BP37" s="85"/>
      <c r="BQ37" s="85"/>
      <c r="BR37" s="2" t="s">
        <v>64</v>
      </c>
      <c r="BS37" s="219" t="s">
        <v>271</v>
      </c>
      <c r="BT37" s="220"/>
      <c r="BU37" s="220"/>
      <c r="BV37" s="220"/>
      <c r="BW37" s="220"/>
      <c r="BX37" s="220"/>
      <c r="BY37" s="220"/>
      <c r="BZ37" s="220"/>
      <c r="CA37" s="220"/>
      <c r="CB37" s="220"/>
      <c r="CC37" s="220"/>
      <c r="CD37" s="220"/>
    </row>
    <row r="38" spans="1:82">
      <c r="A38" s="117" t="s">
        <v>721</v>
      </c>
      <c r="B38" s="117" t="str">
        <f>'Reference Score Calculation'!B15</f>
        <v>JS1002</v>
      </c>
      <c r="C38" s="117" t="str">
        <f>'Reference Score Calculation'!E15</f>
        <v>工商管理學士(會計) (專修: 專業會計 / 環境，社會，治理和科技)</v>
      </c>
      <c r="D38" s="2"/>
      <c r="E38" s="355" t="str">
        <f>'Reference Score Calculation'!F15</f>
        <v>Best 5</v>
      </c>
      <c r="F38" s="356"/>
      <c r="G38" s="16" t="str">
        <f>入學要求!AB24</f>
        <v>v</v>
      </c>
      <c r="H38" s="16" t="str">
        <f>入學要求!AC24</f>
        <v>E</v>
      </c>
      <c r="I38" s="16" t="str">
        <f>入學要求!AD24</f>
        <v>NO</v>
      </c>
      <c r="J38" s="117">
        <f t="shared" si="34"/>
        <v>3.2999999999999998E-9</v>
      </c>
      <c r="K38" s="120">
        <v>1</v>
      </c>
      <c r="L38" s="120">
        <v>1</v>
      </c>
      <c r="M38" s="120">
        <v>1</v>
      </c>
      <c r="N38" s="120"/>
      <c r="O38" s="120">
        <v>1</v>
      </c>
      <c r="P38" s="120">
        <v>1</v>
      </c>
      <c r="Q38" s="120">
        <v>1</v>
      </c>
      <c r="R38" s="120">
        <v>1</v>
      </c>
      <c r="S38" s="120">
        <v>1</v>
      </c>
      <c r="T38" s="120">
        <v>1</v>
      </c>
      <c r="V38" s="117">
        <f t="shared" si="35"/>
        <v>1E-10</v>
      </c>
      <c r="W38" s="117">
        <f t="shared" si="36"/>
        <v>2.0000000000000001E-10</v>
      </c>
      <c r="X38" s="117">
        <f t="shared" si="37"/>
        <v>3E-10</v>
      </c>
      <c r="Z38" s="117">
        <f t="shared" si="38"/>
        <v>5.0000000000000003E-10</v>
      </c>
      <c r="AA38" s="117">
        <f t="shared" si="39"/>
        <v>6E-10</v>
      </c>
      <c r="AB38" s="117">
        <f t="shared" si="40"/>
        <v>6.9999999999999996E-10</v>
      </c>
      <c r="AC38" s="117">
        <f t="shared" si="41"/>
        <v>8.0000000000000003E-10</v>
      </c>
      <c r="AD38" s="117">
        <f t="shared" si="42"/>
        <v>8.9999999999999999E-10</v>
      </c>
      <c r="AE38" s="117">
        <f t="shared" si="43"/>
        <v>0</v>
      </c>
      <c r="AF38" s="117">
        <f t="shared" si="44"/>
        <v>1E-10</v>
      </c>
      <c r="AG38" s="117">
        <f t="shared" si="45"/>
        <v>2.0000000000000001E-10</v>
      </c>
      <c r="AH38" s="117">
        <f t="shared" si="46"/>
        <v>99.000000000300005</v>
      </c>
      <c r="AI38" s="117">
        <f t="shared" si="47"/>
        <v>0</v>
      </c>
      <c r="AJ38" s="117">
        <f t="shared" si="48"/>
        <v>5.0000000000000003E-10</v>
      </c>
      <c r="AK38" s="117">
        <f t="shared" si="49"/>
        <v>6E-10</v>
      </c>
      <c r="AL38" s="117">
        <f t="shared" si="50"/>
        <v>6.9999999999999996E-10</v>
      </c>
      <c r="AM38" s="117">
        <f t="shared" si="51"/>
        <v>8.0000000000000003E-10</v>
      </c>
      <c r="AN38" s="117">
        <f t="shared" si="52"/>
        <v>8.9999999999999999E-10</v>
      </c>
      <c r="AO38" s="117">
        <f t="shared" si="53"/>
        <v>0</v>
      </c>
      <c r="AP38" s="117" t="b">
        <f t="shared" si="54"/>
        <v>0</v>
      </c>
      <c r="AQ38" s="117" t="b">
        <f t="shared" si="55"/>
        <v>0</v>
      </c>
      <c r="AR38" s="117" t="b">
        <f t="shared" si="56"/>
        <v>1</v>
      </c>
      <c r="AS38" s="438"/>
      <c r="AT38" s="437" t="b">
        <f t="shared" si="57"/>
        <v>0</v>
      </c>
      <c r="AU38" s="437" t="b">
        <f t="shared" si="58"/>
        <v>1</v>
      </c>
      <c r="AV38" s="437" t="b">
        <f t="shared" si="59"/>
        <v>1</v>
      </c>
      <c r="AW38" s="437" t="b">
        <f t="shared" si="60"/>
        <v>1</v>
      </c>
      <c r="AX38" s="437" t="b">
        <f t="shared" si="61"/>
        <v>1</v>
      </c>
      <c r="AY38" s="437" t="b">
        <f t="shared" si="62"/>
        <v>0</v>
      </c>
      <c r="AZ38" s="215"/>
      <c r="BA38" s="2" t="str">
        <f>'Reference Score Calculation'!N15</f>
        <v>最佳五科必須包括︰數學</v>
      </c>
      <c r="BB38" s="2" t="str">
        <f>'Reference Score Calculation'!O15</f>
        <v>/</v>
      </c>
      <c r="BC38" s="2"/>
      <c r="BD38" s="2"/>
      <c r="BE38" s="2"/>
      <c r="BF38" s="2"/>
      <c r="BG38" s="2"/>
      <c r="BH38" s="85"/>
      <c r="BI38" s="85"/>
      <c r="BJ38" s="85" t="b">
        <v>1</v>
      </c>
      <c r="BK38" s="85"/>
      <c r="BL38" s="85"/>
      <c r="BM38" s="85"/>
      <c r="BN38" s="85"/>
      <c r="BO38" s="85"/>
      <c r="BP38" s="85"/>
      <c r="BQ38" s="85"/>
      <c r="BR38" s="2" t="s">
        <v>64</v>
      </c>
      <c r="BS38" s="220"/>
      <c r="BT38" s="220"/>
      <c r="BU38" s="220"/>
      <c r="BV38" s="220"/>
      <c r="BW38" s="220"/>
      <c r="BX38" s="220"/>
      <c r="BY38" s="220"/>
      <c r="BZ38" s="220"/>
      <c r="CA38" s="220"/>
      <c r="CB38" s="220"/>
      <c r="CC38" s="220"/>
      <c r="CD38" s="220"/>
    </row>
    <row r="39" spans="1:82">
      <c r="A39" s="117" t="s">
        <v>726</v>
      </c>
      <c r="B39" s="117" t="str">
        <f>'Reference Score Calculation'!B16</f>
        <v>JS1005</v>
      </c>
      <c r="C39" s="117" t="str">
        <f>'Reference Score Calculation'!E16</f>
        <v>工商管理學士 (管理學 ) (專修 : 人 力資源管理 / 策略及國際管理 )</v>
      </c>
      <c r="D39" s="2"/>
      <c r="E39" s="355" t="str">
        <f>'Reference Score Calculation'!F16</f>
        <v>Best 5</v>
      </c>
      <c r="F39" s="356"/>
      <c r="G39" s="16" t="str">
        <f>入學要求!AB25</f>
        <v>v</v>
      </c>
      <c r="H39" s="16" t="str">
        <f>入學要求!AC25</f>
        <v>E</v>
      </c>
      <c r="I39" s="16" t="str">
        <f>入學要求!AD25</f>
        <v>NO</v>
      </c>
      <c r="J39" s="117">
        <f t="shared" si="34"/>
        <v>3.2999999999999998E-9</v>
      </c>
      <c r="K39" s="120">
        <v>1</v>
      </c>
      <c r="L39" s="120">
        <v>1</v>
      </c>
      <c r="M39" s="120">
        <v>1</v>
      </c>
      <c r="N39" s="120"/>
      <c r="O39" s="120">
        <v>1</v>
      </c>
      <c r="P39" s="120">
        <v>1</v>
      </c>
      <c r="Q39" s="120">
        <v>1</v>
      </c>
      <c r="R39" s="120">
        <v>1</v>
      </c>
      <c r="S39" s="120">
        <v>1</v>
      </c>
      <c r="T39" s="120">
        <v>1</v>
      </c>
      <c r="V39" s="117">
        <f t="shared" si="35"/>
        <v>1E-10</v>
      </c>
      <c r="W39" s="117">
        <f t="shared" si="36"/>
        <v>2.0000000000000001E-10</v>
      </c>
      <c r="X39" s="117">
        <f t="shared" si="37"/>
        <v>3E-10</v>
      </c>
      <c r="Z39" s="117">
        <f t="shared" si="38"/>
        <v>5.0000000000000003E-10</v>
      </c>
      <c r="AA39" s="117">
        <f t="shared" si="39"/>
        <v>6E-10</v>
      </c>
      <c r="AB39" s="117">
        <f t="shared" si="40"/>
        <v>6.9999999999999996E-10</v>
      </c>
      <c r="AC39" s="117">
        <f t="shared" si="41"/>
        <v>8.0000000000000003E-10</v>
      </c>
      <c r="AD39" s="117">
        <f t="shared" si="42"/>
        <v>8.9999999999999999E-10</v>
      </c>
      <c r="AE39" s="117">
        <f t="shared" si="43"/>
        <v>0</v>
      </c>
      <c r="AF39" s="117">
        <f t="shared" si="44"/>
        <v>1E-10</v>
      </c>
      <c r="AG39" s="117">
        <f t="shared" si="45"/>
        <v>2.0000000000000001E-10</v>
      </c>
      <c r="AH39" s="117">
        <f t="shared" si="46"/>
        <v>99.000000000300005</v>
      </c>
      <c r="AI39" s="117">
        <f t="shared" si="47"/>
        <v>0</v>
      </c>
      <c r="AJ39" s="117">
        <f t="shared" si="48"/>
        <v>5.0000000000000003E-10</v>
      </c>
      <c r="AK39" s="117">
        <f t="shared" si="49"/>
        <v>6E-10</v>
      </c>
      <c r="AL39" s="117">
        <f t="shared" si="50"/>
        <v>6.9999999999999996E-10</v>
      </c>
      <c r="AM39" s="117">
        <f t="shared" si="51"/>
        <v>8.0000000000000003E-10</v>
      </c>
      <c r="AN39" s="117">
        <f t="shared" si="52"/>
        <v>8.9999999999999999E-10</v>
      </c>
      <c r="AO39" s="117">
        <f t="shared" si="53"/>
        <v>0</v>
      </c>
      <c r="AP39" s="117" t="b">
        <f t="shared" si="54"/>
        <v>0</v>
      </c>
      <c r="AQ39" s="117" t="b">
        <f t="shared" si="55"/>
        <v>0</v>
      </c>
      <c r="AR39" s="117" t="b">
        <f t="shared" si="56"/>
        <v>1</v>
      </c>
      <c r="AS39" s="438"/>
      <c r="AT39" s="437" t="b">
        <f t="shared" si="57"/>
        <v>0</v>
      </c>
      <c r="AU39" s="437" t="b">
        <f t="shared" si="58"/>
        <v>1</v>
      </c>
      <c r="AV39" s="437" t="b">
        <f t="shared" si="59"/>
        <v>1</v>
      </c>
      <c r="AW39" s="437" t="b">
        <f t="shared" si="60"/>
        <v>1</v>
      </c>
      <c r="AX39" s="437" t="b">
        <f t="shared" si="61"/>
        <v>1</v>
      </c>
      <c r="AY39" s="437" t="b">
        <f t="shared" si="62"/>
        <v>0</v>
      </c>
      <c r="BA39" s="2" t="str">
        <f>'Reference Score Calculation'!N16</f>
        <v>最佳五科必須包括︰數學</v>
      </c>
      <c r="BB39" s="2" t="str">
        <f>'Reference Score Calculation'!O16</f>
        <v>/</v>
      </c>
      <c r="BC39" s="2"/>
      <c r="BD39" s="2"/>
      <c r="BE39" s="2"/>
      <c r="BF39" s="2"/>
      <c r="BG39" s="2"/>
      <c r="BH39" s="85"/>
      <c r="BI39" s="85"/>
      <c r="BJ39" s="85" t="b">
        <v>1</v>
      </c>
      <c r="BK39" s="85"/>
      <c r="BL39" s="85"/>
      <c r="BM39" s="85"/>
      <c r="BN39" s="85"/>
      <c r="BO39" s="85"/>
      <c r="BP39" s="85"/>
      <c r="BQ39" s="85"/>
      <c r="BR39" s="2" t="s">
        <v>64</v>
      </c>
      <c r="BS39" s="221" t="s">
        <v>272</v>
      </c>
      <c r="BT39" s="220" t="str">
        <f>P1</f>
        <v>請選擇第一選修科</v>
      </c>
      <c r="BU39" s="220" t="str">
        <f>Q1</f>
        <v>請選擇第二選修科</v>
      </c>
      <c r="BV39" s="220" t="str">
        <f>R1</f>
        <v>請選擇第三選修科</v>
      </c>
      <c r="BW39" s="220" t="str">
        <f>S1</f>
        <v>請選擇第四選修科</v>
      </c>
      <c r="BX39" s="220"/>
      <c r="BY39" s="220"/>
      <c r="BZ39" s="220" t="s">
        <v>273</v>
      </c>
      <c r="CA39" s="222" t="s">
        <v>274</v>
      </c>
      <c r="CB39" s="220"/>
      <c r="CC39" s="220"/>
      <c r="CD39" s="220"/>
    </row>
    <row r="40" spans="1:82">
      <c r="A40" s="117" t="s">
        <v>730</v>
      </c>
      <c r="B40" s="117" t="str">
        <f>'Reference Score Calculation'!B17</f>
        <v>JS1007</v>
      </c>
      <c r="C40" s="117" t="str">
        <f>'Reference Score Calculation'!E17</f>
        <v>工商管理學士(市場營銷) (專修: 環球市場營銷 / 營銷數據分析)</v>
      </c>
      <c r="D40" s="2"/>
      <c r="E40" s="355" t="str">
        <f>'Reference Score Calculation'!F17</f>
        <v>3C2X</v>
      </c>
      <c r="F40" s="354"/>
      <c r="G40" s="16" t="str">
        <f>入學要求!AB26</f>
        <v>v</v>
      </c>
      <c r="H40" s="16" t="str">
        <f>入學要求!AC26</f>
        <v>E</v>
      </c>
      <c r="I40" s="16" t="str">
        <f>入學要求!AD26</f>
        <v>NO</v>
      </c>
      <c r="J40" s="117">
        <f t="shared" si="34"/>
        <v>2.4E-9</v>
      </c>
      <c r="K40" s="120">
        <v>1</v>
      </c>
      <c r="L40" s="120">
        <v>1.5</v>
      </c>
      <c r="M40" s="120">
        <v>1</v>
      </c>
      <c r="N40" s="120"/>
      <c r="O40" s="120">
        <v>1</v>
      </c>
      <c r="P40" s="120">
        <v>1</v>
      </c>
      <c r="Q40" s="120">
        <v>1</v>
      </c>
      <c r="R40" s="120">
        <v>1</v>
      </c>
      <c r="S40" s="120">
        <v>1</v>
      </c>
      <c r="T40" s="120">
        <v>1</v>
      </c>
      <c r="V40" s="117">
        <f t="shared" si="35"/>
        <v>1E-10</v>
      </c>
      <c r="W40" s="117">
        <f t="shared" si="36"/>
        <v>3E-10</v>
      </c>
      <c r="X40" s="117">
        <f t="shared" si="37"/>
        <v>3E-10</v>
      </c>
      <c r="Z40" s="117">
        <f t="shared" si="38"/>
        <v>5.0000000000000003E-10</v>
      </c>
      <c r="AA40" s="117">
        <f t="shared" si="39"/>
        <v>6E-10</v>
      </c>
      <c r="AB40" s="117">
        <f t="shared" si="40"/>
        <v>6.9999999999999996E-10</v>
      </c>
      <c r="AC40" s="117">
        <f t="shared" si="41"/>
        <v>8.0000000000000003E-10</v>
      </c>
      <c r="AD40" s="117">
        <f t="shared" si="42"/>
        <v>8.9999999999999999E-10</v>
      </c>
      <c r="AE40" s="117">
        <f t="shared" si="43"/>
        <v>0</v>
      </c>
      <c r="AF40" s="117">
        <f t="shared" si="44"/>
        <v>1E-10</v>
      </c>
      <c r="AG40" s="117">
        <f t="shared" si="45"/>
        <v>3E-10</v>
      </c>
      <c r="AH40" s="117">
        <f t="shared" si="46"/>
        <v>3E-10</v>
      </c>
      <c r="AI40" s="117">
        <f t="shared" si="47"/>
        <v>0</v>
      </c>
      <c r="AJ40" s="117">
        <f t="shared" si="48"/>
        <v>5.0000000000000003E-10</v>
      </c>
      <c r="AK40" s="117">
        <f t="shared" si="49"/>
        <v>6E-10</v>
      </c>
      <c r="AL40" s="117">
        <f t="shared" si="50"/>
        <v>6.9999999999999996E-10</v>
      </c>
      <c r="AM40" s="117">
        <f t="shared" si="51"/>
        <v>8.0000000000000003E-10</v>
      </c>
      <c r="AN40" s="117">
        <f t="shared" si="52"/>
        <v>8.9999999999999999E-10</v>
      </c>
      <c r="AO40" s="117">
        <f t="shared" si="53"/>
        <v>0</v>
      </c>
      <c r="AP40" s="117" t="b">
        <f t="shared" si="54"/>
        <v>1</v>
      </c>
      <c r="AQ40" s="117" t="b">
        <f t="shared" si="55"/>
        <v>1</v>
      </c>
      <c r="AR40" s="117" t="b">
        <f t="shared" si="56"/>
        <v>1</v>
      </c>
      <c r="AT40" s="437" t="b">
        <f t="shared" si="57"/>
        <v>0</v>
      </c>
      <c r="AU40" s="437" t="b">
        <f t="shared" si="58"/>
        <v>0</v>
      </c>
      <c r="AV40" s="437" t="b">
        <f t="shared" si="59"/>
        <v>0</v>
      </c>
      <c r="AW40" s="437" t="b">
        <f t="shared" si="60"/>
        <v>1</v>
      </c>
      <c r="AX40" s="437" t="b">
        <f t="shared" si="61"/>
        <v>1</v>
      </c>
      <c r="AY40" s="437" t="b">
        <f t="shared" si="62"/>
        <v>0</v>
      </c>
      <c r="BA40" s="2" t="str">
        <f>'Reference Score Calculation'!N17</f>
        <v>/</v>
      </c>
      <c r="BB40" s="2" t="str">
        <f>'Reference Score Calculation'!O17</f>
        <v>/</v>
      </c>
      <c r="BC40" s="2"/>
      <c r="BD40" s="2"/>
      <c r="BE40" s="2"/>
      <c r="BF40" s="2"/>
      <c r="BG40" s="2"/>
      <c r="BH40" s="85"/>
      <c r="BI40" s="85"/>
      <c r="BJ40" s="85"/>
      <c r="BK40" s="85"/>
      <c r="BL40" s="85"/>
      <c r="BM40" s="85"/>
      <c r="BN40" s="85"/>
      <c r="BO40" s="85"/>
      <c r="BP40" s="85"/>
      <c r="BQ40" s="85"/>
      <c r="BR40" s="2" t="s">
        <v>64</v>
      </c>
      <c r="BS40" s="220"/>
      <c r="BT40" s="223">
        <f>IF(OR(P1="物理",P1="化學",P1="生物"),P3,0)</f>
        <v>0</v>
      </c>
      <c r="BU40" s="223">
        <f>IF(OR(Q1="物理",Q1="化學",Q1="生物"),Q3,0)</f>
        <v>0</v>
      </c>
      <c r="BV40" s="223">
        <f>IF(OR(R1="物理",R1="化學",R1="生物"),R3,0)</f>
        <v>0</v>
      </c>
      <c r="BW40" s="223">
        <f>IF(OR(S1="物理",S1="化學",S1="生物"),S3,0)</f>
        <v>0</v>
      </c>
      <c r="BX40" s="220"/>
      <c r="BY40" s="220"/>
      <c r="BZ40" s="223" t="str">
        <f>IF(CA40&gt;0,INDEX(BT39:BW39,MATCH(LARGE(BT40:BW40,1),BT40:BW40,0)),"無")</f>
        <v>無</v>
      </c>
      <c r="CA40" s="223">
        <f>LARGE((BT40:BW40),1)</f>
        <v>0</v>
      </c>
      <c r="CB40" s="220"/>
      <c r="CC40" s="220"/>
      <c r="CD40" s="220"/>
    </row>
    <row r="41" spans="1:82">
      <c r="A41" s="117" t="s">
        <v>736</v>
      </c>
      <c r="B41" s="117" t="str">
        <f>'Reference Score Calculation'!B18</f>
        <v>JS1012</v>
      </c>
      <c r="C41" s="117" t="str">
        <f>'Reference Score Calculation'!E18</f>
        <v>經濟及金融 [主修: 工商管理學士(商業經濟) / 工商管理學士(金融)]</v>
      </c>
      <c r="D41" s="2"/>
      <c r="E41" s="355" t="str">
        <f>'Reference Score Calculation'!F18</f>
        <v>Best 5</v>
      </c>
      <c r="F41" s="356"/>
      <c r="G41" s="16" t="str">
        <f>入學要求!AB27</f>
        <v>v</v>
      </c>
      <c r="H41" s="16" t="str">
        <f>入學要求!AC27</f>
        <v>E</v>
      </c>
      <c r="I41" s="16" t="str">
        <f>入學要求!AD27</f>
        <v>NO</v>
      </c>
      <c r="J41" s="117">
        <f t="shared" si="34"/>
        <v>3.2999999999999998E-9</v>
      </c>
      <c r="K41" s="120">
        <v>1</v>
      </c>
      <c r="L41" s="120">
        <v>1</v>
      </c>
      <c r="M41" s="120">
        <v>1</v>
      </c>
      <c r="N41" s="120"/>
      <c r="O41" s="120">
        <v>1</v>
      </c>
      <c r="P41" s="120">
        <v>1</v>
      </c>
      <c r="Q41" s="120">
        <v>1</v>
      </c>
      <c r="R41" s="120">
        <v>1</v>
      </c>
      <c r="S41" s="120">
        <v>1</v>
      </c>
      <c r="T41" s="120">
        <v>1</v>
      </c>
      <c r="V41" s="117">
        <f t="shared" si="35"/>
        <v>1E-10</v>
      </c>
      <c r="W41" s="117">
        <f t="shared" si="36"/>
        <v>2.0000000000000001E-10</v>
      </c>
      <c r="X41" s="117">
        <f t="shared" si="37"/>
        <v>3E-10</v>
      </c>
      <c r="Z41" s="117">
        <f t="shared" si="38"/>
        <v>5.0000000000000003E-10</v>
      </c>
      <c r="AA41" s="117">
        <f t="shared" si="39"/>
        <v>6E-10</v>
      </c>
      <c r="AB41" s="117">
        <f t="shared" si="40"/>
        <v>6.9999999999999996E-10</v>
      </c>
      <c r="AC41" s="117">
        <f t="shared" si="41"/>
        <v>8.0000000000000003E-10</v>
      </c>
      <c r="AD41" s="117">
        <f t="shared" si="42"/>
        <v>8.9999999999999999E-10</v>
      </c>
      <c r="AE41" s="117">
        <f t="shared" si="43"/>
        <v>0</v>
      </c>
      <c r="AF41" s="117">
        <f t="shared" si="44"/>
        <v>1E-10</v>
      </c>
      <c r="AG41" s="117">
        <f t="shared" si="45"/>
        <v>2.0000000000000001E-10</v>
      </c>
      <c r="AH41" s="117">
        <f t="shared" si="46"/>
        <v>99.000000000300005</v>
      </c>
      <c r="AI41" s="117">
        <f t="shared" si="47"/>
        <v>0</v>
      </c>
      <c r="AJ41" s="117">
        <f t="shared" si="48"/>
        <v>5.0000000000000003E-10</v>
      </c>
      <c r="AK41" s="117">
        <f t="shared" si="49"/>
        <v>6E-10</v>
      </c>
      <c r="AL41" s="117">
        <f t="shared" si="50"/>
        <v>6.9999999999999996E-10</v>
      </c>
      <c r="AM41" s="117">
        <f t="shared" si="51"/>
        <v>8.0000000000000003E-10</v>
      </c>
      <c r="AN41" s="117">
        <f t="shared" si="52"/>
        <v>8.9999999999999999E-10</v>
      </c>
      <c r="AO41" s="117">
        <f t="shared" si="53"/>
        <v>0</v>
      </c>
      <c r="AP41" s="117" t="b">
        <f t="shared" si="54"/>
        <v>0</v>
      </c>
      <c r="AQ41" s="117" t="b">
        <f t="shared" si="55"/>
        <v>0</v>
      </c>
      <c r="AR41" s="117" t="b">
        <f t="shared" si="56"/>
        <v>1</v>
      </c>
      <c r="AT41" s="437" t="b">
        <f t="shared" si="57"/>
        <v>0</v>
      </c>
      <c r="AU41" s="437" t="b">
        <f t="shared" si="58"/>
        <v>1</v>
      </c>
      <c r="AV41" s="437" t="b">
        <f t="shared" si="59"/>
        <v>1</v>
      </c>
      <c r="AW41" s="437" t="b">
        <f t="shared" si="60"/>
        <v>1</v>
      </c>
      <c r="AX41" s="437" t="b">
        <f t="shared" si="61"/>
        <v>1</v>
      </c>
      <c r="AY41" s="437" t="b">
        <f t="shared" si="62"/>
        <v>0</v>
      </c>
      <c r="BA41" s="2" t="str">
        <f>'Reference Score Calculation'!N18</f>
        <v>最佳五科必須包括︰數學</v>
      </c>
      <c r="BB41" s="2" t="str">
        <f>'Reference Score Calculation'!O18</f>
        <v>/</v>
      </c>
      <c r="BC41" s="2"/>
      <c r="BD41" s="2"/>
      <c r="BE41" s="2"/>
      <c r="BF41" s="2"/>
      <c r="BG41" s="2"/>
      <c r="BH41" s="85"/>
      <c r="BI41" s="85"/>
      <c r="BJ41" s="85" t="b">
        <v>1</v>
      </c>
      <c r="BK41" s="85"/>
      <c r="BL41" s="85"/>
      <c r="BM41" s="85"/>
      <c r="BN41" s="85"/>
      <c r="BO41" s="85"/>
      <c r="BP41" s="85"/>
      <c r="BQ41" s="85"/>
      <c r="BR41" s="2" t="s">
        <v>64</v>
      </c>
      <c r="BS41" s="220"/>
      <c r="BV41" s="220"/>
      <c r="BW41" s="220"/>
      <c r="BX41" s="220"/>
      <c r="BY41" s="220"/>
      <c r="BZ41" s="218"/>
      <c r="CA41" s="220"/>
      <c r="CB41" s="220"/>
      <c r="CC41" s="220"/>
      <c r="CD41" s="220"/>
    </row>
    <row r="42" spans="1:82">
      <c r="A42" s="117" t="s">
        <v>741</v>
      </c>
      <c r="B42" s="117" t="str">
        <f>'Reference Score Calculation'!B19</f>
        <v>JS1013</v>
      </c>
      <c r="C42" s="117" t="str">
        <f>'Reference Score Calculation'!E19</f>
        <v>工商管理學士(商業經濟) (特點: 經濟理論 / 國際經濟 / 經濟與商業預測 / 定量分析)</v>
      </c>
      <c r="D42" s="2"/>
      <c r="E42" s="355" t="str">
        <f>'Reference Score Calculation'!F19</f>
        <v>Best 5</v>
      </c>
      <c r="F42" s="356"/>
      <c r="G42" s="16" t="str">
        <f>入學要求!AB28</f>
        <v>v</v>
      </c>
      <c r="H42" s="16" t="str">
        <f>入學要求!AC28</f>
        <v>E</v>
      </c>
      <c r="I42" s="16" t="str">
        <f>入學要求!AD28</f>
        <v>NO</v>
      </c>
      <c r="J42" s="117">
        <f t="shared" si="34"/>
        <v>3.2999999999999998E-9</v>
      </c>
      <c r="K42" s="120">
        <v>1</v>
      </c>
      <c r="L42" s="120">
        <v>1</v>
      </c>
      <c r="M42" s="120">
        <v>1</v>
      </c>
      <c r="N42" s="120"/>
      <c r="O42" s="120">
        <v>1</v>
      </c>
      <c r="P42" s="120">
        <v>1</v>
      </c>
      <c r="Q42" s="120">
        <v>1</v>
      </c>
      <c r="R42" s="120">
        <v>1</v>
      </c>
      <c r="S42" s="120">
        <v>1</v>
      </c>
      <c r="T42" s="120">
        <v>1</v>
      </c>
      <c r="V42" s="117">
        <f t="shared" si="35"/>
        <v>1E-10</v>
      </c>
      <c r="W42" s="117">
        <f t="shared" si="36"/>
        <v>2.0000000000000001E-10</v>
      </c>
      <c r="X42" s="117">
        <f t="shared" si="37"/>
        <v>3E-10</v>
      </c>
      <c r="Z42" s="117">
        <f t="shared" si="38"/>
        <v>5.0000000000000003E-10</v>
      </c>
      <c r="AA42" s="117">
        <f t="shared" si="39"/>
        <v>6E-10</v>
      </c>
      <c r="AB42" s="117">
        <f t="shared" si="40"/>
        <v>6.9999999999999996E-10</v>
      </c>
      <c r="AC42" s="117">
        <f t="shared" si="41"/>
        <v>8.0000000000000003E-10</v>
      </c>
      <c r="AD42" s="117">
        <f t="shared" si="42"/>
        <v>8.9999999999999999E-10</v>
      </c>
      <c r="AE42" s="117">
        <f t="shared" si="43"/>
        <v>0</v>
      </c>
      <c r="AF42" s="117">
        <f t="shared" si="44"/>
        <v>1E-10</v>
      </c>
      <c r="AG42" s="117">
        <f t="shared" si="45"/>
        <v>2.0000000000000001E-10</v>
      </c>
      <c r="AH42" s="117">
        <f t="shared" si="46"/>
        <v>99.000000000300005</v>
      </c>
      <c r="AI42" s="117">
        <f t="shared" si="47"/>
        <v>0</v>
      </c>
      <c r="AJ42" s="117">
        <f t="shared" si="48"/>
        <v>5.0000000000000003E-10</v>
      </c>
      <c r="AK42" s="117">
        <f t="shared" si="49"/>
        <v>6E-10</v>
      </c>
      <c r="AL42" s="117">
        <f t="shared" si="50"/>
        <v>6.9999999999999996E-10</v>
      </c>
      <c r="AM42" s="117">
        <f t="shared" si="51"/>
        <v>8.0000000000000003E-10</v>
      </c>
      <c r="AN42" s="117">
        <f t="shared" si="52"/>
        <v>8.9999999999999999E-10</v>
      </c>
      <c r="AO42" s="117">
        <f t="shared" si="53"/>
        <v>0</v>
      </c>
      <c r="AP42" s="117" t="b">
        <f t="shared" si="54"/>
        <v>0</v>
      </c>
      <c r="AQ42" s="117" t="b">
        <f t="shared" si="55"/>
        <v>0</v>
      </c>
      <c r="AR42" s="117" t="b">
        <f t="shared" si="56"/>
        <v>1</v>
      </c>
      <c r="AT42" s="437" t="b">
        <f t="shared" si="57"/>
        <v>0</v>
      </c>
      <c r="AU42" s="437" t="b">
        <f t="shared" si="58"/>
        <v>1</v>
      </c>
      <c r="AV42" s="437" t="b">
        <f t="shared" si="59"/>
        <v>1</v>
      </c>
      <c r="AW42" s="437" t="b">
        <f t="shared" si="60"/>
        <v>1</v>
      </c>
      <c r="AX42" s="437" t="b">
        <f t="shared" si="61"/>
        <v>1</v>
      </c>
      <c r="AY42" s="437" t="b">
        <f t="shared" si="62"/>
        <v>0</v>
      </c>
      <c r="BA42" s="2" t="str">
        <f>'Reference Score Calculation'!N19</f>
        <v>最佳五科必須包括︰數學</v>
      </c>
      <c r="BB42" s="2" t="str">
        <f>'Reference Score Calculation'!O19</f>
        <v>/</v>
      </c>
      <c r="BC42" s="2"/>
      <c r="BD42" s="2"/>
      <c r="BE42" s="2"/>
      <c r="BF42" s="2"/>
      <c r="BG42" s="2"/>
      <c r="BH42" s="85"/>
      <c r="BI42" s="85"/>
      <c r="BJ42" s="85" t="b">
        <v>1</v>
      </c>
      <c r="BK42" s="85"/>
      <c r="BL42" s="85"/>
      <c r="BM42" s="85"/>
      <c r="BN42" s="85"/>
      <c r="BO42" s="85"/>
      <c r="BP42" s="85"/>
      <c r="BQ42" s="85"/>
      <c r="BR42" s="2" t="s">
        <v>64</v>
      </c>
      <c r="BS42" s="220"/>
      <c r="BT42" s="220" t="str">
        <f>P1</f>
        <v>請選擇第一選修科</v>
      </c>
      <c r="BU42" s="220" t="str">
        <f>Q1</f>
        <v>請選擇第二選修科</v>
      </c>
      <c r="BV42" s="220" t="str">
        <f>R1</f>
        <v>請選擇第三選修科</v>
      </c>
      <c r="BW42" s="220" t="str">
        <f>S1</f>
        <v>請選擇第四選修科</v>
      </c>
      <c r="BX42" s="220" t="str">
        <f>O1</f>
        <v>數學延伸</v>
      </c>
      <c r="BY42" s="218"/>
      <c r="BZ42" s="220" t="s">
        <v>275</v>
      </c>
      <c r="CA42" s="225" t="s">
        <v>276</v>
      </c>
      <c r="CB42" s="220"/>
      <c r="CC42" s="220"/>
      <c r="CD42" s="220"/>
    </row>
    <row r="43" spans="1:82">
      <c r="A43" s="117" t="s">
        <v>744</v>
      </c>
      <c r="B43" s="117" t="str">
        <f>'Reference Score Calculation'!B20</f>
        <v>JS1014</v>
      </c>
      <c r="C43" s="117" t="str">
        <f>'Reference Score Calculation'!E20</f>
        <v>工商管理學士(金融) (特點: 投資分析 / 金融市場 / 公司金融/ 風險管理 / 交易室工作坊)</v>
      </c>
      <c r="D43" s="2"/>
      <c r="E43" s="355" t="str">
        <f>'Reference Score Calculation'!F20</f>
        <v>Best 5</v>
      </c>
      <c r="F43" s="356"/>
      <c r="G43" s="16" t="str">
        <f>入學要求!AB29</f>
        <v>v</v>
      </c>
      <c r="H43" s="16" t="str">
        <f>入學要求!AC29</f>
        <v>E</v>
      </c>
      <c r="I43" s="16" t="str">
        <f>入學要求!AD29</f>
        <v>NO</v>
      </c>
      <c r="J43" s="117">
        <f t="shared" si="34"/>
        <v>3.2999999999999998E-9</v>
      </c>
      <c r="K43" s="120">
        <v>1</v>
      </c>
      <c r="L43" s="120">
        <v>1</v>
      </c>
      <c r="M43" s="120">
        <v>1</v>
      </c>
      <c r="N43" s="120"/>
      <c r="O43" s="120">
        <v>1</v>
      </c>
      <c r="P43" s="120">
        <v>1</v>
      </c>
      <c r="Q43" s="120">
        <v>1</v>
      </c>
      <c r="R43" s="120">
        <v>1</v>
      </c>
      <c r="S43" s="120">
        <v>1</v>
      </c>
      <c r="T43" s="120">
        <v>1</v>
      </c>
      <c r="V43" s="117">
        <f t="shared" si="35"/>
        <v>1E-10</v>
      </c>
      <c r="W43" s="117">
        <f t="shared" si="36"/>
        <v>2.0000000000000001E-10</v>
      </c>
      <c r="X43" s="117">
        <f t="shared" si="37"/>
        <v>3E-10</v>
      </c>
      <c r="Z43" s="117">
        <f t="shared" si="38"/>
        <v>5.0000000000000003E-10</v>
      </c>
      <c r="AA43" s="117">
        <f t="shared" si="39"/>
        <v>6E-10</v>
      </c>
      <c r="AB43" s="117">
        <f t="shared" si="40"/>
        <v>6.9999999999999996E-10</v>
      </c>
      <c r="AC43" s="117">
        <f t="shared" si="41"/>
        <v>8.0000000000000003E-10</v>
      </c>
      <c r="AD43" s="117">
        <f t="shared" si="42"/>
        <v>8.9999999999999999E-10</v>
      </c>
      <c r="AE43" s="117">
        <f t="shared" si="43"/>
        <v>0</v>
      </c>
      <c r="AF43" s="117">
        <f t="shared" si="44"/>
        <v>1E-10</v>
      </c>
      <c r="AG43" s="117">
        <f t="shared" si="45"/>
        <v>2.0000000000000001E-10</v>
      </c>
      <c r="AH43" s="117">
        <f t="shared" si="46"/>
        <v>99.000000000300005</v>
      </c>
      <c r="AI43" s="117">
        <f t="shared" si="47"/>
        <v>0</v>
      </c>
      <c r="AJ43" s="117">
        <f t="shared" si="48"/>
        <v>5.0000000000000003E-10</v>
      </c>
      <c r="AK43" s="117">
        <f t="shared" si="49"/>
        <v>6E-10</v>
      </c>
      <c r="AL43" s="117">
        <f t="shared" si="50"/>
        <v>6.9999999999999996E-10</v>
      </c>
      <c r="AM43" s="117">
        <f t="shared" si="51"/>
        <v>8.0000000000000003E-10</v>
      </c>
      <c r="AN43" s="117">
        <f t="shared" si="52"/>
        <v>8.9999999999999999E-10</v>
      </c>
      <c r="AO43" s="117">
        <f t="shared" si="53"/>
        <v>0</v>
      </c>
      <c r="AP43" s="117" t="b">
        <f t="shared" si="54"/>
        <v>0</v>
      </c>
      <c r="AQ43" s="117" t="b">
        <f t="shared" si="55"/>
        <v>0</v>
      </c>
      <c r="AR43" s="117" t="b">
        <f t="shared" si="56"/>
        <v>1</v>
      </c>
      <c r="AT43" s="437" t="b">
        <f t="shared" si="57"/>
        <v>0</v>
      </c>
      <c r="AU43" s="437" t="b">
        <f t="shared" si="58"/>
        <v>1</v>
      </c>
      <c r="AV43" s="437" t="b">
        <f t="shared" si="59"/>
        <v>1</v>
      </c>
      <c r="AW43" s="437" t="b">
        <f t="shared" si="60"/>
        <v>1</v>
      </c>
      <c r="AX43" s="437" t="b">
        <f t="shared" si="61"/>
        <v>1</v>
      </c>
      <c r="AY43" s="437" t="b">
        <f t="shared" si="62"/>
        <v>0</v>
      </c>
      <c r="BA43" s="2" t="str">
        <f>'Reference Score Calculation'!N20</f>
        <v>最佳五科必須包括︰數學</v>
      </c>
      <c r="BB43" s="2" t="str">
        <f>'Reference Score Calculation'!O20</f>
        <v>/</v>
      </c>
      <c r="BC43" s="2"/>
      <c r="BD43" s="2"/>
      <c r="BE43" s="2"/>
      <c r="BF43" s="2"/>
      <c r="BG43" s="2"/>
      <c r="BH43" s="85"/>
      <c r="BI43" s="85"/>
      <c r="BJ43" s="85" t="b">
        <v>1</v>
      </c>
      <c r="BK43" s="85"/>
      <c r="BL43" s="85"/>
      <c r="BM43" s="85"/>
      <c r="BN43" s="85"/>
      <c r="BO43" s="85"/>
      <c r="BP43" s="85"/>
      <c r="BQ43" s="85"/>
      <c r="BR43" s="2" t="s">
        <v>64</v>
      </c>
      <c r="BS43" s="220"/>
      <c r="BT43" s="223">
        <f>IF(BT42=$BZ$40,0,IF(OR(P1="物理",P1="化學",P1="生物",P1="地理"),P6,0))</f>
        <v>0</v>
      </c>
      <c r="BU43" s="223">
        <f>IF(BU42=$BZ$40,0,IF(OR(Q1="物理",Q1="化學",Q1="生物",Q1="地理"),Q6,0))</f>
        <v>0</v>
      </c>
      <c r="BV43" s="223">
        <f>IF(BV42=$BZ$40,0,IF(OR(R1="物理",R1="化學",R1="生物",R1="地理"),R6,0))</f>
        <v>0</v>
      </c>
      <c r="BW43" s="223">
        <f>IF(BW42=$BZ$40,0,IF(OR(S1="物理",S1="化學",S1="生物",S1="地理"),S6,0))</f>
        <v>0</v>
      </c>
      <c r="BX43" s="223">
        <f>O3</f>
        <v>5.0000000000000003E-10</v>
      </c>
      <c r="BY43" s="220"/>
      <c r="BZ43" s="223" t="str">
        <f>IF(CA43&gt;0,INDEX(BT42:BX42,MATCH(LARGE(BT43:BX43,1),BT43:BX43,0)),"無")</f>
        <v>數學延伸</v>
      </c>
      <c r="CA43" s="223">
        <f>LARGE((BT43:BX43),1)</f>
        <v>5.0000000000000003E-10</v>
      </c>
      <c r="CB43" s="220"/>
      <c r="CC43" s="220"/>
      <c r="CD43" s="220"/>
    </row>
    <row r="44" spans="1:82">
      <c r="A44" s="117" t="s">
        <v>747</v>
      </c>
      <c r="B44" s="117" t="str">
        <f>'Reference Score Calculation'!B21</f>
        <v>JS1017</v>
      </c>
      <c r="C44" s="117" t="str">
        <f>'Reference Score Calculation'!E21</f>
        <v>資訊系統學 [主修: 工商管理學士(環球商業系統管理) 、工商管理學士(資訊管理)]</v>
      </c>
      <c r="D44" s="2"/>
      <c r="E44" s="355" t="str">
        <f>'Reference Score Calculation'!F21</f>
        <v>3C2X</v>
      </c>
      <c r="F44" s="355"/>
      <c r="G44" s="16" t="str">
        <f>入學要求!AB30</f>
        <v>v</v>
      </c>
      <c r="H44" s="16" t="str">
        <f>入學要求!AC30</f>
        <v>E</v>
      </c>
      <c r="I44" s="16" t="str">
        <f>入學要求!AD30</f>
        <v>NO</v>
      </c>
      <c r="J44" s="117">
        <f t="shared" si="34"/>
        <v>2.2999999999999999E-9</v>
      </c>
      <c r="K44" s="120">
        <v>1</v>
      </c>
      <c r="L44" s="120">
        <v>1</v>
      </c>
      <c r="M44" s="120">
        <v>1</v>
      </c>
      <c r="N44" s="120"/>
      <c r="O44" s="120">
        <v>1</v>
      </c>
      <c r="P44" s="120">
        <v>1</v>
      </c>
      <c r="Q44" s="120">
        <v>1</v>
      </c>
      <c r="R44" s="120">
        <v>1</v>
      </c>
      <c r="S44" s="120">
        <v>1</v>
      </c>
      <c r="T44" s="120">
        <v>1</v>
      </c>
      <c r="V44" s="117">
        <f t="shared" si="35"/>
        <v>1E-10</v>
      </c>
      <c r="W44" s="117">
        <f t="shared" si="36"/>
        <v>2.0000000000000001E-10</v>
      </c>
      <c r="X44" s="117">
        <f t="shared" si="37"/>
        <v>3E-10</v>
      </c>
      <c r="Z44" s="117">
        <f t="shared" si="38"/>
        <v>5.0000000000000003E-10</v>
      </c>
      <c r="AA44" s="117">
        <f t="shared" si="39"/>
        <v>6E-10</v>
      </c>
      <c r="AB44" s="117">
        <f t="shared" si="40"/>
        <v>6.9999999999999996E-10</v>
      </c>
      <c r="AC44" s="117">
        <f t="shared" si="41"/>
        <v>8.0000000000000003E-10</v>
      </c>
      <c r="AD44" s="117">
        <f t="shared" si="42"/>
        <v>8.9999999999999999E-10</v>
      </c>
      <c r="AE44" s="117">
        <f t="shared" si="43"/>
        <v>0</v>
      </c>
      <c r="AF44" s="117">
        <f t="shared" si="44"/>
        <v>1E-10</v>
      </c>
      <c r="AG44" s="117">
        <f t="shared" si="45"/>
        <v>2.0000000000000001E-10</v>
      </c>
      <c r="AH44" s="117">
        <f t="shared" si="46"/>
        <v>3E-10</v>
      </c>
      <c r="AI44" s="117">
        <f t="shared" si="47"/>
        <v>0</v>
      </c>
      <c r="AJ44" s="117">
        <f t="shared" si="48"/>
        <v>5.0000000000000003E-10</v>
      </c>
      <c r="AK44" s="117">
        <f t="shared" si="49"/>
        <v>6E-10</v>
      </c>
      <c r="AL44" s="117">
        <f t="shared" si="50"/>
        <v>6.9999999999999996E-10</v>
      </c>
      <c r="AM44" s="117">
        <f t="shared" si="51"/>
        <v>8.0000000000000003E-10</v>
      </c>
      <c r="AN44" s="117">
        <f t="shared" si="52"/>
        <v>8.9999999999999999E-10</v>
      </c>
      <c r="AO44" s="117">
        <f t="shared" si="53"/>
        <v>0</v>
      </c>
      <c r="AP44" s="117" t="b">
        <f t="shared" si="54"/>
        <v>1</v>
      </c>
      <c r="AQ44" s="117" t="b">
        <f t="shared" si="55"/>
        <v>1</v>
      </c>
      <c r="AR44" s="117" t="b">
        <f t="shared" si="56"/>
        <v>1</v>
      </c>
      <c r="AT44" s="437" t="b">
        <f t="shared" si="57"/>
        <v>0</v>
      </c>
      <c r="AU44" s="437" t="b">
        <f t="shared" si="58"/>
        <v>0</v>
      </c>
      <c r="AV44" s="437" t="b">
        <f t="shared" si="59"/>
        <v>0</v>
      </c>
      <c r="AW44" s="437" t="b">
        <f t="shared" si="60"/>
        <v>1</v>
      </c>
      <c r="AX44" s="437" t="b">
        <f t="shared" si="61"/>
        <v>1</v>
      </c>
      <c r="AY44" s="437" t="b">
        <f t="shared" si="62"/>
        <v>0</v>
      </c>
      <c r="BA44" s="2" t="str">
        <f>'Reference Score Calculation'!N21</f>
        <v>/</v>
      </c>
      <c r="BB44" s="2" t="str">
        <f>'Reference Score Calculation'!O21</f>
        <v>/</v>
      </c>
      <c r="BC44" s="2"/>
      <c r="BD44" s="2"/>
      <c r="BE44" s="2"/>
      <c r="BF44" s="2"/>
      <c r="BG44" s="2"/>
      <c r="BH44" s="85"/>
      <c r="BI44" s="85"/>
      <c r="BJ44" s="85"/>
      <c r="BK44" s="85"/>
      <c r="BL44" s="85"/>
      <c r="BM44" s="85"/>
      <c r="BN44" s="85"/>
      <c r="BO44" s="85"/>
      <c r="BP44" s="85"/>
      <c r="BQ44" s="85"/>
      <c r="BR44" s="2" t="s">
        <v>64</v>
      </c>
      <c r="BS44" s="217"/>
      <c r="BT44" s="224" t="s">
        <v>2276</v>
      </c>
      <c r="BU44" s="220"/>
      <c r="BV44" s="220"/>
      <c r="BW44" s="220"/>
      <c r="BX44" s="220"/>
      <c r="BY44" s="218"/>
      <c r="BZ44" s="218"/>
      <c r="CA44" s="218"/>
      <c r="CB44" s="220"/>
      <c r="CC44" s="220"/>
      <c r="CD44" s="220"/>
    </row>
    <row r="45" spans="1:82">
      <c r="A45" s="117" t="s">
        <v>749</v>
      </c>
      <c r="B45" s="117" t="str">
        <f>'Reference Score Calculation'!B22</f>
        <v>JS1018</v>
      </c>
      <c r="C45" s="117" t="str">
        <f>'Reference Score Calculation'!E22</f>
        <v>工商管理學士(環球商業系統管理) (特點: 智能科技 / 環球商業 / 海外及内地交流)</v>
      </c>
      <c r="D45" s="2"/>
      <c r="E45" s="355" t="str">
        <f>'Reference Score Calculation'!F22</f>
        <v>3C2X</v>
      </c>
      <c r="F45" s="355"/>
      <c r="G45" s="16" t="str">
        <f>入學要求!AB31</f>
        <v>v</v>
      </c>
      <c r="H45" s="16" t="str">
        <f>入學要求!AC31</f>
        <v>E</v>
      </c>
      <c r="I45" s="16" t="str">
        <f>入學要求!AD31</f>
        <v>NO</v>
      </c>
      <c r="J45" s="117">
        <f t="shared" si="34"/>
        <v>2.2999999999999999E-9</v>
      </c>
      <c r="K45" s="120">
        <v>1</v>
      </c>
      <c r="L45" s="120">
        <v>1</v>
      </c>
      <c r="M45" s="120">
        <v>1</v>
      </c>
      <c r="N45" s="120"/>
      <c r="O45" s="120">
        <v>1</v>
      </c>
      <c r="P45" s="120">
        <v>1</v>
      </c>
      <c r="Q45" s="120">
        <v>1</v>
      </c>
      <c r="R45" s="120">
        <v>1</v>
      </c>
      <c r="S45" s="120">
        <v>1</v>
      </c>
      <c r="T45" s="120">
        <v>1</v>
      </c>
      <c r="V45" s="117">
        <f t="shared" si="35"/>
        <v>1E-10</v>
      </c>
      <c r="W45" s="117">
        <f t="shared" si="36"/>
        <v>2.0000000000000001E-10</v>
      </c>
      <c r="X45" s="117">
        <f t="shared" si="37"/>
        <v>3E-10</v>
      </c>
      <c r="Z45" s="117">
        <f t="shared" si="38"/>
        <v>5.0000000000000003E-10</v>
      </c>
      <c r="AA45" s="117">
        <f t="shared" si="39"/>
        <v>6E-10</v>
      </c>
      <c r="AB45" s="117">
        <f t="shared" si="40"/>
        <v>6.9999999999999996E-10</v>
      </c>
      <c r="AC45" s="117">
        <f t="shared" si="41"/>
        <v>8.0000000000000003E-10</v>
      </c>
      <c r="AD45" s="117">
        <f t="shared" si="42"/>
        <v>8.9999999999999999E-10</v>
      </c>
      <c r="AE45" s="117">
        <f t="shared" si="43"/>
        <v>0</v>
      </c>
      <c r="AF45" s="117">
        <f t="shared" si="44"/>
        <v>1E-10</v>
      </c>
      <c r="AG45" s="117">
        <f t="shared" si="45"/>
        <v>2.0000000000000001E-10</v>
      </c>
      <c r="AH45" s="117">
        <f t="shared" si="46"/>
        <v>3E-10</v>
      </c>
      <c r="AI45" s="117">
        <f t="shared" si="47"/>
        <v>0</v>
      </c>
      <c r="AJ45" s="117">
        <f t="shared" si="48"/>
        <v>5.0000000000000003E-10</v>
      </c>
      <c r="AK45" s="117">
        <f t="shared" si="49"/>
        <v>6E-10</v>
      </c>
      <c r="AL45" s="117">
        <f t="shared" si="50"/>
        <v>6.9999999999999996E-10</v>
      </c>
      <c r="AM45" s="117">
        <f t="shared" si="51"/>
        <v>8.0000000000000003E-10</v>
      </c>
      <c r="AN45" s="117">
        <f t="shared" si="52"/>
        <v>8.9999999999999999E-10</v>
      </c>
      <c r="AO45" s="117">
        <f t="shared" si="53"/>
        <v>0</v>
      </c>
      <c r="AP45" s="117" t="b">
        <f t="shared" si="54"/>
        <v>1</v>
      </c>
      <c r="AQ45" s="117" t="b">
        <f t="shared" si="55"/>
        <v>1</v>
      </c>
      <c r="AR45" s="117" t="b">
        <f t="shared" si="56"/>
        <v>1</v>
      </c>
      <c r="AT45" s="437" t="b">
        <f t="shared" si="57"/>
        <v>0</v>
      </c>
      <c r="AU45" s="437" t="b">
        <f t="shared" si="58"/>
        <v>0</v>
      </c>
      <c r="AV45" s="437" t="b">
        <f t="shared" si="59"/>
        <v>0</v>
      </c>
      <c r="AW45" s="437" t="b">
        <f t="shared" si="60"/>
        <v>1</v>
      </c>
      <c r="AX45" s="437" t="b">
        <f t="shared" si="61"/>
        <v>1</v>
      </c>
      <c r="AY45" s="437" t="b">
        <f t="shared" si="62"/>
        <v>0</v>
      </c>
      <c r="BA45" s="2" t="str">
        <f>'Reference Score Calculation'!N22</f>
        <v>/</v>
      </c>
      <c r="BB45" s="2" t="str">
        <f>'Reference Score Calculation'!O22</f>
        <v>/</v>
      </c>
      <c r="BC45" s="2"/>
      <c r="BD45" s="2"/>
      <c r="BE45" s="2"/>
      <c r="BF45" s="2"/>
      <c r="BG45" s="2"/>
      <c r="BH45" s="85"/>
      <c r="BI45" s="85"/>
      <c r="BJ45" s="85"/>
      <c r="BK45" s="85"/>
      <c r="BL45" s="85"/>
      <c r="BM45" s="85"/>
      <c r="BN45" s="85"/>
      <c r="BO45" s="85"/>
      <c r="BP45" s="85"/>
      <c r="BQ45" s="85"/>
      <c r="BR45" s="2" t="s">
        <v>64</v>
      </c>
      <c r="BS45" s="220"/>
      <c r="BT45" s="220" t="str">
        <f>K1</f>
        <v>中國語文</v>
      </c>
      <c r="BU45" s="220" t="str">
        <f>L1</f>
        <v>英國語文</v>
      </c>
      <c r="BV45" s="220" t="str">
        <f>M1</f>
        <v>數學</v>
      </c>
      <c r="BW45" s="220"/>
      <c r="BX45" s="220" t="str">
        <f t="shared" ref="BX45:CC45" si="63">O1</f>
        <v>數學延伸</v>
      </c>
      <c r="BY45" s="220" t="str">
        <f t="shared" si="63"/>
        <v>請選擇第一選修科</v>
      </c>
      <c r="BZ45" s="220" t="str">
        <f t="shared" si="63"/>
        <v>請選擇第二選修科</v>
      </c>
      <c r="CA45" s="220" t="str">
        <f t="shared" si="63"/>
        <v>請選擇第三選修科</v>
      </c>
      <c r="CB45" s="220" t="str">
        <f t="shared" si="63"/>
        <v>請選擇第四選修科</v>
      </c>
      <c r="CC45" s="220" t="str">
        <f t="shared" si="63"/>
        <v>請選擇語言科目</v>
      </c>
      <c r="CD45" s="220"/>
    </row>
    <row r="46" spans="1:82">
      <c r="A46" s="117" t="s">
        <v>752</v>
      </c>
      <c r="B46" s="117" t="str">
        <f>'Reference Score Calculation'!B23</f>
        <v>JS1019</v>
      </c>
      <c r="C46" s="117" t="str">
        <f>'Reference Score Calculation'!E23</f>
        <v>工商管理學士(資訊管理) (專修: 商務智能 / 信息系統審計 / 互聯網服務及社交網絡 / 數據信息學)</v>
      </c>
      <c r="D46" s="2"/>
      <c r="E46" s="355" t="str">
        <f>'Reference Score Calculation'!F23</f>
        <v>3C2X</v>
      </c>
      <c r="F46" s="355"/>
      <c r="G46" s="16" t="str">
        <f>入學要求!AB32</f>
        <v>v</v>
      </c>
      <c r="H46" s="16" t="str">
        <f>入學要求!AC32</f>
        <v>E</v>
      </c>
      <c r="I46" s="16" t="str">
        <f>入學要求!AD32</f>
        <v>NO</v>
      </c>
      <c r="J46" s="117">
        <f t="shared" si="34"/>
        <v>2.2999999999999999E-9</v>
      </c>
      <c r="K46" s="120">
        <v>1</v>
      </c>
      <c r="L46" s="120">
        <v>1</v>
      </c>
      <c r="M46" s="120">
        <v>1</v>
      </c>
      <c r="N46" s="120"/>
      <c r="O46" s="120">
        <v>1</v>
      </c>
      <c r="P46" s="120">
        <v>1</v>
      </c>
      <c r="Q46" s="120">
        <v>1</v>
      </c>
      <c r="R46" s="120">
        <v>1</v>
      </c>
      <c r="S46" s="120">
        <v>1</v>
      </c>
      <c r="T46" s="120">
        <v>1</v>
      </c>
      <c r="V46" s="117">
        <f t="shared" si="35"/>
        <v>1E-10</v>
      </c>
      <c r="W46" s="117">
        <f t="shared" si="36"/>
        <v>2.0000000000000001E-10</v>
      </c>
      <c r="X46" s="117">
        <f t="shared" si="37"/>
        <v>3E-10</v>
      </c>
      <c r="Z46" s="117">
        <f t="shared" si="38"/>
        <v>5.0000000000000003E-10</v>
      </c>
      <c r="AA46" s="117">
        <f t="shared" si="39"/>
        <v>6E-10</v>
      </c>
      <c r="AB46" s="117">
        <f t="shared" si="40"/>
        <v>6.9999999999999996E-10</v>
      </c>
      <c r="AC46" s="117">
        <f t="shared" si="41"/>
        <v>8.0000000000000003E-10</v>
      </c>
      <c r="AD46" s="117">
        <f t="shared" si="42"/>
        <v>8.9999999999999999E-10</v>
      </c>
      <c r="AE46" s="117">
        <f t="shared" si="43"/>
        <v>0</v>
      </c>
      <c r="AF46" s="117">
        <f t="shared" si="44"/>
        <v>1E-10</v>
      </c>
      <c r="AG46" s="117">
        <f t="shared" si="45"/>
        <v>2.0000000000000001E-10</v>
      </c>
      <c r="AH46" s="117">
        <f t="shared" si="46"/>
        <v>3E-10</v>
      </c>
      <c r="AI46" s="117">
        <f t="shared" si="47"/>
        <v>0</v>
      </c>
      <c r="AJ46" s="117">
        <f t="shared" si="48"/>
        <v>5.0000000000000003E-10</v>
      </c>
      <c r="AK46" s="117">
        <f t="shared" si="49"/>
        <v>6E-10</v>
      </c>
      <c r="AL46" s="117">
        <f t="shared" si="50"/>
        <v>6.9999999999999996E-10</v>
      </c>
      <c r="AM46" s="117">
        <f t="shared" si="51"/>
        <v>8.0000000000000003E-10</v>
      </c>
      <c r="AN46" s="117">
        <f t="shared" si="52"/>
        <v>8.9999999999999999E-10</v>
      </c>
      <c r="AO46" s="117">
        <f t="shared" si="53"/>
        <v>0</v>
      </c>
      <c r="AP46" s="117" t="b">
        <f t="shared" si="54"/>
        <v>1</v>
      </c>
      <c r="AQ46" s="117" t="b">
        <f t="shared" si="55"/>
        <v>1</v>
      </c>
      <c r="AR46" s="117" t="b">
        <f t="shared" si="56"/>
        <v>1</v>
      </c>
      <c r="AT46" s="437" t="b">
        <f t="shared" si="57"/>
        <v>0</v>
      </c>
      <c r="AU46" s="437" t="b">
        <f t="shared" si="58"/>
        <v>0</v>
      </c>
      <c r="AV46" s="437" t="b">
        <f t="shared" si="59"/>
        <v>0</v>
      </c>
      <c r="AW46" s="437" t="b">
        <f t="shared" si="60"/>
        <v>1</v>
      </c>
      <c r="AX46" s="437" t="b">
        <f t="shared" si="61"/>
        <v>1</v>
      </c>
      <c r="AY46" s="437" t="b">
        <f t="shared" si="62"/>
        <v>0</v>
      </c>
      <c r="BA46" s="2" t="str">
        <f>'Reference Score Calculation'!N23</f>
        <v>/</v>
      </c>
      <c r="BB46" s="2" t="str">
        <f>'Reference Score Calculation'!O23</f>
        <v>/</v>
      </c>
      <c r="BC46" s="2"/>
      <c r="BD46" s="2"/>
      <c r="BE46" s="2"/>
      <c r="BF46" s="2"/>
      <c r="BG46" s="2"/>
      <c r="BH46" s="85"/>
      <c r="BI46" s="85"/>
      <c r="BJ46" s="85"/>
      <c r="BK46" s="85"/>
      <c r="BL46" s="85"/>
      <c r="BM46" s="85"/>
      <c r="BN46" s="85"/>
      <c r="BO46" s="85"/>
      <c r="BP46" s="85"/>
      <c r="BQ46" s="85"/>
      <c r="BR46" s="2" t="s">
        <v>64</v>
      </c>
      <c r="BS46" s="220"/>
      <c r="BT46" s="223">
        <f>K3</f>
        <v>1E-10</v>
      </c>
      <c r="BU46" s="220"/>
      <c r="BV46" s="220"/>
      <c r="BW46" s="220"/>
      <c r="BX46" s="223">
        <f>IF(BX45=BZ43,O3*1.5,O3)</f>
        <v>7.500000000000001E-10</v>
      </c>
      <c r="BY46" s="223">
        <f>IF(BY45=$BZ$40,0,IF(BY45=$BZ$43,P3*1.5,P3))</f>
        <v>6E-10</v>
      </c>
      <c r="BZ46" s="223">
        <f>IF(BZ45=$BZ$40,0,IF(BZ45=$BZ$43,Q3*1.5,Q3))</f>
        <v>6.9999999999999996E-10</v>
      </c>
      <c r="CA46" s="223">
        <f>IF(CA45=$BZ$40,0,IF(CA45=$BZ$43,R3*1.5,R3))</f>
        <v>8.0000000000000003E-10</v>
      </c>
      <c r="CB46" s="223">
        <f>IF(CB45=$BZ$40,0,IF(CB45=$BZ$43,S3*1.5,S3))</f>
        <v>8.9999999999999999E-10</v>
      </c>
      <c r="CC46" s="223">
        <f>T3</f>
        <v>0</v>
      </c>
      <c r="CD46" s="220"/>
    </row>
    <row r="47" spans="1:82">
      <c r="A47" s="117" t="s">
        <v>755</v>
      </c>
      <c r="B47" s="117" t="str">
        <f>'Reference Score Calculation'!B24</f>
        <v>JS1025</v>
      </c>
      <c r="C47" s="117" t="str">
        <f>'Reference Score Calculation'!E24</f>
        <v>決策分析及營運學 [主修: 工商管理學士(商業決策分析) / 工商管理學士(環球營運管理)]</v>
      </c>
      <c r="D47" s="2"/>
      <c r="E47" s="355" t="str">
        <f>'Reference Score Calculation'!F24</f>
        <v>3C2X</v>
      </c>
      <c r="F47" s="355"/>
      <c r="G47" s="16" t="str">
        <f>入學要求!AB33</f>
        <v>v</v>
      </c>
      <c r="H47" s="16" t="str">
        <f>入學要求!AC33</f>
        <v>E</v>
      </c>
      <c r="I47" s="16" t="str">
        <f>入學要求!AD33</f>
        <v>NO</v>
      </c>
      <c r="J47" s="117">
        <f t="shared" si="34"/>
        <v>2.2999999999999999E-9</v>
      </c>
      <c r="K47" s="120">
        <v>1</v>
      </c>
      <c r="L47" s="120">
        <v>1</v>
      </c>
      <c r="M47" s="120">
        <v>1</v>
      </c>
      <c r="N47" s="120"/>
      <c r="O47" s="120">
        <v>1</v>
      </c>
      <c r="P47" s="120">
        <v>1</v>
      </c>
      <c r="Q47" s="120">
        <v>1</v>
      </c>
      <c r="R47" s="120">
        <v>1</v>
      </c>
      <c r="S47" s="120">
        <v>1</v>
      </c>
      <c r="T47" s="120">
        <v>1</v>
      </c>
      <c r="V47" s="117">
        <f t="shared" si="35"/>
        <v>1E-10</v>
      </c>
      <c r="W47" s="117">
        <f t="shared" si="36"/>
        <v>2.0000000000000001E-10</v>
      </c>
      <c r="X47" s="117">
        <f t="shared" si="37"/>
        <v>3E-10</v>
      </c>
      <c r="Z47" s="117">
        <f t="shared" si="38"/>
        <v>5.0000000000000003E-10</v>
      </c>
      <c r="AA47" s="117">
        <f t="shared" si="39"/>
        <v>6E-10</v>
      </c>
      <c r="AB47" s="117">
        <f t="shared" si="40"/>
        <v>6.9999999999999996E-10</v>
      </c>
      <c r="AC47" s="117">
        <f t="shared" si="41"/>
        <v>8.0000000000000003E-10</v>
      </c>
      <c r="AD47" s="117">
        <f t="shared" si="42"/>
        <v>8.9999999999999999E-10</v>
      </c>
      <c r="AE47" s="117">
        <f t="shared" si="43"/>
        <v>0</v>
      </c>
      <c r="AF47" s="117">
        <f t="shared" si="44"/>
        <v>1E-10</v>
      </c>
      <c r="AG47" s="117">
        <f t="shared" si="45"/>
        <v>2.0000000000000001E-10</v>
      </c>
      <c r="AH47" s="117">
        <f t="shared" si="46"/>
        <v>3E-10</v>
      </c>
      <c r="AI47" s="117">
        <f t="shared" si="47"/>
        <v>0</v>
      </c>
      <c r="AJ47" s="117">
        <f t="shared" si="48"/>
        <v>5.0000000000000003E-10</v>
      </c>
      <c r="AK47" s="117">
        <f t="shared" si="49"/>
        <v>6E-10</v>
      </c>
      <c r="AL47" s="117">
        <f t="shared" si="50"/>
        <v>6.9999999999999996E-10</v>
      </c>
      <c r="AM47" s="117">
        <f t="shared" si="51"/>
        <v>8.0000000000000003E-10</v>
      </c>
      <c r="AN47" s="117">
        <f t="shared" si="52"/>
        <v>8.9999999999999999E-10</v>
      </c>
      <c r="AO47" s="117">
        <f t="shared" si="53"/>
        <v>0</v>
      </c>
      <c r="AP47" s="117" t="b">
        <f t="shared" si="54"/>
        <v>1</v>
      </c>
      <c r="AQ47" s="117" t="b">
        <f t="shared" si="55"/>
        <v>1</v>
      </c>
      <c r="AR47" s="117" t="b">
        <f t="shared" si="56"/>
        <v>1</v>
      </c>
      <c r="AT47" s="437" t="b">
        <f t="shared" si="57"/>
        <v>0</v>
      </c>
      <c r="AU47" s="437" t="b">
        <f t="shared" si="58"/>
        <v>0</v>
      </c>
      <c r="AV47" s="437" t="b">
        <f t="shared" si="59"/>
        <v>0</v>
      </c>
      <c r="AW47" s="437" t="b">
        <f t="shared" si="60"/>
        <v>1</v>
      </c>
      <c r="AX47" s="437" t="b">
        <f t="shared" si="61"/>
        <v>1</v>
      </c>
      <c r="AY47" s="437" t="b">
        <f t="shared" si="62"/>
        <v>0</v>
      </c>
      <c r="BA47" s="2" t="str">
        <f>'Reference Score Calculation'!N24</f>
        <v>/</v>
      </c>
      <c r="BB47" s="2" t="str">
        <f>'Reference Score Calculation'!O24</f>
        <v>/</v>
      </c>
      <c r="BC47" s="2"/>
      <c r="BD47" s="2"/>
      <c r="BE47" s="2"/>
      <c r="BF47" s="2"/>
      <c r="BG47" s="2"/>
      <c r="BH47" s="85"/>
      <c r="BI47" s="85"/>
      <c r="BJ47" s="85"/>
      <c r="BK47" s="85"/>
      <c r="BL47" s="85"/>
      <c r="BM47" s="85"/>
      <c r="BN47" s="85"/>
      <c r="BO47" s="85"/>
      <c r="BP47" s="85"/>
      <c r="BQ47" s="85"/>
      <c r="BR47" s="2" t="s">
        <v>64</v>
      </c>
      <c r="BS47" s="220"/>
      <c r="BT47" s="228" t="b">
        <f>IF(BT46&gt;LARGE($BT$46:$CC$46,3),TRUE,FALSE)</f>
        <v>0</v>
      </c>
      <c r="BU47" s="158"/>
      <c r="BV47" s="158"/>
      <c r="BW47" s="220"/>
      <c r="BX47" s="228" t="b">
        <f t="shared" ref="BX47:CC47" si="64">IF(BX46&gt;LARGE($BT$46:$CC$46,3),TRUE,FALSE)</f>
        <v>0</v>
      </c>
      <c r="BY47" s="228" t="b">
        <f t="shared" si="64"/>
        <v>0</v>
      </c>
      <c r="BZ47" s="228" t="b">
        <f t="shared" si="64"/>
        <v>0</v>
      </c>
      <c r="CA47" s="228" t="b">
        <f t="shared" si="64"/>
        <v>1</v>
      </c>
      <c r="CB47" s="228" t="b">
        <f t="shared" si="64"/>
        <v>1</v>
      </c>
      <c r="CC47" s="228" t="b">
        <f t="shared" si="64"/>
        <v>0</v>
      </c>
      <c r="CD47" s="220"/>
    </row>
    <row r="48" spans="1:82">
      <c r="A48" s="117" t="s">
        <v>759</v>
      </c>
      <c r="B48" s="117" t="str">
        <f>'Reference Score Calculation'!B25</f>
        <v>JS1026</v>
      </c>
      <c r="C48" s="117" t="str">
        <f>'Reference Score Calculation'!E25</f>
        <v>工商管理學士(商業決策分析) (專修: 決策分析學 / 數據信息學)</v>
      </c>
      <c r="D48" s="2"/>
      <c r="E48" s="355" t="str">
        <f>'Reference Score Calculation'!F25</f>
        <v>3C2X</v>
      </c>
      <c r="F48" s="355"/>
      <c r="G48" s="16" t="str">
        <f>入學要求!AB34</f>
        <v>v</v>
      </c>
      <c r="H48" s="16" t="str">
        <f>入學要求!AC34</f>
        <v>E</v>
      </c>
      <c r="I48" s="16" t="str">
        <f>入學要求!AD34</f>
        <v>NO</v>
      </c>
      <c r="J48" s="117">
        <f t="shared" si="34"/>
        <v>2.2999999999999999E-9</v>
      </c>
      <c r="K48" s="120">
        <v>1</v>
      </c>
      <c r="L48" s="120">
        <v>1</v>
      </c>
      <c r="M48" s="120">
        <v>1</v>
      </c>
      <c r="N48" s="120"/>
      <c r="O48" s="120">
        <v>1</v>
      </c>
      <c r="P48" s="120">
        <v>1</v>
      </c>
      <c r="Q48" s="120">
        <v>1</v>
      </c>
      <c r="R48" s="120">
        <v>1</v>
      </c>
      <c r="S48" s="120">
        <v>1</v>
      </c>
      <c r="T48" s="120">
        <v>1</v>
      </c>
      <c r="V48" s="117">
        <f t="shared" si="35"/>
        <v>1E-10</v>
      </c>
      <c r="W48" s="117">
        <f t="shared" si="36"/>
        <v>2.0000000000000001E-10</v>
      </c>
      <c r="X48" s="117">
        <f t="shared" si="37"/>
        <v>3E-10</v>
      </c>
      <c r="Z48" s="117">
        <f t="shared" si="38"/>
        <v>5.0000000000000003E-10</v>
      </c>
      <c r="AA48" s="117">
        <f t="shared" si="39"/>
        <v>6E-10</v>
      </c>
      <c r="AB48" s="117">
        <f t="shared" si="40"/>
        <v>6.9999999999999996E-10</v>
      </c>
      <c r="AC48" s="117">
        <f t="shared" si="41"/>
        <v>8.0000000000000003E-10</v>
      </c>
      <c r="AD48" s="117">
        <f t="shared" si="42"/>
        <v>8.9999999999999999E-10</v>
      </c>
      <c r="AE48" s="117">
        <f t="shared" si="43"/>
        <v>0</v>
      </c>
      <c r="AF48" s="117">
        <f t="shared" si="44"/>
        <v>1E-10</v>
      </c>
      <c r="AG48" s="117">
        <f t="shared" si="45"/>
        <v>2.0000000000000001E-10</v>
      </c>
      <c r="AH48" s="117">
        <f t="shared" si="46"/>
        <v>3E-10</v>
      </c>
      <c r="AI48" s="117">
        <f t="shared" si="47"/>
        <v>0</v>
      </c>
      <c r="AJ48" s="117">
        <f t="shared" si="48"/>
        <v>5.0000000000000003E-10</v>
      </c>
      <c r="AK48" s="117">
        <f t="shared" si="49"/>
        <v>6E-10</v>
      </c>
      <c r="AL48" s="117">
        <f t="shared" si="50"/>
        <v>6.9999999999999996E-10</v>
      </c>
      <c r="AM48" s="117">
        <f t="shared" si="51"/>
        <v>8.0000000000000003E-10</v>
      </c>
      <c r="AN48" s="117">
        <f t="shared" si="52"/>
        <v>8.9999999999999999E-10</v>
      </c>
      <c r="AO48" s="117">
        <f t="shared" si="53"/>
        <v>0</v>
      </c>
      <c r="AP48" s="117" t="b">
        <f t="shared" si="54"/>
        <v>1</v>
      </c>
      <c r="AQ48" s="117" t="b">
        <f t="shared" si="55"/>
        <v>1</v>
      </c>
      <c r="AR48" s="117" t="b">
        <f t="shared" si="56"/>
        <v>1</v>
      </c>
      <c r="AT48" s="437" t="b">
        <f t="shared" si="57"/>
        <v>0</v>
      </c>
      <c r="AU48" s="437" t="b">
        <f t="shared" si="58"/>
        <v>0</v>
      </c>
      <c r="AV48" s="437" t="b">
        <f t="shared" si="59"/>
        <v>0</v>
      </c>
      <c r="AW48" s="437" t="b">
        <f t="shared" si="60"/>
        <v>1</v>
      </c>
      <c r="AX48" s="437" t="b">
        <f t="shared" si="61"/>
        <v>1</v>
      </c>
      <c r="AY48" s="437" t="b">
        <f t="shared" si="62"/>
        <v>0</v>
      </c>
      <c r="BA48" s="2" t="str">
        <f>'Reference Score Calculation'!N25</f>
        <v>/</v>
      </c>
      <c r="BB48" s="2" t="str">
        <f>'Reference Score Calculation'!O25</f>
        <v>/</v>
      </c>
      <c r="BC48" s="2"/>
      <c r="BD48" s="2"/>
      <c r="BE48" s="2"/>
      <c r="BF48" s="2"/>
      <c r="BG48" s="2"/>
      <c r="BH48" s="85"/>
      <c r="BI48" s="85"/>
      <c r="BJ48" s="85"/>
      <c r="BK48" s="85"/>
      <c r="BL48" s="85"/>
      <c r="BM48" s="85"/>
      <c r="BN48" s="85"/>
      <c r="BO48" s="85"/>
      <c r="BP48" s="85"/>
      <c r="BQ48" s="85"/>
      <c r="BR48" s="2" t="s">
        <v>64</v>
      </c>
      <c r="BS48" s="217"/>
      <c r="BT48" s="220"/>
      <c r="BU48" s="220"/>
      <c r="BV48" s="220"/>
      <c r="BW48" s="220"/>
      <c r="BX48" s="220"/>
      <c r="BY48" s="220"/>
      <c r="BZ48" s="220"/>
      <c r="CA48" s="220"/>
      <c r="CB48" s="218"/>
      <c r="CC48" s="218"/>
      <c r="CD48" s="218"/>
    </row>
    <row r="49" spans="1:101">
      <c r="A49" s="117" t="s">
        <v>762</v>
      </c>
      <c r="B49" s="117" t="str">
        <f>'Reference Score Calculation'!B26</f>
        <v>JS1027</v>
      </c>
      <c r="C49" s="117" t="str">
        <f>'Reference Score Calculation'!E26</f>
        <v>工商管理學士(環球營運管理) (特點: 供應鏈管理 / 營運效率 / 流程改善 / 營運分析 / 資源規劃)</v>
      </c>
      <c r="D49" s="2"/>
      <c r="E49" s="355" t="str">
        <f>'Reference Score Calculation'!F26</f>
        <v>3C2X</v>
      </c>
      <c r="F49" s="355"/>
      <c r="G49" s="16" t="str">
        <f>入學要求!AB35</f>
        <v>v</v>
      </c>
      <c r="H49" s="16" t="str">
        <f>入學要求!AC35</f>
        <v>E</v>
      </c>
      <c r="I49" s="16" t="str">
        <f>入學要求!AD35</f>
        <v>NO</v>
      </c>
      <c r="J49" s="117">
        <f t="shared" si="34"/>
        <v>2.2999999999999999E-9</v>
      </c>
      <c r="K49" s="120">
        <v>1</v>
      </c>
      <c r="L49" s="120">
        <v>1</v>
      </c>
      <c r="M49" s="120">
        <v>1</v>
      </c>
      <c r="N49" s="120"/>
      <c r="O49" s="120">
        <v>1</v>
      </c>
      <c r="P49" s="120">
        <v>1</v>
      </c>
      <c r="Q49" s="120">
        <v>1</v>
      </c>
      <c r="R49" s="120">
        <v>1</v>
      </c>
      <c r="S49" s="120">
        <v>1</v>
      </c>
      <c r="T49" s="120">
        <v>1</v>
      </c>
      <c r="V49" s="117">
        <f t="shared" si="35"/>
        <v>1E-10</v>
      </c>
      <c r="W49" s="117">
        <f t="shared" si="36"/>
        <v>2.0000000000000001E-10</v>
      </c>
      <c r="X49" s="117">
        <f t="shared" si="37"/>
        <v>3E-10</v>
      </c>
      <c r="Z49" s="117">
        <f t="shared" si="38"/>
        <v>5.0000000000000003E-10</v>
      </c>
      <c r="AA49" s="117">
        <f t="shared" si="39"/>
        <v>6E-10</v>
      </c>
      <c r="AB49" s="117">
        <f t="shared" si="40"/>
        <v>6.9999999999999996E-10</v>
      </c>
      <c r="AC49" s="117">
        <f t="shared" si="41"/>
        <v>8.0000000000000003E-10</v>
      </c>
      <c r="AD49" s="117">
        <f t="shared" si="42"/>
        <v>8.9999999999999999E-10</v>
      </c>
      <c r="AE49" s="117">
        <f t="shared" si="43"/>
        <v>0</v>
      </c>
      <c r="AF49" s="117">
        <f t="shared" si="44"/>
        <v>1E-10</v>
      </c>
      <c r="AG49" s="117">
        <f t="shared" si="45"/>
        <v>2.0000000000000001E-10</v>
      </c>
      <c r="AH49" s="117">
        <f t="shared" si="46"/>
        <v>3E-10</v>
      </c>
      <c r="AI49" s="117">
        <f t="shared" si="47"/>
        <v>0</v>
      </c>
      <c r="AJ49" s="117">
        <f t="shared" si="48"/>
        <v>5.0000000000000003E-10</v>
      </c>
      <c r="AK49" s="117">
        <f t="shared" si="49"/>
        <v>6E-10</v>
      </c>
      <c r="AL49" s="117">
        <f t="shared" si="50"/>
        <v>6.9999999999999996E-10</v>
      </c>
      <c r="AM49" s="117">
        <f t="shared" si="51"/>
        <v>8.0000000000000003E-10</v>
      </c>
      <c r="AN49" s="117">
        <f t="shared" si="52"/>
        <v>8.9999999999999999E-10</v>
      </c>
      <c r="AO49" s="117">
        <f t="shared" si="53"/>
        <v>0</v>
      </c>
      <c r="AP49" s="117" t="b">
        <f t="shared" si="54"/>
        <v>1</v>
      </c>
      <c r="AQ49" s="117" t="b">
        <f t="shared" si="55"/>
        <v>1</v>
      </c>
      <c r="AR49" s="117" t="b">
        <f t="shared" si="56"/>
        <v>1</v>
      </c>
      <c r="AT49" s="437" t="b">
        <f t="shared" si="57"/>
        <v>0</v>
      </c>
      <c r="AU49" s="437" t="b">
        <f t="shared" si="58"/>
        <v>0</v>
      </c>
      <c r="AV49" s="437" t="b">
        <f t="shared" si="59"/>
        <v>0</v>
      </c>
      <c r="AW49" s="437" t="b">
        <f t="shared" si="60"/>
        <v>1</v>
      </c>
      <c r="AX49" s="437" t="b">
        <f t="shared" si="61"/>
        <v>1</v>
      </c>
      <c r="AY49" s="437" t="b">
        <f t="shared" si="62"/>
        <v>0</v>
      </c>
      <c r="BA49" s="2" t="str">
        <f>'Reference Score Calculation'!N26</f>
        <v>/</v>
      </c>
      <c r="BB49" s="2" t="str">
        <f>'Reference Score Calculation'!O26</f>
        <v>/</v>
      </c>
      <c r="BC49" s="2"/>
      <c r="BD49" s="2"/>
      <c r="BE49" s="2"/>
      <c r="BF49" s="2"/>
      <c r="BG49" s="2"/>
      <c r="BH49" s="85"/>
      <c r="BI49" s="85"/>
      <c r="BJ49" s="85"/>
      <c r="BK49" s="85"/>
      <c r="BL49" s="85"/>
      <c r="BM49" s="85"/>
      <c r="BN49" s="85"/>
      <c r="BO49" s="85"/>
      <c r="BP49" s="85"/>
      <c r="BQ49" s="85"/>
      <c r="BR49" s="2" t="s">
        <v>64</v>
      </c>
      <c r="BS49" s="220"/>
      <c r="BT49" s="220"/>
      <c r="BU49" s="220"/>
      <c r="BV49" s="220"/>
      <c r="BW49" s="220"/>
      <c r="BX49" s="220"/>
      <c r="BY49" s="220"/>
      <c r="BZ49" s="220"/>
      <c r="CA49" s="220"/>
      <c r="CB49" s="220"/>
      <c r="CC49" s="220"/>
      <c r="CD49" s="220"/>
    </row>
    <row r="50" spans="1:101">
      <c r="A50" s="117" t="s">
        <v>2560</v>
      </c>
      <c r="B50" s="117" t="str">
        <f>'Reference Score Calculation'!B27</f>
        <v>JS1040</v>
      </c>
      <c r="C50" s="117" t="str">
        <f>'Reference Score Calculation'!E27</f>
        <v>卓越創藝與科技課程 [選項: 創意媒體(校本課程)、 文學士(創意媒體)、理學士(創意媒體)、文理學士(新媒體)]</v>
      </c>
      <c r="D50" s="2"/>
      <c r="E50" s="355" t="str">
        <f>'Reference Score Calculation'!F27</f>
        <v>25年新科目</v>
      </c>
      <c r="G50" s="16" t="str">
        <f>入學要求!AB36</f>
        <v>v</v>
      </c>
      <c r="H50" s="16" t="str">
        <f>入學要求!AC36</f>
        <v>E</v>
      </c>
      <c r="I50" s="16" t="str">
        <f>入學要求!AD36</f>
        <v>v</v>
      </c>
      <c r="J50" s="117">
        <f t="shared" si="34"/>
        <v>3.4999999999999999E-9</v>
      </c>
      <c r="K50" s="120">
        <v>1</v>
      </c>
      <c r="L50" s="120">
        <v>1</v>
      </c>
      <c r="M50" s="120">
        <v>1</v>
      </c>
      <c r="N50" s="120"/>
      <c r="O50" s="120">
        <v>1</v>
      </c>
      <c r="P50" s="120">
        <v>1</v>
      </c>
      <c r="Q50" s="120">
        <v>1</v>
      </c>
      <c r="R50" s="120">
        <v>1</v>
      </c>
      <c r="S50" s="120">
        <v>1</v>
      </c>
      <c r="T50" s="120">
        <v>1</v>
      </c>
      <c r="V50" s="117">
        <f>K$3*K50</f>
        <v>1E-10</v>
      </c>
      <c r="W50" s="117">
        <f>L$3*L50</f>
        <v>2.0000000000000001E-10</v>
      </c>
      <c r="X50" s="117">
        <f>M$3*M50</f>
        <v>3E-10</v>
      </c>
      <c r="Z50" s="117">
        <f>IF(G50="v",O$3*O50,0)</f>
        <v>5.0000000000000003E-10</v>
      </c>
      <c r="AA50" s="117">
        <f>P$3*P50</f>
        <v>6E-10</v>
      </c>
      <c r="AB50" s="117">
        <f>Q$3*Q50</f>
        <v>6.9999999999999996E-10</v>
      </c>
      <c r="AC50" s="117">
        <f>R$3*R50</f>
        <v>8.0000000000000003E-10</v>
      </c>
      <c r="AD50" s="117">
        <f>S$3*S50</f>
        <v>8.9999999999999999E-10</v>
      </c>
      <c r="AE50" s="117">
        <f>IF(H50="E",T$3*T50,0)</f>
        <v>0</v>
      </c>
      <c r="AF50" s="117">
        <f t="shared" si="44"/>
        <v>1E-10</v>
      </c>
      <c r="AG50" s="117">
        <f t="shared" si="45"/>
        <v>2.0000000000000001E-10</v>
      </c>
      <c r="AH50" s="117">
        <f t="shared" si="46"/>
        <v>3E-10</v>
      </c>
      <c r="AI50" s="117">
        <f t="shared" si="47"/>
        <v>0</v>
      </c>
      <c r="AJ50" s="117">
        <f t="shared" si="48"/>
        <v>5.0000000000000003E-10</v>
      </c>
      <c r="AK50" s="117">
        <f t="shared" si="49"/>
        <v>6E-10</v>
      </c>
      <c r="AL50" s="117">
        <f t="shared" si="50"/>
        <v>6.9999999999999996E-10</v>
      </c>
      <c r="AM50" s="117">
        <f t="shared" si="51"/>
        <v>8.0000000000000003E-10</v>
      </c>
      <c r="AN50" s="117">
        <f t="shared" si="52"/>
        <v>8.9999999999999999E-10</v>
      </c>
      <c r="AO50" s="117">
        <f t="shared" si="53"/>
        <v>0</v>
      </c>
      <c r="AP50" s="117" t="b">
        <f>IF(AF50&gt;LARGE($AF50:$AO50,6),TRUE)</f>
        <v>0</v>
      </c>
      <c r="AQ50" s="117" t="b">
        <f t="shared" ref="AQ50:AY50" si="65">IF(AG50&gt;LARGE($AF50:$AO50,6),TRUE)</f>
        <v>0</v>
      </c>
      <c r="AR50" s="117" t="b">
        <f t="shared" si="65"/>
        <v>0</v>
      </c>
      <c r="AS50" s="117" t="b">
        <f t="shared" si="65"/>
        <v>0</v>
      </c>
      <c r="AT50" s="117" t="b">
        <f t="shared" si="65"/>
        <v>1</v>
      </c>
      <c r="AU50" s="117" t="b">
        <f t="shared" si="65"/>
        <v>1</v>
      </c>
      <c r="AV50" s="117" t="b">
        <f t="shared" si="65"/>
        <v>1</v>
      </c>
      <c r="AW50" s="117" t="b">
        <f t="shared" si="65"/>
        <v>1</v>
      </c>
      <c r="AX50" s="117" t="b">
        <f t="shared" si="65"/>
        <v>1</v>
      </c>
      <c r="AY50" s="117" t="b">
        <f t="shared" si="65"/>
        <v>0</v>
      </c>
      <c r="BA50" s="2" t="str">
        <f>'Reference Score Calculation'!N27</f>
        <v>/</v>
      </c>
      <c r="BB50" s="2" t="str">
        <f>'Reference Score Calculation'!O27</f>
        <v>/</v>
      </c>
      <c r="BC50" s="2"/>
      <c r="BD50" s="2"/>
      <c r="BE50" s="2"/>
      <c r="BF50" s="2"/>
      <c r="BG50" s="2"/>
      <c r="BH50" s="85"/>
      <c r="BI50" s="85"/>
      <c r="BJ50" s="85"/>
      <c r="BK50" s="85"/>
      <c r="BL50" s="85"/>
      <c r="BM50" s="85"/>
      <c r="BN50" s="85"/>
      <c r="BO50" s="85"/>
      <c r="BP50" s="85"/>
      <c r="BQ50" s="85"/>
      <c r="BR50" s="2" t="s">
        <v>64</v>
      </c>
      <c r="BS50" s="221" t="s">
        <v>2572</v>
      </c>
      <c r="BT50" s="220" t="str">
        <f>P1</f>
        <v>請選擇第一選修科</v>
      </c>
      <c r="BU50" s="220" t="str">
        <f>Q1</f>
        <v>請選擇第二選修科</v>
      </c>
      <c r="BV50" s="220" t="str">
        <f>R1</f>
        <v>請選擇第三選修科</v>
      </c>
      <c r="BW50" s="220" t="str">
        <f>S1</f>
        <v>請選擇第四選修科</v>
      </c>
      <c r="BX50" s="220"/>
      <c r="BY50" s="220"/>
      <c r="BZ50" s="220" t="s">
        <v>273</v>
      </c>
      <c r="CA50" s="222" t="s">
        <v>274</v>
      </c>
      <c r="CB50" s="220"/>
      <c r="CC50" s="220"/>
      <c r="CD50" s="220"/>
    </row>
    <row r="51" spans="1:101">
      <c r="A51" s="117" t="s">
        <v>765</v>
      </c>
      <c r="B51" s="117" t="str">
        <f>'Reference Score Calculation'!B28</f>
        <v>JS1041</v>
      </c>
      <c r="C51" s="117" t="str">
        <f>'Reference Score Calculation'!E28</f>
        <v>創意媒體 [主修: 文學士(創意媒體) / 理學士(創意媒體) / 文理學士(新媒體)]</v>
      </c>
      <c r="D51" s="2"/>
      <c r="E51" s="355" t="str">
        <f>'Reference Score Calculation'!F28</f>
        <v>Best 5</v>
      </c>
      <c r="F51" s="357"/>
      <c r="G51" s="16" t="str">
        <f>入學要求!AB37</f>
        <v>v</v>
      </c>
      <c r="H51" s="16" t="str">
        <f>入學要求!AC37</f>
        <v>E</v>
      </c>
      <c r="I51" s="16" t="str">
        <f>入學要求!AD37</f>
        <v>v</v>
      </c>
      <c r="J51" s="117">
        <f t="shared" si="34"/>
        <v>3.3999999999999998E-9</v>
      </c>
      <c r="K51" s="120">
        <v>1</v>
      </c>
      <c r="L51" s="120">
        <v>2</v>
      </c>
      <c r="M51" s="120">
        <v>1</v>
      </c>
      <c r="N51" s="120"/>
      <c r="O51" s="120">
        <v>1</v>
      </c>
      <c r="P51" s="120">
        <v>1</v>
      </c>
      <c r="Q51" s="120">
        <v>1</v>
      </c>
      <c r="R51" s="120">
        <v>1</v>
      </c>
      <c r="S51" s="120">
        <v>1</v>
      </c>
      <c r="T51" s="120">
        <v>1</v>
      </c>
      <c r="V51" s="117">
        <f t="shared" ref="V51:V87" si="66">K$3*K51</f>
        <v>1E-10</v>
      </c>
      <c r="W51" s="117">
        <f t="shared" ref="W51:W87" si="67">L$3*L51</f>
        <v>4.0000000000000001E-10</v>
      </c>
      <c r="X51" s="117">
        <f t="shared" ref="X51:X87" si="68">M$3*M51</f>
        <v>3E-10</v>
      </c>
      <c r="Z51" s="117">
        <f t="shared" ref="Z51:Z60" si="69">IF(G51="v",O$3*O51,0)</f>
        <v>5.0000000000000003E-10</v>
      </c>
      <c r="AA51" s="117">
        <f t="shared" ref="AA51:AA60" si="70">P$3*P51</f>
        <v>6E-10</v>
      </c>
      <c r="AB51" s="117">
        <f t="shared" ref="AB51:AB60" si="71">Q$3*Q51</f>
        <v>6.9999999999999996E-10</v>
      </c>
      <c r="AC51" s="117">
        <f t="shared" ref="AC51:AC60" si="72">R$3*R51</f>
        <v>8.0000000000000003E-10</v>
      </c>
      <c r="AD51" s="117">
        <f t="shared" ref="AD51:AD60" si="73">S$3*S51</f>
        <v>8.9999999999999999E-10</v>
      </c>
      <c r="AE51" s="117">
        <f t="shared" ref="AE51:AE60" si="74">IF(H51="E",T$3*T51,0)</f>
        <v>0</v>
      </c>
      <c r="AF51" s="117">
        <f t="shared" si="44"/>
        <v>1E-10</v>
      </c>
      <c r="AG51" s="117">
        <f t="shared" si="45"/>
        <v>99.000000000399993</v>
      </c>
      <c r="AH51" s="117">
        <f t="shared" si="46"/>
        <v>3E-10</v>
      </c>
      <c r="AI51" s="117">
        <f t="shared" si="47"/>
        <v>0</v>
      </c>
      <c r="AJ51" s="117">
        <f t="shared" si="48"/>
        <v>5.0000000000000003E-10</v>
      </c>
      <c r="AK51" s="117">
        <f t="shared" si="49"/>
        <v>6E-10</v>
      </c>
      <c r="AL51" s="117">
        <f t="shared" si="50"/>
        <v>6.9999999999999996E-10</v>
      </c>
      <c r="AM51" s="117">
        <f t="shared" si="51"/>
        <v>8.0000000000000003E-10</v>
      </c>
      <c r="AN51" s="117">
        <f t="shared" si="52"/>
        <v>8.9999999999999999E-10</v>
      </c>
      <c r="AO51" s="117">
        <f t="shared" si="53"/>
        <v>0</v>
      </c>
      <c r="AP51" s="117" t="b">
        <f t="shared" ref="AP51:AR54" si="75">IF(BH51=TRUE,TRUE,IF($E51="3C2X",TRUE,IF($E51="Best 5",IF(AF51&gt;LARGE($AF51:$AO51,6),TRUE),IF($E51="Best 4",IF(AF51&gt;LARGE($AF51:$AO51,5),TRUE)))))</f>
        <v>0</v>
      </c>
      <c r="AQ51" s="117" t="b">
        <f t="shared" si="75"/>
        <v>1</v>
      </c>
      <c r="AR51" s="117" t="b">
        <f t="shared" si="75"/>
        <v>0</v>
      </c>
      <c r="AT51" s="437" t="b">
        <f t="shared" ref="AT51:AY54" si="76">IF(BL51=TRUE,TRUE,IF($E51="3C2X",IF(AJ51&gt;LARGE($AJ51:$AO51,3),TRUE),IF($E51="Best 4",IF(AJ51&gt;LARGE($AF51:$AO51,5),TRUE),IF($E51="Best 5",IF(AJ51&gt;LARGE($AF51:$AO51,6),TRUE)))))</f>
        <v>0</v>
      </c>
      <c r="AU51" s="437" t="b">
        <f t="shared" si="76"/>
        <v>1</v>
      </c>
      <c r="AV51" s="437" t="b">
        <f t="shared" si="76"/>
        <v>1</v>
      </c>
      <c r="AW51" s="437" t="b">
        <f t="shared" si="76"/>
        <v>1</v>
      </c>
      <c r="AX51" s="437" t="b">
        <f t="shared" si="76"/>
        <v>1</v>
      </c>
      <c r="AY51" s="437" t="b">
        <f t="shared" si="76"/>
        <v>0</v>
      </c>
      <c r="BA51" s="2" t="str">
        <f>'Reference Score Calculation'!N28</f>
        <v>最佳五科必須包括︰英文</v>
      </c>
      <c r="BB51" s="2" t="str">
        <f>'Reference Score Calculation'!O28</f>
        <v>/</v>
      </c>
      <c r="BC51" s="2"/>
      <c r="BD51" s="2"/>
      <c r="BE51" s="2"/>
      <c r="BF51" s="2"/>
      <c r="BG51" s="2"/>
      <c r="BH51" s="85"/>
      <c r="BI51" s="85" t="b">
        <v>1</v>
      </c>
      <c r="BJ51" s="85"/>
      <c r="BK51" s="85"/>
      <c r="BL51" s="85"/>
      <c r="BM51" s="85"/>
      <c r="BN51" s="85"/>
      <c r="BO51" s="85"/>
      <c r="BP51" s="85"/>
      <c r="BQ51" s="85"/>
      <c r="BR51" s="2" t="s">
        <v>64</v>
      </c>
      <c r="BS51" s="220"/>
      <c r="BT51" s="223">
        <f>IF(OR(P1="物理",P1="化學",P1="生物"),P3,0)</f>
        <v>0</v>
      </c>
      <c r="BU51" s="223">
        <f>IF(OR(Q1="物理",Q1="化學",Q1="生物"),Q3,0)</f>
        <v>0</v>
      </c>
      <c r="BV51" s="223">
        <f>IF(OR(R1="物理",R1="化學",R1="生物"),R3,0)</f>
        <v>0</v>
      </c>
      <c r="BW51" s="223">
        <f>IF(OR(S1="物理",S1="化學",S1="生物"),S3,0)</f>
        <v>0</v>
      </c>
      <c r="BX51" s="220"/>
      <c r="BY51" s="220"/>
      <c r="BZ51" s="223" t="str">
        <f>IF(CA51&gt;0,INDEX(BT50:BW50,MATCH(LARGE(BT51:BW51,1),BT51:BW51,0)),"無")</f>
        <v>無</v>
      </c>
      <c r="CA51" s="223">
        <f>LARGE((BT51:BW51),1)</f>
        <v>0</v>
      </c>
      <c r="CB51" s="220"/>
      <c r="CC51" s="220"/>
      <c r="CD51" s="220"/>
    </row>
    <row r="52" spans="1:101">
      <c r="A52" s="117" t="s">
        <v>773</v>
      </c>
      <c r="B52" s="117" t="str">
        <f>'Reference Score Calculation'!B29</f>
        <v>JS1042</v>
      </c>
      <c r="C52" s="117" t="str">
        <f>'Reference Score Calculation'!E29</f>
        <v>文學士(創意媒體) (特點: 動畫 / 電影及攝影 / 批判理論及實踐 / 遊戲及可玩媒體 / 新媒體藝術 / 聲音藝術)</v>
      </c>
      <c r="D52" s="2"/>
      <c r="E52" s="355" t="str">
        <f>'Reference Score Calculation'!F29</f>
        <v>Best 5</v>
      </c>
      <c r="F52" s="357"/>
      <c r="G52" s="16" t="str">
        <f>入學要求!AB38</f>
        <v>v</v>
      </c>
      <c r="H52" s="16" t="str">
        <f>入學要求!AC38</f>
        <v>E</v>
      </c>
      <c r="I52" s="16" t="str">
        <f>入學要求!AD38</f>
        <v>v</v>
      </c>
      <c r="J52" s="117">
        <f t="shared" si="34"/>
        <v>3.3999999999999998E-9</v>
      </c>
      <c r="K52" s="120">
        <v>1</v>
      </c>
      <c r="L52" s="120">
        <v>2</v>
      </c>
      <c r="M52" s="120">
        <v>1</v>
      </c>
      <c r="N52" s="120"/>
      <c r="O52" s="120">
        <v>1</v>
      </c>
      <c r="P52" s="120">
        <v>1</v>
      </c>
      <c r="Q52" s="120">
        <v>1</v>
      </c>
      <c r="R52" s="120">
        <v>1</v>
      </c>
      <c r="S52" s="120">
        <v>1</v>
      </c>
      <c r="T52" s="120">
        <v>1</v>
      </c>
      <c r="V52" s="117">
        <f t="shared" si="66"/>
        <v>1E-10</v>
      </c>
      <c r="W52" s="117">
        <f t="shared" si="67"/>
        <v>4.0000000000000001E-10</v>
      </c>
      <c r="X52" s="117">
        <f t="shared" si="68"/>
        <v>3E-10</v>
      </c>
      <c r="Z52" s="117">
        <f t="shared" si="69"/>
        <v>5.0000000000000003E-10</v>
      </c>
      <c r="AA52" s="117">
        <f t="shared" si="70"/>
        <v>6E-10</v>
      </c>
      <c r="AB52" s="117">
        <f t="shared" si="71"/>
        <v>6.9999999999999996E-10</v>
      </c>
      <c r="AC52" s="117">
        <f t="shared" si="72"/>
        <v>8.0000000000000003E-10</v>
      </c>
      <c r="AD52" s="117">
        <f t="shared" si="73"/>
        <v>8.9999999999999999E-10</v>
      </c>
      <c r="AE52" s="117">
        <f t="shared" si="74"/>
        <v>0</v>
      </c>
      <c r="AF52" s="117">
        <f t="shared" si="44"/>
        <v>1E-10</v>
      </c>
      <c r="AG52" s="117">
        <f t="shared" si="45"/>
        <v>99.000000000399993</v>
      </c>
      <c r="AH52" s="117">
        <f t="shared" si="46"/>
        <v>3E-10</v>
      </c>
      <c r="AI52" s="117">
        <f t="shared" si="47"/>
        <v>0</v>
      </c>
      <c r="AJ52" s="117">
        <f t="shared" si="48"/>
        <v>5.0000000000000003E-10</v>
      </c>
      <c r="AK52" s="117">
        <f t="shared" si="49"/>
        <v>6E-10</v>
      </c>
      <c r="AL52" s="117">
        <f t="shared" si="50"/>
        <v>6.9999999999999996E-10</v>
      </c>
      <c r="AM52" s="117">
        <f t="shared" si="51"/>
        <v>8.0000000000000003E-10</v>
      </c>
      <c r="AN52" s="117">
        <f t="shared" si="52"/>
        <v>8.9999999999999999E-10</v>
      </c>
      <c r="AO52" s="117">
        <f t="shared" si="53"/>
        <v>0</v>
      </c>
      <c r="AP52" s="117" t="b">
        <f t="shared" si="75"/>
        <v>0</v>
      </c>
      <c r="AQ52" s="117" t="b">
        <f t="shared" si="75"/>
        <v>1</v>
      </c>
      <c r="AR52" s="117" t="b">
        <f t="shared" si="75"/>
        <v>0</v>
      </c>
      <c r="AT52" s="437" t="b">
        <f t="shared" si="76"/>
        <v>0</v>
      </c>
      <c r="AU52" s="437" t="b">
        <f t="shared" si="76"/>
        <v>1</v>
      </c>
      <c r="AV52" s="437" t="b">
        <f t="shared" si="76"/>
        <v>1</v>
      </c>
      <c r="AW52" s="437" t="b">
        <f t="shared" si="76"/>
        <v>1</v>
      </c>
      <c r="AX52" s="437" t="b">
        <f t="shared" si="76"/>
        <v>1</v>
      </c>
      <c r="AY52" s="437" t="b">
        <f t="shared" si="76"/>
        <v>0</v>
      </c>
      <c r="BA52" s="2" t="str">
        <f>'Reference Score Calculation'!N29</f>
        <v>最佳五科必須包括︰英文</v>
      </c>
      <c r="BB52" s="2" t="str">
        <f>'Reference Score Calculation'!O29</f>
        <v>/</v>
      </c>
      <c r="BC52" s="2"/>
      <c r="BD52" s="2"/>
      <c r="BE52" s="2"/>
      <c r="BF52" s="2"/>
      <c r="BG52" s="2"/>
      <c r="BH52" s="85"/>
      <c r="BI52" s="85" t="b">
        <v>1</v>
      </c>
      <c r="BJ52" s="85"/>
      <c r="BK52" s="85"/>
      <c r="BL52" s="85"/>
      <c r="BM52" s="85"/>
      <c r="BN52" s="85"/>
      <c r="BO52" s="85"/>
      <c r="BP52" s="85"/>
      <c r="BQ52" s="85"/>
      <c r="BR52" s="2" t="s">
        <v>64</v>
      </c>
      <c r="BS52" s="220"/>
      <c r="BT52" s="224" t="s">
        <v>2275</v>
      </c>
      <c r="BU52" s="220"/>
      <c r="BV52" s="220"/>
      <c r="BW52" s="220"/>
      <c r="BX52" s="220"/>
      <c r="BY52" s="220"/>
      <c r="BZ52" s="220"/>
      <c r="CA52" s="220"/>
      <c r="CB52" s="220"/>
      <c r="CC52" s="220"/>
      <c r="CD52" s="220"/>
    </row>
    <row r="53" spans="1:101">
      <c r="A53" s="117" t="s">
        <v>776</v>
      </c>
      <c r="B53" s="117" t="str">
        <f>'Reference Score Calculation'!B30</f>
        <v>JS1043</v>
      </c>
      <c r="C53" s="117" t="str">
        <f>'Reference Score Calculation'!E30</f>
        <v>理學士(創意媒體) (特點: 結合創意媒體及電腦科學課程 / 動畫 / 遊戲 / 裝置藝術 / 互動媒體)</v>
      </c>
      <c r="D53" s="2"/>
      <c r="E53" s="355" t="str">
        <f>'Reference Score Calculation'!F30</f>
        <v>Best 5</v>
      </c>
      <c r="F53" s="357"/>
      <c r="G53" s="16" t="str">
        <f>入學要求!AB39</f>
        <v>v</v>
      </c>
      <c r="H53" s="16" t="str">
        <f>入學要求!AC39</f>
        <v>E</v>
      </c>
      <c r="I53" s="16" t="str">
        <f>入學要求!AD39</f>
        <v>v</v>
      </c>
      <c r="J53" s="117">
        <f t="shared" si="34"/>
        <v>3.2500000000000002E-9</v>
      </c>
      <c r="K53" s="120">
        <v>1</v>
      </c>
      <c r="L53" s="120">
        <v>2</v>
      </c>
      <c r="M53" s="120">
        <v>1.5</v>
      </c>
      <c r="N53" s="120"/>
      <c r="O53" s="120">
        <v>1</v>
      </c>
      <c r="P53" s="120">
        <v>1</v>
      </c>
      <c r="Q53" s="120">
        <v>1</v>
      </c>
      <c r="R53" s="120">
        <v>1</v>
      </c>
      <c r="S53" s="120">
        <v>1</v>
      </c>
      <c r="T53" s="120">
        <v>1</v>
      </c>
      <c r="V53" s="117">
        <f t="shared" si="66"/>
        <v>1E-10</v>
      </c>
      <c r="W53" s="117">
        <f t="shared" si="67"/>
        <v>4.0000000000000001E-10</v>
      </c>
      <c r="X53" s="117">
        <f t="shared" si="68"/>
        <v>4.5E-10</v>
      </c>
      <c r="Z53" s="117">
        <f t="shared" si="69"/>
        <v>5.0000000000000003E-10</v>
      </c>
      <c r="AA53" s="117">
        <f t="shared" si="70"/>
        <v>6E-10</v>
      </c>
      <c r="AB53" s="117">
        <f t="shared" si="71"/>
        <v>6.9999999999999996E-10</v>
      </c>
      <c r="AC53" s="117">
        <f t="shared" si="72"/>
        <v>8.0000000000000003E-10</v>
      </c>
      <c r="AD53" s="117">
        <f t="shared" si="73"/>
        <v>8.9999999999999999E-10</v>
      </c>
      <c r="AE53" s="117">
        <f t="shared" si="74"/>
        <v>0</v>
      </c>
      <c r="AF53" s="117">
        <f t="shared" si="44"/>
        <v>1E-10</v>
      </c>
      <c r="AG53" s="117">
        <f t="shared" si="45"/>
        <v>99.000000000399993</v>
      </c>
      <c r="AH53" s="117">
        <f t="shared" si="46"/>
        <v>99.000000000450001</v>
      </c>
      <c r="AI53" s="117">
        <f t="shared" si="47"/>
        <v>0</v>
      </c>
      <c r="AJ53" s="117">
        <f t="shared" si="48"/>
        <v>5.0000000000000003E-10</v>
      </c>
      <c r="AK53" s="117">
        <f t="shared" si="49"/>
        <v>6E-10</v>
      </c>
      <c r="AL53" s="117">
        <f t="shared" si="50"/>
        <v>6.9999999999999996E-10</v>
      </c>
      <c r="AM53" s="117">
        <f t="shared" si="51"/>
        <v>8.0000000000000003E-10</v>
      </c>
      <c r="AN53" s="117">
        <f t="shared" si="52"/>
        <v>8.9999999999999999E-10</v>
      </c>
      <c r="AO53" s="117">
        <f t="shared" si="53"/>
        <v>0</v>
      </c>
      <c r="AP53" s="117" t="b">
        <f t="shared" si="75"/>
        <v>0</v>
      </c>
      <c r="AQ53" s="117" t="b">
        <f t="shared" si="75"/>
        <v>1</v>
      </c>
      <c r="AR53" s="117" t="b">
        <f t="shared" si="75"/>
        <v>1</v>
      </c>
      <c r="AT53" s="437" t="b">
        <f t="shared" si="76"/>
        <v>0</v>
      </c>
      <c r="AU53" s="437" t="b">
        <f t="shared" si="76"/>
        <v>0</v>
      </c>
      <c r="AV53" s="437" t="b">
        <f t="shared" si="76"/>
        <v>1</v>
      </c>
      <c r="AW53" s="437" t="b">
        <f t="shared" si="76"/>
        <v>1</v>
      </c>
      <c r="AX53" s="437" t="b">
        <f t="shared" si="76"/>
        <v>1</v>
      </c>
      <c r="AY53" s="437" t="b">
        <f t="shared" si="76"/>
        <v>0</v>
      </c>
      <c r="BA53" s="2" t="str">
        <f>'Reference Score Calculation'!N30</f>
        <v>最佳五科必須包括︰英文、數學</v>
      </c>
      <c r="BB53" s="2" t="str">
        <f>'Reference Score Calculation'!O30</f>
        <v>/</v>
      </c>
      <c r="BC53" s="2"/>
      <c r="BD53" s="2"/>
      <c r="BE53" s="2"/>
      <c r="BF53" s="2"/>
      <c r="BG53" s="2"/>
      <c r="BH53" s="85"/>
      <c r="BI53" s="85" t="b">
        <v>1</v>
      </c>
      <c r="BJ53" s="85" t="b">
        <v>1</v>
      </c>
      <c r="BK53" s="85"/>
      <c r="BL53" s="85"/>
      <c r="BM53" s="85"/>
      <c r="BN53" s="85"/>
      <c r="BO53" s="85"/>
      <c r="BP53" s="85"/>
      <c r="BQ53" s="85"/>
      <c r="BR53" s="2" t="s">
        <v>64</v>
      </c>
      <c r="BS53" s="220"/>
      <c r="BT53" s="220" t="str">
        <f>P1</f>
        <v>請選擇第一選修科</v>
      </c>
      <c r="BU53" s="220" t="str">
        <f>Q1</f>
        <v>請選擇第二選修科</v>
      </c>
      <c r="BV53" s="220" t="str">
        <f>R1</f>
        <v>請選擇第三選修科</v>
      </c>
      <c r="BW53" s="220" t="str">
        <f>S1</f>
        <v>請選擇第四選修科</v>
      </c>
      <c r="BX53" s="220" t="str">
        <f>O1</f>
        <v>數學延伸</v>
      </c>
      <c r="BY53" s="218"/>
      <c r="BZ53" s="220" t="s">
        <v>275</v>
      </c>
      <c r="CA53" s="225" t="s">
        <v>2960</v>
      </c>
      <c r="CB53" s="220"/>
      <c r="CC53" s="220" t="s">
        <v>2961</v>
      </c>
      <c r="CD53" s="220"/>
    </row>
    <row r="54" spans="1:101">
      <c r="A54" s="117" t="s">
        <v>781</v>
      </c>
      <c r="B54" s="117" t="str">
        <f>'Reference Score Calculation'!B31</f>
        <v>JS1044</v>
      </c>
      <c r="C54" s="117" t="str">
        <f>'Reference Score Calculation'!E31</f>
        <v>文理學士(新媒體) (特點: 媒體藝術 / 機械人學及人工智能 / 藝術及科技 / 物料及數位製造)</v>
      </c>
      <c r="D54" s="2"/>
      <c r="E54" s="355" t="str">
        <f>'Reference Score Calculation'!F31</f>
        <v>Best 5</v>
      </c>
      <c r="F54" s="357"/>
      <c r="G54" s="16" t="str">
        <f>入學要求!AB40</f>
        <v>v</v>
      </c>
      <c r="H54" s="16" t="str">
        <f>入學要求!AC40</f>
        <v>E</v>
      </c>
      <c r="I54" s="16" t="str">
        <f>入學要求!AD40</f>
        <v>v</v>
      </c>
      <c r="J54" s="117">
        <f t="shared" si="34"/>
        <v>3.3999999999999998E-9</v>
      </c>
      <c r="K54" s="120">
        <v>1</v>
      </c>
      <c r="L54" s="120">
        <v>2</v>
      </c>
      <c r="M54" s="120">
        <v>1</v>
      </c>
      <c r="N54" s="120"/>
      <c r="O54" s="120">
        <v>1</v>
      </c>
      <c r="P54" s="120">
        <v>1</v>
      </c>
      <c r="Q54" s="120">
        <v>1</v>
      </c>
      <c r="R54" s="120">
        <v>1</v>
      </c>
      <c r="S54" s="120">
        <v>1</v>
      </c>
      <c r="T54" s="120">
        <v>1</v>
      </c>
      <c r="V54" s="117">
        <f t="shared" si="66"/>
        <v>1E-10</v>
      </c>
      <c r="W54" s="117">
        <f t="shared" si="67"/>
        <v>4.0000000000000001E-10</v>
      </c>
      <c r="X54" s="117">
        <f t="shared" si="68"/>
        <v>3E-10</v>
      </c>
      <c r="Z54" s="117">
        <f t="shared" si="69"/>
        <v>5.0000000000000003E-10</v>
      </c>
      <c r="AA54" s="117">
        <f t="shared" si="70"/>
        <v>6E-10</v>
      </c>
      <c r="AB54" s="117">
        <f t="shared" si="71"/>
        <v>6.9999999999999996E-10</v>
      </c>
      <c r="AC54" s="117">
        <f t="shared" si="72"/>
        <v>8.0000000000000003E-10</v>
      </c>
      <c r="AD54" s="117">
        <f t="shared" si="73"/>
        <v>8.9999999999999999E-10</v>
      </c>
      <c r="AE54" s="117">
        <f t="shared" si="74"/>
        <v>0</v>
      </c>
      <c r="AF54" s="117">
        <f t="shared" si="44"/>
        <v>1E-10</v>
      </c>
      <c r="AG54" s="117">
        <f t="shared" si="45"/>
        <v>99.000000000399993</v>
      </c>
      <c r="AH54" s="117">
        <f t="shared" si="46"/>
        <v>3E-10</v>
      </c>
      <c r="AI54" s="117">
        <f t="shared" si="47"/>
        <v>0</v>
      </c>
      <c r="AJ54" s="117">
        <f t="shared" si="48"/>
        <v>5.0000000000000003E-10</v>
      </c>
      <c r="AK54" s="117">
        <f t="shared" si="49"/>
        <v>6E-10</v>
      </c>
      <c r="AL54" s="117">
        <f t="shared" si="50"/>
        <v>6.9999999999999996E-10</v>
      </c>
      <c r="AM54" s="117">
        <f t="shared" si="51"/>
        <v>8.0000000000000003E-10</v>
      </c>
      <c r="AN54" s="117">
        <f t="shared" si="52"/>
        <v>8.9999999999999999E-10</v>
      </c>
      <c r="AO54" s="117">
        <f t="shared" si="53"/>
        <v>0</v>
      </c>
      <c r="AP54" s="117" t="b">
        <f t="shared" si="75"/>
        <v>0</v>
      </c>
      <c r="AQ54" s="117" t="b">
        <f t="shared" si="75"/>
        <v>1</v>
      </c>
      <c r="AR54" s="117" t="b">
        <f t="shared" si="75"/>
        <v>0</v>
      </c>
      <c r="AS54" s="140"/>
      <c r="AT54" s="437" t="b">
        <f t="shared" si="76"/>
        <v>0</v>
      </c>
      <c r="AU54" s="437" t="b">
        <f t="shared" si="76"/>
        <v>1</v>
      </c>
      <c r="AV54" s="437" t="b">
        <f t="shared" si="76"/>
        <v>1</v>
      </c>
      <c r="AW54" s="437" t="b">
        <f t="shared" si="76"/>
        <v>1</v>
      </c>
      <c r="AX54" s="437" t="b">
        <f t="shared" si="76"/>
        <v>1</v>
      </c>
      <c r="AY54" s="437" t="b">
        <f t="shared" si="76"/>
        <v>0</v>
      </c>
      <c r="BA54" s="2" t="str">
        <f>'Reference Score Calculation'!N31</f>
        <v>最佳五科必須包括︰英文</v>
      </c>
      <c r="BB54" s="2" t="str">
        <f>'Reference Score Calculation'!O31</f>
        <v>/</v>
      </c>
      <c r="BC54" s="2"/>
      <c r="BD54" s="2"/>
      <c r="BE54" s="2"/>
      <c r="BF54" s="2"/>
      <c r="BG54" s="2"/>
      <c r="BH54" s="85"/>
      <c r="BI54" s="85" t="b">
        <v>1</v>
      </c>
      <c r="BJ54" s="85"/>
      <c r="BK54" s="85"/>
      <c r="BL54" s="85"/>
      <c r="BM54" s="85"/>
      <c r="BN54" s="85"/>
      <c r="BO54" s="85"/>
      <c r="BP54" s="85"/>
      <c r="BQ54" s="85"/>
      <c r="BR54" s="2" t="s">
        <v>64</v>
      </c>
      <c r="BS54" s="220"/>
      <c r="BT54" s="223">
        <f>IF(BT42=$BZ$51,0,IF(OR(P1="物理",P1="化學",P1="生物",P1="地理"),P6*1.5,IF(OR(P1="經濟",P1="企業、會計與財務概論"),P6*2.5,0)))</f>
        <v>0</v>
      </c>
      <c r="BU54" s="223">
        <f>IF(BU42=$BZ$51,0,IF(OR(Q1="物理",Q1="化學",Q1="生物",Q1="地理"),Q6*1.5,IF(OR(Q1="經濟",Q1="企業、會計與財務概論"),Q6*2.5,0)))</f>
        <v>0</v>
      </c>
      <c r="BV54" s="223">
        <f>IF(BV42=$BZ$51,0,IF(OR(R1="物理",R1="化學",R1="生物",R1="地理"),R6*1.5,IF(OR(R1="經濟",R1="企業、會計與財務概論"),R6*2.5,0)))</f>
        <v>0</v>
      </c>
      <c r="BW54" s="223">
        <f>IF(BW42=$BZ$51,0,IF(OR(S1="物理",S1="化學",S1="生物",S1="地理"),S6*1.5,IF(OR(S1="經濟",S1="企業、會計與財務概論"),S6*2.5,0)))</f>
        <v>0</v>
      </c>
      <c r="BX54" s="223">
        <f>O13*1.5</f>
        <v>7.500000000000001E-10</v>
      </c>
      <c r="BY54" s="220"/>
      <c r="BZ54" s="223" t="str">
        <f>IF(CA54&gt;0,INDEX(BT53:BX53,MATCH(LARGE(BT54:BX54,1),BT54:BX54,0)),"無")</f>
        <v>數學延伸</v>
      </c>
      <c r="CA54" s="223">
        <f>LARGE((BT54:BX54),1)</f>
        <v>7.500000000000001E-10</v>
      </c>
      <c r="CB54" s="220"/>
      <c r="CC54" s="223">
        <f>IF(OR(BZ54="物理",BZ54="化學",BZ54="生物",BZ54="地理",BZ54="數學延伸"),1.5,IF(OR(BZ54="經濟",BZ54="企業、會計與財務概論"),2.5,0))</f>
        <v>1.5</v>
      </c>
      <c r="CD54" s="220"/>
    </row>
    <row r="55" spans="1:101">
      <c r="A55" s="117" t="s">
        <v>2567</v>
      </c>
      <c r="B55" s="117" t="str">
        <f>'Reference Score Calculation'!B32</f>
        <v>JS1050</v>
      </c>
      <c r="C55" s="117" t="str">
        <f>'Reference Score Calculation'!E32</f>
        <v>環球可持續發展科創課程 [主修: 工學士(能源科學及工程學) / 工學士(環境科學及工程學)＋特點：環球視野]</v>
      </c>
      <c r="D55" s="2"/>
      <c r="E55" s="355" t="str">
        <f>'Reference Score Calculation'!F32</f>
        <v>25年新科目</v>
      </c>
      <c r="G55" s="16" t="str">
        <f>入學要求!AB41</f>
        <v>v</v>
      </c>
      <c r="H55" s="16" t="str">
        <f>入學要求!AC41</f>
        <v>E</v>
      </c>
      <c r="I55" s="16" t="str">
        <f>入學要求!AD41</f>
        <v>NO</v>
      </c>
      <c r="J55" s="117">
        <f t="shared" si="34"/>
        <v>3.9000000000000002E-9</v>
      </c>
      <c r="K55" s="120">
        <v>1</v>
      </c>
      <c r="L55" s="120">
        <v>2</v>
      </c>
      <c r="M55" s="120">
        <v>2.5</v>
      </c>
      <c r="N55" s="120"/>
      <c r="O55" s="120">
        <f>IF(O$1=$BZ$43,1.5,1)</f>
        <v>1.5</v>
      </c>
      <c r="P55" s="120">
        <f t="shared" ref="P55:S57" si="77">IF(P$1=$BZ$40,2.5,IF(P$1=$BZ$43,1.5,1))</f>
        <v>1</v>
      </c>
      <c r="Q55" s="120">
        <f t="shared" si="77"/>
        <v>1</v>
      </c>
      <c r="R55" s="120">
        <f t="shared" si="77"/>
        <v>1</v>
      </c>
      <c r="S55" s="120">
        <f t="shared" si="77"/>
        <v>1</v>
      </c>
      <c r="T55" s="120">
        <v>1</v>
      </c>
      <c r="V55" s="117">
        <f t="shared" si="66"/>
        <v>1E-10</v>
      </c>
      <c r="W55" s="117">
        <f t="shared" si="67"/>
        <v>4.0000000000000001E-10</v>
      </c>
      <c r="X55" s="117">
        <f t="shared" si="68"/>
        <v>7.5E-10</v>
      </c>
      <c r="Z55" s="117">
        <f t="shared" si="69"/>
        <v>7.500000000000001E-10</v>
      </c>
      <c r="AA55" s="117">
        <f t="shared" si="70"/>
        <v>6E-10</v>
      </c>
      <c r="AB55" s="117">
        <f t="shared" si="71"/>
        <v>6.9999999999999996E-10</v>
      </c>
      <c r="AC55" s="117">
        <f t="shared" si="72"/>
        <v>8.0000000000000003E-10</v>
      </c>
      <c r="AD55" s="117">
        <f t="shared" si="73"/>
        <v>8.9999999999999999E-10</v>
      </c>
      <c r="AE55" s="117">
        <f t="shared" si="74"/>
        <v>0</v>
      </c>
      <c r="AF55" s="117">
        <f t="shared" si="44"/>
        <v>1E-10</v>
      </c>
      <c r="AG55" s="117">
        <f t="shared" si="45"/>
        <v>4.0000000000000001E-10</v>
      </c>
      <c r="AH55" s="117">
        <f t="shared" si="46"/>
        <v>7.5E-10</v>
      </c>
      <c r="AI55" s="117">
        <f t="shared" si="47"/>
        <v>0</v>
      </c>
      <c r="AJ55" s="117">
        <f t="shared" si="48"/>
        <v>7.500000000000001E-10</v>
      </c>
      <c r="AK55" s="117">
        <f t="shared" si="49"/>
        <v>6E-10</v>
      </c>
      <c r="AL55" s="117">
        <f t="shared" si="50"/>
        <v>6.9999999999999996E-10</v>
      </c>
      <c r="AM55" s="117">
        <f t="shared" si="51"/>
        <v>8.0000000000000003E-10</v>
      </c>
      <c r="AN55" s="117">
        <f t="shared" si="52"/>
        <v>8.9999999999999999E-10</v>
      </c>
      <c r="AO55" s="117">
        <f t="shared" si="53"/>
        <v>0</v>
      </c>
      <c r="AP55" s="117" t="b">
        <f>IF(AF55&gt;LARGE($AF55:$AO55,6),TRUE)</f>
        <v>0</v>
      </c>
      <c r="AQ55" s="117" t="b">
        <f t="shared" ref="AQ55" si="78">IF(AG55&gt;LARGE($AF55:$AO55,6),TRUE)</f>
        <v>0</v>
      </c>
      <c r="AR55" s="117" t="b">
        <f t="shared" ref="AR55" si="79">IF(AH55&gt;LARGE($AF55:$AO55,6),TRUE)</f>
        <v>1</v>
      </c>
      <c r="AS55" s="117" t="b">
        <f t="shared" ref="AS55" si="80">IF(AI55&gt;LARGE($AF55:$AO55,6),TRUE)</f>
        <v>0</v>
      </c>
      <c r="AT55" s="117" t="b">
        <f t="shared" ref="AT55" si="81">IF(AJ55&gt;LARGE($AF55:$AO55,6),TRUE)</f>
        <v>1</v>
      </c>
      <c r="AU55" s="117" t="b">
        <f t="shared" ref="AU55" si="82">IF(AK55&gt;LARGE($AF55:$AO55,6),TRUE)</f>
        <v>0</v>
      </c>
      <c r="AV55" s="117" t="b">
        <f t="shared" ref="AV55" si="83">IF(AL55&gt;LARGE($AF55:$AO55,6),TRUE)</f>
        <v>1</v>
      </c>
      <c r="AW55" s="117" t="b">
        <f t="shared" ref="AW55" si="84">IF(AM55&gt;LARGE($AF55:$AO55,6),TRUE)</f>
        <v>1</v>
      </c>
      <c r="AX55" s="117" t="b">
        <f t="shared" ref="AX55" si="85">IF(AN55&gt;LARGE($AF55:$AO55,6),TRUE)</f>
        <v>1</v>
      </c>
      <c r="AY55" s="117" t="b">
        <f t="shared" ref="AY55" si="86">IF(AO55&gt;LARGE($AF55:$AO55,6),TRUE)</f>
        <v>0</v>
      </c>
      <c r="BA55" s="2" t="str">
        <f>'Reference Score Calculation'!N32</f>
        <v>/</v>
      </c>
      <c r="BB55" s="2" t="str">
        <f>'Reference Score Calculation'!O32</f>
        <v>/</v>
      </c>
      <c r="BC55" s="2"/>
      <c r="BD55" s="2"/>
      <c r="BE55" s="2"/>
      <c r="BF55" s="2"/>
      <c r="BH55" s="223"/>
      <c r="BI55" s="223"/>
      <c r="BJ55" s="223"/>
      <c r="BK55" s="223"/>
      <c r="BL55" s="223"/>
      <c r="BM55" s="223"/>
      <c r="BN55" s="223"/>
      <c r="BO55" s="223"/>
      <c r="BP55" s="223"/>
      <c r="BQ55" s="223"/>
      <c r="BR55" s="2" t="s">
        <v>64</v>
      </c>
      <c r="BS55" s="220"/>
      <c r="BT55" s="224" t="s">
        <v>2947</v>
      </c>
      <c r="BU55" s="220"/>
      <c r="BV55" s="220"/>
      <c r="BW55" s="220"/>
      <c r="BX55" s="220"/>
      <c r="BY55" s="218"/>
      <c r="BZ55" s="218"/>
      <c r="CA55" s="218"/>
      <c r="CB55" s="220"/>
      <c r="CC55" s="220"/>
      <c r="CD55" s="220"/>
    </row>
    <row r="56" spans="1:101">
      <c r="A56" s="117" t="s">
        <v>787</v>
      </c>
      <c r="B56" s="117" t="str">
        <f>'Reference Score Calculation'!B33</f>
        <v>JS1051</v>
      </c>
      <c r="C56" s="117" t="str">
        <f>'Reference Score Calculation'!E33</f>
        <v>能源及環境學 [主修: 工學士(能源科學及工程學) / 工學士(環境科學及工程學)]</v>
      </c>
      <c r="D56" s="2"/>
      <c r="E56" s="355" t="str">
        <f>'Reference Score Calculation'!F33</f>
        <v>Best 5</v>
      </c>
      <c r="F56" s="357"/>
      <c r="G56" s="16" t="str">
        <f>入學要求!AB42</f>
        <v>v</v>
      </c>
      <c r="H56" s="16" t="str">
        <f>入學要求!AC42</f>
        <v>E</v>
      </c>
      <c r="I56" s="16" t="str">
        <f>入學要求!AD42</f>
        <v>NO</v>
      </c>
      <c r="J56" s="117">
        <f t="shared" si="34"/>
        <v>3.6E-9</v>
      </c>
      <c r="K56" s="120">
        <v>1</v>
      </c>
      <c r="L56" s="120">
        <v>2</v>
      </c>
      <c r="M56" s="120">
        <v>2.5</v>
      </c>
      <c r="N56" s="120"/>
      <c r="O56" s="120">
        <f>IF(O$1=$BZ$43,1.5,1)</f>
        <v>1.5</v>
      </c>
      <c r="P56" s="120">
        <f t="shared" si="77"/>
        <v>1</v>
      </c>
      <c r="Q56" s="120">
        <f t="shared" si="77"/>
        <v>1</v>
      </c>
      <c r="R56" s="120">
        <f t="shared" si="77"/>
        <v>1</v>
      </c>
      <c r="S56" s="120">
        <f t="shared" si="77"/>
        <v>1</v>
      </c>
      <c r="T56" s="120">
        <v>1</v>
      </c>
      <c r="V56" s="117">
        <f t="shared" si="66"/>
        <v>1E-10</v>
      </c>
      <c r="W56" s="117">
        <f t="shared" si="67"/>
        <v>4.0000000000000001E-10</v>
      </c>
      <c r="X56" s="117">
        <f t="shared" si="68"/>
        <v>7.5E-10</v>
      </c>
      <c r="Z56" s="117">
        <f t="shared" si="69"/>
        <v>7.500000000000001E-10</v>
      </c>
      <c r="AA56" s="117">
        <f t="shared" si="70"/>
        <v>6E-10</v>
      </c>
      <c r="AB56" s="117">
        <f t="shared" si="71"/>
        <v>6.9999999999999996E-10</v>
      </c>
      <c r="AC56" s="117">
        <f t="shared" si="72"/>
        <v>8.0000000000000003E-10</v>
      </c>
      <c r="AD56" s="117">
        <f t="shared" si="73"/>
        <v>8.9999999999999999E-10</v>
      </c>
      <c r="AE56" s="117">
        <f t="shared" si="74"/>
        <v>0</v>
      </c>
      <c r="AF56" s="117">
        <f t="shared" si="44"/>
        <v>1E-10</v>
      </c>
      <c r="AG56" s="117">
        <f t="shared" si="45"/>
        <v>99.000000000399993</v>
      </c>
      <c r="AH56" s="117">
        <f t="shared" si="46"/>
        <v>99.000000000750006</v>
      </c>
      <c r="AI56" s="117">
        <f t="shared" si="47"/>
        <v>0</v>
      </c>
      <c r="AJ56" s="117">
        <f t="shared" si="48"/>
        <v>7.500000000000001E-10</v>
      </c>
      <c r="AK56" s="117">
        <f t="shared" si="49"/>
        <v>6E-10</v>
      </c>
      <c r="AL56" s="117">
        <f t="shared" si="50"/>
        <v>6.9999999999999996E-10</v>
      </c>
      <c r="AM56" s="117">
        <f t="shared" si="51"/>
        <v>8.0000000000000003E-10</v>
      </c>
      <c r="AN56" s="117">
        <f t="shared" si="52"/>
        <v>8.9999999999999999E-10</v>
      </c>
      <c r="AO56" s="117">
        <f t="shared" si="53"/>
        <v>0</v>
      </c>
      <c r="AP56" s="117" t="b">
        <f t="shared" ref="AP56:AR57" si="87">IF(BH56=TRUE,TRUE,IF($E56="3C2X",TRUE,IF($E56="Best 5",IF(AF56&gt;LARGE($AF56:$AO56,6),TRUE),IF($E56="Best 4",IF(AF56&gt;LARGE($AF56:$AO56,5),TRUE)))))</f>
        <v>0</v>
      </c>
      <c r="AQ56" s="117" t="b">
        <f t="shared" si="87"/>
        <v>1</v>
      </c>
      <c r="AR56" s="117" t="b">
        <f t="shared" si="87"/>
        <v>1</v>
      </c>
      <c r="AS56" s="140"/>
      <c r="AT56" s="437" t="b">
        <f t="shared" ref="AT56:AY57" si="88">IF(BL56=TRUE,TRUE,IF($E56="3C2X",IF(AJ56&gt;LARGE($AJ56:$AO56,3),TRUE),IF($E56="Best 4",IF(AJ56&gt;LARGE($AF56:$AO56,5),TRUE),IF($E56="Best 5",IF(AJ56&gt;LARGE($AF56:$AO56,6),TRUE)))))</f>
        <v>1</v>
      </c>
      <c r="AU56" s="437" t="b">
        <f t="shared" si="88"/>
        <v>0</v>
      </c>
      <c r="AV56" s="437" t="b">
        <f t="shared" si="88"/>
        <v>0</v>
      </c>
      <c r="AW56" s="437" t="b">
        <f t="shared" si="88"/>
        <v>1</v>
      </c>
      <c r="AX56" s="437" t="b">
        <f t="shared" si="88"/>
        <v>1</v>
      </c>
      <c r="AY56" s="437" t="b">
        <f t="shared" si="88"/>
        <v>0</v>
      </c>
      <c r="BA56" s="2" t="str">
        <f>'Reference Score Calculation'!N33</f>
        <v>最佳五科必須包括︰英文、數學 及 以下其中一科︰</v>
      </c>
      <c r="BB56" s="2" t="str">
        <f>'Reference Score Calculation'!O33</f>
        <v>生物、化學、物理</v>
      </c>
      <c r="BC56" s="2"/>
      <c r="BD56" s="2"/>
      <c r="BE56" s="2"/>
      <c r="BF56" s="2"/>
      <c r="BG56" s="2"/>
      <c r="BH56" s="85"/>
      <c r="BI56" s="85" t="b">
        <v>1</v>
      </c>
      <c r="BJ56" s="85" t="b">
        <v>1</v>
      </c>
      <c r="BK56" s="85"/>
      <c r="BL56" s="85"/>
      <c r="BM56" s="85" t="b">
        <f t="shared" ref="BM56:BO57" si="89">IF($BZ$40=BM$35,TRUE)</f>
        <v>0</v>
      </c>
      <c r="BN56" s="85" t="b">
        <f t="shared" si="89"/>
        <v>0</v>
      </c>
      <c r="BO56" s="85" t="b">
        <f t="shared" si="89"/>
        <v>0</v>
      </c>
      <c r="BP56" s="85"/>
      <c r="BQ56" s="85"/>
      <c r="BR56" s="2" t="s">
        <v>64</v>
      </c>
      <c r="BS56" s="220"/>
      <c r="BT56" s="220"/>
      <c r="BU56" s="220"/>
      <c r="BV56" s="220"/>
      <c r="BW56" s="220"/>
      <c r="BX56" s="220"/>
      <c r="BY56" s="220"/>
      <c r="BZ56" s="220"/>
      <c r="CA56" s="220"/>
      <c r="CB56" s="220"/>
      <c r="CC56" s="220"/>
      <c r="CD56" s="220"/>
    </row>
    <row r="57" spans="1:101">
      <c r="A57" s="117" t="s">
        <v>2107</v>
      </c>
      <c r="B57" s="117" t="str">
        <f>'Reference Score Calculation'!B34</f>
        <v>JS1052</v>
      </c>
      <c r="C57" s="117" t="str">
        <f>'Reference Score Calculation'!E34</f>
        <v>工學士(環境科學及工程學)與工商管理學士(金融)[雙學位；特點：環境、社會和管治 / 綠色金融 / 環保技術 / 跨學科教育]</v>
      </c>
      <c r="D57" s="2"/>
      <c r="E57" s="355" t="str">
        <f>'Reference Score Calculation'!F34</f>
        <v>Best 5</v>
      </c>
      <c r="F57" s="357"/>
      <c r="G57" s="16" t="str">
        <f>入學要求!AB43</f>
        <v>v</v>
      </c>
      <c r="H57" s="16" t="str">
        <f>入學要求!AC43</f>
        <v>E</v>
      </c>
      <c r="I57" s="16" t="str">
        <f>入學要求!AD43</f>
        <v>NO</v>
      </c>
      <c r="J57" s="117">
        <f t="shared" si="34"/>
        <v>3.6E-9</v>
      </c>
      <c r="K57" s="120">
        <v>1</v>
      </c>
      <c r="L57" s="120">
        <v>2</v>
      </c>
      <c r="M57" s="120">
        <v>2.5</v>
      </c>
      <c r="N57" s="120"/>
      <c r="O57" s="120">
        <f>IF(O$1=$BZ$43,1.5,1)</f>
        <v>1.5</v>
      </c>
      <c r="P57" s="120">
        <f t="shared" si="77"/>
        <v>1</v>
      </c>
      <c r="Q57" s="120">
        <f t="shared" si="77"/>
        <v>1</v>
      </c>
      <c r="R57" s="120">
        <f t="shared" si="77"/>
        <v>1</v>
      </c>
      <c r="S57" s="120">
        <f t="shared" si="77"/>
        <v>1</v>
      </c>
      <c r="T57" s="120">
        <v>1</v>
      </c>
      <c r="V57" s="117">
        <f t="shared" si="66"/>
        <v>1E-10</v>
      </c>
      <c r="W57" s="117">
        <f t="shared" si="67"/>
        <v>4.0000000000000001E-10</v>
      </c>
      <c r="X57" s="117">
        <f t="shared" si="68"/>
        <v>7.5E-10</v>
      </c>
      <c r="Z57" s="117">
        <f t="shared" si="69"/>
        <v>7.500000000000001E-10</v>
      </c>
      <c r="AA57" s="117">
        <f t="shared" si="70"/>
        <v>6E-10</v>
      </c>
      <c r="AB57" s="117">
        <f t="shared" si="71"/>
        <v>6.9999999999999996E-10</v>
      </c>
      <c r="AC57" s="117">
        <f t="shared" si="72"/>
        <v>8.0000000000000003E-10</v>
      </c>
      <c r="AD57" s="117">
        <f t="shared" si="73"/>
        <v>8.9999999999999999E-10</v>
      </c>
      <c r="AE57" s="117">
        <f t="shared" si="74"/>
        <v>0</v>
      </c>
      <c r="AF57" s="117">
        <f t="shared" si="44"/>
        <v>1E-10</v>
      </c>
      <c r="AG57" s="117">
        <f t="shared" si="45"/>
        <v>99.000000000399993</v>
      </c>
      <c r="AH57" s="117">
        <f t="shared" si="46"/>
        <v>99.000000000750006</v>
      </c>
      <c r="AI57" s="117">
        <f t="shared" si="47"/>
        <v>0</v>
      </c>
      <c r="AJ57" s="117">
        <f t="shared" si="48"/>
        <v>7.500000000000001E-10</v>
      </c>
      <c r="AK57" s="117">
        <f t="shared" si="49"/>
        <v>6E-10</v>
      </c>
      <c r="AL57" s="117">
        <f t="shared" si="50"/>
        <v>6.9999999999999996E-10</v>
      </c>
      <c r="AM57" s="117">
        <f t="shared" si="51"/>
        <v>8.0000000000000003E-10</v>
      </c>
      <c r="AN57" s="117">
        <f t="shared" si="52"/>
        <v>8.9999999999999999E-10</v>
      </c>
      <c r="AO57" s="117">
        <f t="shared" si="53"/>
        <v>0</v>
      </c>
      <c r="AP57" s="117" t="b">
        <f t="shared" si="87"/>
        <v>0</v>
      </c>
      <c r="AQ57" s="117" t="b">
        <f t="shared" si="87"/>
        <v>1</v>
      </c>
      <c r="AR57" s="117" t="b">
        <f t="shared" si="87"/>
        <v>1</v>
      </c>
      <c r="AS57" s="140"/>
      <c r="AT57" s="437" t="b">
        <f t="shared" si="88"/>
        <v>1</v>
      </c>
      <c r="AU57" s="437" t="b">
        <f t="shared" si="88"/>
        <v>0</v>
      </c>
      <c r="AV57" s="437" t="b">
        <f t="shared" si="88"/>
        <v>0</v>
      </c>
      <c r="AW57" s="437" t="b">
        <f t="shared" si="88"/>
        <v>1</v>
      </c>
      <c r="AX57" s="437" t="b">
        <f t="shared" si="88"/>
        <v>1</v>
      </c>
      <c r="AY57" s="437" t="b">
        <f t="shared" si="88"/>
        <v>0</v>
      </c>
      <c r="BA57" s="2" t="str">
        <f>'Reference Score Calculation'!N34</f>
        <v>最佳五科必須包括︰英文、數學 及 以下其中一科︰</v>
      </c>
      <c r="BB57" s="2" t="str">
        <f>'Reference Score Calculation'!O34</f>
        <v>生物、化學、物理</v>
      </c>
      <c r="BC57" s="2"/>
      <c r="BD57" s="2"/>
      <c r="BE57" s="2"/>
      <c r="BF57" s="2"/>
      <c r="BG57" s="2"/>
      <c r="BH57" s="85"/>
      <c r="BI57" s="85" t="b">
        <v>1</v>
      </c>
      <c r="BJ57" s="85" t="b">
        <v>1</v>
      </c>
      <c r="BK57" s="85"/>
      <c r="BL57" s="85"/>
      <c r="BM57" s="85" t="b">
        <f t="shared" si="89"/>
        <v>0</v>
      </c>
      <c r="BN57" s="85" t="b">
        <f t="shared" si="89"/>
        <v>0</v>
      </c>
      <c r="BO57" s="85" t="b">
        <f t="shared" si="89"/>
        <v>0</v>
      </c>
      <c r="BP57" s="85"/>
      <c r="BQ57" s="85"/>
      <c r="BR57" s="2" t="s">
        <v>64</v>
      </c>
      <c r="BS57" s="220"/>
      <c r="BT57" s="220"/>
      <c r="BU57" s="220"/>
      <c r="BV57" s="220"/>
      <c r="BW57" s="220"/>
      <c r="BX57" s="220"/>
      <c r="BY57" s="220"/>
      <c r="BZ57" s="220"/>
      <c r="CA57" s="220"/>
      <c r="CB57" s="220"/>
      <c r="CC57" s="220"/>
      <c r="CD57" s="220"/>
      <c r="CF57" s="2"/>
      <c r="CG57" s="2"/>
      <c r="CH57" s="2"/>
      <c r="CI57" s="2"/>
      <c r="CJ57" s="2"/>
      <c r="CW57" s="2"/>
    </row>
    <row r="58" spans="1:101">
      <c r="A58" s="117" t="s">
        <v>2572</v>
      </c>
      <c r="B58" s="117" t="str">
        <f>'Reference Score Calculation'!B35</f>
        <v>JS1053</v>
      </c>
      <c r="C58" s="117" t="str">
        <f>'Reference Score Calculation'!E35</f>
        <v>理學士(環境及可持續發展商業) [特點：環境科學 / 商業可持續發展 / 環境、社會和管治]</v>
      </c>
      <c r="D58" s="2"/>
      <c r="E58" s="355" t="str">
        <f>'Reference Score Calculation'!F35</f>
        <v>25年新科目</v>
      </c>
      <c r="G58" s="16" t="str">
        <f>入學要求!AB44</f>
        <v>v</v>
      </c>
      <c r="H58" s="16" t="str">
        <f>入學要求!AC44</f>
        <v>E</v>
      </c>
      <c r="I58" s="16" t="str">
        <f>入學要求!AD44</f>
        <v>NO</v>
      </c>
      <c r="J58" s="117">
        <f t="shared" si="34"/>
        <v>3.9000000000000002E-9</v>
      </c>
      <c r="K58" s="120">
        <v>1</v>
      </c>
      <c r="L58" s="120">
        <v>2</v>
      </c>
      <c r="M58" s="120">
        <v>2.5</v>
      </c>
      <c r="N58" s="120"/>
      <c r="O58" s="120">
        <f>IF(O$1=$BZ$54,$CC$54,1)</f>
        <v>1.5</v>
      </c>
      <c r="P58" s="120">
        <f>IF(P$1=$BZ$54,$CC$54,1)</f>
        <v>1</v>
      </c>
      <c r="Q58" s="120">
        <f>IF(Q$1=$BZ$54,$CC$54,1)</f>
        <v>1</v>
      </c>
      <c r="R58" s="120">
        <f>IF(R$1=$BZ$54,$CC$54,1)</f>
        <v>1</v>
      </c>
      <c r="S58" s="120">
        <f>IF(S$1=$BZ$54,$CC$54,1)</f>
        <v>1</v>
      </c>
      <c r="T58" s="120">
        <v>1</v>
      </c>
      <c r="V58" s="117">
        <f t="shared" si="66"/>
        <v>1E-10</v>
      </c>
      <c r="W58" s="117">
        <f t="shared" si="67"/>
        <v>4.0000000000000001E-10</v>
      </c>
      <c r="X58" s="117">
        <f t="shared" si="68"/>
        <v>7.5E-10</v>
      </c>
      <c r="Z58" s="117">
        <f t="shared" si="69"/>
        <v>7.500000000000001E-10</v>
      </c>
      <c r="AA58" s="117">
        <f t="shared" si="70"/>
        <v>6E-10</v>
      </c>
      <c r="AB58" s="117">
        <f t="shared" si="71"/>
        <v>6.9999999999999996E-10</v>
      </c>
      <c r="AC58" s="117">
        <f t="shared" si="72"/>
        <v>8.0000000000000003E-10</v>
      </c>
      <c r="AD58" s="117">
        <f t="shared" si="73"/>
        <v>8.9999999999999999E-10</v>
      </c>
      <c r="AE58" s="117">
        <f t="shared" si="74"/>
        <v>0</v>
      </c>
      <c r="AF58" s="117">
        <f t="shared" si="44"/>
        <v>1E-10</v>
      </c>
      <c r="AG58" s="117">
        <f t="shared" si="45"/>
        <v>4.0000000000000001E-10</v>
      </c>
      <c r="AH58" s="117">
        <f t="shared" si="46"/>
        <v>7.5E-10</v>
      </c>
      <c r="AI58" s="117">
        <f t="shared" si="47"/>
        <v>0</v>
      </c>
      <c r="AJ58" s="117">
        <f t="shared" si="48"/>
        <v>7.500000000000001E-10</v>
      </c>
      <c r="AK58" s="117">
        <f t="shared" si="49"/>
        <v>6E-10</v>
      </c>
      <c r="AL58" s="117">
        <f t="shared" si="50"/>
        <v>6.9999999999999996E-10</v>
      </c>
      <c r="AM58" s="117">
        <f t="shared" si="51"/>
        <v>8.0000000000000003E-10</v>
      </c>
      <c r="AN58" s="117">
        <f t="shared" si="52"/>
        <v>8.9999999999999999E-10</v>
      </c>
      <c r="AO58" s="117">
        <f t="shared" si="53"/>
        <v>0</v>
      </c>
      <c r="AP58" s="117" t="b">
        <f>IF(AF58&gt;LARGE($AF58:$AO58,6),TRUE)</f>
        <v>0</v>
      </c>
      <c r="AQ58" s="117" t="b">
        <f t="shared" ref="AQ58" si="90">IF(AG58&gt;LARGE($AF58:$AO58,6),TRUE)</f>
        <v>0</v>
      </c>
      <c r="AR58" s="117" t="b">
        <f t="shared" ref="AR58" si="91">IF(AH58&gt;LARGE($AF58:$AO58,6),TRUE)</f>
        <v>1</v>
      </c>
      <c r="AS58" s="117" t="b">
        <f t="shared" ref="AS58" si="92">IF(AI58&gt;LARGE($AF58:$AO58,6),TRUE)</f>
        <v>0</v>
      </c>
      <c r="AT58" s="117" t="b">
        <f t="shared" ref="AT58" si="93">IF(AJ58&gt;LARGE($AF58:$AO58,6),TRUE)</f>
        <v>1</v>
      </c>
      <c r="AU58" s="117" t="b">
        <f t="shared" ref="AU58" si="94">IF(AK58&gt;LARGE($AF58:$AO58,6),TRUE)</f>
        <v>0</v>
      </c>
      <c r="AV58" s="117" t="b">
        <f t="shared" ref="AV58" si="95">IF(AL58&gt;LARGE($AF58:$AO58,6),TRUE)</f>
        <v>1</v>
      </c>
      <c r="AW58" s="117" t="b">
        <f t="shared" ref="AW58" si="96">IF(AM58&gt;LARGE($AF58:$AO58,6),TRUE)</f>
        <v>1</v>
      </c>
      <c r="AX58" s="117" t="b">
        <f t="shared" ref="AX58" si="97">IF(AN58&gt;LARGE($AF58:$AO58,6),TRUE)</f>
        <v>1</v>
      </c>
      <c r="AY58" s="117" t="b">
        <f t="shared" ref="AY58" si="98">IF(AO58&gt;LARGE($AF58:$AO58,6),TRUE)</f>
        <v>0</v>
      </c>
      <c r="BA58" s="2" t="str">
        <f>'Reference Score Calculation'!N35</f>
        <v>/</v>
      </c>
      <c r="BB58" s="2" t="str">
        <f>'Reference Score Calculation'!O35</f>
        <v>/</v>
      </c>
      <c r="BC58" s="2"/>
      <c r="BD58" s="2"/>
      <c r="BE58" s="2"/>
      <c r="BF58" s="2"/>
      <c r="BH58" s="223"/>
      <c r="BI58" s="223"/>
      <c r="BJ58" s="223"/>
      <c r="BK58" s="223"/>
      <c r="BL58" s="223"/>
      <c r="BM58" s="223"/>
      <c r="BN58" s="223"/>
      <c r="BO58" s="223"/>
      <c r="BP58" s="223"/>
      <c r="BQ58" s="223"/>
      <c r="BR58" s="2" t="s">
        <v>64</v>
      </c>
      <c r="BS58" s="220"/>
      <c r="BT58" s="220"/>
      <c r="BU58" s="220"/>
      <c r="BV58" s="220"/>
      <c r="BW58" s="220"/>
      <c r="BX58" s="220"/>
      <c r="BY58" s="220"/>
      <c r="BZ58" s="220"/>
      <c r="CA58" s="220"/>
      <c r="CB58" s="220"/>
      <c r="CC58" s="220"/>
      <c r="CD58" s="220"/>
    </row>
    <row r="59" spans="1:101">
      <c r="A59" s="117" t="s">
        <v>795</v>
      </c>
      <c r="B59" s="117" t="str">
        <f>'Reference Score Calculation'!B36</f>
        <v>JS1061</v>
      </c>
      <c r="C59" s="117" t="str">
        <f>'Reference Score Calculation'!E36</f>
        <v>法律學學士</v>
      </c>
      <c r="D59" s="2"/>
      <c r="E59" s="355" t="str">
        <f>'Reference Score Calculation'!F36</f>
        <v>Best 5</v>
      </c>
      <c r="F59" s="355"/>
      <c r="G59" s="16" t="str">
        <f>入學要求!AB45</f>
        <v>v</v>
      </c>
      <c r="H59" s="16" t="str">
        <f>入學要求!AC45</f>
        <v>E</v>
      </c>
      <c r="I59" s="16" t="str">
        <f>入學要求!AD45</f>
        <v>NO</v>
      </c>
      <c r="J59" s="117">
        <f t="shared" si="34"/>
        <v>3.1999999999999997E-9</v>
      </c>
      <c r="K59" s="120">
        <v>1</v>
      </c>
      <c r="L59" s="120">
        <v>1</v>
      </c>
      <c r="M59" s="120">
        <v>1</v>
      </c>
      <c r="N59" s="120"/>
      <c r="O59" s="120">
        <v>1</v>
      </c>
      <c r="P59" s="120">
        <v>1</v>
      </c>
      <c r="Q59" s="120">
        <v>1</v>
      </c>
      <c r="R59" s="120">
        <v>1</v>
      </c>
      <c r="S59" s="120">
        <v>1</v>
      </c>
      <c r="T59" s="120">
        <v>1</v>
      </c>
      <c r="V59" s="117">
        <f t="shared" si="66"/>
        <v>1E-10</v>
      </c>
      <c r="W59" s="117">
        <f t="shared" si="67"/>
        <v>2.0000000000000001E-10</v>
      </c>
      <c r="X59" s="117">
        <f t="shared" si="68"/>
        <v>3E-10</v>
      </c>
      <c r="Z59" s="117">
        <f t="shared" si="69"/>
        <v>5.0000000000000003E-10</v>
      </c>
      <c r="AA59" s="117">
        <f t="shared" si="70"/>
        <v>6E-10</v>
      </c>
      <c r="AB59" s="117">
        <f t="shared" si="71"/>
        <v>6.9999999999999996E-10</v>
      </c>
      <c r="AC59" s="117">
        <f t="shared" si="72"/>
        <v>8.0000000000000003E-10</v>
      </c>
      <c r="AD59" s="117">
        <f t="shared" si="73"/>
        <v>8.9999999999999999E-10</v>
      </c>
      <c r="AE59" s="117">
        <f t="shared" si="74"/>
        <v>0</v>
      </c>
      <c r="AF59" s="117">
        <f t="shared" si="44"/>
        <v>1E-10</v>
      </c>
      <c r="AG59" s="117">
        <f t="shared" si="45"/>
        <v>99.000000000200004</v>
      </c>
      <c r="AH59" s="117">
        <f t="shared" si="46"/>
        <v>3E-10</v>
      </c>
      <c r="AI59" s="117">
        <f t="shared" si="47"/>
        <v>0</v>
      </c>
      <c r="AJ59" s="117">
        <f t="shared" si="48"/>
        <v>5.0000000000000003E-10</v>
      </c>
      <c r="AK59" s="117">
        <f t="shared" si="49"/>
        <v>6E-10</v>
      </c>
      <c r="AL59" s="117">
        <f t="shared" si="50"/>
        <v>6.9999999999999996E-10</v>
      </c>
      <c r="AM59" s="117">
        <f t="shared" si="51"/>
        <v>8.0000000000000003E-10</v>
      </c>
      <c r="AN59" s="117">
        <f t="shared" si="52"/>
        <v>8.9999999999999999E-10</v>
      </c>
      <c r="AO59" s="117">
        <f t="shared" si="53"/>
        <v>0</v>
      </c>
      <c r="AP59" s="117" t="b">
        <f t="shared" ref="AP59:AR60" si="99">IF(BH59=TRUE,TRUE,IF($E59="3C2X",TRUE,IF($E59="Best 5",IF(AF59&gt;LARGE($AF59:$AO59,6),TRUE),IF($E59="Best 4",IF(AF59&gt;LARGE($AF59:$AO59,5),TRUE)))))</f>
        <v>0</v>
      </c>
      <c r="AQ59" s="117" t="b">
        <f t="shared" si="99"/>
        <v>1</v>
      </c>
      <c r="AR59" s="117" t="b">
        <f t="shared" si="99"/>
        <v>0</v>
      </c>
      <c r="AS59" s="140"/>
      <c r="AT59" s="437" t="b">
        <f t="shared" ref="AT59:AY60" si="100">IF(BL59=TRUE,TRUE,IF($E59="3C2X",IF(AJ59&gt;LARGE($AJ59:$AO59,3),TRUE),IF($E59="Best 4",IF(AJ59&gt;LARGE($AF59:$AO59,5),TRUE),IF($E59="Best 5",IF(AJ59&gt;LARGE($AF59:$AO59,6),TRUE)))))</f>
        <v>0</v>
      </c>
      <c r="AU59" s="437" t="b">
        <f t="shared" si="100"/>
        <v>1</v>
      </c>
      <c r="AV59" s="437" t="b">
        <f t="shared" si="100"/>
        <v>1</v>
      </c>
      <c r="AW59" s="437" t="b">
        <f t="shared" si="100"/>
        <v>1</v>
      </c>
      <c r="AX59" s="437" t="b">
        <f t="shared" si="100"/>
        <v>1</v>
      </c>
      <c r="AY59" s="437" t="b">
        <f t="shared" si="100"/>
        <v>0</v>
      </c>
      <c r="BA59" s="2" t="str">
        <f>'Reference Score Calculation'!N36</f>
        <v>最佳五科必須包括︰英文</v>
      </c>
      <c r="BB59" s="2" t="str">
        <f>'Reference Score Calculation'!O36</f>
        <v>/</v>
      </c>
      <c r="BC59" s="2"/>
      <c r="BD59" s="2"/>
      <c r="BE59" s="2"/>
      <c r="BF59" s="2"/>
      <c r="BG59" s="2"/>
      <c r="BH59" s="85"/>
      <c r="BI59" s="85" t="b">
        <v>1</v>
      </c>
      <c r="BJ59" s="85"/>
      <c r="BK59" s="85"/>
      <c r="BL59" s="85"/>
      <c r="BM59" s="85"/>
      <c r="BN59" s="85"/>
      <c r="BO59" s="85"/>
      <c r="BP59" s="85"/>
      <c r="BQ59" s="85"/>
      <c r="BR59" s="2" t="s">
        <v>64</v>
      </c>
      <c r="BS59" s="220"/>
      <c r="BT59" s="220"/>
      <c r="BU59" s="220"/>
      <c r="BV59" s="220"/>
      <c r="BW59" s="220"/>
      <c r="BX59" s="220"/>
      <c r="BY59" s="220"/>
      <c r="BZ59" s="220"/>
      <c r="CA59" s="220"/>
      <c r="CB59" s="220"/>
      <c r="CC59" s="220"/>
      <c r="CD59" s="220"/>
    </row>
    <row r="60" spans="1:101">
      <c r="A60" s="117" t="s">
        <v>801</v>
      </c>
      <c r="B60" s="117" t="str">
        <f>'Reference Score Calculation'!B37</f>
        <v>JS1062</v>
      </c>
      <c r="C60" s="117" t="str">
        <f>'Reference Score Calculation'!E37</f>
        <v>法律學學士與工商管理學士(會計) (雙學位)</v>
      </c>
      <c r="D60" s="2"/>
      <c r="E60" s="355" t="str">
        <f>'Reference Score Calculation'!F37</f>
        <v>Best 5</v>
      </c>
      <c r="F60" s="354"/>
      <c r="G60" s="16" t="str">
        <f>入學要求!AB46</f>
        <v>v</v>
      </c>
      <c r="H60" s="16" t="str">
        <f>入學要求!AC46</f>
        <v>E</v>
      </c>
      <c r="I60" s="16" t="str">
        <f>入學要求!AD46</f>
        <v>NO</v>
      </c>
      <c r="J60" s="117">
        <f t="shared" si="34"/>
        <v>3.2999999999999998E-9</v>
      </c>
      <c r="K60" s="120">
        <v>1</v>
      </c>
      <c r="L60" s="120">
        <v>1.5</v>
      </c>
      <c r="M60" s="120">
        <v>1</v>
      </c>
      <c r="N60" s="120"/>
      <c r="O60" s="120">
        <v>1</v>
      </c>
      <c r="P60" s="120">
        <v>1</v>
      </c>
      <c r="Q60" s="120">
        <v>1</v>
      </c>
      <c r="R60" s="120">
        <v>1</v>
      </c>
      <c r="S60" s="120">
        <v>1</v>
      </c>
      <c r="T60" s="120">
        <v>1</v>
      </c>
      <c r="V60" s="117">
        <f t="shared" si="66"/>
        <v>1E-10</v>
      </c>
      <c r="W60" s="117">
        <f t="shared" si="67"/>
        <v>3E-10</v>
      </c>
      <c r="X60" s="117">
        <f t="shared" si="68"/>
        <v>3E-10</v>
      </c>
      <c r="Z60" s="117">
        <f t="shared" si="69"/>
        <v>5.0000000000000003E-10</v>
      </c>
      <c r="AA60" s="117">
        <f t="shared" si="70"/>
        <v>6E-10</v>
      </c>
      <c r="AB60" s="117">
        <f t="shared" si="71"/>
        <v>6.9999999999999996E-10</v>
      </c>
      <c r="AC60" s="117">
        <f t="shared" si="72"/>
        <v>8.0000000000000003E-10</v>
      </c>
      <c r="AD60" s="117">
        <f t="shared" si="73"/>
        <v>8.9999999999999999E-10</v>
      </c>
      <c r="AE60" s="117">
        <f t="shared" si="74"/>
        <v>0</v>
      </c>
      <c r="AF60" s="117">
        <f t="shared" si="44"/>
        <v>1E-10</v>
      </c>
      <c r="AG60" s="117">
        <f t="shared" si="45"/>
        <v>99.000000000300005</v>
      </c>
      <c r="AH60" s="117">
        <f t="shared" si="46"/>
        <v>3E-10</v>
      </c>
      <c r="AI60" s="117">
        <f t="shared" si="47"/>
        <v>0</v>
      </c>
      <c r="AJ60" s="117">
        <f t="shared" si="48"/>
        <v>5.0000000000000003E-10</v>
      </c>
      <c r="AK60" s="117">
        <f t="shared" si="49"/>
        <v>6E-10</v>
      </c>
      <c r="AL60" s="117">
        <f t="shared" si="50"/>
        <v>6.9999999999999996E-10</v>
      </c>
      <c r="AM60" s="117">
        <f t="shared" si="51"/>
        <v>8.0000000000000003E-10</v>
      </c>
      <c r="AN60" s="117">
        <f t="shared" si="52"/>
        <v>8.9999999999999999E-10</v>
      </c>
      <c r="AO60" s="117">
        <f t="shared" si="53"/>
        <v>0</v>
      </c>
      <c r="AP60" s="117" t="b">
        <f t="shared" si="99"/>
        <v>0</v>
      </c>
      <c r="AQ60" s="117" t="b">
        <f t="shared" si="99"/>
        <v>1</v>
      </c>
      <c r="AR60" s="117" t="b">
        <f t="shared" si="99"/>
        <v>0</v>
      </c>
      <c r="AS60" s="140"/>
      <c r="AT60" s="437" t="b">
        <f t="shared" si="100"/>
        <v>0</v>
      </c>
      <c r="AU60" s="437" t="b">
        <f t="shared" si="100"/>
        <v>1</v>
      </c>
      <c r="AV60" s="437" t="b">
        <f t="shared" si="100"/>
        <v>1</v>
      </c>
      <c r="AW60" s="437" t="b">
        <f t="shared" si="100"/>
        <v>1</v>
      </c>
      <c r="AX60" s="437" t="b">
        <f t="shared" si="100"/>
        <v>1</v>
      </c>
      <c r="AY60" s="437" t="b">
        <f t="shared" si="100"/>
        <v>0</v>
      </c>
      <c r="BA60" s="2" t="str">
        <f>'Reference Score Calculation'!N37</f>
        <v>最佳五科必須包括︰英文</v>
      </c>
      <c r="BB60" s="2" t="str">
        <f>'Reference Score Calculation'!O37</f>
        <v>/</v>
      </c>
      <c r="BC60" s="2"/>
      <c r="BD60" s="2"/>
      <c r="BE60" s="2"/>
      <c r="BF60" s="2"/>
      <c r="BG60" s="2"/>
      <c r="BH60" s="85"/>
      <c r="BI60" s="85" t="b">
        <v>1</v>
      </c>
      <c r="BJ60" s="85"/>
      <c r="BK60" s="85"/>
      <c r="BL60" s="85"/>
      <c r="BM60" s="85"/>
      <c r="BN60" s="85"/>
      <c r="BO60" s="85"/>
      <c r="BP60" s="85"/>
      <c r="BQ60" s="85"/>
      <c r="BR60" s="2" t="s">
        <v>64</v>
      </c>
      <c r="BS60" s="220"/>
      <c r="BT60" s="220"/>
      <c r="BU60" s="220"/>
      <c r="BV60" s="220"/>
      <c r="BW60" s="220"/>
      <c r="BX60" s="220"/>
      <c r="BY60" s="220"/>
      <c r="BZ60" s="220"/>
      <c r="CA60" s="220"/>
      <c r="CB60" s="220"/>
      <c r="CC60" s="220"/>
      <c r="CD60" s="220"/>
    </row>
    <row r="61" spans="1:101">
      <c r="A61" s="117" t="s">
        <v>2576</v>
      </c>
      <c r="B61" s="117" t="str">
        <f>'Reference Score Calculation'!B38</f>
        <v>JS1070</v>
      </c>
      <c r="C61" s="117" t="str">
        <f>'Reference Score Calculation'!E38</f>
        <v>數據賦能: 學習･突破･成就課程(特點: 自由選擇學院專業學科 / 一對一專業導師 / 精英學生實習培訓 / 專業導師指導計劃 / 頂尖海外大學交流)</v>
      </c>
      <c r="D61" s="2"/>
      <c r="E61" s="355" t="str">
        <f>'Reference Score Calculation'!F38</f>
        <v>25年新科目</v>
      </c>
      <c r="G61" s="16" t="str">
        <f>入學要求!AB47</f>
        <v>v</v>
      </c>
      <c r="H61" s="16" t="str">
        <f>入學要求!AC47</f>
        <v>E</v>
      </c>
      <c r="I61" s="16" t="str">
        <f>入學要求!AD47</f>
        <v>NO</v>
      </c>
      <c r="J61" s="117">
        <f t="shared" si="34"/>
        <v>2.8000000000000003E-9</v>
      </c>
      <c r="K61" s="117">
        <v>1</v>
      </c>
      <c r="L61" s="117">
        <v>2</v>
      </c>
      <c r="M61" s="117">
        <v>2</v>
      </c>
      <c r="O61" s="117">
        <v>1</v>
      </c>
      <c r="P61" s="117">
        <v>1</v>
      </c>
      <c r="Q61" s="117">
        <v>1</v>
      </c>
      <c r="R61" s="117">
        <v>1</v>
      </c>
      <c r="S61" s="117">
        <v>1</v>
      </c>
      <c r="T61" s="117">
        <v>1</v>
      </c>
      <c r="V61" s="117">
        <f t="shared" ref="V61" si="101">K$3*K61</f>
        <v>1E-10</v>
      </c>
      <c r="W61" s="117">
        <f t="shared" ref="W61" si="102">L$3*L61</f>
        <v>4.0000000000000001E-10</v>
      </c>
      <c r="X61" s="117">
        <f t="shared" ref="X61" si="103">M$3*M61</f>
        <v>6E-10</v>
      </c>
      <c r="Z61" s="117">
        <f t="shared" ref="Z61" si="104">IF(G61="v",O$3*O61,0)</f>
        <v>5.0000000000000003E-10</v>
      </c>
      <c r="AA61" s="117">
        <f t="shared" ref="AA61" si="105">P$3*P61</f>
        <v>6E-10</v>
      </c>
      <c r="AB61" s="117">
        <f t="shared" ref="AB61" si="106">Q$3*Q61</f>
        <v>6.9999999999999996E-10</v>
      </c>
      <c r="AC61" s="117">
        <f t="shared" ref="AC61" si="107">R$3*R61</f>
        <v>8.0000000000000003E-10</v>
      </c>
      <c r="AD61" s="117">
        <f t="shared" ref="AD61" si="108">S$3*S61</f>
        <v>8.9999999999999999E-10</v>
      </c>
      <c r="AE61" s="117">
        <f t="shared" ref="AE61" si="109">IF(H61="E",T$3*T61,0)</f>
        <v>0</v>
      </c>
      <c r="AF61" s="117">
        <f t="shared" si="44"/>
        <v>99.000000000100002</v>
      </c>
      <c r="AG61" s="117">
        <f t="shared" si="45"/>
        <v>99.000000000399993</v>
      </c>
      <c r="AH61" s="117">
        <f t="shared" si="46"/>
        <v>99.000000000599996</v>
      </c>
      <c r="AI61" s="117">
        <f t="shared" si="47"/>
        <v>0</v>
      </c>
      <c r="AJ61" s="117">
        <f t="shared" si="48"/>
        <v>5.0000000000000003E-10</v>
      </c>
      <c r="AK61" s="117">
        <f t="shared" si="49"/>
        <v>6E-10</v>
      </c>
      <c r="AL61" s="117">
        <f t="shared" si="50"/>
        <v>6.9999999999999996E-10</v>
      </c>
      <c r="AM61" s="117">
        <f t="shared" si="51"/>
        <v>8.0000000000000003E-10</v>
      </c>
      <c r="AN61" s="117">
        <f t="shared" si="52"/>
        <v>8.9999999999999999E-10</v>
      </c>
      <c r="AO61" s="117">
        <f t="shared" si="53"/>
        <v>0</v>
      </c>
      <c r="AP61" s="117" t="b">
        <f>IF(AF61&gt;LARGE($AF61:$AO61,6),TRUE)</f>
        <v>1</v>
      </c>
      <c r="AQ61" s="117" t="b">
        <f t="shared" ref="AQ61:AY61" si="110">IF(AG61&gt;LARGE($AF61:$AO61,6),TRUE)</f>
        <v>1</v>
      </c>
      <c r="AR61" s="117" t="b">
        <f t="shared" si="110"/>
        <v>1</v>
      </c>
      <c r="AS61" s="117" t="b">
        <f t="shared" si="110"/>
        <v>0</v>
      </c>
      <c r="AT61" s="117" t="b">
        <f t="shared" si="110"/>
        <v>0</v>
      </c>
      <c r="AU61" s="117" t="b">
        <f t="shared" si="110"/>
        <v>0</v>
      </c>
      <c r="AV61" s="117" t="b">
        <f t="shared" si="110"/>
        <v>0</v>
      </c>
      <c r="AW61" s="117" t="b">
        <f t="shared" si="110"/>
        <v>1</v>
      </c>
      <c r="AX61" s="117" t="b">
        <f t="shared" si="110"/>
        <v>1</v>
      </c>
      <c r="AY61" s="117" t="b">
        <f t="shared" si="110"/>
        <v>0</v>
      </c>
      <c r="BA61" s="2" t="str">
        <f>'Reference Score Calculation'!N38</f>
        <v>/</v>
      </c>
      <c r="BB61" s="2" t="str">
        <f>'Reference Score Calculation'!O38</f>
        <v>/</v>
      </c>
      <c r="BC61" s="2"/>
      <c r="BD61" s="2"/>
      <c r="BE61" s="2"/>
      <c r="BF61" s="2"/>
      <c r="BG61" s="2"/>
      <c r="BH61" s="85" t="b">
        <v>1</v>
      </c>
      <c r="BI61" s="85" t="b">
        <v>1</v>
      </c>
      <c r="BJ61" s="85" t="b">
        <v>1</v>
      </c>
      <c r="BK61" s="85"/>
      <c r="BL61" s="85"/>
      <c r="BM61" s="85"/>
      <c r="BN61" s="85"/>
      <c r="BO61" s="85"/>
      <c r="BP61" s="85"/>
      <c r="BQ61" s="85"/>
      <c r="BR61" s="2" t="s">
        <v>64</v>
      </c>
      <c r="BS61" s="220"/>
      <c r="BT61" s="220"/>
      <c r="BU61" s="220"/>
      <c r="BV61" s="220"/>
      <c r="BW61" s="220"/>
      <c r="BX61" s="220"/>
      <c r="BY61" s="220"/>
      <c r="BZ61" s="220"/>
      <c r="CA61" s="220"/>
      <c r="CB61" s="220"/>
      <c r="CC61" s="220"/>
      <c r="CD61" s="220"/>
    </row>
    <row r="62" spans="1:101">
      <c r="A62" s="117" t="s">
        <v>805</v>
      </c>
      <c r="B62" s="117" t="str">
        <f>'Reference Score Calculation'!B39</f>
        <v>JS1071</v>
      </c>
      <c r="C62" s="117" t="str">
        <f>'Reference Score Calculation'!E39</f>
        <v>數據科學 [主修：理學士 (數據科學) / 理學士 (數據與系統工程)]</v>
      </c>
      <c r="D62" s="2"/>
      <c r="E62" s="355" t="str">
        <f>'Reference Score Calculation'!F39</f>
        <v>3C2X</v>
      </c>
      <c r="F62" s="354"/>
      <c r="G62" s="16" t="str">
        <f>入學要求!AB48</f>
        <v>v</v>
      </c>
      <c r="H62" s="16" t="str">
        <f>入學要求!AC48</f>
        <v>E</v>
      </c>
      <c r="I62" s="16" t="str">
        <f>入學要求!AD48</f>
        <v>NO</v>
      </c>
      <c r="J62" s="117">
        <f t="shared" si="34"/>
        <v>2.8000000000000003E-9</v>
      </c>
      <c r="K62" s="120">
        <v>1</v>
      </c>
      <c r="L62" s="120">
        <v>2</v>
      </c>
      <c r="M62" s="120">
        <v>2</v>
      </c>
      <c r="N62" s="120"/>
      <c r="O62" s="120">
        <v>1</v>
      </c>
      <c r="P62" s="120">
        <v>1</v>
      </c>
      <c r="Q62" s="120">
        <v>1</v>
      </c>
      <c r="R62" s="120">
        <v>1</v>
      </c>
      <c r="S62" s="120">
        <v>1</v>
      </c>
      <c r="T62" s="120">
        <v>1</v>
      </c>
      <c r="V62" s="117">
        <f t="shared" si="66"/>
        <v>1E-10</v>
      </c>
      <c r="W62" s="117">
        <f t="shared" si="67"/>
        <v>4.0000000000000001E-10</v>
      </c>
      <c r="X62" s="117">
        <f t="shared" si="68"/>
        <v>6E-10</v>
      </c>
      <c r="Z62" s="117">
        <f t="shared" ref="Z62:Z87" si="111">IF(G62="v",O$3*O62,0)</f>
        <v>5.0000000000000003E-10</v>
      </c>
      <c r="AA62" s="117">
        <f t="shared" ref="AA62:AA87" si="112">P$3*P62</f>
        <v>6E-10</v>
      </c>
      <c r="AB62" s="117">
        <f t="shared" ref="AB62:AB87" si="113">Q$3*Q62</f>
        <v>6.9999999999999996E-10</v>
      </c>
      <c r="AC62" s="117">
        <f t="shared" ref="AC62:AC87" si="114">R$3*R62</f>
        <v>8.0000000000000003E-10</v>
      </c>
      <c r="AD62" s="117">
        <f t="shared" ref="AD62:AD87" si="115">S$3*S62</f>
        <v>8.9999999999999999E-10</v>
      </c>
      <c r="AE62" s="117">
        <f t="shared" ref="AE62:AE87" si="116">IF(H62="E",T$3*T62,0)</f>
        <v>0</v>
      </c>
      <c r="AF62" s="117">
        <f t="shared" si="44"/>
        <v>1E-10</v>
      </c>
      <c r="AG62" s="117">
        <f t="shared" si="45"/>
        <v>4.0000000000000001E-10</v>
      </c>
      <c r="AH62" s="117">
        <f t="shared" si="46"/>
        <v>6E-10</v>
      </c>
      <c r="AI62" s="117">
        <f t="shared" si="47"/>
        <v>0</v>
      </c>
      <c r="AJ62" s="117">
        <f t="shared" si="48"/>
        <v>5.0000000000000003E-10</v>
      </c>
      <c r="AK62" s="117">
        <f t="shared" si="49"/>
        <v>6E-10</v>
      </c>
      <c r="AL62" s="117">
        <f t="shared" si="50"/>
        <v>6.9999999999999996E-10</v>
      </c>
      <c r="AM62" s="117">
        <f t="shared" si="51"/>
        <v>8.0000000000000003E-10</v>
      </c>
      <c r="AN62" s="117">
        <f t="shared" si="52"/>
        <v>8.9999999999999999E-10</v>
      </c>
      <c r="AO62" s="117">
        <f t="shared" si="53"/>
        <v>0</v>
      </c>
      <c r="AP62" s="117" t="b">
        <f t="shared" ref="AP62:AR64" si="117">IF(BH62=TRUE,TRUE,IF($E62="3C2X",TRUE,IF($E62="Best 5",IF(AF62&gt;LARGE($AF62:$AO62,6),TRUE),IF($E62="Best 4",IF(AF62&gt;LARGE($AF62:$AO62,5),TRUE)))))</f>
        <v>1</v>
      </c>
      <c r="AQ62" s="117" t="b">
        <f t="shared" si="117"/>
        <v>1</v>
      </c>
      <c r="AR62" s="117" t="b">
        <f t="shared" si="117"/>
        <v>1</v>
      </c>
      <c r="AT62" s="437" t="b">
        <f t="shared" ref="AT62:AY64" si="118">IF(BL62=TRUE,TRUE,IF($E62="3C2X",IF(AJ62&gt;LARGE($AJ62:$AO62,3),TRUE),IF($E62="Best 4",IF(AJ62&gt;LARGE($AF62:$AO62,5),TRUE),IF($E62="Best 5",IF(AJ62&gt;LARGE($AF62:$AO62,6),TRUE)))))</f>
        <v>0</v>
      </c>
      <c r="AU62" s="437" t="b">
        <f t="shared" si="118"/>
        <v>0</v>
      </c>
      <c r="AV62" s="437" t="b">
        <f t="shared" si="118"/>
        <v>0</v>
      </c>
      <c r="AW62" s="437" t="b">
        <f t="shared" si="118"/>
        <v>1</v>
      </c>
      <c r="AX62" s="437" t="b">
        <f t="shared" si="118"/>
        <v>1</v>
      </c>
      <c r="AY62" s="437" t="b">
        <f t="shared" si="118"/>
        <v>0</v>
      </c>
      <c r="BA62" s="2" t="str">
        <f>'Reference Score Calculation'!N39</f>
        <v>/</v>
      </c>
      <c r="BB62" s="2" t="str">
        <f>'Reference Score Calculation'!O39</f>
        <v>/</v>
      </c>
      <c r="BC62" s="2"/>
      <c r="BD62" s="2"/>
      <c r="BE62" s="2"/>
      <c r="BF62" s="2"/>
      <c r="BG62" s="2"/>
      <c r="BH62" s="85"/>
      <c r="BI62" s="85"/>
      <c r="BJ62" s="85"/>
      <c r="BK62" s="85"/>
      <c r="BL62" s="85"/>
      <c r="BM62" s="85"/>
      <c r="BN62" s="85"/>
      <c r="BO62" s="85"/>
      <c r="BP62" s="85"/>
      <c r="BQ62" s="85"/>
      <c r="BR62" s="2" t="s">
        <v>64</v>
      </c>
      <c r="BS62" s="226" t="s">
        <v>277</v>
      </c>
      <c r="BT62" s="217"/>
      <c r="BU62" s="217"/>
      <c r="BV62" s="217"/>
      <c r="BW62" s="217"/>
      <c r="BX62" s="217"/>
      <c r="BY62" s="217"/>
      <c r="BZ62" s="217"/>
      <c r="CA62" s="217"/>
      <c r="CB62" s="217"/>
      <c r="CC62" s="217"/>
      <c r="CD62" s="217"/>
    </row>
    <row r="63" spans="1:101">
      <c r="A63" s="117" t="s">
        <v>812</v>
      </c>
      <c r="B63" s="117" t="str">
        <f>'Reference Score Calculation'!B40</f>
        <v>JS1072</v>
      </c>
      <c r="C63" s="117" t="str">
        <f>'Reference Score Calculation'!E40</f>
        <v>理學士(數據科學) (特點: 數據科學 / 機器學習 / 數據挖掘 / 大數據分析)</v>
      </c>
      <c r="D63" s="2"/>
      <c r="E63" s="355" t="str">
        <f>'Reference Score Calculation'!F40</f>
        <v>3C2X</v>
      </c>
      <c r="F63" s="354"/>
      <c r="G63" s="16" t="str">
        <f>入學要求!AB49</f>
        <v>v</v>
      </c>
      <c r="H63" s="16" t="str">
        <f>入學要求!AC49</f>
        <v>E</v>
      </c>
      <c r="I63" s="16" t="str">
        <f>入學要求!AD49</f>
        <v>NO</v>
      </c>
      <c r="J63" s="117">
        <f t="shared" si="34"/>
        <v>2.8000000000000003E-9</v>
      </c>
      <c r="K63" s="120">
        <v>1</v>
      </c>
      <c r="L63" s="120">
        <v>2</v>
      </c>
      <c r="M63" s="120">
        <v>2</v>
      </c>
      <c r="N63" s="120"/>
      <c r="O63" s="120">
        <v>1</v>
      </c>
      <c r="P63" s="120">
        <v>1</v>
      </c>
      <c r="Q63" s="120">
        <v>1</v>
      </c>
      <c r="R63" s="120">
        <v>1</v>
      </c>
      <c r="S63" s="120">
        <v>1</v>
      </c>
      <c r="T63" s="120">
        <v>1</v>
      </c>
      <c r="V63" s="117">
        <f t="shared" si="66"/>
        <v>1E-10</v>
      </c>
      <c r="W63" s="117">
        <f t="shared" si="67"/>
        <v>4.0000000000000001E-10</v>
      </c>
      <c r="X63" s="117">
        <f t="shared" si="68"/>
        <v>6E-10</v>
      </c>
      <c r="Z63" s="117">
        <f t="shared" si="111"/>
        <v>5.0000000000000003E-10</v>
      </c>
      <c r="AA63" s="117">
        <f t="shared" si="112"/>
        <v>6E-10</v>
      </c>
      <c r="AB63" s="117">
        <f t="shared" si="113"/>
        <v>6.9999999999999996E-10</v>
      </c>
      <c r="AC63" s="117">
        <f t="shared" si="114"/>
        <v>8.0000000000000003E-10</v>
      </c>
      <c r="AD63" s="117">
        <f t="shared" si="115"/>
        <v>8.9999999999999999E-10</v>
      </c>
      <c r="AE63" s="117">
        <f t="shared" si="116"/>
        <v>0</v>
      </c>
      <c r="AF63" s="117">
        <f t="shared" si="44"/>
        <v>1E-10</v>
      </c>
      <c r="AG63" s="117">
        <f t="shared" si="45"/>
        <v>4.0000000000000001E-10</v>
      </c>
      <c r="AH63" s="117">
        <f t="shared" si="46"/>
        <v>6E-10</v>
      </c>
      <c r="AI63" s="117">
        <f t="shared" si="47"/>
        <v>0</v>
      </c>
      <c r="AJ63" s="117">
        <f t="shared" si="48"/>
        <v>5.0000000000000003E-10</v>
      </c>
      <c r="AK63" s="117">
        <f t="shared" si="49"/>
        <v>6E-10</v>
      </c>
      <c r="AL63" s="117">
        <f t="shared" si="50"/>
        <v>6.9999999999999996E-10</v>
      </c>
      <c r="AM63" s="117">
        <f t="shared" si="51"/>
        <v>8.0000000000000003E-10</v>
      </c>
      <c r="AN63" s="117">
        <f t="shared" si="52"/>
        <v>8.9999999999999999E-10</v>
      </c>
      <c r="AO63" s="117">
        <f t="shared" si="53"/>
        <v>0</v>
      </c>
      <c r="AP63" s="117" t="b">
        <f t="shared" si="117"/>
        <v>1</v>
      </c>
      <c r="AQ63" s="117" t="b">
        <f t="shared" si="117"/>
        <v>1</v>
      </c>
      <c r="AR63" s="117" t="b">
        <f t="shared" si="117"/>
        <v>1</v>
      </c>
      <c r="AT63" s="437" t="b">
        <f t="shared" si="118"/>
        <v>0</v>
      </c>
      <c r="AU63" s="437" t="b">
        <f t="shared" si="118"/>
        <v>0</v>
      </c>
      <c r="AV63" s="437" t="b">
        <f t="shared" si="118"/>
        <v>0</v>
      </c>
      <c r="AW63" s="437" t="b">
        <f t="shared" si="118"/>
        <v>1</v>
      </c>
      <c r="AX63" s="437" t="b">
        <f t="shared" si="118"/>
        <v>1</v>
      </c>
      <c r="AY63" s="437" t="b">
        <f t="shared" si="118"/>
        <v>0</v>
      </c>
      <c r="BA63" s="2" t="str">
        <f>'Reference Score Calculation'!N40</f>
        <v>/</v>
      </c>
      <c r="BB63" s="2" t="str">
        <f>'Reference Score Calculation'!O40</f>
        <v>/</v>
      </c>
      <c r="BC63" s="2"/>
      <c r="BD63" s="2"/>
      <c r="BE63" s="2"/>
      <c r="BF63" s="2"/>
      <c r="BG63" s="2"/>
      <c r="BH63" s="85"/>
      <c r="BI63" s="85"/>
      <c r="BJ63" s="85"/>
      <c r="BK63" s="85"/>
      <c r="BL63" s="85"/>
      <c r="BM63" s="85"/>
      <c r="BN63" s="85"/>
      <c r="BO63" s="85"/>
      <c r="BP63" s="85"/>
      <c r="BQ63" s="85"/>
      <c r="BR63" s="2" t="s">
        <v>64</v>
      </c>
      <c r="BS63" s="217"/>
      <c r="BT63" s="217"/>
      <c r="BU63" s="217"/>
      <c r="BV63" s="217"/>
      <c r="BW63" s="217"/>
      <c r="BX63" s="217"/>
      <c r="BY63" s="217"/>
      <c r="BZ63" s="217"/>
      <c r="CA63" s="217"/>
      <c r="CB63" s="217"/>
      <c r="CC63" s="217"/>
      <c r="CD63" s="217"/>
    </row>
    <row r="64" spans="1:101">
      <c r="A64" s="117" t="s">
        <v>815</v>
      </c>
      <c r="B64" s="117" t="str">
        <f>'Reference Score Calculation'!B41</f>
        <v>JS1074</v>
      </c>
      <c r="C64" s="117" t="str">
        <f>'Reference Score Calculation'!E41</f>
        <v>理學士(數據與系統工程) (特點: 數據科學 / 金融科技 / 工業人工智能 / 智慧城市 / 物聯網)</v>
      </c>
      <c r="D64" s="2"/>
      <c r="E64" s="355" t="str">
        <f>'Reference Score Calculation'!F41</f>
        <v>3C2X</v>
      </c>
      <c r="F64" s="354"/>
      <c r="G64" s="16" t="str">
        <f>入學要求!AB50</f>
        <v>v</v>
      </c>
      <c r="H64" s="16" t="str">
        <f>入學要求!AC50</f>
        <v>E</v>
      </c>
      <c r="I64" s="16" t="str">
        <f>入學要求!AD50</f>
        <v>NO</v>
      </c>
      <c r="J64" s="117">
        <f t="shared" si="34"/>
        <v>2.8000000000000003E-9</v>
      </c>
      <c r="K64" s="120">
        <v>1</v>
      </c>
      <c r="L64" s="120">
        <v>2</v>
      </c>
      <c r="M64" s="120">
        <v>2</v>
      </c>
      <c r="N64" s="120"/>
      <c r="O64" s="120">
        <v>1</v>
      </c>
      <c r="P64" s="120">
        <v>1</v>
      </c>
      <c r="Q64" s="120">
        <v>1</v>
      </c>
      <c r="R64" s="120">
        <v>1</v>
      </c>
      <c r="S64" s="120">
        <v>1</v>
      </c>
      <c r="T64" s="120">
        <v>1</v>
      </c>
      <c r="V64" s="117">
        <f t="shared" si="66"/>
        <v>1E-10</v>
      </c>
      <c r="W64" s="117">
        <f t="shared" si="67"/>
        <v>4.0000000000000001E-10</v>
      </c>
      <c r="X64" s="117">
        <f t="shared" si="68"/>
        <v>6E-10</v>
      </c>
      <c r="Z64" s="117">
        <f t="shared" si="111"/>
        <v>5.0000000000000003E-10</v>
      </c>
      <c r="AA64" s="117">
        <f t="shared" si="112"/>
        <v>6E-10</v>
      </c>
      <c r="AB64" s="117">
        <f t="shared" si="113"/>
        <v>6.9999999999999996E-10</v>
      </c>
      <c r="AC64" s="117">
        <f t="shared" si="114"/>
        <v>8.0000000000000003E-10</v>
      </c>
      <c r="AD64" s="117">
        <f t="shared" si="115"/>
        <v>8.9999999999999999E-10</v>
      </c>
      <c r="AE64" s="117">
        <f t="shared" si="116"/>
        <v>0</v>
      </c>
      <c r="AF64" s="117">
        <f t="shared" si="44"/>
        <v>1E-10</v>
      </c>
      <c r="AG64" s="117">
        <f t="shared" si="45"/>
        <v>4.0000000000000001E-10</v>
      </c>
      <c r="AH64" s="117">
        <f t="shared" si="46"/>
        <v>6E-10</v>
      </c>
      <c r="AI64" s="117">
        <f t="shared" si="47"/>
        <v>0</v>
      </c>
      <c r="AJ64" s="117">
        <f t="shared" si="48"/>
        <v>5.0000000000000003E-10</v>
      </c>
      <c r="AK64" s="117">
        <f t="shared" si="49"/>
        <v>6E-10</v>
      </c>
      <c r="AL64" s="117">
        <f t="shared" si="50"/>
        <v>6.9999999999999996E-10</v>
      </c>
      <c r="AM64" s="117">
        <f t="shared" si="51"/>
        <v>8.0000000000000003E-10</v>
      </c>
      <c r="AN64" s="117">
        <f t="shared" si="52"/>
        <v>8.9999999999999999E-10</v>
      </c>
      <c r="AO64" s="117">
        <f t="shared" si="53"/>
        <v>0</v>
      </c>
      <c r="AP64" s="117" t="b">
        <f t="shared" si="117"/>
        <v>1</v>
      </c>
      <c r="AQ64" s="117" t="b">
        <f t="shared" si="117"/>
        <v>1</v>
      </c>
      <c r="AR64" s="117" t="b">
        <f t="shared" si="117"/>
        <v>1</v>
      </c>
      <c r="AT64" s="437" t="b">
        <f t="shared" si="118"/>
        <v>0</v>
      </c>
      <c r="AU64" s="437" t="b">
        <f t="shared" si="118"/>
        <v>0</v>
      </c>
      <c r="AV64" s="437" t="b">
        <f t="shared" si="118"/>
        <v>0</v>
      </c>
      <c r="AW64" s="437" t="b">
        <f t="shared" si="118"/>
        <v>1</v>
      </c>
      <c r="AX64" s="437" t="b">
        <f t="shared" si="118"/>
        <v>1</v>
      </c>
      <c r="AY64" s="437" t="b">
        <f t="shared" si="118"/>
        <v>0</v>
      </c>
      <c r="BA64" s="2" t="str">
        <f>'Reference Score Calculation'!N41</f>
        <v>/</v>
      </c>
      <c r="BB64" s="2" t="str">
        <f>'Reference Score Calculation'!O41</f>
        <v>/</v>
      </c>
      <c r="BC64" s="2"/>
      <c r="BD64" s="2"/>
      <c r="BE64" s="2"/>
      <c r="BF64" s="2"/>
      <c r="BG64" s="2"/>
      <c r="BH64" s="85"/>
      <c r="BI64" s="85"/>
      <c r="BJ64" s="85"/>
      <c r="BK64" s="85"/>
      <c r="BL64" s="85"/>
      <c r="BM64" s="85"/>
      <c r="BN64" s="85"/>
      <c r="BO64" s="85"/>
      <c r="BP64" s="85"/>
      <c r="BQ64" s="85"/>
      <c r="BR64" s="2" t="s">
        <v>64</v>
      </c>
      <c r="BS64" s="220"/>
      <c r="BT64" s="220" t="str">
        <f>P1</f>
        <v>請選擇第一選修科</v>
      </c>
      <c r="BU64" s="220" t="str">
        <f>Q1</f>
        <v>請選擇第二選修科</v>
      </c>
      <c r="BV64" s="220" t="str">
        <f>R1</f>
        <v>請選擇第三選修科</v>
      </c>
      <c r="BW64" s="220" t="str">
        <f>S1</f>
        <v>請選擇第四選修科</v>
      </c>
      <c r="BX64" s="220" t="str">
        <f>O1</f>
        <v>數學延伸</v>
      </c>
      <c r="BY64" s="220"/>
      <c r="BZ64" s="220" t="s">
        <v>278</v>
      </c>
      <c r="CA64" s="220"/>
      <c r="CB64" s="220"/>
      <c r="CC64" s="220"/>
      <c r="CD64" s="220"/>
    </row>
    <row r="65" spans="1:101">
      <c r="A65" s="117" t="s">
        <v>2582</v>
      </c>
      <c r="B65" s="117" t="str">
        <f>'Reference Score Calculation'!B42</f>
        <v>JS1100</v>
      </c>
      <c r="C65" s="117" t="str">
        <f>'Reference Score Calculation'!E42</f>
        <v>社會科學學士(心理學) (專修: 康健與關懷管理課程)</v>
      </c>
      <c r="D65" s="2"/>
      <c r="E65" s="355" t="str">
        <f>'Reference Score Calculation'!F42</f>
        <v>25年新科目</v>
      </c>
      <c r="G65" s="16" t="str">
        <f>入學要求!AB51</f>
        <v>v</v>
      </c>
      <c r="H65" s="16" t="str">
        <f>入學要求!AC51</f>
        <v>E</v>
      </c>
      <c r="I65" s="16" t="str">
        <f>入學要求!AD51</f>
        <v>NO</v>
      </c>
      <c r="J65" s="117">
        <f t="shared" si="34"/>
        <v>3.0000000000000004E-9</v>
      </c>
      <c r="K65" s="117">
        <v>1</v>
      </c>
      <c r="L65" s="117">
        <v>2</v>
      </c>
      <c r="M65" s="117">
        <v>1</v>
      </c>
      <c r="O65" s="117">
        <v>1</v>
      </c>
      <c r="P65" s="117">
        <v>1</v>
      </c>
      <c r="Q65" s="117">
        <v>1</v>
      </c>
      <c r="R65" s="117">
        <v>1</v>
      </c>
      <c r="S65" s="117">
        <v>1</v>
      </c>
      <c r="T65" s="117">
        <v>1</v>
      </c>
      <c r="V65" s="117">
        <f t="shared" si="66"/>
        <v>1E-10</v>
      </c>
      <c r="W65" s="117">
        <f t="shared" si="67"/>
        <v>4.0000000000000001E-10</v>
      </c>
      <c r="X65" s="117">
        <f t="shared" si="68"/>
        <v>3E-10</v>
      </c>
      <c r="Z65" s="117">
        <f t="shared" si="111"/>
        <v>5.0000000000000003E-10</v>
      </c>
      <c r="AA65" s="117">
        <f t="shared" si="112"/>
        <v>6E-10</v>
      </c>
      <c r="AB65" s="117">
        <f t="shared" si="113"/>
        <v>6.9999999999999996E-10</v>
      </c>
      <c r="AC65" s="117">
        <f t="shared" si="114"/>
        <v>8.0000000000000003E-10</v>
      </c>
      <c r="AD65" s="117">
        <f t="shared" si="115"/>
        <v>8.9999999999999999E-10</v>
      </c>
      <c r="AE65" s="117">
        <f t="shared" si="116"/>
        <v>0</v>
      </c>
      <c r="AF65" s="117">
        <f t="shared" si="44"/>
        <v>1E-10</v>
      </c>
      <c r="AG65" s="117">
        <f t="shared" si="45"/>
        <v>4.0000000000000001E-10</v>
      </c>
      <c r="AH65" s="117">
        <f t="shared" si="46"/>
        <v>3E-10</v>
      </c>
      <c r="AI65" s="117">
        <f t="shared" si="47"/>
        <v>0</v>
      </c>
      <c r="AJ65" s="117">
        <f t="shared" si="48"/>
        <v>5.0000000000000003E-10</v>
      </c>
      <c r="AK65" s="117">
        <f t="shared" si="49"/>
        <v>6E-10</v>
      </c>
      <c r="AL65" s="117">
        <f t="shared" si="50"/>
        <v>6.9999999999999996E-10</v>
      </c>
      <c r="AM65" s="117">
        <f t="shared" si="51"/>
        <v>8.0000000000000003E-10</v>
      </c>
      <c r="AN65" s="117">
        <f t="shared" si="52"/>
        <v>8.9999999999999999E-10</v>
      </c>
      <c r="AO65" s="117">
        <f t="shared" si="53"/>
        <v>0</v>
      </c>
      <c r="AP65" s="117" t="b">
        <f>IF(AF65&gt;LARGE($AF65:$AO65,5),TRUE)</f>
        <v>0</v>
      </c>
      <c r="AQ65" s="117" t="b">
        <f t="shared" ref="AQ65:AY65" si="119">IF(AG65&gt;LARGE($AF65:$AO65,5),TRUE)</f>
        <v>0</v>
      </c>
      <c r="AR65" s="117" t="b">
        <f t="shared" si="119"/>
        <v>0</v>
      </c>
      <c r="AS65" s="117" t="b">
        <f t="shared" si="119"/>
        <v>0</v>
      </c>
      <c r="AT65" s="117" t="b">
        <f t="shared" si="119"/>
        <v>0</v>
      </c>
      <c r="AU65" s="117" t="b">
        <f t="shared" si="119"/>
        <v>1</v>
      </c>
      <c r="AV65" s="117" t="b">
        <f t="shared" si="119"/>
        <v>1</v>
      </c>
      <c r="AW65" s="117" t="b">
        <f t="shared" si="119"/>
        <v>1</v>
      </c>
      <c r="AX65" s="117" t="b">
        <f t="shared" si="119"/>
        <v>1</v>
      </c>
      <c r="AY65" s="117" t="b">
        <f t="shared" si="119"/>
        <v>0</v>
      </c>
      <c r="BA65" s="2" t="str">
        <f>'Reference Score Calculation'!N42</f>
        <v>/</v>
      </c>
      <c r="BB65" s="2" t="str">
        <f>'Reference Score Calculation'!O42</f>
        <v>/</v>
      </c>
      <c r="BC65" s="2"/>
      <c r="BD65" s="2"/>
      <c r="BE65" s="2"/>
      <c r="BF65" s="2"/>
      <c r="BG65" s="2"/>
      <c r="BH65" s="85"/>
      <c r="BI65" s="85"/>
      <c r="BJ65" s="85"/>
      <c r="BK65" s="85"/>
      <c r="BL65" s="85"/>
      <c r="BM65" s="85"/>
      <c r="BN65" s="85"/>
      <c r="BO65" s="85"/>
      <c r="BP65" s="85"/>
      <c r="BQ65" s="85"/>
      <c r="BR65" s="2" t="s">
        <v>64</v>
      </c>
      <c r="BS65" s="221" t="s">
        <v>279</v>
      </c>
      <c r="BT65" s="223">
        <f>IF(OR(P1="化學",P1="生物",P1="資訊及通訊科技",P1="物理"),P3,0)</f>
        <v>0</v>
      </c>
      <c r="BU65" s="223">
        <f>IF(OR(Q1="化學",Q1="生物",Q1="資訊及通訊科技",Q1="物理"),Q3,0)</f>
        <v>0</v>
      </c>
      <c r="BV65" s="223">
        <f>IF(OR(R1="化學",R1="生物",R1="資訊及通訊科技",R1="物理"),R3,0)</f>
        <v>0</v>
      </c>
      <c r="BW65" s="223">
        <f>IF(OR(S1="化學",S1="生物",S1="資訊及通訊科技",S1="物理"),S3,0)</f>
        <v>0</v>
      </c>
      <c r="BX65" s="223">
        <f>O3</f>
        <v>5.0000000000000003E-10</v>
      </c>
      <c r="BY65" s="220"/>
      <c r="BZ65" s="223" t="str">
        <f>IF(CA65&gt;0,INDEX(BT64:BX64,MATCH(LARGE(BT65:BX65,1),BT65:BX65,0)),"無")</f>
        <v>數學延伸</v>
      </c>
      <c r="CA65" s="223">
        <f>LARGE((BT65:BX65),1)</f>
        <v>5.0000000000000003E-10</v>
      </c>
      <c r="CB65" s="220"/>
      <c r="CC65" s="220"/>
      <c r="CD65" s="220"/>
    </row>
    <row r="66" spans="1:101">
      <c r="A66" s="117" t="s">
        <v>818</v>
      </c>
      <c r="B66" s="117" t="str">
        <f>'Reference Score Calculation'!B43</f>
        <v>JS1102</v>
      </c>
      <c r="C66" s="117" t="str">
        <f>'Reference Score Calculation'!E43</f>
        <v>社會科學學士(國際關係及全球事務) (專修: 亞洲研究 / 國際研究 / 發展研究)</v>
      </c>
      <c r="D66" s="2"/>
      <c r="E66" s="355" t="str">
        <f>'Reference Score Calculation'!F43</f>
        <v>Best 5</v>
      </c>
      <c r="F66" s="356"/>
      <c r="G66" s="16" t="str">
        <f>入學要求!AB52</f>
        <v>v</v>
      </c>
      <c r="H66" s="16" t="str">
        <f>入學要求!AC52</f>
        <v>E</v>
      </c>
      <c r="I66" s="16" t="str">
        <f>入學要求!AD52</f>
        <v>NO</v>
      </c>
      <c r="J66" s="117">
        <f t="shared" si="34"/>
        <v>3.2999999999999998E-9</v>
      </c>
      <c r="K66" s="120">
        <v>1</v>
      </c>
      <c r="L66" s="120">
        <v>1.5</v>
      </c>
      <c r="M66" s="120">
        <v>1</v>
      </c>
      <c r="N66" s="120"/>
      <c r="O66" s="120">
        <v>1</v>
      </c>
      <c r="P66" s="120">
        <v>1</v>
      </c>
      <c r="Q66" s="120">
        <v>1</v>
      </c>
      <c r="R66" s="120">
        <v>1</v>
      </c>
      <c r="S66" s="120">
        <v>1</v>
      </c>
      <c r="T66" s="120">
        <v>1</v>
      </c>
      <c r="V66" s="117">
        <f t="shared" si="66"/>
        <v>1E-10</v>
      </c>
      <c r="W66" s="117">
        <f t="shared" si="67"/>
        <v>3E-10</v>
      </c>
      <c r="X66" s="117">
        <f t="shared" si="68"/>
        <v>3E-10</v>
      </c>
      <c r="Z66" s="117">
        <f t="shared" si="111"/>
        <v>5.0000000000000003E-10</v>
      </c>
      <c r="AA66" s="117">
        <f t="shared" si="112"/>
        <v>6E-10</v>
      </c>
      <c r="AB66" s="117">
        <f t="shared" si="113"/>
        <v>6.9999999999999996E-10</v>
      </c>
      <c r="AC66" s="117">
        <f t="shared" si="114"/>
        <v>8.0000000000000003E-10</v>
      </c>
      <c r="AD66" s="117">
        <f t="shared" si="115"/>
        <v>8.9999999999999999E-10</v>
      </c>
      <c r="AE66" s="117">
        <f t="shared" si="116"/>
        <v>0</v>
      </c>
      <c r="AF66" s="117">
        <f t="shared" si="44"/>
        <v>1E-10</v>
      </c>
      <c r="AG66" s="117">
        <f t="shared" si="45"/>
        <v>99.000000000300005</v>
      </c>
      <c r="AH66" s="117">
        <f t="shared" si="46"/>
        <v>3E-10</v>
      </c>
      <c r="AI66" s="117">
        <f t="shared" si="47"/>
        <v>0</v>
      </c>
      <c r="AJ66" s="117">
        <f t="shared" si="48"/>
        <v>5.0000000000000003E-10</v>
      </c>
      <c r="AK66" s="117">
        <f t="shared" si="49"/>
        <v>6E-10</v>
      </c>
      <c r="AL66" s="117">
        <f t="shared" si="50"/>
        <v>6.9999999999999996E-10</v>
      </c>
      <c r="AM66" s="117">
        <f t="shared" si="51"/>
        <v>8.0000000000000003E-10</v>
      </c>
      <c r="AN66" s="117">
        <f t="shared" si="52"/>
        <v>8.9999999999999999E-10</v>
      </c>
      <c r="AO66" s="117">
        <f t="shared" si="53"/>
        <v>0</v>
      </c>
      <c r="AP66" s="117" t="b">
        <f t="shared" ref="AP66:AP87" si="120">IF(BH66=TRUE,TRUE,IF($E66="3C2X",TRUE,IF($E66="Best 5",IF(AF66&gt;LARGE($AF66:$AO66,6),TRUE),IF($E66="Best 4",IF(AF66&gt;LARGE($AF66:$AO66,5),TRUE)))))</f>
        <v>0</v>
      </c>
      <c r="AQ66" s="117" t="b">
        <f t="shared" ref="AQ66:AQ87" si="121">IF(BI66=TRUE,TRUE,IF($E66="3C2X",TRUE,IF($E66="Best 5",IF(AG66&gt;LARGE($AF66:$AO66,6),TRUE),IF($E66="Best 4",IF(AG66&gt;LARGE($AF66:$AO66,5),TRUE)))))</f>
        <v>1</v>
      </c>
      <c r="AR66" s="117" t="b">
        <f t="shared" ref="AR66:AR87" si="122">IF(BJ66=TRUE,TRUE,IF($E66="3C2X",TRUE,IF($E66="Best 5",IF(AH66&gt;LARGE($AF66:$AO66,6),TRUE),IF($E66="Best 4",IF(AH66&gt;LARGE($AF66:$AO66,5),TRUE)))))</f>
        <v>0</v>
      </c>
      <c r="AS66" s="140"/>
      <c r="AT66" s="437" t="b">
        <f t="shared" ref="AT66:AT87" si="123">IF(BL66=TRUE,TRUE,IF($E66="3C2X",IF(AJ66&gt;LARGE($AJ66:$AO66,3),TRUE),IF($E66="Best 4",IF(AJ66&gt;LARGE($AF66:$AO66,5),TRUE),IF($E66="Best 5",IF(AJ66&gt;LARGE($AF66:$AO66,6),TRUE)))))</f>
        <v>0</v>
      </c>
      <c r="AU66" s="437" t="b">
        <f t="shared" ref="AU66:AU87" si="124">IF(BM66=TRUE,TRUE,IF($E66="3C2X",IF(AK66&gt;LARGE($AJ66:$AO66,3),TRUE),IF($E66="Best 4",IF(AK66&gt;LARGE($AF66:$AO66,5),TRUE),IF($E66="Best 5",IF(AK66&gt;LARGE($AF66:$AO66,6),TRUE)))))</f>
        <v>1</v>
      </c>
      <c r="AV66" s="437" t="b">
        <f t="shared" ref="AV66:AV87" si="125">IF(BN66=TRUE,TRUE,IF($E66="3C2X",IF(AL66&gt;LARGE($AJ66:$AO66,3),TRUE),IF($E66="Best 4",IF(AL66&gt;LARGE($AF66:$AO66,5),TRUE),IF($E66="Best 5",IF(AL66&gt;LARGE($AF66:$AO66,6),TRUE)))))</f>
        <v>1</v>
      </c>
      <c r="AW66" s="437" t="b">
        <f t="shared" ref="AW66:AW87" si="126">IF(BO66=TRUE,TRUE,IF($E66="3C2X",IF(AM66&gt;LARGE($AJ66:$AO66,3),TRUE),IF($E66="Best 4",IF(AM66&gt;LARGE($AF66:$AO66,5),TRUE),IF($E66="Best 5",IF(AM66&gt;LARGE($AF66:$AO66,6),TRUE)))))</f>
        <v>1</v>
      </c>
      <c r="AX66" s="437" t="b">
        <f t="shared" ref="AX66:AX87" si="127">IF(BP66=TRUE,TRUE,IF($E66="3C2X",IF(AN66&gt;LARGE($AJ66:$AO66,3),TRUE),IF($E66="Best 4",IF(AN66&gt;LARGE($AF66:$AO66,5),TRUE),IF($E66="Best 5",IF(AN66&gt;LARGE($AF66:$AO66,6),TRUE)))))</f>
        <v>1</v>
      </c>
      <c r="AY66" s="437" t="b">
        <f t="shared" ref="AY66:AY87" si="128">IF(BQ66=TRUE,TRUE,IF($E66="3C2X",IF(AO66&gt;LARGE($AJ66:$AO66,3),TRUE),IF($E66="Best 4",IF(AO66&gt;LARGE($AF66:$AO66,5),TRUE),IF($E66="Best 5",IF(AO66&gt;LARGE($AF66:$AO66,6),TRUE)))))</f>
        <v>0</v>
      </c>
      <c r="BA66" s="2" t="str">
        <f>'Reference Score Calculation'!N43</f>
        <v>最佳五科必須包括︰英文</v>
      </c>
      <c r="BB66" s="2" t="str">
        <f>'Reference Score Calculation'!O43</f>
        <v>/</v>
      </c>
      <c r="BC66" s="2"/>
      <c r="BD66" s="2"/>
      <c r="BE66" s="2"/>
      <c r="BF66" s="2"/>
      <c r="BG66" s="2"/>
      <c r="BH66" s="85"/>
      <c r="BI66" s="85" t="b">
        <v>1</v>
      </c>
      <c r="BJ66" s="85"/>
      <c r="BK66" s="85"/>
      <c r="BL66" s="85"/>
      <c r="BM66" s="85"/>
      <c r="BN66" s="85"/>
      <c r="BO66" s="85"/>
      <c r="BP66" s="85"/>
      <c r="BQ66" s="85"/>
      <c r="BR66" s="2" t="s">
        <v>64</v>
      </c>
      <c r="BS66" s="220"/>
      <c r="BT66" s="224" t="s">
        <v>2288</v>
      </c>
      <c r="BU66" s="220"/>
      <c r="BV66" s="220"/>
      <c r="BW66" s="220"/>
      <c r="BX66" s="220"/>
      <c r="BY66" s="220"/>
      <c r="BZ66" s="220"/>
      <c r="CA66" s="220"/>
      <c r="CB66" s="220"/>
      <c r="CC66" s="220"/>
      <c r="CD66" s="220"/>
    </row>
    <row r="67" spans="1:101">
      <c r="A67" s="117" t="s">
        <v>822</v>
      </c>
      <c r="B67" s="117" t="str">
        <f>'Reference Score Calculation'!B44</f>
        <v>JS1103</v>
      </c>
      <c r="C67" s="117" t="str">
        <f>'Reference Score Calculation'!E44</f>
        <v>文學士(中文及歷史) (專修: 中文 / 歷史及文化遺產)</v>
      </c>
      <c r="D67" s="2"/>
      <c r="E67" s="355" t="str">
        <f>'Reference Score Calculation'!F44</f>
        <v>3C2X</v>
      </c>
      <c r="F67" s="357"/>
      <c r="G67" s="16" t="str">
        <f>入學要求!AB53</f>
        <v>v</v>
      </c>
      <c r="H67" s="16" t="str">
        <f>入學要求!AC53</f>
        <v>E</v>
      </c>
      <c r="I67" s="16" t="str">
        <f>入學要求!AD53</f>
        <v>NO</v>
      </c>
      <c r="J67" s="117">
        <f t="shared" si="34"/>
        <v>2.6000000000000001E-9</v>
      </c>
      <c r="K67" s="120">
        <v>2</v>
      </c>
      <c r="L67" s="120">
        <v>2</v>
      </c>
      <c r="M67" s="120">
        <v>1</v>
      </c>
      <c r="N67" s="120"/>
      <c r="O67" s="120">
        <v>1</v>
      </c>
      <c r="P67" s="120">
        <f>IF(OR(P1="中國歷史",P1="中國文學",P1="歷史",P1="視覺藝術"),1.5,1)</f>
        <v>1</v>
      </c>
      <c r="Q67" s="120">
        <f>IF(OR(Q1="中國歷史",Q1="中國文學",Q1="歷史",Q1="視覺藝術"),1.5,1)</f>
        <v>1</v>
      </c>
      <c r="R67" s="120">
        <f>IF(OR(R1="中國歷史",R1="中國文學",R1="歷史",R1="視覺藝術"),1.5,1)</f>
        <v>1</v>
      </c>
      <c r="S67" s="120">
        <f>IF(OR(S1="中國歷史",S1="中國文學",S1="歷史",S1="視覺藝術"),1.5,1)</f>
        <v>1</v>
      </c>
      <c r="T67" s="120">
        <v>1</v>
      </c>
      <c r="V67" s="117">
        <f t="shared" si="66"/>
        <v>2.0000000000000001E-10</v>
      </c>
      <c r="W67" s="117">
        <f t="shared" si="67"/>
        <v>4.0000000000000001E-10</v>
      </c>
      <c r="X67" s="117">
        <f t="shared" si="68"/>
        <v>3E-10</v>
      </c>
      <c r="Z67" s="117">
        <f t="shared" si="111"/>
        <v>5.0000000000000003E-10</v>
      </c>
      <c r="AA67" s="117">
        <f t="shared" si="112"/>
        <v>6E-10</v>
      </c>
      <c r="AB67" s="117">
        <f t="shared" si="113"/>
        <v>6.9999999999999996E-10</v>
      </c>
      <c r="AC67" s="117">
        <f t="shared" si="114"/>
        <v>8.0000000000000003E-10</v>
      </c>
      <c r="AD67" s="117">
        <f t="shared" si="115"/>
        <v>8.9999999999999999E-10</v>
      </c>
      <c r="AE67" s="117">
        <f t="shared" si="116"/>
        <v>0</v>
      </c>
      <c r="AF67" s="117">
        <f t="shared" si="44"/>
        <v>2.0000000000000001E-10</v>
      </c>
      <c r="AG67" s="117">
        <f t="shared" si="45"/>
        <v>4.0000000000000001E-10</v>
      </c>
      <c r="AH67" s="117">
        <f t="shared" si="46"/>
        <v>3E-10</v>
      </c>
      <c r="AI67" s="117">
        <f t="shared" si="47"/>
        <v>0</v>
      </c>
      <c r="AJ67" s="117">
        <f t="shared" si="48"/>
        <v>5.0000000000000003E-10</v>
      </c>
      <c r="AK67" s="117">
        <f t="shared" si="49"/>
        <v>6E-10</v>
      </c>
      <c r="AL67" s="117">
        <f t="shared" si="50"/>
        <v>6.9999999999999996E-10</v>
      </c>
      <c r="AM67" s="117">
        <f t="shared" si="51"/>
        <v>8.0000000000000003E-10</v>
      </c>
      <c r="AN67" s="117">
        <f t="shared" si="52"/>
        <v>8.9999999999999999E-10</v>
      </c>
      <c r="AO67" s="117">
        <f t="shared" si="53"/>
        <v>0</v>
      </c>
      <c r="AP67" s="117" t="b">
        <f t="shared" si="120"/>
        <v>1</v>
      </c>
      <c r="AQ67" s="117" t="b">
        <f t="shared" si="121"/>
        <v>1</v>
      </c>
      <c r="AR67" s="117" t="b">
        <f t="shared" si="122"/>
        <v>1</v>
      </c>
      <c r="AT67" s="437" t="b">
        <f t="shared" si="123"/>
        <v>0</v>
      </c>
      <c r="AU67" s="437" t="b">
        <f t="shared" si="124"/>
        <v>0</v>
      </c>
      <c r="AV67" s="437" t="b">
        <f t="shared" si="125"/>
        <v>0</v>
      </c>
      <c r="AW67" s="437" t="b">
        <f t="shared" si="126"/>
        <v>1</v>
      </c>
      <c r="AX67" s="437" t="b">
        <f t="shared" si="127"/>
        <v>1</v>
      </c>
      <c r="AY67" s="437" t="b">
        <f t="shared" si="128"/>
        <v>0</v>
      </c>
      <c r="BA67" s="2" t="str">
        <f>'Reference Score Calculation'!N44</f>
        <v>/</v>
      </c>
      <c r="BB67" s="2" t="str">
        <f>'Reference Score Calculation'!O44</f>
        <v>/</v>
      </c>
      <c r="BC67" s="2"/>
      <c r="BD67" s="2"/>
      <c r="BE67" s="2"/>
      <c r="BF67" s="2"/>
      <c r="BG67" s="2"/>
      <c r="BH67" s="85"/>
      <c r="BI67" s="85"/>
      <c r="BJ67" s="85"/>
      <c r="BK67" s="85"/>
      <c r="BL67" s="85"/>
      <c r="BM67" s="85"/>
      <c r="BN67" s="85"/>
      <c r="BO67" s="85"/>
      <c r="BP67" s="85"/>
      <c r="BQ67" s="85"/>
      <c r="BR67" s="2" t="s">
        <v>64</v>
      </c>
      <c r="BS67" s="220"/>
      <c r="BT67" s="224"/>
      <c r="BU67" s="220"/>
      <c r="BV67" s="220"/>
      <c r="BW67" s="220"/>
      <c r="BX67" s="220"/>
      <c r="BY67" s="220"/>
      <c r="BZ67" s="220"/>
      <c r="CA67" s="220"/>
      <c r="CB67" s="220"/>
      <c r="CC67" s="220"/>
      <c r="CD67" s="220"/>
    </row>
    <row r="68" spans="1:101">
      <c r="A68" s="117" t="s">
        <v>826</v>
      </c>
      <c r="B68" s="117" t="str">
        <f>'Reference Score Calculation'!B45</f>
        <v>JS1104</v>
      </c>
      <c r="C68" s="117" t="str">
        <f>'Reference Score Calculation'!E45</f>
        <v>文學士(英語語言) (專修: 英語及專業傳意 / 語言及文學)</v>
      </c>
      <c r="D68" s="2"/>
      <c r="E68" s="355" t="str">
        <f>'Reference Score Calculation'!F45</f>
        <v>Best 5</v>
      </c>
      <c r="F68" s="357"/>
      <c r="G68" s="16" t="str">
        <f>入學要求!AB54</f>
        <v>v</v>
      </c>
      <c r="H68" s="16" t="str">
        <f>入學要求!AC54</f>
        <v>E</v>
      </c>
      <c r="I68" s="16" t="str">
        <f>入學要求!AD54</f>
        <v>NO</v>
      </c>
      <c r="J68" s="117">
        <f t="shared" ref="J68:J87" si="129">SUMIF(AP68:AY68,TRUE,V68:AE68)</f>
        <v>3.4999999999999999E-9</v>
      </c>
      <c r="K68" s="120">
        <v>1</v>
      </c>
      <c r="L68" s="120">
        <v>2.5</v>
      </c>
      <c r="M68" s="120">
        <v>1</v>
      </c>
      <c r="N68" s="120"/>
      <c r="O68" s="120">
        <v>1</v>
      </c>
      <c r="P68" s="120">
        <f>IF(P1="英國文學",1.5,1)</f>
        <v>1</v>
      </c>
      <c r="Q68" s="120">
        <f>IF(Q1="英國文學",1.5,1)</f>
        <v>1</v>
      </c>
      <c r="R68" s="120">
        <f>IF(R1="英國文學",1.5,1)</f>
        <v>1</v>
      </c>
      <c r="S68" s="120">
        <f>IF(S1="英國文學",1.5,1)</f>
        <v>1</v>
      </c>
      <c r="T68" s="120">
        <v>1</v>
      </c>
      <c r="V68" s="117">
        <f t="shared" si="66"/>
        <v>1E-10</v>
      </c>
      <c r="W68" s="117">
        <f t="shared" si="67"/>
        <v>5.0000000000000003E-10</v>
      </c>
      <c r="X68" s="117">
        <f t="shared" si="68"/>
        <v>3E-10</v>
      </c>
      <c r="Z68" s="117">
        <f t="shared" si="111"/>
        <v>5.0000000000000003E-10</v>
      </c>
      <c r="AA68" s="117">
        <f t="shared" si="112"/>
        <v>6E-10</v>
      </c>
      <c r="AB68" s="117">
        <f t="shared" si="113"/>
        <v>6.9999999999999996E-10</v>
      </c>
      <c r="AC68" s="117">
        <f t="shared" si="114"/>
        <v>8.0000000000000003E-10</v>
      </c>
      <c r="AD68" s="117">
        <f t="shared" si="115"/>
        <v>8.9999999999999999E-10</v>
      </c>
      <c r="AE68" s="117">
        <f t="shared" si="116"/>
        <v>0</v>
      </c>
      <c r="AF68" s="117">
        <f t="shared" ref="AF68:AF94" si="130">IF(BH68=TRUE,V68+99,V68)</f>
        <v>1E-10</v>
      </c>
      <c r="AG68" s="117">
        <f t="shared" ref="AG68:AG94" si="131">IF(BI68=TRUE,W68+99,W68)</f>
        <v>99.000000000499995</v>
      </c>
      <c r="AH68" s="117">
        <f t="shared" ref="AH68:AH94" si="132">IF(BJ68=TRUE,X68+99,X68)</f>
        <v>3E-10</v>
      </c>
      <c r="AI68" s="117">
        <f t="shared" ref="AI68:AI94" si="133">IF(BK68=TRUE,Y68+99,Y68)</f>
        <v>0</v>
      </c>
      <c r="AJ68" s="117">
        <f t="shared" ref="AJ68:AJ94" si="134">IF(BL68=TRUE,Z68+99,Z68)</f>
        <v>5.0000000000000003E-10</v>
      </c>
      <c r="AK68" s="117">
        <f t="shared" ref="AK68:AK94" si="135">IF(BM68=TRUE,AA68+99,AA68)</f>
        <v>6E-10</v>
      </c>
      <c r="AL68" s="117">
        <f t="shared" ref="AL68:AL94" si="136">IF(BN68=TRUE,AB68+99,AB68)</f>
        <v>6.9999999999999996E-10</v>
      </c>
      <c r="AM68" s="117">
        <f t="shared" ref="AM68:AM94" si="137">IF(BO68=TRUE,AC68+99,AC68)</f>
        <v>8.0000000000000003E-10</v>
      </c>
      <c r="AN68" s="117">
        <f t="shared" ref="AN68:AN94" si="138">IF(BP68=TRUE,AD68+99,AD68)</f>
        <v>8.9999999999999999E-10</v>
      </c>
      <c r="AO68" s="117">
        <f t="shared" ref="AO68:AO94" si="139">IF(BQ68=TRUE,AE68+99,AE68)</f>
        <v>0</v>
      </c>
      <c r="AP68" s="117" t="b">
        <f t="shared" si="120"/>
        <v>0</v>
      </c>
      <c r="AQ68" s="117" t="b">
        <f t="shared" si="121"/>
        <v>1</v>
      </c>
      <c r="AR68" s="117" t="b">
        <f t="shared" si="122"/>
        <v>0</v>
      </c>
      <c r="AS68" s="140"/>
      <c r="AT68" s="437" t="b">
        <f t="shared" si="123"/>
        <v>0</v>
      </c>
      <c r="AU68" s="437" t="b">
        <f t="shared" si="124"/>
        <v>1</v>
      </c>
      <c r="AV68" s="437" t="b">
        <f t="shared" si="125"/>
        <v>1</v>
      </c>
      <c r="AW68" s="437" t="b">
        <f t="shared" si="126"/>
        <v>1</v>
      </c>
      <c r="AX68" s="437" t="b">
        <f t="shared" si="127"/>
        <v>1</v>
      </c>
      <c r="AY68" s="437" t="b">
        <f t="shared" si="128"/>
        <v>0</v>
      </c>
      <c r="BA68" s="2" t="str">
        <f>'Reference Score Calculation'!N45</f>
        <v>最佳五科必須包括︰英文</v>
      </c>
      <c r="BB68" s="2" t="str">
        <f>'Reference Score Calculation'!O45</f>
        <v>/</v>
      </c>
      <c r="BC68" s="2"/>
      <c r="BD68" s="2"/>
      <c r="BE68" s="2"/>
      <c r="BF68" s="2"/>
      <c r="BG68" s="2"/>
      <c r="BH68" s="85"/>
      <c r="BI68" s="85" t="b">
        <v>1</v>
      </c>
      <c r="BJ68" s="85"/>
      <c r="BK68" s="85"/>
      <c r="BL68" s="85"/>
      <c r="BM68" s="85"/>
      <c r="BN68" s="85"/>
      <c r="BO68" s="85"/>
      <c r="BP68" s="85"/>
      <c r="BQ68" s="85"/>
      <c r="BR68" s="2" t="s">
        <v>64</v>
      </c>
      <c r="BS68" s="220"/>
      <c r="BT68" s="220" t="str">
        <f>K1</f>
        <v>中國語文</v>
      </c>
      <c r="BU68" s="220"/>
      <c r="BV68" s="220" t="str">
        <f t="shared" ref="BV68:CA68" si="140">O1</f>
        <v>數學延伸</v>
      </c>
      <c r="BW68" s="220" t="str">
        <f t="shared" si="140"/>
        <v>請選擇第一選修科</v>
      </c>
      <c r="BX68" s="220" t="str">
        <f t="shared" si="140"/>
        <v>請選擇第二選修科</v>
      </c>
      <c r="BY68" s="220" t="str">
        <f t="shared" si="140"/>
        <v>請選擇第三選修科</v>
      </c>
      <c r="BZ68" s="220" t="str">
        <f t="shared" si="140"/>
        <v>請選擇第四選修科</v>
      </c>
      <c r="CA68" s="220" t="str">
        <f t="shared" si="140"/>
        <v>請選擇語言科目</v>
      </c>
      <c r="CB68" s="220"/>
      <c r="CC68" s="220"/>
      <c r="CD68" s="220"/>
    </row>
    <row r="69" spans="1:101">
      <c r="A69" s="117" t="s">
        <v>830</v>
      </c>
      <c r="B69" s="117" t="str">
        <f>'Reference Score Calculation'!B46</f>
        <v>JS1106</v>
      </c>
      <c r="C69" s="117" t="str">
        <f>'Reference Score Calculation'!E46</f>
        <v>媒體與傳播 [主修: 文學士(數碼電視與廣播) / 文學士(媒體與傳播)]</v>
      </c>
      <c r="D69" s="2"/>
      <c r="E69" s="355" t="str">
        <f>'Reference Score Calculation'!F46</f>
        <v>Best 4</v>
      </c>
      <c r="F69" s="354"/>
      <c r="G69" s="16" t="str">
        <f>入學要求!AB55</f>
        <v>v</v>
      </c>
      <c r="H69" s="16" t="str">
        <f>入學要求!AC55</f>
        <v>E</v>
      </c>
      <c r="I69" s="16" t="str">
        <f>入學要求!AD55</f>
        <v>NO</v>
      </c>
      <c r="J69" s="117">
        <f t="shared" si="129"/>
        <v>2.6499999999999997E-9</v>
      </c>
      <c r="K69" s="120">
        <v>1.25</v>
      </c>
      <c r="L69" s="120">
        <v>1.25</v>
      </c>
      <c r="M69" s="120">
        <v>1</v>
      </c>
      <c r="N69" s="120"/>
      <c r="O69" s="120">
        <v>1</v>
      </c>
      <c r="P69" s="120">
        <v>1</v>
      </c>
      <c r="Q69" s="120">
        <v>1</v>
      </c>
      <c r="R69" s="120">
        <v>1</v>
      </c>
      <c r="S69" s="120">
        <v>1</v>
      </c>
      <c r="T69" s="120">
        <v>1</v>
      </c>
      <c r="V69" s="117">
        <f t="shared" si="66"/>
        <v>1.2500000000000001E-10</v>
      </c>
      <c r="W69" s="117">
        <f t="shared" si="67"/>
        <v>2.5000000000000002E-10</v>
      </c>
      <c r="X69" s="117">
        <f t="shared" si="68"/>
        <v>3E-10</v>
      </c>
      <c r="Z69" s="117">
        <f t="shared" si="111"/>
        <v>5.0000000000000003E-10</v>
      </c>
      <c r="AA69" s="117">
        <f t="shared" si="112"/>
        <v>6E-10</v>
      </c>
      <c r="AB69" s="117">
        <f t="shared" si="113"/>
        <v>6.9999999999999996E-10</v>
      </c>
      <c r="AC69" s="117">
        <f t="shared" si="114"/>
        <v>8.0000000000000003E-10</v>
      </c>
      <c r="AD69" s="117">
        <f t="shared" si="115"/>
        <v>8.9999999999999999E-10</v>
      </c>
      <c r="AE69" s="117">
        <f t="shared" si="116"/>
        <v>0</v>
      </c>
      <c r="AF69" s="117">
        <f t="shared" si="130"/>
        <v>1.2500000000000001E-10</v>
      </c>
      <c r="AG69" s="117">
        <f t="shared" si="131"/>
        <v>99.000000000249997</v>
      </c>
      <c r="AH69" s="117">
        <f t="shared" si="132"/>
        <v>3E-10</v>
      </c>
      <c r="AI69" s="117">
        <f t="shared" si="133"/>
        <v>0</v>
      </c>
      <c r="AJ69" s="117">
        <f t="shared" si="134"/>
        <v>5.0000000000000003E-10</v>
      </c>
      <c r="AK69" s="117">
        <f t="shared" si="135"/>
        <v>6E-10</v>
      </c>
      <c r="AL69" s="117">
        <f t="shared" si="136"/>
        <v>6.9999999999999996E-10</v>
      </c>
      <c r="AM69" s="117">
        <f t="shared" si="137"/>
        <v>8.0000000000000003E-10</v>
      </c>
      <c r="AN69" s="117">
        <f t="shared" si="138"/>
        <v>8.9999999999999999E-10</v>
      </c>
      <c r="AO69" s="117">
        <f t="shared" si="139"/>
        <v>0</v>
      </c>
      <c r="AP69" s="117" t="b">
        <f t="shared" si="120"/>
        <v>0</v>
      </c>
      <c r="AQ69" s="117" t="b">
        <f t="shared" si="121"/>
        <v>1</v>
      </c>
      <c r="AR69" s="117" t="b">
        <f t="shared" si="122"/>
        <v>0</v>
      </c>
      <c r="AS69" s="140"/>
      <c r="AT69" s="437" t="b">
        <f t="shared" si="123"/>
        <v>0</v>
      </c>
      <c r="AU69" s="437" t="b">
        <f t="shared" si="124"/>
        <v>0</v>
      </c>
      <c r="AV69" s="437" t="b">
        <f t="shared" si="125"/>
        <v>1</v>
      </c>
      <c r="AW69" s="437" t="b">
        <f t="shared" si="126"/>
        <v>1</v>
      </c>
      <c r="AX69" s="437" t="b">
        <f t="shared" si="127"/>
        <v>1</v>
      </c>
      <c r="AY69" s="437" t="b">
        <f t="shared" si="128"/>
        <v>0</v>
      </c>
      <c r="BA69" s="2" t="str">
        <f>'Reference Score Calculation'!N46</f>
        <v>最佳四科必須包括︰英文</v>
      </c>
      <c r="BB69" s="2" t="str">
        <f>'Reference Score Calculation'!O46</f>
        <v>/</v>
      </c>
      <c r="BC69" s="2"/>
      <c r="BD69" s="2"/>
      <c r="BE69" s="2"/>
      <c r="BF69" s="2"/>
      <c r="BG69" s="2"/>
      <c r="BH69" s="85"/>
      <c r="BI69" s="85" t="b">
        <v>1</v>
      </c>
      <c r="BJ69" s="85"/>
      <c r="BK69" s="85"/>
      <c r="BL69" s="85"/>
      <c r="BM69" s="85"/>
      <c r="BN69" s="85"/>
      <c r="BO69" s="85"/>
      <c r="BP69" s="85"/>
      <c r="BQ69" s="85"/>
      <c r="BR69" s="2" t="s">
        <v>64</v>
      </c>
      <c r="BS69" s="220"/>
      <c r="BT69" s="223">
        <f>K3</f>
        <v>1E-10</v>
      </c>
      <c r="BU69" s="220"/>
      <c r="BV69" s="223">
        <f>IF(BV68=$BZ$65,0,O3)</f>
        <v>0</v>
      </c>
      <c r="BW69" s="223">
        <f>IF(BW68=$BZ$65,0,P3)</f>
        <v>6E-10</v>
      </c>
      <c r="BX69" s="223">
        <f>IF(BX68=$BZ$65,0,Q3)</f>
        <v>6.9999999999999996E-10</v>
      </c>
      <c r="BY69" s="223">
        <f>IF(BY68=$BZ$65,0,R3)</f>
        <v>8.0000000000000003E-10</v>
      </c>
      <c r="BZ69" s="223">
        <f>IF(BZ68=$BZ$65,0,S3)</f>
        <v>8.9999999999999999E-10</v>
      </c>
      <c r="CA69" s="223">
        <f>T3</f>
        <v>0</v>
      </c>
      <c r="CB69" s="220"/>
      <c r="CC69" s="220"/>
      <c r="CD69" s="220"/>
    </row>
    <row r="70" spans="1:101">
      <c r="A70" s="117" t="s">
        <v>836</v>
      </c>
      <c r="B70" s="117" t="str">
        <f>'Reference Score Calculation'!B47</f>
        <v>JS1108</v>
      </c>
      <c r="C70" s="117" t="str">
        <f>'Reference Score Calculation'!E47</f>
        <v>社會科學學士(公共事務與管理) (專修: 公共事務與管冶 / 公共政策與管理)</v>
      </c>
      <c r="D70" s="2"/>
      <c r="E70" s="355" t="str">
        <f>'Reference Score Calculation'!F47</f>
        <v>3C2X</v>
      </c>
      <c r="F70" s="354"/>
      <c r="G70" s="16" t="str">
        <f>入學要求!AB56</f>
        <v>v</v>
      </c>
      <c r="H70" s="16" t="str">
        <f>入學要求!AC56</f>
        <v>E</v>
      </c>
      <c r="I70" s="16" t="str">
        <f>入學要求!AD56</f>
        <v>NO</v>
      </c>
      <c r="J70" s="117">
        <f t="shared" si="129"/>
        <v>2.4E-9</v>
      </c>
      <c r="K70" s="120">
        <v>1</v>
      </c>
      <c r="L70" s="120">
        <v>1.5</v>
      </c>
      <c r="M70" s="120">
        <v>1</v>
      </c>
      <c r="N70" s="120"/>
      <c r="O70" s="120">
        <v>1</v>
      </c>
      <c r="P70" s="120">
        <v>1</v>
      </c>
      <c r="Q70" s="120">
        <v>1</v>
      </c>
      <c r="R70" s="120">
        <v>1</v>
      </c>
      <c r="S70" s="120">
        <v>1</v>
      </c>
      <c r="T70" s="120">
        <v>1</v>
      </c>
      <c r="V70" s="117">
        <f t="shared" si="66"/>
        <v>1E-10</v>
      </c>
      <c r="W70" s="117">
        <f t="shared" si="67"/>
        <v>3E-10</v>
      </c>
      <c r="X70" s="117">
        <f t="shared" si="68"/>
        <v>3E-10</v>
      </c>
      <c r="Z70" s="117">
        <f t="shared" si="111"/>
        <v>5.0000000000000003E-10</v>
      </c>
      <c r="AA70" s="117">
        <f t="shared" si="112"/>
        <v>6E-10</v>
      </c>
      <c r="AB70" s="117">
        <f t="shared" si="113"/>
        <v>6.9999999999999996E-10</v>
      </c>
      <c r="AC70" s="117">
        <f t="shared" si="114"/>
        <v>8.0000000000000003E-10</v>
      </c>
      <c r="AD70" s="117">
        <f t="shared" si="115"/>
        <v>8.9999999999999999E-10</v>
      </c>
      <c r="AE70" s="117">
        <f t="shared" si="116"/>
        <v>0</v>
      </c>
      <c r="AF70" s="117">
        <f t="shared" si="130"/>
        <v>1E-10</v>
      </c>
      <c r="AG70" s="117">
        <f t="shared" si="131"/>
        <v>3E-10</v>
      </c>
      <c r="AH70" s="117">
        <f t="shared" si="132"/>
        <v>3E-10</v>
      </c>
      <c r="AI70" s="117">
        <f t="shared" si="133"/>
        <v>0</v>
      </c>
      <c r="AJ70" s="117">
        <f t="shared" si="134"/>
        <v>5.0000000000000003E-10</v>
      </c>
      <c r="AK70" s="117">
        <f t="shared" si="135"/>
        <v>6E-10</v>
      </c>
      <c r="AL70" s="117">
        <f t="shared" si="136"/>
        <v>6.9999999999999996E-10</v>
      </c>
      <c r="AM70" s="117">
        <f t="shared" si="137"/>
        <v>8.0000000000000003E-10</v>
      </c>
      <c r="AN70" s="117">
        <f t="shared" si="138"/>
        <v>8.9999999999999999E-10</v>
      </c>
      <c r="AO70" s="117">
        <f t="shared" si="139"/>
        <v>0</v>
      </c>
      <c r="AP70" s="117" t="b">
        <f t="shared" si="120"/>
        <v>1</v>
      </c>
      <c r="AQ70" s="117" t="b">
        <f t="shared" si="121"/>
        <v>1</v>
      </c>
      <c r="AR70" s="117" t="b">
        <f t="shared" si="122"/>
        <v>1</v>
      </c>
      <c r="AT70" s="437" t="b">
        <f t="shared" si="123"/>
        <v>0</v>
      </c>
      <c r="AU70" s="437" t="b">
        <f t="shared" si="124"/>
        <v>0</v>
      </c>
      <c r="AV70" s="437" t="b">
        <f t="shared" si="125"/>
        <v>0</v>
      </c>
      <c r="AW70" s="437" t="b">
        <f t="shared" si="126"/>
        <v>1</v>
      </c>
      <c r="AX70" s="437" t="b">
        <f t="shared" si="127"/>
        <v>1</v>
      </c>
      <c r="AY70" s="437" t="b">
        <f t="shared" si="128"/>
        <v>0</v>
      </c>
      <c r="BA70" s="2" t="str">
        <f>'Reference Score Calculation'!N47</f>
        <v>/</v>
      </c>
      <c r="BB70" s="2" t="str">
        <f>'Reference Score Calculation'!O47</f>
        <v>/</v>
      </c>
      <c r="BC70" s="2"/>
      <c r="BD70" s="2"/>
      <c r="BE70" s="2"/>
      <c r="BF70" s="2"/>
      <c r="BG70" s="2"/>
      <c r="BH70" s="85"/>
      <c r="BI70" s="85"/>
      <c r="BJ70" s="85"/>
      <c r="BK70" s="85"/>
      <c r="BL70" s="85"/>
      <c r="BM70" s="85"/>
      <c r="BN70" s="85"/>
      <c r="BO70" s="85"/>
      <c r="BP70" s="85"/>
      <c r="BQ70" s="85"/>
      <c r="BR70" s="2" t="s">
        <v>64</v>
      </c>
      <c r="BS70" s="220"/>
      <c r="BT70" s="228" t="b">
        <f>IF(BT69&gt;LARGE($BT$69:$CA$69,3),TRUE,FALSE)</f>
        <v>0</v>
      </c>
      <c r="BU70" s="220"/>
      <c r="BV70" s="228" t="b">
        <f t="shared" ref="BV70:CA70" si="141">IF(BV69&gt;LARGE($BT$69:$CA$69,3),TRUE,FALSE)</f>
        <v>0</v>
      </c>
      <c r="BW70" s="228" t="b">
        <f t="shared" si="141"/>
        <v>0</v>
      </c>
      <c r="BX70" s="228" t="b">
        <f t="shared" si="141"/>
        <v>0</v>
      </c>
      <c r="BY70" s="228" t="b">
        <f t="shared" si="141"/>
        <v>1</v>
      </c>
      <c r="BZ70" s="228" t="b">
        <f t="shared" si="141"/>
        <v>1</v>
      </c>
      <c r="CA70" s="228" t="b">
        <f t="shared" si="141"/>
        <v>0</v>
      </c>
      <c r="CB70" s="158"/>
      <c r="CC70" s="220"/>
      <c r="CD70" s="220"/>
    </row>
    <row r="71" spans="1:101">
      <c r="A71" s="117" t="s">
        <v>839</v>
      </c>
      <c r="B71" s="117" t="str">
        <f>'Reference Score Calculation'!B48</f>
        <v>JS1109</v>
      </c>
      <c r="C71" s="117" t="str">
        <f>'Reference Score Calculation'!E48</f>
        <v>文學士(語言學及語言應用) (特點: 語言學 / 語言應用 / 語言技術)</v>
      </c>
      <c r="D71" s="2"/>
      <c r="E71" s="355" t="str">
        <f>'Reference Score Calculation'!F48</f>
        <v>3C2X</v>
      </c>
      <c r="F71" s="354"/>
      <c r="G71" s="16" t="str">
        <f>入學要求!AB57</f>
        <v>v</v>
      </c>
      <c r="H71" s="16" t="str">
        <f>入學要求!AC57</f>
        <v>E</v>
      </c>
      <c r="I71" s="16" t="str">
        <f>入學要求!AD57</f>
        <v>NO</v>
      </c>
      <c r="J71" s="117">
        <f t="shared" si="129"/>
        <v>2.7000000000000002E-9</v>
      </c>
      <c r="K71" s="120">
        <v>1.5</v>
      </c>
      <c r="L71" s="120">
        <v>2</v>
      </c>
      <c r="M71" s="120">
        <v>1.5</v>
      </c>
      <c r="N71" s="120"/>
      <c r="O71" s="120">
        <v>1</v>
      </c>
      <c r="P71" s="120">
        <v>1</v>
      </c>
      <c r="Q71" s="120">
        <v>1</v>
      </c>
      <c r="R71" s="120">
        <v>1</v>
      </c>
      <c r="S71" s="120">
        <v>1</v>
      </c>
      <c r="T71" s="120">
        <v>1</v>
      </c>
      <c r="V71" s="117">
        <f t="shared" si="66"/>
        <v>1.5E-10</v>
      </c>
      <c r="W71" s="117">
        <f t="shared" si="67"/>
        <v>4.0000000000000001E-10</v>
      </c>
      <c r="X71" s="117">
        <f t="shared" si="68"/>
        <v>4.5E-10</v>
      </c>
      <c r="Z71" s="117">
        <f t="shared" si="111"/>
        <v>5.0000000000000003E-10</v>
      </c>
      <c r="AA71" s="117">
        <f t="shared" si="112"/>
        <v>6E-10</v>
      </c>
      <c r="AB71" s="117">
        <f t="shared" si="113"/>
        <v>6.9999999999999996E-10</v>
      </c>
      <c r="AC71" s="117">
        <f t="shared" si="114"/>
        <v>8.0000000000000003E-10</v>
      </c>
      <c r="AD71" s="117">
        <f t="shared" si="115"/>
        <v>8.9999999999999999E-10</v>
      </c>
      <c r="AE71" s="117">
        <f t="shared" si="116"/>
        <v>0</v>
      </c>
      <c r="AF71" s="117">
        <f t="shared" si="130"/>
        <v>1.5E-10</v>
      </c>
      <c r="AG71" s="117">
        <f t="shared" si="131"/>
        <v>4.0000000000000001E-10</v>
      </c>
      <c r="AH71" s="117">
        <f t="shared" si="132"/>
        <v>4.5E-10</v>
      </c>
      <c r="AI71" s="117">
        <f t="shared" si="133"/>
        <v>0</v>
      </c>
      <c r="AJ71" s="117">
        <f t="shared" si="134"/>
        <v>5.0000000000000003E-10</v>
      </c>
      <c r="AK71" s="117">
        <f t="shared" si="135"/>
        <v>6E-10</v>
      </c>
      <c r="AL71" s="117">
        <f t="shared" si="136"/>
        <v>6.9999999999999996E-10</v>
      </c>
      <c r="AM71" s="117">
        <f t="shared" si="137"/>
        <v>8.0000000000000003E-10</v>
      </c>
      <c r="AN71" s="117">
        <f t="shared" si="138"/>
        <v>8.9999999999999999E-10</v>
      </c>
      <c r="AO71" s="117">
        <f t="shared" si="139"/>
        <v>0</v>
      </c>
      <c r="AP71" s="117" t="b">
        <f t="shared" si="120"/>
        <v>1</v>
      </c>
      <c r="AQ71" s="117" t="b">
        <f t="shared" si="121"/>
        <v>1</v>
      </c>
      <c r="AR71" s="117" t="b">
        <f t="shared" si="122"/>
        <v>1</v>
      </c>
      <c r="AT71" s="437" t="b">
        <f t="shared" si="123"/>
        <v>0</v>
      </c>
      <c r="AU71" s="437" t="b">
        <f t="shared" si="124"/>
        <v>0</v>
      </c>
      <c r="AV71" s="437" t="b">
        <f t="shared" si="125"/>
        <v>0</v>
      </c>
      <c r="AW71" s="437" t="b">
        <f t="shared" si="126"/>
        <v>1</v>
      </c>
      <c r="AX71" s="437" t="b">
        <f t="shared" si="127"/>
        <v>1</v>
      </c>
      <c r="AY71" s="437" t="b">
        <f t="shared" si="128"/>
        <v>0</v>
      </c>
      <c r="BA71" s="2" t="str">
        <f>'Reference Score Calculation'!N48</f>
        <v>/</v>
      </c>
      <c r="BB71" s="2" t="str">
        <f>'Reference Score Calculation'!O48</f>
        <v>/</v>
      </c>
      <c r="BC71" s="2"/>
      <c r="BD71" s="2"/>
      <c r="BE71" s="2"/>
      <c r="BF71" s="2"/>
      <c r="BG71" s="2"/>
      <c r="BH71" s="85"/>
      <c r="BI71" s="85"/>
      <c r="BJ71" s="85"/>
      <c r="BK71" s="85"/>
      <c r="BL71" s="85"/>
      <c r="BM71" s="85"/>
      <c r="BN71" s="85"/>
      <c r="BO71" s="85"/>
      <c r="BP71" s="85"/>
      <c r="BQ71" s="85"/>
      <c r="BR71" s="2" t="s">
        <v>64</v>
      </c>
      <c r="BS71" s="220"/>
      <c r="BT71" s="220"/>
      <c r="BU71" s="220"/>
      <c r="BV71" s="220"/>
      <c r="BW71" s="220"/>
      <c r="BX71" s="220"/>
      <c r="BY71" s="220"/>
      <c r="BZ71" s="220"/>
      <c r="CA71" s="220"/>
      <c r="CB71" s="220"/>
      <c r="CC71" s="220"/>
      <c r="CD71" s="220"/>
      <c r="CG71" s="2"/>
      <c r="CH71" s="2"/>
      <c r="CI71" s="2"/>
      <c r="CJ71" s="2"/>
      <c r="CW71" s="2"/>
    </row>
    <row r="72" spans="1:101">
      <c r="A72" s="117" t="s">
        <v>849</v>
      </c>
      <c r="B72" s="117" t="str">
        <f>'Reference Score Calculation'!B49</f>
        <v>JS1111</v>
      </c>
      <c r="C72" s="117" t="str">
        <f>'Reference Score Calculation'!E49</f>
        <v>社會科學學士(犯罪學及社會學)</v>
      </c>
      <c r="D72" s="2"/>
      <c r="E72" s="355" t="str">
        <f>'Reference Score Calculation'!F49</f>
        <v>Best 4</v>
      </c>
      <c r="F72" s="354"/>
      <c r="G72" s="16" t="str">
        <f>入學要求!AB58</f>
        <v>v</v>
      </c>
      <c r="H72" s="16" t="str">
        <f>入學要求!AC58</f>
        <v>E</v>
      </c>
      <c r="I72" s="16" t="str">
        <f>入學要求!AD58</f>
        <v>NO</v>
      </c>
      <c r="J72" s="117">
        <f t="shared" si="129"/>
        <v>2.8000000000000003E-9</v>
      </c>
      <c r="K72" s="120">
        <v>1</v>
      </c>
      <c r="L72" s="120">
        <v>2</v>
      </c>
      <c r="M72" s="120">
        <v>1</v>
      </c>
      <c r="N72" s="120"/>
      <c r="O72" s="120">
        <v>1</v>
      </c>
      <c r="P72" s="120">
        <v>1</v>
      </c>
      <c r="Q72" s="120">
        <v>1</v>
      </c>
      <c r="R72" s="120">
        <v>1</v>
      </c>
      <c r="S72" s="120">
        <v>1</v>
      </c>
      <c r="T72" s="120">
        <v>1</v>
      </c>
      <c r="V72" s="117">
        <f t="shared" si="66"/>
        <v>1E-10</v>
      </c>
      <c r="W72" s="117">
        <f t="shared" si="67"/>
        <v>4.0000000000000001E-10</v>
      </c>
      <c r="X72" s="117">
        <f t="shared" si="68"/>
        <v>3E-10</v>
      </c>
      <c r="Z72" s="117">
        <f t="shared" si="111"/>
        <v>5.0000000000000003E-10</v>
      </c>
      <c r="AA72" s="117">
        <f t="shared" si="112"/>
        <v>6E-10</v>
      </c>
      <c r="AB72" s="117">
        <f t="shared" si="113"/>
        <v>6.9999999999999996E-10</v>
      </c>
      <c r="AC72" s="117">
        <f t="shared" si="114"/>
        <v>8.0000000000000003E-10</v>
      </c>
      <c r="AD72" s="117">
        <f t="shared" si="115"/>
        <v>8.9999999999999999E-10</v>
      </c>
      <c r="AE72" s="117">
        <f t="shared" si="116"/>
        <v>0</v>
      </c>
      <c r="AF72" s="117">
        <f t="shared" si="130"/>
        <v>1E-10</v>
      </c>
      <c r="AG72" s="117">
        <f t="shared" si="131"/>
        <v>99.000000000399993</v>
      </c>
      <c r="AH72" s="117">
        <f t="shared" si="132"/>
        <v>3E-10</v>
      </c>
      <c r="AI72" s="117">
        <f t="shared" si="133"/>
        <v>0</v>
      </c>
      <c r="AJ72" s="117">
        <f t="shared" si="134"/>
        <v>5.0000000000000003E-10</v>
      </c>
      <c r="AK72" s="117">
        <f t="shared" si="135"/>
        <v>6E-10</v>
      </c>
      <c r="AL72" s="117">
        <f t="shared" si="136"/>
        <v>6.9999999999999996E-10</v>
      </c>
      <c r="AM72" s="117">
        <f t="shared" si="137"/>
        <v>8.0000000000000003E-10</v>
      </c>
      <c r="AN72" s="117">
        <f t="shared" si="138"/>
        <v>8.9999999999999999E-10</v>
      </c>
      <c r="AO72" s="117">
        <f t="shared" si="139"/>
        <v>0</v>
      </c>
      <c r="AP72" s="117" t="b">
        <f t="shared" si="120"/>
        <v>0</v>
      </c>
      <c r="AQ72" s="117" t="b">
        <f t="shared" si="121"/>
        <v>1</v>
      </c>
      <c r="AR72" s="117" t="b">
        <f t="shared" si="122"/>
        <v>0</v>
      </c>
      <c r="AS72" s="140"/>
      <c r="AT72" s="437" t="b">
        <f t="shared" si="123"/>
        <v>0</v>
      </c>
      <c r="AU72" s="437" t="b">
        <f t="shared" si="124"/>
        <v>0</v>
      </c>
      <c r="AV72" s="437" t="b">
        <f t="shared" si="125"/>
        <v>1</v>
      </c>
      <c r="AW72" s="437" t="b">
        <f t="shared" si="126"/>
        <v>1</v>
      </c>
      <c r="AX72" s="437" t="b">
        <f t="shared" si="127"/>
        <v>1</v>
      </c>
      <c r="AY72" s="437" t="b">
        <f t="shared" si="128"/>
        <v>0</v>
      </c>
      <c r="BA72" s="2" t="str">
        <f>'Reference Score Calculation'!N49</f>
        <v>最佳四科必須包括︰英文</v>
      </c>
      <c r="BB72" s="2" t="str">
        <f>'Reference Score Calculation'!O49</f>
        <v>/</v>
      </c>
      <c r="BC72" s="2"/>
      <c r="BD72" s="2"/>
      <c r="BE72" s="2"/>
      <c r="BF72" s="2"/>
      <c r="BG72" s="2"/>
      <c r="BH72" s="85"/>
      <c r="BI72" s="85" t="b">
        <v>1</v>
      </c>
      <c r="BJ72" s="85"/>
      <c r="BK72" s="85"/>
      <c r="BL72" s="85"/>
      <c r="BM72" s="85"/>
      <c r="BN72" s="85"/>
      <c r="BO72" s="85"/>
      <c r="BP72" s="85"/>
      <c r="BQ72" s="85"/>
      <c r="BR72" s="2" t="s">
        <v>64</v>
      </c>
      <c r="BS72" s="220"/>
      <c r="BT72" s="220" t="str">
        <f>P1</f>
        <v>請選擇第一選修科</v>
      </c>
      <c r="BU72" s="220" t="str">
        <f>Q1</f>
        <v>請選擇第二選修科</v>
      </c>
      <c r="BV72" s="220" t="str">
        <f>R1</f>
        <v>請選擇第三選修科</v>
      </c>
      <c r="BW72" s="220" t="str">
        <f>S1</f>
        <v>請選擇第四選修科</v>
      </c>
      <c r="BX72" s="220" t="str">
        <f>O1</f>
        <v>數學延伸</v>
      </c>
      <c r="BY72" s="220"/>
      <c r="BZ72" s="220" t="s">
        <v>278</v>
      </c>
      <c r="CA72" s="220"/>
      <c r="CB72" s="220"/>
      <c r="CC72" s="220"/>
      <c r="CD72" s="220"/>
      <c r="CG72" s="2"/>
      <c r="CH72" s="2"/>
      <c r="CI72" s="2"/>
      <c r="CJ72" s="2"/>
      <c r="CW72" s="2"/>
    </row>
    <row r="73" spans="1:101">
      <c r="A73" s="117" t="s">
        <v>852</v>
      </c>
      <c r="B73" s="117" t="str">
        <f>'Reference Score Calculation'!B50</f>
        <v>JS1112</v>
      </c>
      <c r="C73" s="117" t="str">
        <f>'Reference Score Calculation'!E50</f>
        <v>社會科學學士(心理學)</v>
      </c>
      <c r="D73" s="2"/>
      <c r="E73" s="355" t="str">
        <f>'Reference Score Calculation'!F50</f>
        <v>Best 4</v>
      </c>
      <c r="F73" s="354"/>
      <c r="G73" s="16" t="str">
        <f>入學要求!AB59</f>
        <v>v</v>
      </c>
      <c r="H73" s="16" t="str">
        <f>入學要求!AC59</f>
        <v>E</v>
      </c>
      <c r="I73" s="16" t="str">
        <f>入學要求!AD59</f>
        <v>NO</v>
      </c>
      <c r="J73" s="117">
        <f t="shared" si="129"/>
        <v>2.8000000000000003E-9</v>
      </c>
      <c r="K73" s="120">
        <v>1</v>
      </c>
      <c r="L73" s="120">
        <v>2</v>
      </c>
      <c r="M73" s="120">
        <v>1</v>
      </c>
      <c r="N73" s="120"/>
      <c r="O73" s="120">
        <v>1</v>
      </c>
      <c r="P73" s="120">
        <v>1</v>
      </c>
      <c r="Q73" s="120">
        <v>1</v>
      </c>
      <c r="R73" s="120">
        <v>1</v>
      </c>
      <c r="S73" s="120">
        <v>1</v>
      </c>
      <c r="T73" s="120">
        <v>1</v>
      </c>
      <c r="V73" s="117">
        <f t="shared" si="66"/>
        <v>1E-10</v>
      </c>
      <c r="W73" s="117">
        <f t="shared" si="67"/>
        <v>4.0000000000000001E-10</v>
      </c>
      <c r="X73" s="117">
        <f t="shared" si="68"/>
        <v>3E-10</v>
      </c>
      <c r="Z73" s="117">
        <f t="shared" si="111"/>
        <v>5.0000000000000003E-10</v>
      </c>
      <c r="AA73" s="117">
        <f t="shared" si="112"/>
        <v>6E-10</v>
      </c>
      <c r="AB73" s="117">
        <f t="shared" si="113"/>
        <v>6.9999999999999996E-10</v>
      </c>
      <c r="AC73" s="117">
        <f t="shared" si="114"/>
        <v>8.0000000000000003E-10</v>
      </c>
      <c r="AD73" s="117">
        <f t="shared" si="115"/>
        <v>8.9999999999999999E-10</v>
      </c>
      <c r="AE73" s="117">
        <f t="shared" si="116"/>
        <v>0</v>
      </c>
      <c r="AF73" s="117">
        <f t="shared" si="130"/>
        <v>1E-10</v>
      </c>
      <c r="AG73" s="117">
        <f t="shared" si="131"/>
        <v>99.000000000399993</v>
      </c>
      <c r="AH73" s="117">
        <f t="shared" si="132"/>
        <v>3E-10</v>
      </c>
      <c r="AI73" s="117">
        <f t="shared" si="133"/>
        <v>0</v>
      </c>
      <c r="AJ73" s="117">
        <f t="shared" si="134"/>
        <v>5.0000000000000003E-10</v>
      </c>
      <c r="AK73" s="117">
        <f t="shared" si="135"/>
        <v>6E-10</v>
      </c>
      <c r="AL73" s="117">
        <f t="shared" si="136"/>
        <v>6.9999999999999996E-10</v>
      </c>
      <c r="AM73" s="117">
        <f t="shared" si="137"/>
        <v>8.0000000000000003E-10</v>
      </c>
      <c r="AN73" s="117">
        <f t="shared" si="138"/>
        <v>8.9999999999999999E-10</v>
      </c>
      <c r="AO73" s="117">
        <f t="shared" si="139"/>
        <v>0</v>
      </c>
      <c r="AP73" s="117" t="b">
        <f t="shared" si="120"/>
        <v>0</v>
      </c>
      <c r="AQ73" s="117" t="b">
        <f t="shared" si="121"/>
        <v>1</v>
      </c>
      <c r="AR73" s="117" t="b">
        <f t="shared" si="122"/>
        <v>0</v>
      </c>
      <c r="AS73" s="140"/>
      <c r="AT73" s="437" t="b">
        <f t="shared" si="123"/>
        <v>0</v>
      </c>
      <c r="AU73" s="437" t="b">
        <f t="shared" si="124"/>
        <v>0</v>
      </c>
      <c r="AV73" s="437" t="b">
        <f t="shared" si="125"/>
        <v>1</v>
      </c>
      <c r="AW73" s="437" t="b">
        <f t="shared" si="126"/>
        <v>1</v>
      </c>
      <c r="AX73" s="437" t="b">
        <f t="shared" si="127"/>
        <v>1</v>
      </c>
      <c r="AY73" s="437" t="b">
        <f t="shared" si="128"/>
        <v>0</v>
      </c>
      <c r="BA73" s="2" t="str">
        <f>'Reference Score Calculation'!N50</f>
        <v>最佳四科必須包括︰英文</v>
      </c>
      <c r="BB73" s="2" t="str">
        <f>'Reference Score Calculation'!O50</f>
        <v>/</v>
      </c>
      <c r="BC73" s="2"/>
      <c r="BD73" s="2"/>
      <c r="BE73" s="2"/>
      <c r="BF73" s="2"/>
      <c r="BG73" s="2"/>
      <c r="BH73" s="85"/>
      <c r="BI73" s="85" t="b">
        <v>1</v>
      </c>
      <c r="BJ73" s="85"/>
      <c r="BK73" s="85"/>
      <c r="BL73" s="85"/>
      <c r="BM73" s="85"/>
      <c r="BN73" s="85"/>
      <c r="BO73" s="85"/>
      <c r="BP73" s="85"/>
      <c r="BQ73" s="85"/>
      <c r="BR73" s="2" t="s">
        <v>64</v>
      </c>
      <c r="BS73" s="221" t="s">
        <v>280</v>
      </c>
      <c r="BT73" s="223">
        <f>IF(OR(P1="化學",P1="生物",P1="組合科學(物理、化學)",P1="組合科學(物理、生物)",P1="綜合科學",P1="資訊及通訊科技",P1="設計與應用科技",P1="物理"),P3,0)</f>
        <v>0</v>
      </c>
      <c r="BU73" s="223">
        <f>IF(OR(Q1="化學",Q1="生物",Q1="組合科學(物理、化學)",Q1="組合科學(物理、生物)",Q1="綜合科學",Q1="資訊及通訊科技",Q1="設計與應用科技",Q1="物理"),Q3,0)</f>
        <v>0</v>
      </c>
      <c r="BV73" s="223">
        <f>IF(OR(R1="化學",R1="生物",R1="組合科學(物理、化學)",R1="組合科學(物理、生物)",R1="綜合科學",R1="資訊及通訊科技",R1="設計與應用科技",R1="物理"),R3,0)</f>
        <v>0</v>
      </c>
      <c r="BW73" s="223">
        <f>IF(OR(S1="化學",S1="生物",S1="組合科學(物理、化學)",S1="組合科學(物理、生物)",S1="綜合科學",S1="資訊及通訊科技",S1="設計與應用科技",S1="物理"),S3,0)</f>
        <v>0</v>
      </c>
      <c r="BX73" s="223">
        <f>O3</f>
        <v>5.0000000000000003E-10</v>
      </c>
      <c r="BY73" s="220"/>
      <c r="BZ73" s="223" t="str">
        <f>IF(CA73&gt;0,INDEX(BT72:BX72,MATCH(LARGE(BT73:BX73,1),BT73:BX73,0)),"無")</f>
        <v>數學延伸</v>
      </c>
      <c r="CA73" s="223">
        <f>LARGE((BT73:BX73),1)</f>
        <v>5.0000000000000003E-10</v>
      </c>
      <c r="CB73" s="218"/>
      <c r="CC73" s="218"/>
      <c r="CD73" s="218"/>
    </row>
    <row r="74" spans="1:101">
      <c r="A74" s="117" t="s">
        <v>855</v>
      </c>
      <c r="B74" s="117" t="str">
        <f>'Reference Score Calculation'!B51</f>
        <v>JS1113</v>
      </c>
      <c r="C74" s="117" t="str">
        <f>'Reference Score Calculation'!E51</f>
        <v>社會科學學士(社會工作)</v>
      </c>
      <c r="D74" s="2"/>
      <c r="E74" s="355" t="str">
        <f>'Reference Score Calculation'!F51</f>
        <v>Best 4</v>
      </c>
      <c r="F74" s="354"/>
      <c r="G74" s="16" t="str">
        <f>入學要求!AB60</f>
        <v>v</v>
      </c>
      <c r="H74" s="16" t="str">
        <f>入學要求!AC60</f>
        <v>E</v>
      </c>
      <c r="I74" s="16" t="str">
        <f>入學要求!AD60</f>
        <v>NO</v>
      </c>
      <c r="J74" s="117">
        <f t="shared" si="129"/>
        <v>2.8000000000000003E-9</v>
      </c>
      <c r="K74" s="120">
        <v>1</v>
      </c>
      <c r="L74" s="120">
        <v>2</v>
      </c>
      <c r="M74" s="120">
        <v>1</v>
      </c>
      <c r="N74" s="120"/>
      <c r="O74" s="120">
        <v>1</v>
      </c>
      <c r="P74" s="120">
        <v>1</v>
      </c>
      <c r="Q74" s="120">
        <v>1</v>
      </c>
      <c r="R74" s="120">
        <v>1</v>
      </c>
      <c r="S74" s="120">
        <v>1</v>
      </c>
      <c r="T74" s="120">
        <v>1</v>
      </c>
      <c r="V74" s="117">
        <f t="shared" si="66"/>
        <v>1E-10</v>
      </c>
      <c r="W74" s="117">
        <f t="shared" si="67"/>
        <v>4.0000000000000001E-10</v>
      </c>
      <c r="X74" s="117">
        <f t="shared" si="68"/>
        <v>3E-10</v>
      </c>
      <c r="Z74" s="117">
        <f t="shared" si="111"/>
        <v>5.0000000000000003E-10</v>
      </c>
      <c r="AA74" s="117">
        <f t="shared" si="112"/>
        <v>6E-10</v>
      </c>
      <c r="AB74" s="117">
        <f t="shared" si="113"/>
        <v>6.9999999999999996E-10</v>
      </c>
      <c r="AC74" s="117">
        <f t="shared" si="114"/>
        <v>8.0000000000000003E-10</v>
      </c>
      <c r="AD74" s="117">
        <f t="shared" si="115"/>
        <v>8.9999999999999999E-10</v>
      </c>
      <c r="AE74" s="117">
        <f t="shared" si="116"/>
        <v>0</v>
      </c>
      <c r="AF74" s="117">
        <f t="shared" si="130"/>
        <v>1E-10</v>
      </c>
      <c r="AG74" s="117">
        <f t="shared" si="131"/>
        <v>99.000000000399993</v>
      </c>
      <c r="AH74" s="117">
        <f t="shared" si="132"/>
        <v>3E-10</v>
      </c>
      <c r="AI74" s="117">
        <f t="shared" si="133"/>
        <v>0</v>
      </c>
      <c r="AJ74" s="117">
        <f t="shared" si="134"/>
        <v>5.0000000000000003E-10</v>
      </c>
      <c r="AK74" s="117">
        <f t="shared" si="135"/>
        <v>6E-10</v>
      </c>
      <c r="AL74" s="117">
        <f t="shared" si="136"/>
        <v>6.9999999999999996E-10</v>
      </c>
      <c r="AM74" s="117">
        <f t="shared" si="137"/>
        <v>8.0000000000000003E-10</v>
      </c>
      <c r="AN74" s="117">
        <f t="shared" si="138"/>
        <v>8.9999999999999999E-10</v>
      </c>
      <c r="AO74" s="117">
        <f t="shared" si="139"/>
        <v>0</v>
      </c>
      <c r="AP74" s="117" t="b">
        <f t="shared" si="120"/>
        <v>0</v>
      </c>
      <c r="AQ74" s="117" t="b">
        <f t="shared" si="121"/>
        <v>1</v>
      </c>
      <c r="AR74" s="117" t="b">
        <f t="shared" si="122"/>
        <v>0</v>
      </c>
      <c r="AS74" s="140"/>
      <c r="AT74" s="437" t="b">
        <f t="shared" si="123"/>
        <v>0</v>
      </c>
      <c r="AU74" s="437" t="b">
        <f t="shared" si="124"/>
        <v>0</v>
      </c>
      <c r="AV74" s="437" t="b">
        <f t="shared" si="125"/>
        <v>1</v>
      </c>
      <c r="AW74" s="437" t="b">
        <f t="shared" si="126"/>
        <v>1</v>
      </c>
      <c r="AX74" s="437" t="b">
        <f t="shared" si="127"/>
        <v>1</v>
      </c>
      <c r="AY74" s="437" t="b">
        <f t="shared" si="128"/>
        <v>0</v>
      </c>
      <c r="BA74" s="2" t="str">
        <f>'Reference Score Calculation'!N51</f>
        <v>最佳四科必須包括︰英文</v>
      </c>
      <c r="BB74" s="2" t="str">
        <f>'Reference Score Calculation'!O51</f>
        <v>/</v>
      </c>
      <c r="BC74" s="2"/>
      <c r="BD74" s="2"/>
      <c r="BE74" s="2"/>
      <c r="BF74" s="2"/>
      <c r="BG74" s="2"/>
      <c r="BH74" s="85"/>
      <c r="BI74" s="85" t="b">
        <v>1</v>
      </c>
      <c r="BJ74" s="85"/>
      <c r="BK74" s="85"/>
      <c r="BL74" s="85"/>
      <c r="BM74" s="85"/>
      <c r="BN74" s="85"/>
      <c r="BO74" s="85"/>
      <c r="BP74" s="85"/>
      <c r="BQ74" s="85"/>
      <c r="BR74" s="2" t="s">
        <v>64</v>
      </c>
      <c r="BS74" s="220"/>
      <c r="BT74" s="224" t="s">
        <v>2287</v>
      </c>
      <c r="BU74" s="220"/>
      <c r="BV74" s="220"/>
      <c r="BW74" s="220"/>
      <c r="BX74" s="220"/>
      <c r="BY74" s="220"/>
      <c r="BZ74" s="220"/>
      <c r="CA74" s="220"/>
      <c r="CB74" s="220"/>
      <c r="CC74" s="220"/>
      <c r="CD74" s="220"/>
    </row>
    <row r="75" spans="1:101">
      <c r="A75" s="117" t="s">
        <v>861</v>
      </c>
      <c r="B75" s="117" t="str">
        <f>'Reference Score Calculation'!B52</f>
        <v>JS1123</v>
      </c>
      <c r="C75" s="117" t="str">
        <f>'Reference Score Calculation'!E52</f>
        <v>社會科學學士(犯罪學)與法律學學士</v>
      </c>
      <c r="D75" s="2"/>
      <c r="E75" s="355" t="str">
        <f>'Reference Score Calculation'!F52</f>
        <v>Best 5</v>
      </c>
      <c r="F75" s="355"/>
      <c r="G75" s="16" t="str">
        <f>入學要求!AB61</f>
        <v>v</v>
      </c>
      <c r="H75" s="16" t="str">
        <f>入學要求!AC61</f>
        <v>E</v>
      </c>
      <c r="I75" s="16" t="str">
        <f>入學要求!AD61</f>
        <v>NO</v>
      </c>
      <c r="J75" s="117">
        <f t="shared" si="129"/>
        <v>3.1999999999999997E-9</v>
      </c>
      <c r="K75" s="120">
        <v>1</v>
      </c>
      <c r="L75" s="120">
        <v>1</v>
      </c>
      <c r="M75" s="120">
        <v>1</v>
      </c>
      <c r="N75" s="120"/>
      <c r="O75" s="120">
        <v>1</v>
      </c>
      <c r="P75" s="120">
        <v>1</v>
      </c>
      <c r="Q75" s="120">
        <v>1</v>
      </c>
      <c r="R75" s="120">
        <v>1</v>
      </c>
      <c r="S75" s="120">
        <v>1</v>
      </c>
      <c r="T75" s="120">
        <v>1</v>
      </c>
      <c r="U75" s="2"/>
      <c r="V75" s="117">
        <f t="shared" si="66"/>
        <v>1E-10</v>
      </c>
      <c r="W75" s="117">
        <f t="shared" si="67"/>
        <v>2.0000000000000001E-10</v>
      </c>
      <c r="X75" s="117">
        <f t="shared" si="68"/>
        <v>3E-10</v>
      </c>
      <c r="Z75" s="117">
        <f t="shared" si="111"/>
        <v>5.0000000000000003E-10</v>
      </c>
      <c r="AA75" s="117">
        <f t="shared" si="112"/>
        <v>6E-10</v>
      </c>
      <c r="AB75" s="117">
        <f t="shared" si="113"/>
        <v>6.9999999999999996E-10</v>
      </c>
      <c r="AC75" s="117">
        <f t="shared" si="114"/>
        <v>8.0000000000000003E-10</v>
      </c>
      <c r="AD75" s="117">
        <f t="shared" si="115"/>
        <v>8.9999999999999999E-10</v>
      </c>
      <c r="AE75" s="117">
        <f t="shared" si="116"/>
        <v>0</v>
      </c>
      <c r="AF75" s="117">
        <f t="shared" si="130"/>
        <v>1E-10</v>
      </c>
      <c r="AG75" s="117">
        <f t="shared" si="131"/>
        <v>99.000000000200004</v>
      </c>
      <c r="AH75" s="117">
        <f t="shared" si="132"/>
        <v>3E-10</v>
      </c>
      <c r="AI75" s="117">
        <f t="shared" si="133"/>
        <v>0</v>
      </c>
      <c r="AJ75" s="117">
        <f t="shared" si="134"/>
        <v>5.0000000000000003E-10</v>
      </c>
      <c r="AK75" s="117">
        <f t="shared" si="135"/>
        <v>6E-10</v>
      </c>
      <c r="AL75" s="117">
        <f t="shared" si="136"/>
        <v>6.9999999999999996E-10</v>
      </c>
      <c r="AM75" s="117">
        <f t="shared" si="137"/>
        <v>8.0000000000000003E-10</v>
      </c>
      <c r="AN75" s="117">
        <f t="shared" si="138"/>
        <v>8.9999999999999999E-10</v>
      </c>
      <c r="AO75" s="117">
        <f t="shared" si="139"/>
        <v>0</v>
      </c>
      <c r="AP75" s="117" t="b">
        <f t="shared" si="120"/>
        <v>0</v>
      </c>
      <c r="AQ75" s="117" t="b">
        <f t="shared" si="121"/>
        <v>1</v>
      </c>
      <c r="AR75" s="117" t="b">
        <f t="shared" si="122"/>
        <v>0</v>
      </c>
      <c r="AS75" s="140"/>
      <c r="AT75" s="437" t="b">
        <f t="shared" si="123"/>
        <v>0</v>
      </c>
      <c r="AU75" s="437" t="b">
        <f t="shared" si="124"/>
        <v>1</v>
      </c>
      <c r="AV75" s="437" t="b">
        <f t="shared" si="125"/>
        <v>1</v>
      </c>
      <c r="AW75" s="437" t="b">
        <f t="shared" si="126"/>
        <v>1</v>
      </c>
      <c r="AX75" s="437" t="b">
        <f t="shared" si="127"/>
        <v>1</v>
      </c>
      <c r="AY75" s="437" t="b">
        <f t="shared" si="128"/>
        <v>0</v>
      </c>
      <c r="BA75" s="2" t="str">
        <f>'Reference Score Calculation'!N52</f>
        <v>最佳五科必須包括︰英文</v>
      </c>
      <c r="BB75" s="2" t="str">
        <f>'Reference Score Calculation'!O52</f>
        <v>/</v>
      </c>
      <c r="BC75" s="2"/>
      <c r="BD75" s="2"/>
      <c r="BE75" s="2"/>
      <c r="BF75" s="2"/>
      <c r="BG75" s="2"/>
      <c r="BH75" s="85"/>
      <c r="BI75" s="85" t="b">
        <v>1</v>
      </c>
      <c r="BJ75" s="85"/>
      <c r="BK75" s="85"/>
      <c r="BL75" s="85"/>
      <c r="BM75" s="85"/>
      <c r="BN75" s="85"/>
      <c r="BO75" s="85"/>
      <c r="BP75" s="85"/>
      <c r="BQ75" s="85"/>
      <c r="BR75" s="2" t="s">
        <v>64</v>
      </c>
      <c r="BS75" s="220"/>
      <c r="BT75" s="220" t="str">
        <f t="shared" ref="BT75:CC75" si="142">K1</f>
        <v>中國語文</v>
      </c>
      <c r="BU75" s="220" t="str">
        <f t="shared" si="142"/>
        <v>英國語文</v>
      </c>
      <c r="BV75" s="220" t="str">
        <f t="shared" si="142"/>
        <v>數學</v>
      </c>
      <c r="BW75" s="220" t="str">
        <f t="shared" si="142"/>
        <v>公社科</v>
      </c>
      <c r="BX75" s="220" t="str">
        <f t="shared" si="142"/>
        <v>數學延伸</v>
      </c>
      <c r="BY75" s="220" t="str">
        <f t="shared" si="142"/>
        <v>請選擇第一選修科</v>
      </c>
      <c r="BZ75" s="220" t="str">
        <f t="shared" si="142"/>
        <v>請選擇第二選修科</v>
      </c>
      <c r="CA75" s="220" t="str">
        <f t="shared" si="142"/>
        <v>請選擇第三選修科</v>
      </c>
      <c r="CB75" s="220" t="str">
        <f t="shared" si="142"/>
        <v>請選擇第四選修科</v>
      </c>
      <c r="CC75" s="220" t="str">
        <f t="shared" si="142"/>
        <v>請選擇語言科目</v>
      </c>
      <c r="CD75" s="220"/>
    </row>
    <row r="76" spans="1:101">
      <c r="A76" s="117" t="s">
        <v>864</v>
      </c>
      <c r="B76" s="117" t="str">
        <f>'Reference Score Calculation'!B53</f>
        <v>JS1200</v>
      </c>
      <c r="C76" s="117" t="str">
        <f>'Reference Score Calculation'!E53</f>
        <v>環球精研與科創課程</v>
      </c>
      <c r="D76" s="2"/>
      <c r="E76" s="355" t="str">
        <f>'Reference Score Calculation'!F53</f>
        <v>Best 4</v>
      </c>
      <c r="F76" s="354"/>
      <c r="G76" s="16" t="str">
        <f>入學要求!AB62</f>
        <v>v</v>
      </c>
      <c r="H76" s="16" t="str">
        <f>入學要求!AC62</f>
        <v>NO</v>
      </c>
      <c r="I76" s="16" t="str">
        <f>入學要求!AD62</f>
        <v>NO</v>
      </c>
      <c r="J76" s="117">
        <f t="shared" si="129"/>
        <v>3.7E-9</v>
      </c>
      <c r="K76" s="120">
        <v>1</v>
      </c>
      <c r="L76" s="120">
        <v>2</v>
      </c>
      <c r="M76" s="120">
        <v>2.5</v>
      </c>
      <c r="N76" s="120"/>
      <c r="O76" s="120">
        <v>2.5</v>
      </c>
      <c r="P76" s="120">
        <f>IF(OR(P1="物理",P1="化學",P1="生物",P1="經濟"),2.5,1)</f>
        <v>1</v>
      </c>
      <c r="Q76" s="120">
        <f>IF(OR(Q1="物理",Q1="化學",Q1="生物",Q1="經濟"),2.5,1)</f>
        <v>1</v>
      </c>
      <c r="R76" s="120">
        <f>IF(OR(R1="物理",R1="化學",R1="生物",R1="經濟"),2.5,1)</f>
        <v>1</v>
      </c>
      <c r="S76" s="120">
        <f>IF(OR(S1="物理",S1="化學",S1="生物",S1="經濟"),2.5,1)</f>
        <v>1</v>
      </c>
      <c r="T76" s="120">
        <v>1</v>
      </c>
      <c r="V76" s="117">
        <f t="shared" si="66"/>
        <v>1E-10</v>
      </c>
      <c r="W76" s="117">
        <f t="shared" si="67"/>
        <v>4.0000000000000001E-10</v>
      </c>
      <c r="X76" s="117">
        <f t="shared" si="68"/>
        <v>7.5E-10</v>
      </c>
      <c r="Z76" s="117">
        <f t="shared" si="111"/>
        <v>1.25E-9</v>
      </c>
      <c r="AA76" s="117">
        <f t="shared" si="112"/>
        <v>6E-10</v>
      </c>
      <c r="AB76" s="117">
        <f t="shared" si="113"/>
        <v>6.9999999999999996E-10</v>
      </c>
      <c r="AC76" s="117">
        <f t="shared" si="114"/>
        <v>8.0000000000000003E-10</v>
      </c>
      <c r="AD76" s="117">
        <f t="shared" si="115"/>
        <v>8.9999999999999999E-10</v>
      </c>
      <c r="AE76" s="117">
        <f t="shared" si="116"/>
        <v>0</v>
      </c>
      <c r="AF76" s="117">
        <f t="shared" si="130"/>
        <v>1E-10</v>
      </c>
      <c r="AG76" s="117">
        <f t="shared" si="131"/>
        <v>4.0000000000000001E-10</v>
      </c>
      <c r="AH76" s="117">
        <f t="shared" si="132"/>
        <v>7.5E-10</v>
      </c>
      <c r="AI76" s="117">
        <f t="shared" si="133"/>
        <v>0</v>
      </c>
      <c r="AJ76" s="117">
        <f t="shared" si="134"/>
        <v>1.25E-9</v>
      </c>
      <c r="AK76" s="117">
        <f t="shared" si="135"/>
        <v>6E-10</v>
      </c>
      <c r="AL76" s="117">
        <f t="shared" si="136"/>
        <v>6.9999999999999996E-10</v>
      </c>
      <c r="AM76" s="117">
        <f t="shared" si="137"/>
        <v>8.0000000000000003E-10</v>
      </c>
      <c r="AN76" s="117">
        <f t="shared" si="138"/>
        <v>8.9999999999999999E-10</v>
      </c>
      <c r="AO76" s="117">
        <f t="shared" si="139"/>
        <v>0</v>
      </c>
      <c r="AP76" s="117" t="b">
        <f t="shared" si="120"/>
        <v>0</v>
      </c>
      <c r="AQ76" s="117" t="b">
        <f t="shared" si="121"/>
        <v>0</v>
      </c>
      <c r="AR76" s="117" t="b">
        <f t="shared" si="122"/>
        <v>1</v>
      </c>
      <c r="AT76" s="437" t="b">
        <f t="shared" si="123"/>
        <v>1</v>
      </c>
      <c r="AU76" s="437" t="b">
        <f t="shared" si="124"/>
        <v>0</v>
      </c>
      <c r="AV76" s="437" t="b">
        <f t="shared" si="125"/>
        <v>0</v>
      </c>
      <c r="AW76" s="437" t="b">
        <f t="shared" si="126"/>
        <v>1</v>
      </c>
      <c r="AX76" s="437" t="b">
        <f t="shared" si="127"/>
        <v>1</v>
      </c>
      <c r="AY76" s="437" t="b">
        <f t="shared" si="128"/>
        <v>0</v>
      </c>
      <c r="BA76" s="2" t="str">
        <f>'Reference Score Calculation'!N53</f>
        <v>/</v>
      </c>
      <c r="BB76" s="2" t="str">
        <f>'Reference Score Calculation'!O53</f>
        <v>/</v>
      </c>
      <c r="BC76" s="2"/>
      <c r="BD76" s="2"/>
      <c r="BE76" s="2"/>
      <c r="BF76" s="2"/>
      <c r="BG76" s="2"/>
      <c r="BH76" s="85"/>
      <c r="BI76" s="85"/>
      <c r="BJ76" s="85"/>
      <c r="BK76" s="85"/>
      <c r="BL76" s="85"/>
      <c r="BM76" s="85"/>
      <c r="BN76" s="85"/>
      <c r="BO76" s="85"/>
      <c r="BP76" s="85"/>
      <c r="BQ76" s="85"/>
      <c r="BR76" s="2" t="s">
        <v>64</v>
      </c>
      <c r="BS76" s="220"/>
      <c r="BT76" s="223">
        <f>K3</f>
        <v>1E-10</v>
      </c>
      <c r="BU76" s="223">
        <f>L3</f>
        <v>2.0000000000000001E-10</v>
      </c>
      <c r="BV76" s="220"/>
      <c r="BW76" s="223">
        <f>N3</f>
        <v>0</v>
      </c>
      <c r="BX76" s="223">
        <f>IF(BV68=$BZ$65,0,O3)</f>
        <v>0</v>
      </c>
      <c r="BY76" s="223">
        <f>IF(BW68=$BZ$65,0,P3)</f>
        <v>6E-10</v>
      </c>
      <c r="BZ76" s="223">
        <f>IF(BX68=$BZ$65,0,Q3)</f>
        <v>6.9999999999999996E-10</v>
      </c>
      <c r="CA76" s="223">
        <f>IF(BY68=$BZ$65,0,R3)</f>
        <v>8.0000000000000003E-10</v>
      </c>
      <c r="CB76" s="223">
        <f>IF(BZ68=$BZ$65,0,S3)</f>
        <v>8.9999999999999999E-10</v>
      </c>
      <c r="CC76" s="223">
        <f>T3</f>
        <v>0</v>
      </c>
      <c r="CD76" s="220"/>
    </row>
    <row r="77" spans="1:101">
      <c r="A77" s="117" t="s">
        <v>869</v>
      </c>
      <c r="B77" s="117" t="str">
        <f>'Reference Score Calculation'!B54</f>
        <v>JS1201</v>
      </c>
      <c r="C77" s="117" t="str">
        <f>'Reference Score Calculation'!E54</f>
        <v>建築學及土木工程學系 [選項: 工學士(建築工程)、工學士(土木工程)、理學士(建築學及測量學)]</v>
      </c>
      <c r="D77" s="2"/>
      <c r="E77" s="355" t="str">
        <f>'Reference Score Calculation'!F54</f>
        <v>Best 5</v>
      </c>
      <c r="F77" s="357"/>
      <c r="G77" s="16" t="str">
        <f>入學要求!AB63</f>
        <v>v</v>
      </c>
      <c r="H77" s="16" t="str">
        <f>入學要求!AC63</f>
        <v>NO</v>
      </c>
      <c r="I77" s="16" t="str">
        <f>入學要求!AD63</f>
        <v>NO</v>
      </c>
      <c r="J77" s="117">
        <f t="shared" si="129"/>
        <v>4.2000000000000004E-9</v>
      </c>
      <c r="K77" s="120">
        <v>1.5</v>
      </c>
      <c r="L77" s="120">
        <v>2.5</v>
      </c>
      <c r="M77" s="120">
        <v>2.5</v>
      </c>
      <c r="N77" s="120"/>
      <c r="O77" s="120">
        <v>2.5</v>
      </c>
      <c r="P77" s="120">
        <f>IF(P1="物理",2.5,1)</f>
        <v>1</v>
      </c>
      <c r="Q77" s="120">
        <f>IF(Q1="物理",2.5,1)</f>
        <v>1</v>
      </c>
      <c r="R77" s="120">
        <f>IF(R1="物理",2.5,1)</f>
        <v>1</v>
      </c>
      <c r="S77" s="120">
        <f>IF(S1="物理",2.5,1)</f>
        <v>1</v>
      </c>
      <c r="T77" s="120">
        <v>1</v>
      </c>
      <c r="V77" s="117">
        <f t="shared" si="66"/>
        <v>1.5E-10</v>
      </c>
      <c r="W77" s="117">
        <f t="shared" si="67"/>
        <v>5.0000000000000003E-10</v>
      </c>
      <c r="X77" s="117">
        <f t="shared" si="68"/>
        <v>7.5E-10</v>
      </c>
      <c r="Z77" s="117">
        <f t="shared" si="111"/>
        <v>1.25E-9</v>
      </c>
      <c r="AA77" s="117">
        <f t="shared" si="112"/>
        <v>6E-10</v>
      </c>
      <c r="AB77" s="117">
        <f t="shared" si="113"/>
        <v>6.9999999999999996E-10</v>
      </c>
      <c r="AC77" s="117">
        <f t="shared" si="114"/>
        <v>8.0000000000000003E-10</v>
      </c>
      <c r="AD77" s="117">
        <f t="shared" si="115"/>
        <v>8.9999999999999999E-10</v>
      </c>
      <c r="AE77" s="117">
        <f t="shared" si="116"/>
        <v>0</v>
      </c>
      <c r="AF77" s="117">
        <f t="shared" si="130"/>
        <v>1.5E-10</v>
      </c>
      <c r="AG77" s="117">
        <f t="shared" si="131"/>
        <v>99.000000000499995</v>
      </c>
      <c r="AH77" s="117">
        <f t="shared" si="132"/>
        <v>7.5E-10</v>
      </c>
      <c r="AI77" s="117">
        <f t="shared" si="133"/>
        <v>0</v>
      </c>
      <c r="AJ77" s="117">
        <f t="shared" si="134"/>
        <v>1.25E-9</v>
      </c>
      <c r="AK77" s="117">
        <f t="shared" si="135"/>
        <v>6E-10</v>
      </c>
      <c r="AL77" s="117">
        <f t="shared" si="136"/>
        <v>6.9999999999999996E-10</v>
      </c>
      <c r="AM77" s="117">
        <f t="shared" si="137"/>
        <v>8.0000000000000003E-10</v>
      </c>
      <c r="AN77" s="117">
        <f t="shared" si="138"/>
        <v>8.9999999999999999E-10</v>
      </c>
      <c r="AO77" s="117">
        <f t="shared" si="139"/>
        <v>0</v>
      </c>
      <c r="AP77" s="117" t="b">
        <f t="shared" si="120"/>
        <v>0</v>
      </c>
      <c r="AQ77" s="117" t="b">
        <f t="shared" si="121"/>
        <v>1</v>
      </c>
      <c r="AR77" s="117" t="b">
        <f t="shared" si="122"/>
        <v>1</v>
      </c>
      <c r="AS77" s="140"/>
      <c r="AT77" s="437" t="b">
        <f t="shared" si="123"/>
        <v>1</v>
      </c>
      <c r="AU77" s="437" t="b">
        <f t="shared" si="124"/>
        <v>0</v>
      </c>
      <c r="AV77" s="437" t="b">
        <f t="shared" si="125"/>
        <v>0</v>
      </c>
      <c r="AW77" s="437" t="b">
        <f t="shared" si="126"/>
        <v>1</v>
      </c>
      <c r="AX77" s="437" t="b">
        <f t="shared" si="127"/>
        <v>1</v>
      </c>
      <c r="AY77" s="437" t="b">
        <f t="shared" si="128"/>
        <v>0</v>
      </c>
      <c r="BA77" s="2" t="str">
        <f>'Reference Score Calculation'!N54</f>
        <v>最佳五科必須包括︰英文</v>
      </c>
      <c r="BB77" s="2" t="str">
        <f>'Reference Score Calculation'!O54</f>
        <v>/</v>
      </c>
      <c r="BC77" s="2"/>
      <c r="BD77" s="2"/>
      <c r="BE77" s="2"/>
      <c r="BF77" s="2"/>
      <c r="BG77" s="2"/>
      <c r="BH77" s="85"/>
      <c r="BI77" s="85" t="b">
        <v>1</v>
      </c>
      <c r="BJ77" s="85"/>
      <c r="BK77" s="85"/>
      <c r="BL77" s="85"/>
      <c r="BM77" s="85"/>
      <c r="BN77" s="85"/>
      <c r="BO77" s="85"/>
      <c r="BP77" s="85"/>
      <c r="BQ77" s="85"/>
      <c r="BR77" s="2" t="s">
        <v>64</v>
      </c>
      <c r="BS77" s="220"/>
      <c r="BT77" s="228" t="b">
        <f>IF(BT76&gt;LARGE($BT$76:$CC$76,5),TRUE,FALSE)</f>
        <v>0</v>
      </c>
      <c r="BU77" s="228" t="b">
        <f>IF(BU76&gt;LARGE($BT$76:$CC$76,5),TRUE,FALSE)</f>
        <v>0</v>
      </c>
      <c r="BV77" s="228"/>
      <c r="BW77" s="228" t="b">
        <f t="shared" ref="BW77:CC77" si="143">IF(BW76&gt;LARGE($BT$76:$CC$76,5),TRUE,FALSE)</f>
        <v>0</v>
      </c>
      <c r="BX77" s="228" t="b">
        <f t="shared" si="143"/>
        <v>0</v>
      </c>
      <c r="BY77" s="228" t="b">
        <f t="shared" si="143"/>
        <v>1</v>
      </c>
      <c r="BZ77" s="228" t="b">
        <f t="shared" si="143"/>
        <v>1</v>
      </c>
      <c r="CA77" s="228" t="b">
        <f t="shared" si="143"/>
        <v>1</v>
      </c>
      <c r="CB77" s="228" t="b">
        <f t="shared" si="143"/>
        <v>1</v>
      </c>
      <c r="CC77" s="228" t="b">
        <f t="shared" si="143"/>
        <v>0</v>
      </c>
      <c r="CD77" s="218"/>
    </row>
    <row r="78" spans="1:101">
      <c r="A78" s="117" t="s">
        <v>874</v>
      </c>
      <c r="B78" s="117" t="str">
        <f>'Reference Score Calculation'!B55</f>
        <v>JS1202</v>
      </c>
      <c r="C78" s="117" t="str">
        <f>'Reference Score Calculation'!E55</f>
        <v>理學士(化學)</v>
      </c>
      <c r="D78" s="2"/>
      <c r="E78" s="355" t="str">
        <f>'Reference Score Calculation'!F55</f>
        <v>Best 4</v>
      </c>
      <c r="F78" s="357"/>
      <c r="G78" s="16" t="str">
        <f>入學要求!AB64</f>
        <v>v</v>
      </c>
      <c r="H78" s="16" t="str">
        <f>入學要求!AC64</f>
        <v>E</v>
      </c>
      <c r="I78" s="16" t="str">
        <f>入學要求!AD64</f>
        <v>NO</v>
      </c>
      <c r="J78" s="117">
        <f t="shared" si="129"/>
        <v>3.0000000000000004E-9</v>
      </c>
      <c r="K78" s="120">
        <v>1</v>
      </c>
      <c r="L78" s="120">
        <v>2</v>
      </c>
      <c r="M78" s="120">
        <v>1.5</v>
      </c>
      <c r="N78" s="120"/>
      <c r="O78" s="120">
        <v>1</v>
      </c>
      <c r="P78" s="120">
        <f>IF(P1="化學",2,IF(OR(P1="組合科學(物理、化學)",P1="組合科學(生物、化學)"),1.5,1))</f>
        <v>1</v>
      </c>
      <c r="Q78" s="120">
        <f>IF(Q1="化學",2,IF(OR(Q1="組合科學(物理、化學)",Q1="組合科學(生物、化學)"),1.5,1))</f>
        <v>1</v>
      </c>
      <c r="R78" s="120">
        <f>IF(R1="化學",2,IF(OR(R1="組合科學(物理、化學)",R1="組合科學(生物、化學)"),1.5,1))</f>
        <v>1</v>
      </c>
      <c r="S78" s="120">
        <f>IF(S1="化學",2,IF(OR(S1="組合科學(物理、化學)",S1="組合科學(生物、化學)"),1.5,1))</f>
        <v>1</v>
      </c>
      <c r="T78" s="120">
        <v>1</v>
      </c>
      <c r="V78" s="117">
        <f t="shared" si="66"/>
        <v>1E-10</v>
      </c>
      <c r="W78" s="117">
        <f t="shared" si="67"/>
        <v>4.0000000000000001E-10</v>
      </c>
      <c r="X78" s="117">
        <f t="shared" si="68"/>
        <v>4.5E-10</v>
      </c>
      <c r="Z78" s="117">
        <f t="shared" si="111"/>
        <v>5.0000000000000003E-10</v>
      </c>
      <c r="AA78" s="117">
        <f t="shared" si="112"/>
        <v>6E-10</v>
      </c>
      <c r="AB78" s="117">
        <f t="shared" si="113"/>
        <v>6.9999999999999996E-10</v>
      </c>
      <c r="AC78" s="117">
        <f t="shared" si="114"/>
        <v>8.0000000000000003E-10</v>
      </c>
      <c r="AD78" s="117">
        <f t="shared" si="115"/>
        <v>8.9999999999999999E-10</v>
      </c>
      <c r="AE78" s="117">
        <f t="shared" si="116"/>
        <v>0</v>
      </c>
      <c r="AF78" s="117">
        <f t="shared" si="130"/>
        <v>1E-10</v>
      </c>
      <c r="AG78" s="117">
        <f t="shared" si="131"/>
        <v>4.0000000000000001E-10</v>
      </c>
      <c r="AH78" s="117">
        <f t="shared" si="132"/>
        <v>4.5E-10</v>
      </c>
      <c r="AI78" s="117">
        <f t="shared" si="133"/>
        <v>0</v>
      </c>
      <c r="AJ78" s="117">
        <f t="shared" si="134"/>
        <v>5.0000000000000003E-10</v>
      </c>
      <c r="AK78" s="117">
        <f t="shared" si="135"/>
        <v>6E-10</v>
      </c>
      <c r="AL78" s="117">
        <f t="shared" si="136"/>
        <v>6.9999999999999996E-10</v>
      </c>
      <c r="AM78" s="117">
        <f t="shared" si="137"/>
        <v>8.0000000000000003E-10</v>
      </c>
      <c r="AN78" s="117">
        <f t="shared" si="138"/>
        <v>8.9999999999999999E-10</v>
      </c>
      <c r="AO78" s="117">
        <f t="shared" si="139"/>
        <v>0</v>
      </c>
      <c r="AP78" s="117" t="b">
        <f t="shared" si="120"/>
        <v>0</v>
      </c>
      <c r="AQ78" s="117" t="b">
        <f t="shared" si="121"/>
        <v>0</v>
      </c>
      <c r="AR78" s="117" t="b">
        <f t="shared" si="122"/>
        <v>0</v>
      </c>
      <c r="AT78" s="437" t="b">
        <f t="shared" si="123"/>
        <v>0</v>
      </c>
      <c r="AU78" s="437" t="b">
        <f t="shared" si="124"/>
        <v>1</v>
      </c>
      <c r="AV78" s="437" t="b">
        <f t="shared" si="125"/>
        <v>1</v>
      </c>
      <c r="AW78" s="437" t="b">
        <f t="shared" si="126"/>
        <v>1</v>
      </c>
      <c r="AX78" s="437" t="b">
        <f t="shared" si="127"/>
        <v>1</v>
      </c>
      <c r="AY78" s="437" t="b">
        <f t="shared" si="128"/>
        <v>0</v>
      </c>
      <c r="BA78" s="2" t="str">
        <f>'Reference Score Calculation'!N55</f>
        <v>/</v>
      </c>
      <c r="BB78" s="2" t="str">
        <f>'Reference Score Calculation'!O55</f>
        <v>/</v>
      </c>
      <c r="BC78" s="2"/>
      <c r="BD78" s="2"/>
      <c r="BE78" s="2"/>
      <c r="BF78" s="2"/>
      <c r="BG78" s="2"/>
      <c r="BH78" s="85"/>
      <c r="BI78" s="85"/>
      <c r="BJ78" s="85"/>
      <c r="BK78" s="85"/>
      <c r="BL78" s="85"/>
      <c r="BM78" s="85"/>
      <c r="BN78" s="85"/>
      <c r="BO78" s="85"/>
      <c r="BP78" s="85"/>
      <c r="BQ78" s="85"/>
      <c r="BR78" s="2" t="s">
        <v>64</v>
      </c>
      <c r="BS78" s="220"/>
      <c r="BT78" s="220"/>
      <c r="BU78" s="220"/>
      <c r="BV78" s="220"/>
      <c r="BW78" s="220"/>
      <c r="BX78" s="220"/>
      <c r="BY78" s="220"/>
      <c r="BZ78" s="220"/>
      <c r="CA78" s="220"/>
      <c r="CB78" s="220"/>
      <c r="CC78" s="220"/>
      <c r="CD78" s="220"/>
    </row>
    <row r="79" spans="1:101">
      <c r="A79" s="117" t="s">
        <v>878</v>
      </c>
      <c r="B79" s="117" t="str">
        <f>'Reference Score Calculation'!B56</f>
        <v>JS1204</v>
      </c>
      <c r="C79" s="117" t="str">
        <f>'Reference Score Calculation'!E56</f>
        <v>理學士(電腦科學)</v>
      </c>
      <c r="D79" s="2"/>
      <c r="E79" s="355" t="str">
        <f>'Reference Score Calculation'!F56</f>
        <v>Best 5</v>
      </c>
      <c r="F79" s="356"/>
      <c r="G79" s="16" t="str">
        <f>入學要求!AB65</f>
        <v>v</v>
      </c>
      <c r="H79" s="16" t="str">
        <f>入學要求!AC65</f>
        <v>E</v>
      </c>
      <c r="I79" s="16" t="str">
        <f>入學要求!AD65</f>
        <v>NO</v>
      </c>
      <c r="J79" s="117">
        <f t="shared" si="129"/>
        <v>3.4999999999999999E-9</v>
      </c>
      <c r="K79" s="120">
        <v>1</v>
      </c>
      <c r="L79" s="120">
        <v>1</v>
      </c>
      <c r="M79" s="120">
        <v>1</v>
      </c>
      <c r="N79" s="120"/>
      <c r="O79" s="120">
        <v>1</v>
      </c>
      <c r="P79" s="120">
        <v>1</v>
      </c>
      <c r="Q79" s="120">
        <v>1</v>
      </c>
      <c r="R79" s="120">
        <v>1</v>
      </c>
      <c r="S79" s="120">
        <v>1</v>
      </c>
      <c r="T79" s="120">
        <v>1</v>
      </c>
      <c r="V79" s="117">
        <f t="shared" si="66"/>
        <v>1E-10</v>
      </c>
      <c r="W79" s="117">
        <f t="shared" si="67"/>
        <v>2.0000000000000001E-10</v>
      </c>
      <c r="X79" s="117">
        <f t="shared" si="68"/>
        <v>3E-10</v>
      </c>
      <c r="Z79" s="117">
        <f t="shared" si="111"/>
        <v>5.0000000000000003E-10</v>
      </c>
      <c r="AA79" s="117">
        <f t="shared" si="112"/>
        <v>6E-10</v>
      </c>
      <c r="AB79" s="117">
        <f t="shared" si="113"/>
        <v>6.9999999999999996E-10</v>
      </c>
      <c r="AC79" s="117">
        <f t="shared" si="114"/>
        <v>8.0000000000000003E-10</v>
      </c>
      <c r="AD79" s="117">
        <f t="shared" si="115"/>
        <v>8.9999999999999999E-10</v>
      </c>
      <c r="AE79" s="117">
        <f t="shared" si="116"/>
        <v>0</v>
      </c>
      <c r="AF79" s="117">
        <f t="shared" si="130"/>
        <v>1E-10</v>
      </c>
      <c r="AG79" s="117">
        <f t="shared" si="131"/>
        <v>2.0000000000000001E-10</v>
      </c>
      <c r="AH79" s="117">
        <f t="shared" si="132"/>
        <v>3E-10</v>
      </c>
      <c r="AI79" s="117">
        <f t="shared" si="133"/>
        <v>0</v>
      </c>
      <c r="AJ79" s="117">
        <f t="shared" si="134"/>
        <v>5.0000000000000003E-10</v>
      </c>
      <c r="AK79" s="117">
        <f t="shared" si="135"/>
        <v>6E-10</v>
      </c>
      <c r="AL79" s="117">
        <f t="shared" si="136"/>
        <v>6.9999999999999996E-10</v>
      </c>
      <c r="AM79" s="117">
        <f t="shared" si="137"/>
        <v>8.0000000000000003E-10</v>
      </c>
      <c r="AN79" s="117">
        <f t="shared" si="138"/>
        <v>8.9999999999999999E-10</v>
      </c>
      <c r="AO79" s="117">
        <f t="shared" si="139"/>
        <v>0</v>
      </c>
      <c r="AP79" s="117" t="b">
        <f t="shared" si="120"/>
        <v>0</v>
      </c>
      <c r="AQ79" s="117" t="b">
        <f t="shared" si="121"/>
        <v>0</v>
      </c>
      <c r="AR79" s="117" t="b">
        <f t="shared" si="122"/>
        <v>0</v>
      </c>
      <c r="AS79" s="140"/>
      <c r="AT79" s="437" t="b">
        <f t="shared" si="123"/>
        <v>1</v>
      </c>
      <c r="AU79" s="437" t="b">
        <f t="shared" si="124"/>
        <v>1</v>
      </c>
      <c r="AV79" s="437" t="b">
        <f t="shared" si="125"/>
        <v>1</v>
      </c>
      <c r="AW79" s="437" t="b">
        <f t="shared" si="126"/>
        <v>1</v>
      </c>
      <c r="AX79" s="437" t="b">
        <f t="shared" si="127"/>
        <v>1</v>
      </c>
      <c r="AY79" s="437" t="b">
        <f t="shared" si="128"/>
        <v>0</v>
      </c>
      <c r="BA79" s="2" t="str">
        <f>'Reference Score Calculation'!N56</f>
        <v>/</v>
      </c>
      <c r="BB79" s="2" t="str">
        <f>'Reference Score Calculation'!O56</f>
        <v>/</v>
      </c>
      <c r="BC79" s="2"/>
      <c r="BD79" s="2"/>
      <c r="BE79" s="2"/>
      <c r="BF79" s="2"/>
      <c r="BG79" s="2"/>
      <c r="BH79" s="85"/>
      <c r="BI79" s="85"/>
      <c r="BJ79" s="85"/>
      <c r="BK79" s="85"/>
      <c r="BL79" s="85"/>
      <c r="BM79" s="85"/>
      <c r="BN79" s="85"/>
      <c r="BO79" s="85"/>
      <c r="BP79" s="85"/>
      <c r="BQ79" s="85"/>
      <c r="BR79" s="2" t="s">
        <v>64</v>
      </c>
      <c r="BS79" s="220"/>
      <c r="BT79" s="220" t="s">
        <v>281</v>
      </c>
      <c r="BU79" s="220"/>
      <c r="BV79" s="224" t="s">
        <v>282</v>
      </c>
      <c r="BW79" s="220"/>
      <c r="BX79" s="220"/>
      <c r="BY79" s="220"/>
      <c r="BZ79" s="220"/>
      <c r="CA79" s="220"/>
      <c r="CB79" s="220"/>
      <c r="CC79" s="220"/>
      <c r="CD79" s="220"/>
    </row>
    <row r="80" spans="1:101" ht="13.2" customHeight="1">
      <c r="A80" s="117" t="s">
        <v>882</v>
      </c>
      <c r="B80" s="117" t="str">
        <f>'Reference Score Calculation'!B57</f>
        <v>JS1205</v>
      </c>
      <c r="C80" s="117" t="str">
        <f>'Reference Score Calculation'!E57</f>
        <v>電機工程學系 [選項: 工學士(電子計算機及數據工程學)、工學士(電子及電機工程學)、工學士(資訊工程學)、工學士(微電子工程學)]</v>
      </c>
      <c r="D80" s="2"/>
      <c r="E80" s="355" t="str">
        <f>'Reference Score Calculation'!F57</f>
        <v>Best 5</v>
      </c>
      <c r="F80" s="357"/>
      <c r="G80" s="16" t="str">
        <f>入學要求!AB66</f>
        <v>v</v>
      </c>
      <c r="H80" s="16" t="str">
        <f>入學要求!AC66</f>
        <v>E</v>
      </c>
      <c r="I80" s="16" t="str">
        <f>入學要求!AD66</f>
        <v>NO</v>
      </c>
      <c r="J80" s="117">
        <f t="shared" si="129"/>
        <v>3.7E-9</v>
      </c>
      <c r="K80" s="120">
        <v>1</v>
      </c>
      <c r="L80" s="120">
        <v>2</v>
      </c>
      <c r="M80" s="120">
        <v>2</v>
      </c>
      <c r="N80" s="120"/>
      <c r="O80" s="120">
        <v>2</v>
      </c>
      <c r="P80" s="120">
        <f>IF(OR(P1="物理",P1="組合科學(物理、化學)",P1="組合科學(物理、生物)",P1="資訊及通訊科技"),2,IF(OR(P1="生物",P1="化學",P1="組合科學(生物、化學)",P1="綜合科學"),1.5,1))</f>
        <v>1</v>
      </c>
      <c r="Q80" s="120">
        <f>IF(OR(Q1="物理",Q1="組合科學(物理、化學)",Q1="組合科學(物理、生物)",Q1="資訊及通訊科技"),2,IF(OR(Q1="生物",Q1="化學",Q1="組合科學(生物、化學)",Q1="綜合科學"),1.5,1))</f>
        <v>1</v>
      </c>
      <c r="R80" s="120">
        <f>IF(OR(R1="物理",R1="組合科學(物理、化學)",R1="組合科學(物理、生物)",R1="資訊及通訊科技"),2,IF(OR(R1="生物",R1="化學",R1="組合科學(生物、化學)",R1="綜合科學"),1.5,1))</f>
        <v>1</v>
      </c>
      <c r="S80" s="120">
        <f>IF(OR(S1="物理",S1="組合科學(物理、化學)",S1="組合科學(物理、生物)",S1="資訊及通訊科技"),2,IF(OR(S1="生物",S1="化學",S1="組合科學(生物、化學)",S1="綜合科學"),1.5,1))</f>
        <v>1</v>
      </c>
      <c r="T80" s="120">
        <v>1</v>
      </c>
      <c r="V80" s="117">
        <f t="shared" si="66"/>
        <v>1E-10</v>
      </c>
      <c r="W80" s="117">
        <f t="shared" si="67"/>
        <v>4.0000000000000001E-10</v>
      </c>
      <c r="X80" s="117">
        <f t="shared" si="68"/>
        <v>6E-10</v>
      </c>
      <c r="Z80" s="117">
        <f t="shared" si="111"/>
        <v>1.0000000000000001E-9</v>
      </c>
      <c r="AA80" s="117">
        <f t="shared" si="112"/>
        <v>6E-10</v>
      </c>
      <c r="AB80" s="117">
        <f t="shared" si="113"/>
        <v>6.9999999999999996E-10</v>
      </c>
      <c r="AC80" s="117">
        <f t="shared" si="114"/>
        <v>8.0000000000000003E-10</v>
      </c>
      <c r="AD80" s="117">
        <f t="shared" si="115"/>
        <v>8.9999999999999999E-10</v>
      </c>
      <c r="AE80" s="117">
        <f t="shared" si="116"/>
        <v>0</v>
      </c>
      <c r="AF80" s="117">
        <f t="shared" si="130"/>
        <v>1E-10</v>
      </c>
      <c r="AG80" s="117">
        <f t="shared" si="131"/>
        <v>99.000000000399993</v>
      </c>
      <c r="AH80" s="117">
        <f t="shared" si="132"/>
        <v>99.000000000599996</v>
      </c>
      <c r="AI80" s="117">
        <f t="shared" si="133"/>
        <v>0</v>
      </c>
      <c r="AJ80" s="117">
        <f t="shared" si="134"/>
        <v>1.0000000000000001E-9</v>
      </c>
      <c r="AK80" s="117">
        <f t="shared" si="135"/>
        <v>6E-10</v>
      </c>
      <c r="AL80" s="117">
        <f t="shared" si="136"/>
        <v>6.9999999999999996E-10</v>
      </c>
      <c r="AM80" s="117">
        <f t="shared" si="137"/>
        <v>8.0000000000000003E-10</v>
      </c>
      <c r="AN80" s="117">
        <f t="shared" si="138"/>
        <v>8.9999999999999999E-10</v>
      </c>
      <c r="AO80" s="117">
        <f t="shared" si="139"/>
        <v>0</v>
      </c>
      <c r="AP80" s="117" t="b">
        <f t="shared" si="120"/>
        <v>0</v>
      </c>
      <c r="AQ80" s="117" t="b">
        <f t="shared" si="121"/>
        <v>1</v>
      </c>
      <c r="AR80" s="117" t="b">
        <f t="shared" si="122"/>
        <v>1</v>
      </c>
      <c r="AS80" s="140"/>
      <c r="AT80" s="437" t="b">
        <f t="shared" si="123"/>
        <v>1</v>
      </c>
      <c r="AU80" s="437" t="b">
        <f t="shared" si="124"/>
        <v>0</v>
      </c>
      <c r="AV80" s="437" t="b">
        <f t="shared" si="125"/>
        <v>0</v>
      </c>
      <c r="AW80" s="437" t="b">
        <f t="shared" si="126"/>
        <v>1</v>
      </c>
      <c r="AX80" s="437" t="b">
        <f t="shared" si="127"/>
        <v>1</v>
      </c>
      <c r="AY80" s="437" t="b">
        <f t="shared" si="128"/>
        <v>0</v>
      </c>
      <c r="BA80" s="2" t="str">
        <f>'Reference Score Calculation'!N57</f>
        <v>最佳五科必須包括︰英文、數學</v>
      </c>
      <c r="BB80" s="2" t="str">
        <f>'Reference Score Calculation'!O57</f>
        <v>/</v>
      </c>
      <c r="BC80" s="2"/>
      <c r="BD80" s="2"/>
      <c r="BE80" s="2"/>
      <c r="BF80" s="2"/>
      <c r="BG80" s="2"/>
      <c r="BH80" s="85"/>
      <c r="BI80" s="85" t="b">
        <v>1</v>
      </c>
      <c r="BJ80" s="85" t="b">
        <v>1</v>
      </c>
      <c r="BK80" s="85"/>
      <c r="BL80" s="85"/>
      <c r="BM80" s="85"/>
      <c r="BN80" s="85"/>
      <c r="BO80" s="85"/>
      <c r="BP80" s="85"/>
      <c r="BQ80" s="85"/>
      <c r="BR80" s="2" t="s">
        <v>64</v>
      </c>
      <c r="BS80" s="217" t="s">
        <v>283</v>
      </c>
      <c r="BT80" s="223" t="str">
        <f>IF(M3&gt;O3,M1,O1)</f>
        <v>數學延伸</v>
      </c>
      <c r="BU80" s="220"/>
      <c r="BV80" s="220"/>
      <c r="BW80" s="220"/>
      <c r="BX80" s="220"/>
      <c r="BY80" s="220"/>
      <c r="BZ80" s="220"/>
      <c r="CA80" s="220"/>
      <c r="CB80" s="220"/>
      <c r="CC80" s="220"/>
      <c r="CD80" s="220"/>
    </row>
    <row r="81" spans="1:87">
      <c r="A81" s="117" t="s">
        <v>889</v>
      </c>
      <c r="B81" s="117" t="str">
        <f>'Reference Score Calculation'!B58</f>
        <v>JS1206</v>
      </c>
      <c r="C81" s="117" t="str">
        <f>'Reference Score Calculation'!E58</f>
        <v>理學士(計算數學)</v>
      </c>
      <c r="D81" s="2"/>
      <c r="E81" s="355" t="str">
        <f>'Reference Score Calculation'!F58</f>
        <v>Best 4</v>
      </c>
      <c r="F81" s="357"/>
      <c r="G81" s="16" t="str">
        <f>入學要求!AB67</f>
        <v>v</v>
      </c>
      <c r="H81" s="16" t="str">
        <f>入學要求!AC67</f>
        <v>E</v>
      </c>
      <c r="I81" s="16" t="str">
        <f>入學要求!AD67</f>
        <v>NO</v>
      </c>
      <c r="J81" s="117">
        <f t="shared" si="129"/>
        <v>3.4500000000000003E-9</v>
      </c>
      <c r="K81" s="120">
        <v>1</v>
      </c>
      <c r="L81" s="120">
        <v>2</v>
      </c>
      <c r="M81" s="120">
        <v>2.5</v>
      </c>
      <c r="N81" s="120"/>
      <c r="O81" s="120">
        <v>2</v>
      </c>
      <c r="P81" s="120">
        <f>IF(OR(P1="物理",P1="生物",P1="化學",P1="組合科學(物理、化學)",P1="組合科學(物理、生物)",P1="組合科學(生物、化學)"),1.5,1)</f>
        <v>1</v>
      </c>
      <c r="Q81" s="120">
        <f>IF(OR(Q1="物理",Q1="生物",Q1="化學",Q1="組合科學(物理、化學)",Q1="組合科學(物理、生物)",Q1="組合科學(生物、化學)"),1.5,1)</f>
        <v>1</v>
      </c>
      <c r="R81" s="120">
        <f>IF(OR(R1="物理",R1="生物",R1="化學",R1="組合科學(物理、化學)",R1="組合科學(物理、生物)",R1="組合科學(生物、化學)"),1.5,1)</f>
        <v>1</v>
      </c>
      <c r="S81" s="120">
        <f>IF(OR(S1="物理",S1="生物",S1="化學",S1="組合科學(物理、化學)",S1="組合科學(物理、生物)",S1="組合科學(生物、化學)"),1.5,1)</f>
        <v>1</v>
      </c>
      <c r="T81" s="120">
        <v>1</v>
      </c>
      <c r="V81" s="117">
        <f t="shared" si="66"/>
        <v>1E-10</v>
      </c>
      <c r="W81" s="117">
        <f t="shared" si="67"/>
        <v>4.0000000000000001E-10</v>
      </c>
      <c r="X81" s="117">
        <f t="shared" si="68"/>
        <v>7.5E-10</v>
      </c>
      <c r="Z81" s="117">
        <f t="shared" si="111"/>
        <v>1.0000000000000001E-9</v>
      </c>
      <c r="AA81" s="117">
        <f t="shared" si="112"/>
        <v>6E-10</v>
      </c>
      <c r="AB81" s="117">
        <f t="shared" si="113"/>
        <v>6.9999999999999996E-10</v>
      </c>
      <c r="AC81" s="117">
        <f t="shared" si="114"/>
        <v>8.0000000000000003E-10</v>
      </c>
      <c r="AD81" s="117">
        <f t="shared" si="115"/>
        <v>8.9999999999999999E-10</v>
      </c>
      <c r="AE81" s="117">
        <f t="shared" si="116"/>
        <v>0</v>
      </c>
      <c r="AF81" s="117">
        <f t="shared" si="130"/>
        <v>1E-10</v>
      </c>
      <c r="AG81" s="117">
        <f t="shared" si="131"/>
        <v>4.0000000000000001E-10</v>
      </c>
      <c r="AH81" s="117">
        <f t="shared" si="132"/>
        <v>99.000000000750006</v>
      </c>
      <c r="AI81" s="117">
        <f t="shared" si="133"/>
        <v>0</v>
      </c>
      <c r="AJ81" s="117">
        <f t="shared" si="134"/>
        <v>1.0000000000000001E-9</v>
      </c>
      <c r="AK81" s="117">
        <f t="shared" si="135"/>
        <v>6E-10</v>
      </c>
      <c r="AL81" s="117">
        <f t="shared" si="136"/>
        <v>6.9999999999999996E-10</v>
      </c>
      <c r="AM81" s="117">
        <f t="shared" si="137"/>
        <v>8.0000000000000003E-10</v>
      </c>
      <c r="AN81" s="117">
        <f t="shared" si="138"/>
        <v>8.9999999999999999E-10</v>
      </c>
      <c r="AO81" s="117">
        <f t="shared" si="139"/>
        <v>0</v>
      </c>
      <c r="AP81" s="117" t="b">
        <f t="shared" si="120"/>
        <v>0</v>
      </c>
      <c r="AQ81" s="117" t="b">
        <f t="shared" si="121"/>
        <v>0</v>
      </c>
      <c r="AR81" s="117" t="b">
        <f t="shared" si="122"/>
        <v>1</v>
      </c>
      <c r="AS81" s="140"/>
      <c r="AT81" s="437" t="b">
        <f t="shared" si="123"/>
        <v>1</v>
      </c>
      <c r="AU81" s="437" t="b">
        <f t="shared" si="124"/>
        <v>0</v>
      </c>
      <c r="AV81" s="437" t="b">
        <f t="shared" si="125"/>
        <v>0</v>
      </c>
      <c r="AW81" s="437" t="b">
        <f t="shared" si="126"/>
        <v>1</v>
      </c>
      <c r="AX81" s="437" t="b">
        <f t="shared" si="127"/>
        <v>1</v>
      </c>
      <c r="AY81" s="437" t="b">
        <f t="shared" si="128"/>
        <v>0</v>
      </c>
      <c r="BA81" s="2" t="str">
        <f>'Reference Score Calculation'!N58</f>
        <v>最佳四科必須包括︰數學</v>
      </c>
      <c r="BB81" s="2" t="str">
        <f>'Reference Score Calculation'!O58</f>
        <v>/</v>
      </c>
      <c r="BC81" s="2"/>
      <c r="BD81" s="2"/>
      <c r="BE81" s="2"/>
      <c r="BF81" s="2"/>
      <c r="BG81" s="2"/>
      <c r="BH81" s="85"/>
      <c r="BI81" s="85"/>
      <c r="BJ81" s="85" t="b">
        <v>1</v>
      </c>
      <c r="BK81" s="85"/>
      <c r="BL81" s="85"/>
      <c r="BM81" s="85"/>
      <c r="BN81" s="85"/>
      <c r="BO81" s="85"/>
      <c r="BP81" s="85"/>
      <c r="BQ81" s="85"/>
      <c r="BR81" s="2" t="s">
        <v>64</v>
      </c>
      <c r="BS81" s="217"/>
      <c r="BT81" s="224" t="s">
        <v>2263</v>
      </c>
      <c r="BU81" s="220"/>
      <c r="BV81" s="220"/>
      <c r="BW81" s="220"/>
      <c r="BX81" s="220"/>
      <c r="BY81" s="220"/>
      <c r="BZ81" s="220"/>
      <c r="CA81" s="220"/>
      <c r="CB81" s="218"/>
      <c r="CC81" s="218"/>
      <c r="CD81" s="218"/>
    </row>
    <row r="82" spans="1:87">
      <c r="A82" s="117" t="s">
        <v>893</v>
      </c>
      <c r="B82" s="117" t="str">
        <f>'Reference Score Calculation'!B59</f>
        <v>JS1207</v>
      </c>
      <c r="C82" s="117" t="str">
        <f>'Reference Score Calculation'!E59</f>
        <v>機械工程學系 [選項: 工學士(航空航天工程)、工學士(機械工程)、工學士(核子及風險工程)]</v>
      </c>
      <c r="D82" s="2"/>
      <c r="E82" s="355" t="str">
        <f>'Reference Score Calculation'!F59</f>
        <v>Best 5</v>
      </c>
      <c r="F82" s="357"/>
      <c r="G82" s="16" t="str">
        <f>入學要求!AB68</f>
        <v>v</v>
      </c>
      <c r="H82" s="16" t="str">
        <f>入學要求!AC68</f>
        <v>E</v>
      </c>
      <c r="I82" s="16" t="str">
        <f>入學要求!AD68</f>
        <v>NO</v>
      </c>
      <c r="J82" s="117">
        <f t="shared" si="129"/>
        <v>3.7500000000000005E-9</v>
      </c>
      <c r="K82" s="120">
        <v>1</v>
      </c>
      <c r="L82" s="120">
        <v>2</v>
      </c>
      <c r="M82" s="120">
        <v>2</v>
      </c>
      <c r="N82" s="120"/>
      <c r="O82" s="120">
        <v>1.5</v>
      </c>
      <c r="P82" s="120">
        <f>IF(P1="物理",2,IF(OR(P1="化學",P1="組合科學(物理、化學)",P1="組合科學(物理、生物)",P1="組合科學(生物、化學)",P1="設計與應用科技"),1.5,1))</f>
        <v>1</v>
      </c>
      <c r="Q82" s="120">
        <f>IF(Q1="物理",2,IF(OR(Q1="化學",Q1="組合科學(物理、化學)",Q1="組合科學(物理、生物)",Q1="組合科學(生物、化學)",Q1="設計與應用科技"),1.5,1))</f>
        <v>1</v>
      </c>
      <c r="R82" s="120">
        <f>IF(R1="物理",2,IF(OR(R1="化學",R1="組合科學(物理、化學)",R1="組合科學(物理、生物)",R1="組合科學(生物、化學)",R1="設計與應用科技"),1.5,1))</f>
        <v>1</v>
      </c>
      <c r="S82" s="120">
        <f>IF(S1="物理",2,IF(OR(S1="化學",S1="組合科學(物理、化學)",S1="組合科學(物理、生物)",S1="組合科學(生物、化學)",S1="設計與應用科技"),1.5,1))</f>
        <v>1</v>
      </c>
      <c r="T82" s="120">
        <v>1</v>
      </c>
      <c r="V82" s="117">
        <f t="shared" si="66"/>
        <v>1E-10</v>
      </c>
      <c r="W82" s="117">
        <f t="shared" si="67"/>
        <v>4.0000000000000001E-10</v>
      </c>
      <c r="X82" s="117">
        <f t="shared" si="68"/>
        <v>6E-10</v>
      </c>
      <c r="Z82" s="117">
        <f t="shared" si="111"/>
        <v>7.500000000000001E-10</v>
      </c>
      <c r="AA82" s="117">
        <f t="shared" si="112"/>
        <v>6E-10</v>
      </c>
      <c r="AB82" s="117">
        <f t="shared" si="113"/>
        <v>6.9999999999999996E-10</v>
      </c>
      <c r="AC82" s="117">
        <f t="shared" si="114"/>
        <v>8.0000000000000003E-10</v>
      </c>
      <c r="AD82" s="117">
        <f t="shared" si="115"/>
        <v>8.9999999999999999E-10</v>
      </c>
      <c r="AE82" s="117">
        <f t="shared" si="116"/>
        <v>0</v>
      </c>
      <c r="AF82" s="117">
        <f t="shared" si="130"/>
        <v>1E-10</v>
      </c>
      <c r="AG82" s="117">
        <f t="shared" si="131"/>
        <v>4.0000000000000001E-10</v>
      </c>
      <c r="AH82" s="117">
        <f t="shared" si="132"/>
        <v>99.000000000599996</v>
      </c>
      <c r="AI82" s="117">
        <f t="shared" si="133"/>
        <v>0</v>
      </c>
      <c r="AJ82" s="117">
        <f t="shared" si="134"/>
        <v>7.500000000000001E-10</v>
      </c>
      <c r="AK82" s="117">
        <f t="shared" si="135"/>
        <v>6E-10</v>
      </c>
      <c r="AL82" s="117">
        <f t="shared" si="136"/>
        <v>6.9999999999999996E-10</v>
      </c>
      <c r="AM82" s="117">
        <f t="shared" si="137"/>
        <v>8.0000000000000003E-10</v>
      </c>
      <c r="AN82" s="117">
        <f t="shared" si="138"/>
        <v>8.9999999999999999E-10</v>
      </c>
      <c r="AO82" s="117">
        <f t="shared" si="139"/>
        <v>0</v>
      </c>
      <c r="AP82" s="117" t="b">
        <f t="shared" si="120"/>
        <v>0</v>
      </c>
      <c r="AQ82" s="117" t="b">
        <f t="shared" si="121"/>
        <v>0</v>
      </c>
      <c r="AR82" s="117" t="b">
        <f t="shared" si="122"/>
        <v>1</v>
      </c>
      <c r="AS82" s="140"/>
      <c r="AT82" s="437" t="b">
        <f t="shared" si="123"/>
        <v>1</v>
      </c>
      <c r="AU82" s="437" t="b">
        <f t="shared" si="124"/>
        <v>0</v>
      </c>
      <c r="AV82" s="437" t="b">
        <f t="shared" si="125"/>
        <v>1</v>
      </c>
      <c r="AW82" s="437" t="b">
        <f t="shared" si="126"/>
        <v>1</v>
      </c>
      <c r="AX82" s="437" t="b">
        <f t="shared" si="127"/>
        <v>1</v>
      </c>
      <c r="AY82" s="437" t="b">
        <f t="shared" si="128"/>
        <v>0</v>
      </c>
      <c r="BA82" s="2" t="str">
        <f>'Reference Score Calculation'!N59</f>
        <v>最佳五科必須包括︰數學</v>
      </c>
      <c r="BB82" s="2" t="str">
        <f>'Reference Score Calculation'!O59</f>
        <v>/</v>
      </c>
      <c r="BC82" s="2"/>
      <c r="BD82" s="2"/>
      <c r="BE82" s="2"/>
      <c r="BF82" s="2"/>
      <c r="BG82" s="2"/>
      <c r="BH82" s="85"/>
      <c r="BI82" s="85"/>
      <c r="BJ82" s="85" t="b">
        <v>1</v>
      </c>
      <c r="BK82" s="85"/>
      <c r="BL82" s="85"/>
      <c r="BM82" s="85"/>
      <c r="BN82" s="85"/>
      <c r="BO82" s="85"/>
      <c r="BP82" s="85"/>
      <c r="BQ82" s="85"/>
      <c r="BR82" s="2" t="s">
        <v>64</v>
      </c>
      <c r="BS82" s="220"/>
      <c r="BT82" s="220" t="str">
        <f>K1</f>
        <v>中國語文</v>
      </c>
      <c r="BU82" s="220" t="str">
        <f>L1</f>
        <v>英國語文</v>
      </c>
      <c r="BV82" s="220" t="str">
        <f>M1</f>
        <v>數學</v>
      </c>
      <c r="BW82" s="218"/>
      <c r="BX82" s="220" t="str">
        <f t="shared" ref="BX82:CC82" si="144">O1</f>
        <v>數學延伸</v>
      </c>
      <c r="BY82" s="220" t="str">
        <f t="shared" si="144"/>
        <v>請選擇第一選修科</v>
      </c>
      <c r="BZ82" s="220" t="str">
        <f t="shared" si="144"/>
        <v>請選擇第二選修科</v>
      </c>
      <c r="CA82" s="220" t="str">
        <f t="shared" si="144"/>
        <v>請選擇第三選修科</v>
      </c>
      <c r="CB82" s="220" t="str">
        <f t="shared" si="144"/>
        <v>請選擇第四選修科</v>
      </c>
      <c r="CC82" s="220" t="str">
        <f t="shared" si="144"/>
        <v>請選擇語言科目</v>
      </c>
      <c r="CD82" s="220"/>
    </row>
    <row r="83" spans="1:87">
      <c r="A83" s="117" t="s">
        <v>897</v>
      </c>
      <c r="B83" s="117" t="str">
        <f>'Reference Score Calculation'!B60</f>
        <v>JS1208</v>
      </c>
      <c r="C83" s="117" t="str">
        <f>'Reference Score Calculation'!E60</f>
        <v>理學士(物理學)</v>
      </c>
      <c r="D83" s="2"/>
      <c r="E83" s="355" t="str">
        <f>'Reference Score Calculation'!F60</f>
        <v>Best 4</v>
      </c>
      <c r="F83" s="354"/>
      <c r="G83" s="16" t="str">
        <f>入學要求!AB69</f>
        <v>v</v>
      </c>
      <c r="H83" s="16" t="str">
        <f>入學要求!AC69</f>
        <v>E</v>
      </c>
      <c r="I83" s="16" t="str">
        <f>入學要求!AD69</f>
        <v>NO</v>
      </c>
      <c r="J83" s="117">
        <f t="shared" si="129"/>
        <v>2.8250000000000005E-9</v>
      </c>
      <c r="K83" s="120">
        <v>1</v>
      </c>
      <c r="L83" s="120">
        <v>2</v>
      </c>
      <c r="M83" s="120">
        <v>1.25</v>
      </c>
      <c r="N83" s="120"/>
      <c r="O83" s="120">
        <v>1.5</v>
      </c>
      <c r="P83" s="120">
        <f>IF(P1="物理",2,1)</f>
        <v>1</v>
      </c>
      <c r="Q83" s="120">
        <f>IF(Q1="物理",2,1)</f>
        <v>1</v>
      </c>
      <c r="R83" s="120">
        <f>IF(R1="物理",2,1)</f>
        <v>1</v>
      </c>
      <c r="S83" s="120">
        <f>IF(S1="物理",2,1)</f>
        <v>1</v>
      </c>
      <c r="T83" s="120">
        <v>1</v>
      </c>
      <c r="V83" s="117">
        <f t="shared" si="66"/>
        <v>1E-10</v>
      </c>
      <c r="W83" s="117">
        <f t="shared" si="67"/>
        <v>4.0000000000000001E-10</v>
      </c>
      <c r="X83" s="117">
        <f t="shared" si="68"/>
        <v>3.75E-10</v>
      </c>
      <c r="Z83" s="117">
        <f t="shared" si="111"/>
        <v>7.500000000000001E-10</v>
      </c>
      <c r="AA83" s="117">
        <f t="shared" si="112"/>
        <v>6E-10</v>
      </c>
      <c r="AB83" s="117">
        <f t="shared" si="113"/>
        <v>6.9999999999999996E-10</v>
      </c>
      <c r="AC83" s="117">
        <f t="shared" si="114"/>
        <v>8.0000000000000003E-10</v>
      </c>
      <c r="AD83" s="117">
        <f t="shared" si="115"/>
        <v>8.9999999999999999E-10</v>
      </c>
      <c r="AE83" s="117">
        <f t="shared" si="116"/>
        <v>0</v>
      </c>
      <c r="AF83" s="117">
        <f t="shared" si="130"/>
        <v>1E-10</v>
      </c>
      <c r="AG83" s="117">
        <f t="shared" si="131"/>
        <v>4.0000000000000001E-10</v>
      </c>
      <c r="AH83" s="117">
        <f t="shared" si="132"/>
        <v>99.000000000374996</v>
      </c>
      <c r="AI83" s="117">
        <f t="shared" si="133"/>
        <v>0</v>
      </c>
      <c r="AJ83" s="117">
        <f t="shared" si="134"/>
        <v>7.500000000000001E-10</v>
      </c>
      <c r="AK83" s="117">
        <f t="shared" si="135"/>
        <v>6E-10</v>
      </c>
      <c r="AL83" s="117">
        <f t="shared" si="136"/>
        <v>6.9999999999999996E-10</v>
      </c>
      <c r="AM83" s="117">
        <f t="shared" si="137"/>
        <v>8.0000000000000003E-10</v>
      </c>
      <c r="AN83" s="117">
        <f t="shared" si="138"/>
        <v>8.9999999999999999E-10</v>
      </c>
      <c r="AO83" s="117">
        <f t="shared" si="139"/>
        <v>0</v>
      </c>
      <c r="AP83" s="117" t="b">
        <f t="shared" si="120"/>
        <v>0</v>
      </c>
      <c r="AQ83" s="117" t="b">
        <f t="shared" si="121"/>
        <v>0</v>
      </c>
      <c r="AR83" s="117" t="b">
        <f t="shared" si="122"/>
        <v>1</v>
      </c>
      <c r="AS83" s="140"/>
      <c r="AT83" s="437" t="b">
        <f t="shared" si="123"/>
        <v>1</v>
      </c>
      <c r="AU83" s="437" t="b">
        <f t="shared" si="124"/>
        <v>0</v>
      </c>
      <c r="AV83" s="437" t="b">
        <f t="shared" si="125"/>
        <v>0</v>
      </c>
      <c r="AW83" s="437" t="b">
        <f t="shared" si="126"/>
        <v>1</v>
      </c>
      <c r="AX83" s="437" t="b">
        <f t="shared" si="127"/>
        <v>1</v>
      </c>
      <c r="AY83" s="437" t="b">
        <f t="shared" si="128"/>
        <v>0</v>
      </c>
      <c r="BA83" s="2" t="str">
        <f>'Reference Score Calculation'!N60</f>
        <v>最佳四科必須包括︰數學</v>
      </c>
      <c r="BB83" s="2" t="str">
        <f>'Reference Score Calculation'!O60</f>
        <v>/</v>
      </c>
      <c r="BC83" s="2"/>
      <c r="BD83" s="2"/>
      <c r="BE83" s="2"/>
      <c r="BF83" s="2"/>
      <c r="BG83" s="2"/>
      <c r="BH83" s="85"/>
      <c r="BI83" s="85"/>
      <c r="BJ83" s="85" t="b">
        <v>1</v>
      </c>
      <c r="BK83" s="85"/>
      <c r="BL83" s="85"/>
      <c r="BM83" s="85"/>
      <c r="BN83" s="85"/>
      <c r="BO83" s="85"/>
      <c r="BP83" s="85"/>
      <c r="BQ83" s="85"/>
      <c r="BR83" s="2" t="s">
        <v>64</v>
      </c>
      <c r="BS83" s="220"/>
      <c r="BT83" s="223">
        <f>K3</f>
        <v>1E-10</v>
      </c>
      <c r="BU83" s="223">
        <f>L3*2</f>
        <v>4.0000000000000001E-10</v>
      </c>
      <c r="BV83" s="223">
        <f>IF(BV82=$BT$80,M3*2,0)</f>
        <v>0</v>
      </c>
      <c r="BW83" s="218"/>
      <c r="BX83" s="223">
        <f>IF(BX82=$BT$80,O3*2,0)</f>
        <v>1.0000000000000001E-9</v>
      </c>
      <c r="BY83" s="223">
        <f>IF(OR(P1="物理",P1="化學",P1="生物"),P3*2,P3)</f>
        <v>6E-10</v>
      </c>
      <c r="BZ83" s="223">
        <f>IF(OR(Q1="物理",Q1="化學",Q1="生物"),Q3*2,Q3)</f>
        <v>6.9999999999999996E-10</v>
      </c>
      <c r="CA83" s="223">
        <f>IF(OR(R1="物理",R1="化學",R1="生物"),R3*2,R3)</f>
        <v>8.0000000000000003E-10</v>
      </c>
      <c r="CB83" s="223">
        <f>IF(OR(S1="物理",S1="化學",S1="生物"),S3*2,S3)</f>
        <v>8.9999999999999999E-10</v>
      </c>
      <c r="CC83" s="223">
        <f>T3</f>
        <v>0</v>
      </c>
      <c r="CD83" s="220"/>
    </row>
    <row r="84" spans="1:87">
      <c r="A84" s="117" t="s">
        <v>902</v>
      </c>
      <c r="B84" s="117" t="str">
        <f>'Reference Score Calculation'!B61</f>
        <v>JS1210</v>
      </c>
      <c r="C84" s="117" t="str">
        <f>'Reference Score Calculation'!E61</f>
        <v>工學士(材料科學及工程)</v>
      </c>
      <c r="D84" s="2"/>
      <c r="E84" s="355" t="str">
        <f>'Reference Score Calculation'!F61</f>
        <v>Best 5</v>
      </c>
      <c r="F84" s="357"/>
      <c r="G84" s="16" t="str">
        <f>入學要求!AB70</f>
        <v>v</v>
      </c>
      <c r="H84" s="16" t="str">
        <f>入學要求!AC70</f>
        <v>E</v>
      </c>
      <c r="I84" s="16" t="str">
        <f>入學要求!AD70</f>
        <v>NO</v>
      </c>
      <c r="J84" s="117">
        <f t="shared" si="129"/>
        <v>3.7500000000000005E-9</v>
      </c>
      <c r="K84" s="120">
        <v>1</v>
      </c>
      <c r="L84" s="120">
        <v>1.5</v>
      </c>
      <c r="M84" s="120">
        <v>2</v>
      </c>
      <c r="N84" s="120"/>
      <c r="O84" s="120">
        <v>1.5</v>
      </c>
      <c r="P84" s="120">
        <f>IF(P1="物理",2,IF(OR(P1="生物",P1="化學"),1.5,1))</f>
        <v>1</v>
      </c>
      <c r="Q84" s="120">
        <f>IF(Q1="物理",2,IF(OR(Q1="生物",Q1="化學"),1.5,1))</f>
        <v>1</v>
      </c>
      <c r="R84" s="120">
        <f>IF(R1="物理",2,IF(OR(R1="生物",R1="化學"),1.5,1))</f>
        <v>1</v>
      </c>
      <c r="S84" s="120">
        <f>IF(S1="物理",2,IF(OR(S1="生物",S1="化學"),1.5,1))</f>
        <v>1</v>
      </c>
      <c r="T84" s="120">
        <v>1</v>
      </c>
      <c r="V84" s="117">
        <f t="shared" si="66"/>
        <v>1E-10</v>
      </c>
      <c r="W84" s="117">
        <f t="shared" si="67"/>
        <v>3E-10</v>
      </c>
      <c r="X84" s="117">
        <f t="shared" si="68"/>
        <v>6E-10</v>
      </c>
      <c r="Z84" s="117">
        <f t="shared" si="111"/>
        <v>7.500000000000001E-10</v>
      </c>
      <c r="AA84" s="117">
        <f t="shared" si="112"/>
        <v>6E-10</v>
      </c>
      <c r="AB84" s="117">
        <f t="shared" si="113"/>
        <v>6.9999999999999996E-10</v>
      </c>
      <c r="AC84" s="117">
        <f t="shared" si="114"/>
        <v>8.0000000000000003E-10</v>
      </c>
      <c r="AD84" s="117">
        <f t="shared" si="115"/>
        <v>8.9999999999999999E-10</v>
      </c>
      <c r="AE84" s="117">
        <f t="shared" si="116"/>
        <v>0</v>
      </c>
      <c r="AF84" s="117">
        <f t="shared" si="130"/>
        <v>1E-10</v>
      </c>
      <c r="AG84" s="117">
        <f t="shared" si="131"/>
        <v>3E-10</v>
      </c>
      <c r="AH84" s="117">
        <f t="shared" si="132"/>
        <v>99.000000000599996</v>
      </c>
      <c r="AI84" s="117">
        <f t="shared" si="133"/>
        <v>0</v>
      </c>
      <c r="AJ84" s="117">
        <f t="shared" si="134"/>
        <v>7.500000000000001E-10</v>
      </c>
      <c r="AK84" s="117">
        <f t="shared" si="135"/>
        <v>6E-10</v>
      </c>
      <c r="AL84" s="117">
        <f t="shared" si="136"/>
        <v>6.9999999999999996E-10</v>
      </c>
      <c r="AM84" s="117">
        <f t="shared" si="137"/>
        <v>8.0000000000000003E-10</v>
      </c>
      <c r="AN84" s="117">
        <f t="shared" si="138"/>
        <v>8.9999999999999999E-10</v>
      </c>
      <c r="AO84" s="117">
        <f t="shared" si="139"/>
        <v>0</v>
      </c>
      <c r="AP84" s="117" t="b">
        <f t="shared" si="120"/>
        <v>0</v>
      </c>
      <c r="AQ84" s="117" t="b">
        <f t="shared" si="121"/>
        <v>0</v>
      </c>
      <c r="AR84" s="117" t="b">
        <f t="shared" si="122"/>
        <v>1</v>
      </c>
      <c r="AS84" s="140"/>
      <c r="AT84" s="437" t="b">
        <f t="shared" si="123"/>
        <v>1</v>
      </c>
      <c r="AU84" s="437" t="b">
        <f t="shared" si="124"/>
        <v>0</v>
      </c>
      <c r="AV84" s="437" t="b">
        <f t="shared" si="125"/>
        <v>1</v>
      </c>
      <c r="AW84" s="437" t="b">
        <f t="shared" si="126"/>
        <v>1</v>
      </c>
      <c r="AX84" s="437" t="b">
        <f t="shared" si="127"/>
        <v>1</v>
      </c>
      <c r="AY84" s="437" t="b">
        <f t="shared" si="128"/>
        <v>0</v>
      </c>
      <c r="BA84" s="2" t="str">
        <f>'Reference Score Calculation'!N61</f>
        <v>最佳五科必須包括︰數學</v>
      </c>
      <c r="BB84" s="2">
        <f>'Reference Score Calculation'!O61</f>
        <v>0</v>
      </c>
      <c r="BC84" s="2"/>
      <c r="BD84" s="2"/>
      <c r="BE84" s="2"/>
      <c r="BF84" s="2"/>
      <c r="BG84" s="2"/>
      <c r="BH84" s="85"/>
      <c r="BI84" s="85"/>
      <c r="BJ84" s="85" t="b">
        <v>1</v>
      </c>
      <c r="BK84" s="85"/>
      <c r="BL84" s="85"/>
      <c r="BM84" s="85"/>
      <c r="BN84" s="85"/>
      <c r="BO84" s="85"/>
      <c r="BP84" s="85"/>
      <c r="BQ84" s="85"/>
      <c r="BR84" s="2" t="s">
        <v>64</v>
      </c>
      <c r="BS84" s="220"/>
      <c r="BT84" s="228" t="b">
        <f>IF(BT83&gt;LARGE($BT$83:$CC$83,6),TRUE,FALSE)</f>
        <v>0</v>
      </c>
      <c r="BU84" s="228" t="b">
        <f>IF(BU83&gt;LARGE($BT$83:$CC$83,6),TRUE,FALSE)</f>
        <v>0</v>
      </c>
      <c r="BV84" s="228" t="b">
        <f>IF(BV83&gt;LARGE($BT$83:$CC$83,6),TRUE,FALSE)</f>
        <v>0</v>
      </c>
      <c r="BW84" s="218"/>
      <c r="BX84" s="228" t="b">
        <f t="shared" ref="BX84:CC84" si="145">IF(BX83&gt;LARGE($BT$83:$CC$83,6),TRUE,FALSE)</f>
        <v>1</v>
      </c>
      <c r="BY84" s="228" t="b">
        <f t="shared" si="145"/>
        <v>1</v>
      </c>
      <c r="BZ84" s="228" t="b">
        <f t="shared" si="145"/>
        <v>1</v>
      </c>
      <c r="CA84" s="228" t="b">
        <f t="shared" si="145"/>
        <v>1</v>
      </c>
      <c r="CB84" s="228" t="b">
        <f t="shared" si="145"/>
        <v>1</v>
      </c>
      <c r="CC84" s="228" t="b">
        <f t="shared" si="145"/>
        <v>0</v>
      </c>
      <c r="CD84" s="220"/>
      <c r="CF84" s="2"/>
      <c r="CG84" s="2"/>
      <c r="CH84" s="2"/>
      <c r="CI84" s="2"/>
    </row>
    <row r="85" spans="1:87">
      <c r="A85" s="117" t="s">
        <v>907</v>
      </c>
      <c r="B85" s="117" t="str">
        <f>'Reference Score Calculation'!B62</f>
        <v>JS1211</v>
      </c>
      <c r="C85" s="117" t="str">
        <f>'Reference Score Calculation'!E62</f>
        <v>工學士(生物醫學工程)</v>
      </c>
      <c r="D85" s="2"/>
      <c r="E85" s="355" t="str">
        <f>'Reference Score Calculation'!F62</f>
        <v>Best 5</v>
      </c>
      <c r="F85" s="357"/>
      <c r="G85" s="16" t="str">
        <f>入學要求!AB71</f>
        <v>v</v>
      </c>
      <c r="H85" s="16" t="str">
        <f>入學要求!AC71</f>
        <v>E</v>
      </c>
      <c r="I85" s="16" t="str">
        <f>入學要求!AD71</f>
        <v>NO</v>
      </c>
      <c r="J85" s="117">
        <f t="shared" si="129"/>
        <v>4.0000000000000002E-9</v>
      </c>
      <c r="K85" s="120">
        <v>1</v>
      </c>
      <c r="L85" s="120">
        <v>2</v>
      </c>
      <c r="M85" s="120">
        <v>2</v>
      </c>
      <c r="N85" s="120"/>
      <c r="O85" s="120">
        <v>2</v>
      </c>
      <c r="P85" s="120">
        <f>IF(OR(P1="物理",P1="化學",P1="生物"),2,1)</f>
        <v>1</v>
      </c>
      <c r="Q85" s="120">
        <f>IF(OR(Q1="物理",Q1="化學",Q1="生物"),2,1)</f>
        <v>1</v>
      </c>
      <c r="R85" s="120">
        <f>IF(OR(R1="物理",R1="化學",R1="生物"),2,1)</f>
        <v>1</v>
      </c>
      <c r="S85" s="120">
        <f>IF(OR(S1="物理",S1="化學",S1="生物"),2,1)</f>
        <v>1</v>
      </c>
      <c r="T85" s="120">
        <v>1</v>
      </c>
      <c r="V85" s="117">
        <f t="shared" si="66"/>
        <v>1E-10</v>
      </c>
      <c r="W85" s="117">
        <f t="shared" si="67"/>
        <v>4.0000000000000001E-10</v>
      </c>
      <c r="X85" s="117">
        <f t="shared" si="68"/>
        <v>6E-10</v>
      </c>
      <c r="Z85" s="117">
        <f t="shared" si="111"/>
        <v>1.0000000000000001E-9</v>
      </c>
      <c r="AA85" s="117">
        <f t="shared" si="112"/>
        <v>6E-10</v>
      </c>
      <c r="AB85" s="117">
        <f t="shared" si="113"/>
        <v>6.9999999999999996E-10</v>
      </c>
      <c r="AC85" s="117">
        <f t="shared" si="114"/>
        <v>8.0000000000000003E-10</v>
      </c>
      <c r="AD85" s="117">
        <f t="shared" si="115"/>
        <v>8.9999999999999999E-10</v>
      </c>
      <c r="AE85" s="117">
        <f t="shared" si="116"/>
        <v>0</v>
      </c>
      <c r="AF85" s="117">
        <f t="shared" si="130"/>
        <v>1E-10</v>
      </c>
      <c r="AG85" s="117">
        <f t="shared" si="131"/>
        <v>4.0000000000000001E-10</v>
      </c>
      <c r="AH85" s="117">
        <f t="shared" si="132"/>
        <v>6E-10</v>
      </c>
      <c r="AI85" s="117">
        <f t="shared" si="133"/>
        <v>0</v>
      </c>
      <c r="AJ85" s="117">
        <f t="shared" si="134"/>
        <v>99.000000001000004</v>
      </c>
      <c r="AK85" s="117">
        <f t="shared" si="135"/>
        <v>99.000000000599996</v>
      </c>
      <c r="AL85" s="117">
        <f t="shared" si="136"/>
        <v>99.000000000699998</v>
      </c>
      <c r="AM85" s="117">
        <f t="shared" si="137"/>
        <v>99.0000000008</v>
      </c>
      <c r="AN85" s="117">
        <f t="shared" si="138"/>
        <v>99.000000000900002</v>
      </c>
      <c r="AO85" s="117">
        <f t="shared" si="139"/>
        <v>0</v>
      </c>
      <c r="AP85" s="117" t="b">
        <f t="shared" si="120"/>
        <v>0</v>
      </c>
      <c r="AQ85" s="117" t="b">
        <f t="shared" si="121"/>
        <v>0</v>
      </c>
      <c r="AR85" s="117" t="b">
        <f t="shared" si="122"/>
        <v>0</v>
      </c>
      <c r="AS85" s="140"/>
      <c r="AT85" s="437" t="b">
        <f t="shared" si="123"/>
        <v>1</v>
      </c>
      <c r="AU85" s="437" t="b">
        <f t="shared" si="124"/>
        <v>1</v>
      </c>
      <c r="AV85" s="437" t="b">
        <f t="shared" si="125"/>
        <v>1</v>
      </c>
      <c r="AW85" s="437" t="b">
        <f t="shared" si="126"/>
        <v>1</v>
      </c>
      <c r="AX85" s="437" t="b">
        <f t="shared" si="127"/>
        <v>1</v>
      </c>
      <c r="AY85" s="437" t="b">
        <f t="shared" si="128"/>
        <v>0</v>
      </c>
      <c r="BA85" s="2" t="str">
        <f>'Reference Score Calculation'!N62</f>
        <v>若同學同時修讀數學及M1/2，最佳五科只會包含其中一科。</v>
      </c>
      <c r="BB85" s="2" t="str">
        <f>'Reference Score Calculation'!O62</f>
        <v>/</v>
      </c>
      <c r="BC85" s="2"/>
      <c r="BD85" s="2"/>
      <c r="BE85" s="2"/>
      <c r="BF85" s="2"/>
      <c r="BG85" s="2"/>
      <c r="BH85" s="85" t="b">
        <f t="shared" ref="BH85:BQ85" si="146">BT84</f>
        <v>0</v>
      </c>
      <c r="BI85" s="85" t="b">
        <f t="shared" si="146"/>
        <v>0</v>
      </c>
      <c r="BJ85" s="85" t="b">
        <f t="shared" si="146"/>
        <v>0</v>
      </c>
      <c r="BK85" s="85">
        <f t="shared" si="146"/>
        <v>0</v>
      </c>
      <c r="BL85" s="85" t="b">
        <f t="shared" si="146"/>
        <v>1</v>
      </c>
      <c r="BM85" s="85" t="b">
        <f t="shared" si="146"/>
        <v>1</v>
      </c>
      <c r="BN85" s="85" t="b">
        <f t="shared" si="146"/>
        <v>1</v>
      </c>
      <c r="BO85" s="85" t="b">
        <f t="shared" si="146"/>
        <v>1</v>
      </c>
      <c r="BP85" s="85" t="b">
        <f t="shared" si="146"/>
        <v>1</v>
      </c>
      <c r="BQ85" s="85" t="b">
        <f t="shared" si="146"/>
        <v>0</v>
      </c>
      <c r="BR85" s="2" t="s">
        <v>64</v>
      </c>
      <c r="BS85" s="217"/>
      <c r="BT85" s="218"/>
      <c r="BU85" s="218"/>
      <c r="BV85" s="218"/>
      <c r="BW85" s="218"/>
      <c r="BX85" s="218"/>
      <c r="BY85" s="218"/>
      <c r="BZ85" s="218"/>
      <c r="CA85" s="218"/>
      <c r="CB85" s="218"/>
      <c r="CC85" s="218"/>
      <c r="CD85" s="218"/>
      <c r="CF85" s="2"/>
      <c r="CG85" s="2"/>
      <c r="CH85" s="2"/>
      <c r="CI85" s="2"/>
    </row>
    <row r="86" spans="1:87">
      <c r="A86" s="117" t="s">
        <v>911</v>
      </c>
      <c r="B86" s="117" t="str">
        <f>'Reference Score Calculation'!B63</f>
        <v>JS1216</v>
      </c>
      <c r="C86" s="117" t="str">
        <f>'Reference Score Calculation'!E63</f>
        <v>工學士(智能製造工程學)</v>
      </c>
      <c r="D86" s="2"/>
      <c r="E86" s="355" t="str">
        <f>'Reference Score Calculation'!F63</f>
        <v>Best 5</v>
      </c>
      <c r="F86" s="357"/>
      <c r="G86" s="16" t="str">
        <f>入學要求!AB72</f>
        <v>v</v>
      </c>
      <c r="H86" s="16" t="str">
        <f>入學要求!AC72</f>
        <v>E</v>
      </c>
      <c r="I86" s="16" t="str">
        <f>入學要求!AD72</f>
        <v>NO</v>
      </c>
      <c r="J86" s="117">
        <f t="shared" si="129"/>
        <v>3.7E-9</v>
      </c>
      <c r="K86" s="120">
        <v>1</v>
      </c>
      <c r="L86" s="120">
        <v>2</v>
      </c>
      <c r="M86" s="120">
        <v>2</v>
      </c>
      <c r="N86" s="120"/>
      <c r="O86" s="120">
        <v>2</v>
      </c>
      <c r="P86" s="120">
        <f>IF(OR(P1="物理",P1="資訊及通訊科技"),2,IF(OR(P1="化學",P1="設計與應用科技"),1.5,1))</f>
        <v>1</v>
      </c>
      <c r="Q86" s="120">
        <f>IF(OR(Q1="物理",Q1="資訊及通訊科技"),2,IF(OR(Q1="化學",Q1="設計與應用科技"),1.5,1))</f>
        <v>1</v>
      </c>
      <c r="R86" s="120">
        <f>IF(OR(R1="物理",R1="資訊及通訊科技"),2,IF(OR(R1="化學",R1="設計與應用科技"),1.5,1))</f>
        <v>1</v>
      </c>
      <c r="S86" s="120">
        <f>IF(OR(S1="物理",S1="資訊及通訊科技"),2,IF(OR(S1="化學",S1="設計與應用科技"),1.5,1))</f>
        <v>1</v>
      </c>
      <c r="T86" s="120">
        <v>1</v>
      </c>
      <c r="V86" s="117">
        <f t="shared" si="66"/>
        <v>1E-10</v>
      </c>
      <c r="W86" s="117">
        <f t="shared" si="67"/>
        <v>4.0000000000000001E-10</v>
      </c>
      <c r="X86" s="117">
        <f t="shared" si="68"/>
        <v>6E-10</v>
      </c>
      <c r="Z86" s="117">
        <f t="shared" si="111"/>
        <v>1.0000000000000001E-9</v>
      </c>
      <c r="AA86" s="117">
        <f t="shared" si="112"/>
        <v>6E-10</v>
      </c>
      <c r="AB86" s="117">
        <f t="shared" si="113"/>
        <v>6.9999999999999996E-10</v>
      </c>
      <c r="AC86" s="117">
        <f t="shared" si="114"/>
        <v>8.0000000000000003E-10</v>
      </c>
      <c r="AD86" s="117">
        <f t="shared" si="115"/>
        <v>8.9999999999999999E-10</v>
      </c>
      <c r="AE86" s="117">
        <f t="shared" si="116"/>
        <v>0</v>
      </c>
      <c r="AF86" s="117">
        <f t="shared" si="130"/>
        <v>1E-10</v>
      </c>
      <c r="AG86" s="117">
        <f t="shared" si="131"/>
        <v>99.000000000399993</v>
      </c>
      <c r="AH86" s="117">
        <f t="shared" si="132"/>
        <v>99.000000000599996</v>
      </c>
      <c r="AI86" s="117">
        <f t="shared" si="133"/>
        <v>0</v>
      </c>
      <c r="AJ86" s="117">
        <f t="shared" si="134"/>
        <v>1.0000000000000001E-9</v>
      </c>
      <c r="AK86" s="117">
        <f t="shared" si="135"/>
        <v>6E-10</v>
      </c>
      <c r="AL86" s="117">
        <f t="shared" si="136"/>
        <v>6.9999999999999996E-10</v>
      </c>
      <c r="AM86" s="117">
        <f t="shared" si="137"/>
        <v>8.0000000000000003E-10</v>
      </c>
      <c r="AN86" s="117">
        <f t="shared" si="138"/>
        <v>8.9999999999999999E-10</v>
      </c>
      <c r="AO86" s="117">
        <f t="shared" si="139"/>
        <v>0</v>
      </c>
      <c r="AP86" s="117" t="b">
        <f t="shared" si="120"/>
        <v>0</v>
      </c>
      <c r="AQ86" s="117" t="b">
        <f t="shared" si="121"/>
        <v>1</v>
      </c>
      <c r="AR86" s="117" t="b">
        <f t="shared" si="122"/>
        <v>1</v>
      </c>
      <c r="AS86" s="140"/>
      <c r="AT86" s="437" t="b">
        <f t="shared" si="123"/>
        <v>1</v>
      </c>
      <c r="AU86" s="437" t="b">
        <f t="shared" si="124"/>
        <v>0</v>
      </c>
      <c r="AV86" s="437" t="b">
        <f t="shared" si="125"/>
        <v>0</v>
      </c>
      <c r="AW86" s="437" t="b">
        <f t="shared" si="126"/>
        <v>1</v>
      </c>
      <c r="AX86" s="437" t="b">
        <f t="shared" si="127"/>
        <v>1</v>
      </c>
      <c r="AY86" s="437" t="b">
        <f t="shared" si="128"/>
        <v>0</v>
      </c>
      <c r="BA86" s="2" t="str">
        <f>'Reference Score Calculation'!N63</f>
        <v>最佳五科必須包括︰英文、數學</v>
      </c>
      <c r="BB86" s="2" t="str">
        <f>'Reference Score Calculation'!O63</f>
        <v>/</v>
      </c>
      <c r="BC86" s="2"/>
      <c r="BD86" s="2"/>
      <c r="BE86" s="2"/>
      <c r="BF86" s="2"/>
      <c r="BG86" s="2"/>
      <c r="BH86" s="85"/>
      <c r="BI86" s="85" t="b">
        <v>1</v>
      </c>
      <c r="BJ86" s="85" t="b">
        <v>1</v>
      </c>
      <c r="BK86" s="85"/>
      <c r="BL86" s="85"/>
      <c r="BM86" s="85"/>
      <c r="BN86" s="85"/>
      <c r="BO86" s="85"/>
      <c r="BP86" s="85"/>
      <c r="BQ86" s="85"/>
      <c r="BR86" s="2" t="s">
        <v>64</v>
      </c>
      <c r="BS86" s="227" t="s">
        <v>284</v>
      </c>
      <c r="BT86" s="218"/>
      <c r="BU86" s="218"/>
      <c r="BV86" s="218"/>
      <c r="BW86" s="218"/>
      <c r="BX86" s="218"/>
      <c r="BY86" s="218"/>
      <c r="BZ86" s="218"/>
      <c r="CA86" s="218"/>
      <c r="CB86" s="218"/>
      <c r="CC86" s="218"/>
      <c r="CD86" s="220"/>
      <c r="CF86" s="2"/>
      <c r="CG86" s="2"/>
      <c r="CH86" s="2"/>
      <c r="CI86" s="2"/>
    </row>
    <row r="87" spans="1:87">
      <c r="A87" s="117" t="s">
        <v>915</v>
      </c>
      <c r="B87" s="117" t="str">
        <f>'Reference Score Calculation'!B64</f>
        <v>JS1217</v>
      </c>
      <c r="C87" s="117" t="str">
        <f>'Reference Score Calculation'!E64</f>
        <v>工學院(選項: 工學院任何一個主修及工程創業副修)</v>
      </c>
      <c r="D87" s="2"/>
      <c r="E87" s="355" t="str">
        <f>'Reference Score Calculation'!F64</f>
        <v>Best 5</v>
      </c>
      <c r="F87" s="357"/>
      <c r="G87" s="16" t="str">
        <f>入學要求!AB73</f>
        <v>v</v>
      </c>
      <c r="H87" s="16" t="str">
        <f>入學要求!AC73</f>
        <v>NO</v>
      </c>
      <c r="I87" s="16" t="str">
        <f>入學要求!AD73</f>
        <v>NO</v>
      </c>
      <c r="J87" s="117">
        <f t="shared" si="129"/>
        <v>3.8000000000000001E-9</v>
      </c>
      <c r="K87" s="120">
        <v>1</v>
      </c>
      <c r="L87" s="120">
        <v>2</v>
      </c>
      <c r="M87" s="120">
        <v>2</v>
      </c>
      <c r="N87" s="120"/>
      <c r="O87" s="120">
        <v>2</v>
      </c>
      <c r="P87" s="120">
        <f>IF(OR(P1="物理",P1="生物",P1="化學",P1="資訊及通訊科技",P1="設計與應用科技"),2,1)</f>
        <v>1</v>
      </c>
      <c r="Q87" s="120">
        <f>IF(OR(Q1="物理",Q1="生物",Q1="化學",Q1="資訊及通訊科技",Q1="設計與應用科技"),2,1)</f>
        <v>1</v>
      </c>
      <c r="R87" s="120">
        <f>IF(OR(R1="物理",R1="生物",R1="化學",R1="資訊及通訊科技",R1="設計與應用科技"),2,1)</f>
        <v>1</v>
      </c>
      <c r="S87" s="120">
        <f>IF(OR(S1="物理",S1="生物",S1="化學",S1="資訊及通訊科技",S1="設計與應用科技"),2,1)</f>
        <v>1</v>
      </c>
      <c r="T87" s="120">
        <v>1</v>
      </c>
      <c r="V87" s="117">
        <f t="shared" si="66"/>
        <v>1E-10</v>
      </c>
      <c r="W87" s="117">
        <f t="shared" si="67"/>
        <v>4.0000000000000001E-10</v>
      </c>
      <c r="X87" s="117">
        <f t="shared" si="68"/>
        <v>6E-10</v>
      </c>
      <c r="Z87" s="117">
        <f t="shared" si="111"/>
        <v>1.0000000000000001E-9</v>
      </c>
      <c r="AA87" s="117">
        <f t="shared" si="112"/>
        <v>6E-10</v>
      </c>
      <c r="AB87" s="117">
        <f t="shared" si="113"/>
        <v>6.9999999999999996E-10</v>
      </c>
      <c r="AC87" s="117">
        <f t="shared" si="114"/>
        <v>8.0000000000000003E-10</v>
      </c>
      <c r="AD87" s="117">
        <f t="shared" si="115"/>
        <v>8.9999999999999999E-10</v>
      </c>
      <c r="AE87" s="117">
        <f t="shared" si="116"/>
        <v>0</v>
      </c>
      <c r="AF87" s="117">
        <f t="shared" si="130"/>
        <v>1E-10</v>
      </c>
      <c r="AG87" s="117">
        <f t="shared" si="131"/>
        <v>99.000000000399993</v>
      </c>
      <c r="AH87" s="117">
        <f t="shared" si="132"/>
        <v>6E-10</v>
      </c>
      <c r="AI87" s="117">
        <f t="shared" si="133"/>
        <v>0</v>
      </c>
      <c r="AJ87" s="117">
        <f t="shared" si="134"/>
        <v>1.0000000000000001E-9</v>
      </c>
      <c r="AK87" s="117">
        <f t="shared" si="135"/>
        <v>6E-10</v>
      </c>
      <c r="AL87" s="117">
        <f t="shared" si="136"/>
        <v>6.9999999999999996E-10</v>
      </c>
      <c r="AM87" s="117">
        <f t="shared" si="137"/>
        <v>8.0000000000000003E-10</v>
      </c>
      <c r="AN87" s="117">
        <f t="shared" si="138"/>
        <v>8.9999999999999999E-10</v>
      </c>
      <c r="AO87" s="117">
        <f t="shared" si="139"/>
        <v>0</v>
      </c>
      <c r="AP87" s="117" t="b">
        <f t="shared" si="120"/>
        <v>0</v>
      </c>
      <c r="AQ87" s="117" t="b">
        <f t="shared" si="121"/>
        <v>1</v>
      </c>
      <c r="AR87" s="117" t="b">
        <f t="shared" si="122"/>
        <v>0</v>
      </c>
      <c r="AS87" s="140"/>
      <c r="AT87" s="437" t="b">
        <f t="shared" si="123"/>
        <v>1</v>
      </c>
      <c r="AU87" s="437" t="b">
        <f t="shared" si="124"/>
        <v>0</v>
      </c>
      <c r="AV87" s="437" t="b">
        <f t="shared" si="125"/>
        <v>1</v>
      </c>
      <c r="AW87" s="437" t="b">
        <f t="shared" si="126"/>
        <v>1</v>
      </c>
      <c r="AX87" s="437" t="b">
        <f t="shared" si="127"/>
        <v>1</v>
      </c>
      <c r="AY87" s="437" t="b">
        <f t="shared" si="128"/>
        <v>0</v>
      </c>
      <c r="BA87" s="2" t="str">
        <f>'Reference Score Calculation'!N64</f>
        <v>最佳五科必須包括︰英文</v>
      </c>
      <c r="BB87" s="2" t="str">
        <f>'Reference Score Calculation'!O64</f>
        <v>/</v>
      </c>
      <c r="BC87" s="2"/>
      <c r="BD87" s="2"/>
      <c r="BE87" s="2"/>
      <c r="BF87" s="2"/>
      <c r="BG87" s="2"/>
      <c r="BH87" s="85"/>
      <c r="BI87" s="85" t="b">
        <v>1</v>
      </c>
      <c r="BJ87" s="85"/>
      <c r="BK87" s="85"/>
      <c r="BL87" s="85"/>
      <c r="BM87" s="85"/>
      <c r="BN87" s="85"/>
      <c r="BO87" s="85"/>
      <c r="BP87" s="85"/>
      <c r="BQ87" s="85"/>
      <c r="BR87" s="2" t="s">
        <v>64</v>
      </c>
      <c r="BS87" s="218"/>
      <c r="BT87" s="218"/>
      <c r="BU87" s="218"/>
      <c r="BV87" s="218"/>
      <c r="BW87" s="218"/>
      <c r="BX87" s="218"/>
      <c r="BY87" s="218"/>
      <c r="BZ87" s="218"/>
      <c r="CA87" s="218"/>
      <c r="CB87" s="218"/>
      <c r="CC87" s="218"/>
      <c r="CD87" s="220"/>
    </row>
    <row r="88" spans="1:87">
      <c r="A88" s="117" t="s">
        <v>2608</v>
      </c>
      <c r="B88" s="117" t="str">
        <f>'Reference Score Calculation'!B65</f>
        <v>JS1218</v>
      </c>
      <c r="C88" s="117" t="str">
        <f>'Reference Score Calculation'!E65</f>
        <v>理學士 (網絡安全) (特點: 系統安全 / 軟件安全 / 密碼學 / 隱私增強技術 / 網絡風險管理)</v>
      </c>
      <c r="D88" s="2"/>
      <c r="E88" s="355" t="str">
        <f>'Reference Score Calculation'!F65</f>
        <v>25年新科目</v>
      </c>
      <c r="G88" s="16" t="str">
        <f>入學要求!AB74</f>
        <v>v</v>
      </c>
      <c r="H88" s="16" t="str">
        <f>入學要求!AC74</f>
        <v>E</v>
      </c>
      <c r="I88" s="16" t="str">
        <f>入學要求!AD74</f>
        <v>NO</v>
      </c>
      <c r="J88" s="117">
        <f t="shared" ref="J88:J94" si="147">SUMIF(AP88:AY88,TRUE,V88:AE88)</f>
        <v>3.4999999999999999E-9</v>
      </c>
      <c r="K88" s="117">
        <v>1</v>
      </c>
      <c r="L88" s="117">
        <v>1</v>
      </c>
      <c r="M88" s="117">
        <v>1</v>
      </c>
      <c r="O88" s="117">
        <v>1</v>
      </c>
      <c r="P88" s="117">
        <v>1</v>
      </c>
      <c r="Q88" s="117">
        <v>1</v>
      </c>
      <c r="R88" s="117">
        <v>1</v>
      </c>
      <c r="S88" s="117">
        <v>1</v>
      </c>
      <c r="T88" s="117">
        <v>1</v>
      </c>
      <c r="V88" s="117">
        <f t="shared" ref="V88:V89" si="148">K$3*K88</f>
        <v>1E-10</v>
      </c>
      <c r="W88" s="117">
        <f t="shared" ref="W88" si="149">L$3*L88</f>
        <v>2.0000000000000001E-10</v>
      </c>
      <c r="X88" s="117">
        <f t="shared" ref="X88:X89" si="150">M$3*M88</f>
        <v>3E-10</v>
      </c>
      <c r="Z88" s="117">
        <f t="shared" ref="Z88:Z89" si="151">IF(G88="v",O$3*O88,0)</f>
        <v>5.0000000000000003E-10</v>
      </c>
      <c r="AA88" s="117">
        <f t="shared" ref="AA88:AA89" si="152">P$3*P88</f>
        <v>6E-10</v>
      </c>
      <c r="AB88" s="117">
        <f t="shared" ref="AB88:AB89" si="153">Q$3*Q88</f>
        <v>6.9999999999999996E-10</v>
      </c>
      <c r="AC88" s="117">
        <f t="shared" ref="AC88:AC89" si="154">R$3*R88</f>
        <v>8.0000000000000003E-10</v>
      </c>
      <c r="AD88" s="117">
        <f t="shared" ref="AD88:AD89" si="155">S$3*S88</f>
        <v>8.9999999999999999E-10</v>
      </c>
      <c r="AE88" s="117">
        <f t="shared" ref="AE88:AE89" si="156">IF(H88="E",T$3*T88,0)</f>
        <v>0</v>
      </c>
      <c r="AF88" s="117">
        <f t="shared" si="130"/>
        <v>1E-10</v>
      </c>
      <c r="AG88" s="117">
        <f t="shared" si="131"/>
        <v>2.0000000000000001E-10</v>
      </c>
      <c r="AH88" s="117">
        <f t="shared" si="132"/>
        <v>3E-10</v>
      </c>
      <c r="AI88" s="117">
        <f t="shared" si="133"/>
        <v>0</v>
      </c>
      <c r="AJ88" s="117">
        <f t="shared" si="134"/>
        <v>5.0000000000000003E-10</v>
      </c>
      <c r="AK88" s="117">
        <f t="shared" si="135"/>
        <v>6E-10</v>
      </c>
      <c r="AL88" s="117">
        <f t="shared" si="136"/>
        <v>6.9999999999999996E-10</v>
      </c>
      <c r="AM88" s="117">
        <f t="shared" si="137"/>
        <v>8.0000000000000003E-10</v>
      </c>
      <c r="AN88" s="117">
        <f t="shared" si="138"/>
        <v>8.9999999999999999E-10</v>
      </c>
      <c r="AO88" s="117">
        <f t="shared" si="139"/>
        <v>0</v>
      </c>
      <c r="AP88" s="117" t="b">
        <f>IF(AF88&gt;LARGE($AF88:$AO88,6),TRUE)</f>
        <v>0</v>
      </c>
      <c r="AQ88" s="117" t="b">
        <f t="shared" ref="AQ88:AY88" si="157">IF(AG88&gt;LARGE($AF88:$AO88,6),TRUE)</f>
        <v>0</v>
      </c>
      <c r="AR88" s="117" t="b">
        <f t="shared" si="157"/>
        <v>0</v>
      </c>
      <c r="AS88" s="117" t="b">
        <f t="shared" si="157"/>
        <v>0</v>
      </c>
      <c r="AT88" s="117" t="b">
        <f t="shared" si="157"/>
        <v>1</v>
      </c>
      <c r="AU88" s="117" t="b">
        <f t="shared" si="157"/>
        <v>1</v>
      </c>
      <c r="AV88" s="117" t="b">
        <f t="shared" si="157"/>
        <v>1</v>
      </c>
      <c r="AW88" s="117" t="b">
        <f t="shared" si="157"/>
        <v>1</v>
      </c>
      <c r="AX88" s="117" t="b">
        <f t="shared" si="157"/>
        <v>1</v>
      </c>
      <c r="AY88" s="117" t="b">
        <f t="shared" si="157"/>
        <v>0</v>
      </c>
      <c r="BC88" s="2"/>
      <c r="BD88" s="2"/>
      <c r="BE88" s="2"/>
      <c r="BF88" s="2"/>
      <c r="BG88" s="2"/>
      <c r="BH88" s="85"/>
      <c r="BI88" s="85"/>
      <c r="BJ88" s="85"/>
      <c r="BK88" s="85"/>
      <c r="BL88" s="85"/>
      <c r="BM88" s="85"/>
      <c r="BN88" s="85"/>
      <c r="BO88" s="85"/>
      <c r="BP88" s="85"/>
      <c r="BQ88" s="85"/>
      <c r="BR88" s="2" t="s">
        <v>64</v>
      </c>
      <c r="BS88" s="220"/>
      <c r="BT88" s="220" t="str">
        <f>P1</f>
        <v>請選擇第一選修科</v>
      </c>
      <c r="BU88" s="220" t="str">
        <f>Q1</f>
        <v>請選擇第二選修科</v>
      </c>
      <c r="BV88" s="220" t="str">
        <f>R1</f>
        <v>請選擇第三選修科</v>
      </c>
      <c r="BW88" s="220" t="str">
        <f>S1</f>
        <v>請選擇第四選修科</v>
      </c>
      <c r="BX88" s="220"/>
      <c r="BY88" s="220" t="s">
        <v>285</v>
      </c>
      <c r="BZ88" s="220"/>
      <c r="CA88" s="220"/>
      <c r="CB88" s="220"/>
      <c r="CC88" s="218"/>
      <c r="CD88" s="220"/>
    </row>
    <row r="89" spans="1:87">
      <c r="A89" s="117" t="s">
        <v>2611</v>
      </c>
      <c r="B89" s="117" t="str">
        <f>'Reference Score Calculation'!B66</f>
        <v>JS1219</v>
      </c>
      <c r="C89" s="117" t="str">
        <f>'Reference Score Calculation'!E66</f>
        <v>工學士(創新與企業工程學) (特點: 工程學 / 科技 / 創新 / 企業 / 創業)</v>
      </c>
      <c r="D89" s="2"/>
      <c r="E89" s="355" t="str">
        <f>'Reference Score Calculation'!F66</f>
        <v>25年新科目</v>
      </c>
      <c r="F89" s="354"/>
      <c r="G89" s="16" t="str">
        <f>入學要求!AB75</f>
        <v>v</v>
      </c>
      <c r="H89" s="16" t="str">
        <f>入學要求!AC75</f>
        <v>E</v>
      </c>
      <c r="I89" s="16" t="str">
        <f>入學要求!AD75</f>
        <v>NO</v>
      </c>
      <c r="J89" s="117">
        <f t="shared" si="147"/>
        <v>3.3999999999999998E-9</v>
      </c>
      <c r="K89" s="120">
        <v>1</v>
      </c>
      <c r="L89" s="120">
        <v>2</v>
      </c>
      <c r="M89" s="120">
        <v>2</v>
      </c>
      <c r="N89" s="120"/>
      <c r="O89" s="120">
        <v>2</v>
      </c>
      <c r="P89" s="120">
        <f>IF(OR(P1="物理",P1="生物",P1="化學",P1="資訊及通訊科技",P1="經濟",P1="設計與應用科技"),2,1)</f>
        <v>1</v>
      </c>
      <c r="Q89" s="120">
        <f>IF(OR(Q1="物理",Q1="生物",Q1="化學",Q1="資訊及通訊科技",Q1="經濟",Q1="設計與應用科技"),2,1)</f>
        <v>1</v>
      </c>
      <c r="R89" s="120">
        <f>IF(OR(R1="物理",R1="生物",R1="化學",R1="資訊及通訊科技",R1="經濟",R1="設計與應用科技"),2,1)</f>
        <v>1</v>
      </c>
      <c r="S89" s="120">
        <f>IF(OR(S1="物理",S1="生物",S1="化學",S1="資訊及通訊科技",S1="經濟",S1="設計與應用科技"),2,1)</f>
        <v>1</v>
      </c>
      <c r="T89" s="120">
        <f>IF(OR(T1="物理",T1="生物",T1="化學",T1="資訊及通訊科技",T1="經濟",T1="設計與應用科技"),2,1)</f>
        <v>1</v>
      </c>
      <c r="V89" s="117">
        <f t="shared" si="148"/>
        <v>1E-10</v>
      </c>
      <c r="W89" s="117">
        <f>L$3*L89</f>
        <v>4.0000000000000001E-10</v>
      </c>
      <c r="X89" s="117">
        <f t="shared" si="150"/>
        <v>6E-10</v>
      </c>
      <c r="Z89" s="117">
        <f t="shared" si="151"/>
        <v>1.0000000000000001E-9</v>
      </c>
      <c r="AA89" s="117">
        <f t="shared" si="152"/>
        <v>6E-10</v>
      </c>
      <c r="AB89" s="117">
        <f t="shared" si="153"/>
        <v>6.9999999999999996E-10</v>
      </c>
      <c r="AC89" s="117">
        <f t="shared" si="154"/>
        <v>8.0000000000000003E-10</v>
      </c>
      <c r="AD89" s="117">
        <f t="shared" si="155"/>
        <v>8.9999999999999999E-10</v>
      </c>
      <c r="AE89" s="117">
        <f t="shared" si="156"/>
        <v>0</v>
      </c>
      <c r="AF89" s="117">
        <f t="shared" si="130"/>
        <v>1E-10</v>
      </c>
      <c r="AG89" s="117">
        <f t="shared" si="131"/>
        <v>4.0000000000000001E-10</v>
      </c>
      <c r="AH89" s="117">
        <f t="shared" si="132"/>
        <v>6E-10</v>
      </c>
      <c r="AI89" s="117">
        <f t="shared" si="133"/>
        <v>0</v>
      </c>
      <c r="AJ89" s="117">
        <f t="shared" si="134"/>
        <v>1.0000000000000001E-9</v>
      </c>
      <c r="AK89" s="117">
        <f t="shared" si="135"/>
        <v>6E-10</v>
      </c>
      <c r="AL89" s="117">
        <f t="shared" si="136"/>
        <v>6.9999999999999996E-10</v>
      </c>
      <c r="AM89" s="117">
        <f t="shared" si="137"/>
        <v>8.0000000000000003E-10</v>
      </c>
      <c r="AN89" s="117">
        <f t="shared" si="138"/>
        <v>8.9999999999999999E-10</v>
      </c>
      <c r="AO89" s="117">
        <f t="shared" si="139"/>
        <v>0</v>
      </c>
      <c r="AP89" s="117" t="b">
        <f>IF(AF89&gt;LARGE($AF89:$AO89,6),TRUE)</f>
        <v>0</v>
      </c>
      <c r="AQ89" s="117" t="b">
        <f t="shared" ref="AQ89" si="158">IF(AG89&gt;LARGE($AF89:$AO89,6),TRUE)</f>
        <v>0</v>
      </c>
      <c r="AR89" s="117" t="b">
        <f t="shared" ref="AR89" si="159">IF(AH89&gt;LARGE($AF89:$AO89,6),TRUE)</f>
        <v>0</v>
      </c>
      <c r="AS89" s="117" t="b">
        <f t="shared" ref="AS89" si="160">IF(AI89&gt;LARGE($AF89:$AO89,6),TRUE)</f>
        <v>0</v>
      </c>
      <c r="AT89" s="117" t="b">
        <f t="shared" ref="AT89" si="161">IF(AJ89&gt;LARGE($AF89:$AO89,6),TRUE)</f>
        <v>1</v>
      </c>
      <c r="AU89" s="117" t="b">
        <f t="shared" ref="AU89" si="162">IF(AK89&gt;LARGE($AF89:$AO89,6),TRUE)</f>
        <v>0</v>
      </c>
      <c r="AV89" s="117" t="b">
        <f t="shared" ref="AV89" si="163">IF(AL89&gt;LARGE($AF89:$AO89,6),TRUE)</f>
        <v>1</v>
      </c>
      <c r="AW89" s="117" t="b">
        <f t="shared" ref="AW89" si="164">IF(AM89&gt;LARGE($AF89:$AO89,6),TRUE)</f>
        <v>1</v>
      </c>
      <c r="AX89" s="117" t="b">
        <f t="shared" ref="AX89" si="165">IF(AN89&gt;LARGE($AF89:$AO89,6),TRUE)</f>
        <v>1</v>
      </c>
      <c r="AY89" s="117" t="b">
        <f t="shared" ref="AY89" si="166">IF(AO89&gt;LARGE($AF89:$AO89,6),TRUE)</f>
        <v>0</v>
      </c>
      <c r="BA89" s="2"/>
      <c r="BB89" s="2"/>
      <c r="BC89" s="2"/>
      <c r="BD89" s="2"/>
      <c r="BE89" s="2"/>
      <c r="BF89" s="2"/>
      <c r="BG89" s="2"/>
      <c r="BH89" s="85"/>
      <c r="BI89" s="85"/>
      <c r="BJ89" s="85"/>
      <c r="BK89" s="85"/>
      <c r="BL89" s="85"/>
      <c r="BM89" s="85"/>
      <c r="BN89" s="85"/>
      <c r="BO89" s="85"/>
      <c r="BP89" s="85"/>
      <c r="BQ89" s="85"/>
      <c r="BR89" s="2" t="s">
        <v>64</v>
      </c>
      <c r="BS89" s="221" t="s">
        <v>286</v>
      </c>
      <c r="BT89" s="223">
        <f>IF(OR(P1="化學",P1="生物"),P3,0)</f>
        <v>0</v>
      </c>
      <c r="BU89" s="223">
        <f>IF(OR(Q1="化學",Q1="生物"),Q3,0)</f>
        <v>0</v>
      </c>
      <c r="BV89" s="223">
        <f>IF(OR(R1="化學",R1="生物"),R3,0)</f>
        <v>0</v>
      </c>
      <c r="BW89" s="223">
        <f>IF(OR(S1="化學",S1="生物"),S3,0)</f>
        <v>0</v>
      </c>
      <c r="BX89" s="220"/>
      <c r="BY89" s="223" t="str">
        <f>IF(BZ89&gt;0,INDEX(BT88:BW88,MATCH(LARGE(BT89:BW89,1),BT89:BW89,0)),"無")</f>
        <v>無</v>
      </c>
      <c r="BZ89" s="223">
        <f>LARGE((BT89:BW89),1)</f>
        <v>0</v>
      </c>
      <c r="CA89" s="223" t="str">
        <f>IF(CB89&gt;0,INDEX(BT88:BW88,MATCH(LARGE(BT89:BW89,2),BT89:BW89,0)),"無")</f>
        <v>無</v>
      </c>
      <c r="CB89" s="223">
        <f>LARGE((BT89:BW89),2)</f>
        <v>0</v>
      </c>
      <c r="CC89" s="218"/>
      <c r="CD89" s="218"/>
    </row>
    <row r="90" spans="1:87">
      <c r="A90" s="117" t="s">
        <v>922</v>
      </c>
      <c r="B90" s="117" t="str">
        <f>'Reference Score Calculation'!B67</f>
        <v>JS1221</v>
      </c>
      <c r="C90" s="117" t="str">
        <f>'Reference Score Calculation'!E67</f>
        <v>理學士(電腦科學)與理學士(計算金融及金融科技)</v>
      </c>
      <c r="D90" s="2"/>
      <c r="E90" s="355" t="str">
        <f>'Reference Score Calculation'!F67</f>
        <v>Best 5</v>
      </c>
      <c r="F90" s="356"/>
      <c r="G90" s="16" t="str">
        <f>入學要求!AB76</f>
        <v>v</v>
      </c>
      <c r="H90" s="16" t="str">
        <f>入學要求!AC76</f>
        <v>E</v>
      </c>
      <c r="I90" s="16" t="str">
        <f>入學要求!AD76</f>
        <v>NO</v>
      </c>
      <c r="J90" s="117">
        <f t="shared" si="147"/>
        <v>3.4999999999999999E-9</v>
      </c>
      <c r="K90" s="120">
        <v>1</v>
      </c>
      <c r="L90" s="120">
        <v>1</v>
      </c>
      <c r="M90" s="120">
        <v>1</v>
      </c>
      <c r="N90" s="120"/>
      <c r="O90" s="120">
        <v>1</v>
      </c>
      <c r="P90" s="120">
        <v>1</v>
      </c>
      <c r="Q90" s="120">
        <v>1</v>
      </c>
      <c r="R90" s="120">
        <v>1</v>
      </c>
      <c r="S90" s="120">
        <v>1</v>
      </c>
      <c r="T90" s="120">
        <v>1</v>
      </c>
      <c r="V90" s="117">
        <f t="shared" ref="V90:V94" si="167">K$3*K90</f>
        <v>1E-10</v>
      </c>
      <c r="W90" s="117">
        <f t="shared" ref="W90:X94" si="168">L$3*L90</f>
        <v>2.0000000000000001E-10</v>
      </c>
      <c r="X90" s="117">
        <f t="shared" si="168"/>
        <v>3E-10</v>
      </c>
      <c r="Z90" s="117">
        <f>IF(G90="v",O$3*O90,0)</f>
        <v>5.0000000000000003E-10</v>
      </c>
      <c r="AA90" s="117">
        <f t="shared" ref="AA90:AD94" si="169">P$3*P90</f>
        <v>6E-10</v>
      </c>
      <c r="AB90" s="117">
        <f t="shared" si="169"/>
        <v>6.9999999999999996E-10</v>
      </c>
      <c r="AC90" s="117">
        <f t="shared" si="169"/>
        <v>8.0000000000000003E-10</v>
      </c>
      <c r="AD90" s="117">
        <f t="shared" si="169"/>
        <v>8.9999999999999999E-10</v>
      </c>
      <c r="AE90" s="117">
        <f>IF(H90="E",T$3*T90,0)</f>
        <v>0</v>
      </c>
      <c r="AF90" s="117">
        <f t="shared" si="130"/>
        <v>1E-10</v>
      </c>
      <c r="AG90" s="117">
        <f t="shared" si="131"/>
        <v>2.0000000000000001E-10</v>
      </c>
      <c r="AH90" s="117">
        <f t="shared" si="132"/>
        <v>3E-10</v>
      </c>
      <c r="AI90" s="117">
        <f t="shared" si="133"/>
        <v>0</v>
      </c>
      <c r="AJ90" s="117">
        <f t="shared" si="134"/>
        <v>5.0000000000000003E-10</v>
      </c>
      <c r="AK90" s="117">
        <f t="shared" si="135"/>
        <v>6E-10</v>
      </c>
      <c r="AL90" s="117">
        <f t="shared" si="136"/>
        <v>6.9999999999999996E-10</v>
      </c>
      <c r="AM90" s="117">
        <f t="shared" si="137"/>
        <v>8.0000000000000003E-10</v>
      </c>
      <c r="AN90" s="117">
        <f t="shared" si="138"/>
        <v>8.9999999999999999E-10</v>
      </c>
      <c r="AO90" s="117">
        <f t="shared" si="139"/>
        <v>0</v>
      </c>
      <c r="AP90" s="117" t="b">
        <f t="shared" ref="AP90:AR94" si="170">IF(BH90=TRUE,TRUE,IF($E90="3C2X",TRUE,IF($E90="Best 5",IF(AF90&gt;LARGE($AF90:$AO90,6),TRUE),IF($E90="Best 4",IF(AF90&gt;LARGE($AF90:$AO90,5),TRUE)))))</f>
        <v>0</v>
      </c>
      <c r="AQ90" s="117" t="b">
        <f t="shared" si="170"/>
        <v>0</v>
      </c>
      <c r="AR90" s="117" t="b">
        <f t="shared" si="170"/>
        <v>0</v>
      </c>
      <c r="AT90" s="437" t="b">
        <f t="shared" ref="AT90:AY94" si="171">IF(BL90=TRUE,TRUE,IF($E90="3C2X",IF(AJ90&gt;LARGE($AJ90:$AO90,3),TRUE),IF($E90="Best 4",IF(AJ90&gt;LARGE($AF90:$AO90,5),TRUE),IF($E90="Best 5",IF(AJ90&gt;LARGE($AF90:$AO90,6),TRUE)))))</f>
        <v>1</v>
      </c>
      <c r="AU90" s="437" t="b">
        <f t="shared" si="171"/>
        <v>1</v>
      </c>
      <c r="AV90" s="437" t="b">
        <f t="shared" si="171"/>
        <v>1</v>
      </c>
      <c r="AW90" s="437" t="b">
        <f t="shared" si="171"/>
        <v>1</v>
      </c>
      <c r="AX90" s="437" t="b">
        <f t="shared" si="171"/>
        <v>1</v>
      </c>
      <c r="AY90" s="437" t="b">
        <f t="shared" si="171"/>
        <v>0</v>
      </c>
      <c r="BA90" s="2" t="str">
        <f>'Reference Score Calculation'!N67</f>
        <v>/</v>
      </c>
      <c r="BB90" s="2"/>
      <c r="BC90" s="2"/>
      <c r="BD90" s="2"/>
      <c r="BE90" s="2"/>
      <c r="BF90" s="2"/>
      <c r="BG90" s="2"/>
      <c r="BH90" s="85"/>
      <c r="BI90" s="85"/>
      <c r="BJ90" s="85"/>
      <c r="BK90" s="85"/>
      <c r="BL90" s="85"/>
      <c r="BM90" s="85"/>
      <c r="BN90" s="85"/>
      <c r="BO90" s="85"/>
      <c r="BP90" s="85"/>
      <c r="BQ90" s="85"/>
      <c r="BR90" s="2"/>
      <c r="BS90" s="220"/>
      <c r="BT90" s="220"/>
      <c r="BU90" s="220"/>
      <c r="BV90" s="220"/>
      <c r="BW90" s="220"/>
      <c r="BX90" s="220"/>
      <c r="BY90" s="220"/>
      <c r="BZ90" s="220"/>
      <c r="CA90" s="220"/>
      <c r="CB90" s="220"/>
      <c r="CC90" s="218"/>
      <c r="CD90" s="220"/>
    </row>
    <row r="91" spans="1:87">
      <c r="A91" s="117" t="s">
        <v>925</v>
      </c>
      <c r="B91" s="117" t="str">
        <f>'Reference Score Calculation'!B68</f>
        <v>JS1801</v>
      </c>
      <c r="C91" s="117" t="str">
        <f>'Reference Score Calculation'!E68</f>
        <v>獸醫學學士</v>
      </c>
      <c r="D91" s="2"/>
      <c r="E91" s="355" t="str">
        <f>'Reference Score Calculation'!F68</f>
        <v>Best 5</v>
      </c>
      <c r="F91" s="355"/>
      <c r="G91" s="16" t="str">
        <f>入學要求!AB77</f>
        <v>NO</v>
      </c>
      <c r="H91" s="16" t="str">
        <f>入學要求!AC77</f>
        <v>NO</v>
      </c>
      <c r="I91" s="16" t="str">
        <f>入學要求!AD77</f>
        <v>NO</v>
      </c>
      <c r="J91" s="117">
        <f t="shared" si="147"/>
        <v>2.9000000000000003E-9</v>
      </c>
      <c r="K91" s="120">
        <v>1</v>
      </c>
      <c r="L91" s="120">
        <v>1</v>
      </c>
      <c r="M91" s="120">
        <v>1</v>
      </c>
      <c r="N91" s="120"/>
      <c r="O91" s="120">
        <v>1</v>
      </c>
      <c r="P91" s="120">
        <v>1</v>
      </c>
      <c r="Q91" s="120">
        <v>1</v>
      </c>
      <c r="R91" s="120">
        <v>1</v>
      </c>
      <c r="S91" s="120">
        <v>1</v>
      </c>
      <c r="T91" s="120">
        <v>1</v>
      </c>
      <c r="V91" s="117">
        <f t="shared" si="167"/>
        <v>1E-10</v>
      </c>
      <c r="W91" s="117">
        <f t="shared" si="168"/>
        <v>2.0000000000000001E-10</v>
      </c>
      <c r="X91" s="117">
        <f t="shared" si="168"/>
        <v>3E-10</v>
      </c>
      <c r="Z91" s="117">
        <f>IF(G91="v",O$3*O91,0)</f>
        <v>0</v>
      </c>
      <c r="AA91" s="117">
        <f t="shared" si="169"/>
        <v>6E-10</v>
      </c>
      <c r="AB91" s="117">
        <f t="shared" si="169"/>
        <v>6.9999999999999996E-10</v>
      </c>
      <c r="AC91" s="117">
        <f t="shared" si="169"/>
        <v>8.0000000000000003E-10</v>
      </c>
      <c r="AD91" s="117">
        <f t="shared" si="169"/>
        <v>8.9999999999999999E-10</v>
      </c>
      <c r="AE91" s="117">
        <f>IF(H91="E",T$3*T91,0)</f>
        <v>0</v>
      </c>
      <c r="AF91" s="117">
        <f t="shared" si="130"/>
        <v>1E-10</v>
      </c>
      <c r="AG91" s="117">
        <f t="shared" si="131"/>
        <v>99.000000000200004</v>
      </c>
      <c r="AH91" s="117">
        <f t="shared" si="132"/>
        <v>99.000000000300005</v>
      </c>
      <c r="AI91" s="117">
        <f t="shared" si="133"/>
        <v>0</v>
      </c>
      <c r="AJ91" s="117">
        <f t="shared" si="134"/>
        <v>0</v>
      </c>
      <c r="AK91" s="117">
        <f t="shared" si="135"/>
        <v>6E-10</v>
      </c>
      <c r="AL91" s="117">
        <f t="shared" si="136"/>
        <v>6.9999999999999996E-10</v>
      </c>
      <c r="AM91" s="117">
        <f t="shared" si="137"/>
        <v>8.0000000000000003E-10</v>
      </c>
      <c r="AN91" s="117">
        <f t="shared" si="138"/>
        <v>99.000000000900002</v>
      </c>
      <c r="AO91" s="117">
        <f t="shared" si="139"/>
        <v>0</v>
      </c>
      <c r="AP91" s="117" t="b">
        <f t="shared" si="170"/>
        <v>0</v>
      </c>
      <c r="AQ91" s="117" t="b">
        <f t="shared" si="170"/>
        <v>1</v>
      </c>
      <c r="AR91" s="117" t="b">
        <f t="shared" si="170"/>
        <v>1</v>
      </c>
      <c r="AS91" s="140"/>
      <c r="AT91" s="437" t="b">
        <f t="shared" si="171"/>
        <v>0</v>
      </c>
      <c r="AU91" s="437" t="b">
        <f t="shared" si="171"/>
        <v>0</v>
      </c>
      <c r="AV91" s="437" t="b">
        <f t="shared" si="171"/>
        <v>1</v>
      </c>
      <c r="AW91" s="437" t="b">
        <f t="shared" si="171"/>
        <v>1</v>
      </c>
      <c r="AX91" s="437" t="b">
        <f t="shared" si="171"/>
        <v>1</v>
      </c>
      <c r="AY91" s="437" t="b">
        <f t="shared" si="171"/>
        <v>0</v>
      </c>
      <c r="BA91" s="2" t="str">
        <f>'Reference Score Calculation'!N68</f>
        <v>最佳五科必須包括︰英文、數學、生物 及 化學</v>
      </c>
      <c r="BB91" s="2"/>
      <c r="BC91" s="2"/>
      <c r="BD91" s="2"/>
      <c r="BE91" s="2"/>
      <c r="BF91" s="2"/>
      <c r="BG91" s="2"/>
      <c r="BH91" s="85" t="b">
        <f t="shared" ref="BH91:BQ91" si="172">BT95</f>
        <v>0</v>
      </c>
      <c r="BI91" s="85" t="b">
        <f t="shared" si="172"/>
        <v>1</v>
      </c>
      <c r="BJ91" s="85" t="b">
        <f t="shared" si="172"/>
        <v>1</v>
      </c>
      <c r="BK91" s="85" t="b">
        <f t="shared" si="172"/>
        <v>0</v>
      </c>
      <c r="BL91" s="85" t="b">
        <f t="shared" si="172"/>
        <v>0</v>
      </c>
      <c r="BM91" s="85" t="b">
        <f t="shared" si="172"/>
        <v>0</v>
      </c>
      <c r="BN91" s="85" t="b">
        <f t="shared" si="172"/>
        <v>0</v>
      </c>
      <c r="BO91" s="85" t="b">
        <f t="shared" si="172"/>
        <v>0</v>
      </c>
      <c r="BP91" s="85" t="b">
        <f t="shared" si="172"/>
        <v>1</v>
      </c>
      <c r="BQ91" s="85">
        <f t="shared" si="172"/>
        <v>0</v>
      </c>
      <c r="BR91" s="2"/>
      <c r="BS91" s="220"/>
      <c r="BT91" s="220"/>
      <c r="BU91" s="220"/>
      <c r="BV91" s="220"/>
      <c r="BW91" s="220"/>
      <c r="BX91" s="220"/>
      <c r="BY91" s="220"/>
      <c r="BZ91" s="220"/>
      <c r="CA91" s="220"/>
      <c r="CB91" s="220"/>
      <c r="CC91" s="220"/>
      <c r="CD91" s="220"/>
    </row>
    <row r="92" spans="1:87">
      <c r="A92" s="117" t="s">
        <v>71</v>
      </c>
      <c r="B92" s="117" t="str">
        <f>'Reference Score Calculation'!B69</f>
        <v>JS1805</v>
      </c>
      <c r="C92" s="117" t="str">
        <f>'Reference Score Calculation'!E69</f>
        <v>生物醫學系 [選項: 理學士(生物科學)、理學士(生物醫學)]</v>
      </c>
      <c r="D92" s="2"/>
      <c r="E92" s="355" t="str">
        <f>'Reference Score Calculation'!F69</f>
        <v>3C2X</v>
      </c>
      <c r="F92" s="357"/>
      <c r="G92" s="16" t="str">
        <f>入學要求!AB78</f>
        <v>v</v>
      </c>
      <c r="H92" s="16" t="str">
        <f>入學要求!AC78</f>
        <v>NO</v>
      </c>
      <c r="I92" s="16" t="str">
        <f>入學要求!AD78</f>
        <v>v</v>
      </c>
      <c r="J92" s="117">
        <f t="shared" si="147"/>
        <v>2.6499999999999997E-9</v>
      </c>
      <c r="K92" s="120">
        <v>1</v>
      </c>
      <c r="L92" s="148">
        <v>2</v>
      </c>
      <c r="M92" s="120">
        <v>1.5</v>
      </c>
      <c r="N92" s="120"/>
      <c r="O92" s="120">
        <v>1.5</v>
      </c>
      <c r="P92" s="120">
        <f>IF(OR(P1="生物",P1="化學"),2,IF(OR(P1="物理",P1="企業、會計與財務概論",P1="資訊及通訊科技",P1="設計與應用科技"),1.5,1))</f>
        <v>1</v>
      </c>
      <c r="Q92" s="120">
        <f>IF(OR(Q1="生物",Q1="化學"),2,IF(OR(Q1="物理",Q1="企業、會計與財務概論",Q1="資訊及通訊科技",Q1="設計與應用科技"),1.5,1))</f>
        <v>1</v>
      </c>
      <c r="R92" s="120">
        <f>IF(OR(R1="生物",R1="化學"),2,IF(OR(R1="物理",R1="企業、會計與財務概論",R1="資訊及通訊科技",R1="設計與應用科技"),1.5,1))</f>
        <v>1</v>
      </c>
      <c r="S92" s="120">
        <f>IF(OR(S1="生物",S1="化學"),2,IF(OR(S1="物理",S1="企業、會計與財務概論",S1="資訊及通訊科技",S1="設計與應用科技"),1.5,1))</f>
        <v>1</v>
      </c>
      <c r="T92" s="120">
        <f>IF(OR(T1="生物",T1="化學",T1="組合科學(物理、化學)",T1="組合科學(物理、生物)",T1="組合科學(生物、化學)"),2,IF(OR(T1="物理",T1="企業、會計與財務概論",T1="資訊及通訊科技",T1="設計與應用科技",T1="綜合科學"),1.5,1))</f>
        <v>1</v>
      </c>
      <c r="V92" s="117">
        <f t="shared" si="167"/>
        <v>1E-10</v>
      </c>
      <c r="W92" s="117">
        <f t="shared" si="168"/>
        <v>4.0000000000000001E-10</v>
      </c>
      <c r="X92" s="117">
        <f t="shared" si="168"/>
        <v>4.5E-10</v>
      </c>
      <c r="Z92" s="117">
        <f>IF(G92="v",O$3*O92,0)</f>
        <v>7.500000000000001E-10</v>
      </c>
      <c r="AA92" s="117">
        <f t="shared" si="169"/>
        <v>6E-10</v>
      </c>
      <c r="AB92" s="117">
        <f t="shared" si="169"/>
        <v>6.9999999999999996E-10</v>
      </c>
      <c r="AC92" s="117">
        <f t="shared" si="169"/>
        <v>8.0000000000000003E-10</v>
      </c>
      <c r="AD92" s="117">
        <f t="shared" si="169"/>
        <v>8.9999999999999999E-10</v>
      </c>
      <c r="AE92" s="117">
        <f>IF(H92="E",T$3*T92,0)</f>
        <v>0</v>
      </c>
      <c r="AF92" s="117">
        <f t="shared" si="130"/>
        <v>1E-10</v>
      </c>
      <c r="AG92" s="117">
        <f t="shared" si="131"/>
        <v>4.0000000000000001E-10</v>
      </c>
      <c r="AH92" s="117">
        <f t="shared" si="132"/>
        <v>4.5E-10</v>
      </c>
      <c r="AI92" s="117">
        <f t="shared" si="133"/>
        <v>0</v>
      </c>
      <c r="AJ92" s="117">
        <f t="shared" si="134"/>
        <v>7.500000000000001E-10</v>
      </c>
      <c r="AK92" s="117">
        <f t="shared" si="135"/>
        <v>6E-10</v>
      </c>
      <c r="AL92" s="117">
        <f t="shared" si="136"/>
        <v>6.9999999999999996E-10</v>
      </c>
      <c r="AM92" s="117">
        <f t="shared" si="137"/>
        <v>8.0000000000000003E-10</v>
      </c>
      <c r="AN92" s="117">
        <f t="shared" si="138"/>
        <v>8.9999999999999999E-10</v>
      </c>
      <c r="AO92" s="117">
        <f t="shared" si="139"/>
        <v>0</v>
      </c>
      <c r="AP92" s="117" t="b">
        <f t="shared" si="170"/>
        <v>1</v>
      </c>
      <c r="AQ92" s="117" t="b">
        <f t="shared" si="170"/>
        <v>1</v>
      </c>
      <c r="AR92" s="117" t="b">
        <f t="shared" si="170"/>
        <v>1</v>
      </c>
      <c r="AT92" s="437" t="b">
        <f t="shared" si="171"/>
        <v>0</v>
      </c>
      <c r="AU92" s="437" t="b">
        <f t="shared" si="171"/>
        <v>0</v>
      </c>
      <c r="AV92" s="437" t="b">
        <f t="shared" si="171"/>
        <v>0</v>
      </c>
      <c r="AW92" s="437" t="b">
        <f t="shared" si="171"/>
        <v>1</v>
      </c>
      <c r="AX92" s="437" t="b">
        <f t="shared" si="171"/>
        <v>1</v>
      </c>
      <c r="AY92" s="437" t="b">
        <f t="shared" si="171"/>
        <v>0</v>
      </c>
      <c r="BA92" s="2" t="str">
        <f>'Reference Score Calculation'!N69</f>
        <v>/</v>
      </c>
      <c r="BB92" s="2"/>
      <c r="BC92" s="2"/>
      <c r="BD92" s="2"/>
      <c r="BE92" s="2"/>
      <c r="BF92" s="2"/>
      <c r="BG92" s="2"/>
      <c r="BH92" s="85"/>
      <c r="BI92" s="85"/>
      <c r="BJ92" s="85"/>
      <c r="BK92" s="85"/>
      <c r="BL92" s="85"/>
      <c r="BM92" s="85"/>
      <c r="BN92" s="85"/>
      <c r="BO92" s="85"/>
      <c r="BP92" s="85"/>
      <c r="BQ92" s="85"/>
      <c r="BR92" s="2"/>
      <c r="BS92" s="220"/>
      <c r="BT92" s="220" t="str">
        <f t="shared" ref="BT92:CC92" si="173">K1</f>
        <v>中國語文</v>
      </c>
      <c r="BU92" s="220" t="str">
        <f t="shared" si="173"/>
        <v>英國語文</v>
      </c>
      <c r="BV92" s="220" t="str">
        <f t="shared" si="173"/>
        <v>數學</v>
      </c>
      <c r="BW92" s="220" t="str">
        <f t="shared" si="173"/>
        <v>公社科</v>
      </c>
      <c r="BX92" s="220" t="str">
        <f t="shared" si="173"/>
        <v>數學延伸</v>
      </c>
      <c r="BY92" s="220" t="str">
        <f t="shared" si="173"/>
        <v>請選擇第一選修科</v>
      </c>
      <c r="BZ92" s="220" t="str">
        <f t="shared" si="173"/>
        <v>請選擇第二選修科</v>
      </c>
      <c r="CA92" s="220" t="str">
        <f t="shared" si="173"/>
        <v>請選擇第三選修科</v>
      </c>
      <c r="CB92" s="220" t="str">
        <f t="shared" si="173"/>
        <v>請選擇第四選修科</v>
      </c>
      <c r="CC92" s="220" t="str">
        <f t="shared" si="173"/>
        <v>請選擇語言科目</v>
      </c>
      <c r="CD92" s="220"/>
    </row>
    <row r="93" spans="1:87">
      <c r="A93" s="117" t="s">
        <v>933</v>
      </c>
      <c r="B93" s="117" t="str">
        <f>'Reference Score Calculation'!B70</f>
        <v>JS1806</v>
      </c>
      <c r="C93" s="117" t="str">
        <f>'Reference Score Calculation'!E70</f>
        <v>理學士(生物科學)</v>
      </c>
      <c r="D93" s="2"/>
      <c r="E93" s="355" t="str">
        <f>'Reference Score Calculation'!F70</f>
        <v>3C2X</v>
      </c>
      <c r="F93" s="357"/>
      <c r="G93" s="16" t="str">
        <f>入學要求!AB79</f>
        <v>v</v>
      </c>
      <c r="H93" s="16" t="str">
        <f>入學要求!AC79</f>
        <v>NO</v>
      </c>
      <c r="I93" s="16" t="str">
        <f>入學要求!AD79</f>
        <v>v</v>
      </c>
      <c r="J93" s="117">
        <f t="shared" si="147"/>
        <v>2.6499999999999997E-9</v>
      </c>
      <c r="K93" s="120">
        <v>1</v>
      </c>
      <c r="L93" s="148">
        <v>2</v>
      </c>
      <c r="M93" s="120">
        <v>1.5</v>
      </c>
      <c r="N93" s="120"/>
      <c r="O93" s="120">
        <v>1.5</v>
      </c>
      <c r="P93" s="120">
        <f>IF(OR(P1="生物",P1="化學"),2,IF(OR(P1="物理",P1="企業、會計與財務概論",P1="資訊及通訊科技",P1="設計與應用科技"),1.5,1))</f>
        <v>1</v>
      </c>
      <c r="Q93" s="120">
        <f>IF(OR(Q1="生物",Q1="化學"),2,IF(OR(Q1="物理",Q1="企業、會計與財務概論",Q1="資訊及通訊科技",Q1="設計與應用科技"),1.5,1))</f>
        <v>1</v>
      </c>
      <c r="R93" s="120">
        <f>IF(OR(R1="生物",R1="化學"),2,IF(OR(R1="物理",R1="企業、會計與財務概論",R1="資訊及通訊科技",R1="設計與應用科技"),1.5,1))</f>
        <v>1</v>
      </c>
      <c r="S93" s="120">
        <f>IF(OR(S1="生物",S1="化學"),2,IF(OR(S1="物理",S1="企業、會計與財務概論",S1="資訊及通訊科技",S1="設計與應用科技"),1.5,1))</f>
        <v>1</v>
      </c>
      <c r="T93" s="120">
        <f>IF(OR(T2="生物",T2="化學",T2="組合科學(物理、化學)",T2="組合科學(物理、生物)",T2="組合科學(生物、化學)"),2,IF(OR(T2="物理",T2="企業、會計與財務概論",T2="資訊及通訊科技",T2="設計與應用科技",T2="綜合科學"),1.5,1))</f>
        <v>1</v>
      </c>
      <c r="V93" s="117">
        <f t="shared" si="167"/>
        <v>1E-10</v>
      </c>
      <c r="W93" s="117">
        <f t="shared" si="168"/>
        <v>4.0000000000000001E-10</v>
      </c>
      <c r="X93" s="117">
        <f t="shared" si="168"/>
        <v>4.5E-10</v>
      </c>
      <c r="Z93" s="117">
        <f>IF(G93="v",O$3*O93,0)</f>
        <v>7.500000000000001E-10</v>
      </c>
      <c r="AA93" s="117">
        <f t="shared" si="169"/>
        <v>6E-10</v>
      </c>
      <c r="AB93" s="117">
        <f t="shared" si="169"/>
        <v>6.9999999999999996E-10</v>
      </c>
      <c r="AC93" s="117">
        <f t="shared" si="169"/>
        <v>8.0000000000000003E-10</v>
      </c>
      <c r="AD93" s="117">
        <f t="shared" si="169"/>
        <v>8.9999999999999999E-10</v>
      </c>
      <c r="AE93" s="117">
        <f>IF(H93="E",T$3*T93,0)</f>
        <v>0</v>
      </c>
      <c r="AF93" s="117">
        <f t="shared" si="130"/>
        <v>1E-10</v>
      </c>
      <c r="AG93" s="117">
        <f t="shared" si="131"/>
        <v>4.0000000000000001E-10</v>
      </c>
      <c r="AH93" s="117">
        <f t="shared" si="132"/>
        <v>4.5E-10</v>
      </c>
      <c r="AI93" s="117">
        <f t="shared" si="133"/>
        <v>0</v>
      </c>
      <c r="AJ93" s="117">
        <f t="shared" si="134"/>
        <v>7.500000000000001E-10</v>
      </c>
      <c r="AK93" s="117">
        <f t="shared" si="135"/>
        <v>6E-10</v>
      </c>
      <c r="AL93" s="117">
        <f t="shared" si="136"/>
        <v>6.9999999999999996E-10</v>
      </c>
      <c r="AM93" s="117">
        <f t="shared" si="137"/>
        <v>8.0000000000000003E-10</v>
      </c>
      <c r="AN93" s="117">
        <f t="shared" si="138"/>
        <v>8.9999999999999999E-10</v>
      </c>
      <c r="AO93" s="117">
        <f t="shared" si="139"/>
        <v>0</v>
      </c>
      <c r="AP93" s="117" t="b">
        <f t="shared" si="170"/>
        <v>1</v>
      </c>
      <c r="AQ93" s="117" t="b">
        <f t="shared" si="170"/>
        <v>1</v>
      </c>
      <c r="AR93" s="117" t="b">
        <f t="shared" si="170"/>
        <v>1</v>
      </c>
      <c r="AT93" s="437" t="b">
        <f t="shared" si="171"/>
        <v>0</v>
      </c>
      <c r="AU93" s="437" t="b">
        <f t="shared" si="171"/>
        <v>0</v>
      </c>
      <c r="AV93" s="437" t="b">
        <f t="shared" si="171"/>
        <v>0</v>
      </c>
      <c r="AW93" s="437" t="b">
        <f t="shared" si="171"/>
        <v>1</v>
      </c>
      <c r="AX93" s="437" t="b">
        <f t="shared" si="171"/>
        <v>1</v>
      </c>
      <c r="AY93" s="437" t="b">
        <f t="shared" si="171"/>
        <v>0</v>
      </c>
      <c r="BA93" s="2" t="str">
        <f>'Reference Score Calculation'!N70</f>
        <v>/</v>
      </c>
      <c r="BB93" s="2"/>
      <c r="BC93" s="2"/>
      <c r="BD93" s="2"/>
      <c r="BE93" s="2"/>
      <c r="BF93" s="2"/>
      <c r="BG93" s="2"/>
      <c r="BH93" s="85"/>
      <c r="BI93" s="85"/>
      <c r="BJ93" s="85"/>
      <c r="BK93" s="85"/>
      <c r="BL93" s="85"/>
      <c r="BM93" s="85"/>
      <c r="BN93" s="85"/>
      <c r="BO93" s="85"/>
      <c r="BP93" s="85"/>
      <c r="BQ93" s="85"/>
      <c r="BR93" s="2"/>
      <c r="BS93" s="217"/>
      <c r="BT93" s="223">
        <f>K3</f>
        <v>1E-10</v>
      </c>
      <c r="BU93" s="220"/>
      <c r="BV93" s="220"/>
      <c r="BW93" s="223">
        <f>N3</f>
        <v>0</v>
      </c>
      <c r="BX93" s="220"/>
      <c r="BY93" s="223">
        <f>IF(OR(BY92=$CA$89,BY92=$BY$89),0,P3)</f>
        <v>6E-10</v>
      </c>
      <c r="BZ93" s="223">
        <f>IF(OR(BZ92=$CA$89,BZ92=$BY$89),0,Q3)</f>
        <v>6.9999999999999996E-10</v>
      </c>
      <c r="CA93" s="223">
        <f>IF(OR(CA92=$CA$89,CA92=$BY$89),0,R3)</f>
        <v>8.0000000000000003E-10</v>
      </c>
      <c r="CB93" s="223">
        <f>IF(OR(CB92=$CA$89,CB92=$BY$89),0,S3)</f>
        <v>8.9999999999999999E-10</v>
      </c>
      <c r="CC93" s="220"/>
      <c r="CD93" s="220"/>
    </row>
    <row r="94" spans="1:87">
      <c r="A94" s="117" t="s">
        <v>145</v>
      </c>
      <c r="B94" s="117" t="str">
        <f>'Reference Score Calculation'!B71</f>
        <v>JS1807</v>
      </c>
      <c r="C94" s="117" t="str">
        <f>'Reference Score Calculation'!E71</f>
        <v>理學士(生物醫學)</v>
      </c>
      <c r="D94" s="2"/>
      <c r="E94" s="355" t="str">
        <f>'Reference Score Calculation'!F71</f>
        <v>3C2X</v>
      </c>
      <c r="F94" s="357"/>
      <c r="G94" s="16" t="str">
        <f>入學要求!AB80</f>
        <v>v</v>
      </c>
      <c r="H94" s="16" t="str">
        <f>入學要求!AC80</f>
        <v>NO</v>
      </c>
      <c r="I94" s="16" t="str">
        <f>入學要求!AD80</f>
        <v>v</v>
      </c>
      <c r="J94" s="117">
        <f t="shared" si="147"/>
        <v>2.6499999999999997E-9</v>
      </c>
      <c r="K94" s="120">
        <v>1</v>
      </c>
      <c r="L94" s="148">
        <v>2</v>
      </c>
      <c r="M94" s="120">
        <v>1.5</v>
      </c>
      <c r="N94" s="120"/>
      <c r="O94" s="120">
        <v>1.5</v>
      </c>
      <c r="P94" s="120">
        <f>IF(OR(P1="生物",P1="化學"),2,IF(OR(P1="物理",P1="企業、會計與財務概論",P1="資訊及通訊科技",P1="設計與應用科技"),1.5,1))</f>
        <v>1</v>
      </c>
      <c r="Q94" s="120">
        <f>IF(OR(Q1="生物",Q1="化學"),2,IF(OR(Q1="物理",Q1="企業、會計與財務概論",Q1="資訊及通訊科技",Q1="設計與應用科技"),1.5,1))</f>
        <v>1</v>
      </c>
      <c r="R94" s="120">
        <f>IF(OR(R1="生物",R1="化學"),2,IF(OR(R1="物理",R1="企業、會計與財務概論",R1="資訊及通訊科技",R1="設計與應用科技"),1.5,1))</f>
        <v>1</v>
      </c>
      <c r="S94" s="120">
        <f>IF(OR(S1="生物",S1="化學"),2,IF(OR(S1="物理",S1="企業、會計與財務概論",S1="資訊及通訊科技",S1="設計與應用科技"),1.5,1))</f>
        <v>1</v>
      </c>
      <c r="T94" s="120">
        <f>IF(OR(T3="生物",T3="化學",T3="組合科學(物理、化學)",T3="組合科學(物理、生物)",T3="組合科學(生物、化學)"),2,IF(OR(T3="物理",T3="企業、會計與財務概論",T3="資訊及通訊科技",T3="設計與應用科技",T3="綜合科學"),1.5,1))</f>
        <v>1</v>
      </c>
      <c r="V94" s="117">
        <f t="shared" si="167"/>
        <v>1E-10</v>
      </c>
      <c r="W94" s="117">
        <f t="shared" si="168"/>
        <v>4.0000000000000001E-10</v>
      </c>
      <c r="X94" s="117">
        <f t="shared" si="168"/>
        <v>4.5E-10</v>
      </c>
      <c r="Z94" s="117">
        <f>IF(G94="v",O$3*O94,0)</f>
        <v>7.500000000000001E-10</v>
      </c>
      <c r="AA94" s="117">
        <f t="shared" si="169"/>
        <v>6E-10</v>
      </c>
      <c r="AB94" s="117">
        <f t="shared" si="169"/>
        <v>6.9999999999999996E-10</v>
      </c>
      <c r="AC94" s="117">
        <f t="shared" si="169"/>
        <v>8.0000000000000003E-10</v>
      </c>
      <c r="AD94" s="117">
        <f t="shared" si="169"/>
        <v>8.9999999999999999E-10</v>
      </c>
      <c r="AE94" s="117">
        <f>IF(H94="E",T$3*T94,0)</f>
        <v>0</v>
      </c>
      <c r="AF94" s="117">
        <f t="shared" si="130"/>
        <v>1E-10</v>
      </c>
      <c r="AG94" s="117">
        <f t="shared" si="131"/>
        <v>4.0000000000000001E-10</v>
      </c>
      <c r="AH94" s="117">
        <f t="shared" si="132"/>
        <v>4.5E-10</v>
      </c>
      <c r="AI94" s="117">
        <f t="shared" si="133"/>
        <v>0</v>
      </c>
      <c r="AJ94" s="117">
        <f t="shared" si="134"/>
        <v>7.500000000000001E-10</v>
      </c>
      <c r="AK94" s="117">
        <f t="shared" si="135"/>
        <v>6E-10</v>
      </c>
      <c r="AL94" s="117">
        <f t="shared" si="136"/>
        <v>6.9999999999999996E-10</v>
      </c>
      <c r="AM94" s="117">
        <f t="shared" si="137"/>
        <v>8.0000000000000003E-10</v>
      </c>
      <c r="AN94" s="117">
        <f t="shared" si="138"/>
        <v>8.9999999999999999E-10</v>
      </c>
      <c r="AO94" s="117">
        <f t="shared" si="139"/>
        <v>0</v>
      </c>
      <c r="AP94" s="117" t="b">
        <f t="shared" si="170"/>
        <v>1</v>
      </c>
      <c r="AQ94" s="117" t="b">
        <f t="shared" si="170"/>
        <v>1</v>
      </c>
      <c r="AR94" s="117" t="b">
        <f t="shared" si="170"/>
        <v>1</v>
      </c>
      <c r="AT94" s="437" t="b">
        <f t="shared" si="171"/>
        <v>0</v>
      </c>
      <c r="AU94" s="437" t="b">
        <f t="shared" si="171"/>
        <v>0</v>
      </c>
      <c r="AV94" s="437" t="b">
        <f t="shared" si="171"/>
        <v>0</v>
      </c>
      <c r="AW94" s="437" t="b">
        <f t="shared" si="171"/>
        <v>1</v>
      </c>
      <c r="AX94" s="437" t="b">
        <f t="shared" si="171"/>
        <v>1</v>
      </c>
      <c r="AY94" s="437" t="b">
        <f t="shared" si="171"/>
        <v>0</v>
      </c>
      <c r="BA94" s="2" t="str">
        <f>'Reference Score Calculation'!N71</f>
        <v>/</v>
      </c>
      <c r="BB94" s="2"/>
      <c r="BC94" s="2"/>
      <c r="BD94" s="2"/>
      <c r="BE94" s="2"/>
      <c r="BF94" s="2"/>
      <c r="BG94" s="2"/>
      <c r="BH94" s="85"/>
      <c r="BI94" s="85"/>
      <c r="BJ94" s="85"/>
      <c r="BK94" s="85"/>
      <c r="BL94" s="85"/>
      <c r="BM94" s="85"/>
      <c r="BN94" s="85"/>
      <c r="BO94" s="85"/>
      <c r="BP94" s="85"/>
      <c r="BQ94" s="85"/>
      <c r="BR94" s="2"/>
      <c r="BS94" s="220"/>
      <c r="BT94" s="228" t="b">
        <f>IF(BT93&gt;LARGE($BT$93:$CC$93,2),TRUE,FALSE)</f>
        <v>0</v>
      </c>
      <c r="BU94" s="228"/>
      <c r="BV94" s="228"/>
      <c r="BW94" s="228" t="b">
        <f t="shared" ref="BW94:CB94" si="174">IF(BW93&gt;LARGE($BT$93:$CC$93,2),TRUE,FALSE)</f>
        <v>0</v>
      </c>
      <c r="BX94" s="228" t="b">
        <f t="shared" si="174"/>
        <v>0</v>
      </c>
      <c r="BY94" s="228" t="b">
        <f t="shared" si="174"/>
        <v>0</v>
      </c>
      <c r="BZ94" s="228" t="b">
        <f t="shared" si="174"/>
        <v>0</v>
      </c>
      <c r="CA94" s="228" t="b">
        <f t="shared" si="174"/>
        <v>0</v>
      </c>
      <c r="CB94" s="228" t="b">
        <f t="shared" si="174"/>
        <v>1</v>
      </c>
      <c r="CC94" s="218"/>
      <c r="CD94" s="220"/>
    </row>
    <row r="95" spans="1:87">
      <c r="C95" s="358" t="s">
        <v>2289</v>
      </c>
      <c r="D95" s="2"/>
      <c r="E95" s="117"/>
      <c r="F95" s="2"/>
      <c r="G95" s="16"/>
      <c r="H95" s="16"/>
      <c r="I95" s="16"/>
      <c r="K95" s="120"/>
      <c r="L95" s="148"/>
      <c r="M95" s="120"/>
      <c r="N95" s="120"/>
      <c r="O95" s="120"/>
      <c r="P95" s="120"/>
      <c r="Q95" s="120"/>
      <c r="R95" s="120"/>
      <c r="S95" s="120"/>
      <c r="T95" s="120"/>
      <c r="BA95" s="2"/>
      <c r="BB95" s="2"/>
      <c r="BC95" s="2"/>
      <c r="BD95" s="2"/>
      <c r="BE95" s="2"/>
      <c r="BF95" s="2"/>
      <c r="BG95" s="2"/>
      <c r="BH95" s="2" t="s">
        <v>2959</v>
      </c>
      <c r="BI95" s="2"/>
      <c r="BJ95" s="2"/>
      <c r="BK95" s="2"/>
      <c r="BL95" s="2"/>
      <c r="BM95" s="2"/>
      <c r="BN95" s="2"/>
      <c r="BO95" s="2"/>
      <c r="BP95" s="2"/>
      <c r="BQ95" s="2"/>
      <c r="BR95" s="2"/>
      <c r="BS95" s="220"/>
      <c r="BT95" s="158" t="b">
        <f>BT94</f>
        <v>0</v>
      </c>
      <c r="BU95" s="228" t="b">
        <v>1</v>
      </c>
      <c r="BV95" s="228" t="b">
        <v>1</v>
      </c>
      <c r="BW95" s="158" t="b">
        <f>BW94</f>
        <v>0</v>
      </c>
      <c r="BX95" s="158" t="b">
        <f>BX94</f>
        <v>0</v>
      </c>
      <c r="BY95" s="158" t="b">
        <f>IF(OR(BY92=$BY$89,BY92=$CA$89),TRUE,BY94)</f>
        <v>0</v>
      </c>
      <c r="BZ95" s="158" t="b">
        <f>IF(OR(BZ92=$BY$89,BZ92=$CA$89),TRUE,BZ94)</f>
        <v>0</v>
      </c>
      <c r="CA95" s="158" t="b">
        <f>IF(OR(CA92=$BY$89,CA92=$CA$89),TRUE,CA94)</f>
        <v>0</v>
      </c>
      <c r="CB95" s="158" t="b">
        <f>IF(OR(CB92=$BY$89,CB92=$CA$89),TRUE,CB94)</f>
        <v>1</v>
      </c>
      <c r="CC95" s="220"/>
      <c r="CD95" s="220"/>
    </row>
    <row r="96" spans="1:87">
      <c r="B96" s="149" t="s">
        <v>287</v>
      </c>
      <c r="C96" s="142"/>
      <c r="D96" s="142"/>
      <c r="E96" s="143"/>
      <c r="F96" s="400"/>
      <c r="G96" s="19" t="s">
        <v>267</v>
      </c>
      <c r="H96" s="19" t="s">
        <v>268</v>
      </c>
      <c r="I96" s="19" t="s">
        <v>269</v>
      </c>
      <c r="J96" s="130" t="s">
        <v>217</v>
      </c>
      <c r="K96" s="130" t="s">
        <v>246</v>
      </c>
      <c r="L96" s="130" t="s">
        <v>247</v>
      </c>
      <c r="M96" s="130" t="s">
        <v>248</v>
      </c>
      <c r="N96" s="130"/>
      <c r="O96" s="130" t="s">
        <v>250</v>
      </c>
      <c r="P96" s="130" t="s">
        <v>251</v>
      </c>
      <c r="Q96" s="130" t="s">
        <v>252</v>
      </c>
      <c r="R96" s="130" t="s">
        <v>253</v>
      </c>
      <c r="S96" s="130" t="s">
        <v>254</v>
      </c>
      <c r="T96" s="130" t="s">
        <v>288</v>
      </c>
      <c r="U96" s="141"/>
      <c r="V96" s="130" t="str">
        <f>K1</f>
        <v>中國語文</v>
      </c>
      <c r="W96" s="130" t="str">
        <f>L1</f>
        <v>英國語文</v>
      </c>
      <c r="X96" s="130" t="str">
        <f>M1</f>
        <v>數學</v>
      </c>
      <c r="Y96" s="130"/>
      <c r="Z96" s="130" t="str">
        <f t="shared" ref="Z96:AE96" si="175">O1</f>
        <v>數學延伸</v>
      </c>
      <c r="AA96" s="130" t="str">
        <f t="shared" si="175"/>
        <v>請選擇第一選修科</v>
      </c>
      <c r="AB96" s="130" t="str">
        <f t="shared" si="175"/>
        <v>請選擇第二選修科</v>
      </c>
      <c r="AC96" s="130" t="str">
        <f t="shared" si="175"/>
        <v>請選擇第三選修科</v>
      </c>
      <c r="AD96" s="130" t="str">
        <f t="shared" si="175"/>
        <v>請選擇第四選修科</v>
      </c>
      <c r="AE96" s="130" t="str">
        <f t="shared" si="175"/>
        <v>請選擇語言科目</v>
      </c>
      <c r="AF96" s="117" t="str">
        <f>V96</f>
        <v>中國語文</v>
      </c>
      <c r="AG96" s="117" t="str">
        <f>W96</f>
        <v>英國語文</v>
      </c>
      <c r="AH96" s="117" t="str">
        <f>X96</f>
        <v>數學</v>
      </c>
      <c r="AJ96" s="117" t="str">
        <f t="shared" ref="AJ96:AO96" si="176">Z96</f>
        <v>數學延伸</v>
      </c>
      <c r="AK96" s="117" t="str">
        <f t="shared" si="176"/>
        <v>請選擇第一選修科</v>
      </c>
      <c r="AL96" s="117" t="str">
        <f t="shared" si="176"/>
        <v>請選擇第二選修科</v>
      </c>
      <c r="AM96" s="117" t="str">
        <f t="shared" si="176"/>
        <v>請選擇第三選修科</v>
      </c>
      <c r="AN96" s="117" t="str">
        <f t="shared" si="176"/>
        <v>請選擇第四選修科</v>
      </c>
      <c r="AO96" s="117" t="str">
        <f t="shared" si="176"/>
        <v>請選擇語言科目</v>
      </c>
      <c r="AP96" s="130" t="s">
        <v>256</v>
      </c>
      <c r="AQ96" s="130" t="s">
        <v>257</v>
      </c>
      <c r="AR96" s="130" t="s">
        <v>258</v>
      </c>
      <c r="AS96" s="130"/>
      <c r="AT96" s="130" t="s">
        <v>259</v>
      </c>
      <c r="AU96" s="130" t="s">
        <v>260</v>
      </c>
      <c r="AV96" s="130" t="s">
        <v>261</v>
      </c>
      <c r="AW96" s="130" t="s">
        <v>262</v>
      </c>
      <c r="AX96" s="130" t="s">
        <v>263</v>
      </c>
      <c r="AY96" s="130" t="s">
        <v>289</v>
      </c>
      <c r="BA96" s="2"/>
      <c r="BB96" s="2"/>
      <c r="BC96" s="2"/>
      <c r="BD96" s="2"/>
      <c r="BE96" s="2"/>
      <c r="BF96" s="2"/>
      <c r="BG96" s="2"/>
      <c r="BH96" s="2" t="str">
        <f t="shared" ref="BH96:BQ96" si="177">K1</f>
        <v>中國語文</v>
      </c>
      <c r="BI96" s="2" t="str">
        <f t="shared" si="177"/>
        <v>英國語文</v>
      </c>
      <c r="BJ96" s="2" t="str">
        <f t="shared" si="177"/>
        <v>數學</v>
      </c>
      <c r="BK96" s="2" t="str">
        <f t="shared" si="177"/>
        <v>公社科</v>
      </c>
      <c r="BL96" s="2" t="str">
        <f t="shared" si="177"/>
        <v>數學延伸</v>
      </c>
      <c r="BM96" s="2" t="str">
        <f t="shared" si="177"/>
        <v>請選擇第一選修科</v>
      </c>
      <c r="BN96" s="2" t="str">
        <f t="shared" si="177"/>
        <v>請選擇第二選修科</v>
      </c>
      <c r="BO96" s="2" t="str">
        <f t="shared" si="177"/>
        <v>請選擇第三選修科</v>
      </c>
      <c r="BP96" s="2" t="str">
        <f t="shared" si="177"/>
        <v>請選擇第四選修科</v>
      </c>
      <c r="BQ96" s="2" t="str">
        <f t="shared" si="177"/>
        <v>請選擇語言科目</v>
      </c>
      <c r="BR96" s="2"/>
      <c r="BS96" s="220"/>
      <c r="BT96" s="158"/>
      <c r="BU96" s="158"/>
      <c r="BV96" s="158"/>
      <c r="BW96" s="158"/>
      <c r="BX96" s="158"/>
      <c r="BY96" s="158"/>
      <c r="BZ96" s="158"/>
      <c r="CA96" s="158"/>
      <c r="CB96" s="158"/>
      <c r="CC96" s="220"/>
      <c r="CD96" s="220"/>
    </row>
    <row r="97" spans="1:82">
      <c r="A97" s="117" t="s">
        <v>939</v>
      </c>
      <c r="B97" s="117" t="str">
        <f>'Reference Score Calculation'!B74</f>
        <v>JS2020</v>
      </c>
      <c r="C97" s="129" t="str">
        <f>'Reference Score Calculation'!E74</f>
        <v>文學士(榮譽) (中國語言文學 / 創意及專業寫作 / 英國語言文學 / 人文學 / 翻譯學)</v>
      </c>
      <c r="D97" s="21"/>
      <c r="E97" s="453" t="str">
        <f>'Reference Score Calculation'!F74</f>
        <v>Best 5</v>
      </c>
      <c r="F97" s="338"/>
      <c r="G97" s="117" t="str">
        <f>入學要求!AB83</f>
        <v>v</v>
      </c>
      <c r="H97" s="117" t="str">
        <f>入學要求!AC83</f>
        <v>C</v>
      </c>
      <c r="I97" s="117" t="str">
        <f>入學要求!AD83</f>
        <v>v</v>
      </c>
      <c r="J97" s="117">
        <f t="shared" ref="J97:J118" si="178">SUMIF(AP97:AY97,TRUE,V97:AE97)</f>
        <v>3.4999999999999999E-9</v>
      </c>
      <c r="K97" s="117">
        <v>1</v>
      </c>
      <c r="L97" s="117">
        <v>1</v>
      </c>
      <c r="M97" s="117">
        <v>1</v>
      </c>
      <c r="O97" s="117">
        <v>1</v>
      </c>
      <c r="P97" s="117">
        <v>1</v>
      </c>
      <c r="Q97" s="117">
        <v>1</v>
      </c>
      <c r="R97" s="117">
        <v>1</v>
      </c>
      <c r="S97" s="117">
        <v>1</v>
      </c>
      <c r="T97" s="117">
        <v>1</v>
      </c>
      <c r="V97" s="117">
        <f t="shared" ref="V97:V117" si="179">K$4*K97</f>
        <v>1E-10</v>
      </c>
      <c r="W97" s="117">
        <f t="shared" ref="W97:W117" si="180">L$4*L97</f>
        <v>2.0000000000000001E-10</v>
      </c>
      <c r="X97" s="117">
        <f t="shared" ref="X97:X117" si="181">M$4*M97</f>
        <v>3E-10</v>
      </c>
      <c r="Z97" s="117">
        <f t="shared" ref="Z97:Z117" si="182">IF(G97="v",O$4*O97,0)</f>
        <v>5.0000000000000003E-10</v>
      </c>
      <c r="AA97" s="117">
        <f t="shared" ref="AA97:AA117" si="183">P$4*P97</f>
        <v>6E-10</v>
      </c>
      <c r="AB97" s="117">
        <f t="shared" ref="AB97:AB117" si="184">Q$4*Q97</f>
        <v>6.9999999999999996E-10</v>
      </c>
      <c r="AC97" s="117">
        <f t="shared" ref="AC97:AC117" si="185">R$4*R97</f>
        <v>8.0000000000000003E-10</v>
      </c>
      <c r="AD97" s="117">
        <f t="shared" ref="AD97:AD117" si="186">S$4*S97</f>
        <v>8.9999999999999999E-10</v>
      </c>
      <c r="AE97" s="117">
        <f>IF(H97="C",T$4*T97,0)</f>
        <v>0</v>
      </c>
      <c r="AF97" s="117">
        <f t="shared" ref="AF97:AF118" si="187">IF(BH97=TRUE,V97+99,V97)</f>
        <v>1E-10</v>
      </c>
      <c r="AG97" s="117">
        <f t="shared" ref="AG97:AG118" si="188">IF(BI97=TRUE,W97+99,W97)</f>
        <v>2.0000000000000001E-10</v>
      </c>
      <c r="AH97" s="117">
        <f t="shared" ref="AH97:AH118" si="189">IF(BJ97=TRUE,X97+99,X97)</f>
        <v>3E-10</v>
      </c>
      <c r="AI97" s="117">
        <f t="shared" ref="AI97:AI118" si="190">IF(BK97=TRUE,Y97+99,Y97)</f>
        <v>0</v>
      </c>
      <c r="AJ97" s="117">
        <f t="shared" ref="AJ97:AJ118" si="191">IF(BL97=TRUE,Z97+99,Z97)</f>
        <v>5.0000000000000003E-10</v>
      </c>
      <c r="AK97" s="117">
        <f t="shared" ref="AK97:AK118" si="192">IF(BM97=TRUE,AA97+99,AA97)</f>
        <v>6E-10</v>
      </c>
      <c r="AL97" s="117">
        <f t="shared" ref="AL97:AL118" si="193">IF(BN97=TRUE,AB97+99,AB97)</f>
        <v>6.9999999999999996E-10</v>
      </c>
      <c r="AM97" s="117">
        <f t="shared" ref="AM97:AM118" si="194">IF(BO97=TRUE,AC97+99,AC97)</f>
        <v>8.0000000000000003E-10</v>
      </c>
      <c r="AN97" s="117">
        <f t="shared" ref="AN97:AN118" si="195">IF(BP97=TRUE,AD97+99,AD97)</f>
        <v>8.9999999999999999E-10</v>
      </c>
      <c r="AO97" s="117">
        <f t="shared" ref="AO97:AO118" si="196">IF(BQ97=TRUE,AE97+99,AE97)</f>
        <v>0</v>
      </c>
      <c r="AP97" s="117" t="b">
        <f>IF(AF97&gt;LARGE($AF97:$AO97,6),TRUE)</f>
        <v>0</v>
      </c>
      <c r="AQ97" s="117" t="b">
        <f t="shared" ref="AQ97:AY112" si="197">IF(AG97&gt;LARGE($AF97:$AO97,6),TRUE)</f>
        <v>0</v>
      </c>
      <c r="AR97" s="117" t="b">
        <f t="shared" si="197"/>
        <v>0</v>
      </c>
      <c r="AT97" s="117" t="b">
        <f t="shared" si="197"/>
        <v>1</v>
      </c>
      <c r="AU97" s="117" t="b">
        <f t="shared" si="197"/>
        <v>1</v>
      </c>
      <c r="AV97" s="117" t="b">
        <f t="shared" si="197"/>
        <v>1</v>
      </c>
      <c r="AW97" s="117" t="b">
        <f t="shared" si="197"/>
        <v>1</v>
      </c>
      <c r="AX97" s="117" t="b">
        <f t="shared" si="197"/>
        <v>1</v>
      </c>
      <c r="AY97" s="117" t="b">
        <f t="shared" si="197"/>
        <v>0</v>
      </c>
      <c r="BA97" s="2"/>
      <c r="BB97" s="2"/>
      <c r="BC97" s="2"/>
      <c r="BD97" s="2"/>
      <c r="BE97" s="2"/>
      <c r="BF97" s="2"/>
      <c r="BG97" s="2"/>
      <c r="BR97" s="2"/>
      <c r="BS97" s="217"/>
      <c r="BT97" s="218"/>
      <c r="BU97" s="218"/>
      <c r="BV97" s="218"/>
      <c r="BW97" s="218"/>
      <c r="BX97" s="218"/>
      <c r="BY97" s="218"/>
      <c r="BZ97" s="218"/>
      <c r="CA97" s="218"/>
      <c r="CB97" s="218"/>
      <c r="CC97" s="218"/>
      <c r="CD97" s="218"/>
    </row>
    <row r="98" spans="1:82">
      <c r="A98" s="117" t="s">
        <v>947</v>
      </c>
      <c r="B98" s="117" t="str">
        <f>'Reference Score Calculation'!B75</f>
        <v>JS2025</v>
      </c>
      <c r="C98" s="129" t="str">
        <f>'Reference Score Calculation'!E75</f>
        <v>宗教、哲學及倫理文學士(榮譽)</v>
      </c>
      <c r="D98" s="21"/>
      <c r="E98" s="453" t="str">
        <f>'Reference Score Calculation'!F75</f>
        <v>Best 5</v>
      </c>
      <c r="F98" s="338"/>
      <c r="G98" s="117" t="str">
        <f>入學要求!AB84</f>
        <v>v</v>
      </c>
      <c r="H98" s="117" t="str">
        <f>入學要求!AC84</f>
        <v>C</v>
      </c>
      <c r="I98" s="117" t="str">
        <f>入學要求!AD84</f>
        <v>v</v>
      </c>
      <c r="J98" s="117">
        <f t="shared" si="178"/>
        <v>3.4999999999999999E-9</v>
      </c>
      <c r="K98" s="117">
        <v>1</v>
      </c>
      <c r="L98" s="117">
        <v>1</v>
      </c>
      <c r="M98" s="117">
        <v>1</v>
      </c>
      <c r="O98" s="117">
        <v>1</v>
      </c>
      <c r="P98" s="117">
        <v>1</v>
      </c>
      <c r="Q98" s="117">
        <v>1</v>
      </c>
      <c r="R98" s="117">
        <v>1</v>
      </c>
      <c r="S98" s="117">
        <v>1</v>
      </c>
      <c r="T98" s="117">
        <v>1</v>
      </c>
      <c r="V98" s="117">
        <f t="shared" si="179"/>
        <v>1E-10</v>
      </c>
      <c r="W98" s="117">
        <f t="shared" si="180"/>
        <v>2.0000000000000001E-10</v>
      </c>
      <c r="X98" s="117">
        <f t="shared" si="181"/>
        <v>3E-10</v>
      </c>
      <c r="Z98" s="117">
        <f t="shared" si="182"/>
        <v>5.0000000000000003E-10</v>
      </c>
      <c r="AA98" s="117">
        <f t="shared" si="183"/>
        <v>6E-10</v>
      </c>
      <c r="AB98" s="117">
        <f t="shared" si="184"/>
        <v>6.9999999999999996E-10</v>
      </c>
      <c r="AC98" s="117">
        <f t="shared" si="185"/>
        <v>8.0000000000000003E-10</v>
      </c>
      <c r="AD98" s="117">
        <f t="shared" si="186"/>
        <v>8.9999999999999999E-10</v>
      </c>
      <c r="AE98" s="117">
        <f t="shared" ref="AE98:AE118" si="198">IF(H98="C",T$4*T98,0)</f>
        <v>0</v>
      </c>
      <c r="AF98" s="117">
        <f t="shared" si="187"/>
        <v>1E-10</v>
      </c>
      <c r="AG98" s="117">
        <f t="shared" si="188"/>
        <v>2.0000000000000001E-10</v>
      </c>
      <c r="AH98" s="117">
        <f t="shared" si="189"/>
        <v>3E-10</v>
      </c>
      <c r="AI98" s="117">
        <f t="shared" si="190"/>
        <v>0</v>
      </c>
      <c r="AJ98" s="117">
        <f t="shared" si="191"/>
        <v>5.0000000000000003E-10</v>
      </c>
      <c r="AK98" s="117">
        <f t="shared" si="192"/>
        <v>6E-10</v>
      </c>
      <c r="AL98" s="117">
        <f t="shared" si="193"/>
        <v>6.9999999999999996E-10</v>
      </c>
      <c r="AM98" s="117">
        <f t="shared" si="194"/>
        <v>8.0000000000000003E-10</v>
      </c>
      <c r="AN98" s="117">
        <f t="shared" si="195"/>
        <v>8.9999999999999999E-10</v>
      </c>
      <c r="AO98" s="117">
        <f t="shared" si="196"/>
        <v>0</v>
      </c>
      <c r="AP98" s="117" t="b">
        <f t="shared" ref="AP98:AP118" si="199">IF(AF98&gt;LARGE($AF98:$AO98,6),TRUE)</f>
        <v>0</v>
      </c>
      <c r="AQ98" s="117" t="b">
        <f t="shared" si="197"/>
        <v>0</v>
      </c>
      <c r="AR98" s="117" t="b">
        <f t="shared" si="197"/>
        <v>0</v>
      </c>
      <c r="AT98" s="117" t="b">
        <f t="shared" si="197"/>
        <v>1</v>
      </c>
      <c r="AU98" s="117" t="b">
        <f t="shared" si="197"/>
        <v>1</v>
      </c>
      <c r="AV98" s="117" t="b">
        <f t="shared" si="197"/>
        <v>1</v>
      </c>
      <c r="AW98" s="117" t="b">
        <f t="shared" si="197"/>
        <v>1</v>
      </c>
      <c r="AX98" s="117" t="b">
        <f t="shared" si="197"/>
        <v>1</v>
      </c>
      <c r="AY98" s="117" t="b">
        <f t="shared" si="197"/>
        <v>0</v>
      </c>
      <c r="BA98" s="2"/>
      <c r="BB98" s="2"/>
      <c r="BC98" s="2"/>
      <c r="BD98" s="2"/>
      <c r="BE98" s="2"/>
      <c r="BF98" s="2"/>
      <c r="BG98" s="2"/>
      <c r="BR98" s="2"/>
    </row>
    <row r="99" spans="1:82">
      <c r="A99" s="117" t="s">
        <v>952</v>
      </c>
      <c r="B99" s="117" t="str">
        <f>'Reference Score Calculation'!B76</f>
        <v>JS2060</v>
      </c>
      <c r="C99" s="129" t="str">
        <f>'Reference Score Calculation'!E76</f>
        <v>文學士(榮譽) / 音樂學士(榮譽) (音樂 / 創意產業)</v>
      </c>
      <c r="D99" s="21"/>
      <c r="E99" s="453" t="str">
        <f>'Reference Score Calculation'!F76</f>
        <v>Best 5</v>
      </c>
      <c r="F99" s="338"/>
      <c r="G99" s="117" t="str">
        <f>入學要求!AB85</f>
        <v>v</v>
      </c>
      <c r="H99" s="117" t="str">
        <f>入學要求!AC85</f>
        <v>C</v>
      </c>
      <c r="I99" s="117" t="str">
        <f>入學要求!AD85</f>
        <v>v</v>
      </c>
      <c r="J99" s="117">
        <f t="shared" si="178"/>
        <v>3.4999999999999999E-9</v>
      </c>
      <c r="K99" s="117">
        <v>1</v>
      </c>
      <c r="L99" s="117">
        <v>1</v>
      </c>
      <c r="M99" s="117">
        <v>1</v>
      </c>
      <c r="O99" s="117">
        <v>1</v>
      </c>
      <c r="P99" s="117">
        <v>1</v>
      </c>
      <c r="Q99" s="117">
        <v>1</v>
      </c>
      <c r="R99" s="117">
        <v>1</v>
      </c>
      <c r="S99" s="117">
        <v>1</v>
      </c>
      <c r="T99" s="117">
        <v>1</v>
      </c>
      <c r="V99" s="117">
        <f t="shared" si="179"/>
        <v>1E-10</v>
      </c>
      <c r="W99" s="117">
        <f t="shared" si="180"/>
        <v>2.0000000000000001E-10</v>
      </c>
      <c r="X99" s="117">
        <f t="shared" si="181"/>
        <v>3E-10</v>
      </c>
      <c r="Z99" s="117">
        <f t="shared" si="182"/>
        <v>5.0000000000000003E-10</v>
      </c>
      <c r="AA99" s="117">
        <f t="shared" si="183"/>
        <v>6E-10</v>
      </c>
      <c r="AB99" s="117">
        <f t="shared" si="184"/>
        <v>6.9999999999999996E-10</v>
      </c>
      <c r="AC99" s="117">
        <f t="shared" si="185"/>
        <v>8.0000000000000003E-10</v>
      </c>
      <c r="AD99" s="117">
        <f t="shared" si="186"/>
        <v>8.9999999999999999E-10</v>
      </c>
      <c r="AE99" s="117">
        <f t="shared" si="198"/>
        <v>0</v>
      </c>
      <c r="AF99" s="117">
        <f t="shared" si="187"/>
        <v>1E-10</v>
      </c>
      <c r="AG99" s="117">
        <f t="shared" si="188"/>
        <v>2.0000000000000001E-10</v>
      </c>
      <c r="AH99" s="117">
        <f t="shared" si="189"/>
        <v>3E-10</v>
      </c>
      <c r="AI99" s="117">
        <f t="shared" si="190"/>
        <v>0</v>
      </c>
      <c r="AJ99" s="117">
        <f t="shared" si="191"/>
        <v>5.0000000000000003E-10</v>
      </c>
      <c r="AK99" s="117">
        <f t="shared" si="192"/>
        <v>6E-10</v>
      </c>
      <c r="AL99" s="117">
        <f t="shared" si="193"/>
        <v>6.9999999999999996E-10</v>
      </c>
      <c r="AM99" s="117">
        <f t="shared" si="194"/>
        <v>8.0000000000000003E-10</v>
      </c>
      <c r="AN99" s="117">
        <f t="shared" si="195"/>
        <v>8.9999999999999999E-10</v>
      </c>
      <c r="AO99" s="117">
        <f t="shared" si="196"/>
        <v>0</v>
      </c>
      <c r="AP99" s="117" t="b">
        <f t="shared" si="199"/>
        <v>0</v>
      </c>
      <c r="AQ99" s="117" t="b">
        <f t="shared" si="197"/>
        <v>0</v>
      </c>
      <c r="AR99" s="117" t="b">
        <f t="shared" si="197"/>
        <v>0</v>
      </c>
      <c r="AT99" s="117" t="b">
        <f t="shared" si="197"/>
        <v>1</v>
      </c>
      <c r="AU99" s="117" t="b">
        <f t="shared" si="197"/>
        <v>1</v>
      </c>
      <c r="AV99" s="117" t="b">
        <f t="shared" si="197"/>
        <v>1</v>
      </c>
      <c r="AW99" s="117" t="b">
        <f t="shared" si="197"/>
        <v>1</v>
      </c>
      <c r="AX99" s="117" t="b">
        <f t="shared" si="197"/>
        <v>1</v>
      </c>
      <c r="AY99" s="117" t="b">
        <f t="shared" si="197"/>
        <v>0</v>
      </c>
      <c r="BA99" s="2"/>
      <c r="BB99" s="2"/>
      <c r="BC99" s="2"/>
      <c r="BD99" s="2"/>
      <c r="BE99" s="2"/>
      <c r="BF99" s="2"/>
      <c r="BG99" s="2"/>
      <c r="BR99" s="2"/>
    </row>
    <row r="100" spans="1:82">
      <c r="A100" s="117" t="s">
        <v>958</v>
      </c>
      <c r="B100" s="117" t="str">
        <f>'Reference Score Calculation'!B77</f>
        <v>JS2110</v>
      </c>
      <c r="C100" s="129" t="str">
        <f>'Reference Score Calculation'!E77</f>
        <v>工商管理學士(榮譽) - 會計學專修</v>
      </c>
      <c r="D100" s="21"/>
      <c r="E100" s="453" t="str">
        <f>'Reference Score Calculation'!F77</f>
        <v>Best 5</v>
      </c>
      <c r="F100" s="366"/>
      <c r="G100" s="117" t="str">
        <f>入學要求!AB86</f>
        <v>v</v>
      </c>
      <c r="H100" s="117" t="str">
        <f>入學要求!AC86</f>
        <v>NO</v>
      </c>
      <c r="I100" s="117" t="str">
        <f>入學要求!AD86</f>
        <v>v</v>
      </c>
      <c r="J100" s="117">
        <f t="shared" si="178"/>
        <v>3.4999999999999999E-9</v>
      </c>
      <c r="K100" s="117">
        <v>1</v>
      </c>
      <c r="L100" s="117">
        <v>1.5</v>
      </c>
      <c r="M100" s="117">
        <v>1</v>
      </c>
      <c r="O100" s="117">
        <v>1</v>
      </c>
      <c r="P100" s="117">
        <v>1</v>
      </c>
      <c r="Q100" s="117">
        <v>1</v>
      </c>
      <c r="R100" s="117">
        <v>1</v>
      </c>
      <c r="S100" s="117">
        <v>1</v>
      </c>
      <c r="T100" s="117">
        <v>1</v>
      </c>
      <c r="V100" s="117">
        <f t="shared" si="179"/>
        <v>1E-10</v>
      </c>
      <c r="W100" s="117">
        <f t="shared" si="180"/>
        <v>3E-10</v>
      </c>
      <c r="X100" s="117">
        <f t="shared" si="181"/>
        <v>3E-10</v>
      </c>
      <c r="Z100" s="117">
        <f t="shared" si="182"/>
        <v>5.0000000000000003E-10</v>
      </c>
      <c r="AA100" s="117">
        <f t="shared" si="183"/>
        <v>6E-10</v>
      </c>
      <c r="AB100" s="117">
        <f t="shared" si="184"/>
        <v>6.9999999999999996E-10</v>
      </c>
      <c r="AC100" s="117">
        <f t="shared" si="185"/>
        <v>8.0000000000000003E-10</v>
      </c>
      <c r="AD100" s="117">
        <f t="shared" si="186"/>
        <v>8.9999999999999999E-10</v>
      </c>
      <c r="AE100" s="117">
        <f t="shared" si="198"/>
        <v>0</v>
      </c>
      <c r="AF100" s="117">
        <f t="shared" si="187"/>
        <v>1E-10</v>
      </c>
      <c r="AG100" s="117">
        <f t="shared" si="188"/>
        <v>3E-10</v>
      </c>
      <c r="AH100" s="117">
        <f t="shared" si="189"/>
        <v>3E-10</v>
      </c>
      <c r="AI100" s="117">
        <f t="shared" si="190"/>
        <v>0</v>
      </c>
      <c r="AJ100" s="117">
        <f t="shared" si="191"/>
        <v>5.0000000000000003E-10</v>
      </c>
      <c r="AK100" s="117">
        <f t="shared" si="192"/>
        <v>6E-10</v>
      </c>
      <c r="AL100" s="117">
        <f t="shared" si="193"/>
        <v>6.9999999999999996E-10</v>
      </c>
      <c r="AM100" s="117">
        <f t="shared" si="194"/>
        <v>8.0000000000000003E-10</v>
      </c>
      <c r="AN100" s="117">
        <f t="shared" si="195"/>
        <v>8.9999999999999999E-10</v>
      </c>
      <c r="AO100" s="117">
        <f t="shared" si="196"/>
        <v>0</v>
      </c>
      <c r="AP100" s="117" t="b">
        <f t="shared" si="199"/>
        <v>0</v>
      </c>
      <c r="AQ100" s="117" t="b">
        <f t="shared" si="197"/>
        <v>0</v>
      </c>
      <c r="AR100" s="117" t="b">
        <f t="shared" si="197"/>
        <v>0</v>
      </c>
      <c r="AT100" s="117" t="b">
        <f t="shared" si="197"/>
        <v>1</v>
      </c>
      <c r="AU100" s="117" t="b">
        <f t="shared" si="197"/>
        <v>1</v>
      </c>
      <c r="AV100" s="117" t="b">
        <f t="shared" si="197"/>
        <v>1</v>
      </c>
      <c r="AW100" s="117" t="b">
        <f t="shared" si="197"/>
        <v>1</v>
      </c>
      <c r="AX100" s="117" t="b">
        <f t="shared" si="197"/>
        <v>1</v>
      </c>
      <c r="AY100" s="117" t="b">
        <f t="shared" si="197"/>
        <v>0</v>
      </c>
      <c r="BA100" s="2"/>
      <c r="BB100" s="2"/>
      <c r="BC100" s="2"/>
      <c r="BD100" s="2"/>
      <c r="BE100" s="2"/>
      <c r="BF100" s="2"/>
      <c r="BG100" s="2"/>
      <c r="BR100" s="2"/>
    </row>
    <row r="101" spans="1:82">
      <c r="A101" s="117" t="s">
        <v>962</v>
      </c>
      <c r="B101" s="117" t="str">
        <f>'Reference Score Calculation'!B78</f>
        <v>JS2120</v>
      </c>
      <c r="C101" s="129" t="str">
        <f>'Reference Score Calculation'!E78</f>
        <v>工商管理學士(榮譽)</v>
      </c>
      <c r="D101" s="21"/>
      <c r="E101" s="453" t="str">
        <f>'Reference Score Calculation'!F78</f>
        <v>Best 5</v>
      </c>
      <c r="F101" s="366"/>
      <c r="G101" s="117" t="str">
        <f>入學要求!AB87</f>
        <v>v</v>
      </c>
      <c r="H101" s="117" t="str">
        <f>入學要求!AC87</f>
        <v>NO</v>
      </c>
      <c r="I101" s="117" t="str">
        <f>入學要求!AD87</f>
        <v>v</v>
      </c>
      <c r="J101" s="117">
        <f t="shared" si="178"/>
        <v>3.4999999999999999E-9</v>
      </c>
      <c r="K101" s="117">
        <v>1</v>
      </c>
      <c r="L101" s="117">
        <v>1.5</v>
      </c>
      <c r="M101" s="117">
        <v>1</v>
      </c>
      <c r="O101" s="117">
        <v>1</v>
      </c>
      <c r="P101" s="117">
        <v>1</v>
      </c>
      <c r="Q101" s="117">
        <v>1</v>
      </c>
      <c r="R101" s="117">
        <v>1</v>
      </c>
      <c r="S101" s="117">
        <v>1</v>
      </c>
      <c r="T101" s="117">
        <v>1</v>
      </c>
      <c r="V101" s="117">
        <f t="shared" si="179"/>
        <v>1E-10</v>
      </c>
      <c r="W101" s="117">
        <f t="shared" si="180"/>
        <v>3E-10</v>
      </c>
      <c r="X101" s="117">
        <f t="shared" si="181"/>
        <v>3E-10</v>
      </c>
      <c r="Z101" s="117">
        <f t="shared" si="182"/>
        <v>5.0000000000000003E-10</v>
      </c>
      <c r="AA101" s="117">
        <f t="shared" si="183"/>
        <v>6E-10</v>
      </c>
      <c r="AB101" s="117">
        <f t="shared" si="184"/>
        <v>6.9999999999999996E-10</v>
      </c>
      <c r="AC101" s="117">
        <f t="shared" si="185"/>
        <v>8.0000000000000003E-10</v>
      </c>
      <c r="AD101" s="117">
        <f t="shared" si="186"/>
        <v>8.9999999999999999E-10</v>
      </c>
      <c r="AE101" s="117">
        <f t="shared" si="198"/>
        <v>0</v>
      </c>
      <c r="AF101" s="117">
        <f t="shared" si="187"/>
        <v>1E-10</v>
      </c>
      <c r="AG101" s="117">
        <f t="shared" si="188"/>
        <v>3E-10</v>
      </c>
      <c r="AH101" s="117">
        <f t="shared" si="189"/>
        <v>3E-10</v>
      </c>
      <c r="AI101" s="117">
        <f t="shared" si="190"/>
        <v>0</v>
      </c>
      <c r="AJ101" s="117">
        <f t="shared" si="191"/>
        <v>5.0000000000000003E-10</v>
      </c>
      <c r="AK101" s="117">
        <f t="shared" si="192"/>
        <v>6E-10</v>
      </c>
      <c r="AL101" s="117">
        <f t="shared" si="193"/>
        <v>6.9999999999999996E-10</v>
      </c>
      <c r="AM101" s="117">
        <f t="shared" si="194"/>
        <v>8.0000000000000003E-10</v>
      </c>
      <c r="AN101" s="117">
        <f t="shared" si="195"/>
        <v>8.9999999999999999E-10</v>
      </c>
      <c r="AO101" s="117">
        <f t="shared" si="196"/>
        <v>0</v>
      </c>
      <c r="AP101" s="117" t="b">
        <f t="shared" si="199"/>
        <v>0</v>
      </c>
      <c r="AQ101" s="117" t="b">
        <f t="shared" si="197"/>
        <v>0</v>
      </c>
      <c r="AR101" s="117" t="b">
        <f t="shared" si="197"/>
        <v>0</v>
      </c>
      <c r="AT101" s="117" t="b">
        <f t="shared" si="197"/>
        <v>1</v>
      </c>
      <c r="AU101" s="117" t="b">
        <f t="shared" si="197"/>
        <v>1</v>
      </c>
      <c r="AV101" s="117" t="b">
        <f t="shared" si="197"/>
        <v>1</v>
      </c>
      <c r="AW101" s="117" t="b">
        <f t="shared" si="197"/>
        <v>1</v>
      </c>
      <c r="AX101" s="117" t="b">
        <f t="shared" si="197"/>
        <v>1</v>
      </c>
      <c r="AY101" s="117" t="b">
        <f t="shared" si="197"/>
        <v>0</v>
      </c>
      <c r="BA101" s="2"/>
      <c r="BB101" s="2"/>
      <c r="BC101" s="2"/>
      <c r="BD101" s="2"/>
      <c r="BE101" s="2"/>
      <c r="BF101" s="2"/>
      <c r="BG101" s="2"/>
      <c r="BR101" s="2"/>
    </row>
    <row r="102" spans="1:82">
      <c r="A102" s="117" t="s">
        <v>965</v>
      </c>
      <c r="B102" s="117" t="str">
        <f>'Reference Score Calculation'!B79</f>
        <v>JS2310</v>
      </c>
      <c r="C102" s="129" t="str">
        <f>'Reference Score Calculation'!E79</f>
        <v>傳理學學士(榮譽) (新聞與數碼媒體 / 公關及廣告)</v>
      </c>
      <c r="D102" s="21"/>
      <c r="E102" s="453" t="str">
        <f>'Reference Score Calculation'!F79</f>
        <v>Best 5</v>
      </c>
      <c r="F102" s="366"/>
      <c r="G102" s="117" t="str">
        <f>入學要求!AB88</f>
        <v>v</v>
      </c>
      <c r="H102" s="117" t="str">
        <f>入學要求!AC88</f>
        <v>C</v>
      </c>
      <c r="I102" s="117" t="str">
        <f>入學要求!AD88</f>
        <v>v</v>
      </c>
      <c r="J102" s="117">
        <f t="shared" si="178"/>
        <v>3.4999999999999999E-9</v>
      </c>
      <c r="K102" s="117">
        <v>1.25</v>
      </c>
      <c r="L102" s="117">
        <v>1.25</v>
      </c>
      <c r="M102" s="117">
        <v>1</v>
      </c>
      <c r="O102" s="117">
        <v>1</v>
      </c>
      <c r="P102" s="117">
        <v>1</v>
      </c>
      <c r="Q102" s="117">
        <v>1</v>
      </c>
      <c r="R102" s="117">
        <v>1</v>
      </c>
      <c r="S102" s="117">
        <v>1</v>
      </c>
      <c r="T102" s="117">
        <v>1</v>
      </c>
      <c r="V102" s="117">
        <f t="shared" si="179"/>
        <v>1.2500000000000001E-10</v>
      </c>
      <c r="W102" s="117">
        <f t="shared" si="180"/>
        <v>2.5000000000000002E-10</v>
      </c>
      <c r="X102" s="117">
        <f t="shared" si="181"/>
        <v>3E-10</v>
      </c>
      <c r="Z102" s="117">
        <f t="shared" si="182"/>
        <v>5.0000000000000003E-10</v>
      </c>
      <c r="AA102" s="117">
        <f t="shared" si="183"/>
        <v>6E-10</v>
      </c>
      <c r="AB102" s="117">
        <f t="shared" si="184"/>
        <v>6.9999999999999996E-10</v>
      </c>
      <c r="AC102" s="117">
        <f t="shared" si="185"/>
        <v>8.0000000000000003E-10</v>
      </c>
      <c r="AD102" s="117">
        <f t="shared" si="186"/>
        <v>8.9999999999999999E-10</v>
      </c>
      <c r="AE102" s="117">
        <f t="shared" si="198"/>
        <v>0</v>
      </c>
      <c r="AF102" s="117">
        <f t="shared" si="187"/>
        <v>1.2500000000000001E-10</v>
      </c>
      <c r="AG102" s="117">
        <f t="shared" si="188"/>
        <v>2.5000000000000002E-10</v>
      </c>
      <c r="AH102" s="117">
        <f t="shared" si="189"/>
        <v>3E-10</v>
      </c>
      <c r="AI102" s="117">
        <f t="shared" si="190"/>
        <v>0</v>
      </c>
      <c r="AJ102" s="117">
        <f t="shared" si="191"/>
        <v>5.0000000000000003E-10</v>
      </c>
      <c r="AK102" s="117">
        <f t="shared" si="192"/>
        <v>6E-10</v>
      </c>
      <c r="AL102" s="117">
        <f t="shared" si="193"/>
        <v>6.9999999999999996E-10</v>
      </c>
      <c r="AM102" s="117">
        <f t="shared" si="194"/>
        <v>8.0000000000000003E-10</v>
      </c>
      <c r="AN102" s="117">
        <f t="shared" si="195"/>
        <v>8.9999999999999999E-10</v>
      </c>
      <c r="AO102" s="117">
        <f t="shared" si="196"/>
        <v>0</v>
      </c>
      <c r="AP102" s="117" t="b">
        <f t="shared" si="199"/>
        <v>0</v>
      </c>
      <c r="AQ102" s="117" t="b">
        <f t="shared" si="197"/>
        <v>0</v>
      </c>
      <c r="AR102" s="117" t="b">
        <f t="shared" si="197"/>
        <v>0</v>
      </c>
      <c r="AT102" s="117" t="b">
        <f t="shared" si="197"/>
        <v>1</v>
      </c>
      <c r="AU102" s="117" t="b">
        <f t="shared" si="197"/>
        <v>1</v>
      </c>
      <c r="AV102" s="117" t="b">
        <f t="shared" si="197"/>
        <v>1</v>
      </c>
      <c r="AW102" s="117" t="b">
        <f t="shared" si="197"/>
        <v>1</v>
      </c>
      <c r="AX102" s="117" t="b">
        <f t="shared" si="197"/>
        <v>1</v>
      </c>
      <c r="AY102" s="117" t="b">
        <f t="shared" si="197"/>
        <v>0</v>
      </c>
      <c r="BA102" s="2"/>
      <c r="BB102" s="2"/>
      <c r="BC102" s="2"/>
      <c r="BD102" s="2"/>
      <c r="BE102" s="2"/>
      <c r="BF102" s="2"/>
      <c r="BG102" s="2"/>
      <c r="BR102" s="2"/>
      <c r="BV102" s="358" t="s">
        <v>2353</v>
      </c>
    </row>
    <row r="103" spans="1:82">
      <c r="A103" s="117" t="s">
        <v>971</v>
      </c>
      <c r="B103" s="117" t="str">
        <f>'Reference Score Calculation'!B80</f>
        <v>JS2330</v>
      </c>
      <c r="C103" s="129" t="str">
        <f>'Reference Score Calculation'!E80</f>
        <v>電影電視文學士(榮譽)</v>
      </c>
      <c r="D103" s="21"/>
      <c r="E103" s="453" t="str">
        <f>'Reference Score Calculation'!F80</f>
        <v>Best 5</v>
      </c>
      <c r="F103" s="366"/>
      <c r="G103" s="117" t="str">
        <f>入學要求!AB89</f>
        <v>v</v>
      </c>
      <c r="H103" s="117" t="str">
        <f>入學要求!AC89</f>
        <v>C</v>
      </c>
      <c r="I103" s="117" t="str">
        <f>入學要求!AD89</f>
        <v>v</v>
      </c>
      <c r="J103" s="117">
        <f t="shared" si="178"/>
        <v>3.4999999999999999E-9</v>
      </c>
      <c r="K103" s="117">
        <v>1.25</v>
      </c>
      <c r="L103" s="117">
        <v>1.25</v>
      </c>
      <c r="M103" s="117">
        <v>1</v>
      </c>
      <c r="O103" s="117">
        <v>1</v>
      </c>
      <c r="P103" s="117">
        <v>1</v>
      </c>
      <c r="Q103" s="117">
        <v>1</v>
      </c>
      <c r="R103" s="117">
        <v>1</v>
      </c>
      <c r="S103" s="117">
        <v>1</v>
      </c>
      <c r="T103" s="117">
        <v>1</v>
      </c>
      <c r="V103" s="117">
        <f t="shared" si="179"/>
        <v>1.2500000000000001E-10</v>
      </c>
      <c r="W103" s="117">
        <f t="shared" si="180"/>
        <v>2.5000000000000002E-10</v>
      </c>
      <c r="X103" s="117">
        <f t="shared" si="181"/>
        <v>3E-10</v>
      </c>
      <c r="Z103" s="117">
        <f t="shared" si="182"/>
        <v>5.0000000000000003E-10</v>
      </c>
      <c r="AA103" s="117">
        <f t="shared" si="183"/>
        <v>6E-10</v>
      </c>
      <c r="AB103" s="117">
        <f t="shared" si="184"/>
        <v>6.9999999999999996E-10</v>
      </c>
      <c r="AC103" s="117">
        <f t="shared" si="185"/>
        <v>8.0000000000000003E-10</v>
      </c>
      <c r="AD103" s="117">
        <f t="shared" si="186"/>
        <v>8.9999999999999999E-10</v>
      </c>
      <c r="AE103" s="117">
        <f t="shared" si="198"/>
        <v>0</v>
      </c>
      <c r="AF103" s="117">
        <f t="shared" si="187"/>
        <v>1.2500000000000001E-10</v>
      </c>
      <c r="AG103" s="117">
        <f t="shared" si="188"/>
        <v>2.5000000000000002E-10</v>
      </c>
      <c r="AH103" s="117">
        <f t="shared" si="189"/>
        <v>3E-10</v>
      </c>
      <c r="AI103" s="117">
        <f t="shared" si="190"/>
        <v>0</v>
      </c>
      <c r="AJ103" s="117">
        <f t="shared" si="191"/>
        <v>5.0000000000000003E-10</v>
      </c>
      <c r="AK103" s="117">
        <f t="shared" si="192"/>
        <v>6E-10</v>
      </c>
      <c r="AL103" s="117">
        <f t="shared" si="193"/>
        <v>6.9999999999999996E-10</v>
      </c>
      <c r="AM103" s="117">
        <f t="shared" si="194"/>
        <v>8.0000000000000003E-10</v>
      </c>
      <c r="AN103" s="117">
        <f t="shared" si="195"/>
        <v>8.9999999999999999E-10</v>
      </c>
      <c r="AO103" s="117">
        <f t="shared" si="196"/>
        <v>0</v>
      </c>
      <c r="AP103" s="117" t="b">
        <f t="shared" si="199"/>
        <v>0</v>
      </c>
      <c r="AQ103" s="117" t="b">
        <f t="shared" si="197"/>
        <v>0</v>
      </c>
      <c r="AR103" s="117" t="b">
        <f t="shared" si="197"/>
        <v>0</v>
      </c>
      <c r="AT103" s="117" t="b">
        <f t="shared" si="197"/>
        <v>1</v>
      </c>
      <c r="AU103" s="117" t="b">
        <f t="shared" si="197"/>
        <v>1</v>
      </c>
      <c r="AV103" s="117" t="b">
        <f t="shared" si="197"/>
        <v>1</v>
      </c>
      <c r="AW103" s="117" t="b">
        <f t="shared" si="197"/>
        <v>1</v>
      </c>
      <c r="AX103" s="117" t="b">
        <f t="shared" si="197"/>
        <v>1</v>
      </c>
      <c r="AY103" s="117" t="b">
        <f t="shared" si="197"/>
        <v>0</v>
      </c>
      <c r="BA103" s="2"/>
      <c r="BB103" s="2"/>
      <c r="BC103" s="2"/>
      <c r="BD103" s="2"/>
      <c r="BE103" s="2"/>
      <c r="BF103" s="2"/>
      <c r="BG103" s="2"/>
      <c r="BR103" s="2"/>
      <c r="BV103" s="371" t="s">
        <v>2354</v>
      </c>
      <c r="BW103" s="370"/>
    </row>
    <row r="104" spans="1:82">
      <c r="A104" s="117" t="s">
        <v>978</v>
      </c>
      <c r="B104" s="117" t="str">
        <f>'Reference Score Calculation'!B81</f>
        <v>JS2340</v>
      </c>
      <c r="C104" s="129" t="str">
        <f>'Reference Score Calculation'!E81</f>
        <v>環球螢幕演技藝術學士(榮譽)</v>
      </c>
      <c r="D104" s="21"/>
      <c r="E104" s="453" t="str">
        <f>'Reference Score Calculation'!F81</f>
        <v>Best 5</v>
      </c>
      <c r="F104" s="338"/>
      <c r="G104" s="117" t="str">
        <f>入學要求!AB90</f>
        <v>v</v>
      </c>
      <c r="H104" s="117" t="str">
        <f>入學要求!AC90</f>
        <v>C</v>
      </c>
      <c r="I104" s="117" t="str">
        <f>入學要求!AD90</f>
        <v>v</v>
      </c>
      <c r="J104" s="117">
        <f t="shared" si="178"/>
        <v>3.4999999999999999E-9</v>
      </c>
      <c r="K104" s="117">
        <v>1</v>
      </c>
      <c r="L104" s="117">
        <v>1</v>
      </c>
      <c r="M104" s="117">
        <v>1</v>
      </c>
      <c r="O104" s="117">
        <v>1</v>
      </c>
      <c r="P104" s="117">
        <v>1</v>
      </c>
      <c r="Q104" s="117">
        <v>1</v>
      </c>
      <c r="R104" s="117">
        <v>1</v>
      </c>
      <c r="S104" s="117">
        <v>1</v>
      </c>
      <c r="T104" s="117">
        <v>1</v>
      </c>
      <c r="V104" s="117">
        <f t="shared" si="179"/>
        <v>1E-10</v>
      </c>
      <c r="W104" s="117">
        <f t="shared" si="180"/>
        <v>2.0000000000000001E-10</v>
      </c>
      <c r="X104" s="117">
        <f t="shared" si="181"/>
        <v>3E-10</v>
      </c>
      <c r="Z104" s="117">
        <f t="shared" si="182"/>
        <v>5.0000000000000003E-10</v>
      </c>
      <c r="AA104" s="117">
        <f t="shared" si="183"/>
        <v>6E-10</v>
      </c>
      <c r="AB104" s="117">
        <f t="shared" si="184"/>
        <v>6.9999999999999996E-10</v>
      </c>
      <c r="AC104" s="117">
        <f t="shared" si="185"/>
        <v>8.0000000000000003E-10</v>
      </c>
      <c r="AD104" s="117">
        <f t="shared" si="186"/>
        <v>8.9999999999999999E-10</v>
      </c>
      <c r="AE104" s="117">
        <f t="shared" si="198"/>
        <v>0</v>
      </c>
      <c r="AF104" s="117">
        <f t="shared" si="187"/>
        <v>1E-10</v>
      </c>
      <c r="AG104" s="117">
        <f t="shared" si="188"/>
        <v>2.0000000000000001E-10</v>
      </c>
      <c r="AH104" s="117">
        <f t="shared" si="189"/>
        <v>3E-10</v>
      </c>
      <c r="AI104" s="117">
        <f t="shared" si="190"/>
        <v>0</v>
      </c>
      <c r="AJ104" s="117">
        <f t="shared" si="191"/>
        <v>5.0000000000000003E-10</v>
      </c>
      <c r="AK104" s="117">
        <f t="shared" si="192"/>
        <v>6E-10</v>
      </c>
      <c r="AL104" s="117">
        <f t="shared" si="193"/>
        <v>6.9999999999999996E-10</v>
      </c>
      <c r="AM104" s="117">
        <f t="shared" si="194"/>
        <v>8.0000000000000003E-10</v>
      </c>
      <c r="AN104" s="117">
        <f t="shared" si="195"/>
        <v>8.9999999999999999E-10</v>
      </c>
      <c r="AO104" s="117">
        <f t="shared" si="196"/>
        <v>0</v>
      </c>
      <c r="AP104" s="117" t="b">
        <f t="shared" si="199"/>
        <v>0</v>
      </c>
      <c r="AQ104" s="117" t="b">
        <f t="shared" si="197"/>
        <v>0</v>
      </c>
      <c r="AR104" s="117" t="b">
        <f t="shared" si="197"/>
        <v>0</v>
      </c>
      <c r="AT104" s="117" t="b">
        <f t="shared" si="197"/>
        <v>1</v>
      </c>
      <c r="AU104" s="117" t="b">
        <f t="shared" si="197"/>
        <v>1</v>
      </c>
      <c r="AV104" s="117" t="b">
        <f t="shared" si="197"/>
        <v>1</v>
      </c>
      <c r="AW104" s="117" t="b">
        <f t="shared" si="197"/>
        <v>1</v>
      </c>
      <c r="AX104" s="117" t="b">
        <f t="shared" si="197"/>
        <v>1</v>
      </c>
      <c r="AY104" s="117" t="b">
        <f t="shared" si="197"/>
        <v>0</v>
      </c>
      <c r="BA104" s="2"/>
      <c r="BB104" s="2"/>
      <c r="BC104" s="2"/>
      <c r="BD104" s="2"/>
      <c r="BE104" s="2"/>
      <c r="BF104" s="2"/>
      <c r="BG104" s="2"/>
      <c r="BR104" s="2"/>
      <c r="BV104" s="117" t="s">
        <v>290</v>
      </c>
    </row>
    <row r="105" spans="1:82">
      <c r="A105" s="117" t="s">
        <v>984</v>
      </c>
      <c r="B105" s="117" t="str">
        <f>'Reference Score Calculation'!B82</f>
        <v>JS2370</v>
      </c>
      <c r="C105" s="129" t="str">
        <f>'Reference Score Calculation'!E82</f>
        <v>傳理學學士(榮譽) - 遊戲設計與動畫主修</v>
      </c>
      <c r="D105" s="21"/>
      <c r="E105" s="453" t="str">
        <f>'Reference Score Calculation'!F82</f>
        <v>Best 5</v>
      </c>
      <c r="F105" s="366"/>
      <c r="G105" s="117" t="str">
        <f>入學要求!AB91</f>
        <v>v</v>
      </c>
      <c r="H105" s="117" t="str">
        <f>入學要求!AC91</f>
        <v>C</v>
      </c>
      <c r="I105" s="117" t="str">
        <f>入學要求!AD91</f>
        <v>v</v>
      </c>
      <c r="J105" s="117">
        <f t="shared" si="178"/>
        <v>3.4999999999999999E-9</v>
      </c>
      <c r="K105" s="117">
        <v>1.25</v>
      </c>
      <c r="L105" s="117">
        <v>1</v>
      </c>
      <c r="M105" s="117">
        <v>1.1000000000000001</v>
      </c>
      <c r="O105" s="117">
        <v>1</v>
      </c>
      <c r="P105" s="117">
        <f>IF(P1="視覺藝術",1.15,1)</f>
        <v>1</v>
      </c>
      <c r="Q105" s="117">
        <f>IF(Q1="視覺藝術",1.15,1)</f>
        <v>1</v>
      </c>
      <c r="R105" s="117">
        <f>IF(R1="視覺藝術",1.15,1)</f>
        <v>1</v>
      </c>
      <c r="S105" s="117">
        <f>IF(S1="視覺藝術",1.15,1)</f>
        <v>1</v>
      </c>
      <c r="T105" s="117">
        <v>1</v>
      </c>
      <c r="V105" s="117">
        <f t="shared" si="179"/>
        <v>1.2500000000000001E-10</v>
      </c>
      <c r="W105" s="117">
        <f t="shared" si="180"/>
        <v>2.0000000000000001E-10</v>
      </c>
      <c r="X105" s="117">
        <f t="shared" si="181"/>
        <v>3.3000000000000005E-10</v>
      </c>
      <c r="Z105" s="117">
        <f t="shared" si="182"/>
        <v>5.0000000000000003E-10</v>
      </c>
      <c r="AA105" s="117">
        <f t="shared" si="183"/>
        <v>6E-10</v>
      </c>
      <c r="AB105" s="117">
        <f t="shared" si="184"/>
        <v>6.9999999999999996E-10</v>
      </c>
      <c r="AC105" s="117">
        <f t="shared" si="185"/>
        <v>8.0000000000000003E-10</v>
      </c>
      <c r="AD105" s="117">
        <f t="shared" si="186"/>
        <v>8.9999999999999999E-10</v>
      </c>
      <c r="AE105" s="117">
        <f t="shared" si="198"/>
        <v>0</v>
      </c>
      <c r="AF105" s="117">
        <f t="shared" si="187"/>
        <v>1.2500000000000001E-10</v>
      </c>
      <c r="AG105" s="117">
        <f t="shared" si="188"/>
        <v>2.0000000000000001E-10</v>
      </c>
      <c r="AH105" s="117">
        <f t="shared" si="189"/>
        <v>3.3000000000000005E-10</v>
      </c>
      <c r="AI105" s="117">
        <f t="shared" si="190"/>
        <v>0</v>
      </c>
      <c r="AJ105" s="117">
        <f t="shared" si="191"/>
        <v>5.0000000000000003E-10</v>
      </c>
      <c r="AK105" s="117">
        <f t="shared" si="192"/>
        <v>6E-10</v>
      </c>
      <c r="AL105" s="117">
        <f t="shared" si="193"/>
        <v>6.9999999999999996E-10</v>
      </c>
      <c r="AM105" s="117">
        <f t="shared" si="194"/>
        <v>8.0000000000000003E-10</v>
      </c>
      <c r="AN105" s="117">
        <f t="shared" si="195"/>
        <v>8.9999999999999999E-10</v>
      </c>
      <c r="AO105" s="117">
        <f t="shared" si="196"/>
        <v>0</v>
      </c>
      <c r="AP105" s="117" t="b">
        <f t="shared" si="199"/>
        <v>0</v>
      </c>
      <c r="AQ105" s="117" t="b">
        <f t="shared" si="197"/>
        <v>0</v>
      </c>
      <c r="AR105" s="117" t="b">
        <f t="shared" si="197"/>
        <v>0</v>
      </c>
      <c r="AT105" s="117" t="b">
        <f t="shared" si="197"/>
        <v>1</v>
      </c>
      <c r="AU105" s="117" t="b">
        <f t="shared" si="197"/>
        <v>1</v>
      </c>
      <c r="AV105" s="117" t="b">
        <f t="shared" si="197"/>
        <v>1</v>
      </c>
      <c r="AW105" s="117" t="b">
        <f t="shared" si="197"/>
        <v>1</v>
      </c>
      <c r="AX105" s="117" t="b">
        <f t="shared" si="197"/>
        <v>1</v>
      </c>
      <c r="AY105" s="117" t="b">
        <f t="shared" si="197"/>
        <v>0</v>
      </c>
      <c r="BA105" s="2"/>
      <c r="BB105" s="2"/>
      <c r="BC105" s="2"/>
      <c r="BD105" s="2"/>
      <c r="BE105" s="2"/>
      <c r="BF105" s="2"/>
      <c r="BG105" s="2"/>
      <c r="BR105" s="2"/>
    </row>
    <row r="106" spans="1:82">
      <c r="A106" s="117" t="s">
        <v>993</v>
      </c>
      <c r="B106" s="117" t="str">
        <f>'Reference Score Calculation'!B83</f>
        <v>JS2410</v>
      </c>
      <c r="C106" s="129" t="str">
        <f>'Reference Score Calculation'!E83</f>
        <v>中醫學學士及生物醫學理學士(榮譽)</v>
      </c>
      <c r="D106" s="21"/>
      <c r="E106" s="453" t="str">
        <f>'Reference Score Calculation'!F83</f>
        <v>Best 5</v>
      </c>
      <c r="F106" s="357"/>
      <c r="G106" s="117" t="str">
        <f>入學要求!AB92</f>
        <v>v</v>
      </c>
      <c r="H106" s="117" t="str">
        <f>入學要求!AC92</f>
        <v>NO</v>
      </c>
      <c r="I106" s="117" t="str">
        <f>入學要求!AD92</f>
        <v>NO</v>
      </c>
      <c r="J106" s="117">
        <f t="shared" si="178"/>
        <v>3.4999999999999999E-9</v>
      </c>
      <c r="K106" s="117">
        <v>1.5</v>
      </c>
      <c r="L106" s="117">
        <v>1.5</v>
      </c>
      <c r="M106" s="117">
        <v>1</v>
      </c>
      <c r="O106" s="117">
        <v>1</v>
      </c>
      <c r="P106" s="117">
        <f>IF(P1="生物",1.5,IF(P1="化學",1.25,1))</f>
        <v>1</v>
      </c>
      <c r="Q106" s="117">
        <f>IF(Q1="生物",1.5,IF(Q1="化學",1.25,1))</f>
        <v>1</v>
      </c>
      <c r="R106" s="117">
        <f>IF(R1="生物",1.5,IF(R1="化學",1.25,1))</f>
        <v>1</v>
      </c>
      <c r="S106" s="117">
        <f>IF(S1="生物",1.5,IF(S1="化學",1.25,1))</f>
        <v>1</v>
      </c>
      <c r="T106" s="117">
        <v>1</v>
      </c>
      <c r="V106" s="117">
        <f t="shared" si="179"/>
        <v>1.5E-10</v>
      </c>
      <c r="W106" s="117">
        <f t="shared" si="180"/>
        <v>3E-10</v>
      </c>
      <c r="X106" s="117">
        <f t="shared" si="181"/>
        <v>3E-10</v>
      </c>
      <c r="Z106" s="117">
        <f t="shared" si="182"/>
        <v>5.0000000000000003E-10</v>
      </c>
      <c r="AA106" s="117">
        <f t="shared" si="183"/>
        <v>6E-10</v>
      </c>
      <c r="AB106" s="117">
        <f t="shared" si="184"/>
        <v>6.9999999999999996E-10</v>
      </c>
      <c r="AC106" s="117">
        <f t="shared" si="185"/>
        <v>8.0000000000000003E-10</v>
      </c>
      <c r="AD106" s="117">
        <f t="shared" si="186"/>
        <v>8.9999999999999999E-10</v>
      </c>
      <c r="AE106" s="117">
        <f t="shared" si="198"/>
        <v>0</v>
      </c>
      <c r="AF106" s="117">
        <f t="shared" si="187"/>
        <v>1.5E-10</v>
      </c>
      <c r="AG106" s="117">
        <f t="shared" si="188"/>
        <v>3E-10</v>
      </c>
      <c r="AH106" s="117">
        <f t="shared" si="189"/>
        <v>3E-10</v>
      </c>
      <c r="AI106" s="117">
        <f t="shared" si="190"/>
        <v>0</v>
      </c>
      <c r="AJ106" s="117">
        <f t="shared" si="191"/>
        <v>5.0000000000000003E-10</v>
      </c>
      <c r="AK106" s="117">
        <f t="shared" si="192"/>
        <v>6E-10</v>
      </c>
      <c r="AL106" s="117">
        <f t="shared" si="193"/>
        <v>6.9999999999999996E-10</v>
      </c>
      <c r="AM106" s="117">
        <f t="shared" si="194"/>
        <v>8.0000000000000003E-10</v>
      </c>
      <c r="AN106" s="117">
        <f t="shared" si="195"/>
        <v>8.9999999999999999E-10</v>
      </c>
      <c r="AO106" s="117">
        <f t="shared" si="196"/>
        <v>0</v>
      </c>
      <c r="AP106" s="117" t="b">
        <f t="shared" si="199"/>
        <v>0</v>
      </c>
      <c r="AQ106" s="117" t="b">
        <f t="shared" si="197"/>
        <v>0</v>
      </c>
      <c r="AR106" s="117" t="b">
        <f t="shared" si="197"/>
        <v>0</v>
      </c>
      <c r="AT106" s="117" t="b">
        <f t="shared" si="197"/>
        <v>1</v>
      </c>
      <c r="AU106" s="117" t="b">
        <f t="shared" si="197"/>
        <v>1</v>
      </c>
      <c r="AV106" s="117" t="b">
        <f t="shared" si="197"/>
        <v>1</v>
      </c>
      <c r="AW106" s="117" t="b">
        <f t="shared" si="197"/>
        <v>1</v>
      </c>
      <c r="AX106" s="117" t="b">
        <f t="shared" si="197"/>
        <v>1</v>
      </c>
      <c r="AY106" s="117" t="b">
        <f t="shared" si="197"/>
        <v>0</v>
      </c>
      <c r="BA106" s="2"/>
      <c r="BB106" s="2"/>
      <c r="BC106" s="2"/>
      <c r="BD106" s="2"/>
      <c r="BE106" s="2"/>
      <c r="BF106" s="2"/>
      <c r="BG106" s="2"/>
      <c r="BR106" s="2"/>
      <c r="BV106" s="358" t="s">
        <v>2355</v>
      </c>
    </row>
    <row r="107" spans="1:82">
      <c r="A107" s="117" t="s">
        <v>999</v>
      </c>
      <c r="B107" s="117" t="str">
        <f>'Reference Score Calculation'!B84</f>
        <v>JS2420</v>
      </c>
      <c r="C107" s="129" t="str">
        <f>'Reference Score Calculation'!E84</f>
        <v>中藥學學士(榮譽)</v>
      </c>
      <c r="D107" s="21"/>
      <c r="E107" s="453" t="str">
        <f>'Reference Score Calculation'!F84</f>
        <v>Best 5</v>
      </c>
      <c r="F107" s="357"/>
      <c r="G107" s="117" t="str">
        <f>入學要求!AB93</f>
        <v>v</v>
      </c>
      <c r="H107" s="117" t="str">
        <f>入學要求!AC93</f>
        <v>NO</v>
      </c>
      <c r="I107" s="117" t="str">
        <f>入學要求!AD93</f>
        <v>NO</v>
      </c>
      <c r="J107" s="117">
        <f t="shared" si="178"/>
        <v>3.4999999999999999E-9</v>
      </c>
      <c r="K107" s="117">
        <v>1</v>
      </c>
      <c r="L107" s="117">
        <v>1.5</v>
      </c>
      <c r="M107" s="117">
        <v>1.25</v>
      </c>
      <c r="O107" s="117">
        <v>1</v>
      </c>
      <c r="P107" s="117">
        <f>IF(P1="化學",1.5,IF(P1="生物",1.25,1))</f>
        <v>1</v>
      </c>
      <c r="Q107" s="117">
        <f>IF(Q1="化學",1.5,IF(Q1="生物",1.25,1))</f>
        <v>1</v>
      </c>
      <c r="R107" s="117">
        <f>IF(R1="化學",1.5,IF(R1="生物",1.25,1))</f>
        <v>1</v>
      </c>
      <c r="S107" s="117">
        <f>IF(S1="化學",1.5,IF(S1="生物",1.25,1))</f>
        <v>1</v>
      </c>
      <c r="T107" s="117">
        <v>1</v>
      </c>
      <c r="V107" s="117">
        <f t="shared" si="179"/>
        <v>1E-10</v>
      </c>
      <c r="W107" s="117">
        <f t="shared" si="180"/>
        <v>3E-10</v>
      </c>
      <c r="X107" s="117">
        <f t="shared" si="181"/>
        <v>3.75E-10</v>
      </c>
      <c r="Z107" s="117">
        <f t="shared" si="182"/>
        <v>5.0000000000000003E-10</v>
      </c>
      <c r="AA107" s="117">
        <f t="shared" si="183"/>
        <v>6E-10</v>
      </c>
      <c r="AB107" s="117">
        <f t="shared" si="184"/>
        <v>6.9999999999999996E-10</v>
      </c>
      <c r="AC107" s="117">
        <f t="shared" si="185"/>
        <v>8.0000000000000003E-10</v>
      </c>
      <c r="AD107" s="117">
        <f t="shared" si="186"/>
        <v>8.9999999999999999E-10</v>
      </c>
      <c r="AE107" s="117">
        <f t="shared" si="198"/>
        <v>0</v>
      </c>
      <c r="AF107" s="117">
        <f t="shared" si="187"/>
        <v>1E-10</v>
      </c>
      <c r="AG107" s="117">
        <f t="shared" si="188"/>
        <v>3E-10</v>
      </c>
      <c r="AH107" s="117">
        <f t="shared" si="189"/>
        <v>3.75E-10</v>
      </c>
      <c r="AI107" s="117">
        <f t="shared" si="190"/>
        <v>0</v>
      </c>
      <c r="AJ107" s="117">
        <f t="shared" si="191"/>
        <v>5.0000000000000003E-10</v>
      </c>
      <c r="AK107" s="117">
        <f t="shared" si="192"/>
        <v>6E-10</v>
      </c>
      <c r="AL107" s="117">
        <f t="shared" si="193"/>
        <v>6.9999999999999996E-10</v>
      </c>
      <c r="AM107" s="117">
        <f t="shared" si="194"/>
        <v>8.0000000000000003E-10</v>
      </c>
      <c r="AN107" s="117">
        <f t="shared" si="195"/>
        <v>8.9999999999999999E-10</v>
      </c>
      <c r="AO107" s="117">
        <f t="shared" si="196"/>
        <v>0</v>
      </c>
      <c r="AP107" s="117" t="b">
        <f t="shared" si="199"/>
        <v>0</v>
      </c>
      <c r="AQ107" s="117" t="b">
        <f t="shared" si="197"/>
        <v>0</v>
      </c>
      <c r="AR107" s="117" t="b">
        <f t="shared" si="197"/>
        <v>0</v>
      </c>
      <c r="AT107" s="117" t="b">
        <f t="shared" si="197"/>
        <v>1</v>
      </c>
      <c r="AU107" s="117" t="b">
        <f t="shared" si="197"/>
        <v>1</v>
      </c>
      <c r="AV107" s="117" t="b">
        <f t="shared" si="197"/>
        <v>1</v>
      </c>
      <c r="AW107" s="117" t="b">
        <f t="shared" si="197"/>
        <v>1</v>
      </c>
      <c r="AX107" s="117" t="b">
        <f t="shared" si="197"/>
        <v>1</v>
      </c>
      <c r="AY107" s="117" t="b">
        <f t="shared" si="197"/>
        <v>0</v>
      </c>
      <c r="BA107" s="2"/>
      <c r="BB107" s="2"/>
      <c r="BC107" s="2"/>
      <c r="BD107" s="2"/>
      <c r="BE107" s="2"/>
      <c r="BF107" s="2"/>
      <c r="BG107" s="2"/>
      <c r="BR107" s="2"/>
      <c r="BV107" s="117" t="s">
        <v>2356</v>
      </c>
    </row>
    <row r="108" spans="1:82">
      <c r="A108" s="117" t="s">
        <v>1004</v>
      </c>
      <c r="B108" s="117" t="str">
        <f>'Reference Score Calculation'!B85</f>
        <v>JS2510</v>
      </c>
      <c r="C108" s="129" t="str">
        <f>'Reference Score Calculation'!E85</f>
        <v>理學士(榮譽)</v>
      </c>
      <c r="D108" s="21"/>
      <c r="E108" s="453" t="str">
        <f>'Reference Score Calculation'!F85</f>
        <v>Best 5</v>
      </c>
      <c r="F108" s="338"/>
      <c r="G108" s="117" t="str">
        <f>入學要求!AB94</f>
        <v>v</v>
      </c>
      <c r="H108" s="117" t="str">
        <f>入學要求!AC94</f>
        <v>C</v>
      </c>
      <c r="I108" s="117" t="str">
        <f>入學要求!AD94</f>
        <v>v</v>
      </c>
      <c r="J108" s="117">
        <f t="shared" si="178"/>
        <v>3.4999999999999999E-9</v>
      </c>
      <c r="K108" s="117">
        <v>1</v>
      </c>
      <c r="L108" s="117">
        <v>1</v>
      </c>
      <c r="M108" s="117">
        <v>1</v>
      </c>
      <c r="O108" s="117">
        <v>1</v>
      </c>
      <c r="P108" s="117">
        <v>1</v>
      </c>
      <c r="Q108" s="117">
        <v>1</v>
      </c>
      <c r="R108" s="117">
        <v>1</v>
      </c>
      <c r="S108" s="117">
        <v>1</v>
      </c>
      <c r="T108" s="117">
        <v>1</v>
      </c>
      <c r="V108" s="117">
        <f t="shared" si="179"/>
        <v>1E-10</v>
      </c>
      <c r="W108" s="117">
        <f t="shared" si="180"/>
        <v>2.0000000000000001E-10</v>
      </c>
      <c r="X108" s="117">
        <f t="shared" si="181"/>
        <v>3E-10</v>
      </c>
      <c r="Z108" s="117">
        <f t="shared" si="182"/>
        <v>5.0000000000000003E-10</v>
      </c>
      <c r="AA108" s="117">
        <f t="shared" si="183"/>
        <v>6E-10</v>
      </c>
      <c r="AB108" s="117">
        <f t="shared" si="184"/>
        <v>6.9999999999999996E-10</v>
      </c>
      <c r="AC108" s="117">
        <f t="shared" si="185"/>
        <v>8.0000000000000003E-10</v>
      </c>
      <c r="AD108" s="117">
        <f t="shared" si="186"/>
        <v>8.9999999999999999E-10</v>
      </c>
      <c r="AE108" s="117">
        <f t="shared" si="198"/>
        <v>0</v>
      </c>
      <c r="AF108" s="117">
        <f t="shared" si="187"/>
        <v>1E-10</v>
      </c>
      <c r="AG108" s="117">
        <f t="shared" si="188"/>
        <v>2.0000000000000001E-10</v>
      </c>
      <c r="AH108" s="117">
        <f t="shared" si="189"/>
        <v>3E-10</v>
      </c>
      <c r="AI108" s="117">
        <f t="shared" si="190"/>
        <v>0</v>
      </c>
      <c r="AJ108" s="117">
        <f t="shared" si="191"/>
        <v>5.0000000000000003E-10</v>
      </c>
      <c r="AK108" s="117">
        <f t="shared" si="192"/>
        <v>6E-10</v>
      </c>
      <c r="AL108" s="117">
        <f t="shared" si="193"/>
        <v>6.9999999999999996E-10</v>
      </c>
      <c r="AM108" s="117">
        <f t="shared" si="194"/>
        <v>8.0000000000000003E-10</v>
      </c>
      <c r="AN108" s="117">
        <f t="shared" si="195"/>
        <v>8.9999999999999999E-10</v>
      </c>
      <c r="AO108" s="117">
        <f t="shared" si="196"/>
        <v>0</v>
      </c>
      <c r="AP108" s="117" t="b">
        <f t="shared" si="199"/>
        <v>0</v>
      </c>
      <c r="AQ108" s="117" t="b">
        <f t="shared" si="197"/>
        <v>0</v>
      </c>
      <c r="AR108" s="117" t="b">
        <f t="shared" si="197"/>
        <v>0</v>
      </c>
      <c r="AT108" s="117" t="b">
        <f t="shared" si="197"/>
        <v>1</v>
      </c>
      <c r="AU108" s="117" t="b">
        <f t="shared" si="197"/>
        <v>1</v>
      </c>
      <c r="AV108" s="117" t="b">
        <f t="shared" si="197"/>
        <v>1</v>
      </c>
      <c r="AW108" s="117" t="b">
        <f t="shared" si="197"/>
        <v>1</v>
      </c>
      <c r="AX108" s="117" t="b">
        <f t="shared" si="197"/>
        <v>1</v>
      </c>
      <c r="AY108" s="117" t="b">
        <f t="shared" si="197"/>
        <v>0</v>
      </c>
      <c r="BA108" s="2"/>
      <c r="BB108" s="2"/>
      <c r="BC108" s="2"/>
      <c r="BD108" s="2"/>
      <c r="BE108" s="2"/>
      <c r="BF108" s="2"/>
      <c r="BG108" s="2"/>
      <c r="BR108" s="2"/>
      <c r="BV108" s="457" t="s">
        <v>1550</v>
      </c>
      <c r="BX108" s="358" t="s">
        <v>2992</v>
      </c>
    </row>
    <row r="109" spans="1:82">
      <c r="A109" s="117" t="s">
        <v>1009</v>
      </c>
      <c r="B109" s="117" t="str">
        <f>'Reference Score Calculation'!B86</f>
        <v>JS2610</v>
      </c>
      <c r="C109" s="129" t="str">
        <f>'Reference Score Calculation'!E86</f>
        <v>文學士(榮譽) / 社會科學學士(榮譽) (歐洲研究 [法文/德文] / 地理 / 全球及中國研究 / 政治及國際關係學 / 歷史 / 社會學)</v>
      </c>
      <c r="D109" s="21"/>
      <c r="E109" s="453" t="str">
        <f>'Reference Score Calculation'!F86</f>
        <v>Best 5</v>
      </c>
      <c r="F109" s="366"/>
      <c r="G109" s="117" t="str">
        <f>入學要求!AB95</f>
        <v>v</v>
      </c>
      <c r="H109" s="117" t="str">
        <f>入學要求!AC95</f>
        <v>C</v>
      </c>
      <c r="I109" s="117" t="str">
        <f>入學要求!AD95</f>
        <v>NO</v>
      </c>
      <c r="J109" s="117">
        <f t="shared" si="178"/>
        <v>3.4999999999999999E-9</v>
      </c>
      <c r="K109" s="117">
        <v>1</v>
      </c>
      <c r="L109" s="117">
        <v>2</v>
      </c>
      <c r="M109" s="117">
        <v>1</v>
      </c>
      <c r="O109" s="117">
        <v>1</v>
      </c>
      <c r="P109" s="117">
        <v>1</v>
      </c>
      <c r="Q109" s="117">
        <v>1</v>
      </c>
      <c r="R109" s="117">
        <v>1</v>
      </c>
      <c r="S109" s="117">
        <v>1</v>
      </c>
      <c r="T109" s="117">
        <v>1</v>
      </c>
      <c r="V109" s="117">
        <f t="shared" si="179"/>
        <v>1E-10</v>
      </c>
      <c r="W109" s="117">
        <f t="shared" si="180"/>
        <v>4.0000000000000001E-10</v>
      </c>
      <c r="X109" s="117">
        <f t="shared" si="181"/>
        <v>3E-10</v>
      </c>
      <c r="Z109" s="117">
        <f t="shared" si="182"/>
        <v>5.0000000000000003E-10</v>
      </c>
      <c r="AA109" s="117">
        <f t="shared" si="183"/>
        <v>6E-10</v>
      </c>
      <c r="AB109" s="117">
        <f t="shared" si="184"/>
        <v>6.9999999999999996E-10</v>
      </c>
      <c r="AC109" s="117">
        <f t="shared" si="185"/>
        <v>8.0000000000000003E-10</v>
      </c>
      <c r="AD109" s="117">
        <f t="shared" si="186"/>
        <v>8.9999999999999999E-10</v>
      </c>
      <c r="AE109" s="117">
        <f t="shared" si="198"/>
        <v>0</v>
      </c>
      <c r="AF109" s="117">
        <f t="shared" si="187"/>
        <v>1E-10</v>
      </c>
      <c r="AG109" s="117">
        <f t="shared" si="188"/>
        <v>4.0000000000000001E-10</v>
      </c>
      <c r="AH109" s="117">
        <f t="shared" si="189"/>
        <v>3E-10</v>
      </c>
      <c r="AI109" s="117">
        <f t="shared" si="190"/>
        <v>0</v>
      </c>
      <c r="AJ109" s="117">
        <f t="shared" si="191"/>
        <v>5.0000000000000003E-10</v>
      </c>
      <c r="AK109" s="117">
        <f t="shared" si="192"/>
        <v>6E-10</v>
      </c>
      <c r="AL109" s="117">
        <f t="shared" si="193"/>
        <v>6.9999999999999996E-10</v>
      </c>
      <c r="AM109" s="117">
        <f t="shared" si="194"/>
        <v>8.0000000000000003E-10</v>
      </c>
      <c r="AN109" s="117">
        <f t="shared" si="195"/>
        <v>8.9999999999999999E-10</v>
      </c>
      <c r="AO109" s="117">
        <f t="shared" si="196"/>
        <v>0</v>
      </c>
      <c r="AP109" s="117" t="b">
        <f t="shared" si="199"/>
        <v>0</v>
      </c>
      <c r="AQ109" s="117" t="b">
        <f t="shared" si="197"/>
        <v>0</v>
      </c>
      <c r="AR109" s="117" t="b">
        <f t="shared" si="197"/>
        <v>0</v>
      </c>
      <c r="AT109" s="117" t="b">
        <f t="shared" si="197"/>
        <v>1</v>
      </c>
      <c r="AU109" s="117" t="b">
        <f t="shared" si="197"/>
        <v>1</v>
      </c>
      <c r="AV109" s="117" t="b">
        <f t="shared" si="197"/>
        <v>1</v>
      </c>
      <c r="AW109" s="117" t="b">
        <f t="shared" si="197"/>
        <v>1</v>
      </c>
      <c r="AX109" s="117" t="b">
        <f t="shared" si="197"/>
        <v>1</v>
      </c>
      <c r="AY109" s="117" t="b">
        <f t="shared" si="197"/>
        <v>0</v>
      </c>
      <c r="BA109" s="2"/>
      <c r="BB109" s="2"/>
      <c r="BC109" s="2"/>
      <c r="BD109" s="2"/>
      <c r="BE109" s="2"/>
      <c r="BF109" s="2"/>
      <c r="BG109" s="2"/>
      <c r="BR109" s="2"/>
    </row>
    <row r="110" spans="1:82">
      <c r="A110" s="117" t="s">
        <v>1014</v>
      </c>
      <c r="B110" s="117" t="str">
        <f>'Reference Score Calculation'!B87</f>
        <v>JS2620</v>
      </c>
      <c r="C110" s="129" t="str">
        <f>'Reference Score Calculation'!E87</f>
        <v>體育及康樂管理文學士(榮譽)</v>
      </c>
      <c r="D110" s="21"/>
      <c r="E110" s="453" t="str">
        <f>'Reference Score Calculation'!F87</f>
        <v>Best 5</v>
      </c>
      <c r="F110" s="338"/>
      <c r="G110" s="117" t="str">
        <f>入學要求!AB96</f>
        <v>v</v>
      </c>
      <c r="H110" s="117" t="str">
        <f>入學要求!AC96</f>
        <v>NO</v>
      </c>
      <c r="I110" s="117" t="str">
        <f>入學要求!AD96</f>
        <v>v</v>
      </c>
      <c r="J110" s="117">
        <f t="shared" si="178"/>
        <v>3.4999999999999999E-9</v>
      </c>
      <c r="K110" s="117">
        <v>1</v>
      </c>
      <c r="L110" s="117">
        <v>1</v>
      </c>
      <c r="M110" s="117">
        <v>1</v>
      </c>
      <c r="O110" s="117">
        <v>1</v>
      </c>
      <c r="P110" s="117">
        <v>1</v>
      </c>
      <c r="Q110" s="117">
        <v>1</v>
      </c>
      <c r="R110" s="117">
        <v>1</v>
      </c>
      <c r="S110" s="117">
        <v>1</v>
      </c>
      <c r="T110" s="117">
        <v>1</v>
      </c>
      <c r="V110" s="117">
        <f t="shared" si="179"/>
        <v>1E-10</v>
      </c>
      <c r="W110" s="117">
        <f t="shared" si="180"/>
        <v>2.0000000000000001E-10</v>
      </c>
      <c r="X110" s="117">
        <f t="shared" si="181"/>
        <v>3E-10</v>
      </c>
      <c r="Z110" s="117">
        <f t="shared" si="182"/>
        <v>5.0000000000000003E-10</v>
      </c>
      <c r="AA110" s="117">
        <f t="shared" si="183"/>
        <v>6E-10</v>
      </c>
      <c r="AB110" s="117">
        <f t="shared" si="184"/>
        <v>6.9999999999999996E-10</v>
      </c>
      <c r="AC110" s="117">
        <f t="shared" si="185"/>
        <v>8.0000000000000003E-10</v>
      </c>
      <c r="AD110" s="117">
        <f t="shared" si="186"/>
        <v>8.9999999999999999E-10</v>
      </c>
      <c r="AE110" s="117">
        <f t="shared" si="198"/>
        <v>0</v>
      </c>
      <c r="AF110" s="117">
        <f t="shared" si="187"/>
        <v>1E-10</v>
      </c>
      <c r="AG110" s="117">
        <f t="shared" si="188"/>
        <v>2.0000000000000001E-10</v>
      </c>
      <c r="AH110" s="117">
        <f t="shared" si="189"/>
        <v>3E-10</v>
      </c>
      <c r="AI110" s="117">
        <f t="shared" si="190"/>
        <v>0</v>
      </c>
      <c r="AJ110" s="117">
        <f t="shared" si="191"/>
        <v>5.0000000000000003E-10</v>
      </c>
      <c r="AK110" s="117">
        <f t="shared" si="192"/>
        <v>6E-10</v>
      </c>
      <c r="AL110" s="117">
        <f t="shared" si="193"/>
        <v>6.9999999999999996E-10</v>
      </c>
      <c r="AM110" s="117">
        <f t="shared" si="194"/>
        <v>8.0000000000000003E-10</v>
      </c>
      <c r="AN110" s="117">
        <f t="shared" si="195"/>
        <v>8.9999999999999999E-10</v>
      </c>
      <c r="AO110" s="117">
        <f t="shared" si="196"/>
        <v>0</v>
      </c>
      <c r="AP110" s="117" t="b">
        <f t="shared" si="199"/>
        <v>0</v>
      </c>
      <c r="AQ110" s="117" t="b">
        <f t="shared" si="197"/>
        <v>0</v>
      </c>
      <c r="AR110" s="117" t="b">
        <f t="shared" si="197"/>
        <v>0</v>
      </c>
      <c r="AT110" s="117" t="b">
        <f t="shared" si="197"/>
        <v>1</v>
      </c>
      <c r="AU110" s="117" t="b">
        <f t="shared" si="197"/>
        <v>1</v>
      </c>
      <c r="AV110" s="117" t="b">
        <f t="shared" si="197"/>
        <v>1</v>
      </c>
      <c r="AW110" s="117" t="b">
        <f t="shared" si="197"/>
        <v>1</v>
      </c>
      <c r="AX110" s="117" t="b">
        <f t="shared" si="197"/>
        <v>1</v>
      </c>
      <c r="AY110" s="117" t="b">
        <f t="shared" si="197"/>
        <v>0</v>
      </c>
      <c r="BA110" s="2"/>
      <c r="BB110" s="2"/>
      <c r="BC110" s="2"/>
      <c r="BD110" s="2"/>
      <c r="BE110" s="2"/>
      <c r="BF110" s="2"/>
      <c r="BG110" s="2"/>
      <c r="BR110" s="2"/>
      <c r="BV110" s="358" t="s">
        <v>2357</v>
      </c>
    </row>
    <row r="111" spans="1:82">
      <c r="A111" s="117" t="s">
        <v>1017</v>
      </c>
      <c r="B111" s="117" t="str">
        <f>'Reference Score Calculation'!B88</f>
        <v>JS2660</v>
      </c>
      <c r="C111" s="129" t="str">
        <f>'Reference Score Calculation'!E88</f>
        <v>社會工作學士(榮譽)</v>
      </c>
      <c r="D111" s="21"/>
      <c r="E111" s="453" t="str">
        <f>'Reference Score Calculation'!F88</f>
        <v>Best 5</v>
      </c>
      <c r="F111" s="366"/>
      <c r="G111" s="117" t="str">
        <f>入學要求!AB97</f>
        <v>v</v>
      </c>
      <c r="H111" s="117" t="str">
        <f>入學要求!AC97</f>
        <v>C</v>
      </c>
      <c r="I111" s="117" t="str">
        <f>入學要求!AD97</f>
        <v>v</v>
      </c>
      <c r="J111" s="117">
        <f t="shared" si="178"/>
        <v>3.4999999999999999E-9</v>
      </c>
      <c r="K111" s="117">
        <v>1</v>
      </c>
      <c r="L111" s="117">
        <v>2</v>
      </c>
      <c r="M111" s="117">
        <v>1</v>
      </c>
      <c r="O111" s="117">
        <v>1</v>
      </c>
      <c r="P111" s="117">
        <f>IF(P1="健康管理與社會關懷",1.1,1)</f>
        <v>1</v>
      </c>
      <c r="Q111" s="117">
        <f>IF(Q1="健康管理與社會關懷",1.1,1)</f>
        <v>1</v>
      </c>
      <c r="R111" s="117">
        <f>IF(R1="健康管理與社會關懷",1.1,1)</f>
        <v>1</v>
      </c>
      <c r="S111" s="117">
        <f>IF(S1="健康管理與社會關懷",1.1,1)</f>
        <v>1</v>
      </c>
      <c r="T111" s="117">
        <v>1</v>
      </c>
      <c r="V111" s="117">
        <f t="shared" si="179"/>
        <v>1E-10</v>
      </c>
      <c r="W111" s="117">
        <f t="shared" si="180"/>
        <v>4.0000000000000001E-10</v>
      </c>
      <c r="X111" s="117">
        <f t="shared" si="181"/>
        <v>3E-10</v>
      </c>
      <c r="Z111" s="117">
        <f t="shared" si="182"/>
        <v>5.0000000000000003E-10</v>
      </c>
      <c r="AA111" s="117">
        <f t="shared" si="183"/>
        <v>6E-10</v>
      </c>
      <c r="AB111" s="117">
        <f t="shared" si="184"/>
        <v>6.9999999999999996E-10</v>
      </c>
      <c r="AC111" s="117">
        <f t="shared" si="185"/>
        <v>8.0000000000000003E-10</v>
      </c>
      <c r="AD111" s="117">
        <f t="shared" si="186"/>
        <v>8.9999999999999999E-10</v>
      </c>
      <c r="AE111" s="117">
        <f t="shared" si="198"/>
        <v>0</v>
      </c>
      <c r="AF111" s="117">
        <f t="shared" si="187"/>
        <v>1E-10</v>
      </c>
      <c r="AG111" s="117">
        <f t="shared" si="188"/>
        <v>4.0000000000000001E-10</v>
      </c>
      <c r="AH111" s="117">
        <f t="shared" si="189"/>
        <v>3E-10</v>
      </c>
      <c r="AI111" s="117">
        <f t="shared" si="190"/>
        <v>0</v>
      </c>
      <c r="AJ111" s="117">
        <f t="shared" si="191"/>
        <v>5.0000000000000003E-10</v>
      </c>
      <c r="AK111" s="117">
        <f t="shared" si="192"/>
        <v>6E-10</v>
      </c>
      <c r="AL111" s="117">
        <f t="shared" si="193"/>
        <v>6.9999999999999996E-10</v>
      </c>
      <c r="AM111" s="117">
        <f t="shared" si="194"/>
        <v>8.0000000000000003E-10</v>
      </c>
      <c r="AN111" s="117">
        <f t="shared" si="195"/>
        <v>8.9999999999999999E-10</v>
      </c>
      <c r="AO111" s="117">
        <f t="shared" si="196"/>
        <v>0</v>
      </c>
      <c r="AP111" s="117" t="b">
        <f t="shared" si="199"/>
        <v>0</v>
      </c>
      <c r="AQ111" s="117" t="b">
        <f t="shared" si="197"/>
        <v>0</v>
      </c>
      <c r="AR111" s="117" t="b">
        <f t="shared" si="197"/>
        <v>0</v>
      </c>
      <c r="AT111" s="117" t="b">
        <f t="shared" si="197"/>
        <v>1</v>
      </c>
      <c r="AU111" s="117" t="b">
        <f t="shared" si="197"/>
        <v>1</v>
      </c>
      <c r="AV111" s="117" t="b">
        <f t="shared" si="197"/>
        <v>1</v>
      </c>
      <c r="AW111" s="117" t="b">
        <f t="shared" si="197"/>
        <v>1</v>
      </c>
      <c r="AX111" s="117" t="b">
        <f t="shared" si="197"/>
        <v>1</v>
      </c>
      <c r="AY111" s="117" t="b">
        <f t="shared" si="197"/>
        <v>0</v>
      </c>
      <c r="BA111" s="2"/>
      <c r="BB111" s="2"/>
      <c r="BC111" s="2"/>
      <c r="BD111" s="2"/>
      <c r="BE111" s="2"/>
      <c r="BF111" s="2"/>
      <c r="BG111" s="2"/>
      <c r="BR111" s="2"/>
      <c r="BV111" s="117" t="s">
        <v>2368</v>
      </c>
    </row>
    <row r="112" spans="1:82">
      <c r="A112" s="117" t="s">
        <v>1020</v>
      </c>
      <c r="B112" s="117" t="str">
        <f>'Reference Score Calculation'!B89</f>
        <v>JS2810</v>
      </c>
      <c r="C112" s="129" t="str">
        <f>'Reference Score Calculation'!E89</f>
        <v>視覺藝術文學士(榮譽)</v>
      </c>
      <c r="D112" s="21"/>
      <c r="E112" s="453" t="str">
        <f>'Reference Score Calculation'!F89</f>
        <v>Best 5</v>
      </c>
      <c r="F112" s="338"/>
      <c r="G112" s="117" t="str">
        <f>入學要求!AB98</f>
        <v>v</v>
      </c>
      <c r="H112" s="117" t="str">
        <f>入學要求!AC98</f>
        <v>C</v>
      </c>
      <c r="I112" s="117" t="str">
        <f>入學要求!AD98</f>
        <v>v</v>
      </c>
      <c r="J112" s="117">
        <f t="shared" si="178"/>
        <v>3.4999999999999999E-9</v>
      </c>
      <c r="K112" s="117">
        <v>1</v>
      </c>
      <c r="L112" s="117">
        <v>1</v>
      </c>
      <c r="M112" s="117">
        <v>1</v>
      </c>
      <c r="O112" s="117">
        <v>1</v>
      </c>
      <c r="P112" s="117">
        <v>1</v>
      </c>
      <c r="Q112" s="117">
        <v>1</v>
      </c>
      <c r="R112" s="117">
        <v>1</v>
      </c>
      <c r="S112" s="117">
        <v>1</v>
      </c>
      <c r="T112" s="117">
        <v>1</v>
      </c>
      <c r="V112" s="117">
        <f t="shared" si="179"/>
        <v>1E-10</v>
      </c>
      <c r="W112" s="117">
        <f t="shared" si="180"/>
        <v>2.0000000000000001E-10</v>
      </c>
      <c r="X112" s="117">
        <f t="shared" si="181"/>
        <v>3E-10</v>
      </c>
      <c r="Z112" s="117">
        <f t="shared" si="182"/>
        <v>5.0000000000000003E-10</v>
      </c>
      <c r="AA112" s="117">
        <f t="shared" si="183"/>
        <v>6E-10</v>
      </c>
      <c r="AB112" s="117">
        <f t="shared" si="184"/>
        <v>6.9999999999999996E-10</v>
      </c>
      <c r="AC112" s="117">
        <f t="shared" si="185"/>
        <v>8.0000000000000003E-10</v>
      </c>
      <c r="AD112" s="117">
        <f t="shared" si="186"/>
        <v>8.9999999999999999E-10</v>
      </c>
      <c r="AE112" s="117">
        <f t="shared" si="198"/>
        <v>0</v>
      </c>
      <c r="AF112" s="117">
        <f t="shared" si="187"/>
        <v>1E-10</v>
      </c>
      <c r="AG112" s="117">
        <f t="shared" si="188"/>
        <v>2.0000000000000001E-10</v>
      </c>
      <c r="AH112" s="117">
        <f t="shared" si="189"/>
        <v>3E-10</v>
      </c>
      <c r="AI112" s="117">
        <f t="shared" si="190"/>
        <v>0</v>
      </c>
      <c r="AJ112" s="117">
        <f t="shared" si="191"/>
        <v>5.0000000000000003E-10</v>
      </c>
      <c r="AK112" s="117">
        <f t="shared" si="192"/>
        <v>6E-10</v>
      </c>
      <c r="AL112" s="117">
        <f t="shared" si="193"/>
        <v>6.9999999999999996E-10</v>
      </c>
      <c r="AM112" s="117">
        <f t="shared" si="194"/>
        <v>8.0000000000000003E-10</v>
      </c>
      <c r="AN112" s="117">
        <f t="shared" si="195"/>
        <v>8.9999999999999999E-10</v>
      </c>
      <c r="AO112" s="117">
        <f t="shared" si="196"/>
        <v>0</v>
      </c>
      <c r="AP112" s="117" t="b">
        <f t="shared" si="199"/>
        <v>0</v>
      </c>
      <c r="AQ112" s="117" t="b">
        <f t="shared" si="197"/>
        <v>0</v>
      </c>
      <c r="AR112" s="117" t="b">
        <f t="shared" si="197"/>
        <v>0</v>
      </c>
      <c r="AT112" s="117" t="b">
        <f t="shared" si="197"/>
        <v>1</v>
      </c>
      <c r="AU112" s="117" t="b">
        <f t="shared" si="197"/>
        <v>1</v>
      </c>
      <c r="AV112" s="117" t="b">
        <f t="shared" si="197"/>
        <v>1</v>
      </c>
      <c r="AW112" s="117" t="b">
        <f t="shared" si="197"/>
        <v>1</v>
      </c>
      <c r="AX112" s="117" t="b">
        <f t="shared" si="197"/>
        <v>1</v>
      </c>
      <c r="AY112" s="117" t="b">
        <f t="shared" si="197"/>
        <v>0</v>
      </c>
      <c r="BA112" s="2"/>
      <c r="BB112" s="2"/>
      <c r="BC112" s="2"/>
      <c r="BD112" s="2"/>
      <c r="BE112" s="2"/>
      <c r="BF112" s="2"/>
      <c r="BG112" s="2"/>
      <c r="BR112" s="2"/>
    </row>
    <row r="113" spans="1:104">
      <c r="A113" s="117" t="s">
        <v>1026</v>
      </c>
      <c r="B113" s="117" t="str">
        <f>'Reference Score Calculation'!B90</f>
        <v>JS2910</v>
      </c>
      <c r="C113" s="129" t="str">
        <f>'Reference Score Calculation'!E90</f>
        <v>商業計算及數據分析理學士(榮譽)</v>
      </c>
      <c r="D113" s="21"/>
      <c r="E113" s="453" t="str">
        <f>'Reference Score Calculation'!F90</f>
        <v>Best 5</v>
      </c>
      <c r="F113" s="338"/>
      <c r="G113" s="117" t="str">
        <f>入學要求!AB99</f>
        <v>v</v>
      </c>
      <c r="H113" s="117" t="str">
        <f>入學要求!AC99</f>
        <v>C</v>
      </c>
      <c r="I113" s="117" t="str">
        <f>入學要求!AD99</f>
        <v>v</v>
      </c>
      <c r="J113" s="117">
        <f t="shared" si="178"/>
        <v>3.4999999999999999E-9</v>
      </c>
      <c r="K113" s="117">
        <v>1</v>
      </c>
      <c r="L113" s="117">
        <v>1</v>
      </c>
      <c r="M113" s="117">
        <v>1</v>
      </c>
      <c r="O113" s="117">
        <v>1</v>
      </c>
      <c r="P113" s="117">
        <v>1</v>
      </c>
      <c r="Q113" s="117">
        <v>1</v>
      </c>
      <c r="R113" s="117">
        <v>1</v>
      </c>
      <c r="S113" s="117">
        <v>1</v>
      </c>
      <c r="T113" s="117">
        <v>1</v>
      </c>
      <c r="V113" s="117">
        <f t="shared" si="179"/>
        <v>1E-10</v>
      </c>
      <c r="W113" s="117">
        <f t="shared" si="180"/>
        <v>2.0000000000000001E-10</v>
      </c>
      <c r="X113" s="117">
        <f t="shared" si="181"/>
        <v>3E-10</v>
      </c>
      <c r="Z113" s="117">
        <f t="shared" si="182"/>
        <v>5.0000000000000003E-10</v>
      </c>
      <c r="AA113" s="117">
        <f t="shared" si="183"/>
        <v>6E-10</v>
      </c>
      <c r="AB113" s="117">
        <f t="shared" si="184"/>
        <v>6.9999999999999996E-10</v>
      </c>
      <c r="AC113" s="117">
        <f t="shared" si="185"/>
        <v>8.0000000000000003E-10</v>
      </c>
      <c r="AD113" s="117">
        <f t="shared" si="186"/>
        <v>8.9999999999999999E-10</v>
      </c>
      <c r="AE113" s="117">
        <f t="shared" si="198"/>
        <v>0</v>
      </c>
      <c r="AF113" s="117">
        <f t="shared" si="187"/>
        <v>1E-10</v>
      </c>
      <c r="AG113" s="117">
        <f t="shared" si="188"/>
        <v>2.0000000000000001E-10</v>
      </c>
      <c r="AH113" s="117">
        <f t="shared" si="189"/>
        <v>3E-10</v>
      </c>
      <c r="AI113" s="117">
        <f t="shared" si="190"/>
        <v>0</v>
      </c>
      <c r="AJ113" s="117">
        <f t="shared" si="191"/>
        <v>5.0000000000000003E-10</v>
      </c>
      <c r="AK113" s="117">
        <f t="shared" si="192"/>
        <v>6E-10</v>
      </c>
      <c r="AL113" s="117">
        <f t="shared" si="193"/>
        <v>6.9999999999999996E-10</v>
      </c>
      <c r="AM113" s="117">
        <f t="shared" si="194"/>
        <v>8.0000000000000003E-10</v>
      </c>
      <c r="AN113" s="117">
        <f t="shared" si="195"/>
        <v>8.9999999999999999E-10</v>
      </c>
      <c r="AO113" s="117">
        <f t="shared" si="196"/>
        <v>0</v>
      </c>
      <c r="AP113" s="117" t="b">
        <f t="shared" si="199"/>
        <v>0</v>
      </c>
      <c r="AQ113" s="117" t="b">
        <f t="shared" ref="AQ113:AQ118" si="200">IF(AG113&gt;LARGE($AF113:$AO113,6),TRUE)</f>
        <v>0</v>
      </c>
      <c r="AR113" s="117" t="b">
        <f t="shared" ref="AR113:AR118" si="201">IF(AH113&gt;LARGE($AF113:$AO113,6),TRUE)</f>
        <v>0</v>
      </c>
      <c r="AT113" s="117" t="b">
        <f t="shared" ref="AT113:AT118" si="202">IF(AJ113&gt;LARGE($AF113:$AO113,6),TRUE)</f>
        <v>1</v>
      </c>
      <c r="AU113" s="117" t="b">
        <f t="shared" ref="AU113:AU118" si="203">IF(AK113&gt;LARGE($AF113:$AO113,6),TRUE)</f>
        <v>1</v>
      </c>
      <c r="AV113" s="117" t="b">
        <f t="shared" ref="AV113:AV118" si="204">IF(AL113&gt;LARGE($AF113:$AO113,6),TRUE)</f>
        <v>1</v>
      </c>
      <c r="AW113" s="117" t="b">
        <f t="shared" ref="AW113:AW118" si="205">IF(AM113&gt;LARGE($AF113:$AO113,6),TRUE)</f>
        <v>1</v>
      </c>
      <c r="AX113" s="117" t="b">
        <f t="shared" ref="AX113:AX118" si="206">IF(AN113&gt;LARGE($AF113:$AO113,6),TRUE)</f>
        <v>1</v>
      </c>
      <c r="AY113" s="117" t="b">
        <f t="shared" ref="AY113:AY118" si="207">IF(AO113&gt;LARGE($AF113:$AO113,6),TRUE)</f>
        <v>0</v>
      </c>
      <c r="BA113" s="2"/>
      <c r="BB113" s="2"/>
      <c r="BC113" s="2"/>
      <c r="BD113" s="2"/>
      <c r="BE113" s="2"/>
      <c r="BF113" s="2"/>
      <c r="BG113" s="2"/>
      <c r="BR113" s="2"/>
    </row>
    <row r="114" spans="1:104">
      <c r="A114" s="117" t="s">
        <v>1030</v>
      </c>
      <c r="B114" s="117" t="str">
        <f>'Reference Score Calculation'!B91</f>
        <v>JS2920</v>
      </c>
      <c r="C114" s="129" t="str">
        <f>'Reference Score Calculation'!E91</f>
        <v>藝術及科技文理學士(榮譽)</v>
      </c>
      <c r="D114" s="21"/>
      <c r="E114" s="453" t="str">
        <f>'Reference Score Calculation'!F91</f>
        <v>Best 5</v>
      </c>
      <c r="F114" s="366"/>
      <c r="G114" s="117" t="str">
        <f>入學要求!AB100</f>
        <v>v</v>
      </c>
      <c r="H114" s="117" t="str">
        <f>入學要求!AC100</f>
        <v>C</v>
      </c>
      <c r="I114" s="117" t="str">
        <f>入學要求!AD100</f>
        <v>v</v>
      </c>
      <c r="J114" s="117">
        <f t="shared" si="178"/>
        <v>3.4999999999999999E-9</v>
      </c>
      <c r="K114" s="117">
        <v>1</v>
      </c>
      <c r="L114" s="117">
        <v>1</v>
      </c>
      <c r="M114" s="117">
        <v>1.2</v>
      </c>
      <c r="O114" s="117">
        <v>1</v>
      </c>
      <c r="P114" s="117">
        <v>1</v>
      </c>
      <c r="Q114" s="117">
        <v>1</v>
      </c>
      <c r="R114" s="117">
        <v>1</v>
      </c>
      <c r="S114" s="117">
        <v>1</v>
      </c>
      <c r="T114" s="117">
        <v>1</v>
      </c>
      <c r="V114" s="117">
        <f t="shared" si="179"/>
        <v>1E-10</v>
      </c>
      <c r="W114" s="117">
        <f t="shared" si="180"/>
        <v>2.0000000000000001E-10</v>
      </c>
      <c r="X114" s="117">
        <f t="shared" si="181"/>
        <v>3.6E-10</v>
      </c>
      <c r="Z114" s="117">
        <f t="shared" si="182"/>
        <v>5.0000000000000003E-10</v>
      </c>
      <c r="AA114" s="117">
        <f t="shared" si="183"/>
        <v>6E-10</v>
      </c>
      <c r="AB114" s="117">
        <f t="shared" si="184"/>
        <v>6.9999999999999996E-10</v>
      </c>
      <c r="AC114" s="117">
        <f t="shared" si="185"/>
        <v>8.0000000000000003E-10</v>
      </c>
      <c r="AD114" s="117">
        <f t="shared" si="186"/>
        <v>8.9999999999999999E-10</v>
      </c>
      <c r="AE114" s="117">
        <f t="shared" si="198"/>
        <v>0</v>
      </c>
      <c r="AF114" s="117">
        <f t="shared" si="187"/>
        <v>1E-10</v>
      </c>
      <c r="AG114" s="117">
        <f t="shared" si="188"/>
        <v>2.0000000000000001E-10</v>
      </c>
      <c r="AH114" s="117">
        <f t="shared" si="189"/>
        <v>3.6E-10</v>
      </c>
      <c r="AI114" s="117">
        <f t="shared" si="190"/>
        <v>0</v>
      </c>
      <c r="AJ114" s="117">
        <f t="shared" si="191"/>
        <v>5.0000000000000003E-10</v>
      </c>
      <c r="AK114" s="117">
        <f t="shared" si="192"/>
        <v>6E-10</v>
      </c>
      <c r="AL114" s="117">
        <f t="shared" si="193"/>
        <v>6.9999999999999996E-10</v>
      </c>
      <c r="AM114" s="117">
        <f t="shared" si="194"/>
        <v>8.0000000000000003E-10</v>
      </c>
      <c r="AN114" s="117">
        <f t="shared" si="195"/>
        <v>8.9999999999999999E-10</v>
      </c>
      <c r="AO114" s="117">
        <f t="shared" si="196"/>
        <v>0</v>
      </c>
      <c r="AP114" s="117" t="b">
        <f t="shared" si="199"/>
        <v>0</v>
      </c>
      <c r="AQ114" s="117" t="b">
        <f t="shared" si="200"/>
        <v>0</v>
      </c>
      <c r="AR114" s="117" t="b">
        <f t="shared" si="201"/>
        <v>0</v>
      </c>
      <c r="AT114" s="117" t="b">
        <f t="shared" si="202"/>
        <v>1</v>
      </c>
      <c r="AU114" s="117" t="b">
        <f t="shared" si="203"/>
        <v>1</v>
      </c>
      <c r="AV114" s="117" t="b">
        <f t="shared" si="204"/>
        <v>1</v>
      </c>
      <c r="AW114" s="117" t="b">
        <f t="shared" si="205"/>
        <v>1</v>
      </c>
      <c r="AX114" s="117" t="b">
        <f t="shared" si="206"/>
        <v>1</v>
      </c>
      <c r="AY114" s="117" t="b">
        <f t="shared" si="207"/>
        <v>0</v>
      </c>
      <c r="BA114" s="2"/>
      <c r="BB114" s="2"/>
      <c r="BC114" s="2"/>
      <c r="BD114" s="2"/>
      <c r="BE114" s="2"/>
      <c r="BF114" s="2"/>
      <c r="BG114" s="2"/>
      <c r="BR114" s="2"/>
    </row>
    <row r="115" spans="1:104">
      <c r="A115" s="117" t="s">
        <v>1035</v>
      </c>
      <c r="B115" s="117" t="str">
        <f>'Reference Score Calculation'!B92</f>
        <v>JS2930</v>
      </c>
      <c r="C115" s="129" t="str">
        <f>'Reference Score Calculation'!E92</f>
        <v>工商管理文學士(榮譽)(全球娛樂)</v>
      </c>
      <c r="D115" s="21"/>
      <c r="E115" s="453" t="str">
        <f>'Reference Score Calculation'!F92</f>
        <v>Best 5</v>
      </c>
      <c r="F115" s="338"/>
      <c r="G115" s="117" t="str">
        <f>入學要求!AB101</f>
        <v>v</v>
      </c>
      <c r="H115" s="117" t="str">
        <f>入學要求!AC101</f>
        <v>C</v>
      </c>
      <c r="I115" s="117" t="str">
        <f>入學要求!AD101</f>
        <v>v</v>
      </c>
      <c r="J115" s="117">
        <f t="shared" si="178"/>
        <v>3.4999999999999999E-9</v>
      </c>
      <c r="K115" s="117">
        <v>1</v>
      </c>
      <c r="L115" s="117">
        <v>1</v>
      </c>
      <c r="M115" s="117">
        <v>1</v>
      </c>
      <c r="O115" s="117">
        <v>1</v>
      </c>
      <c r="P115" s="117">
        <v>1</v>
      </c>
      <c r="Q115" s="117">
        <v>1</v>
      </c>
      <c r="R115" s="117">
        <v>1</v>
      </c>
      <c r="S115" s="117">
        <v>1</v>
      </c>
      <c r="T115" s="117">
        <v>1</v>
      </c>
      <c r="V115" s="117">
        <f t="shared" si="179"/>
        <v>1E-10</v>
      </c>
      <c r="W115" s="117">
        <f t="shared" si="180"/>
        <v>2.0000000000000001E-10</v>
      </c>
      <c r="X115" s="117">
        <f t="shared" si="181"/>
        <v>3E-10</v>
      </c>
      <c r="Z115" s="117">
        <f t="shared" si="182"/>
        <v>5.0000000000000003E-10</v>
      </c>
      <c r="AA115" s="117">
        <f t="shared" si="183"/>
        <v>6E-10</v>
      </c>
      <c r="AB115" s="117">
        <f t="shared" si="184"/>
        <v>6.9999999999999996E-10</v>
      </c>
      <c r="AC115" s="117">
        <f t="shared" si="185"/>
        <v>8.0000000000000003E-10</v>
      </c>
      <c r="AD115" s="117">
        <f t="shared" si="186"/>
        <v>8.9999999999999999E-10</v>
      </c>
      <c r="AE115" s="117">
        <f t="shared" si="198"/>
        <v>0</v>
      </c>
      <c r="AF115" s="117">
        <f t="shared" si="187"/>
        <v>1E-10</v>
      </c>
      <c r="AG115" s="117">
        <f t="shared" si="188"/>
        <v>2.0000000000000001E-10</v>
      </c>
      <c r="AH115" s="117">
        <f t="shared" si="189"/>
        <v>3E-10</v>
      </c>
      <c r="AI115" s="117">
        <f t="shared" si="190"/>
        <v>0</v>
      </c>
      <c r="AJ115" s="117">
        <f t="shared" si="191"/>
        <v>5.0000000000000003E-10</v>
      </c>
      <c r="AK115" s="117">
        <f t="shared" si="192"/>
        <v>6E-10</v>
      </c>
      <c r="AL115" s="117">
        <f t="shared" si="193"/>
        <v>6.9999999999999996E-10</v>
      </c>
      <c r="AM115" s="117">
        <f t="shared" si="194"/>
        <v>8.0000000000000003E-10</v>
      </c>
      <c r="AN115" s="117">
        <f t="shared" si="195"/>
        <v>8.9999999999999999E-10</v>
      </c>
      <c r="AO115" s="117">
        <f t="shared" si="196"/>
        <v>0</v>
      </c>
      <c r="AP115" s="117" t="b">
        <f t="shared" si="199"/>
        <v>0</v>
      </c>
      <c r="AQ115" s="117" t="b">
        <f t="shared" si="200"/>
        <v>0</v>
      </c>
      <c r="AR115" s="117" t="b">
        <f t="shared" si="201"/>
        <v>0</v>
      </c>
      <c r="AT115" s="117" t="b">
        <f t="shared" si="202"/>
        <v>1</v>
      </c>
      <c r="AU115" s="117" t="b">
        <f t="shared" si="203"/>
        <v>1</v>
      </c>
      <c r="AV115" s="117" t="b">
        <f t="shared" si="204"/>
        <v>1</v>
      </c>
      <c r="AW115" s="117" t="b">
        <f t="shared" si="205"/>
        <v>1</v>
      </c>
      <c r="AX115" s="117" t="b">
        <f t="shared" si="206"/>
        <v>1</v>
      </c>
      <c r="AY115" s="117" t="b">
        <f t="shared" si="207"/>
        <v>0</v>
      </c>
      <c r="BA115" s="2"/>
      <c r="BB115" s="2"/>
      <c r="BC115" s="2"/>
      <c r="BD115" s="2"/>
      <c r="BE115" s="2"/>
      <c r="BF115" s="2"/>
      <c r="BG115" s="2"/>
      <c r="BR115" s="2"/>
    </row>
    <row r="116" spans="1:104">
      <c r="A116" s="117" t="s">
        <v>1038</v>
      </c>
      <c r="B116" s="117" t="str">
        <f>'Reference Score Calculation'!B93</f>
        <v>JS2940</v>
      </c>
      <c r="C116" s="129" t="str">
        <f>'Reference Score Calculation'!E93</f>
        <v>創新醫療及社會健康社會科學學士(榮譽) / 理學士(榮譽)</v>
      </c>
      <c r="D116" s="21"/>
      <c r="E116" s="453" t="str">
        <f>'Reference Score Calculation'!F93</f>
        <v>Best 5</v>
      </c>
      <c r="F116" s="338"/>
      <c r="G116" s="117" t="str">
        <f>入學要求!AB102</f>
        <v>v</v>
      </c>
      <c r="H116" s="117" t="str">
        <f>入學要求!AC102</f>
        <v>C</v>
      </c>
      <c r="I116" s="117" t="str">
        <f>入學要求!AD102</f>
        <v>v</v>
      </c>
      <c r="J116" s="117">
        <f t="shared" si="178"/>
        <v>3.4999999999999999E-9</v>
      </c>
      <c r="K116" s="117">
        <v>1</v>
      </c>
      <c r="L116" s="117">
        <v>1</v>
      </c>
      <c r="M116" s="117">
        <v>1</v>
      </c>
      <c r="O116" s="117">
        <v>1</v>
      </c>
      <c r="P116" s="117">
        <v>1</v>
      </c>
      <c r="Q116" s="117">
        <v>1</v>
      </c>
      <c r="R116" s="117">
        <v>1</v>
      </c>
      <c r="S116" s="117">
        <v>1</v>
      </c>
      <c r="T116" s="117">
        <v>1</v>
      </c>
      <c r="V116" s="117">
        <f t="shared" si="179"/>
        <v>1E-10</v>
      </c>
      <c r="W116" s="117">
        <f t="shared" si="180"/>
        <v>2.0000000000000001E-10</v>
      </c>
      <c r="X116" s="117">
        <f t="shared" si="181"/>
        <v>3E-10</v>
      </c>
      <c r="Z116" s="117">
        <f t="shared" si="182"/>
        <v>5.0000000000000003E-10</v>
      </c>
      <c r="AA116" s="117">
        <f t="shared" si="183"/>
        <v>6E-10</v>
      </c>
      <c r="AB116" s="117">
        <f t="shared" si="184"/>
        <v>6.9999999999999996E-10</v>
      </c>
      <c r="AC116" s="117">
        <f t="shared" si="185"/>
        <v>8.0000000000000003E-10</v>
      </c>
      <c r="AD116" s="117">
        <f t="shared" si="186"/>
        <v>8.9999999999999999E-10</v>
      </c>
      <c r="AE116" s="117">
        <f t="shared" si="198"/>
        <v>0</v>
      </c>
      <c r="AF116" s="117">
        <f t="shared" si="187"/>
        <v>1E-10</v>
      </c>
      <c r="AG116" s="117">
        <f t="shared" si="188"/>
        <v>2.0000000000000001E-10</v>
      </c>
      <c r="AH116" s="117">
        <f t="shared" si="189"/>
        <v>3E-10</v>
      </c>
      <c r="AI116" s="117">
        <f t="shared" si="190"/>
        <v>0</v>
      </c>
      <c r="AJ116" s="117">
        <f t="shared" si="191"/>
        <v>5.0000000000000003E-10</v>
      </c>
      <c r="AK116" s="117">
        <f t="shared" si="192"/>
        <v>6E-10</v>
      </c>
      <c r="AL116" s="117">
        <f t="shared" si="193"/>
        <v>6.9999999999999996E-10</v>
      </c>
      <c r="AM116" s="117">
        <f t="shared" si="194"/>
        <v>8.0000000000000003E-10</v>
      </c>
      <c r="AN116" s="117">
        <f t="shared" si="195"/>
        <v>8.9999999999999999E-10</v>
      </c>
      <c r="AO116" s="117">
        <f t="shared" si="196"/>
        <v>0</v>
      </c>
      <c r="AP116" s="117" t="b">
        <f t="shared" si="199"/>
        <v>0</v>
      </c>
      <c r="AQ116" s="117" t="b">
        <f t="shared" si="200"/>
        <v>0</v>
      </c>
      <c r="AR116" s="117" t="b">
        <f t="shared" si="201"/>
        <v>0</v>
      </c>
      <c r="AT116" s="117" t="b">
        <f t="shared" si="202"/>
        <v>1</v>
      </c>
      <c r="AU116" s="117" t="b">
        <f t="shared" si="203"/>
        <v>1</v>
      </c>
      <c r="AV116" s="117" t="b">
        <f t="shared" si="204"/>
        <v>1</v>
      </c>
      <c r="AW116" s="117" t="b">
        <f t="shared" si="205"/>
        <v>1</v>
      </c>
      <c r="AX116" s="117" t="b">
        <f t="shared" si="206"/>
        <v>1</v>
      </c>
      <c r="AY116" s="117" t="b">
        <f t="shared" si="207"/>
        <v>0</v>
      </c>
      <c r="BA116" s="2"/>
      <c r="BB116" s="2"/>
      <c r="BC116" s="2"/>
      <c r="BD116" s="2"/>
      <c r="BE116" s="2"/>
      <c r="BF116" s="2"/>
      <c r="BG116" s="2"/>
      <c r="BR116" s="2"/>
    </row>
    <row r="117" spans="1:104">
      <c r="A117" s="117" t="s">
        <v>1042</v>
      </c>
      <c r="B117" s="117" t="str">
        <f>'Reference Score Calculation'!B94</f>
        <v>JS2950</v>
      </c>
      <c r="C117" s="129" t="str">
        <f>'Reference Score Calculation'!E94</f>
        <v>文理及科技學士(榮譽)自訂主修</v>
      </c>
      <c r="D117" s="21"/>
      <c r="E117" s="453" t="str">
        <f>'Reference Score Calculation'!F94</f>
        <v>Best 5</v>
      </c>
      <c r="F117" s="338"/>
      <c r="G117" s="117" t="str">
        <f>入學要求!AB103</f>
        <v>v</v>
      </c>
      <c r="H117" s="117" t="str">
        <f>入學要求!AC103</f>
        <v>C</v>
      </c>
      <c r="I117" s="117" t="str">
        <f>入學要求!AD103</f>
        <v>v</v>
      </c>
      <c r="J117" s="117">
        <f t="shared" si="178"/>
        <v>3.4999999999999999E-9</v>
      </c>
      <c r="K117" s="117">
        <v>1</v>
      </c>
      <c r="L117" s="117">
        <v>1</v>
      </c>
      <c r="M117" s="117">
        <v>1</v>
      </c>
      <c r="O117" s="117">
        <v>1</v>
      </c>
      <c r="P117" s="117">
        <v>1</v>
      </c>
      <c r="Q117" s="117">
        <v>1</v>
      </c>
      <c r="R117" s="117">
        <v>1</v>
      </c>
      <c r="S117" s="117">
        <v>1</v>
      </c>
      <c r="T117" s="117">
        <v>1</v>
      </c>
      <c r="V117" s="117">
        <f t="shared" si="179"/>
        <v>1E-10</v>
      </c>
      <c r="W117" s="117">
        <f t="shared" si="180"/>
        <v>2.0000000000000001E-10</v>
      </c>
      <c r="X117" s="117">
        <f t="shared" si="181"/>
        <v>3E-10</v>
      </c>
      <c r="Z117" s="117">
        <f t="shared" si="182"/>
        <v>5.0000000000000003E-10</v>
      </c>
      <c r="AA117" s="117">
        <f t="shared" si="183"/>
        <v>6E-10</v>
      </c>
      <c r="AB117" s="117">
        <f t="shared" si="184"/>
        <v>6.9999999999999996E-10</v>
      </c>
      <c r="AC117" s="117">
        <f t="shared" si="185"/>
        <v>8.0000000000000003E-10</v>
      </c>
      <c r="AD117" s="117">
        <f t="shared" si="186"/>
        <v>8.9999999999999999E-10</v>
      </c>
      <c r="AE117" s="117">
        <f t="shared" si="198"/>
        <v>0</v>
      </c>
      <c r="AF117" s="117">
        <f t="shared" si="187"/>
        <v>1E-10</v>
      </c>
      <c r="AG117" s="117">
        <f t="shared" si="188"/>
        <v>2.0000000000000001E-10</v>
      </c>
      <c r="AH117" s="117">
        <f t="shared" si="189"/>
        <v>3E-10</v>
      </c>
      <c r="AI117" s="117">
        <f t="shared" si="190"/>
        <v>0</v>
      </c>
      <c r="AJ117" s="117">
        <f t="shared" si="191"/>
        <v>5.0000000000000003E-10</v>
      </c>
      <c r="AK117" s="117">
        <f t="shared" si="192"/>
        <v>6E-10</v>
      </c>
      <c r="AL117" s="117">
        <f t="shared" si="193"/>
        <v>6.9999999999999996E-10</v>
      </c>
      <c r="AM117" s="117">
        <f t="shared" si="194"/>
        <v>8.0000000000000003E-10</v>
      </c>
      <c r="AN117" s="117">
        <f t="shared" si="195"/>
        <v>8.9999999999999999E-10</v>
      </c>
      <c r="AO117" s="117">
        <f t="shared" si="196"/>
        <v>0</v>
      </c>
      <c r="AP117" s="117" t="b">
        <f t="shared" si="199"/>
        <v>0</v>
      </c>
      <c r="AQ117" s="117" t="b">
        <f t="shared" si="200"/>
        <v>0</v>
      </c>
      <c r="AR117" s="117" t="b">
        <f t="shared" si="201"/>
        <v>0</v>
      </c>
      <c r="AT117" s="117" t="b">
        <f t="shared" si="202"/>
        <v>1</v>
      </c>
      <c r="AU117" s="117" t="b">
        <f t="shared" si="203"/>
        <v>1</v>
      </c>
      <c r="AV117" s="117" t="b">
        <f t="shared" si="204"/>
        <v>1</v>
      </c>
      <c r="AW117" s="117" t="b">
        <f t="shared" si="205"/>
        <v>1</v>
      </c>
      <c r="AX117" s="117" t="b">
        <f t="shared" si="206"/>
        <v>1</v>
      </c>
      <c r="AY117" s="117" t="b">
        <f t="shared" si="207"/>
        <v>0</v>
      </c>
      <c r="BA117" s="2"/>
      <c r="BB117" s="2"/>
      <c r="BC117" s="2"/>
      <c r="BD117" s="2"/>
      <c r="BE117" s="2"/>
      <c r="BF117" s="2"/>
      <c r="BG117" s="2"/>
      <c r="BR117" s="2"/>
    </row>
    <row r="118" spans="1:104">
      <c r="A118" s="117" t="s">
        <v>2620</v>
      </c>
      <c r="B118" s="117" t="str">
        <f>'Reference Score Calculation'!B95</f>
        <v>JS2960</v>
      </c>
      <c r="C118" s="129" t="str">
        <f>'Reference Score Calculation'!E95</f>
        <v>數位未來與人文學科文理學士(榮譽)</v>
      </c>
      <c r="D118" s="21"/>
      <c r="E118" s="453" t="str">
        <f>'Reference Score Calculation'!F95</f>
        <v>25年新科目</v>
      </c>
      <c r="F118" s="338"/>
      <c r="G118" s="117" t="str">
        <f>入學要求!AB104</f>
        <v>v</v>
      </c>
      <c r="H118" s="117" t="str">
        <f>入學要求!AC104</f>
        <v>C</v>
      </c>
      <c r="I118" s="117" t="str">
        <f>入學要求!AD104</f>
        <v>v</v>
      </c>
      <c r="J118" s="117">
        <f t="shared" si="178"/>
        <v>3.4999999999999999E-9</v>
      </c>
      <c r="K118" s="117">
        <v>1</v>
      </c>
      <c r="L118" s="117">
        <v>1</v>
      </c>
      <c r="M118" s="117">
        <v>1</v>
      </c>
      <c r="O118" s="117">
        <v>1</v>
      </c>
      <c r="P118" s="117">
        <v>1</v>
      </c>
      <c r="Q118" s="117">
        <v>1</v>
      </c>
      <c r="R118" s="117">
        <v>1</v>
      </c>
      <c r="S118" s="117">
        <v>1</v>
      </c>
      <c r="T118" s="117">
        <v>1</v>
      </c>
      <c r="V118" s="117">
        <f>K$4*K118</f>
        <v>1E-10</v>
      </c>
      <c r="W118" s="117">
        <f>L$4*L118</f>
        <v>2.0000000000000001E-10</v>
      </c>
      <c r="X118" s="117">
        <f>M$4*M118</f>
        <v>3E-10</v>
      </c>
      <c r="Z118" s="117">
        <f>IF(G118="v",O$4*O118,0)</f>
        <v>5.0000000000000003E-10</v>
      </c>
      <c r="AA118" s="117">
        <f>P$4*P118</f>
        <v>6E-10</v>
      </c>
      <c r="AB118" s="117">
        <f>Q$4*Q118</f>
        <v>6.9999999999999996E-10</v>
      </c>
      <c r="AC118" s="117">
        <f>R$4*R118</f>
        <v>8.0000000000000003E-10</v>
      </c>
      <c r="AD118" s="117">
        <f>S$4*S118</f>
        <v>8.9999999999999999E-10</v>
      </c>
      <c r="AE118" s="117">
        <f t="shared" si="198"/>
        <v>0</v>
      </c>
      <c r="AF118" s="117">
        <f t="shared" si="187"/>
        <v>1E-10</v>
      </c>
      <c r="AG118" s="117">
        <f t="shared" si="188"/>
        <v>2.0000000000000001E-10</v>
      </c>
      <c r="AH118" s="117">
        <f t="shared" si="189"/>
        <v>3E-10</v>
      </c>
      <c r="AI118" s="117">
        <f t="shared" si="190"/>
        <v>0</v>
      </c>
      <c r="AJ118" s="117">
        <f t="shared" si="191"/>
        <v>5.0000000000000003E-10</v>
      </c>
      <c r="AK118" s="117">
        <f t="shared" si="192"/>
        <v>6E-10</v>
      </c>
      <c r="AL118" s="117">
        <f t="shared" si="193"/>
        <v>6.9999999999999996E-10</v>
      </c>
      <c r="AM118" s="117">
        <f t="shared" si="194"/>
        <v>8.0000000000000003E-10</v>
      </c>
      <c r="AN118" s="117">
        <f t="shared" si="195"/>
        <v>8.9999999999999999E-10</v>
      </c>
      <c r="AO118" s="117">
        <f t="shared" si="196"/>
        <v>0</v>
      </c>
      <c r="AP118" s="117" t="b">
        <f t="shared" si="199"/>
        <v>0</v>
      </c>
      <c r="AQ118" s="117" t="b">
        <f t="shared" si="200"/>
        <v>0</v>
      </c>
      <c r="AR118" s="117" t="b">
        <f t="shared" si="201"/>
        <v>0</v>
      </c>
      <c r="AT118" s="117" t="b">
        <f t="shared" si="202"/>
        <v>1</v>
      </c>
      <c r="AU118" s="117" t="b">
        <f t="shared" si="203"/>
        <v>1</v>
      </c>
      <c r="AV118" s="117" t="b">
        <f t="shared" si="204"/>
        <v>1</v>
      </c>
      <c r="AW118" s="117" t="b">
        <f t="shared" si="205"/>
        <v>1</v>
      </c>
      <c r="AX118" s="117" t="b">
        <f t="shared" si="206"/>
        <v>1</v>
      </c>
      <c r="AY118" s="117" t="b">
        <f t="shared" si="207"/>
        <v>0</v>
      </c>
      <c r="BA118" s="2"/>
      <c r="BB118" s="2"/>
      <c r="BC118" s="2"/>
      <c r="BD118" s="2"/>
      <c r="BE118" s="2"/>
      <c r="BF118" s="2"/>
      <c r="BG118" s="2"/>
      <c r="BR118" s="2"/>
    </row>
    <row r="119" spans="1:104">
      <c r="B119" s="144"/>
      <c r="C119" s="460" t="s">
        <v>2318</v>
      </c>
      <c r="D119" s="21"/>
      <c r="E119" s="453"/>
      <c r="F119" s="338"/>
      <c r="G119" s="144"/>
      <c r="H119" s="144"/>
      <c r="I119" s="144"/>
      <c r="J119" s="144"/>
      <c r="K119" s="144"/>
      <c r="L119" s="144"/>
      <c r="M119" s="144"/>
      <c r="N119" s="144"/>
      <c r="O119" s="144"/>
      <c r="P119" s="144"/>
      <c r="Q119" s="144"/>
      <c r="R119" s="144"/>
      <c r="S119" s="144"/>
      <c r="T119" s="144"/>
      <c r="U119" s="144"/>
      <c r="BA119" s="2"/>
      <c r="BB119" s="2"/>
      <c r="BC119" s="2"/>
      <c r="BD119" s="2"/>
      <c r="BE119" s="2"/>
      <c r="BF119" s="2"/>
      <c r="BG119" s="2"/>
      <c r="BH119" s="2" t="s">
        <v>2959</v>
      </c>
      <c r="BI119" s="2"/>
      <c r="BJ119" s="2"/>
      <c r="BK119" s="2"/>
      <c r="BL119" s="2"/>
      <c r="BM119" s="2"/>
      <c r="BN119" s="2"/>
      <c r="BO119" s="2"/>
      <c r="BP119" s="2"/>
      <c r="BQ119" s="2"/>
      <c r="BR119" s="2"/>
      <c r="BS119" s="185"/>
      <c r="BT119" s="229"/>
      <c r="BU119" s="231" t="s">
        <v>94</v>
      </c>
      <c r="BV119" s="231" t="s">
        <v>73</v>
      </c>
      <c r="BW119" s="231" t="s">
        <v>74</v>
      </c>
      <c r="BX119" s="231" t="s">
        <v>75</v>
      </c>
      <c r="BY119" s="231" t="s">
        <v>2057</v>
      </c>
      <c r="BZ119" s="231" t="s">
        <v>295</v>
      </c>
      <c r="CA119" s="231" t="s">
        <v>296</v>
      </c>
      <c r="CB119" s="231" t="s">
        <v>297</v>
      </c>
      <c r="CC119" s="231" t="s">
        <v>298</v>
      </c>
      <c r="CD119" s="231" t="s">
        <v>299</v>
      </c>
      <c r="CE119" s="231" t="s">
        <v>300</v>
      </c>
      <c r="CF119" s="231" t="s">
        <v>301</v>
      </c>
      <c r="CG119" s="231" t="s">
        <v>302</v>
      </c>
      <c r="CH119" s="231" t="s">
        <v>303</v>
      </c>
      <c r="CI119" s="231" t="s">
        <v>304</v>
      </c>
      <c r="CJ119" s="231" t="s">
        <v>305</v>
      </c>
      <c r="CK119" s="231" t="s">
        <v>2345</v>
      </c>
      <c r="CL119" s="231" t="s">
        <v>2346</v>
      </c>
      <c r="CM119" s="231" t="s">
        <v>2347</v>
      </c>
      <c r="CN119" s="231" t="s">
        <v>309</v>
      </c>
      <c r="CO119" s="231" t="s">
        <v>310</v>
      </c>
      <c r="CP119" s="231" t="s">
        <v>311</v>
      </c>
      <c r="CQ119" s="231" t="s">
        <v>312</v>
      </c>
      <c r="CR119" s="231" t="s">
        <v>313</v>
      </c>
      <c r="CS119" s="231" t="s">
        <v>2349</v>
      </c>
      <c r="CT119" s="231" t="s">
        <v>2350</v>
      </c>
      <c r="CU119" s="231" t="s">
        <v>2351</v>
      </c>
      <c r="CV119" s="231" t="s">
        <v>2352</v>
      </c>
      <c r="CW119" s="230"/>
      <c r="CX119" s="185"/>
      <c r="CY119" s="185"/>
    </row>
    <row r="120" spans="1:104">
      <c r="B120" s="149" t="s">
        <v>225</v>
      </c>
      <c r="C120" s="142"/>
      <c r="D120" s="142"/>
      <c r="E120" s="143"/>
      <c r="F120" s="400"/>
      <c r="G120" s="19" t="s">
        <v>267</v>
      </c>
      <c r="H120" s="19" t="s">
        <v>268</v>
      </c>
      <c r="I120" s="19" t="s">
        <v>269</v>
      </c>
      <c r="J120" s="130" t="s">
        <v>217</v>
      </c>
      <c r="K120" s="130" t="s">
        <v>246</v>
      </c>
      <c r="L120" s="130" t="s">
        <v>247</v>
      </c>
      <c r="M120" s="130" t="s">
        <v>248</v>
      </c>
      <c r="N120" s="130"/>
      <c r="O120" s="130" t="s">
        <v>250</v>
      </c>
      <c r="P120" s="130" t="s">
        <v>251</v>
      </c>
      <c r="Q120" s="130" t="s">
        <v>252</v>
      </c>
      <c r="R120" s="130" t="s">
        <v>253</v>
      </c>
      <c r="S120" s="130" t="s">
        <v>254</v>
      </c>
      <c r="T120" s="130" t="s">
        <v>288</v>
      </c>
      <c r="U120" s="141"/>
      <c r="V120" s="130" t="str">
        <f>K1</f>
        <v>中國語文</v>
      </c>
      <c r="W120" s="130" t="str">
        <f>L1</f>
        <v>英國語文</v>
      </c>
      <c r="X120" s="130" t="str">
        <f>M1</f>
        <v>數學</v>
      </c>
      <c r="Y120" s="130"/>
      <c r="Z120" s="130" t="str">
        <f t="shared" ref="Z120:AE120" si="208">O1</f>
        <v>數學延伸</v>
      </c>
      <c r="AA120" s="130" t="str">
        <f t="shared" si="208"/>
        <v>請選擇第一選修科</v>
      </c>
      <c r="AB120" s="130" t="str">
        <f t="shared" si="208"/>
        <v>請選擇第二選修科</v>
      </c>
      <c r="AC120" s="130" t="str">
        <f t="shared" si="208"/>
        <v>請選擇第三選修科</v>
      </c>
      <c r="AD120" s="130" t="str">
        <f t="shared" si="208"/>
        <v>請選擇第四選修科</v>
      </c>
      <c r="AE120" s="130" t="str">
        <f t="shared" si="208"/>
        <v>請選擇語言科目</v>
      </c>
      <c r="AF120" s="117" t="str">
        <f>V120</f>
        <v>中國語文</v>
      </c>
      <c r="AG120" s="117" t="str">
        <f>W120</f>
        <v>英國語文</v>
      </c>
      <c r="AH120" s="117" t="str">
        <f>X120</f>
        <v>數學</v>
      </c>
      <c r="AJ120" s="117" t="str">
        <f t="shared" ref="AJ120:AO120" si="209">Z120</f>
        <v>數學延伸</v>
      </c>
      <c r="AK120" s="117" t="str">
        <f t="shared" si="209"/>
        <v>請選擇第一選修科</v>
      </c>
      <c r="AL120" s="117" t="str">
        <f t="shared" si="209"/>
        <v>請選擇第二選修科</v>
      </c>
      <c r="AM120" s="117" t="str">
        <f t="shared" si="209"/>
        <v>請選擇第三選修科</v>
      </c>
      <c r="AN120" s="117" t="str">
        <f t="shared" si="209"/>
        <v>請選擇第四選修科</v>
      </c>
      <c r="AO120" s="117" t="str">
        <f t="shared" si="209"/>
        <v>請選擇語言科目</v>
      </c>
      <c r="AP120" s="130" t="s">
        <v>256</v>
      </c>
      <c r="AQ120" s="130" t="s">
        <v>257</v>
      </c>
      <c r="AR120" s="130" t="s">
        <v>258</v>
      </c>
      <c r="AS120" s="130"/>
      <c r="AT120" s="130" t="s">
        <v>259</v>
      </c>
      <c r="AU120" s="130" t="s">
        <v>260</v>
      </c>
      <c r="AV120" s="130" t="s">
        <v>261</v>
      </c>
      <c r="AW120" s="130" t="s">
        <v>262</v>
      </c>
      <c r="AX120" s="130" t="s">
        <v>263</v>
      </c>
      <c r="AY120" s="130" t="s">
        <v>289</v>
      </c>
      <c r="BA120" s="2"/>
      <c r="BB120" s="2"/>
      <c r="BC120" s="2"/>
      <c r="BD120" s="2"/>
      <c r="BE120" s="2"/>
      <c r="BF120" s="2"/>
      <c r="BG120" s="2"/>
      <c r="BH120" s="2" t="str">
        <f t="shared" ref="BH120:BQ120" si="210">K1</f>
        <v>中國語文</v>
      </c>
      <c r="BI120" s="2" t="str">
        <f t="shared" si="210"/>
        <v>英國語文</v>
      </c>
      <c r="BJ120" s="2" t="str">
        <f t="shared" si="210"/>
        <v>數學</v>
      </c>
      <c r="BK120" s="2" t="str">
        <f t="shared" si="210"/>
        <v>公社科</v>
      </c>
      <c r="BL120" s="2" t="str">
        <f t="shared" si="210"/>
        <v>數學延伸</v>
      </c>
      <c r="BM120" s="2" t="str">
        <f t="shared" si="210"/>
        <v>請選擇第一選修科</v>
      </c>
      <c r="BN120" s="2" t="str">
        <f t="shared" si="210"/>
        <v>請選擇第二選修科</v>
      </c>
      <c r="BO120" s="2" t="str">
        <f t="shared" si="210"/>
        <v>請選擇第三選修科</v>
      </c>
      <c r="BP120" s="2" t="str">
        <f t="shared" si="210"/>
        <v>請選擇第四選修科</v>
      </c>
      <c r="BQ120" s="2" t="str">
        <f t="shared" si="210"/>
        <v>請選擇語言科目</v>
      </c>
      <c r="BR120" s="2"/>
      <c r="BS120" s="185"/>
      <c r="BT120" s="229"/>
      <c r="BU120" s="232" t="s">
        <v>291</v>
      </c>
      <c r="BV120" s="232" t="s">
        <v>292</v>
      </c>
      <c r="BW120" s="232" t="s">
        <v>74</v>
      </c>
      <c r="BX120" s="232" t="s">
        <v>293</v>
      </c>
      <c r="BY120" s="232" t="s">
        <v>294</v>
      </c>
      <c r="BZ120" s="233" t="s">
        <v>295</v>
      </c>
      <c r="CA120" s="233" t="s">
        <v>296</v>
      </c>
      <c r="CB120" s="233" t="s">
        <v>297</v>
      </c>
      <c r="CC120" s="233" t="s">
        <v>298</v>
      </c>
      <c r="CD120" s="233" t="s">
        <v>299</v>
      </c>
      <c r="CE120" s="233" t="s">
        <v>300</v>
      </c>
      <c r="CF120" s="233" t="s">
        <v>301</v>
      </c>
      <c r="CG120" s="233" t="s">
        <v>302</v>
      </c>
      <c r="CH120" s="233" t="s">
        <v>303</v>
      </c>
      <c r="CI120" s="233" t="s">
        <v>304</v>
      </c>
      <c r="CJ120" s="232" t="s">
        <v>305</v>
      </c>
      <c r="CK120" s="232" t="s">
        <v>3014</v>
      </c>
      <c r="CL120" s="232" t="s">
        <v>3015</v>
      </c>
      <c r="CM120" s="232" t="s">
        <v>3016</v>
      </c>
      <c r="CN120" s="232" t="s">
        <v>309</v>
      </c>
      <c r="CO120" s="233" t="s">
        <v>310</v>
      </c>
      <c r="CP120" s="233" t="s">
        <v>311</v>
      </c>
      <c r="CQ120" s="233" t="s">
        <v>312</v>
      </c>
      <c r="CR120" s="233" t="s">
        <v>313</v>
      </c>
      <c r="CS120" s="233" t="s">
        <v>2348</v>
      </c>
      <c r="CT120" s="233" t="s">
        <v>315</v>
      </c>
      <c r="CU120" s="233" t="s">
        <v>316</v>
      </c>
      <c r="CV120" s="233" t="s">
        <v>3087</v>
      </c>
      <c r="CW120" s="230"/>
      <c r="CX120" s="185"/>
      <c r="CY120" s="185"/>
    </row>
    <row r="121" spans="1:104">
      <c r="A121" s="117" t="s">
        <v>2712</v>
      </c>
      <c r="B121" s="437" t="str">
        <f>'Reference Score Calculation'!B98</f>
        <v>JS3000</v>
      </c>
      <c r="C121" s="117" t="str">
        <f>'Reference Score Calculation'!E98</f>
        <v>跨學科組合學士課程</v>
      </c>
      <c r="D121" s="117" t="str">
        <f>'Reference Score Calculation'!F106</f>
        <v>Best 5</v>
      </c>
      <c r="E121" s="131" t="str">
        <f>'Reference Score Calculation'!F98</f>
        <v>25年新科目</v>
      </c>
      <c r="F121" s="131"/>
      <c r="G121" s="117" t="str">
        <f>入學要求!AB107</f>
        <v>v</v>
      </c>
      <c r="H121" s="117" t="str">
        <f>入學要求!AC107</f>
        <v>E</v>
      </c>
      <c r="I121" s="117" t="str">
        <f>入學要求!AD107</f>
        <v>NO</v>
      </c>
      <c r="J121" s="117">
        <f t="shared" ref="J121:J165" si="211">SUMIF(AP121:AY121,TRUE,V121:AE121)</f>
        <v>7.6999999999999995E-9</v>
      </c>
      <c r="K121" s="117">
        <f t="shared" ref="K121:S130" si="212">IFERROR(INDEX($BU121:$CV121,MATCH(K$1,$BU$120:$CV$120,0)),0)</f>
        <v>7</v>
      </c>
      <c r="L121" s="117">
        <f t="shared" si="212"/>
        <v>7</v>
      </c>
      <c r="M121" s="117">
        <f t="shared" si="212"/>
        <v>7</v>
      </c>
      <c r="N121" s="117">
        <f t="shared" si="212"/>
        <v>0</v>
      </c>
      <c r="O121" s="117">
        <f t="shared" si="212"/>
        <v>7</v>
      </c>
      <c r="P121" s="117">
        <f t="shared" si="212"/>
        <v>0</v>
      </c>
      <c r="Q121" s="117">
        <f t="shared" si="212"/>
        <v>0</v>
      </c>
      <c r="R121" s="117">
        <f t="shared" si="212"/>
        <v>0</v>
      </c>
      <c r="S121" s="117">
        <f t="shared" si="212"/>
        <v>0</v>
      </c>
      <c r="T121" s="117">
        <v>5</v>
      </c>
      <c r="V121" s="117">
        <f>K$5*K121</f>
        <v>7.0000000000000006E-10</v>
      </c>
      <c r="W121" s="117">
        <f>L$5*L121</f>
        <v>1.4000000000000001E-9</v>
      </c>
      <c r="X121" s="117">
        <f>M$5*M121</f>
        <v>2.0999999999999998E-9</v>
      </c>
      <c r="Z121" s="117">
        <f>IF(G121="v",O$5*O121,0)</f>
        <v>3.5000000000000003E-9</v>
      </c>
      <c r="AA121" s="117">
        <f>P$5*P121</f>
        <v>0</v>
      </c>
      <c r="AB121" s="117">
        <f>Q$5*Q121</f>
        <v>0</v>
      </c>
      <c r="AC121" s="117">
        <f>R$5*R121</f>
        <v>0</v>
      </c>
      <c r="AD121" s="117">
        <f>S$5*S121</f>
        <v>0</v>
      </c>
      <c r="AE121" s="117">
        <f>IF(H121="E",T$5*T121,0)</f>
        <v>0</v>
      </c>
      <c r="AF121" s="117">
        <f t="shared" ref="AF121:AF165" si="213">IF(BH121=TRUE,V121+99,V121)</f>
        <v>7.0000000000000006E-10</v>
      </c>
      <c r="AG121" s="117">
        <f t="shared" ref="AG121:AG165" si="214">IF(BI121=TRUE,W121+99,W121)</f>
        <v>1.4000000000000001E-9</v>
      </c>
      <c r="AH121" s="117">
        <f t="shared" ref="AH121:AH165" si="215">IF(BJ121=TRUE,X121+99,X121)</f>
        <v>2.0999999999999998E-9</v>
      </c>
      <c r="AI121" s="117">
        <f t="shared" ref="AI121:AI165" si="216">IF(BK121=TRUE,Y121+99,Y121)</f>
        <v>0</v>
      </c>
      <c r="AJ121" s="117">
        <f t="shared" ref="AJ121:AJ165" si="217">IF(BL121=TRUE,Z121+99,Z121)</f>
        <v>3.5000000000000003E-9</v>
      </c>
      <c r="AK121" s="117">
        <f t="shared" ref="AK121:AK165" si="218">IF(BM121=TRUE,AA121+99,AA121)</f>
        <v>0</v>
      </c>
      <c r="AL121" s="117">
        <f t="shared" ref="AL121:AL165" si="219">IF(BN121=TRUE,AB121+99,AB121)</f>
        <v>0</v>
      </c>
      <c r="AM121" s="117">
        <f t="shared" ref="AM121:AM165" si="220">IF(BO121=TRUE,AC121+99,AC121)</f>
        <v>0</v>
      </c>
      <c r="AN121" s="117">
        <f t="shared" ref="AN121:AN165" si="221">IF(BP121=TRUE,AD121+99,AD121)</f>
        <v>0</v>
      </c>
      <c r="AO121" s="117">
        <f t="shared" ref="AO121:AO165" si="222">IF(BQ121=TRUE,AE121+99,AE121)</f>
        <v>0</v>
      </c>
      <c r="AP121" s="117" t="b">
        <f>IF(AF121&gt;LARGE($AF121:$AO121,6),TRUE)</f>
        <v>1</v>
      </c>
      <c r="AQ121" s="117" t="b">
        <f t="shared" ref="AQ121:AY121" si="223">IF(AG121&gt;LARGE($AF121:$AO121,6),TRUE)</f>
        <v>1</v>
      </c>
      <c r="AR121" s="117" t="b">
        <f t="shared" si="223"/>
        <v>1</v>
      </c>
      <c r="AT121" s="117" t="b">
        <f t="shared" si="223"/>
        <v>1</v>
      </c>
      <c r="AU121" s="117" t="b">
        <f t="shared" si="223"/>
        <v>0</v>
      </c>
      <c r="AV121" s="117" t="b">
        <f t="shared" si="223"/>
        <v>0</v>
      </c>
      <c r="AW121" s="117" t="b">
        <f t="shared" si="223"/>
        <v>0</v>
      </c>
      <c r="AX121" s="117" t="b">
        <f t="shared" si="223"/>
        <v>0</v>
      </c>
      <c r="AY121" s="117" t="b">
        <f t="shared" si="223"/>
        <v>0</v>
      </c>
      <c r="BA121" s="2"/>
      <c r="BB121" s="2"/>
      <c r="BC121" s="2"/>
      <c r="BD121" s="2"/>
      <c r="BE121" s="2"/>
      <c r="BF121" s="2"/>
      <c r="BG121" s="2"/>
      <c r="BH121" s="2"/>
      <c r="BI121" s="2"/>
      <c r="BJ121" s="2"/>
      <c r="BK121" s="2"/>
      <c r="BL121" s="2"/>
      <c r="BM121" s="2"/>
      <c r="BN121" s="2"/>
      <c r="BO121" s="2"/>
      <c r="BP121" s="2"/>
      <c r="BQ121" s="2"/>
      <c r="BR121" s="2"/>
      <c r="BS121" s="185" t="str">
        <f>'Reference Score Calculation'!B98</f>
        <v>JS3000</v>
      </c>
      <c r="BT121" s="185"/>
      <c r="BU121" s="455">
        <f>IF(ISNUMBER(SEARCH(BU$119,'Reference Score Calculation'!$P98)),10,IF(ISNUMBER(SEARCH(BU$119,'Reference Score Calculation'!$Q98)),7,IF(ISNUMBER(SEARCH(BU$119,'Reference Score Calculation'!$R98)),5,IF(ISNUMBER(SEARCH($BV$108,'Reference Score Calculation'!$P98)),10,IF(ISNUMBER(SEARCH($BV$108,'Reference Score Calculation'!$Q98)),7,5)))))</f>
        <v>7</v>
      </c>
      <c r="BV121" s="455">
        <f>IF(ISNUMBER(SEARCH(BV$119,'Reference Score Calculation'!$P98)),10,IF(ISNUMBER(SEARCH(BV$119,'Reference Score Calculation'!$Q98)),7,IF(ISNUMBER(SEARCH(BV$119,'Reference Score Calculation'!$R98)),5,IF(ISNUMBER(SEARCH($BV$108,'Reference Score Calculation'!$P98)),10,IF(ISNUMBER(SEARCH($BV$108,'Reference Score Calculation'!$Q98)),7,5)))))</f>
        <v>7</v>
      </c>
      <c r="BW121" s="455">
        <f>IF(ISNUMBER(SEARCH(BW$119,'Reference Score Calculation'!$P98)),10,IF(ISNUMBER(SEARCH(BW$119,'Reference Score Calculation'!$Q98)),7,IF(ISNUMBER(SEARCH(BW$119,'Reference Score Calculation'!$R98)),5,IF(ISNUMBER(SEARCH($BV$108,'Reference Score Calculation'!$P98)),10,IF(ISNUMBER(SEARCH($BV$108,'Reference Score Calculation'!$Q98)),7,5)))))</f>
        <v>7</v>
      </c>
      <c r="BX121" s="455">
        <f>IF(ISNUMBER(SEARCH(BX$119,'Reference Score Calculation'!$P98)),10,IF(ISNUMBER(SEARCH(BX$119,'Reference Score Calculation'!$Q98)),7,IF(ISNUMBER(SEARCH(BX$119,'Reference Score Calculation'!$R98)),5,IF(ISNUMBER(SEARCH($BV$108,'Reference Score Calculation'!$P98)),10,IF(ISNUMBER(SEARCH($BV$108,'Reference Score Calculation'!$Q98)),7,5)))))</f>
        <v>7</v>
      </c>
      <c r="BY121" s="455">
        <f>IF(ISNUMBER(SEARCH(BY$119,'Reference Score Calculation'!$P98)),10,IF(ISNUMBER(SEARCH(BY$119,'Reference Score Calculation'!$Q98)),7,IF(ISNUMBER(SEARCH(BY$119,'Reference Score Calculation'!$R98)),5,IF(ISNUMBER(SEARCH($BV$108,'Reference Score Calculation'!$P98)),10,IF(ISNUMBER(SEARCH($BV$108,'Reference Score Calculation'!$Q98)),7,5)))))</f>
        <v>7</v>
      </c>
      <c r="BZ121" s="455">
        <f>IF(ISNUMBER(SEARCH(BZ$119,'Reference Score Calculation'!$P98)),10,IF(ISNUMBER(SEARCH(BZ$119,'Reference Score Calculation'!$Q98)),7,IF(ISNUMBER(SEARCH(BZ$119,'Reference Score Calculation'!$R98)),5,IF(ISNUMBER(SEARCH($BV$108,'Reference Score Calculation'!$P98)),10,IF(ISNUMBER(SEARCH($BV$108,'Reference Score Calculation'!$Q98)),7,5)))))</f>
        <v>7</v>
      </c>
      <c r="CA121" s="455">
        <f>IF(ISNUMBER(SEARCH(CA$119,'Reference Score Calculation'!$P98)),10,IF(ISNUMBER(SEARCH(CA$119,'Reference Score Calculation'!$Q98)),7,IF(ISNUMBER(SEARCH(CA$119,'Reference Score Calculation'!$R98)),5,IF(ISNUMBER(SEARCH($BV$108,'Reference Score Calculation'!$P98)),10,IF(ISNUMBER(SEARCH($BV$108,'Reference Score Calculation'!$Q98)),7,5)))))</f>
        <v>7</v>
      </c>
      <c r="CB121" s="455">
        <f>IF(ISNUMBER(SEARCH(CB$119,'Reference Score Calculation'!$P98)),10,IF(ISNUMBER(SEARCH(CB$119,'Reference Score Calculation'!$Q98)),7,IF(ISNUMBER(SEARCH(CB$119,'Reference Score Calculation'!$R98)),5,IF(ISNUMBER(SEARCH($BV$108,'Reference Score Calculation'!$P98)),10,IF(ISNUMBER(SEARCH($BV$108,'Reference Score Calculation'!$Q98)),7,5)))))</f>
        <v>7</v>
      </c>
      <c r="CC121" s="455">
        <f>IF(ISNUMBER(SEARCH(CC$119,'Reference Score Calculation'!$P98)),10,IF(ISNUMBER(SEARCH(CC$119,'Reference Score Calculation'!$Q98)),7,IF(ISNUMBER(SEARCH(CC$119,'Reference Score Calculation'!$R98)),5,IF(ISNUMBER(SEARCH($BV$108,'Reference Score Calculation'!$P98)),10,IF(ISNUMBER(SEARCH($BV$108,'Reference Score Calculation'!$Q98)),7,5)))))</f>
        <v>7</v>
      </c>
      <c r="CD121" s="455">
        <f>IF(ISNUMBER(SEARCH(CD$119,'Reference Score Calculation'!$P98)),10,IF(ISNUMBER(SEARCH(CD$119,'Reference Score Calculation'!$Q98)),7,IF(ISNUMBER(SEARCH(CD$119,'Reference Score Calculation'!$R98)),5,IF(ISNUMBER(SEARCH($BV$108,'Reference Score Calculation'!$P98)),10,IF(ISNUMBER(SEARCH($BV$108,'Reference Score Calculation'!$Q98)),7,5)))))</f>
        <v>7</v>
      </c>
      <c r="CE121" s="455">
        <f>IF(ISNUMBER(SEARCH(CE$119,'Reference Score Calculation'!$P98)),10,IF(ISNUMBER(SEARCH(CE$119,'Reference Score Calculation'!$Q98)),7,IF(ISNUMBER(SEARCH(CE$119,'Reference Score Calculation'!$R98)),5,IF(ISNUMBER(SEARCH($BV$108,'Reference Score Calculation'!$P98)),10,IF(ISNUMBER(SEARCH($BV$108,'Reference Score Calculation'!$Q98)),7,5)))))</f>
        <v>7</v>
      </c>
      <c r="CF121" s="455">
        <f>IF(ISNUMBER(SEARCH(CF$119,'Reference Score Calculation'!$P98)),10,IF(ISNUMBER(SEARCH(CF$119,'Reference Score Calculation'!$Q98)),7,IF(ISNUMBER(SEARCH(CF$119,'Reference Score Calculation'!$R98)),5,IF(ISNUMBER(SEARCH($BV$108,'Reference Score Calculation'!$P98)),10,IF(ISNUMBER(SEARCH($BV$108,'Reference Score Calculation'!$Q98)),7,5)))))</f>
        <v>7</v>
      </c>
      <c r="CG121" s="455">
        <f>IF(ISNUMBER(SEARCH(CG$119,'Reference Score Calculation'!$P98)),10,IF(ISNUMBER(SEARCH(CG$119,'Reference Score Calculation'!$Q98)),7,IF(ISNUMBER(SEARCH(CG$119,'Reference Score Calculation'!$R98)),5,IF(ISNUMBER(SEARCH($BV$108,'Reference Score Calculation'!$P98)),10,IF(ISNUMBER(SEARCH($BV$108,'Reference Score Calculation'!$Q98)),7,5)))))</f>
        <v>7</v>
      </c>
      <c r="CH121" s="455">
        <f>IF(ISNUMBER(SEARCH(CH$119,'Reference Score Calculation'!$P98)),10,IF(ISNUMBER(SEARCH(CH$119,'Reference Score Calculation'!$Q98)),7,IF(ISNUMBER(SEARCH(CH$119,'Reference Score Calculation'!$R98)),5,IF(ISNUMBER(SEARCH($BV$108,'Reference Score Calculation'!$P98)),10,IF(ISNUMBER(SEARCH($BV$108,'Reference Score Calculation'!$Q98)),7,5)))))</f>
        <v>7</v>
      </c>
      <c r="CI121" s="455">
        <f>IF(ISNUMBER(SEARCH(CI$119,'Reference Score Calculation'!$P98)),10,IF(ISNUMBER(SEARCH(CI$119,'Reference Score Calculation'!$Q98)),7,IF(ISNUMBER(SEARCH(CI$119,'Reference Score Calculation'!$R98)),5,IF(ISNUMBER(SEARCH($BV$108,'Reference Score Calculation'!$P98)),10,IF(ISNUMBER(SEARCH($BV$108,'Reference Score Calculation'!$Q98)),7,5)))))</f>
        <v>7</v>
      </c>
      <c r="CJ121" s="455">
        <f>IF(ISNUMBER(SEARCH(CJ$119,'Reference Score Calculation'!$P98)),10,IF(ISNUMBER(SEARCH(CJ$119,'Reference Score Calculation'!$Q98)),7,IF(ISNUMBER(SEARCH(CJ$119,'Reference Score Calculation'!$R98)),5,IF(ISNUMBER(SEARCH($BV$108,'Reference Score Calculation'!$P98)),10,IF(ISNUMBER(SEARCH($BV$108,'Reference Score Calculation'!$Q98)),7,5)))))</f>
        <v>7</v>
      </c>
      <c r="CK121" s="455">
        <f>IF(ISNUMBER(SEARCH(CK$119,'Reference Score Calculation'!$P98)),10,IF(ISNUMBER(SEARCH(CK$119,'Reference Score Calculation'!$Q98)),7,IF(ISNUMBER(SEARCH(CK$119,'Reference Score Calculation'!$R98)),5,IF(ISNUMBER(SEARCH($BV$108,'Reference Score Calculation'!$P98)),10,IF(ISNUMBER(SEARCH($BV$108,'Reference Score Calculation'!$Q98)),7,5)))))</f>
        <v>7</v>
      </c>
      <c r="CL121" s="455">
        <f>IF(ISNUMBER(SEARCH(CL$119,'Reference Score Calculation'!$P98)),10,IF(ISNUMBER(SEARCH(CL$119,'Reference Score Calculation'!$Q98)),7,IF(ISNUMBER(SEARCH(CL$119,'Reference Score Calculation'!$R98)),5,IF(ISNUMBER(SEARCH($BV$108,'Reference Score Calculation'!$P98)),10,IF(ISNUMBER(SEARCH($BV$108,'Reference Score Calculation'!$Q98)),7,5)))))</f>
        <v>7</v>
      </c>
      <c r="CM121" s="455">
        <f>IF(ISNUMBER(SEARCH(CM$119,'Reference Score Calculation'!$P98)),10,IF(ISNUMBER(SEARCH(CM$119,'Reference Score Calculation'!$Q98)),7,IF(ISNUMBER(SEARCH(CM$119,'Reference Score Calculation'!$R98)),5,IF(ISNUMBER(SEARCH($BV$108,'Reference Score Calculation'!$P98)),10,IF(ISNUMBER(SEARCH($BV$108,'Reference Score Calculation'!$Q98)),7,5)))))</f>
        <v>7</v>
      </c>
      <c r="CN121" s="455">
        <f>IF(ISNUMBER(SEARCH(CN$119,'Reference Score Calculation'!$P98)),10,IF(ISNUMBER(SEARCH(CN$119,'Reference Score Calculation'!$Q98)),7,IF(ISNUMBER(SEARCH(CN$119,'Reference Score Calculation'!$R98)),5,IF(ISNUMBER(SEARCH($BV$108,'Reference Score Calculation'!$P98)),10,IF(ISNUMBER(SEARCH($BV$108,'Reference Score Calculation'!$Q98)),7,5)))))</f>
        <v>7</v>
      </c>
      <c r="CO121" s="455">
        <f>IF(ISNUMBER(SEARCH(CO$119,'Reference Score Calculation'!$P98)),10,IF(ISNUMBER(SEARCH(CO$119,'Reference Score Calculation'!$Q98)),7,IF(ISNUMBER(SEARCH(CO$119,'Reference Score Calculation'!$R98)),5,IF(ISNUMBER(SEARCH($BV$108,'Reference Score Calculation'!$P98)),10,IF(ISNUMBER(SEARCH($BV$108,'Reference Score Calculation'!$Q98)),7,5)))))</f>
        <v>7</v>
      </c>
      <c r="CP121" s="455">
        <f>IF(ISNUMBER(SEARCH(CP$119,'Reference Score Calculation'!$P98)),10,IF(ISNUMBER(SEARCH(CP$119,'Reference Score Calculation'!$Q98)),7,IF(ISNUMBER(SEARCH(CP$119,'Reference Score Calculation'!$R98)),5,IF(ISNUMBER(SEARCH($BV$108,'Reference Score Calculation'!$P98)),10,IF(ISNUMBER(SEARCH($BV$108,'Reference Score Calculation'!$Q98)),7,5)))))</f>
        <v>7</v>
      </c>
      <c r="CQ121" s="455">
        <f>IF(ISNUMBER(SEARCH(CQ$119,'Reference Score Calculation'!$P98)),10,IF(ISNUMBER(SEARCH(CQ$119,'Reference Score Calculation'!$Q98)),7,IF(ISNUMBER(SEARCH(CQ$119,'Reference Score Calculation'!$R98)),5,IF(ISNUMBER(SEARCH($BV$108,'Reference Score Calculation'!$P98)),10,IF(ISNUMBER(SEARCH($BV$108,'Reference Score Calculation'!$Q98)),7,5)))))</f>
        <v>7</v>
      </c>
      <c r="CR121" s="455">
        <f>IF(ISNUMBER(SEARCH(CR$119,'Reference Score Calculation'!$P98)),10,IF(ISNUMBER(SEARCH(CR$119,'Reference Score Calculation'!$Q98)),7,IF(ISNUMBER(SEARCH(CR$119,'Reference Score Calculation'!$R98)),5,IF(ISNUMBER(SEARCH($BV$108,'Reference Score Calculation'!$P98)),10,IF(ISNUMBER(SEARCH($BV$108,'Reference Score Calculation'!$Q98)),7,5)))))</f>
        <v>7</v>
      </c>
      <c r="CS121" s="455">
        <f>IF(ISNUMBER(SEARCH(CS$119,'Reference Score Calculation'!$P98)),10,IF(ISNUMBER(SEARCH(CS$119,'Reference Score Calculation'!$Q98)),7,IF(ISNUMBER(SEARCH(CS$119,'Reference Score Calculation'!$R98)),5,IF(ISNUMBER(SEARCH($BV$108,'Reference Score Calculation'!$P98)),10,IF(ISNUMBER(SEARCH($BV$108,'Reference Score Calculation'!$Q98)),7,5)))))</f>
        <v>7</v>
      </c>
      <c r="CT121" s="455">
        <f>IF(ISNUMBER(SEARCH(CT$119,'Reference Score Calculation'!$P98)),10,IF(ISNUMBER(SEARCH(CT$119,'Reference Score Calculation'!$Q98)),7,IF(ISNUMBER(SEARCH(CT$119,'Reference Score Calculation'!$R98)),5,IF(ISNUMBER(SEARCH($BV$108,'Reference Score Calculation'!$P98)),10,IF(ISNUMBER(SEARCH($BV$108,'Reference Score Calculation'!$Q98)),7,5)))))</f>
        <v>7</v>
      </c>
      <c r="CU121" s="455">
        <f>IF(ISNUMBER(SEARCH(CU$119,'Reference Score Calculation'!$P98)),10,IF(ISNUMBER(SEARCH(CU$119,'Reference Score Calculation'!$Q98)),7,IF(ISNUMBER(SEARCH(CU$119,'Reference Score Calculation'!$R98)),5,IF(ISNUMBER(SEARCH($BV$108,'Reference Score Calculation'!$P98)),10,IF(ISNUMBER(SEARCH($BV$108,'Reference Score Calculation'!$Q98)),7,5)))))</f>
        <v>7</v>
      </c>
      <c r="CV121" s="455">
        <f>IF(ISNUMBER(SEARCH(CV$119,'Reference Score Calculation'!$P98)),10,IF(ISNUMBER(SEARCH(CV$119,'Reference Score Calculation'!$Q98)),7,IF(ISNUMBER(SEARCH(CV$119,'Reference Score Calculation'!$R98)),5,IF(ISNUMBER(SEARCH($BV$108,'Reference Score Calculation'!$P98)),10,IF(ISNUMBER(SEARCH($BV$108,'Reference Score Calculation'!$Q98)),7,5)))))</f>
        <v>7</v>
      </c>
      <c r="CW121" s="185"/>
      <c r="CX121" s="185"/>
      <c r="CY121" s="185"/>
    </row>
    <row r="122" spans="1:104">
      <c r="A122" s="117" t="s">
        <v>2715</v>
      </c>
      <c r="B122" s="459" t="str">
        <f>'Reference Score Calculation'!B99</f>
        <v>JS3003</v>
      </c>
      <c r="C122" s="117" t="str">
        <f>'Reference Score Calculation'!E99</f>
        <v>工商管理組合學士課程</v>
      </c>
      <c r="D122" s="117" t="str">
        <f>'Reference Score Calculation'!F107</f>
        <v>Best 5</v>
      </c>
      <c r="E122" s="131" t="str">
        <f>'Reference Score Calculation'!F99</f>
        <v>25年新科目</v>
      </c>
      <c r="F122" s="131"/>
      <c r="G122" s="117" t="str">
        <f>入學要求!AB108</f>
        <v>v</v>
      </c>
      <c r="H122" s="117" t="str">
        <f>入學要求!AC108</f>
        <v>E</v>
      </c>
      <c r="I122" s="117" t="str">
        <f>入學要求!AD108</f>
        <v>NO</v>
      </c>
      <c r="J122" s="117">
        <f t="shared" si="211"/>
        <v>9.1999999999999997E-9</v>
      </c>
      <c r="K122" s="117">
        <f t="shared" si="212"/>
        <v>7</v>
      </c>
      <c r="L122" s="117">
        <f t="shared" si="212"/>
        <v>10</v>
      </c>
      <c r="M122" s="117">
        <f t="shared" si="212"/>
        <v>10</v>
      </c>
      <c r="N122" s="117">
        <f t="shared" si="212"/>
        <v>0</v>
      </c>
      <c r="O122" s="117">
        <f t="shared" si="212"/>
        <v>7</v>
      </c>
      <c r="P122" s="117">
        <f t="shared" si="212"/>
        <v>0</v>
      </c>
      <c r="Q122" s="117">
        <f t="shared" si="212"/>
        <v>0</v>
      </c>
      <c r="R122" s="117">
        <f t="shared" si="212"/>
        <v>0</v>
      </c>
      <c r="S122" s="117">
        <f t="shared" si="212"/>
        <v>0</v>
      </c>
      <c r="T122" s="117">
        <v>5</v>
      </c>
      <c r="V122" s="117">
        <f t="shared" ref="V122:V165" si="224">K$5*K122</f>
        <v>7.0000000000000006E-10</v>
      </c>
      <c r="W122" s="117">
        <f t="shared" ref="W122:W165" si="225">L$5*L122</f>
        <v>2.0000000000000001E-9</v>
      </c>
      <c r="X122" s="117">
        <f t="shared" ref="X122:X165" si="226">M$5*M122</f>
        <v>3E-9</v>
      </c>
      <c r="Z122" s="117">
        <f t="shared" ref="Z122:Z165" si="227">IF(G122="v",O$5*O122,0)</f>
        <v>3.5000000000000003E-9</v>
      </c>
      <c r="AA122" s="117">
        <f t="shared" ref="AA122:AA165" si="228">P$5*P122</f>
        <v>0</v>
      </c>
      <c r="AB122" s="117">
        <f t="shared" ref="AB122:AB165" si="229">Q$5*Q122</f>
        <v>0</v>
      </c>
      <c r="AC122" s="117">
        <f t="shared" ref="AC122:AC165" si="230">R$5*R122</f>
        <v>0</v>
      </c>
      <c r="AD122" s="117">
        <f t="shared" ref="AD122:AD165" si="231">S$5*S122</f>
        <v>0</v>
      </c>
      <c r="AE122" s="117">
        <f t="shared" ref="AE122:AE165" si="232">IF(H122="E",T$5*T122,0)</f>
        <v>0</v>
      </c>
      <c r="AF122" s="117">
        <f t="shared" si="213"/>
        <v>7.0000000000000006E-10</v>
      </c>
      <c r="AG122" s="117">
        <f t="shared" si="214"/>
        <v>2.0000000000000001E-9</v>
      </c>
      <c r="AH122" s="117">
        <f t="shared" si="215"/>
        <v>3E-9</v>
      </c>
      <c r="AI122" s="117">
        <f t="shared" si="216"/>
        <v>0</v>
      </c>
      <c r="AJ122" s="117">
        <f t="shared" si="217"/>
        <v>3.5000000000000003E-9</v>
      </c>
      <c r="AK122" s="117">
        <f t="shared" si="218"/>
        <v>0</v>
      </c>
      <c r="AL122" s="117">
        <f t="shared" si="219"/>
        <v>0</v>
      </c>
      <c r="AM122" s="117">
        <f t="shared" si="220"/>
        <v>0</v>
      </c>
      <c r="AN122" s="117">
        <f t="shared" si="221"/>
        <v>0</v>
      </c>
      <c r="AO122" s="117">
        <f t="shared" si="222"/>
        <v>0</v>
      </c>
      <c r="AP122" s="117" t="b">
        <f t="shared" ref="AP122:AP165" si="233">IF(AF122&gt;LARGE($AF122:$AO122,6),TRUE)</f>
        <v>1</v>
      </c>
      <c r="AQ122" s="117" t="b">
        <f t="shared" ref="AQ122:AQ165" si="234">IF(AG122&gt;LARGE($AF122:$AO122,6),TRUE)</f>
        <v>1</v>
      </c>
      <c r="AR122" s="117" t="b">
        <f t="shared" ref="AR122:AR165" si="235">IF(AH122&gt;LARGE($AF122:$AO122,6),TRUE)</f>
        <v>1</v>
      </c>
      <c r="AT122" s="117" t="b">
        <f t="shared" ref="AT122:AT165" si="236">IF(AJ122&gt;LARGE($AF122:$AO122,6),TRUE)</f>
        <v>1</v>
      </c>
      <c r="AU122" s="117" t="b">
        <f t="shared" ref="AU122:AU165" si="237">IF(AK122&gt;LARGE($AF122:$AO122,6),TRUE)</f>
        <v>0</v>
      </c>
      <c r="AV122" s="117" t="b">
        <f t="shared" ref="AV122:AV165" si="238">IF(AL122&gt;LARGE($AF122:$AO122,6),TRUE)</f>
        <v>0</v>
      </c>
      <c r="AW122" s="117" t="b">
        <f t="shared" ref="AW122:AW165" si="239">IF(AM122&gt;LARGE($AF122:$AO122,6),TRUE)</f>
        <v>0</v>
      </c>
      <c r="AX122" s="117" t="b">
        <f t="shared" ref="AX122:AX165" si="240">IF(AN122&gt;LARGE($AF122:$AO122,6),TRUE)</f>
        <v>0</v>
      </c>
      <c r="AY122" s="117" t="b">
        <f t="shared" ref="AY122:AY165" si="241">IF(AO122&gt;LARGE($AF122:$AO122,6),TRUE)</f>
        <v>0</v>
      </c>
      <c r="BA122" s="2"/>
      <c r="BB122" s="2"/>
      <c r="BC122" s="2"/>
      <c r="BD122" s="2"/>
      <c r="BE122" s="2"/>
      <c r="BF122" s="2"/>
      <c r="BG122" s="2"/>
      <c r="BH122" s="2"/>
      <c r="BI122" s="2"/>
      <c r="BJ122" s="2"/>
      <c r="BK122" s="2"/>
      <c r="BL122" s="2"/>
      <c r="BM122" s="2"/>
      <c r="BN122" s="2"/>
      <c r="BO122" s="2"/>
      <c r="BP122" s="2"/>
      <c r="BQ122" s="2"/>
      <c r="BR122" s="2"/>
      <c r="BS122" s="185" t="str">
        <f>'Reference Score Calculation'!B99</f>
        <v>JS3003</v>
      </c>
      <c r="BT122" s="185"/>
      <c r="BU122" s="455">
        <f>IF(ISNUMBER(SEARCH(BU$119,'Reference Score Calculation'!$P99)),10,IF(ISNUMBER(SEARCH(BU$119,'Reference Score Calculation'!$Q99)),7,IF(ISNUMBER(SEARCH(BU$119,'Reference Score Calculation'!$R99)),5,IF(ISNUMBER(SEARCH($BV$108,'Reference Score Calculation'!$P99)),10,IF(ISNUMBER(SEARCH($BV$108,'Reference Score Calculation'!$Q99)),7,5)))))</f>
        <v>7</v>
      </c>
      <c r="BV122" s="455">
        <f>IF(ISNUMBER(SEARCH(BV$119,'Reference Score Calculation'!$P99)),10,IF(ISNUMBER(SEARCH(BV$119,'Reference Score Calculation'!$Q99)),7,IF(ISNUMBER(SEARCH(BV$119,'Reference Score Calculation'!$R99)),5,IF(ISNUMBER(SEARCH($BV$108,'Reference Score Calculation'!$P99)),10,IF(ISNUMBER(SEARCH($BV$108,'Reference Score Calculation'!$Q99)),7,5)))))</f>
        <v>10</v>
      </c>
      <c r="BW122" s="455">
        <f>IF(ISNUMBER(SEARCH(BW$119,'Reference Score Calculation'!$P99)),10,IF(ISNUMBER(SEARCH(BW$119,'Reference Score Calculation'!$Q99)),7,IF(ISNUMBER(SEARCH(BW$119,'Reference Score Calculation'!$R99)),5,IF(ISNUMBER(SEARCH($BV$108,'Reference Score Calculation'!$P99)),10,IF(ISNUMBER(SEARCH($BV$108,'Reference Score Calculation'!$Q99)),7,5)))))</f>
        <v>10</v>
      </c>
      <c r="BX122" s="455">
        <f>IF(ISNUMBER(SEARCH(BX$119,'Reference Score Calculation'!$P99)),10,IF(ISNUMBER(SEARCH(BX$119,'Reference Score Calculation'!$Q99)),7,IF(ISNUMBER(SEARCH(BX$119,'Reference Score Calculation'!$R99)),5,IF(ISNUMBER(SEARCH($BV$108,'Reference Score Calculation'!$P99)),10,IF(ISNUMBER(SEARCH($BV$108,'Reference Score Calculation'!$Q99)),7,5)))))</f>
        <v>7</v>
      </c>
      <c r="BY122" s="455">
        <f>IF(ISNUMBER(SEARCH(BY$119,'Reference Score Calculation'!$P99)),10,IF(ISNUMBER(SEARCH(BY$119,'Reference Score Calculation'!$Q99)),7,IF(ISNUMBER(SEARCH(BY$119,'Reference Score Calculation'!$R99)),5,IF(ISNUMBER(SEARCH($BV$108,'Reference Score Calculation'!$P99)),10,IF(ISNUMBER(SEARCH($BV$108,'Reference Score Calculation'!$Q99)),7,5)))))</f>
        <v>7</v>
      </c>
      <c r="BZ122" s="455">
        <f>IF(ISNUMBER(SEARCH(BZ$119,'Reference Score Calculation'!$P99)),10,IF(ISNUMBER(SEARCH(BZ$119,'Reference Score Calculation'!$Q99)),7,IF(ISNUMBER(SEARCH(BZ$119,'Reference Score Calculation'!$R99)),5,IF(ISNUMBER(SEARCH($BV$108,'Reference Score Calculation'!$P99)),10,IF(ISNUMBER(SEARCH($BV$108,'Reference Score Calculation'!$Q99)),7,5)))))</f>
        <v>7</v>
      </c>
      <c r="CA122" s="455">
        <f>IF(ISNUMBER(SEARCH(CA$119,'Reference Score Calculation'!$P99)),10,IF(ISNUMBER(SEARCH(CA$119,'Reference Score Calculation'!$Q99)),7,IF(ISNUMBER(SEARCH(CA$119,'Reference Score Calculation'!$R99)),5,IF(ISNUMBER(SEARCH($BV$108,'Reference Score Calculation'!$P99)),10,IF(ISNUMBER(SEARCH($BV$108,'Reference Score Calculation'!$Q99)),7,5)))))</f>
        <v>7</v>
      </c>
      <c r="CB122" s="455">
        <f>IF(ISNUMBER(SEARCH(CB$119,'Reference Score Calculation'!$P99)),10,IF(ISNUMBER(SEARCH(CB$119,'Reference Score Calculation'!$Q99)),7,IF(ISNUMBER(SEARCH(CB$119,'Reference Score Calculation'!$R99)),5,IF(ISNUMBER(SEARCH($BV$108,'Reference Score Calculation'!$P99)),10,IF(ISNUMBER(SEARCH($BV$108,'Reference Score Calculation'!$Q99)),7,5)))))</f>
        <v>7</v>
      </c>
      <c r="CC122" s="455">
        <f>IF(ISNUMBER(SEARCH(CC$119,'Reference Score Calculation'!$P99)),10,IF(ISNUMBER(SEARCH(CC$119,'Reference Score Calculation'!$Q99)),7,IF(ISNUMBER(SEARCH(CC$119,'Reference Score Calculation'!$R99)),5,IF(ISNUMBER(SEARCH($BV$108,'Reference Score Calculation'!$P99)),10,IF(ISNUMBER(SEARCH($BV$108,'Reference Score Calculation'!$Q99)),7,5)))))</f>
        <v>7</v>
      </c>
      <c r="CD122" s="455">
        <f>IF(ISNUMBER(SEARCH(CD$119,'Reference Score Calculation'!$P99)),10,IF(ISNUMBER(SEARCH(CD$119,'Reference Score Calculation'!$Q99)),7,IF(ISNUMBER(SEARCH(CD$119,'Reference Score Calculation'!$R99)),5,IF(ISNUMBER(SEARCH($BV$108,'Reference Score Calculation'!$P99)),10,IF(ISNUMBER(SEARCH($BV$108,'Reference Score Calculation'!$Q99)),7,5)))))</f>
        <v>7</v>
      </c>
      <c r="CE122" s="455">
        <f>IF(ISNUMBER(SEARCH(CE$119,'Reference Score Calculation'!$P99)),10,IF(ISNUMBER(SEARCH(CE$119,'Reference Score Calculation'!$Q99)),7,IF(ISNUMBER(SEARCH(CE$119,'Reference Score Calculation'!$R99)),5,IF(ISNUMBER(SEARCH($BV$108,'Reference Score Calculation'!$P99)),10,IF(ISNUMBER(SEARCH($BV$108,'Reference Score Calculation'!$Q99)),7,5)))))</f>
        <v>5</v>
      </c>
      <c r="CF122" s="455">
        <f>IF(ISNUMBER(SEARCH(CF$119,'Reference Score Calculation'!$P99)),10,IF(ISNUMBER(SEARCH(CF$119,'Reference Score Calculation'!$Q99)),7,IF(ISNUMBER(SEARCH(CF$119,'Reference Score Calculation'!$R99)),5,IF(ISNUMBER(SEARCH($BV$108,'Reference Score Calculation'!$P99)),10,IF(ISNUMBER(SEARCH($BV$108,'Reference Score Calculation'!$Q99)),7,5)))))</f>
        <v>5</v>
      </c>
      <c r="CG122" s="455">
        <f>IF(ISNUMBER(SEARCH(CG$119,'Reference Score Calculation'!$P99)),10,IF(ISNUMBER(SEARCH(CG$119,'Reference Score Calculation'!$Q99)),7,IF(ISNUMBER(SEARCH(CG$119,'Reference Score Calculation'!$R99)),5,IF(ISNUMBER(SEARCH($BV$108,'Reference Score Calculation'!$P99)),10,IF(ISNUMBER(SEARCH($BV$108,'Reference Score Calculation'!$Q99)),7,5)))))</f>
        <v>7</v>
      </c>
      <c r="CH122" s="455">
        <f>IF(ISNUMBER(SEARCH(CH$119,'Reference Score Calculation'!$P99)),10,IF(ISNUMBER(SEARCH(CH$119,'Reference Score Calculation'!$Q99)),7,IF(ISNUMBER(SEARCH(CH$119,'Reference Score Calculation'!$R99)),5,IF(ISNUMBER(SEARCH($BV$108,'Reference Score Calculation'!$P99)),10,IF(ISNUMBER(SEARCH($BV$108,'Reference Score Calculation'!$Q99)),7,5)))))</f>
        <v>7</v>
      </c>
      <c r="CI122" s="455">
        <f>IF(ISNUMBER(SEARCH(CI$119,'Reference Score Calculation'!$P99)),10,IF(ISNUMBER(SEARCH(CI$119,'Reference Score Calculation'!$Q99)),7,IF(ISNUMBER(SEARCH(CI$119,'Reference Score Calculation'!$R99)),5,IF(ISNUMBER(SEARCH($BV$108,'Reference Score Calculation'!$P99)),10,IF(ISNUMBER(SEARCH($BV$108,'Reference Score Calculation'!$Q99)),7,5)))))</f>
        <v>5</v>
      </c>
      <c r="CJ122" s="455">
        <f>IF(ISNUMBER(SEARCH(CJ$119,'Reference Score Calculation'!$P99)),10,IF(ISNUMBER(SEARCH(CJ$119,'Reference Score Calculation'!$Q99)),7,IF(ISNUMBER(SEARCH(CJ$119,'Reference Score Calculation'!$R99)),5,IF(ISNUMBER(SEARCH($BV$108,'Reference Score Calculation'!$P99)),10,IF(ISNUMBER(SEARCH($BV$108,'Reference Score Calculation'!$Q99)),7,5)))))</f>
        <v>7</v>
      </c>
      <c r="CK122" s="455">
        <f>IF(ISNUMBER(SEARCH(CK$119,'Reference Score Calculation'!$P99)),10,IF(ISNUMBER(SEARCH(CK$119,'Reference Score Calculation'!$Q99)),7,IF(ISNUMBER(SEARCH(CK$119,'Reference Score Calculation'!$R99)),5,IF(ISNUMBER(SEARCH($BV$108,'Reference Score Calculation'!$P99)),10,IF(ISNUMBER(SEARCH($BV$108,'Reference Score Calculation'!$Q99)),7,5)))))</f>
        <v>7</v>
      </c>
      <c r="CL122" s="455">
        <f>IF(ISNUMBER(SEARCH(CL$119,'Reference Score Calculation'!$P99)),10,IF(ISNUMBER(SEARCH(CL$119,'Reference Score Calculation'!$Q99)),7,IF(ISNUMBER(SEARCH(CL$119,'Reference Score Calculation'!$R99)),5,IF(ISNUMBER(SEARCH($BV$108,'Reference Score Calculation'!$P99)),10,IF(ISNUMBER(SEARCH($BV$108,'Reference Score Calculation'!$Q99)),7,5)))))</f>
        <v>7</v>
      </c>
      <c r="CM122" s="455">
        <f>IF(ISNUMBER(SEARCH(CM$119,'Reference Score Calculation'!$P99)),10,IF(ISNUMBER(SEARCH(CM$119,'Reference Score Calculation'!$Q99)),7,IF(ISNUMBER(SEARCH(CM$119,'Reference Score Calculation'!$R99)),5,IF(ISNUMBER(SEARCH($BV$108,'Reference Score Calculation'!$P99)),10,IF(ISNUMBER(SEARCH($BV$108,'Reference Score Calculation'!$Q99)),7,5)))))</f>
        <v>7</v>
      </c>
      <c r="CN122" s="455">
        <f>IF(ISNUMBER(SEARCH(CN$119,'Reference Score Calculation'!$P99)),10,IF(ISNUMBER(SEARCH(CN$119,'Reference Score Calculation'!$Q99)),7,IF(ISNUMBER(SEARCH(CN$119,'Reference Score Calculation'!$R99)),5,IF(ISNUMBER(SEARCH($BV$108,'Reference Score Calculation'!$P99)),10,IF(ISNUMBER(SEARCH($BV$108,'Reference Score Calculation'!$Q99)),7,5)))))</f>
        <v>7</v>
      </c>
      <c r="CO122" s="455">
        <f>IF(ISNUMBER(SEARCH(CO$119,'Reference Score Calculation'!$P99)),10,IF(ISNUMBER(SEARCH(CO$119,'Reference Score Calculation'!$Q99)),7,IF(ISNUMBER(SEARCH(CO$119,'Reference Score Calculation'!$R99)),5,IF(ISNUMBER(SEARCH($BV$108,'Reference Score Calculation'!$P99)),10,IF(ISNUMBER(SEARCH($BV$108,'Reference Score Calculation'!$Q99)),7,5)))))</f>
        <v>7</v>
      </c>
      <c r="CP122" s="455">
        <f>IF(ISNUMBER(SEARCH(CP$119,'Reference Score Calculation'!$P99)),10,IF(ISNUMBER(SEARCH(CP$119,'Reference Score Calculation'!$Q99)),7,IF(ISNUMBER(SEARCH(CP$119,'Reference Score Calculation'!$R99)),5,IF(ISNUMBER(SEARCH($BV$108,'Reference Score Calculation'!$P99)),10,IF(ISNUMBER(SEARCH($BV$108,'Reference Score Calculation'!$Q99)),7,5)))))</f>
        <v>5</v>
      </c>
      <c r="CQ122" s="455">
        <f>IF(ISNUMBER(SEARCH(CQ$119,'Reference Score Calculation'!$P99)),10,IF(ISNUMBER(SEARCH(CQ$119,'Reference Score Calculation'!$Q99)),7,IF(ISNUMBER(SEARCH(CQ$119,'Reference Score Calculation'!$R99)),5,IF(ISNUMBER(SEARCH($BV$108,'Reference Score Calculation'!$P99)),10,IF(ISNUMBER(SEARCH($BV$108,'Reference Score Calculation'!$Q99)),7,5)))))</f>
        <v>5</v>
      </c>
      <c r="CR122" s="455">
        <f>IF(ISNUMBER(SEARCH(CR$119,'Reference Score Calculation'!$P99)),10,IF(ISNUMBER(SEARCH(CR$119,'Reference Score Calculation'!$Q99)),7,IF(ISNUMBER(SEARCH(CR$119,'Reference Score Calculation'!$R99)),5,IF(ISNUMBER(SEARCH($BV$108,'Reference Score Calculation'!$P99)),10,IF(ISNUMBER(SEARCH($BV$108,'Reference Score Calculation'!$Q99)),7,5)))))</f>
        <v>5</v>
      </c>
      <c r="CS122" s="455">
        <f>IF(ISNUMBER(SEARCH(CS$119,'Reference Score Calculation'!$P99)),10,IF(ISNUMBER(SEARCH(CS$119,'Reference Score Calculation'!$Q99)),7,IF(ISNUMBER(SEARCH(CS$119,'Reference Score Calculation'!$R99)),5,IF(ISNUMBER(SEARCH($BV$108,'Reference Score Calculation'!$P99)),10,IF(ISNUMBER(SEARCH($BV$108,'Reference Score Calculation'!$Q99)),7,5)))))</f>
        <v>5</v>
      </c>
      <c r="CT122" s="455">
        <f>IF(ISNUMBER(SEARCH(CT$119,'Reference Score Calculation'!$P99)),10,IF(ISNUMBER(SEARCH(CT$119,'Reference Score Calculation'!$Q99)),7,IF(ISNUMBER(SEARCH(CT$119,'Reference Score Calculation'!$R99)),5,IF(ISNUMBER(SEARCH($BV$108,'Reference Score Calculation'!$P99)),10,IF(ISNUMBER(SEARCH($BV$108,'Reference Score Calculation'!$Q99)),7,5)))))</f>
        <v>5</v>
      </c>
      <c r="CU122" s="455">
        <f>IF(ISNUMBER(SEARCH(CU$119,'Reference Score Calculation'!$P99)),10,IF(ISNUMBER(SEARCH(CU$119,'Reference Score Calculation'!$Q99)),7,IF(ISNUMBER(SEARCH(CU$119,'Reference Score Calculation'!$R99)),5,IF(ISNUMBER(SEARCH($BV$108,'Reference Score Calculation'!$P99)),10,IF(ISNUMBER(SEARCH($BV$108,'Reference Score Calculation'!$Q99)),7,5)))))</f>
        <v>5</v>
      </c>
      <c r="CV122" s="455">
        <f>IF(ISNUMBER(SEARCH(CV$119,'Reference Score Calculation'!$P99)),10,IF(ISNUMBER(SEARCH(CV$119,'Reference Score Calculation'!$Q99)),7,IF(ISNUMBER(SEARCH(CV$119,'Reference Score Calculation'!$R99)),5,IF(ISNUMBER(SEARCH($BV$108,'Reference Score Calculation'!$P99)),10,IF(ISNUMBER(SEARCH($BV$108,'Reference Score Calculation'!$Q99)),7,5)))))</f>
        <v>7</v>
      </c>
      <c r="CW122" s="185"/>
      <c r="CX122" s="185"/>
      <c r="CY122" s="185"/>
    </row>
    <row r="123" spans="1:104">
      <c r="A123" s="117" t="s">
        <v>2718</v>
      </c>
      <c r="B123" s="459" t="str">
        <f>'Reference Score Calculation'!B100</f>
        <v>JS3004</v>
      </c>
      <c r="C123" s="117" t="str">
        <f>'Reference Score Calculation'!E100</f>
        <v>建設及環境組合學士課程</v>
      </c>
      <c r="D123" s="117" t="str">
        <f>'Reference Score Calculation'!F108</f>
        <v>Best 5</v>
      </c>
      <c r="E123" s="131" t="str">
        <f>'Reference Score Calculation'!F100</f>
        <v>25年新科目</v>
      </c>
      <c r="F123" s="131"/>
      <c r="G123" s="117" t="str">
        <f>入學要求!AB109</f>
        <v>v</v>
      </c>
      <c r="H123" s="117" t="str">
        <f>入學要求!AC109</f>
        <v>E</v>
      </c>
      <c r="I123" s="117" t="str">
        <f>入學要求!AD109</f>
        <v>NO</v>
      </c>
      <c r="J123" s="117">
        <f t="shared" si="211"/>
        <v>1.07E-8</v>
      </c>
      <c r="K123" s="117">
        <f t="shared" si="212"/>
        <v>7</v>
      </c>
      <c r="L123" s="117">
        <f t="shared" si="212"/>
        <v>10</v>
      </c>
      <c r="M123" s="117">
        <f t="shared" si="212"/>
        <v>10</v>
      </c>
      <c r="N123" s="117">
        <f t="shared" si="212"/>
        <v>0</v>
      </c>
      <c r="O123" s="117">
        <f t="shared" si="212"/>
        <v>10</v>
      </c>
      <c r="P123" s="117">
        <f t="shared" si="212"/>
        <v>0</v>
      </c>
      <c r="Q123" s="117">
        <f t="shared" si="212"/>
        <v>0</v>
      </c>
      <c r="R123" s="117">
        <f t="shared" si="212"/>
        <v>0</v>
      </c>
      <c r="S123" s="117">
        <f t="shared" si="212"/>
        <v>0</v>
      </c>
      <c r="T123" s="117">
        <v>5</v>
      </c>
      <c r="V123" s="117">
        <f t="shared" si="224"/>
        <v>7.0000000000000006E-10</v>
      </c>
      <c r="W123" s="117">
        <f t="shared" si="225"/>
        <v>2.0000000000000001E-9</v>
      </c>
      <c r="X123" s="117">
        <f t="shared" si="226"/>
        <v>3E-9</v>
      </c>
      <c r="Z123" s="117">
        <f t="shared" si="227"/>
        <v>5.0000000000000001E-9</v>
      </c>
      <c r="AA123" s="117">
        <f t="shared" si="228"/>
        <v>0</v>
      </c>
      <c r="AB123" s="117">
        <f t="shared" si="229"/>
        <v>0</v>
      </c>
      <c r="AC123" s="117">
        <f t="shared" si="230"/>
        <v>0</v>
      </c>
      <c r="AD123" s="117">
        <f t="shared" si="231"/>
        <v>0</v>
      </c>
      <c r="AE123" s="117">
        <f t="shared" si="232"/>
        <v>0</v>
      </c>
      <c r="AF123" s="117">
        <f t="shared" si="213"/>
        <v>7.0000000000000006E-10</v>
      </c>
      <c r="AG123" s="117">
        <f t="shared" si="214"/>
        <v>2.0000000000000001E-9</v>
      </c>
      <c r="AH123" s="117">
        <f t="shared" si="215"/>
        <v>3E-9</v>
      </c>
      <c r="AI123" s="117">
        <f t="shared" si="216"/>
        <v>0</v>
      </c>
      <c r="AJ123" s="117">
        <f t="shared" si="217"/>
        <v>5.0000000000000001E-9</v>
      </c>
      <c r="AK123" s="117">
        <f t="shared" si="218"/>
        <v>0</v>
      </c>
      <c r="AL123" s="117">
        <f t="shared" si="219"/>
        <v>0</v>
      </c>
      <c r="AM123" s="117">
        <f t="shared" si="220"/>
        <v>0</v>
      </c>
      <c r="AN123" s="117">
        <f t="shared" si="221"/>
        <v>0</v>
      </c>
      <c r="AO123" s="117">
        <f t="shared" si="222"/>
        <v>0</v>
      </c>
      <c r="AP123" s="117" t="b">
        <f t="shared" si="233"/>
        <v>1</v>
      </c>
      <c r="AQ123" s="117" t="b">
        <f t="shared" si="234"/>
        <v>1</v>
      </c>
      <c r="AR123" s="117" t="b">
        <f t="shared" si="235"/>
        <v>1</v>
      </c>
      <c r="AT123" s="117" t="b">
        <f t="shared" si="236"/>
        <v>1</v>
      </c>
      <c r="AU123" s="117" t="b">
        <f t="shared" si="237"/>
        <v>0</v>
      </c>
      <c r="AV123" s="117" t="b">
        <f t="shared" si="238"/>
        <v>0</v>
      </c>
      <c r="AW123" s="117" t="b">
        <f t="shared" si="239"/>
        <v>0</v>
      </c>
      <c r="AX123" s="117" t="b">
        <f t="shared" si="240"/>
        <v>0</v>
      </c>
      <c r="AY123" s="117" t="b">
        <f t="shared" si="241"/>
        <v>0</v>
      </c>
      <c r="BA123" s="2"/>
      <c r="BB123" s="2"/>
      <c r="BC123" s="2"/>
      <c r="BD123" s="2"/>
      <c r="BE123" s="2"/>
      <c r="BF123" s="2"/>
      <c r="BG123" s="2"/>
      <c r="BH123" s="2"/>
      <c r="BI123" s="2"/>
      <c r="BJ123" s="2"/>
      <c r="BK123" s="2"/>
      <c r="BL123" s="2"/>
      <c r="BM123" s="2"/>
      <c r="BN123" s="2"/>
      <c r="BO123" s="2"/>
      <c r="BP123" s="2"/>
      <c r="BQ123" s="2"/>
      <c r="BR123" s="2"/>
      <c r="BS123" s="185" t="str">
        <f>'Reference Score Calculation'!B100</f>
        <v>JS3004</v>
      </c>
      <c r="BT123" s="185"/>
      <c r="BU123" s="455">
        <f>IF(ISNUMBER(SEARCH(BU$119,'Reference Score Calculation'!$P100)),10,IF(ISNUMBER(SEARCH(BU$119,'Reference Score Calculation'!$Q100)),7,IF(ISNUMBER(SEARCH(BU$119,'Reference Score Calculation'!$R100)),5,IF(ISNUMBER(SEARCH($BV$108,'Reference Score Calculation'!$P100)),10,IF(ISNUMBER(SEARCH($BV$108,'Reference Score Calculation'!$Q100)),7,5)))))</f>
        <v>7</v>
      </c>
      <c r="BV123" s="455">
        <f>IF(ISNUMBER(SEARCH(BV$119,'Reference Score Calculation'!$P100)),10,IF(ISNUMBER(SEARCH(BV$119,'Reference Score Calculation'!$Q100)),7,IF(ISNUMBER(SEARCH(BV$119,'Reference Score Calculation'!$R100)),5,IF(ISNUMBER(SEARCH($BV$108,'Reference Score Calculation'!$P100)),10,IF(ISNUMBER(SEARCH($BV$108,'Reference Score Calculation'!$Q100)),7,5)))))</f>
        <v>10</v>
      </c>
      <c r="BW123" s="455">
        <f>IF(ISNUMBER(SEARCH(BW$119,'Reference Score Calculation'!$P100)),10,IF(ISNUMBER(SEARCH(BW$119,'Reference Score Calculation'!$Q100)),7,IF(ISNUMBER(SEARCH(BW$119,'Reference Score Calculation'!$R100)),5,IF(ISNUMBER(SEARCH($BV$108,'Reference Score Calculation'!$P100)),10,IF(ISNUMBER(SEARCH($BV$108,'Reference Score Calculation'!$Q100)),7,5)))))</f>
        <v>10</v>
      </c>
      <c r="BX123" s="455">
        <f>IF(ISNUMBER(SEARCH(BX$119,'Reference Score Calculation'!$P100)),10,IF(ISNUMBER(SEARCH(BX$119,'Reference Score Calculation'!$Q100)),7,IF(ISNUMBER(SEARCH(BX$119,'Reference Score Calculation'!$R100)),5,IF(ISNUMBER(SEARCH($BV$108,'Reference Score Calculation'!$P100)),10,IF(ISNUMBER(SEARCH($BV$108,'Reference Score Calculation'!$Q100)),7,5)))))</f>
        <v>7</v>
      </c>
      <c r="BY123" s="455">
        <f>IF(ISNUMBER(SEARCH(BY$119,'Reference Score Calculation'!$P100)),10,IF(ISNUMBER(SEARCH(BY$119,'Reference Score Calculation'!$Q100)),7,IF(ISNUMBER(SEARCH(BY$119,'Reference Score Calculation'!$R100)),5,IF(ISNUMBER(SEARCH($BV$108,'Reference Score Calculation'!$P100)),10,IF(ISNUMBER(SEARCH($BV$108,'Reference Score Calculation'!$Q100)),7,5)))))</f>
        <v>10</v>
      </c>
      <c r="BZ123" s="455">
        <f>IF(ISNUMBER(SEARCH(BZ$119,'Reference Score Calculation'!$P100)),10,IF(ISNUMBER(SEARCH(BZ$119,'Reference Score Calculation'!$Q100)),7,IF(ISNUMBER(SEARCH(BZ$119,'Reference Score Calculation'!$R100)),5,IF(ISNUMBER(SEARCH($BV$108,'Reference Score Calculation'!$P100)),10,IF(ISNUMBER(SEARCH($BV$108,'Reference Score Calculation'!$Q100)),7,5)))))</f>
        <v>10</v>
      </c>
      <c r="CA123" s="455">
        <f>IF(ISNUMBER(SEARCH(CA$119,'Reference Score Calculation'!$P100)),10,IF(ISNUMBER(SEARCH(CA$119,'Reference Score Calculation'!$Q100)),7,IF(ISNUMBER(SEARCH(CA$119,'Reference Score Calculation'!$R100)),5,IF(ISNUMBER(SEARCH($BV$108,'Reference Score Calculation'!$P100)),10,IF(ISNUMBER(SEARCH($BV$108,'Reference Score Calculation'!$Q100)),7,5)))))</f>
        <v>7</v>
      </c>
      <c r="CB123" s="455">
        <f>IF(ISNUMBER(SEARCH(CB$119,'Reference Score Calculation'!$P100)),10,IF(ISNUMBER(SEARCH(CB$119,'Reference Score Calculation'!$Q100)),7,IF(ISNUMBER(SEARCH(CB$119,'Reference Score Calculation'!$R100)),5,IF(ISNUMBER(SEARCH($BV$108,'Reference Score Calculation'!$P100)),10,IF(ISNUMBER(SEARCH($BV$108,'Reference Score Calculation'!$Q100)),7,5)))))</f>
        <v>7</v>
      </c>
      <c r="CC123" s="455">
        <f>IF(ISNUMBER(SEARCH(CC$119,'Reference Score Calculation'!$P100)),10,IF(ISNUMBER(SEARCH(CC$119,'Reference Score Calculation'!$Q100)),7,IF(ISNUMBER(SEARCH(CC$119,'Reference Score Calculation'!$R100)),5,IF(ISNUMBER(SEARCH($BV$108,'Reference Score Calculation'!$P100)),10,IF(ISNUMBER(SEARCH($BV$108,'Reference Score Calculation'!$Q100)),7,5)))))</f>
        <v>7</v>
      </c>
      <c r="CD123" s="455">
        <f>IF(ISNUMBER(SEARCH(CD$119,'Reference Score Calculation'!$P100)),10,IF(ISNUMBER(SEARCH(CD$119,'Reference Score Calculation'!$Q100)),7,IF(ISNUMBER(SEARCH(CD$119,'Reference Score Calculation'!$R100)),5,IF(ISNUMBER(SEARCH($BV$108,'Reference Score Calculation'!$P100)),10,IF(ISNUMBER(SEARCH($BV$108,'Reference Score Calculation'!$Q100)),7,5)))))</f>
        <v>10</v>
      </c>
      <c r="CE123" s="455">
        <f>IF(ISNUMBER(SEARCH(CE$119,'Reference Score Calculation'!$P100)),10,IF(ISNUMBER(SEARCH(CE$119,'Reference Score Calculation'!$Q100)),7,IF(ISNUMBER(SEARCH(CE$119,'Reference Score Calculation'!$R100)),5,IF(ISNUMBER(SEARCH($BV$108,'Reference Score Calculation'!$P100)),10,IF(ISNUMBER(SEARCH($BV$108,'Reference Score Calculation'!$Q100)),7,5)))))</f>
        <v>5</v>
      </c>
      <c r="CF123" s="455">
        <f>IF(ISNUMBER(SEARCH(CF$119,'Reference Score Calculation'!$P100)),10,IF(ISNUMBER(SEARCH(CF$119,'Reference Score Calculation'!$Q100)),7,IF(ISNUMBER(SEARCH(CF$119,'Reference Score Calculation'!$R100)),5,IF(ISNUMBER(SEARCH($BV$108,'Reference Score Calculation'!$P100)),10,IF(ISNUMBER(SEARCH($BV$108,'Reference Score Calculation'!$Q100)),7,5)))))</f>
        <v>5</v>
      </c>
      <c r="CG123" s="455">
        <f>IF(ISNUMBER(SEARCH(CG$119,'Reference Score Calculation'!$P100)),10,IF(ISNUMBER(SEARCH(CG$119,'Reference Score Calculation'!$Q100)),7,IF(ISNUMBER(SEARCH(CG$119,'Reference Score Calculation'!$R100)),5,IF(ISNUMBER(SEARCH($BV$108,'Reference Score Calculation'!$P100)),10,IF(ISNUMBER(SEARCH($BV$108,'Reference Score Calculation'!$Q100)),7,5)))))</f>
        <v>5</v>
      </c>
      <c r="CH123" s="455">
        <f>IF(ISNUMBER(SEARCH(CH$119,'Reference Score Calculation'!$P100)),10,IF(ISNUMBER(SEARCH(CH$119,'Reference Score Calculation'!$Q100)),7,IF(ISNUMBER(SEARCH(CH$119,'Reference Score Calculation'!$R100)),5,IF(ISNUMBER(SEARCH($BV$108,'Reference Score Calculation'!$P100)),10,IF(ISNUMBER(SEARCH($BV$108,'Reference Score Calculation'!$Q100)),7,5)))))</f>
        <v>5</v>
      </c>
      <c r="CI123" s="455">
        <f>IF(ISNUMBER(SEARCH(CI$119,'Reference Score Calculation'!$P100)),10,IF(ISNUMBER(SEARCH(CI$119,'Reference Score Calculation'!$Q100)),7,IF(ISNUMBER(SEARCH(CI$119,'Reference Score Calculation'!$R100)),5,IF(ISNUMBER(SEARCH($BV$108,'Reference Score Calculation'!$P100)),10,IF(ISNUMBER(SEARCH($BV$108,'Reference Score Calculation'!$Q100)),7,5)))))</f>
        <v>5</v>
      </c>
      <c r="CJ123" s="455">
        <f>IF(ISNUMBER(SEARCH(CJ$119,'Reference Score Calculation'!$P100)),10,IF(ISNUMBER(SEARCH(CJ$119,'Reference Score Calculation'!$Q100)),7,IF(ISNUMBER(SEARCH(CJ$119,'Reference Score Calculation'!$R100)),5,IF(ISNUMBER(SEARCH($BV$108,'Reference Score Calculation'!$P100)),10,IF(ISNUMBER(SEARCH($BV$108,'Reference Score Calculation'!$Q100)),7,5)))))</f>
        <v>10</v>
      </c>
      <c r="CK123" s="455">
        <f>IF(ISNUMBER(SEARCH(CK$119,'Reference Score Calculation'!$P100)),10,IF(ISNUMBER(SEARCH(CK$119,'Reference Score Calculation'!$Q100)),7,IF(ISNUMBER(SEARCH(CK$119,'Reference Score Calculation'!$R100)),5,IF(ISNUMBER(SEARCH($BV$108,'Reference Score Calculation'!$P100)),10,IF(ISNUMBER(SEARCH($BV$108,'Reference Score Calculation'!$Q100)),7,5)))))</f>
        <v>7</v>
      </c>
      <c r="CL123" s="455">
        <f>IF(ISNUMBER(SEARCH(CL$119,'Reference Score Calculation'!$P100)),10,IF(ISNUMBER(SEARCH(CL$119,'Reference Score Calculation'!$Q100)),7,IF(ISNUMBER(SEARCH(CL$119,'Reference Score Calculation'!$R100)),5,IF(ISNUMBER(SEARCH($BV$108,'Reference Score Calculation'!$P100)),10,IF(ISNUMBER(SEARCH($BV$108,'Reference Score Calculation'!$Q100)),7,5)))))</f>
        <v>7</v>
      </c>
      <c r="CM123" s="455">
        <f>IF(ISNUMBER(SEARCH(CM$119,'Reference Score Calculation'!$P100)),10,IF(ISNUMBER(SEARCH(CM$119,'Reference Score Calculation'!$Q100)),7,IF(ISNUMBER(SEARCH(CM$119,'Reference Score Calculation'!$R100)),5,IF(ISNUMBER(SEARCH($BV$108,'Reference Score Calculation'!$P100)),10,IF(ISNUMBER(SEARCH($BV$108,'Reference Score Calculation'!$Q100)),7,5)))))</f>
        <v>7</v>
      </c>
      <c r="CN123" s="455">
        <f>IF(ISNUMBER(SEARCH(CN$119,'Reference Score Calculation'!$P100)),10,IF(ISNUMBER(SEARCH(CN$119,'Reference Score Calculation'!$Q100)),7,IF(ISNUMBER(SEARCH(CN$119,'Reference Score Calculation'!$R100)),5,IF(ISNUMBER(SEARCH($BV$108,'Reference Score Calculation'!$P100)),10,IF(ISNUMBER(SEARCH($BV$108,'Reference Score Calculation'!$Q100)),7,5)))))</f>
        <v>5</v>
      </c>
      <c r="CO123" s="455">
        <f>IF(ISNUMBER(SEARCH(CO$119,'Reference Score Calculation'!$P100)),10,IF(ISNUMBER(SEARCH(CO$119,'Reference Score Calculation'!$Q100)),7,IF(ISNUMBER(SEARCH(CO$119,'Reference Score Calculation'!$R100)),5,IF(ISNUMBER(SEARCH($BV$108,'Reference Score Calculation'!$P100)),10,IF(ISNUMBER(SEARCH($BV$108,'Reference Score Calculation'!$Q100)),7,5)))))</f>
        <v>5</v>
      </c>
      <c r="CP123" s="455">
        <f>IF(ISNUMBER(SEARCH(CP$119,'Reference Score Calculation'!$P100)),10,IF(ISNUMBER(SEARCH(CP$119,'Reference Score Calculation'!$Q100)),7,IF(ISNUMBER(SEARCH(CP$119,'Reference Score Calculation'!$R100)),5,IF(ISNUMBER(SEARCH($BV$108,'Reference Score Calculation'!$P100)),10,IF(ISNUMBER(SEARCH($BV$108,'Reference Score Calculation'!$Q100)),7,5)))))</f>
        <v>5</v>
      </c>
      <c r="CQ123" s="455">
        <f>IF(ISNUMBER(SEARCH(CQ$119,'Reference Score Calculation'!$P100)),10,IF(ISNUMBER(SEARCH(CQ$119,'Reference Score Calculation'!$Q100)),7,IF(ISNUMBER(SEARCH(CQ$119,'Reference Score Calculation'!$R100)),5,IF(ISNUMBER(SEARCH($BV$108,'Reference Score Calculation'!$P100)),10,IF(ISNUMBER(SEARCH($BV$108,'Reference Score Calculation'!$Q100)),7,5)))))</f>
        <v>5</v>
      </c>
      <c r="CR123" s="455">
        <f>IF(ISNUMBER(SEARCH(CR$119,'Reference Score Calculation'!$P100)),10,IF(ISNUMBER(SEARCH(CR$119,'Reference Score Calculation'!$Q100)),7,IF(ISNUMBER(SEARCH(CR$119,'Reference Score Calculation'!$R100)),5,IF(ISNUMBER(SEARCH($BV$108,'Reference Score Calculation'!$P100)),10,IF(ISNUMBER(SEARCH($BV$108,'Reference Score Calculation'!$Q100)),7,5)))))</f>
        <v>5</v>
      </c>
      <c r="CS123" s="455">
        <f>IF(ISNUMBER(SEARCH(CS$119,'Reference Score Calculation'!$P100)),10,IF(ISNUMBER(SEARCH(CS$119,'Reference Score Calculation'!$Q100)),7,IF(ISNUMBER(SEARCH(CS$119,'Reference Score Calculation'!$R100)),5,IF(ISNUMBER(SEARCH($BV$108,'Reference Score Calculation'!$P100)),10,IF(ISNUMBER(SEARCH($BV$108,'Reference Score Calculation'!$Q100)),7,5)))))</f>
        <v>10</v>
      </c>
      <c r="CT123" s="455">
        <f>IF(ISNUMBER(SEARCH(CT$119,'Reference Score Calculation'!$P100)),10,IF(ISNUMBER(SEARCH(CT$119,'Reference Score Calculation'!$Q100)),7,IF(ISNUMBER(SEARCH(CT$119,'Reference Score Calculation'!$R100)),5,IF(ISNUMBER(SEARCH($BV$108,'Reference Score Calculation'!$P100)),10,IF(ISNUMBER(SEARCH($BV$108,'Reference Score Calculation'!$Q100)),7,5)))))</f>
        <v>7</v>
      </c>
      <c r="CU123" s="455">
        <f>IF(ISNUMBER(SEARCH(CU$119,'Reference Score Calculation'!$P100)),10,IF(ISNUMBER(SEARCH(CU$119,'Reference Score Calculation'!$Q100)),7,IF(ISNUMBER(SEARCH(CU$119,'Reference Score Calculation'!$R100)),5,IF(ISNUMBER(SEARCH($BV$108,'Reference Score Calculation'!$P100)),10,IF(ISNUMBER(SEARCH($BV$108,'Reference Score Calculation'!$Q100)),7,5)))))</f>
        <v>5</v>
      </c>
      <c r="CV123" s="455">
        <f>IF(ISNUMBER(SEARCH(CV$119,'Reference Score Calculation'!$P100)),10,IF(ISNUMBER(SEARCH(CV$119,'Reference Score Calculation'!$Q100)),7,IF(ISNUMBER(SEARCH(CV$119,'Reference Score Calculation'!$R100)),5,IF(ISNUMBER(SEARCH($BV$108,'Reference Score Calculation'!$P100)),10,IF(ISNUMBER(SEARCH($BV$108,'Reference Score Calculation'!$Q100)),7,5)))))</f>
        <v>7</v>
      </c>
      <c r="CW123" s="185"/>
      <c r="CX123" s="185"/>
      <c r="CY123" s="185"/>
    </row>
    <row r="124" spans="1:104">
      <c r="A124" s="117" t="s">
        <v>2721</v>
      </c>
      <c r="B124" s="459" t="str">
        <f>'Reference Score Calculation'!B101</f>
        <v>JS3005</v>
      </c>
      <c r="C124" s="117" t="str">
        <f>'Reference Score Calculation'!E101</f>
        <v>工程學科組合學士課程</v>
      </c>
      <c r="D124" s="117" t="str">
        <f>'Reference Score Calculation'!F109</f>
        <v>Best 5</v>
      </c>
      <c r="E124" s="131" t="str">
        <f>'Reference Score Calculation'!F101</f>
        <v>25年新科目</v>
      </c>
      <c r="F124" s="131"/>
      <c r="G124" s="117" t="str">
        <f>入學要求!AB110</f>
        <v>v</v>
      </c>
      <c r="H124" s="117" t="str">
        <f>入學要求!AC110</f>
        <v>E</v>
      </c>
      <c r="I124" s="117" t="str">
        <f>入學要求!AD110</f>
        <v>v</v>
      </c>
      <c r="J124" s="117">
        <f t="shared" si="211"/>
        <v>1.07E-8</v>
      </c>
      <c r="K124" s="117">
        <f t="shared" si="212"/>
        <v>7</v>
      </c>
      <c r="L124" s="117">
        <f t="shared" si="212"/>
        <v>10</v>
      </c>
      <c r="M124" s="117">
        <f t="shared" si="212"/>
        <v>10</v>
      </c>
      <c r="N124" s="117">
        <f t="shared" si="212"/>
        <v>0</v>
      </c>
      <c r="O124" s="117">
        <f t="shared" si="212"/>
        <v>10</v>
      </c>
      <c r="P124" s="117">
        <f t="shared" si="212"/>
        <v>0</v>
      </c>
      <c r="Q124" s="117">
        <f t="shared" si="212"/>
        <v>0</v>
      </c>
      <c r="R124" s="117">
        <f t="shared" si="212"/>
        <v>0</v>
      </c>
      <c r="S124" s="117">
        <f t="shared" si="212"/>
        <v>0</v>
      </c>
      <c r="T124" s="117">
        <v>5</v>
      </c>
      <c r="V124" s="117">
        <f t="shared" si="224"/>
        <v>7.0000000000000006E-10</v>
      </c>
      <c r="W124" s="117">
        <f t="shared" si="225"/>
        <v>2.0000000000000001E-9</v>
      </c>
      <c r="X124" s="117">
        <f t="shared" si="226"/>
        <v>3E-9</v>
      </c>
      <c r="Z124" s="117">
        <f t="shared" si="227"/>
        <v>5.0000000000000001E-9</v>
      </c>
      <c r="AA124" s="117">
        <f t="shared" si="228"/>
        <v>0</v>
      </c>
      <c r="AB124" s="117">
        <f t="shared" si="229"/>
        <v>0</v>
      </c>
      <c r="AC124" s="117">
        <f t="shared" si="230"/>
        <v>0</v>
      </c>
      <c r="AD124" s="117">
        <f t="shared" si="231"/>
        <v>0</v>
      </c>
      <c r="AE124" s="117">
        <f t="shared" si="232"/>
        <v>0</v>
      </c>
      <c r="AF124" s="117">
        <f t="shared" si="213"/>
        <v>7.0000000000000006E-10</v>
      </c>
      <c r="AG124" s="117">
        <f t="shared" si="214"/>
        <v>2.0000000000000001E-9</v>
      </c>
      <c r="AH124" s="117">
        <f t="shared" si="215"/>
        <v>3E-9</v>
      </c>
      <c r="AI124" s="117">
        <f t="shared" si="216"/>
        <v>0</v>
      </c>
      <c r="AJ124" s="117">
        <f t="shared" si="217"/>
        <v>5.0000000000000001E-9</v>
      </c>
      <c r="AK124" s="117">
        <f t="shared" si="218"/>
        <v>0</v>
      </c>
      <c r="AL124" s="117">
        <f t="shared" si="219"/>
        <v>0</v>
      </c>
      <c r="AM124" s="117">
        <f t="shared" si="220"/>
        <v>0</v>
      </c>
      <c r="AN124" s="117">
        <f t="shared" si="221"/>
        <v>0</v>
      </c>
      <c r="AO124" s="117">
        <f t="shared" si="222"/>
        <v>0</v>
      </c>
      <c r="AP124" s="117" t="b">
        <f t="shared" si="233"/>
        <v>1</v>
      </c>
      <c r="AQ124" s="117" t="b">
        <f t="shared" si="234"/>
        <v>1</v>
      </c>
      <c r="AR124" s="117" t="b">
        <f t="shared" si="235"/>
        <v>1</v>
      </c>
      <c r="AT124" s="117" t="b">
        <f t="shared" si="236"/>
        <v>1</v>
      </c>
      <c r="AU124" s="117" t="b">
        <f t="shared" si="237"/>
        <v>0</v>
      </c>
      <c r="AV124" s="117" t="b">
        <f t="shared" si="238"/>
        <v>0</v>
      </c>
      <c r="AW124" s="117" t="b">
        <f t="shared" si="239"/>
        <v>0</v>
      </c>
      <c r="AX124" s="117" t="b">
        <f t="shared" si="240"/>
        <v>0</v>
      </c>
      <c r="AY124" s="117" t="b">
        <f t="shared" si="241"/>
        <v>0</v>
      </c>
      <c r="BA124" s="2"/>
      <c r="BB124" s="2"/>
      <c r="BC124" s="2"/>
      <c r="BD124" s="2"/>
      <c r="BE124" s="2"/>
      <c r="BF124" s="2"/>
      <c r="BG124" s="2"/>
      <c r="BH124" s="2"/>
      <c r="BI124" s="2"/>
      <c r="BJ124" s="2"/>
      <c r="BK124" s="2"/>
      <c r="BL124" s="2"/>
      <c r="BM124" s="2"/>
      <c r="BN124" s="2"/>
      <c r="BO124" s="2"/>
      <c r="BP124" s="2"/>
      <c r="BQ124" s="2"/>
      <c r="BR124" s="2"/>
      <c r="BS124" s="185" t="str">
        <f>'Reference Score Calculation'!B101</f>
        <v>JS3005</v>
      </c>
      <c r="BT124" s="185"/>
      <c r="BU124" s="455">
        <f>IF(ISNUMBER(SEARCH(BU$119,'Reference Score Calculation'!$P101)),10,IF(ISNUMBER(SEARCH(BU$119,'Reference Score Calculation'!$Q101)),7,IF(ISNUMBER(SEARCH(BU$119,'Reference Score Calculation'!$R101)),5,IF(ISNUMBER(SEARCH($BV$108,'Reference Score Calculation'!$P101)),10,IF(ISNUMBER(SEARCH($BV$108,'Reference Score Calculation'!$Q101)),7,5)))))</f>
        <v>7</v>
      </c>
      <c r="BV124" s="455">
        <f>IF(ISNUMBER(SEARCH(BV$119,'Reference Score Calculation'!$P101)),10,IF(ISNUMBER(SEARCH(BV$119,'Reference Score Calculation'!$Q101)),7,IF(ISNUMBER(SEARCH(BV$119,'Reference Score Calculation'!$R101)),5,IF(ISNUMBER(SEARCH($BV$108,'Reference Score Calculation'!$P101)),10,IF(ISNUMBER(SEARCH($BV$108,'Reference Score Calculation'!$Q101)),7,5)))))</f>
        <v>10</v>
      </c>
      <c r="BW124" s="455">
        <f>IF(ISNUMBER(SEARCH(BW$119,'Reference Score Calculation'!$P101)),10,IF(ISNUMBER(SEARCH(BW$119,'Reference Score Calculation'!$Q101)),7,IF(ISNUMBER(SEARCH(BW$119,'Reference Score Calculation'!$R101)),5,IF(ISNUMBER(SEARCH($BV$108,'Reference Score Calculation'!$P101)),10,IF(ISNUMBER(SEARCH($BV$108,'Reference Score Calculation'!$Q101)),7,5)))))</f>
        <v>10</v>
      </c>
      <c r="BX124" s="455">
        <f>IF(ISNUMBER(SEARCH(BX$119,'Reference Score Calculation'!$P101)),10,IF(ISNUMBER(SEARCH(BX$119,'Reference Score Calculation'!$Q101)),7,IF(ISNUMBER(SEARCH(BX$119,'Reference Score Calculation'!$R101)),5,IF(ISNUMBER(SEARCH($BV$108,'Reference Score Calculation'!$P101)),10,IF(ISNUMBER(SEARCH($BV$108,'Reference Score Calculation'!$Q101)),7,5)))))</f>
        <v>5</v>
      </c>
      <c r="BY124" s="455">
        <f>IF(ISNUMBER(SEARCH(BY$119,'Reference Score Calculation'!$P101)),10,IF(ISNUMBER(SEARCH(BY$119,'Reference Score Calculation'!$Q101)),7,IF(ISNUMBER(SEARCH(BY$119,'Reference Score Calculation'!$R101)),5,IF(ISNUMBER(SEARCH($BV$108,'Reference Score Calculation'!$P101)),10,IF(ISNUMBER(SEARCH($BV$108,'Reference Score Calculation'!$Q101)),7,5)))))</f>
        <v>10</v>
      </c>
      <c r="BZ124" s="455">
        <f>IF(ISNUMBER(SEARCH(BZ$119,'Reference Score Calculation'!$P101)),10,IF(ISNUMBER(SEARCH(BZ$119,'Reference Score Calculation'!$Q101)),7,IF(ISNUMBER(SEARCH(BZ$119,'Reference Score Calculation'!$R101)),5,IF(ISNUMBER(SEARCH($BV$108,'Reference Score Calculation'!$P101)),10,IF(ISNUMBER(SEARCH($BV$108,'Reference Score Calculation'!$Q101)),7,5)))))</f>
        <v>10</v>
      </c>
      <c r="CA124" s="455">
        <f>IF(ISNUMBER(SEARCH(CA$119,'Reference Score Calculation'!$P101)),10,IF(ISNUMBER(SEARCH(CA$119,'Reference Score Calculation'!$Q101)),7,IF(ISNUMBER(SEARCH(CA$119,'Reference Score Calculation'!$R101)),5,IF(ISNUMBER(SEARCH($BV$108,'Reference Score Calculation'!$P101)),10,IF(ISNUMBER(SEARCH($BV$108,'Reference Score Calculation'!$Q101)),7,5)))))</f>
        <v>10</v>
      </c>
      <c r="CB124" s="455">
        <f>IF(ISNUMBER(SEARCH(CB$119,'Reference Score Calculation'!$P101)),10,IF(ISNUMBER(SEARCH(CB$119,'Reference Score Calculation'!$Q101)),7,IF(ISNUMBER(SEARCH(CB$119,'Reference Score Calculation'!$R101)),5,IF(ISNUMBER(SEARCH($BV$108,'Reference Score Calculation'!$P101)),10,IF(ISNUMBER(SEARCH($BV$108,'Reference Score Calculation'!$Q101)),7,5)))))</f>
        <v>10</v>
      </c>
      <c r="CC124" s="455">
        <f>IF(ISNUMBER(SEARCH(CC$119,'Reference Score Calculation'!$P101)),10,IF(ISNUMBER(SEARCH(CC$119,'Reference Score Calculation'!$Q101)),7,IF(ISNUMBER(SEARCH(CC$119,'Reference Score Calculation'!$R101)),5,IF(ISNUMBER(SEARCH($BV$108,'Reference Score Calculation'!$P101)),10,IF(ISNUMBER(SEARCH($BV$108,'Reference Score Calculation'!$Q101)),7,5)))))</f>
        <v>10</v>
      </c>
      <c r="CD124" s="455">
        <f>IF(ISNUMBER(SEARCH(CD$119,'Reference Score Calculation'!$P101)),10,IF(ISNUMBER(SEARCH(CD$119,'Reference Score Calculation'!$Q101)),7,IF(ISNUMBER(SEARCH(CD$119,'Reference Score Calculation'!$R101)),5,IF(ISNUMBER(SEARCH($BV$108,'Reference Score Calculation'!$P101)),10,IF(ISNUMBER(SEARCH($BV$108,'Reference Score Calculation'!$Q101)),7,5)))))</f>
        <v>7</v>
      </c>
      <c r="CE124" s="455">
        <f>IF(ISNUMBER(SEARCH(CE$119,'Reference Score Calculation'!$P101)),10,IF(ISNUMBER(SEARCH(CE$119,'Reference Score Calculation'!$Q101)),7,IF(ISNUMBER(SEARCH(CE$119,'Reference Score Calculation'!$R101)),5,IF(ISNUMBER(SEARCH($BV$108,'Reference Score Calculation'!$P101)),10,IF(ISNUMBER(SEARCH($BV$108,'Reference Score Calculation'!$Q101)),7,5)))))</f>
        <v>5</v>
      </c>
      <c r="CF124" s="455">
        <f>IF(ISNUMBER(SEARCH(CF$119,'Reference Score Calculation'!$P101)),10,IF(ISNUMBER(SEARCH(CF$119,'Reference Score Calculation'!$Q101)),7,IF(ISNUMBER(SEARCH(CF$119,'Reference Score Calculation'!$R101)),5,IF(ISNUMBER(SEARCH($BV$108,'Reference Score Calculation'!$P101)),10,IF(ISNUMBER(SEARCH($BV$108,'Reference Score Calculation'!$Q101)),7,5)))))</f>
        <v>5</v>
      </c>
      <c r="CG124" s="455">
        <f>IF(ISNUMBER(SEARCH(CG$119,'Reference Score Calculation'!$P101)),10,IF(ISNUMBER(SEARCH(CG$119,'Reference Score Calculation'!$Q101)),7,IF(ISNUMBER(SEARCH(CG$119,'Reference Score Calculation'!$R101)),5,IF(ISNUMBER(SEARCH($BV$108,'Reference Score Calculation'!$P101)),10,IF(ISNUMBER(SEARCH($BV$108,'Reference Score Calculation'!$Q101)),7,5)))))</f>
        <v>5</v>
      </c>
      <c r="CH124" s="455">
        <f>IF(ISNUMBER(SEARCH(CH$119,'Reference Score Calculation'!$P101)),10,IF(ISNUMBER(SEARCH(CH$119,'Reference Score Calculation'!$Q101)),7,IF(ISNUMBER(SEARCH(CH$119,'Reference Score Calculation'!$R101)),5,IF(ISNUMBER(SEARCH($BV$108,'Reference Score Calculation'!$P101)),10,IF(ISNUMBER(SEARCH($BV$108,'Reference Score Calculation'!$Q101)),7,5)))))</f>
        <v>5</v>
      </c>
      <c r="CI124" s="455">
        <f>IF(ISNUMBER(SEARCH(CI$119,'Reference Score Calculation'!$P101)),10,IF(ISNUMBER(SEARCH(CI$119,'Reference Score Calculation'!$Q101)),7,IF(ISNUMBER(SEARCH(CI$119,'Reference Score Calculation'!$R101)),5,IF(ISNUMBER(SEARCH($BV$108,'Reference Score Calculation'!$P101)),10,IF(ISNUMBER(SEARCH($BV$108,'Reference Score Calculation'!$Q101)),7,5)))))</f>
        <v>5</v>
      </c>
      <c r="CJ124" s="455">
        <f>IF(ISNUMBER(SEARCH(CJ$119,'Reference Score Calculation'!$P101)),10,IF(ISNUMBER(SEARCH(CJ$119,'Reference Score Calculation'!$Q101)),7,IF(ISNUMBER(SEARCH(CJ$119,'Reference Score Calculation'!$R101)),5,IF(ISNUMBER(SEARCH($BV$108,'Reference Score Calculation'!$P101)),10,IF(ISNUMBER(SEARCH($BV$108,'Reference Score Calculation'!$Q101)),7,5)))))</f>
        <v>7</v>
      </c>
      <c r="CK124" s="455">
        <f>IF(ISNUMBER(SEARCH(CK$119,'Reference Score Calculation'!$P101)),10,IF(ISNUMBER(SEARCH(CK$119,'Reference Score Calculation'!$Q101)),7,IF(ISNUMBER(SEARCH(CK$119,'Reference Score Calculation'!$R101)),5,IF(ISNUMBER(SEARCH($BV$108,'Reference Score Calculation'!$P101)),10,IF(ISNUMBER(SEARCH($BV$108,'Reference Score Calculation'!$Q101)),7,5)))))</f>
        <v>5</v>
      </c>
      <c r="CL124" s="455">
        <f>IF(ISNUMBER(SEARCH(CL$119,'Reference Score Calculation'!$P101)),10,IF(ISNUMBER(SEARCH(CL$119,'Reference Score Calculation'!$Q101)),7,IF(ISNUMBER(SEARCH(CL$119,'Reference Score Calculation'!$R101)),5,IF(ISNUMBER(SEARCH($BV$108,'Reference Score Calculation'!$P101)),10,IF(ISNUMBER(SEARCH($BV$108,'Reference Score Calculation'!$Q101)),7,5)))))</f>
        <v>5</v>
      </c>
      <c r="CM124" s="455">
        <f>IF(ISNUMBER(SEARCH(CM$119,'Reference Score Calculation'!$P101)),10,IF(ISNUMBER(SEARCH(CM$119,'Reference Score Calculation'!$Q101)),7,IF(ISNUMBER(SEARCH(CM$119,'Reference Score Calculation'!$R101)),5,IF(ISNUMBER(SEARCH($BV$108,'Reference Score Calculation'!$P101)),10,IF(ISNUMBER(SEARCH($BV$108,'Reference Score Calculation'!$Q101)),7,5)))))</f>
        <v>5</v>
      </c>
      <c r="CN124" s="455">
        <f>IF(ISNUMBER(SEARCH(CN$119,'Reference Score Calculation'!$P101)),10,IF(ISNUMBER(SEARCH(CN$119,'Reference Score Calculation'!$Q101)),7,IF(ISNUMBER(SEARCH(CN$119,'Reference Score Calculation'!$R101)),5,IF(ISNUMBER(SEARCH($BV$108,'Reference Score Calculation'!$P101)),10,IF(ISNUMBER(SEARCH($BV$108,'Reference Score Calculation'!$Q101)),7,5)))))</f>
        <v>7</v>
      </c>
      <c r="CO124" s="455">
        <f>IF(ISNUMBER(SEARCH(CO$119,'Reference Score Calculation'!$P101)),10,IF(ISNUMBER(SEARCH(CO$119,'Reference Score Calculation'!$Q101)),7,IF(ISNUMBER(SEARCH(CO$119,'Reference Score Calculation'!$R101)),5,IF(ISNUMBER(SEARCH($BV$108,'Reference Score Calculation'!$P101)),10,IF(ISNUMBER(SEARCH($BV$108,'Reference Score Calculation'!$Q101)),7,5)))))</f>
        <v>7</v>
      </c>
      <c r="CP124" s="455">
        <f>IF(ISNUMBER(SEARCH(CP$119,'Reference Score Calculation'!$P101)),10,IF(ISNUMBER(SEARCH(CP$119,'Reference Score Calculation'!$Q101)),7,IF(ISNUMBER(SEARCH(CP$119,'Reference Score Calculation'!$R101)),5,IF(ISNUMBER(SEARCH($BV$108,'Reference Score Calculation'!$P101)),10,IF(ISNUMBER(SEARCH($BV$108,'Reference Score Calculation'!$Q101)),7,5)))))</f>
        <v>5</v>
      </c>
      <c r="CQ124" s="455">
        <f>IF(ISNUMBER(SEARCH(CQ$119,'Reference Score Calculation'!$P101)),10,IF(ISNUMBER(SEARCH(CQ$119,'Reference Score Calculation'!$Q101)),7,IF(ISNUMBER(SEARCH(CQ$119,'Reference Score Calculation'!$R101)),5,IF(ISNUMBER(SEARCH($BV$108,'Reference Score Calculation'!$P101)),10,IF(ISNUMBER(SEARCH($BV$108,'Reference Score Calculation'!$Q101)),7,5)))))</f>
        <v>5</v>
      </c>
      <c r="CR124" s="455">
        <f>IF(ISNUMBER(SEARCH(CR$119,'Reference Score Calculation'!$P101)),10,IF(ISNUMBER(SEARCH(CR$119,'Reference Score Calculation'!$Q101)),7,IF(ISNUMBER(SEARCH(CR$119,'Reference Score Calculation'!$R101)),5,IF(ISNUMBER(SEARCH($BV$108,'Reference Score Calculation'!$P101)),10,IF(ISNUMBER(SEARCH($BV$108,'Reference Score Calculation'!$Q101)),7,5)))))</f>
        <v>5</v>
      </c>
      <c r="CS124" s="455">
        <f>IF(ISNUMBER(SEARCH(CS$119,'Reference Score Calculation'!$P101)),10,IF(ISNUMBER(SEARCH(CS$119,'Reference Score Calculation'!$Q101)),7,IF(ISNUMBER(SEARCH(CS$119,'Reference Score Calculation'!$R101)),5,IF(ISNUMBER(SEARCH($BV$108,'Reference Score Calculation'!$P101)),10,IF(ISNUMBER(SEARCH($BV$108,'Reference Score Calculation'!$Q101)),7,5)))))</f>
        <v>10</v>
      </c>
      <c r="CT124" s="455">
        <f>IF(ISNUMBER(SEARCH(CT$119,'Reference Score Calculation'!$P101)),10,IF(ISNUMBER(SEARCH(CT$119,'Reference Score Calculation'!$Q101)),7,IF(ISNUMBER(SEARCH(CT$119,'Reference Score Calculation'!$R101)),5,IF(ISNUMBER(SEARCH($BV$108,'Reference Score Calculation'!$P101)),10,IF(ISNUMBER(SEARCH($BV$108,'Reference Score Calculation'!$Q101)),7,5)))))</f>
        <v>10</v>
      </c>
      <c r="CU124" s="455">
        <f>IF(ISNUMBER(SEARCH(CU$119,'Reference Score Calculation'!$P101)),10,IF(ISNUMBER(SEARCH(CU$119,'Reference Score Calculation'!$Q101)),7,IF(ISNUMBER(SEARCH(CU$119,'Reference Score Calculation'!$R101)),5,IF(ISNUMBER(SEARCH($BV$108,'Reference Score Calculation'!$P101)),10,IF(ISNUMBER(SEARCH($BV$108,'Reference Score Calculation'!$Q101)),7,5)))))</f>
        <v>5</v>
      </c>
      <c r="CV124" s="455">
        <f>IF(ISNUMBER(SEARCH(CV$119,'Reference Score Calculation'!$P101)),10,IF(ISNUMBER(SEARCH(CV$119,'Reference Score Calculation'!$Q101)),7,IF(ISNUMBER(SEARCH(CV$119,'Reference Score Calculation'!$R101)),5,IF(ISNUMBER(SEARCH($BV$108,'Reference Score Calculation'!$P101)),10,IF(ISNUMBER(SEARCH($BV$108,'Reference Score Calculation'!$Q101)),7,5)))))</f>
        <v>10</v>
      </c>
      <c r="CW124" s="185"/>
      <c r="CX124" s="185"/>
      <c r="CY124" s="185"/>
    </row>
    <row r="125" spans="1:104">
      <c r="A125" s="117" t="s">
        <v>2724</v>
      </c>
      <c r="B125" s="459" t="str">
        <f>'Reference Score Calculation'!B102</f>
        <v>JS3006</v>
      </c>
      <c r="C125" s="117" t="str">
        <f>'Reference Score Calculation'!E102</f>
        <v>計算機及數學科學組合學士課程</v>
      </c>
      <c r="D125" s="117" t="str">
        <f>'Reference Score Calculation'!F110</f>
        <v>Best 5</v>
      </c>
      <c r="E125" s="131" t="str">
        <f>'Reference Score Calculation'!F102</f>
        <v>25年新科目</v>
      </c>
      <c r="F125" s="131"/>
      <c r="G125" s="117" t="str">
        <f>入學要求!AB111</f>
        <v>v</v>
      </c>
      <c r="H125" s="117" t="str">
        <f>入學要求!AC111</f>
        <v>E</v>
      </c>
      <c r="I125" s="117" t="str">
        <f>入學要求!AD111</f>
        <v>NO</v>
      </c>
      <c r="J125" s="117">
        <f t="shared" si="211"/>
        <v>1.07E-8</v>
      </c>
      <c r="K125" s="117">
        <f t="shared" si="212"/>
        <v>7</v>
      </c>
      <c r="L125" s="117">
        <f t="shared" si="212"/>
        <v>10</v>
      </c>
      <c r="M125" s="117">
        <f t="shared" si="212"/>
        <v>10</v>
      </c>
      <c r="N125" s="117">
        <f t="shared" si="212"/>
        <v>0</v>
      </c>
      <c r="O125" s="117">
        <f t="shared" si="212"/>
        <v>10</v>
      </c>
      <c r="P125" s="117">
        <f t="shared" si="212"/>
        <v>0</v>
      </c>
      <c r="Q125" s="117">
        <f t="shared" si="212"/>
        <v>0</v>
      </c>
      <c r="R125" s="117">
        <f t="shared" si="212"/>
        <v>0</v>
      </c>
      <c r="S125" s="117">
        <f t="shared" si="212"/>
        <v>0</v>
      </c>
      <c r="T125" s="117">
        <v>5</v>
      </c>
      <c r="V125" s="117">
        <f t="shared" si="224"/>
        <v>7.0000000000000006E-10</v>
      </c>
      <c r="W125" s="117">
        <f t="shared" si="225"/>
        <v>2.0000000000000001E-9</v>
      </c>
      <c r="X125" s="117">
        <f t="shared" si="226"/>
        <v>3E-9</v>
      </c>
      <c r="Z125" s="117">
        <f t="shared" si="227"/>
        <v>5.0000000000000001E-9</v>
      </c>
      <c r="AA125" s="117">
        <f t="shared" si="228"/>
        <v>0</v>
      </c>
      <c r="AB125" s="117">
        <f t="shared" si="229"/>
        <v>0</v>
      </c>
      <c r="AC125" s="117">
        <f t="shared" si="230"/>
        <v>0</v>
      </c>
      <c r="AD125" s="117">
        <f t="shared" si="231"/>
        <v>0</v>
      </c>
      <c r="AE125" s="117">
        <f t="shared" si="232"/>
        <v>0</v>
      </c>
      <c r="AF125" s="117">
        <f t="shared" si="213"/>
        <v>7.0000000000000006E-10</v>
      </c>
      <c r="AG125" s="117">
        <f t="shared" si="214"/>
        <v>2.0000000000000001E-9</v>
      </c>
      <c r="AH125" s="117">
        <f t="shared" si="215"/>
        <v>3E-9</v>
      </c>
      <c r="AI125" s="117">
        <f t="shared" si="216"/>
        <v>0</v>
      </c>
      <c r="AJ125" s="117">
        <f t="shared" si="217"/>
        <v>5.0000000000000001E-9</v>
      </c>
      <c r="AK125" s="117">
        <f t="shared" si="218"/>
        <v>0</v>
      </c>
      <c r="AL125" s="117">
        <f t="shared" si="219"/>
        <v>0</v>
      </c>
      <c r="AM125" s="117">
        <f t="shared" si="220"/>
        <v>0</v>
      </c>
      <c r="AN125" s="117">
        <f t="shared" si="221"/>
        <v>0</v>
      </c>
      <c r="AO125" s="117">
        <f t="shared" si="222"/>
        <v>0</v>
      </c>
      <c r="AP125" s="117" t="b">
        <f t="shared" si="233"/>
        <v>1</v>
      </c>
      <c r="AQ125" s="117" t="b">
        <f t="shared" si="234"/>
        <v>1</v>
      </c>
      <c r="AR125" s="117" t="b">
        <f t="shared" si="235"/>
        <v>1</v>
      </c>
      <c r="AT125" s="117" t="b">
        <f t="shared" si="236"/>
        <v>1</v>
      </c>
      <c r="AU125" s="117" t="b">
        <f t="shared" si="237"/>
        <v>0</v>
      </c>
      <c r="AV125" s="117" t="b">
        <f t="shared" si="238"/>
        <v>0</v>
      </c>
      <c r="AW125" s="117" t="b">
        <f t="shared" si="239"/>
        <v>0</v>
      </c>
      <c r="AX125" s="117" t="b">
        <f t="shared" si="240"/>
        <v>0</v>
      </c>
      <c r="AY125" s="117" t="b">
        <f t="shared" si="241"/>
        <v>0</v>
      </c>
      <c r="BA125" s="2"/>
      <c r="BB125" s="2"/>
      <c r="BC125" s="2"/>
      <c r="BD125" s="2"/>
      <c r="BE125" s="2"/>
      <c r="BF125" s="2"/>
      <c r="BG125" s="2"/>
      <c r="BH125" s="2"/>
      <c r="BI125" s="2"/>
      <c r="BJ125" s="2"/>
      <c r="BK125" s="2"/>
      <c r="BL125" s="2"/>
      <c r="BM125" s="2"/>
      <c r="BN125" s="2"/>
      <c r="BO125" s="2"/>
      <c r="BP125" s="2"/>
      <c r="BQ125" s="2"/>
      <c r="BR125" s="2"/>
      <c r="BS125" s="185" t="str">
        <f>'Reference Score Calculation'!B102</f>
        <v>JS3006</v>
      </c>
      <c r="BT125" s="185"/>
      <c r="BU125" s="455">
        <f>IF(ISNUMBER(SEARCH(BU$119,'Reference Score Calculation'!$P102)),10,IF(ISNUMBER(SEARCH(BU$119,'Reference Score Calculation'!$Q102)),7,IF(ISNUMBER(SEARCH(BU$119,'Reference Score Calculation'!$R102)),5,IF(ISNUMBER(SEARCH($BV$108,'Reference Score Calculation'!$P102)),10,IF(ISNUMBER(SEARCH($BV$108,'Reference Score Calculation'!$Q102)),7,5)))))</f>
        <v>7</v>
      </c>
      <c r="BV125" s="455">
        <f>IF(ISNUMBER(SEARCH(BV$119,'Reference Score Calculation'!$P102)),10,IF(ISNUMBER(SEARCH(BV$119,'Reference Score Calculation'!$Q102)),7,IF(ISNUMBER(SEARCH(BV$119,'Reference Score Calculation'!$R102)),5,IF(ISNUMBER(SEARCH($BV$108,'Reference Score Calculation'!$P102)),10,IF(ISNUMBER(SEARCH($BV$108,'Reference Score Calculation'!$Q102)),7,5)))))</f>
        <v>10</v>
      </c>
      <c r="BW125" s="455">
        <f>IF(ISNUMBER(SEARCH(BW$119,'Reference Score Calculation'!$P102)),10,IF(ISNUMBER(SEARCH(BW$119,'Reference Score Calculation'!$Q102)),7,IF(ISNUMBER(SEARCH(BW$119,'Reference Score Calculation'!$R102)),5,IF(ISNUMBER(SEARCH($BV$108,'Reference Score Calculation'!$P102)),10,IF(ISNUMBER(SEARCH($BV$108,'Reference Score Calculation'!$Q102)),7,5)))))</f>
        <v>10</v>
      </c>
      <c r="BX125" s="455">
        <f>IF(ISNUMBER(SEARCH(BX$119,'Reference Score Calculation'!$P102)),10,IF(ISNUMBER(SEARCH(BX$119,'Reference Score Calculation'!$Q102)),7,IF(ISNUMBER(SEARCH(BX$119,'Reference Score Calculation'!$R102)),5,IF(ISNUMBER(SEARCH($BV$108,'Reference Score Calculation'!$P102)),10,IF(ISNUMBER(SEARCH($BV$108,'Reference Score Calculation'!$Q102)),7,5)))))</f>
        <v>5</v>
      </c>
      <c r="BY125" s="455">
        <f>IF(ISNUMBER(SEARCH(BY$119,'Reference Score Calculation'!$P102)),10,IF(ISNUMBER(SEARCH(BY$119,'Reference Score Calculation'!$Q102)),7,IF(ISNUMBER(SEARCH(BY$119,'Reference Score Calculation'!$R102)),5,IF(ISNUMBER(SEARCH($BV$108,'Reference Score Calculation'!$P102)),10,IF(ISNUMBER(SEARCH($BV$108,'Reference Score Calculation'!$Q102)),7,5)))))</f>
        <v>10</v>
      </c>
      <c r="BZ125" s="455">
        <f>IF(ISNUMBER(SEARCH(BZ$119,'Reference Score Calculation'!$P102)),10,IF(ISNUMBER(SEARCH(BZ$119,'Reference Score Calculation'!$Q102)),7,IF(ISNUMBER(SEARCH(BZ$119,'Reference Score Calculation'!$R102)),5,IF(ISNUMBER(SEARCH($BV$108,'Reference Score Calculation'!$P102)),10,IF(ISNUMBER(SEARCH($BV$108,'Reference Score Calculation'!$Q102)),7,5)))))</f>
        <v>10</v>
      </c>
      <c r="CA125" s="455">
        <f>IF(ISNUMBER(SEARCH(CA$119,'Reference Score Calculation'!$P102)),10,IF(ISNUMBER(SEARCH(CA$119,'Reference Score Calculation'!$Q102)),7,IF(ISNUMBER(SEARCH(CA$119,'Reference Score Calculation'!$R102)),5,IF(ISNUMBER(SEARCH($BV$108,'Reference Score Calculation'!$P102)),10,IF(ISNUMBER(SEARCH($BV$108,'Reference Score Calculation'!$Q102)),7,5)))))</f>
        <v>10</v>
      </c>
      <c r="CB125" s="455">
        <f>IF(ISNUMBER(SEARCH(CB$119,'Reference Score Calculation'!$P102)),10,IF(ISNUMBER(SEARCH(CB$119,'Reference Score Calculation'!$Q102)),7,IF(ISNUMBER(SEARCH(CB$119,'Reference Score Calculation'!$R102)),5,IF(ISNUMBER(SEARCH($BV$108,'Reference Score Calculation'!$P102)),10,IF(ISNUMBER(SEARCH($BV$108,'Reference Score Calculation'!$Q102)),7,5)))))</f>
        <v>10</v>
      </c>
      <c r="CC125" s="455">
        <f>IF(ISNUMBER(SEARCH(CC$119,'Reference Score Calculation'!$P102)),10,IF(ISNUMBER(SEARCH(CC$119,'Reference Score Calculation'!$Q102)),7,IF(ISNUMBER(SEARCH(CC$119,'Reference Score Calculation'!$R102)),5,IF(ISNUMBER(SEARCH($BV$108,'Reference Score Calculation'!$P102)),10,IF(ISNUMBER(SEARCH($BV$108,'Reference Score Calculation'!$Q102)),7,5)))))</f>
        <v>10</v>
      </c>
      <c r="CD125" s="455">
        <f>IF(ISNUMBER(SEARCH(CD$119,'Reference Score Calculation'!$P102)),10,IF(ISNUMBER(SEARCH(CD$119,'Reference Score Calculation'!$Q102)),7,IF(ISNUMBER(SEARCH(CD$119,'Reference Score Calculation'!$R102)),5,IF(ISNUMBER(SEARCH($BV$108,'Reference Score Calculation'!$P102)),10,IF(ISNUMBER(SEARCH($BV$108,'Reference Score Calculation'!$Q102)),7,5)))))</f>
        <v>5</v>
      </c>
      <c r="CE125" s="455">
        <f>IF(ISNUMBER(SEARCH(CE$119,'Reference Score Calculation'!$P102)),10,IF(ISNUMBER(SEARCH(CE$119,'Reference Score Calculation'!$Q102)),7,IF(ISNUMBER(SEARCH(CE$119,'Reference Score Calculation'!$R102)),5,IF(ISNUMBER(SEARCH($BV$108,'Reference Score Calculation'!$P102)),10,IF(ISNUMBER(SEARCH($BV$108,'Reference Score Calculation'!$Q102)),7,5)))))</f>
        <v>5</v>
      </c>
      <c r="CF125" s="455">
        <f>IF(ISNUMBER(SEARCH(CF$119,'Reference Score Calculation'!$P102)),10,IF(ISNUMBER(SEARCH(CF$119,'Reference Score Calculation'!$Q102)),7,IF(ISNUMBER(SEARCH(CF$119,'Reference Score Calculation'!$R102)),5,IF(ISNUMBER(SEARCH($BV$108,'Reference Score Calculation'!$P102)),10,IF(ISNUMBER(SEARCH($BV$108,'Reference Score Calculation'!$Q102)),7,5)))))</f>
        <v>5</v>
      </c>
      <c r="CG125" s="455">
        <f>IF(ISNUMBER(SEARCH(CG$119,'Reference Score Calculation'!$P102)),10,IF(ISNUMBER(SEARCH(CG$119,'Reference Score Calculation'!$Q102)),7,IF(ISNUMBER(SEARCH(CG$119,'Reference Score Calculation'!$R102)),5,IF(ISNUMBER(SEARCH($BV$108,'Reference Score Calculation'!$P102)),10,IF(ISNUMBER(SEARCH($BV$108,'Reference Score Calculation'!$Q102)),7,5)))))</f>
        <v>5</v>
      </c>
      <c r="CH125" s="455">
        <f>IF(ISNUMBER(SEARCH(CH$119,'Reference Score Calculation'!$P102)),10,IF(ISNUMBER(SEARCH(CH$119,'Reference Score Calculation'!$Q102)),7,IF(ISNUMBER(SEARCH(CH$119,'Reference Score Calculation'!$R102)),5,IF(ISNUMBER(SEARCH($BV$108,'Reference Score Calculation'!$P102)),10,IF(ISNUMBER(SEARCH($BV$108,'Reference Score Calculation'!$Q102)),7,5)))))</f>
        <v>5</v>
      </c>
      <c r="CI125" s="455">
        <f>IF(ISNUMBER(SEARCH(CI$119,'Reference Score Calculation'!$P102)),10,IF(ISNUMBER(SEARCH(CI$119,'Reference Score Calculation'!$Q102)),7,IF(ISNUMBER(SEARCH(CI$119,'Reference Score Calculation'!$R102)),5,IF(ISNUMBER(SEARCH($BV$108,'Reference Score Calculation'!$P102)),10,IF(ISNUMBER(SEARCH($BV$108,'Reference Score Calculation'!$Q102)),7,5)))))</f>
        <v>5</v>
      </c>
      <c r="CJ125" s="455">
        <f>IF(ISNUMBER(SEARCH(CJ$119,'Reference Score Calculation'!$P102)),10,IF(ISNUMBER(SEARCH(CJ$119,'Reference Score Calculation'!$Q102)),7,IF(ISNUMBER(SEARCH(CJ$119,'Reference Score Calculation'!$R102)),5,IF(ISNUMBER(SEARCH($BV$108,'Reference Score Calculation'!$P102)),10,IF(ISNUMBER(SEARCH($BV$108,'Reference Score Calculation'!$Q102)),7,5)))))</f>
        <v>7</v>
      </c>
      <c r="CK125" s="455">
        <f>IF(ISNUMBER(SEARCH(CK$119,'Reference Score Calculation'!$P102)),10,IF(ISNUMBER(SEARCH(CK$119,'Reference Score Calculation'!$Q102)),7,IF(ISNUMBER(SEARCH(CK$119,'Reference Score Calculation'!$R102)),5,IF(ISNUMBER(SEARCH($BV$108,'Reference Score Calculation'!$P102)),10,IF(ISNUMBER(SEARCH($BV$108,'Reference Score Calculation'!$Q102)),7,5)))))</f>
        <v>5</v>
      </c>
      <c r="CL125" s="455">
        <f>IF(ISNUMBER(SEARCH(CL$119,'Reference Score Calculation'!$P102)),10,IF(ISNUMBER(SEARCH(CL$119,'Reference Score Calculation'!$Q102)),7,IF(ISNUMBER(SEARCH(CL$119,'Reference Score Calculation'!$R102)),5,IF(ISNUMBER(SEARCH($BV$108,'Reference Score Calculation'!$P102)),10,IF(ISNUMBER(SEARCH($BV$108,'Reference Score Calculation'!$Q102)),7,5)))))</f>
        <v>5</v>
      </c>
      <c r="CM125" s="455">
        <f>IF(ISNUMBER(SEARCH(CM$119,'Reference Score Calculation'!$P102)),10,IF(ISNUMBER(SEARCH(CM$119,'Reference Score Calculation'!$Q102)),7,IF(ISNUMBER(SEARCH(CM$119,'Reference Score Calculation'!$R102)),5,IF(ISNUMBER(SEARCH($BV$108,'Reference Score Calculation'!$P102)),10,IF(ISNUMBER(SEARCH($BV$108,'Reference Score Calculation'!$Q102)),7,5)))))</f>
        <v>5</v>
      </c>
      <c r="CN125" s="455">
        <f>IF(ISNUMBER(SEARCH(CN$119,'Reference Score Calculation'!$P102)),10,IF(ISNUMBER(SEARCH(CN$119,'Reference Score Calculation'!$Q102)),7,IF(ISNUMBER(SEARCH(CN$119,'Reference Score Calculation'!$R102)),5,IF(ISNUMBER(SEARCH($BV$108,'Reference Score Calculation'!$P102)),10,IF(ISNUMBER(SEARCH($BV$108,'Reference Score Calculation'!$Q102)),7,5)))))</f>
        <v>5</v>
      </c>
      <c r="CO125" s="455">
        <f>IF(ISNUMBER(SEARCH(CO$119,'Reference Score Calculation'!$P102)),10,IF(ISNUMBER(SEARCH(CO$119,'Reference Score Calculation'!$Q102)),7,IF(ISNUMBER(SEARCH(CO$119,'Reference Score Calculation'!$R102)),5,IF(ISNUMBER(SEARCH($BV$108,'Reference Score Calculation'!$P102)),10,IF(ISNUMBER(SEARCH($BV$108,'Reference Score Calculation'!$Q102)),7,5)))))</f>
        <v>5</v>
      </c>
      <c r="CP125" s="455">
        <f>IF(ISNUMBER(SEARCH(CP$119,'Reference Score Calculation'!$P102)),10,IF(ISNUMBER(SEARCH(CP$119,'Reference Score Calculation'!$Q102)),7,IF(ISNUMBER(SEARCH(CP$119,'Reference Score Calculation'!$R102)),5,IF(ISNUMBER(SEARCH($BV$108,'Reference Score Calculation'!$P102)),10,IF(ISNUMBER(SEARCH($BV$108,'Reference Score Calculation'!$Q102)),7,5)))))</f>
        <v>5</v>
      </c>
      <c r="CQ125" s="455">
        <f>IF(ISNUMBER(SEARCH(CQ$119,'Reference Score Calculation'!$P102)),10,IF(ISNUMBER(SEARCH(CQ$119,'Reference Score Calculation'!$Q102)),7,IF(ISNUMBER(SEARCH(CQ$119,'Reference Score Calculation'!$R102)),5,IF(ISNUMBER(SEARCH($BV$108,'Reference Score Calculation'!$P102)),10,IF(ISNUMBER(SEARCH($BV$108,'Reference Score Calculation'!$Q102)),7,5)))))</f>
        <v>5</v>
      </c>
      <c r="CR125" s="455">
        <f>IF(ISNUMBER(SEARCH(CR$119,'Reference Score Calculation'!$P102)),10,IF(ISNUMBER(SEARCH(CR$119,'Reference Score Calculation'!$Q102)),7,IF(ISNUMBER(SEARCH(CR$119,'Reference Score Calculation'!$R102)),5,IF(ISNUMBER(SEARCH($BV$108,'Reference Score Calculation'!$P102)),10,IF(ISNUMBER(SEARCH($BV$108,'Reference Score Calculation'!$Q102)),7,5)))))</f>
        <v>5</v>
      </c>
      <c r="CS125" s="455">
        <f>IF(ISNUMBER(SEARCH(CS$119,'Reference Score Calculation'!$P102)),10,IF(ISNUMBER(SEARCH(CS$119,'Reference Score Calculation'!$Q102)),7,IF(ISNUMBER(SEARCH(CS$119,'Reference Score Calculation'!$R102)),5,IF(ISNUMBER(SEARCH($BV$108,'Reference Score Calculation'!$P102)),10,IF(ISNUMBER(SEARCH($BV$108,'Reference Score Calculation'!$Q102)),7,5)))))</f>
        <v>10</v>
      </c>
      <c r="CT125" s="455">
        <f>IF(ISNUMBER(SEARCH(CT$119,'Reference Score Calculation'!$P102)),10,IF(ISNUMBER(SEARCH(CT$119,'Reference Score Calculation'!$Q102)),7,IF(ISNUMBER(SEARCH(CT$119,'Reference Score Calculation'!$R102)),5,IF(ISNUMBER(SEARCH($BV$108,'Reference Score Calculation'!$P102)),10,IF(ISNUMBER(SEARCH($BV$108,'Reference Score Calculation'!$Q102)),7,5)))))</f>
        <v>5</v>
      </c>
      <c r="CU125" s="455">
        <f>IF(ISNUMBER(SEARCH(CU$119,'Reference Score Calculation'!$P102)),10,IF(ISNUMBER(SEARCH(CU$119,'Reference Score Calculation'!$Q102)),7,IF(ISNUMBER(SEARCH(CU$119,'Reference Score Calculation'!$R102)),5,IF(ISNUMBER(SEARCH($BV$108,'Reference Score Calculation'!$P102)),10,IF(ISNUMBER(SEARCH($BV$108,'Reference Score Calculation'!$Q102)),7,5)))))</f>
        <v>5</v>
      </c>
      <c r="CV125" s="455">
        <f>IF(ISNUMBER(SEARCH(CV$119,'Reference Score Calculation'!$P102)),10,IF(ISNUMBER(SEARCH(CV$119,'Reference Score Calculation'!$Q102)),7,IF(ISNUMBER(SEARCH(CV$119,'Reference Score Calculation'!$R102)),5,IF(ISNUMBER(SEARCH($BV$108,'Reference Score Calculation'!$P102)),10,IF(ISNUMBER(SEARCH($BV$108,'Reference Score Calculation'!$Q102)),7,5)))))</f>
        <v>10</v>
      </c>
      <c r="CW125" s="185"/>
      <c r="CX125" s="185"/>
      <c r="CY125" s="185"/>
    </row>
    <row r="126" spans="1:104">
      <c r="A126" s="117" t="s">
        <v>2727</v>
      </c>
      <c r="B126" s="459" t="str">
        <f>'Reference Score Calculation'!B103</f>
        <v>JS3007</v>
      </c>
      <c r="C126" s="117" t="str">
        <f>'Reference Score Calculation'!E103</f>
        <v>人文學科組合學士課程</v>
      </c>
      <c r="D126" s="117" t="str">
        <f>'Reference Score Calculation'!F111</f>
        <v>Best 5</v>
      </c>
      <c r="E126" s="131" t="str">
        <f>'Reference Score Calculation'!F103</f>
        <v>25年新科目</v>
      </c>
      <c r="F126" s="131"/>
      <c r="G126" s="117" t="str">
        <f>入學要求!AB112</f>
        <v>v</v>
      </c>
      <c r="H126" s="117" t="str">
        <f>入學要求!AC112</f>
        <v>E</v>
      </c>
      <c r="I126" s="117" t="str">
        <f>入學要求!AD112</f>
        <v>NO</v>
      </c>
      <c r="J126" s="117">
        <f t="shared" si="211"/>
        <v>8.6000000000000009E-9</v>
      </c>
      <c r="K126" s="117">
        <f t="shared" si="212"/>
        <v>10</v>
      </c>
      <c r="L126" s="117">
        <f t="shared" si="212"/>
        <v>10</v>
      </c>
      <c r="M126" s="117">
        <f t="shared" si="212"/>
        <v>7</v>
      </c>
      <c r="N126" s="117">
        <f t="shared" si="212"/>
        <v>0</v>
      </c>
      <c r="O126" s="117">
        <f t="shared" si="212"/>
        <v>7</v>
      </c>
      <c r="P126" s="117">
        <f t="shared" si="212"/>
        <v>0</v>
      </c>
      <c r="Q126" s="117">
        <f t="shared" si="212"/>
        <v>0</v>
      </c>
      <c r="R126" s="117">
        <f t="shared" si="212"/>
        <v>0</v>
      </c>
      <c r="S126" s="117">
        <f t="shared" si="212"/>
        <v>0</v>
      </c>
      <c r="T126" s="117">
        <v>5</v>
      </c>
      <c r="V126" s="117">
        <f t="shared" si="224"/>
        <v>1.0000000000000001E-9</v>
      </c>
      <c r="W126" s="117">
        <f t="shared" si="225"/>
        <v>2.0000000000000001E-9</v>
      </c>
      <c r="X126" s="117">
        <f t="shared" si="226"/>
        <v>2.0999999999999998E-9</v>
      </c>
      <c r="Z126" s="117">
        <f t="shared" si="227"/>
        <v>3.5000000000000003E-9</v>
      </c>
      <c r="AA126" s="117">
        <f t="shared" si="228"/>
        <v>0</v>
      </c>
      <c r="AB126" s="117">
        <f t="shared" si="229"/>
        <v>0</v>
      </c>
      <c r="AC126" s="117">
        <f t="shared" si="230"/>
        <v>0</v>
      </c>
      <c r="AD126" s="117">
        <f t="shared" si="231"/>
        <v>0</v>
      </c>
      <c r="AE126" s="117">
        <f t="shared" si="232"/>
        <v>0</v>
      </c>
      <c r="AF126" s="117">
        <f t="shared" si="213"/>
        <v>1.0000000000000001E-9</v>
      </c>
      <c r="AG126" s="117">
        <f t="shared" si="214"/>
        <v>2.0000000000000001E-9</v>
      </c>
      <c r="AH126" s="117">
        <f t="shared" si="215"/>
        <v>2.0999999999999998E-9</v>
      </c>
      <c r="AI126" s="117">
        <f t="shared" si="216"/>
        <v>0</v>
      </c>
      <c r="AJ126" s="117">
        <f t="shared" si="217"/>
        <v>3.5000000000000003E-9</v>
      </c>
      <c r="AK126" s="117">
        <f t="shared" si="218"/>
        <v>0</v>
      </c>
      <c r="AL126" s="117">
        <f t="shared" si="219"/>
        <v>0</v>
      </c>
      <c r="AM126" s="117">
        <f t="shared" si="220"/>
        <v>0</v>
      </c>
      <c r="AN126" s="117">
        <f t="shared" si="221"/>
        <v>0</v>
      </c>
      <c r="AO126" s="117">
        <f t="shared" si="222"/>
        <v>0</v>
      </c>
      <c r="AP126" s="117" t="b">
        <f t="shared" si="233"/>
        <v>1</v>
      </c>
      <c r="AQ126" s="117" t="b">
        <f t="shared" si="234"/>
        <v>1</v>
      </c>
      <c r="AR126" s="117" t="b">
        <f t="shared" si="235"/>
        <v>1</v>
      </c>
      <c r="AT126" s="117" t="b">
        <f t="shared" si="236"/>
        <v>1</v>
      </c>
      <c r="AU126" s="117" t="b">
        <f t="shared" si="237"/>
        <v>0</v>
      </c>
      <c r="AV126" s="117" t="b">
        <f t="shared" si="238"/>
        <v>0</v>
      </c>
      <c r="AW126" s="117" t="b">
        <f t="shared" si="239"/>
        <v>0</v>
      </c>
      <c r="AX126" s="117" t="b">
        <f t="shared" si="240"/>
        <v>0</v>
      </c>
      <c r="AY126" s="117" t="b">
        <f t="shared" si="241"/>
        <v>0</v>
      </c>
      <c r="BA126" s="2"/>
      <c r="BB126" s="2"/>
      <c r="BC126" s="2"/>
      <c r="BD126" s="2"/>
      <c r="BE126" s="2"/>
      <c r="BF126" s="2"/>
      <c r="BG126" s="2"/>
      <c r="BH126" s="2"/>
      <c r="BI126" s="2"/>
      <c r="BJ126" s="2"/>
      <c r="BK126" s="2"/>
      <c r="BL126" s="2"/>
      <c r="BM126" s="2"/>
      <c r="BN126" s="2"/>
      <c r="BO126" s="2"/>
      <c r="BP126" s="2"/>
      <c r="BQ126" s="2"/>
      <c r="BR126" s="2"/>
      <c r="BS126" s="185" t="str">
        <f>'Reference Score Calculation'!B103</f>
        <v>JS3007</v>
      </c>
      <c r="BT126" s="185"/>
      <c r="BU126" s="455">
        <f>IF(ISNUMBER(SEARCH(BU$119,'Reference Score Calculation'!$P103)),10,IF(ISNUMBER(SEARCH(BU$119,'Reference Score Calculation'!$Q103)),7,IF(ISNUMBER(SEARCH(BU$119,'Reference Score Calculation'!$R103)),5,IF(ISNUMBER(SEARCH($BV$108,'Reference Score Calculation'!$P103)),10,IF(ISNUMBER(SEARCH($BV$108,'Reference Score Calculation'!$Q103)),7,5)))))</f>
        <v>10</v>
      </c>
      <c r="BV126" s="455">
        <f>IF(ISNUMBER(SEARCH(BV$119,'Reference Score Calculation'!$P103)),10,IF(ISNUMBER(SEARCH(BV$119,'Reference Score Calculation'!$Q103)),7,IF(ISNUMBER(SEARCH(BV$119,'Reference Score Calculation'!$R103)),5,IF(ISNUMBER(SEARCH($BV$108,'Reference Score Calculation'!$P103)),10,IF(ISNUMBER(SEARCH($BV$108,'Reference Score Calculation'!$Q103)),7,5)))))</f>
        <v>10</v>
      </c>
      <c r="BW126" s="455">
        <f>IF(ISNUMBER(SEARCH(BW$119,'Reference Score Calculation'!$P103)),10,IF(ISNUMBER(SEARCH(BW$119,'Reference Score Calculation'!$Q103)),7,IF(ISNUMBER(SEARCH(BW$119,'Reference Score Calculation'!$R103)),5,IF(ISNUMBER(SEARCH($BV$108,'Reference Score Calculation'!$P103)),10,IF(ISNUMBER(SEARCH($BV$108,'Reference Score Calculation'!$Q103)),7,5)))))</f>
        <v>7</v>
      </c>
      <c r="BX126" s="455">
        <f>IF(ISNUMBER(SEARCH(BX$119,'Reference Score Calculation'!$P103)),10,IF(ISNUMBER(SEARCH(BX$119,'Reference Score Calculation'!$Q103)),7,IF(ISNUMBER(SEARCH(BX$119,'Reference Score Calculation'!$R103)),5,IF(ISNUMBER(SEARCH($BV$108,'Reference Score Calculation'!$P103)),10,IF(ISNUMBER(SEARCH($BV$108,'Reference Score Calculation'!$Q103)),7,5)))))</f>
        <v>7</v>
      </c>
      <c r="BY126" s="455">
        <f>IF(ISNUMBER(SEARCH(BY$119,'Reference Score Calculation'!$P103)),10,IF(ISNUMBER(SEARCH(BY$119,'Reference Score Calculation'!$Q103)),7,IF(ISNUMBER(SEARCH(BY$119,'Reference Score Calculation'!$R103)),5,IF(ISNUMBER(SEARCH($BV$108,'Reference Score Calculation'!$P103)),10,IF(ISNUMBER(SEARCH($BV$108,'Reference Score Calculation'!$Q103)),7,5)))))</f>
        <v>7</v>
      </c>
      <c r="BZ126" s="455">
        <f>IF(ISNUMBER(SEARCH(BZ$119,'Reference Score Calculation'!$P103)),10,IF(ISNUMBER(SEARCH(BZ$119,'Reference Score Calculation'!$Q103)),7,IF(ISNUMBER(SEARCH(BZ$119,'Reference Score Calculation'!$R103)),5,IF(ISNUMBER(SEARCH($BV$108,'Reference Score Calculation'!$P103)),10,IF(ISNUMBER(SEARCH($BV$108,'Reference Score Calculation'!$Q103)),7,5)))))</f>
        <v>7</v>
      </c>
      <c r="CA126" s="455">
        <f>IF(ISNUMBER(SEARCH(CA$119,'Reference Score Calculation'!$P103)),10,IF(ISNUMBER(SEARCH(CA$119,'Reference Score Calculation'!$Q103)),7,IF(ISNUMBER(SEARCH(CA$119,'Reference Score Calculation'!$R103)),5,IF(ISNUMBER(SEARCH($BV$108,'Reference Score Calculation'!$P103)),10,IF(ISNUMBER(SEARCH($BV$108,'Reference Score Calculation'!$Q103)),7,5)))))</f>
        <v>7</v>
      </c>
      <c r="CB126" s="455">
        <f>IF(ISNUMBER(SEARCH(CB$119,'Reference Score Calculation'!$P103)),10,IF(ISNUMBER(SEARCH(CB$119,'Reference Score Calculation'!$Q103)),7,IF(ISNUMBER(SEARCH(CB$119,'Reference Score Calculation'!$R103)),5,IF(ISNUMBER(SEARCH($BV$108,'Reference Score Calculation'!$P103)),10,IF(ISNUMBER(SEARCH($BV$108,'Reference Score Calculation'!$Q103)),7,5)))))</f>
        <v>7</v>
      </c>
      <c r="CC126" s="455">
        <f>IF(ISNUMBER(SEARCH(CC$119,'Reference Score Calculation'!$P103)),10,IF(ISNUMBER(SEARCH(CC$119,'Reference Score Calculation'!$Q103)),7,IF(ISNUMBER(SEARCH(CC$119,'Reference Score Calculation'!$R103)),5,IF(ISNUMBER(SEARCH($BV$108,'Reference Score Calculation'!$P103)),10,IF(ISNUMBER(SEARCH($BV$108,'Reference Score Calculation'!$Q103)),7,5)))))</f>
        <v>7</v>
      </c>
      <c r="CD126" s="455">
        <f>IF(ISNUMBER(SEARCH(CD$119,'Reference Score Calculation'!$P103)),10,IF(ISNUMBER(SEARCH(CD$119,'Reference Score Calculation'!$Q103)),7,IF(ISNUMBER(SEARCH(CD$119,'Reference Score Calculation'!$R103)),5,IF(ISNUMBER(SEARCH($BV$108,'Reference Score Calculation'!$P103)),10,IF(ISNUMBER(SEARCH($BV$108,'Reference Score Calculation'!$Q103)),7,5)))))</f>
        <v>7</v>
      </c>
      <c r="CE126" s="455">
        <f>IF(ISNUMBER(SEARCH(CE$119,'Reference Score Calculation'!$P103)),10,IF(ISNUMBER(SEARCH(CE$119,'Reference Score Calculation'!$Q103)),7,IF(ISNUMBER(SEARCH(CE$119,'Reference Score Calculation'!$R103)),5,IF(ISNUMBER(SEARCH($BV$108,'Reference Score Calculation'!$P103)),10,IF(ISNUMBER(SEARCH($BV$108,'Reference Score Calculation'!$Q103)),7,5)))))</f>
        <v>5</v>
      </c>
      <c r="CF126" s="455">
        <f>IF(ISNUMBER(SEARCH(CF$119,'Reference Score Calculation'!$P103)),10,IF(ISNUMBER(SEARCH(CF$119,'Reference Score Calculation'!$Q103)),7,IF(ISNUMBER(SEARCH(CF$119,'Reference Score Calculation'!$R103)),5,IF(ISNUMBER(SEARCH($BV$108,'Reference Score Calculation'!$P103)),10,IF(ISNUMBER(SEARCH($BV$108,'Reference Score Calculation'!$Q103)),7,5)))))</f>
        <v>5</v>
      </c>
      <c r="CG126" s="455">
        <f>IF(ISNUMBER(SEARCH(CG$119,'Reference Score Calculation'!$P103)),10,IF(ISNUMBER(SEARCH(CG$119,'Reference Score Calculation'!$Q103)),7,IF(ISNUMBER(SEARCH(CG$119,'Reference Score Calculation'!$R103)),5,IF(ISNUMBER(SEARCH($BV$108,'Reference Score Calculation'!$P103)),10,IF(ISNUMBER(SEARCH($BV$108,'Reference Score Calculation'!$Q103)),7,5)))))</f>
        <v>7</v>
      </c>
      <c r="CH126" s="455">
        <f>IF(ISNUMBER(SEARCH(CH$119,'Reference Score Calculation'!$P103)),10,IF(ISNUMBER(SEARCH(CH$119,'Reference Score Calculation'!$Q103)),7,IF(ISNUMBER(SEARCH(CH$119,'Reference Score Calculation'!$R103)),5,IF(ISNUMBER(SEARCH($BV$108,'Reference Score Calculation'!$P103)),10,IF(ISNUMBER(SEARCH($BV$108,'Reference Score Calculation'!$Q103)),7,5)))))</f>
        <v>7</v>
      </c>
      <c r="CI126" s="455">
        <f>IF(ISNUMBER(SEARCH(CI$119,'Reference Score Calculation'!$P103)),10,IF(ISNUMBER(SEARCH(CI$119,'Reference Score Calculation'!$Q103)),7,IF(ISNUMBER(SEARCH(CI$119,'Reference Score Calculation'!$R103)),5,IF(ISNUMBER(SEARCH($BV$108,'Reference Score Calculation'!$P103)),10,IF(ISNUMBER(SEARCH($BV$108,'Reference Score Calculation'!$Q103)),7,5)))))</f>
        <v>5</v>
      </c>
      <c r="CJ126" s="455">
        <f>IF(ISNUMBER(SEARCH(CJ$119,'Reference Score Calculation'!$P103)),10,IF(ISNUMBER(SEARCH(CJ$119,'Reference Score Calculation'!$Q103)),7,IF(ISNUMBER(SEARCH(CJ$119,'Reference Score Calculation'!$R103)),5,IF(ISNUMBER(SEARCH($BV$108,'Reference Score Calculation'!$P103)),10,IF(ISNUMBER(SEARCH($BV$108,'Reference Score Calculation'!$Q103)),7,5)))))</f>
        <v>7</v>
      </c>
      <c r="CK126" s="455">
        <f>IF(ISNUMBER(SEARCH(CK$119,'Reference Score Calculation'!$P103)),10,IF(ISNUMBER(SEARCH(CK$119,'Reference Score Calculation'!$Q103)),7,IF(ISNUMBER(SEARCH(CK$119,'Reference Score Calculation'!$R103)),5,IF(ISNUMBER(SEARCH($BV$108,'Reference Score Calculation'!$P103)),10,IF(ISNUMBER(SEARCH($BV$108,'Reference Score Calculation'!$Q103)),7,5)))))</f>
        <v>7</v>
      </c>
      <c r="CL126" s="455">
        <f>IF(ISNUMBER(SEARCH(CL$119,'Reference Score Calculation'!$P103)),10,IF(ISNUMBER(SEARCH(CL$119,'Reference Score Calculation'!$Q103)),7,IF(ISNUMBER(SEARCH(CL$119,'Reference Score Calculation'!$R103)),5,IF(ISNUMBER(SEARCH($BV$108,'Reference Score Calculation'!$P103)),10,IF(ISNUMBER(SEARCH($BV$108,'Reference Score Calculation'!$Q103)),7,5)))))</f>
        <v>7</v>
      </c>
      <c r="CM126" s="455">
        <f>IF(ISNUMBER(SEARCH(CM$119,'Reference Score Calculation'!$P103)),10,IF(ISNUMBER(SEARCH(CM$119,'Reference Score Calculation'!$Q103)),7,IF(ISNUMBER(SEARCH(CM$119,'Reference Score Calculation'!$R103)),5,IF(ISNUMBER(SEARCH($BV$108,'Reference Score Calculation'!$P103)),10,IF(ISNUMBER(SEARCH($BV$108,'Reference Score Calculation'!$Q103)),7,5)))))</f>
        <v>7</v>
      </c>
      <c r="CN126" s="455">
        <f>IF(ISNUMBER(SEARCH(CN$119,'Reference Score Calculation'!$P103)),10,IF(ISNUMBER(SEARCH(CN$119,'Reference Score Calculation'!$Q103)),7,IF(ISNUMBER(SEARCH(CN$119,'Reference Score Calculation'!$R103)),5,IF(ISNUMBER(SEARCH($BV$108,'Reference Score Calculation'!$P103)),10,IF(ISNUMBER(SEARCH($BV$108,'Reference Score Calculation'!$Q103)),7,5)))))</f>
        <v>7</v>
      </c>
      <c r="CO126" s="455">
        <f>IF(ISNUMBER(SEARCH(CO$119,'Reference Score Calculation'!$P103)),10,IF(ISNUMBER(SEARCH(CO$119,'Reference Score Calculation'!$Q103)),7,IF(ISNUMBER(SEARCH(CO$119,'Reference Score Calculation'!$R103)),5,IF(ISNUMBER(SEARCH($BV$108,'Reference Score Calculation'!$P103)),10,IF(ISNUMBER(SEARCH($BV$108,'Reference Score Calculation'!$Q103)),7,5)))))</f>
        <v>7</v>
      </c>
      <c r="CP126" s="455">
        <f>IF(ISNUMBER(SEARCH(CP$119,'Reference Score Calculation'!$P103)),10,IF(ISNUMBER(SEARCH(CP$119,'Reference Score Calculation'!$Q103)),7,IF(ISNUMBER(SEARCH(CP$119,'Reference Score Calculation'!$R103)),5,IF(ISNUMBER(SEARCH($BV$108,'Reference Score Calculation'!$P103)),10,IF(ISNUMBER(SEARCH($BV$108,'Reference Score Calculation'!$Q103)),7,5)))))</f>
        <v>7</v>
      </c>
      <c r="CQ126" s="455">
        <f>IF(ISNUMBER(SEARCH(CQ$119,'Reference Score Calculation'!$P103)),10,IF(ISNUMBER(SEARCH(CQ$119,'Reference Score Calculation'!$Q103)),7,IF(ISNUMBER(SEARCH(CQ$119,'Reference Score Calculation'!$R103)),5,IF(ISNUMBER(SEARCH($BV$108,'Reference Score Calculation'!$P103)),10,IF(ISNUMBER(SEARCH($BV$108,'Reference Score Calculation'!$Q103)),7,5)))))</f>
        <v>7</v>
      </c>
      <c r="CR126" s="455">
        <f>IF(ISNUMBER(SEARCH(CR$119,'Reference Score Calculation'!$P103)),10,IF(ISNUMBER(SEARCH(CR$119,'Reference Score Calculation'!$Q103)),7,IF(ISNUMBER(SEARCH(CR$119,'Reference Score Calculation'!$R103)),5,IF(ISNUMBER(SEARCH($BV$108,'Reference Score Calculation'!$P103)),10,IF(ISNUMBER(SEARCH($BV$108,'Reference Score Calculation'!$Q103)),7,5)))))</f>
        <v>7</v>
      </c>
      <c r="CS126" s="455">
        <f>IF(ISNUMBER(SEARCH(CS$119,'Reference Score Calculation'!$P103)),10,IF(ISNUMBER(SEARCH(CS$119,'Reference Score Calculation'!$Q103)),7,IF(ISNUMBER(SEARCH(CS$119,'Reference Score Calculation'!$R103)),5,IF(ISNUMBER(SEARCH($BV$108,'Reference Score Calculation'!$P103)),10,IF(ISNUMBER(SEARCH($BV$108,'Reference Score Calculation'!$Q103)),7,5)))))</f>
        <v>7</v>
      </c>
      <c r="CT126" s="455">
        <f>IF(ISNUMBER(SEARCH(CT$119,'Reference Score Calculation'!$P103)),10,IF(ISNUMBER(SEARCH(CT$119,'Reference Score Calculation'!$Q103)),7,IF(ISNUMBER(SEARCH(CT$119,'Reference Score Calculation'!$R103)),5,IF(ISNUMBER(SEARCH($BV$108,'Reference Score Calculation'!$P103)),10,IF(ISNUMBER(SEARCH($BV$108,'Reference Score Calculation'!$Q103)),7,5)))))</f>
        <v>7</v>
      </c>
      <c r="CU126" s="455">
        <f>IF(ISNUMBER(SEARCH(CU$119,'Reference Score Calculation'!$P103)),10,IF(ISNUMBER(SEARCH(CU$119,'Reference Score Calculation'!$Q103)),7,IF(ISNUMBER(SEARCH(CU$119,'Reference Score Calculation'!$R103)),5,IF(ISNUMBER(SEARCH($BV$108,'Reference Score Calculation'!$P103)),10,IF(ISNUMBER(SEARCH($BV$108,'Reference Score Calculation'!$Q103)),7,5)))))</f>
        <v>7</v>
      </c>
      <c r="CV126" s="455">
        <f>IF(ISNUMBER(SEARCH(CV$119,'Reference Score Calculation'!$P103)),10,IF(ISNUMBER(SEARCH(CV$119,'Reference Score Calculation'!$Q103)),7,IF(ISNUMBER(SEARCH(CV$119,'Reference Score Calculation'!$R103)),5,IF(ISNUMBER(SEARCH($BV$108,'Reference Score Calculation'!$P103)),10,IF(ISNUMBER(SEARCH($BV$108,'Reference Score Calculation'!$Q103)),7,5)))))</f>
        <v>7</v>
      </c>
      <c r="CW126" s="185"/>
      <c r="CX126" s="185"/>
      <c r="CY126" s="185"/>
    </row>
    <row r="127" spans="1:104">
      <c r="A127" s="117" t="s">
        <v>2730</v>
      </c>
      <c r="B127" s="459" t="str">
        <f>'Reference Score Calculation'!B104</f>
        <v>JS3008</v>
      </c>
      <c r="C127" s="117" t="str">
        <f>'Reference Score Calculation'!E104</f>
        <v>理學組合學士課程</v>
      </c>
      <c r="D127" s="117" t="str">
        <f>'Reference Score Calculation'!F112</f>
        <v>Best 5</v>
      </c>
      <c r="E127" s="131" t="str">
        <f>'Reference Score Calculation'!F104</f>
        <v>25年新科目</v>
      </c>
      <c r="F127" s="131"/>
      <c r="G127" s="117" t="str">
        <f>入學要求!AB113</f>
        <v>v</v>
      </c>
      <c r="H127" s="117" t="str">
        <f>入學要求!AC113</f>
        <v>E</v>
      </c>
      <c r="I127" s="117" t="str">
        <f>入學要求!AD113</f>
        <v>v</v>
      </c>
      <c r="J127" s="117">
        <f t="shared" si="211"/>
        <v>1.07E-8</v>
      </c>
      <c r="K127" s="117">
        <f t="shared" si="212"/>
        <v>7</v>
      </c>
      <c r="L127" s="117">
        <f t="shared" si="212"/>
        <v>10</v>
      </c>
      <c r="M127" s="117">
        <f t="shared" si="212"/>
        <v>10</v>
      </c>
      <c r="N127" s="117">
        <f t="shared" si="212"/>
        <v>0</v>
      </c>
      <c r="O127" s="117">
        <f t="shared" si="212"/>
        <v>10</v>
      </c>
      <c r="P127" s="117">
        <f t="shared" si="212"/>
        <v>0</v>
      </c>
      <c r="Q127" s="117">
        <f t="shared" si="212"/>
        <v>0</v>
      </c>
      <c r="R127" s="117">
        <f t="shared" si="212"/>
        <v>0</v>
      </c>
      <c r="S127" s="117">
        <f t="shared" si="212"/>
        <v>0</v>
      </c>
      <c r="T127" s="117">
        <v>5</v>
      </c>
      <c r="V127" s="117">
        <f t="shared" si="224"/>
        <v>7.0000000000000006E-10</v>
      </c>
      <c r="W127" s="117">
        <f t="shared" si="225"/>
        <v>2.0000000000000001E-9</v>
      </c>
      <c r="X127" s="117">
        <f t="shared" si="226"/>
        <v>3E-9</v>
      </c>
      <c r="Z127" s="117">
        <f t="shared" si="227"/>
        <v>5.0000000000000001E-9</v>
      </c>
      <c r="AA127" s="117">
        <f t="shared" si="228"/>
        <v>0</v>
      </c>
      <c r="AB127" s="117">
        <f t="shared" si="229"/>
        <v>0</v>
      </c>
      <c r="AC127" s="117">
        <f t="shared" si="230"/>
        <v>0</v>
      </c>
      <c r="AD127" s="117">
        <f t="shared" si="231"/>
        <v>0</v>
      </c>
      <c r="AE127" s="117">
        <f t="shared" si="232"/>
        <v>0</v>
      </c>
      <c r="AF127" s="117">
        <f t="shared" si="213"/>
        <v>7.0000000000000006E-10</v>
      </c>
      <c r="AG127" s="117">
        <f t="shared" si="214"/>
        <v>2.0000000000000001E-9</v>
      </c>
      <c r="AH127" s="117">
        <f t="shared" si="215"/>
        <v>3E-9</v>
      </c>
      <c r="AI127" s="117">
        <f t="shared" si="216"/>
        <v>0</v>
      </c>
      <c r="AJ127" s="117">
        <f t="shared" si="217"/>
        <v>5.0000000000000001E-9</v>
      </c>
      <c r="AK127" s="117">
        <f t="shared" si="218"/>
        <v>0</v>
      </c>
      <c r="AL127" s="117">
        <f t="shared" si="219"/>
        <v>0</v>
      </c>
      <c r="AM127" s="117">
        <f t="shared" si="220"/>
        <v>0</v>
      </c>
      <c r="AN127" s="117">
        <f t="shared" si="221"/>
        <v>0</v>
      </c>
      <c r="AO127" s="117">
        <f t="shared" si="222"/>
        <v>0</v>
      </c>
      <c r="AP127" s="117" t="b">
        <f t="shared" si="233"/>
        <v>1</v>
      </c>
      <c r="AQ127" s="117" t="b">
        <f t="shared" si="234"/>
        <v>1</v>
      </c>
      <c r="AR127" s="117" t="b">
        <f t="shared" si="235"/>
        <v>1</v>
      </c>
      <c r="AT127" s="117" t="b">
        <f t="shared" si="236"/>
        <v>1</v>
      </c>
      <c r="AU127" s="117" t="b">
        <f t="shared" si="237"/>
        <v>0</v>
      </c>
      <c r="AV127" s="117" t="b">
        <f t="shared" si="238"/>
        <v>0</v>
      </c>
      <c r="AW127" s="117" t="b">
        <f t="shared" si="239"/>
        <v>0</v>
      </c>
      <c r="AX127" s="117" t="b">
        <f t="shared" si="240"/>
        <v>0</v>
      </c>
      <c r="AY127" s="117" t="b">
        <f t="shared" si="241"/>
        <v>0</v>
      </c>
      <c r="AZ127" s="142"/>
      <c r="BA127" s="2"/>
      <c r="BB127" s="2"/>
      <c r="BC127" s="2"/>
      <c r="BD127" s="2"/>
      <c r="BE127" s="2"/>
      <c r="BF127" s="2"/>
      <c r="BG127" s="2"/>
      <c r="BH127" s="2"/>
      <c r="BI127" s="2"/>
      <c r="BJ127" s="2"/>
      <c r="BK127" s="2"/>
      <c r="BL127" s="2"/>
      <c r="BM127" s="2"/>
      <c r="BN127" s="2"/>
      <c r="BO127" s="2"/>
      <c r="BP127" s="2"/>
      <c r="BQ127" s="2"/>
      <c r="BR127" s="2"/>
      <c r="BS127" s="185" t="str">
        <f>'Reference Score Calculation'!B104</f>
        <v>JS3008</v>
      </c>
      <c r="BT127" s="185"/>
      <c r="BU127" s="455">
        <f>IF(ISNUMBER(SEARCH(BU$119,'Reference Score Calculation'!$P104)),10,IF(ISNUMBER(SEARCH(BU$119,'Reference Score Calculation'!$Q104)),7,IF(ISNUMBER(SEARCH(BU$119,'Reference Score Calculation'!$R104)),5,IF(ISNUMBER(SEARCH($BV$108,'Reference Score Calculation'!$P104)),10,IF(ISNUMBER(SEARCH($BV$108,'Reference Score Calculation'!$Q104)),7,5)))))</f>
        <v>7</v>
      </c>
      <c r="BV127" s="455">
        <f>IF(ISNUMBER(SEARCH(BV$119,'Reference Score Calculation'!$P104)),10,IF(ISNUMBER(SEARCH(BV$119,'Reference Score Calculation'!$Q104)),7,IF(ISNUMBER(SEARCH(BV$119,'Reference Score Calculation'!$R104)),5,IF(ISNUMBER(SEARCH($BV$108,'Reference Score Calculation'!$P104)),10,IF(ISNUMBER(SEARCH($BV$108,'Reference Score Calculation'!$Q104)),7,5)))))</f>
        <v>10</v>
      </c>
      <c r="BW127" s="455">
        <f>IF(ISNUMBER(SEARCH(BW$119,'Reference Score Calculation'!$P104)),10,IF(ISNUMBER(SEARCH(BW$119,'Reference Score Calculation'!$Q104)),7,IF(ISNUMBER(SEARCH(BW$119,'Reference Score Calculation'!$R104)),5,IF(ISNUMBER(SEARCH($BV$108,'Reference Score Calculation'!$P104)),10,IF(ISNUMBER(SEARCH($BV$108,'Reference Score Calculation'!$Q104)),7,5)))))</f>
        <v>10</v>
      </c>
      <c r="BX127" s="455">
        <f>IF(ISNUMBER(SEARCH(BX$119,'Reference Score Calculation'!$P104)),10,IF(ISNUMBER(SEARCH(BX$119,'Reference Score Calculation'!$Q104)),7,IF(ISNUMBER(SEARCH(BX$119,'Reference Score Calculation'!$R104)),5,IF(ISNUMBER(SEARCH($BV$108,'Reference Score Calculation'!$P104)),10,IF(ISNUMBER(SEARCH($BV$108,'Reference Score Calculation'!$Q104)),7,5)))))</f>
        <v>5</v>
      </c>
      <c r="BY127" s="455">
        <f>IF(ISNUMBER(SEARCH(BY$119,'Reference Score Calculation'!$P104)),10,IF(ISNUMBER(SEARCH(BY$119,'Reference Score Calculation'!$Q104)),7,IF(ISNUMBER(SEARCH(BY$119,'Reference Score Calculation'!$R104)),5,IF(ISNUMBER(SEARCH($BV$108,'Reference Score Calculation'!$P104)),10,IF(ISNUMBER(SEARCH($BV$108,'Reference Score Calculation'!$Q104)),7,5)))))</f>
        <v>10</v>
      </c>
      <c r="BZ127" s="455">
        <f>IF(ISNUMBER(SEARCH(BZ$119,'Reference Score Calculation'!$P104)),10,IF(ISNUMBER(SEARCH(BZ$119,'Reference Score Calculation'!$Q104)),7,IF(ISNUMBER(SEARCH(BZ$119,'Reference Score Calculation'!$R104)),5,IF(ISNUMBER(SEARCH($BV$108,'Reference Score Calculation'!$P104)),10,IF(ISNUMBER(SEARCH($BV$108,'Reference Score Calculation'!$Q104)),7,5)))))</f>
        <v>10</v>
      </c>
      <c r="CA127" s="455">
        <f>IF(ISNUMBER(SEARCH(CA$119,'Reference Score Calculation'!$P104)),10,IF(ISNUMBER(SEARCH(CA$119,'Reference Score Calculation'!$Q104)),7,IF(ISNUMBER(SEARCH(CA$119,'Reference Score Calculation'!$R104)),5,IF(ISNUMBER(SEARCH($BV$108,'Reference Score Calculation'!$P104)),10,IF(ISNUMBER(SEARCH($BV$108,'Reference Score Calculation'!$Q104)),7,5)))))</f>
        <v>10</v>
      </c>
      <c r="CB127" s="455">
        <f>IF(ISNUMBER(SEARCH(CB$119,'Reference Score Calculation'!$P104)),10,IF(ISNUMBER(SEARCH(CB$119,'Reference Score Calculation'!$Q104)),7,IF(ISNUMBER(SEARCH(CB$119,'Reference Score Calculation'!$R104)),5,IF(ISNUMBER(SEARCH($BV$108,'Reference Score Calculation'!$P104)),10,IF(ISNUMBER(SEARCH($BV$108,'Reference Score Calculation'!$Q104)),7,5)))))</f>
        <v>10</v>
      </c>
      <c r="CC127" s="455">
        <f>IF(ISNUMBER(SEARCH(CC$119,'Reference Score Calculation'!$P104)),10,IF(ISNUMBER(SEARCH(CC$119,'Reference Score Calculation'!$Q104)),7,IF(ISNUMBER(SEARCH(CC$119,'Reference Score Calculation'!$R104)),5,IF(ISNUMBER(SEARCH($BV$108,'Reference Score Calculation'!$P104)),10,IF(ISNUMBER(SEARCH($BV$108,'Reference Score Calculation'!$Q104)),7,5)))))</f>
        <v>10</v>
      </c>
      <c r="CD127" s="455">
        <f>IF(ISNUMBER(SEARCH(CD$119,'Reference Score Calculation'!$P104)),10,IF(ISNUMBER(SEARCH(CD$119,'Reference Score Calculation'!$Q104)),7,IF(ISNUMBER(SEARCH(CD$119,'Reference Score Calculation'!$R104)),5,IF(ISNUMBER(SEARCH($BV$108,'Reference Score Calculation'!$P104)),10,IF(ISNUMBER(SEARCH($BV$108,'Reference Score Calculation'!$Q104)),7,5)))))</f>
        <v>7</v>
      </c>
      <c r="CE127" s="455">
        <f>IF(ISNUMBER(SEARCH(CE$119,'Reference Score Calculation'!$P104)),10,IF(ISNUMBER(SEARCH(CE$119,'Reference Score Calculation'!$Q104)),7,IF(ISNUMBER(SEARCH(CE$119,'Reference Score Calculation'!$R104)),5,IF(ISNUMBER(SEARCH($BV$108,'Reference Score Calculation'!$P104)),10,IF(ISNUMBER(SEARCH($BV$108,'Reference Score Calculation'!$Q104)),7,5)))))</f>
        <v>5</v>
      </c>
      <c r="CF127" s="455">
        <f>IF(ISNUMBER(SEARCH(CF$119,'Reference Score Calculation'!$P104)),10,IF(ISNUMBER(SEARCH(CF$119,'Reference Score Calculation'!$Q104)),7,IF(ISNUMBER(SEARCH(CF$119,'Reference Score Calculation'!$R104)),5,IF(ISNUMBER(SEARCH($BV$108,'Reference Score Calculation'!$P104)),10,IF(ISNUMBER(SEARCH($BV$108,'Reference Score Calculation'!$Q104)),7,5)))))</f>
        <v>5</v>
      </c>
      <c r="CG127" s="455">
        <f>IF(ISNUMBER(SEARCH(CG$119,'Reference Score Calculation'!$P104)),10,IF(ISNUMBER(SEARCH(CG$119,'Reference Score Calculation'!$Q104)),7,IF(ISNUMBER(SEARCH(CG$119,'Reference Score Calculation'!$R104)),5,IF(ISNUMBER(SEARCH($BV$108,'Reference Score Calculation'!$P104)),10,IF(ISNUMBER(SEARCH($BV$108,'Reference Score Calculation'!$Q104)),7,5)))))</f>
        <v>5</v>
      </c>
      <c r="CH127" s="455">
        <f>IF(ISNUMBER(SEARCH(CH$119,'Reference Score Calculation'!$P104)),10,IF(ISNUMBER(SEARCH(CH$119,'Reference Score Calculation'!$Q104)),7,IF(ISNUMBER(SEARCH(CH$119,'Reference Score Calculation'!$R104)),5,IF(ISNUMBER(SEARCH($BV$108,'Reference Score Calculation'!$P104)),10,IF(ISNUMBER(SEARCH($BV$108,'Reference Score Calculation'!$Q104)),7,5)))))</f>
        <v>5</v>
      </c>
      <c r="CI127" s="455">
        <f>IF(ISNUMBER(SEARCH(CI$119,'Reference Score Calculation'!$P104)),10,IF(ISNUMBER(SEARCH(CI$119,'Reference Score Calculation'!$Q104)),7,IF(ISNUMBER(SEARCH(CI$119,'Reference Score Calculation'!$R104)),5,IF(ISNUMBER(SEARCH($BV$108,'Reference Score Calculation'!$P104)),10,IF(ISNUMBER(SEARCH($BV$108,'Reference Score Calculation'!$Q104)),7,5)))))</f>
        <v>5</v>
      </c>
      <c r="CJ127" s="455">
        <f>IF(ISNUMBER(SEARCH(CJ$119,'Reference Score Calculation'!$P104)),10,IF(ISNUMBER(SEARCH(CJ$119,'Reference Score Calculation'!$Q104)),7,IF(ISNUMBER(SEARCH(CJ$119,'Reference Score Calculation'!$R104)),5,IF(ISNUMBER(SEARCH($BV$108,'Reference Score Calculation'!$P104)),10,IF(ISNUMBER(SEARCH($BV$108,'Reference Score Calculation'!$Q104)),7,5)))))</f>
        <v>10</v>
      </c>
      <c r="CK127" s="455">
        <f>IF(ISNUMBER(SEARCH(CK$119,'Reference Score Calculation'!$P104)),10,IF(ISNUMBER(SEARCH(CK$119,'Reference Score Calculation'!$Q104)),7,IF(ISNUMBER(SEARCH(CK$119,'Reference Score Calculation'!$R104)),5,IF(ISNUMBER(SEARCH($BV$108,'Reference Score Calculation'!$P104)),10,IF(ISNUMBER(SEARCH($BV$108,'Reference Score Calculation'!$Q104)),7,5)))))</f>
        <v>5</v>
      </c>
      <c r="CL127" s="455">
        <f>IF(ISNUMBER(SEARCH(CL$119,'Reference Score Calculation'!$P104)),10,IF(ISNUMBER(SEARCH(CL$119,'Reference Score Calculation'!$Q104)),7,IF(ISNUMBER(SEARCH(CL$119,'Reference Score Calculation'!$R104)),5,IF(ISNUMBER(SEARCH($BV$108,'Reference Score Calculation'!$P104)),10,IF(ISNUMBER(SEARCH($BV$108,'Reference Score Calculation'!$Q104)),7,5)))))</f>
        <v>5</v>
      </c>
      <c r="CM127" s="455">
        <f>IF(ISNUMBER(SEARCH(CM$119,'Reference Score Calculation'!$P104)),10,IF(ISNUMBER(SEARCH(CM$119,'Reference Score Calculation'!$Q104)),7,IF(ISNUMBER(SEARCH(CM$119,'Reference Score Calculation'!$R104)),5,IF(ISNUMBER(SEARCH($BV$108,'Reference Score Calculation'!$P104)),10,IF(ISNUMBER(SEARCH($BV$108,'Reference Score Calculation'!$Q104)),7,5)))))</f>
        <v>5</v>
      </c>
      <c r="CN127" s="455">
        <f>IF(ISNUMBER(SEARCH(CN$119,'Reference Score Calculation'!$P104)),10,IF(ISNUMBER(SEARCH(CN$119,'Reference Score Calculation'!$Q104)),7,IF(ISNUMBER(SEARCH(CN$119,'Reference Score Calculation'!$R104)),5,IF(ISNUMBER(SEARCH($BV$108,'Reference Score Calculation'!$P104)),10,IF(ISNUMBER(SEARCH($BV$108,'Reference Score Calculation'!$Q104)),7,5)))))</f>
        <v>7</v>
      </c>
      <c r="CO127" s="455">
        <f>IF(ISNUMBER(SEARCH(CO$119,'Reference Score Calculation'!$P104)),10,IF(ISNUMBER(SEARCH(CO$119,'Reference Score Calculation'!$Q104)),7,IF(ISNUMBER(SEARCH(CO$119,'Reference Score Calculation'!$R104)),5,IF(ISNUMBER(SEARCH($BV$108,'Reference Score Calculation'!$P104)),10,IF(ISNUMBER(SEARCH($BV$108,'Reference Score Calculation'!$Q104)),7,5)))))</f>
        <v>7</v>
      </c>
      <c r="CP127" s="455">
        <f>IF(ISNUMBER(SEARCH(CP$119,'Reference Score Calculation'!$P104)),10,IF(ISNUMBER(SEARCH(CP$119,'Reference Score Calculation'!$Q104)),7,IF(ISNUMBER(SEARCH(CP$119,'Reference Score Calculation'!$R104)),5,IF(ISNUMBER(SEARCH($BV$108,'Reference Score Calculation'!$P104)),10,IF(ISNUMBER(SEARCH($BV$108,'Reference Score Calculation'!$Q104)),7,5)))))</f>
        <v>5</v>
      </c>
      <c r="CQ127" s="455">
        <f>IF(ISNUMBER(SEARCH(CQ$119,'Reference Score Calculation'!$P104)),10,IF(ISNUMBER(SEARCH(CQ$119,'Reference Score Calculation'!$Q104)),7,IF(ISNUMBER(SEARCH(CQ$119,'Reference Score Calculation'!$R104)),5,IF(ISNUMBER(SEARCH($BV$108,'Reference Score Calculation'!$P104)),10,IF(ISNUMBER(SEARCH($BV$108,'Reference Score Calculation'!$Q104)),7,5)))))</f>
        <v>5</v>
      </c>
      <c r="CR127" s="455">
        <f>IF(ISNUMBER(SEARCH(CR$119,'Reference Score Calculation'!$P104)),10,IF(ISNUMBER(SEARCH(CR$119,'Reference Score Calculation'!$Q104)),7,IF(ISNUMBER(SEARCH(CR$119,'Reference Score Calculation'!$R104)),5,IF(ISNUMBER(SEARCH($BV$108,'Reference Score Calculation'!$P104)),10,IF(ISNUMBER(SEARCH($BV$108,'Reference Score Calculation'!$Q104)),7,5)))))</f>
        <v>5</v>
      </c>
      <c r="CS127" s="455">
        <f>IF(ISNUMBER(SEARCH(CS$119,'Reference Score Calculation'!$P104)),10,IF(ISNUMBER(SEARCH(CS$119,'Reference Score Calculation'!$Q104)),7,IF(ISNUMBER(SEARCH(CS$119,'Reference Score Calculation'!$R104)),5,IF(ISNUMBER(SEARCH($BV$108,'Reference Score Calculation'!$P104)),10,IF(ISNUMBER(SEARCH($BV$108,'Reference Score Calculation'!$Q104)),7,5)))))</f>
        <v>10</v>
      </c>
      <c r="CT127" s="455">
        <f>IF(ISNUMBER(SEARCH(CT$119,'Reference Score Calculation'!$P104)),10,IF(ISNUMBER(SEARCH(CT$119,'Reference Score Calculation'!$Q104)),7,IF(ISNUMBER(SEARCH(CT$119,'Reference Score Calculation'!$R104)),5,IF(ISNUMBER(SEARCH($BV$108,'Reference Score Calculation'!$P104)),10,IF(ISNUMBER(SEARCH($BV$108,'Reference Score Calculation'!$Q104)),7,5)))))</f>
        <v>10</v>
      </c>
      <c r="CU127" s="455">
        <f>IF(ISNUMBER(SEARCH(CU$119,'Reference Score Calculation'!$P104)),10,IF(ISNUMBER(SEARCH(CU$119,'Reference Score Calculation'!$Q104)),7,IF(ISNUMBER(SEARCH(CU$119,'Reference Score Calculation'!$R104)),5,IF(ISNUMBER(SEARCH($BV$108,'Reference Score Calculation'!$P104)),10,IF(ISNUMBER(SEARCH($BV$108,'Reference Score Calculation'!$Q104)),7,5)))))</f>
        <v>5</v>
      </c>
      <c r="CV127" s="455">
        <f>IF(ISNUMBER(SEARCH(CV$119,'Reference Score Calculation'!$P104)),10,IF(ISNUMBER(SEARCH(CV$119,'Reference Score Calculation'!$Q104)),7,IF(ISNUMBER(SEARCH(CV$119,'Reference Score Calculation'!$R104)),5,IF(ISNUMBER(SEARCH($BV$108,'Reference Score Calculation'!$P104)),10,IF(ISNUMBER(SEARCH($BV$108,'Reference Score Calculation'!$Q104)),7,5)))))</f>
        <v>10</v>
      </c>
      <c r="CW127" s="185"/>
      <c r="CX127" s="185"/>
      <c r="CY127" s="185"/>
    </row>
    <row r="128" spans="1:104" s="142" customFormat="1">
      <c r="A128" s="117" t="s">
        <v>2112</v>
      </c>
      <c r="B128" s="459" t="str">
        <f>'Reference Score Calculation'!B105</f>
        <v>JS3011</v>
      </c>
      <c r="C128" s="117" t="str">
        <f>'Reference Score Calculation'!E105</f>
        <v>生物科技及化學科技(榮譽)理學士組合課程</v>
      </c>
      <c r="D128" s="117" t="str">
        <f>'Reference Score Calculation'!F105</f>
        <v>Best 5</v>
      </c>
      <c r="E128" s="131" t="str">
        <f>'Reference Score Calculation'!F105</f>
        <v>Best 5</v>
      </c>
      <c r="F128" s="131"/>
      <c r="G128" s="117" t="str">
        <f>入學要求!AB114</f>
        <v>v</v>
      </c>
      <c r="H128" s="117" t="str">
        <f>入學要求!AC114</f>
        <v>E</v>
      </c>
      <c r="I128" s="117" t="str">
        <f>入學要求!AD114</f>
        <v>v</v>
      </c>
      <c r="J128" s="117">
        <f t="shared" si="211"/>
        <v>9.1999999999999997E-9</v>
      </c>
      <c r="K128" s="117">
        <f t="shared" si="212"/>
        <v>7</v>
      </c>
      <c r="L128" s="117">
        <f t="shared" si="212"/>
        <v>10</v>
      </c>
      <c r="M128" s="117">
        <f t="shared" si="212"/>
        <v>10</v>
      </c>
      <c r="N128" s="117">
        <f t="shared" si="212"/>
        <v>0</v>
      </c>
      <c r="O128" s="117">
        <f t="shared" si="212"/>
        <v>7</v>
      </c>
      <c r="P128" s="117">
        <f t="shared" si="212"/>
        <v>0</v>
      </c>
      <c r="Q128" s="117">
        <f t="shared" si="212"/>
        <v>0</v>
      </c>
      <c r="R128" s="117">
        <f t="shared" si="212"/>
        <v>0</v>
      </c>
      <c r="S128" s="117">
        <f t="shared" si="212"/>
        <v>0</v>
      </c>
      <c r="T128" s="117">
        <v>5</v>
      </c>
      <c r="U128" s="117"/>
      <c r="V128" s="117">
        <f t="shared" si="224"/>
        <v>7.0000000000000006E-10</v>
      </c>
      <c r="W128" s="117">
        <f t="shared" si="225"/>
        <v>2.0000000000000001E-9</v>
      </c>
      <c r="X128" s="117">
        <f t="shared" si="226"/>
        <v>3E-9</v>
      </c>
      <c r="Y128" s="117"/>
      <c r="Z128" s="117">
        <f t="shared" si="227"/>
        <v>3.5000000000000003E-9</v>
      </c>
      <c r="AA128" s="117">
        <f t="shared" si="228"/>
        <v>0</v>
      </c>
      <c r="AB128" s="117">
        <f t="shared" si="229"/>
        <v>0</v>
      </c>
      <c r="AC128" s="117">
        <f t="shared" si="230"/>
        <v>0</v>
      </c>
      <c r="AD128" s="117">
        <f t="shared" si="231"/>
        <v>0</v>
      </c>
      <c r="AE128" s="117">
        <f t="shared" si="232"/>
        <v>0</v>
      </c>
      <c r="AF128" s="117">
        <f t="shared" si="213"/>
        <v>7.0000000000000006E-10</v>
      </c>
      <c r="AG128" s="117">
        <f t="shared" si="214"/>
        <v>2.0000000000000001E-9</v>
      </c>
      <c r="AH128" s="117">
        <f t="shared" si="215"/>
        <v>3E-9</v>
      </c>
      <c r="AI128" s="117">
        <f t="shared" si="216"/>
        <v>0</v>
      </c>
      <c r="AJ128" s="117">
        <f t="shared" si="217"/>
        <v>3.5000000000000003E-9</v>
      </c>
      <c r="AK128" s="117">
        <f t="shared" si="218"/>
        <v>0</v>
      </c>
      <c r="AL128" s="117">
        <f t="shared" si="219"/>
        <v>0</v>
      </c>
      <c r="AM128" s="117">
        <f t="shared" si="220"/>
        <v>0</v>
      </c>
      <c r="AN128" s="117">
        <f t="shared" si="221"/>
        <v>0</v>
      </c>
      <c r="AO128" s="117">
        <f t="shared" si="222"/>
        <v>0</v>
      </c>
      <c r="AP128" s="117" t="b">
        <f t="shared" si="233"/>
        <v>1</v>
      </c>
      <c r="AQ128" s="117" t="b">
        <f t="shared" si="234"/>
        <v>1</v>
      </c>
      <c r="AR128" s="117" t="b">
        <f t="shared" si="235"/>
        <v>1</v>
      </c>
      <c r="AS128" s="117"/>
      <c r="AT128" s="117" t="b">
        <f t="shared" si="236"/>
        <v>1</v>
      </c>
      <c r="AU128" s="117" t="b">
        <f t="shared" si="237"/>
        <v>0</v>
      </c>
      <c r="AV128" s="117" t="b">
        <f t="shared" si="238"/>
        <v>0</v>
      </c>
      <c r="AW128" s="117" t="b">
        <f t="shared" si="239"/>
        <v>0</v>
      </c>
      <c r="AX128" s="117" t="b">
        <f t="shared" si="240"/>
        <v>0</v>
      </c>
      <c r="AY128" s="117" t="b">
        <f t="shared" si="241"/>
        <v>0</v>
      </c>
      <c r="AZ128" s="117"/>
      <c r="BA128" s="2"/>
      <c r="BB128" s="2"/>
      <c r="BC128" s="2"/>
      <c r="BD128" s="2"/>
      <c r="BE128" s="2"/>
      <c r="BF128" s="2"/>
      <c r="BG128" s="2"/>
      <c r="BH128" s="2"/>
      <c r="BI128" s="2"/>
      <c r="BJ128" s="2"/>
      <c r="BK128" s="2"/>
      <c r="BL128" s="2"/>
      <c r="BM128" s="2"/>
      <c r="BN128" s="2"/>
      <c r="BO128" s="2"/>
      <c r="BP128" s="2"/>
      <c r="BQ128" s="2"/>
      <c r="BR128" s="2"/>
      <c r="BS128" s="185" t="str">
        <f>'Reference Score Calculation'!B105</f>
        <v>JS3011</v>
      </c>
      <c r="BT128" s="185"/>
      <c r="BU128" s="455">
        <f>IF(ISNUMBER(SEARCH(BU$119,'Reference Score Calculation'!$P105)),10,IF(ISNUMBER(SEARCH(BU$119,'Reference Score Calculation'!$Q105)),7,IF(ISNUMBER(SEARCH(BU$119,'Reference Score Calculation'!$R105)),5,IF(ISNUMBER(SEARCH($BV$108,'Reference Score Calculation'!$P105)),10,IF(ISNUMBER(SEARCH($BV$108,'Reference Score Calculation'!$Q105)),7,5)))))</f>
        <v>7</v>
      </c>
      <c r="BV128" s="455">
        <f>IF(ISNUMBER(SEARCH(BV$119,'Reference Score Calculation'!$P105)),10,IF(ISNUMBER(SEARCH(BV$119,'Reference Score Calculation'!$Q105)),7,IF(ISNUMBER(SEARCH(BV$119,'Reference Score Calculation'!$R105)),5,IF(ISNUMBER(SEARCH($BV$108,'Reference Score Calculation'!$P105)),10,IF(ISNUMBER(SEARCH($BV$108,'Reference Score Calculation'!$Q105)),7,5)))))</f>
        <v>10</v>
      </c>
      <c r="BW128" s="455">
        <f>IF(ISNUMBER(SEARCH(BW$119,'Reference Score Calculation'!$P105)),10,IF(ISNUMBER(SEARCH(BW$119,'Reference Score Calculation'!$Q105)),7,IF(ISNUMBER(SEARCH(BW$119,'Reference Score Calculation'!$R105)),5,IF(ISNUMBER(SEARCH($BV$108,'Reference Score Calculation'!$P105)),10,IF(ISNUMBER(SEARCH($BV$108,'Reference Score Calculation'!$Q105)),7,5)))))</f>
        <v>10</v>
      </c>
      <c r="BX128" s="455">
        <f>IF(ISNUMBER(SEARCH(BX$119,'Reference Score Calculation'!$P105)),10,IF(ISNUMBER(SEARCH(BX$119,'Reference Score Calculation'!$Q105)),7,IF(ISNUMBER(SEARCH(BX$119,'Reference Score Calculation'!$R105)),5,IF(ISNUMBER(SEARCH($BV$108,'Reference Score Calculation'!$P105)),10,IF(ISNUMBER(SEARCH($BV$108,'Reference Score Calculation'!$Q105)),7,5)))))</f>
        <v>5</v>
      </c>
      <c r="BY128" s="455">
        <f>IF(ISNUMBER(SEARCH(BY$119,'Reference Score Calculation'!$P105)),10,IF(ISNUMBER(SEARCH(BY$119,'Reference Score Calculation'!$Q105)),7,IF(ISNUMBER(SEARCH(BY$119,'Reference Score Calculation'!$R105)),5,IF(ISNUMBER(SEARCH($BV$108,'Reference Score Calculation'!$P105)),10,IF(ISNUMBER(SEARCH($BV$108,'Reference Score Calculation'!$Q105)),7,5)))))</f>
        <v>7</v>
      </c>
      <c r="BZ128" s="455">
        <f>IF(ISNUMBER(SEARCH(BZ$119,'Reference Score Calculation'!$P105)),10,IF(ISNUMBER(SEARCH(BZ$119,'Reference Score Calculation'!$Q105)),7,IF(ISNUMBER(SEARCH(BZ$119,'Reference Score Calculation'!$R105)),5,IF(ISNUMBER(SEARCH($BV$108,'Reference Score Calculation'!$P105)),10,IF(ISNUMBER(SEARCH($BV$108,'Reference Score Calculation'!$Q105)),7,5)))))</f>
        <v>10</v>
      </c>
      <c r="CA128" s="455">
        <f>IF(ISNUMBER(SEARCH(CA$119,'Reference Score Calculation'!$P105)),10,IF(ISNUMBER(SEARCH(CA$119,'Reference Score Calculation'!$Q105)),7,IF(ISNUMBER(SEARCH(CA$119,'Reference Score Calculation'!$R105)),5,IF(ISNUMBER(SEARCH($BV$108,'Reference Score Calculation'!$P105)),10,IF(ISNUMBER(SEARCH($BV$108,'Reference Score Calculation'!$Q105)),7,5)))))</f>
        <v>10</v>
      </c>
      <c r="CB128" s="455">
        <f>IF(ISNUMBER(SEARCH(CB$119,'Reference Score Calculation'!$P105)),10,IF(ISNUMBER(SEARCH(CB$119,'Reference Score Calculation'!$Q105)),7,IF(ISNUMBER(SEARCH(CB$119,'Reference Score Calculation'!$R105)),5,IF(ISNUMBER(SEARCH($BV$108,'Reference Score Calculation'!$P105)),10,IF(ISNUMBER(SEARCH($BV$108,'Reference Score Calculation'!$Q105)),7,5)))))</f>
        <v>10</v>
      </c>
      <c r="CC128" s="455">
        <f>IF(ISNUMBER(SEARCH(CC$119,'Reference Score Calculation'!$P105)),10,IF(ISNUMBER(SEARCH(CC$119,'Reference Score Calculation'!$Q105)),7,IF(ISNUMBER(SEARCH(CC$119,'Reference Score Calculation'!$R105)),5,IF(ISNUMBER(SEARCH($BV$108,'Reference Score Calculation'!$P105)),10,IF(ISNUMBER(SEARCH($BV$108,'Reference Score Calculation'!$Q105)),7,5)))))</f>
        <v>5</v>
      </c>
      <c r="CD128" s="455">
        <f>IF(ISNUMBER(SEARCH(CD$119,'Reference Score Calculation'!$P105)),10,IF(ISNUMBER(SEARCH(CD$119,'Reference Score Calculation'!$Q105)),7,IF(ISNUMBER(SEARCH(CD$119,'Reference Score Calculation'!$R105)),5,IF(ISNUMBER(SEARCH($BV$108,'Reference Score Calculation'!$P105)),10,IF(ISNUMBER(SEARCH($BV$108,'Reference Score Calculation'!$Q105)),7,5)))))</f>
        <v>5</v>
      </c>
      <c r="CE128" s="455">
        <f>IF(ISNUMBER(SEARCH(CE$119,'Reference Score Calculation'!$P105)),10,IF(ISNUMBER(SEARCH(CE$119,'Reference Score Calculation'!$Q105)),7,IF(ISNUMBER(SEARCH(CE$119,'Reference Score Calculation'!$R105)),5,IF(ISNUMBER(SEARCH($BV$108,'Reference Score Calculation'!$P105)),10,IF(ISNUMBER(SEARCH($BV$108,'Reference Score Calculation'!$Q105)),7,5)))))</f>
        <v>5</v>
      </c>
      <c r="CF128" s="455">
        <f>IF(ISNUMBER(SEARCH(CF$119,'Reference Score Calculation'!$P105)),10,IF(ISNUMBER(SEARCH(CF$119,'Reference Score Calculation'!$Q105)),7,IF(ISNUMBER(SEARCH(CF$119,'Reference Score Calculation'!$R105)),5,IF(ISNUMBER(SEARCH($BV$108,'Reference Score Calculation'!$P105)),10,IF(ISNUMBER(SEARCH($BV$108,'Reference Score Calculation'!$Q105)),7,5)))))</f>
        <v>5</v>
      </c>
      <c r="CG128" s="455">
        <f>IF(ISNUMBER(SEARCH(CG$119,'Reference Score Calculation'!$P105)),10,IF(ISNUMBER(SEARCH(CG$119,'Reference Score Calculation'!$Q105)),7,IF(ISNUMBER(SEARCH(CG$119,'Reference Score Calculation'!$R105)),5,IF(ISNUMBER(SEARCH($BV$108,'Reference Score Calculation'!$P105)),10,IF(ISNUMBER(SEARCH($BV$108,'Reference Score Calculation'!$Q105)),7,5)))))</f>
        <v>5</v>
      </c>
      <c r="CH128" s="455">
        <f>IF(ISNUMBER(SEARCH(CH$119,'Reference Score Calculation'!$P105)),10,IF(ISNUMBER(SEARCH(CH$119,'Reference Score Calculation'!$Q105)),7,IF(ISNUMBER(SEARCH(CH$119,'Reference Score Calculation'!$R105)),5,IF(ISNUMBER(SEARCH($BV$108,'Reference Score Calculation'!$P105)),10,IF(ISNUMBER(SEARCH($BV$108,'Reference Score Calculation'!$Q105)),7,5)))))</f>
        <v>5</v>
      </c>
      <c r="CI128" s="455">
        <f>IF(ISNUMBER(SEARCH(CI$119,'Reference Score Calculation'!$P105)),10,IF(ISNUMBER(SEARCH(CI$119,'Reference Score Calculation'!$Q105)),7,IF(ISNUMBER(SEARCH(CI$119,'Reference Score Calculation'!$R105)),5,IF(ISNUMBER(SEARCH($BV$108,'Reference Score Calculation'!$P105)),10,IF(ISNUMBER(SEARCH($BV$108,'Reference Score Calculation'!$Q105)),7,5)))))</f>
        <v>5</v>
      </c>
      <c r="CJ128" s="455">
        <f>IF(ISNUMBER(SEARCH(CJ$119,'Reference Score Calculation'!$P105)),10,IF(ISNUMBER(SEARCH(CJ$119,'Reference Score Calculation'!$Q105)),7,IF(ISNUMBER(SEARCH(CJ$119,'Reference Score Calculation'!$R105)),5,IF(ISNUMBER(SEARCH($BV$108,'Reference Score Calculation'!$P105)),10,IF(ISNUMBER(SEARCH($BV$108,'Reference Score Calculation'!$Q105)),7,5)))))</f>
        <v>7</v>
      </c>
      <c r="CK128" s="455">
        <f>IF(ISNUMBER(SEARCH(CK$119,'Reference Score Calculation'!$P105)),10,IF(ISNUMBER(SEARCH(CK$119,'Reference Score Calculation'!$Q105)),7,IF(ISNUMBER(SEARCH(CK$119,'Reference Score Calculation'!$R105)),5,IF(ISNUMBER(SEARCH($BV$108,'Reference Score Calculation'!$P105)),10,IF(ISNUMBER(SEARCH($BV$108,'Reference Score Calculation'!$Q105)),7,5)))))</f>
        <v>5</v>
      </c>
      <c r="CL128" s="455">
        <f>IF(ISNUMBER(SEARCH(CL$119,'Reference Score Calculation'!$P105)),10,IF(ISNUMBER(SEARCH(CL$119,'Reference Score Calculation'!$Q105)),7,IF(ISNUMBER(SEARCH(CL$119,'Reference Score Calculation'!$R105)),5,IF(ISNUMBER(SEARCH($BV$108,'Reference Score Calculation'!$P105)),10,IF(ISNUMBER(SEARCH($BV$108,'Reference Score Calculation'!$Q105)),7,5)))))</f>
        <v>5</v>
      </c>
      <c r="CM128" s="455">
        <f>IF(ISNUMBER(SEARCH(CM$119,'Reference Score Calculation'!$P105)),10,IF(ISNUMBER(SEARCH(CM$119,'Reference Score Calculation'!$Q105)),7,IF(ISNUMBER(SEARCH(CM$119,'Reference Score Calculation'!$R105)),5,IF(ISNUMBER(SEARCH($BV$108,'Reference Score Calculation'!$P105)),10,IF(ISNUMBER(SEARCH($BV$108,'Reference Score Calculation'!$Q105)),7,5)))))</f>
        <v>5</v>
      </c>
      <c r="CN128" s="455">
        <f>IF(ISNUMBER(SEARCH(CN$119,'Reference Score Calculation'!$P105)),10,IF(ISNUMBER(SEARCH(CN$119,'Reference Score Calculation'!$Q105)),7,IF(ISNUMBER(SEARCH(CN$119,'Reference Score Calculation'!$R105)),5,IF(ISNUMBER(SEARCH($BV$108,'Reference Score Calculation'!$P105)),10,IF(ISNUMBER(SEARCH($BV$108,'Reference Score Calculation'!$Q105)),7,5)))))</f>
        <v>5</v>
      </c>
      <c r="CO128" s="455">
        <f>IF(ISNUMBER(SEARCH(CO$119,'Reference Score Calculation'!$P105)),10,IF(ISNUMBER(SEARCH(CO$119,'Reference Score Calculation'!$Q105)),7,IF(ISNUMBER(SEARCH(CO$119,'Reference Score Calculation'!$R105)),5,IF(ISNUMBER(SEARCH($BV$108,'Reference Score Calculation'!$P105)),10,IF(ISNUMBER(SEARCH($BV$108,'Reference Score Calculation'!$Q105)),7,5)))))</f>
        <v>5</v>
      </c>
      <c r="CP128" s="455">
        <f>IF(ISNUMBER(SEARCH(CP$119,'Reference Score Calculation'!$P105)),10,IF(ISNUMBER(SEARCH(CP$119,'Reference Score Calculation'!$Q105)),7,IF(ISNUMBER(SEARCH(CP$119,'Reference Score Calculation'!$R105)),5,IF(ISNUMBER(SEARCH($BV$108,'Reference Score Calculation'!$P105)),10,IF(ISNUMBER(SEARCH($BV$108,'Reference Score Calculation'!$Q105)),7,5)))))</f>
        <v>5</v>
      </c>
      <c r="CQ128" s="455">
        <f>IF(ISNUMBER(SEARCH(CQ$119,'Reference Score Calculation'!$P105)),10,IF(ISNUMBER(SEARCH(CQ$119,'Reference Score Calculation'!$Q105)),7,IF(ISNUMBER(SEARCH(CQ$119,'Reference Score Calculation'!$R105)),5,IF(ISNUMBER(SEARCH($BV$108,'Reference Score Calculation'!$P105)),10,IF(ISNUMBER(SEARCH($BV$108,'Reference Score Calculation'!$Q105)),7,5)))))</f>
        <v>5</v>
      </c>
      <c r="CR128" s="455">
        <f>IF(ISNUMBER(SEARCH(CR$119,'Reference Score Calculation'!$P105)),10,IF(ISNUMBER(SEARCH(CR$119,'Reference Score Calculation'!$Q105)),7,IF(ISNUMBER(SEARCH(CR$119,'Reference Score Calculation'!$R105)),5,IF(ISNUMBER(SEARCH($BV$108,'Reference Score Calculation'!$P105)),10,IF(ISNUMBER(SEARCH($BV$108,'Reference Score Calculation'!$Q105)),7,5)))))</f>
        <v>5</v>
      </c>
      <c r="CS128" s="455">
        <f>IF(ISNUMBER(SEARCH(CS$119,'Reference Score Calculation'!$P105)),10,IF(ISNUMBER(SEARCH(CS$119,'Reference Score Calculation'!$Q105)),7,IF(ISNUMBER(SEARCH(CS$119,'Reference Score Calculation'!$R105)),5,IF(ISNUMBER(SEARCH($BV$108,'Reference Score Calculation'!$P105)),10,IF(ISNUMBER(SEARCH($BV$108,'Reference Score Calculation'!$Q105)),7,5)))))</f>
        <v>5</v>
      </c>
      <c r="CT128" s="455">
        <f>IF(ISNUMBER(SEARCH(CT$119,'Reference Score Calculation'!$P105)),10,IF(ISNUMBER(SEARCH(CT$119,'Reference Score Calculation'!$Q105)),7,IF(ISNUMBER(SEARCH(CT$119,'Reference Score Calculation'!$R105)),5,IF(ISNUMBER(SEARCH($BV$108,'Reference Score Calculation'!$P105)),10,IF(ISNUMBER(SEARCH($BV$108,'Reference Score Calculation'!$Q105)),7,5)))))</f>
        <v>5</v>
      </c>
      <c r="CU128" s="455">
        <f>IF(ISNUMBER(SEARCH(CU$119,'Reference Score Calculation'!$P105)),10,IF(ISNUMBER(SEARCH(CU$119,'Reference Score Calculation'!$Q105)),7,IF(ISNUMBER(SEARCH(CU$119,'Reference Score Calculation'!$R105)),5,IF(ISNUMBER(SEARCH($BV$108,'Reference Score Calculation'!$P105)),10,IF(ISNUMBER(SEARCH($BV$108,'Reference Score Calculation'!$Q105)),7,5)))))</f>
        <v>5</v>
      </c>
      <c r="CV128" s="455">
        <f>IF(ISNUMBER(SEARCH(CV$119,'Reference Score Calculation'!$P105)),10,IF(ISNUMBER(SEARCH(CV$119,'Reference Score Calculation'!$Q105)),7,IF(ISNUMBER(SEARCH(CV$119,'Reference Score Calculation'!$R105)),5,IF(ISNUMBER(SEARCH($BV$108,'Reference Score Calculation'!$P105)),10,IF(ISNUMBER(SEARCH($BV$108,'Reference Score Calculation'!$Q105)),7,5)))))</f>
        <v>5</v>
      </c>
      <c r="CW128" s="185"/>
      <c r="CX128" s="185"/>
      <c r="CY128" s="185"/>
      <c r="CZ128" s="117"/>
    </row>
    <row r="129" spans="1:103">
      <c r="A129" s="117" t="s">
        <v>1050</v>
      </c>
      <c r="B129" s="459" t="str">
        <f>'Reference Score Calculation'!B106</f>
        <v>JS3030</v>
      </c>
      <c r="C129" s="117" t="str">
        <f>'Reference Score Calculation'!E106</f>
        <v>物理學(榮譽)理學士副主修人工智能及數據分析 / 創新及創業</v>
      </c>
      <c r="D129" s="2" t="e">
        <f>'Reference Score Calculation'!#REF!</f>
        <v>#REF!</v>
      </c>
      <c r="E129" s="131" t="str">
        <f>'Reference Score Calculation'!F106</f>
        <v>Best 5</v>
      </c>
      <c r="F129" s="131"/>
      <c r="G129" s="117" t="str">
        <f>入學要求!AB115</f>
        <v>v</v>
      </c>
      <c r="H129" s="117" t="str">
        <f>入學要求!AC115</f>
        <v>E</v>
      </c>
      <c r="I129" s="117" t="str">
        <f>入學要求!AD115</f>
        <v>NO</v>
      </c>
      <c r="J129" s="117">
        <f t="shared" si="211"/>
        <v>1.07E-8</v>
      </c>
      <c r="K129" s="117">
        <f t="shared" si="212"/>
        <v>7</v>
      </c>
      <c r="L129" s="117">
        <f t="shared" si="212"/>
        <v>10</v>
      </c>
      <c r="M129" s="117">
        <f t="shared" si="212"/>
        <v>10</v>
      </c>
      <c r="N129" s="117">
        <f t="shared" si="212"/>
        <v>0</v>
      </c>
      <c r="O129" s="117">
        <f t="shared" si="212"/>
        <v>10</v>
      </c>
      <c r="P129" s="117">
        <f t="shared" si="212"/>
        <v>0</v>
      </c>
      <c r="Q129" s="117">
        <f t="shared" si="212"/>
        <v>0</v>
      </c>
      <c r="R129" s="117">
        <f t="shared" si="212"/>
        <v>0</v>
      </c>
      <c r="S129" s="117">
        <f t="shared" si="212"/>
        <v>0</v>
      </c>
      <c r="T129" s="117">
        <v>5</v>
      </c>
      <c r="V129" s="117">
        <f t="shared" si="224"/>
        <v>7.0000000000000006E-10</v>
      </c>
      <c r="W129" s="117">
        <f t="shared" si="225"/>
        <v>2.0000000000000001E-9</v>
      </c>
      <c r="X129" s="117">
        <f t="shared" si="226"/>
        <v>3E-9</v>
      </c>
      <c r="Z129" s="117">
        <f t="shared" si="227"/>
        <v>5.0000000000000001E-9</v>
      </c>
      <c r="AA129" s="117">
        <f t="shared" si="228"/>
        <v>0</v>
      </c>
      <c r="AB129" s="117">
        <f t="shared" si="229"/>
        <v>0</v>
      </c>
      <c r="AC129" s="117">
        <f t="shared" si="230"/>
        <v>0</v>
      </c>
      <c r="AD129" s="117">
        <f t="shared" si="231"/>
        <v>0</v>
      </c>
      <c r="AE129" s="117">
        <f t="shared" si="232"/>
        <v>0</v>
      </c>
      <c r="AF129" s="117">
        <f t="shared" si="213"/>
        <v>7.0000000000000006E-10</v>
      </c>
      <c r="AG129" s="117">
        <f t="shared" si="214"/>
        <v>2.0000000000000001E-9</v>
      </c>
      <c r="AH129" s="117">
        <f t="shared" si="215"/>
        <v>3E-9</v>
      </c>
      <c r="AI129" s="117">
        <f t="shared" si="216"/>
        <v>0</v>
      </c>
      <c r="AJ129" s="117">
        <f t="shared" si="217"/>
        <v>5.0000000000000001E-9</v>
      </c>
      <c r="AK129" s="117">
        <f t="shared" si="218"/>
        <v>0</v>
      </c>
      <c r="AL129" s="117">
        <f t="shared" si="219"/>
        <v>0</v>
      </c>
      <c r="AM129" s="117">
        <f t="shared" si="220"/>
        <v>0</v>
      </c>
      <c r="AN129" s="117">
        <f t="shared" si="221"/>
        <v>0</v>
      </c>
      <c r="AO129" s="117">
        <f t="shared" si="222"/>
        <v>0</v>
      </c>
      <c r="AP129" s="117" t="b">
        <f t="shared" si="233"/>
        <v>1</v>
      </c>
      <c r="AQ129" s="117" t="b">
        <f t="shared" si="234"/>
        <v>1</v>
      </c>
      <c r="AR129" s="117" t="b">
        <f t="shared" si="235"/>
        <v>1</v>
      </c>
      <c r="AT129" s="117" t="b">
        <f t="shared" si="236"/>
        <v>1</v>
      </c>
      <c r="AU129" s="117" t="b">
        <f t="shared" si="237"/>
        <v>0</v>
      </c>
      <c r="AV129" s="117" t="b">
        <f t="shared" si="238"/>
        <v>0</v>
      </c>
      <c r="AW129" s="117" t="b">
        <f t="shared" si="239"/>
        <v>0</v>
      </c>
      <c r="AX129" s="117" t="b">
        <f t="shared" si="240"/>
        <v>0</v>
      </c>
      <c r="AY129" s="117" t="b">
        <f t="shared" si="241"/>
        <v>0</v>
      </c>
      <c r="BA129" s="2"/>
      <c r="BB129" s="2"/>
      <c r="BC129" s="2"/>
      <c r="BD129" s="2"/>
      <c r="BE129" s="2"/>
      <c r="BF129" s="2"/>
      <c r="BG129" s="2"/>
      <c r="BH129" s="2"/>
      <c r="BI129" s="2"/>
      <c r="BJ129" s="2"/>
      <c r="BK129" s="2"/>
      <c r="BL129" s="2"/>
      <c r="BM129" s="2"/>
      <c r="BN129" s="2"/>
      <c r="BO129" s="2"/>
      <c r="BP129" s="2"/>
      <c r="BQ129" s="2"/>
      <c r="BR129" s="2"/>
      <c r="BS129" s="185" t="str">
        <f>'Reference Score Calculation'!B106</f>
        <v>JS3030</v>
      </c>
      <c r="BT129" s="185"/>
      <c r="BU129" s="455">
        <f>IF(ISNUMBER(SEARCH(BU$119,'Reference Score Calculation'!$P106)),10,IF(ISNUMBER(SEARCH(BU$119,'Reference Score Calculation'!$Q106)),7,IF(ISNUMBER(SEARCH(BU$119,'Reference Score Calculation'!$R106)),5,IF(ISNUMBER(SEARCH($BV$108,'Reference Score Calculation'!$P106)),10,IF(ISNUMBER(SEARCH($BV$108,'Reference Score Calculation'!$Q106)),7,5)))))</f>
        <v>7</v>
      </c>
      <c r="BV129" s="455">
        <f>IF(ISNUMBER(SEARCH(BV$119,'Reference Score Calculation'!$P106)),10,IF(ISNUMBER(SEARCH(BV$119,'Reference Score Calculation'!$Q106)),7,IF(ISNUMBER(SEARCH(BV$119,'Reference Score Calculation'!$R106)),5,IF(ISNUMBER(SEARCH($BV$108,'Reference Score Calculation'!$P106)),10,IF(ISNUMBER(SEARCH($BV$108,'Reference Score Calculation'!$Q106)),7,5)))))</f>
        <v>10</v>
      </c>
      <c r="BW129" s="455">
        <f>IF(ISNUMBER(SEARCH(BW$119,'Reference Score Calculation'!$P106)),10,IF(ISNUMBER(SEARCH(BW$119,'Reference Score Calculation'!$Q106)),7,IF(ISNUMBER(SEARCH(BW$119,'Reference Score Calculation'!$R106)),5,IF(ISNUMBER(SEARCH($BV$108,'Reference Score Calculation'!$P106)),10,IF(ISNUMBER(SEARCH($BV$108,'Reference Score Calculation'!$Q106)),7,5)))))</f>
        <v>10</v>
      </c>
      <c r="BX129" s="455">
        <f>IF(ISNUMBER(SEARCH(BX$119,'Reference Score Calculation'!$P106)),10,IF(ISNUMBER(SEARCH(BX$119,'Reference Score Calculation'!$Q106)),7,IF(ISNUMBER(SEARCH(BX$119,'Reference Score Calculation'!$R106)),5,IF(ISNUMBER(SEARCH($BV$108,'Reference Score Calculation'!$P106)),10,IF(ISNUMBER(SEARCH($BV$108,'Reference Score Calculation'!$Q106)),7,5)))))</f>
        <v>5</v>
      </c>
      <c r="BY129" s="455">
        <f>IF(ISNUMBER(SEARCH(BY$119,'Reference Score Calculation'!$P106)),10,IF(ISNUMBER(SEARCH(BY$119,'Reference Score Calculation'!$Q106)),7,IF(ISNUMBER(SEARCH(BY$119,'Reference Score Calculation'!$R106)),5,IF(ISNUMBER(SEARCH($BV$108,'Reference Score Calculation'!$P106)),10,IF(ISNUMBER(SEARCH($BV$108,'Reference Score Calculation'!$Q106)),7,5)))))</f>
        <v>10</v>
      </c>
      <c r="BZ129" s="455">
        <f>IF(ISNUMBER(SEARCH(BZ$119,'Reference Score Calculation'!$P106)),10,IF(ISNUMBER(SEARCH(BZ$119,'Reference Score Calculation'!$Q106)),7,IF(ISNUMBER(SEARCH(BZ$119,'Reference Score Calculation'!$R106)),5,IF(ISNUMBER(SEARCH($BV$108,'Reference Score Calculation'!$P106)),10,IF(ISNUMBER(SEARCH($BV$108,'Reference Score Calculation'!$Q106)),7,5)))))</f>
        <v>10</v>
      </c>
      <c r="CA129" s="455">
        <f>IF(ISNUMBER(SEARCH(CA$119,'Reference Score Calculation'!$P106)),10,IF(ISNUMBER(SEARCH(CA$119,'Reference Score Calculation'!$Q106)),7,IF(ISNUMBER(SEARCH(CA$119,'Reference Score Calculation'!$R106)),5,IF(ISNUMBER(SEARCH($BV$108,'Reference Score Calculation'!$P106)),10,IF(ISNUMBER(SEARCH($BV$108,'Reference Score Calculation'!$Q106)),7,5)))))</f>
        <v>10</v>
      </c>
      <c r="CB129" s="455">
        <f>IF(ISNUMBER(SEARCH(CB$119,'Reference Score Calculation'!$P106)),10,IF(ISNUMBER(SEARCH(CB$119,'Reference Score Calculation'!$Q106)),7,IF(ISNUMBER(SEARCH(CB$119,'Reference Score Calculation'!$R106)),5,IF(ISNUMBER(SEARCH($BV$108,'Reference Score Calculation'!$P106)),10,IF(ISNUMBER(SEARCH($BV$108,'Reference Score Calculation'!$Q106)),7,5)))))</f>
        <v>10</v>
      </c>
      <c r="CC129" s="455">
        <f>IF(ISNUMBER(SEARCH(CC$119,'Reference Score Calculation'!$P106)),10,IF(ISNUMBER(SEARCH(CC$119,'Reference Score Calculation'!$Q106)),7,IF(ISNUMBER(SEARCH(CC$119,'Reference Score Calculation'!$R106)),5,IF(ISNUMBER(SEARCH($BV$108,'Reference Score Calculation'!$P106)),10,IF(ISNUMBER(SEARCH($BV$108,'Reference Score Calculation'!$Q106)),7,5)))))</f>
        <v>10</v>
      </c>
      <c r="CD129" s="455">
        <f>IF(ISNUMBER(SEARCH(CD$119,'Reference Score Calculation'!$P106)),10,IF(ISNUMBER(SEARCH(CD$119,'Reference Score Calculation'!$Q106)),7,IF(ISNUMBER(SEARCH(CD$119,'Reference Score Calculation'!$R106)),5,IF(ISNUMBER(SEARCH($BV$108,'Reference Score Calculation'!$P106)),10,IF(ISNUMBER(SEARCH($BV$108,'Reference Score Calculation'!$Q106)),7,5)))))</f>
        <v>5</v>
      </c>
      <c r="CE129" s="455">
        <f>IF(ISNUMBER(SEARCH(CE$119,'Reference Score Calculation'!$P106)),10,IF(ISNUMBER(SEARCH(CE$119,'Reference Score Calculation'!$Q106)),7,IF(ISNUMBER(SEARCH(CE$119,'Reference Score Calculation'!$R106)),5,IF(ISNUMBER(SEARCH($BV$108,'Reference Score Calculation'!$P106)),10,IF(ISNUMBER(SEARCH($BV$108,'Reference Score Calculation'!$Q106)),7,5)))))</f>
        <v>5</v>
      </c>
      <c r="CF129" s="455">
        <f>IF(ISNUMBER(SEARCH(CF$119,'Reference Score Calculation'!$P106)),10,IF(ISNUMBER(SEARCH(CF$119,'Reference Score Calculation'!$Q106)),7,IF(ISNUMBER(SEARCH(CF$119,'Reference Score Calculation'!$R106)),5,IF(ISNUMBER(SEARCH($BV$108,'Reference Score Calculation'!$P106)),10,IF(ISNUMBER(SEARCH($BV$108,'Reference Score Calculation'!$Q106)),7,5)))))</f>
        <v>5</v>
      </c>
      <c r="CG129" s="455">
        <f>IF(ISNUMBER(SEARCH(CG$119,'Reference Score Calculation'!$P106)),10,IF(ISNUMBER(SEARCH(CG$119,'Reference Score Calculation'!$Q106)),7,IF(ISNUMBER(SEARCH(CG$119,'Reference Score Calculation'!$R106)),5,IF(ISNUMBER(SEARCH($BV$108,'Reference Score Calculation'!$P106)),10,IF(ISNUMBER(SEARCH($BV$108,'Reference Score Calculation'!$Q106)),7,5)))))</f>
        <v>5</v>
      </c>
      <c r="CH129" s="455">
        <f>IF(ISNUMBER(SEARCH(CH$119,'Reference Score Calculation'!$P106)),10,IF(ISNUMBER(SEARCH(CH$119,'Reference Score Calculation'!$Q106)),7,IF(ISNUMBER(SEARCH(CH$119,'Reference Score Calculation'!$R106)),5,IF(ISNUMBER(SEARCH($BV$108,'Reference Score Calculation'!$P106)),10,IF(ISNUMBER(SEARCH($BV$108,'Reference Score Calculation'!$Q106)),7,5)))))</f>
        <v>5</v>
      </c>
      <c r="CI129" s="455">
        <f>IF(ISNUMBER(SEARCH(CI$119,'Reference Score Calculation'!$P106)),10,IF(ISNUMBER(SEARCH(CI$119,'Reference Score Calculation'!$Q106)),7,IF(ISNUMBER(SEARCH(CI$119,'Reference Score Calculation'!$R106)),5,IF(ISNUMBER(SEARCH($BV$108,'Reference Score Calculation'!$P106)),10,IF(ISNUMBER(SEARCH($BV$108,'Reference Score Calculation'!$Q106)),7,5)))))</f>
        <v>5</v>
      </c>
      <c r="CJ129" s="455">
        <f>IF(ISNUMBER(SEARCH(CJ$119,'Reference Score Calculation'!$P106)),10,IF(ISNUMBER(SEARCH(CJ$119,'Reference Score Calculation'!$Q106)),7,IF(ISNUMBER(SEARCH(CJ$119,'Reference Score Calculation'!$R106)),5,IF(ISNUMBER(SEARCH($BV$108,'Reference Score Calculation'!$P106)),10,IF(ISNUMBER(SEARCH($BV$108,'Reference Score Calculation'!$Q106)),7,5)))))</f>
        <v>10</v>
      </c>
      <c r="CK129" s="455">
        <f>IF(ISNUMBER(SEARCH(CK$119,'Reference Score Calculation'!$P106)),10,IF(ISNUMBER(SEARCH(CK$119,'Reference Score Calculation'!$Q106)),7,IF(ISNUMBER(SEARCH(CK$119,'Reference Score Calculation'!$R106)),5,IF(ISNUMBER(SEARCH($BV$108,'Reference Score Calculation'!$P106)),10,IF(ISNUMBER(SEARCH($BV$108,'Reference Score Calculation'!$Q106)),7,5)))))</f>
        <v>5</v>
      </c>
      <c r="CL129" s="455">
        <f>IF(ISNUMBER(SEARCH(CL$119,'Reference Score Calculation'!$P106)),10,IF(ISNUMBER(SEARCH(CL$119,'Reference Score Calculation'!$Q106)),7,IF(ISNUMBER(SEARCH(CL$119,'Reference Score Calculation'!$R106)),5,IF(ISNUMBER(SEARCH($BV$108,'Reference Score Calculation'!$P106)),10,IF(ISNUMBER(SEARCH($BV$108,'Reference Score Calculation'!$Q106)),7,5)))))</f>
        <v>5</v>
      </c>
      <c r="CM129" s="455">
        <f>IF(ISNUMBER(SEARCH(CM$119,'Reference Score Calculation'!$P106)),10,IF(ISNUMBER(SEARCH(CM$119,'Reference Score Calculation'!$Q106)),7,IF(ISNUMBER(SEARCH(CM$119,'Reference Score Calculation'!$R106)),5,IF(ISNUMBER(SEARCH($BV$108,'Reference Score Calculation'!$P106)),10,IF(ISNUMBER(SEARCH($BV$108,'Reference Score Calculation'!$Q106)),7,5)))))</f>
        <v>5</v>
      </c>
      <c r="CN129" s="455">
        <f>IF(ISNUMBER(SEARCH(CN$119,'Reference Score Calculation'!$P106)),10,IF(ISNUMBER(SEARCH(CN$119,'Reference Score Calculation'!$Q106)),7,IF(ISNUMBER(SEARCH(CN$119,'Reference Score Calculation'!$R106)),5,IF(ISNUMBER(SEARCH($BV$108,'Reference Score Calculation'!$P106)),10,IF(ISNUMBER(SEARCH($BV$108,'Reference Score Calculation'!$Q106)),7,5)))))</f>
        <v>5</v>
      </c>
      <c r="CO129" s="455">
        <f>IF(ISNUMBER(SEARCH(CO$119,'Reference Score Calculation'!$P106)),10,IF(ISNUMBER(SEARCH(CO$119,'Reference Score Calculation'!$Q106)),7,IF(ISNUMBER(SEARCH(CO$119,'Reference Score Calculation'!$R106)),5,IF(ISNUMBER(SEARCH($BV$108,'Reference Score Calculation'!$P106)),10,IF(ISNUMBER(SEARCH($BV$108,'Reference Score Calculation'!$Q106)),7,5)))))</f>
        <v>5</v>
      </c>
      <c r="CP129" s="455">
        <f>IF(ISNUMBER(SEARCH(CP$119,'Reference Score Calculation'!$P106)),10,IF(ISNUMBER(SEARCH(CP$119,'Reference Score Calculation'!$Q106)),7,IF(ISNUMBER(SEARCH(CP$119,'Reference Score Calculation'!$R106)),5,IF(ISNUMBER(SEARCH($BV$108,'Reference Score Calculation'!$P106)),10,IF(ISNUMBER(SEARCH($BV$108,'Reference Score Calculation'!$Q106)),7,5)))))</f>
        <v>5</v>
      </c>
      <c r="CQ129" s="455">
        <f>IF(ISNUMBER(SEARCH(CQ$119,'Reference Score Calculation'!$P106)),10,IF(ISNUMBER(SEARCH(CQ$119,'Reference Score Calculation'!$Q106)),7,IF(ISNUMBER(SEARCH(CQ$119,'Reference Score Calculation'!$R106)),5,IF(ISNUMBER(SEARCH($BV$108,'Reference Score Calculation'!$P106)),10,IF(ISNUMBER(SEARCH($BV$108,'Reference Score Calculation'!$Q106)),7,5)))))</f>
        <v>5</v>
      </c>
      <c r="CR129" s="455">
        <f>IF(ISNUMBER(SEARCH(CR$119,'Reference Score Calculation'!$P106)),10,IF(ISNUMBER(SEARCH(CR$119,'Reference Score Calculation'!$Q106)),7,IF(ISNUMBER(SEARCH(CR$119,'Reference Score Calculation'!$R106)),5,IF(ISNUMBER(SEARCH($BV$108,'Reference Score Calculation'!$P106)),10,IF(ISNUMBER(SEARCH($BV$108,'Reference Score Calculation'!$Q106)),7,5)))))</f>
        <v>5</v>
      </c>
      <c r="CS129" s="455">
        <f>IF(ISNUMBER(SEARCH(CS$119,'Reference Score Calculation'!$P106)),10,IF(ISNUMBER(SEARCH(CS$119,'Reference Score Calculation'!$Q106)),7,IF(ISNUMBER(SEARCH(CS$119,'Reference Score Calculation'!$R106)),5,IF(ISNUMBER(SEARCH($BV$108,'Reference Score Calculation'!$P106)),10,IF(ISNUMBER(SEARCH($BV$108,'Reference Score Calculation'!$Q106)),7,5)))))</f>
        <v>10</v>
      </c>
      <c r="CT129" s="455">
        <f>IF(ISNUMBER(SEARCH(CT$119,'Reference Score Calculation'!$P106)),10,IF(ISNUMBER(SEARCH(CT$119,'Reference Score Calculation'!$Q106)),7,IF(ISNUMBER(SEARCH(CT$119,'Reference Score Calculation'!$R106)),5,IF(ISNUMBER(SEARCH($BV$108,'Reference Score Calculation'!$P106)),10,IF(ISNUMBER(SEARCH($BV$108,'Reference Score Calculation'!$Q106)),7,5)))))</f>
        <v>5</v>
      </c>
      <c r="CU129" s="455">
        <f>IF(ISNUMBER(SEARCH(CU$119,'Reference Score Calculation'!$P106)),10,IF(ISNUMBER(SEARCH(CU$119,'Reference Score Calculation'!$Q106)),7,IF(ISNUMBER(SEARCH(CU$119,'Reference Score Calculation'!$R106)),5,IF(ISNUMBER(SEARCH($BV$108,'Reference Score Calculation'!$P106)),10,IF(ISNUMBER(SEARCH($BV$108,'Reference Score Calculation'!$Q106)),7,5)))))</f>
        <v>5</v>
      </c>
      <c r="CV129" s="455">
        <f>IF(ISNUMBER(SEARCH(CV$119,'Reference Score Calculation'!$P106)),10,IF(ISNUMBER(SEARCH(CV$119,'Reference Score Calculation'!$Q106)),7,IF(ISNUMBER(SEARCH(CV$119,'Reference Score Calculation'!$R106)),5,IF(ISNUMBER(SEARCH($BV$108,'Reference Score Calculation'!$P106)),10,IF(ISNUMBER(SEARCH($BV$108,'Reference Score Calculation'!$Q106)),7,5)))))</f>
        <v>5</v>
      </c>
      <c r="CW129" s="185"/>
      <c r="CX129" s="185"/>
      <c r="CY129" s="185"/>
    </row>
    <row r="130" spans="1:103">
      <c r="A130" s="117" t="s">
        <v>1053</v>
      </c>
      <c r="B130" s="459" t="str">
        <f>'Reference Score Calculation'!B107</f>
        <v>JS3050</v>
      </c>
      <c r="C130" s="117" t="str">
        <f>'Reference Score Calculation'!E107</f>
        <v>時裝(榮譽)文學士組合課程 (時裝設計 / 針織時裝設計 / 內衣及運動服裝 / 時裝商務 / 時裝創新及科技)</v>
      </c>
      <c r="D130" s="2" t="e">
        <f>'Reference Score Calculation'!#REF!</f>
        <v>#REF!</v>
      </c>
      <c r="E130" s="131" t="str">
        <f>'Reference Score Calculation'!F107</f>
        <v>Best 5</v>
      </c>
      <c r="F130" s="131"/>
      <c r="G130" s="117" t="str">
        <f>入學要求!AB116</f>
        <v>v</v>
      </c>
      <c r="H130" s="117" t="str">
        <f>入學要求!AC116</f>
        <v>E</v>
      </c>
      <c r="I130" s="117" t="str">
        <f>入學要求!AD116</f>
        <v>v</v>
      </c>
      <c r="J130" s="117">
        <f t="shared" si="211"/>
        <v>7.6999999999999995E-9</v>
      </c>
      <c r="K130" s="117">
        <f t="shared" si="212"/>
        <v>7</v>
      </c>
      <c r="L130" s="117">
        <f t="shared" si="212"/>
        <v>7</v>
      </c>
      <c r="M130" s="117">
        <f t="shared" si="212"/>
        <v>7</v>
      </c>
      <c r="N130" s="117">
        <f t="shared" si="212"/>
        <v>0</v>
      </c>
      <c r="O130" s="117">
        <f t="shared" si="212"/>
        <v>7</v>
      </c>
      <c r="P130" s="117">
        <f t="shared" si="212"/>
        <v>0</v>
      </c>
      <c r="Q130" s="117">
        <f t="shared" si="212"/>
        <v>0</v>
      </c>
      <c r="R130" s="117">
        <f t="shared" si="212"/>
        <v>0</v>
      </c>
      <c r="S130" s="117">
        <f t="shared" si="212"/>
        <v>0</v>
      </c>
      <c r="T130" s="117">
        <v>5</v>
      </c>
      <c r="V130" s="117">
        <f t="shared" si="224"/>
        <v>7.0000000000000006E-10</v>
      </c>
      <c r="W130" s="117">
        <f t="shared" si="225"/>
        <v>1.4000000000000001E-9</v>
      </c>
      <c r="X130" s="117">
        <f t="shared" si="226"/>
        <v>2.0999999999999998E-9</v>
      </c>
      <c r="Z130" s="117">
        <f t="shared" si="227"/>
        <v>3.5000000000000003E-9</v>
      </c>
      <c r="AA130" s="117">
        <f t="shared" si="228"/>
        <v>0</v>
      </c>
      <c r="AB130" s="117">
        <f t="shared" si="229"/>
        <v>0</v>
      </c>
      <c r="AC130" s="117">
        <f t="shared" si="230"/>
        <v>0</v>
      </c>
      <c r="AD130" s="117">
        <f t="shared" si="231"/>
        <v>0</v>
      </c>
      <c r="AE130" s="117">
        <f t="shared" si="232"/>
        <v>0</v>
      </c>
      <c r="AF130" s="117">
        <f t="shared" si="213"/>
        <v>7.0000000000000006E-10</v>
      </c>
      <c r="AG130" s="117">
        <f t="shared" si="214"/>
        <v>1.4000000000000001E-9</v>
      </c>
      <c r="AH130" s="117">
        <f t="shared" si="215"/>
        <v>2.0999999999999998E-9</v>
      </c>
      <c r="AI130" s="117">
        <f t="shared" si="216"/>
        <v>0</v>
      </c>
      <c r="AJ130" s="117">
        <f t="shared" si="217"/>
        <v>3.5000000000000003E-9</v>
      </c>
      <c r="AK130" s="117">
        <f t="shared" si="218"/>
        <v>0</v>
      </c>
      <c r="AL130" s="117">
        <f t="shared" si="219"/>
        <v>0</v>
      </c>
      <c r="AM130" s="117">
        <f t="shared" si="220"/>
        <v>0</v>
      </c>
      <c r="AN130" s="117">
        <f t="shared" si="221"/>
        <v>0</v>
      </c>
      <c r="AO130" s="117">
        <f t="shared" si="222"/>
        <v>0</v>
      </c>
      <c r="AP130" s="117" t="b">
        <f t="shared" si="233"/>
        <v>1</v>
      </c>
      <c r="AQ130" s="117" t="b">
        <f t="shared" si="234"/>
        <v>1</v>
      </c>
      <c r="AR130" s="117" t="b">
        <f t="shared" si="235"/>
        <v>1</v>
      </c>
      <c r="AT130" s="117" t="b">
        <f t="shared" si="236"/>
        <v>1</v>
      </c>
      <c r="AU130" s="117" t="b">
        <f t="shared" si="237"/>
        <v>0</v>
      </c>
      <c r="AV130" s="117" t="b">
        <f t="shared" si="238"/>
        <v>0</v>
      </c>
      <c r="AW130" s="117" t="b">
        <f t="shared" si="239"/>
        <v>0</v>
      </c>
      <c r="AX130" s="117" t="b">
        <f t="shared" si="240"/>
        <v>0</v>
      </c>
      <c r="AY130" s="117" t="b">
        <f t="shared" si="241"/>
        <v>0</v>
      </c>
      <c r="BA130" s="2"/>
      <c r="BB130" s="2"/>
      <c r="BC130" s="2"/>
      <c r="BD130" s="2"/>
      <c r="BE130" s="2"/>
      <c r="BF130" s="2"/>
      <c r="BG130" s="2"/>
      <c r="BH130" s="2"/>
      <c r="BI130" s="2"/>
      <c r="BJ130" s="2"/>
      <c r="BK130" s="2"/>
      <c r="BL130" s="2"/>
      <c r="BM130" s="2"/>
      <c r="BN130" s="2"/>
      <c r="BO130" s="2"/>
      <c r="BP130" s="2"/>
      <c r="BQ130" s="2"/>
      <c r="BR130" s="2"/>
      <c r="BS130" s="185" t="str">
        <f>'Reference Score Calculation'!B107</f>
        <v>JS3050</v>
      </c>
      <c r="BT130" s="185"/>
      <c r="BU130" s="455">
        <f>IF(ISNUMBER(SEARCH(BU$119,'Reference Score Calculation'!$P107)),10,IF(ISNUMBER(SEARCH(BU$119,'Reference Score Calculation'!$Q107)),7,IF(ISNUMBER(SEARCH(BU$119,'Reference Score Calculation'!$R107)),5,IF(ISNUMBER(SEARCH($BV$108,'Reference Score Calculation'!$P107)),10,IF(ISNUMBER(SEARCH($BV$108,'Reference Score Calculation'!$Q107)),7,5)))))</f>
        <v>7</v>
      </c>
      <c r="BV130" s="455">
        <f>IF(ISNUMBER(SEARCH(BV$119,'Reference Score Calculation'!$P107)),10,IF(ISNUMBER(SEARCH(BV$119,'Reference Score Calculation'!$Q107)),7,IF(ISNUMBER(SEARCH(BV$119,'Reference Score Calculation'!$R107)),5,IF(ISNUMBER(SEARCH($BV$108,'Reference Score Calculation'!$P107)),10,IF(ISNUMBER(SEARCH($BV$108,'Reference Score Calculation'!$Q107)),7,5)))))</f>
        <v>7</v>
      </c>
      <c r="BW130" s="455">
        <f>IF(ISNUMBER(SEARCH(BW$119,'Reference Score Calculation'!$P107)),10,IF(ISNUMBER(SEARCH(BW$119,'Reference Score Calculation'!$Q107)),7,IF(ISNUMBER(SEARCH(BW$119,'Reference Score Calculation'!$R107)),5,IF(ISNUMBER(SEARCH($BV$108,'Reference Score Calculation'!$P107)),10,IF(ISNUMBER(SEARCH($BV$108,'Reference Score Calculation'!$Q107)),7,5)))))</f>
        <v>7</v>
      </c>
      <c r="BX130" s="455">
        <f>IF(ISNUMBER(SEARCH(BX$119,'Reference Score Calculation'!$P107)),10,IF(ISNUMBER(SEARCH(BX$119,'Reference Score Calculation'!$Q107)),7,IF(ISNUMBER(SEARCH(BX$119,'Reference Score Calculation'!$R107)),5,IF(ISNUMBER(SEARCH($BV$108,'Reference Score Calculation'!$P107)),10,IF(ISNUMBER(SEARCH($BV$108,'Reference Score Calculation'!$Q107)),7,5)))))</f>
        <v>5</v>
      </c>
      <c r="BY130" s="455">
        <f>IF(ISNUMBER(SEARCH(BY$119,'Reference Score Calculation'!$P107)),10,IF(ISNUMBER(SEARCH(BY$119,'Reference Score Calculation'!$Q107)),7,IF(ISNUMBER(SEARCH(BY$119,'Reference Score Calculation'!$R107)),5,IF(ISNUMBER(SEARCH($BV$108,'Reference Score Calculation'!$P107)),10,IF(ISNUMBER(SEARCH($BV$108,'Reference Score Calculation'!$Q107)),7,5)))))</f>
        <v>7</v>
      </c>
      <c r="BZ130" s="455">
        <f>IF(ISNUMBER(SEARCH(BZ$119,'Reference Score Calculation'!$P107)),10,IF(ISNUMBER(SEARCH(BZ$119,'Reference Score Calculation'!$Q107)),7,IF(ISNUMBER(SEARCH(BZ$119,'Reference Score Calculation'!$R107)),5,IF(ISNUMBER(SEARCH($BV$108,'Reference Score Calculation'!$P107)),10,IF(ISNUMBER(SEARCH($BV$108,'Reference Score Calculation'!$Q107)),7,5)))))</f>
        <v>7</v>
      </c>
      <c r="CA130" s="455">
        <f>IF(ISNUMBER(SEARCH(CA$119,'Reference Score Calculation'!$P107)),10,IF(ISNUMBER(SEARCH(CA$119,'Reference Score Calculation'!$Q107)),7,IF(ISNUMBER(SEARCH(CA$119,'Reference Score Calculation'!$R107)),5,IF(ISNUMBER(SEARCH($BV$108,'Reference Score Calculation'!$P107)),10,IF(ISNUMBER(SEARCH($BV$108,'Reference Score Calculation'!$Q107)),7,5)))))</f>
        <v>10</v>
      </c>
      <c r="CB130" s="455">
        <f>IF(ISNUMBER(SEARCH(CB$119,'Reference Score Calculation'!$P107)),10,IF(ISNUMBER(SEARCH(CB$119,'Reference Score Calculation'!$Q107)),7,IF(ISNUMBER(SEARCH(CB$119,'Reference Score Calculation'!$R107)),5,IF(ISNUMBER(SEARCH($BV$108,'Reference Score Calculation'!$P107)),10,IF(ISNUMBER(SEARCH($BV$108,'Reference Score Calculation'!$Q107)),7,5)))))</f>
        <v>10</v>
      </c>
      <c r="CC130" s="455">
        <f>IF(ISNUMBER(SEARCH(CC$119,'Reference Score Calculation'!$P107)),10,IF(ISNUMBER(SEARCH(CC$119,'Reference Score Calculation'!$Q107)),7,IF(ISNUMBER(SEARCH(CC$119,'Reference Score Calculation'!$R107)),5,IF(ISNUMBER(SEARCH($BV$108,'Reference Score Calculation'!$P107)),10,IF(ISNUMBER(SEARCH($BV$108,'Reference Score Calculation'!$Q107)),7,5)))))</f>
        <v>10</v>
      </c>
      <c r="CD130" s="455">
        <f>IF(ISNUMBER(SEARCH(CD$119,'Reference Score Calculation'!$P107)),10,IF(ISNUMBER(SEARCH(CD$119,'Reference Score Calculation'!$Q107)),7,IF(ISNUMBER(SEARCH(CD$119,'Reference Score Calculation'!$R107)),5,IF(ISNUMBER(SEARCH($BV$108,'Reference Score Calculation'!$P107)),10,IF(ISNUMBER(SEARCH($BV$108,'Reference Score Calculation'!$Q107)),7,5)))))</f>
        <v>10</v>
      </c>
      <c r="CE130" s="455">
        <f>IF(ISNUMBER(SEARCH(CE$119,'Reference Score Calculation'!$P107)),10,IF(ISNUMBER(SEARCH(CE$119,'Reference Score Calculation'!$Q107)),7,IF(ISNUMBER(SEARCH(CE$119,'Reference Score Calculation'!$R107)),5,IF(ISNUMBER(SEARCH($BV$108,'Reference Score Calculation'!$P107)),10,IF(ISNUMBER(SEARCH($BV$108,'Reference Score Calculation'!$Q107)),7,5)))))</f>
        <v>5</v>
      </c>
      <c r="CF130" s="455">
        <f>IF(ISNUMBER(SEARCH(CF$119,'Reference Score Calculation'!$P107)),10,IF(ISNUMBER(SEARCH(CF$119,'Reference Score Calculation'!$Q107)),7,IF(ISNUMBER(SEARCH(CF$119,'Reference Score Calculation'!$R107)),5,IF(ISNUMBER(SEARCH($BV$108,'Reference Score Calculation'!$P107)),10,IF(ISNUMBER(SEARCH($BV$108,'Reference Score Calculation'!$Q107)),7,5)))))</f>
        <v>5</v>
      </c>
      <c r="CG130" s="455">
        <f>IF(ISNUMBER(SEARCH(CG$119,'Reference Score Calculation'!$P107)),10,IF(ISNUMBER(SEARCH(CG$119,'Reference Score Calculation'!$Q107)),7,IF(ISNUMBER(SEARCH(CG$119,'Reference Score Calculation'!$R107)),5,IF(ISNUMBER(SEARCH($BV$108,'Reference Score Calculation'!$P107)),10,IF(ISNUMBER(SEARCH($BV$108,'Reference Score Calculation'!$Q107)),7,5)))))</f>
        <v>10</v>
      </c>
      <c r="CH130" s="455">
        <f>IF(ISNUMBER(SEARCH(CH$119,'Reference Score Calculation'!$P107)),10,IF(ISNUMBER(SEARCH(CH$119,'Reference Score Calculation'!$Q107)),7,IF(ISNUMBER(SEARCH(CH$119,'Reference Score Calculation'!$R107)),5,IF(ISNUMBER(SEARCH($BV$108,'Reference Score Calculation'!$P107)),10,IF(ISNUMBER(SEARCH($BV$108,'Reference Score Calculation'!$Q107)),7,5)))))</f>
        <v>10</v>
      </c>
      <c r="CI130" s="455">
        <f>IF(ISNUMBER(SEARCH(CI$119,'Reference Score Calculation'!$P107)),10,IF(ISNUMBER(SEARCH(CI$119,'Reference Score Calculation'!$Q107)),7,IF(ISNUMBER(SEARCH(CI$119,'Reference Score Calculation'!$R107)),5,IF(ISNUMBER(SEARCH($BV$108,'Reference Score Calculation'!$P107)),10,IF(ISNUMBER(SEARCH($BV$108,'Reference Score Calculation'!$Q107)),7,5)))))</f>
        <v>10</v>
      </c>
      <c r="CJ130" s="455">
        <f>IF(ISNUMBER(SEARCH(CJ$119,'Reference Score Calculation'!$P107)),10,IF(ISNUMBER(SEARCH(CJ$119,'Reference Score Calculation'!$Q107)),7,IF(ISNUMBER(SEARCH(CJ$119,'Reference Score Calculation'!$R107)),5,IF(ISNUMBER(SEARCH($BV$108,'Reference Score Calculation'!$P107)),10,IF(ISNUMBER(SEARCH($BV$108,'Reference Score Calculation'!$Q107)),7,5)))))</f>
        <v>7</v>
      </c>
      <c r="CK130" s="455">
        <f>IF(ISNUMBER(SEARCH(CK$119,'Reference Score Calculation'!$P107)),10,IF(ISNUMBER(SEARCH(CK$119,'Reference Score Calculation'!$Q107)),7,IF(ISNUMBER(SEARCH(CK$119,'Reference Score Calculation'!$R107)),5,IF(ISNUMBER(SEARCH($BV$108,'Reference Score Calculation'!$P107)),10,IF(ISNUMBER(SEARCH($BV$108,'Reference Score Calculation'!$Q107)),7,5)))))</f>
        <v>5</v>
      </c>
      <c r="CL130" s="455">
        <f>IF(ISNUMBER(SEARCH(CL$119,'Reference Score Calculation'!$P107)),10,IF(ISNUMBER(SEARCH(CL$119,'Reference Score Calculation'!$Q107)),7,IF(ISNUMBER(SEARCH(CL$119,'Reference Score Calculation'!$R107)),5,IF(ISNUMBER(SEARCH($BV$108,'Reference Score Calculation'!$P107)),10,IF(ISNUMBER(SEARCH($BV$108,'Reference Score Calculation'!$Q107)),7,5)))))</f>
        <v>5</v>
      </c>
      <c r="CM130" s="455">
        <f>IF(ISNUMBER(SEARCH(CM$119,'Reference Score Calculation'!$P107)),10,IF(ISNUMBER(SEARCH(CM$119,'Reference Score Calculation'!$Q107)),7,IF(ISNUMBER(SEARCH(CM$119,'Reference Score Calculation'!$R107)),5,IF(ISNUMBER(SEARCH($BV$108,'Reference Score Calculation'!$P107)),10,IF(ISNUMBER(SEARCH($BV$108,'Reference Score Calculation'!$Q107)),7,5)))))</f>
        <v>5</v>
      </c>
      <c r="CN130" s="455">
        <f>IF(ISNUMBER(SEARCH(CN$119,'Reference Score Calculation'!$P107)),10,IF(ISNUMBER(SEARCH(CN$119,'Reference Score Calculation'!$Q107)),7,IF(ISNUMBER(SEARCH(CN$119,'Reference Score Calculation'!$R107)),5,IF(ISNUMBER(SEARCH($BV$108,'Reference Score Calculation'!$P107)),10,IF(ISNUMBER(SEARCH($BV$108,'Reference Score Calculation'!$Q107)),7,5)))))</f>
        <v>5</v>
      </c>
      <c r="CO130" s="455">
        <f>IF(ISNUMBER(SEARCH(CO$119,'Reference Score Calculation'!$P107)),10,IF(ISNUMBER(SEARCH(CO$119,'Reference Score Calculation'!$Q107)),7,IF(ISNUMBER(SEARCH(CO$119,'Reference Score Calculation'!$R107)),5,IF(ISNUMBER(SEARCH($BV$108,'Reference Score Calculation'!$P107)),10,IF(ISNUMBER(SEARCH($BV$108,'Reference Score Calculation'!$Q107)),7,5)))))</f>
        <v>7</v>
      </c>
      <c r="CP130" s="455">
        <f>IF(ISNUMBER(SEARCH(CP$119,'Reference Score Calculation'!$P107)),10,IF(ISNUMBER(SEARCH(CP$119,'Reference Score Calculation'!$Q107)),7,IF(ISNUMBER(SEARCH(CP$119,'Reference Score Calculation'!$R107)),5,IF(ISNUMBER(SEARCH($BV$108,'Reference Score Calculation'!$P107)),10,IF(ISNUMBER(SEARCH($BV$108,'Reference Score Calculation'!$Q107)),7,5)))))</f>
        <v>5</v>
      </c>
      <c r="CQ130" s="455">
        <f>IF(ISNUMBER(SEARCH(CQ$119,'Reference Score Calculation'!$P107)),10,IF(ISNUMBER(SEARCH(CQ$119,'Reference Score Calculation'!$Q107)),7,IF(ISNUMBER(SEARCH(CQ$119,'Reference Score Calculation'!$R107)),5,IF(ISNUMBER(SEARCH($BV$108,'Reference Score Calculation'!$P107)),10,IF(ISNUMBER(SEARCH($BV$108,'Reference Score Calculation'!$Q107)),7,5)))))</f>
        <v>5</v>
      </c>
      <c r="CR130" s="455">
        <f>IF(ISNUMBER(SEARCH(CR$119,'Reference Score Calculation'!$P107)),10,IF(ISNUMBER(SEARCH(CR$119,'Reference Score Calculation'!$Q107)),7,IF(ISNUMBER(SEARCH(CR$119,'Reference Score Calculation'!$R107)),5,IF(ISNUMBER(SEARCH($BV$108,'Reference Score Calculation'!$P107)),10,IF(ISNUMBER(SEARCH($BV$108,'Reference Score Calculation'!$Q107)),7,5)))))</f>
        <v>7</v>
      </c>
      <c r="CS130" s="455">
        <f>IF(ISNUMBER(SEARCH(CS$119,'Reference Score Calculation'!$P107)),10,IF(ISNUMBER(SEARCH(CS$119,'Reference Score Calculation'!$Q107)),7,IF(ISNUMBER(SEARCH(CS$119,'Reference Score Calculation'!$R107)),5,IF(ISNUMBER(SEARCH($BV$108,'Reference Score Calculation'!$P107)),10,IF(ISNUMBER(SEARCH($BV$108,'Reference Score Calculation'!$Q107)),7,5)))))</f>
        <v>7</v>
      </c>
      <c r="CT130" s="455">
        <f>IF(ISNUMBER(SEARCH(CT$119,'Reference Score Calculation'!$P107)),10,IF(ISNUMBER(SEARCH(CT$119,'Reference Score Calculation'!$Q107)),7,IF(ISNUMBER(SEARCH(CT$119,'Reference Score Calculation'!$R107)),5,IF(ISNUMBER(SEARCH($BV$108,'Reference Score Calculation'!$P107)),10,IF(ISNUMBER(SEARCH($BV$108,'Reference Score Calculation'!$Q107)),7,5)))))</f>
        <v>7</v>
      </c>
      <c r="CU130" s="455">
        <f>IF(ISNUMBER(SEARCH(CU$119,'Reference Score Calculation'!$P107)),10,IF(ISNUMBER(SEARCH(CU$119,'Reference Score Calculation'!$Q107)),7,IF(ISNUMBER(SEARCH(CU$119,'Reference Score Calculation'!$R107)),5,IF(ISNUMBER(SEARCH($BV$108,'Reference Score Calculation'!$P107)),10,IF(ISNUMBER(SEARCH($BV$108,'Reference Score Calculation'!$Q107)),7,5)))))</f>
        <v>5</v>
      </c>
      <c r="CV130" s="455">
        <f>IF(ISNUMBER(SEARCH(CV$119,'Reference Score Calculation'!$P107)),10,IF(ISNUMBER(SEARCH(CV$119,'Reference Score Calculation'!$Q107)),7,IF(ISNUMBER(SEARCH(CV$119,'Reference Score Calculation'!$R107)),5,IF(ISNUMBER(SEARCH($BV$108,'Reference Score Calculation'!$P107)),10,IF(ISNUMBER(SEARCH($BV$108,'Reference Score Calculation'!$Q107)),7,5)))))</f>
        <v>10</v>
      </c>
      <c r="CW130" s="185"/>
      <c r="CX130" s="185"/>
      <c r="CY130" s="185"/>
    </row>
    <row r="131" spans="1:103">
      <c r="A131" s="117" t="s">
        <v>1057</v>
      </c>
      <c r="B131" s="459" t="str">
        <f>'Reference Score Calculation'!B108</f>
        <v>JS3060</v>
      </c>
      <c r="C131" s="117" t="str">
        <f>'Reference Score Calculation'!E108</f>
        <v>會計及金融(榮譽)工商管理學士組合課程 (會計學 / 會計及金融 / 數碼金融及投資學)</v>
      </c>
      <c r="D131" s="2" t="e">
        <f>'Reference Score Calculation'!#REF!</f>
        <v>#REF!</v>
      </c>
      <c r="E131" s="131" t="str">
        <f>'Reference Score Calculation'!F108</f>
        <v>Best 5</v>
      </c>
      <c r="F131" s="131"/>
      <c r="G131" s="117" t="str">
        <f>入學要求!AB117</f>
        <v>v</v>
      </c>
      <c r="H131" s="117" t="str">
        <f>入學要求!AC117</f>
        <v>E</v>
      </c>
      <c r="I131" s="117" t="str">
        <f>入學要求!AD117</f>
        <v>NO</v>
      </c>
      <c r="J131" s="117">
        <f t="shared" si="211"/>
        <v>9.1999999999999997E-9</v>
      </c>
      <c r="K131" s="117">
        <f t="shared" ref="K131:S140" si="242">IFERROR(INDEX($BU131:$CV131,MATCH(K$1,$BU$120:$CV$120,0)),0)</f>
        <v>7</v>
      </c>
      <c r="L131" s="117">
        <f t="shared" si="242"/>
        <v>10</v>
      </c>
      <c r="M131" s="117">
        <f t="shared" si="242"/>
        <v>10</v>
      </c>
      <c r="N131" s="117">
        <f t="shared" si="242"/>
        <v>0</v>
      </c>
      <c r="O131" s="117">
        <f t="shared" si="242"/>
        <v>7</v>
      </c>
      <c r="P131" s="117">
        <f t="shared" si="242"/>
        <v>0</v>
      </c>
      <c r="Q131" s="117">
        <f t="shared" si="242"/>
        <v>0</v>
      </c>
      <c r="R131" s="117">
        <f t="shared" si="242"/>
        <v>0</v>
      </c>
      <c r="S131" s="117">
        <f t="shared" si="242"/>
        <v>0</v>
      </c>
      <c r="T131" s="117">
        <v>5</v>
      </c>
      <c r="V131" s="117">
        <f t="shared" si="224"/>
        <v>7.0000000000000006E-10</v>
      </c>
      <c r="W131" s="117">
        <f t="shared" si="225"/>
        <v>2.0000000000000001E-9</v>
      </c>
      <c r="X131" s="117">
        <f t="shared" si="226"/>
        <v>3E-9</v>
      </c>
      <c r="Z131" s="117">
        <f t="shared" si="227"/>
        <v>3.5000000000000003E-9</v>
      </c>
      <c r="AA131" s="117">
        <f t="shared" si="228"/>
        <v>0</v>
      </c>
      <c r="AB131" s="117">
        <f t="shared" si="229"/>
        <v>0</v>
      </c>
      <c r="AC131" s="117">
        <f t="shared" si="230"/>
        <v>0</v>
      </c>
      <c r="AD131" s="117">
        <f t="shared" si="231"/>
        <v>0</v>
      </c>
      <c r="AE131" s="117">
        <f t="shared" si="232"/>
        <v>0</v>
      </c>
      <c r="AF131" s="117">
        <f t="shared" si="213"/>
        <v>7.0000000000000006E-10</v>
      </c>
      <c r="AG131" s="117">
        <f t="shared" si="214"/>
        <v>2.0000000000000001E-9</v>
      </c>
      <c r="AH131" s="117">
        <f t="shared" si="215"/>
        <v>3E-9</v>
      </c>
      <c r="AI131" s="117">
        <f t="shared" si="216"/>
        <v>0</v>
      </c>
      <c r="AJ131" s="117">
        <f t="shared" si="217"/>
        <v>3.5000000000000003E-9</v>
      </c>
      <c r="AK131" s="117">
        <f t="shared" si="218"/>
        <v>0</v>
      </c>
      <c r="AL131" s="117">
        <f t="shared" si="219"/>
        <v>0</v>
      </c>
      <c r="AM131" s="117">
        <f t="shared" si="220"/>
        <v>0</v>
      </c>
      <c r="AN131" s="117">
        <f t="shared" si="221"/>
        <v>0</v>
      </c>
      <c r="AO131" s="117">
        <f t="shared" si="222"/>
        <v>0</v>
      </c>
      <c r="AP131" s="117" t="b">
        <f t="shared" si="233"/>
        <v>1</v>
      </c>
      <c r="AQ131" s="117" t="b">
        <f t="shared" si="234"/>
        <v>1</v>
      </c>
      <c r="AR131" s="117" t="b">
        <f t="shared" si="235"/>
        <v>1</v>
      </c>
      <c r="AT131" s="117" t="b">
        <f t="shared" si="236"/>
        <v>1</v>
      </c>
      <c r="AU131" s="117" t="b">
        <f t="shared" si="237"/>
        <v>0</v>
      </c>
      <c r="AV131" s="117" t="b">
        <f t="shared" si="238"/>
        <v>0</v>
      </c>
      <c r="AW131" s="117" t="b">
        <f t="shared" si="239"/>
        <v>0</v>
      </c>
      <c r="AX131" s="117" t="b">
        <f t="shared" si="240"/>
        <v>0</v>
      </c>
      <c r="AY131" s="117" t="b">
        <f t="shared" si="241"/>
        <v>0</v>
      </c>
      <c r="BA131" s="2"/>
      <c r="BB131" s="2"/>
      <c r="BC131" s="2"/>
      <c r="BD131" s="2"/>
      <c r="BE131" s="2"/>
      <c r="BF131" s="2"/>
      <c r="BG131" s="2"/>
      <c r="BH131" s="2"/>
      <c r="BI131" s="2"/>
      <c r="BJ131" s="2"/>
      <c r="BK131" s="2"/>
      <c r="BL131" s="2"/>
      <c r="BM131" s="2"/>
      <c r="BN131" s="2"/>
      <c r="BO131" s="2"/>
      <c r="BP131" s="2"/>
      <c r="BQ131" s="2"/>
      <c r="BR131" s="2"/>
      <c r="BS131" s="185" t="str">
        <f>'Reference Score Calculation'!B108</f>
        <v>JS3060</v>
      </c>
      <c r="BT131" s="185"/>
      <c r="BU131" s="455">
        <f>IF(ISNUMBER(SEARCH(BU$119,'Reference Score Calculation'!$P108)),10,IF(ISNUMBER(SEARCH(BU$119,'Reference Score Calculation'!$Q108)),7,IF(ISNUMBER(SEARCH(BU$119,'Reference Score Calculation'!$R108)),5,IF(ISNUMBER(SEARCH($BV$108,'Reference Score Calculation'!$P108)),10,IF(ISNUMBER(SEARCH($BV$108,'Reference Score Calculation'!$Q108)),7,5)))))</f>
        <v>7</v>
      </c>
      <c r="BV131" s="455">
        <f>IF(ISNUMBER(SEARCH(BV$119,'Reference Score Calculation'!$P108)),10,IF(ISNUMBER(SEARCH(BV$119,'Reference Score Calculation'!$Q108)),7,IF(ISNUMBER(SEARCH(BV$119,'Reference Score Calculation'!$R108)),5,IF(ISNUMBER(SEARCH($BV$108,'Reference Score Calculation'!$P108)),10,IF(ISNUMBER(SEARCH($BV$108,'Reference Score Calculation'!$Q108)),7,5)))))</f>
        <v>10</v>
      </c>
      <c r="BW131" s="455">
        <f>IF(ISNUMBER(SEARCH(BW$119,'Reference Score Calculation'!$P108)),10,IF(ISNUMBER(SEARCH(BW$119,'Reference Score Calculation'!$Q108)),7,IF(ISNUMBER(SEARCH(BW$119,'Reference Score Calculation'!$R108)),5,IF(ISNUMBER(SEARCH($BV$108,'Reference Score Calculation'!$P108)),10,IF(ISNUMBER(SEARCH($BV$108,'Reference Score Calculation'!$Q108)),7,5)))))</f>
        <v>10</v>
      </c>
      <c r="BX131" s="455">
        <f>IF(ISNUMBER(SEARCH(BX$119,'Reference Score Calculation'!$P108)),10,IF(ISNUMBER(SEARCH(BX$119,'Reference Score Calculation'!$Q108)),7,IF(ISNUMBER(SEARCH(BX$119,'Reference Score Calculation'!$R108)),5,IF(ISNUMBER(SEARCH($BV$108,'Reference Score Calculation'!$P108)),10,IF(ISNUMBER(SEARCH($BV$108,'Reference Score Calculation'!$Q108)),7,5)))))</f>
        <v>7</v>
      </c>
      <c r="BY131" s="455">
        <f>IF(ISNUMBER(SEARCH(BY$119,'Reference Score Calculation'!$P108)),10,IF(ISNUMBER(SEARCH(BY$119,'Reference Score Calculation'!$Q108)),7,IF(ISNUMBER(SEARCH(BY$119,'Reference Score Calculation'!$R108)),5,IF(ISNUMBER(SEARCH($BV$108,'Reference Score Calculation'!$P108)),10,IF(ISNUMBER(SEARCH($BV$108,'Reference Score Calculation'!$Q108)),7,5)))))</f>
        <v>7</v>
      </c>
      <c r="BZ131" s="455">
        <f>IF(ISNUMBER(SEARCH(BZ$119,'Reference Score Calculation'!$P108)),10,IF(ISNUMBER(SEARCH(BZ$119,'Reference Score Calculation'!$Q108)),7,IF(ISNUMBER(SEARCH(BZ$119,'Reference Score Calculation'!$R108)),5,IF(ISNUMBER(SEARCH($BV$108,'Reference Score Calculation'!$P108)),10,IF(ISNUMBER(SEARCH($BV$108,'Reference Score Calculation'!$Q108)),7,5)))))</f>
        <v>7</v>
      </c>
      <c r="CA131" s="455">
        <f>IF(ISNUMBER(SEARCH(CA$119,'Reference Score Calculation'!$P108)),10,IF(ISNUMBER(SEARCH(CA$119,'Reference Score Calculation'!$Q108)),7,IF(ISNUMBER(SEARCH(CA$119,'Reference Score Calculation'!$R108)),5,IF(ISNUMBER(SEARCH($BV$108,'Reference Score Calculation'!$P108)),10,IF(ISNUMBER(SEARCH($BV$108,'Reference Score Calculation'!$Q108)),7,5)))))</f>
        <v>7</v>
      </c>
      <c r="CB131" s="455">
        <f>IF(ISNUMBER(SEARCH(CB$119,'Reference Score Calculation'!$P108)),10,IF(ISNUMBER(SEARCH(CB$119,'Reference Score Calculation'!$Q108)),7,IF(ISNUMBER(SEARCH(CB$119,'Reference Score Calculation'!$R108)),5,IF(ISNUMBER(SEARCH($BV$108,'Reference Score Calculation'!$P108)),10,IF(ISNUMBER(SEARCH($BV$108,'Reference Score Calculation'!$Q108)),7,5)))))</f>
        <v>7</v>
      </c>
      <c r="CC131" s="455">
        <f>IF(ISNUMBER(SEARCH(CC$119,'Reference Score Calculation'!$P108)),10,IF(ISNUMBER(SEARCH(CC$119,'Reference Score Calculation'!$Q108)),7,IF(ISNUMBER(SEARCH(CC$119,'Reference Score Calculation'!$R108)),5,IF(ISNUMBER(SEARCH($BV$108,'Reference Score Calculation'!$P108)),10,IF(ISNUMBER(SEARCH($BV$108,'Reference Score Calculation'!$Q108)),7,5)))))</f>
        <v>7</v>
      </c>
      <c r="CD131" s="455">
        <f>IF(ISNUMBER(SEARCH(CD$119,'Reference Score Calculation'!$P108)),10,IF(ISNUMBER(SEARCH(CD$119,'Reference Score Calculation'!$Q108)),7,IF(ISNUMBER(SEARCH(CD$119,'Reference Score Calculation'!$R108)),5,IF(ISNUMBER(SEARCH($BV$108,'Reference Score Calculation'!$P108)),10,IF(ISNUMBER(SEARCH($BV$108,'Reference Score Calculation'!$Q108)),7,5)))))</f>
        <v>7</v>
      </c>
      <c r="CE131" s="455">
        <f>IF(ISNUMBER(SEARCH(CE$119,'Reference Score Calculation'!$P108)),10,IF(ISNUMBER(SEARCH(CE$119,'Reference Score Calculation'!$Q108)),7,IF(ISNUMBER(SEARCH(CE$119,'Reference Score Calculation'!$R108)),5,IF(ISNUMBER(SEARCH($BV$108,'Reference Score Calculation'!$P108)),10,IF(ISNUMBER(SEARCH($BV$108,'Reference Score Calculation'!$Q108)),7,5)))))</f>
        <v>5</v>
      </c>
      <c r="CF131" s="455">
        <f>IF(ISNUMBER(SEARCH(CF$119,'Reference Score Calculation'!$P108)),10,IF(ISNUMBER(SEARCH(CF$119,'Reference Score Calculation'!$Q108)),7,IF(ISNUMBER(SEARCH(CF$119,'Reference Score Calculation'!$R108)),5,IF(ISNUMBER(SEARCH($BV$108,'Reference Score Calculation'!$P108)),10,IF(ISNUMBER(SEARCH($BV$108,'Reference Score Calculation'!$Q108)),7,5)))))</f>
        <v>5</v>
      </c>
      <c r="CG131" s="455">
        <f>IF(ISNUMBER(SEARCH(CG$119,'Reference Score Calculation'!$P108)),10,IF(ISNUMBER(SEARCH(CG$119,'Reference Score Calculation'!$Q108)),7,IF(ISNUMBER(SEARCH(CG$119,'Reference Score Calculation'!$R108)),5,IF(ISNUMBER(SEARCH($BV$108,'Reference Score Calculation'!$P108)),10,IF(ISNUMBER(SEARCH($BV$108,'Reference Score Calculation'!$Q108)),7,5)))))</f>
        <v>7</v>
      </c>
      <c r="CH131" s="455">
        <f>IF(ISNUMBER(SEARCH(CH$119,'Reference Score Calculation'!$P108)),10,IF(ISNUMBER(SEARCH(CH$119,'Reference Score Calculation'!$Q108)),7,IF(ISNUMBER(SEARCH(CH$119,'Reference Score Calculation'!$R108)),5,IF(ISNUMBER(SEARCH($BV$108,'Reference Score Calculation'!$P108)),10,IF(ISNUMBER(SEARCH($BV$108,'Reference Score Calculation'!$Q108)),7,5)))))</f>
        <v>7</v>
      </c>
      <c r="CI131" s="455">
        <f>IF(ISNUMBER(SEARCH(CI$119,'Reference Score Calculation'!$P108)),10,IF(ISNUMBER(SEARCH(CI$119,'Reference Score Calculation'!$Q108)),7,IF(ISNUMBER(SEARCH(CI$119,'Reference Score Calculation'!$R108)),5,IF(ISNUMBER(SEARCH($BV$108,'Reference Score Calculation'!$P108)),10,IF(ISNUMBER(SEARCH($BV$108,'Reference Score Calculation'!$Q108)),7,5)))))</f>
        <v>5</v>
      </c>
      <c r="CJ131" s="455">
        <f>IF(ISNUMBER(SEARCH(CJ$119,'Reference Score Calculation'!$P108)),10,IF(ISNUMBER(SEARCH(CJ$119,'Reference Score Calculation'!$Q108)),7,IF(ISNUMBER(SEARCH(CJ$119,'Reference Score Calculation'!$R108)),5,IF(ISNUMBER(SEARCH($BV$108,'Reference Score Calculation'!$P108)),10,IF(ISNUMBER(SEARCH($BV$108,'Reference Score Calculation'!$Q108)),7,5)))))</f>
        <v>7</v>
      </c>
      <c r="CK131" s="455">
        <f>IF(ISNUMBER(SEARCH(CK$119,'Reference Score Calculation'!$P108)),10,IF(ISNUMBER(SEARCH(CK$119,'Reference Score Calculation'!$Q108)),7,IF(ISNUMBER(SEARCH(CK$119,'Reference Score Calculation'!$R108)),5,IF(ISNUMBER(SEARCH($BV$108,'Reference Score Calculation'!$P108)),10,IF(ISNUMBER(SEARCH($BV$108,'Reference Score Calculation'!$Q108)),7,5)))))</f>
        <v>7</v>
      </c>
      <c r="CL131" s="455">
        <f>IF(ISNUMBER(SEARCH(CL$119,'Reference Score Calculation'!$P108)),10,IF(ISNUMBER(SEARCH(CL$119,'Reference Score Calculation'!$Q108)),7,IF(ISNUMBER(SEARCH(CL$119,'Reference Score Calculation'!$R108)),5,IF(ISNUMBER(SEARCH($BV$108,'Reference Score Calculation'!$P108)),10,IF(ISNUMBER(SEARCH($BV$108,'Reference Score Calculation'!$Q108)),7,5)))))</f>
        <v>7</v>
      </c>
      <c r="CM131" s="455">
        <f>IF(ISNUMBER(SEARCH(CM$119,'Reference Score Calculation'!$P108)),10,IF(ISNUMBER(SEARCH(CM$119,'Reference Score Calculation'!$Q108)),7,IF(ISNUMBER(SEARCH(CM$119,'Reference Score Calculation'!$R108)),5,IF(ISNUMBER(SEARCH($BV$108,'Reference Score Calculation'!$P108)),10,IF(ISNUMBER(SEARCH($BV$108,'Reference Score Calculation'!$Q108)),7,5)))))</f>
        <v>7</v>
      </c>
      <c r="CN131" s="455">
        <f>IF(ISNUMBER(SEARCH(CN$119,'Reference Score Calculation'!$P108)),10,IF(ISNUMBER(SEARCH(CN$119,'Reference Score Calculation'!$Q108)),7,IF(ISNUMBER(SEARCH(CN$119,'Reference Score Calculation'!$R108)),5,IF(ISNUMBER(SEARCH($BV$108,'Reference Score Calculation'!$P108)),10,IF(ISNUMBER(SEARCH($BV$108,'Reference Score Calculation'!$Q108)),7,5)))))</f>
        <v>7</v>
      </c>
      <c r="CO131" s="455">
        <f>IF(ISNUMBER(SEARCH(CO$119,'Reference Score Calculation'!$P108)),10,IF(ISNUMBER(SEARCH(CO$119,'Reference Score Calculation'!$Q108)),7,IF(ISNUMBER(SEARCH(CO$119,'Reference Score Calculation'!$R108)),5,IF(ISNUMBER(SEARCH($BV$108,'Reference Score Calculation'!$P108)),10,IF(ISNUMBER(SEARCH($BV$108,'Reference Score Calculation'!$Q108)),7,5)))))</f>
        <v>7</v>
      </c>
      <c r="CP131" s="455">
        <f>IF(ISNUMBER(SEARCH(CP$119,'Reference Score Calculation'!$P108)),10,IF(ISNUMBER(SEARCH(CP$119,'Reference Score Calculation'!$Q108)),7,IF(ISNUMBER(SEARCH(CP$119,'Reference Score Calculation'!$R108)),5,IF(ISNUMBER(SEARCH($BV$108,'Reference Score Calculation'!$P108)),10,IF(ISNUMBER(SEARCH($BV$108,'Reference Score Calculation'!$Q108)),7,5)))))</f>
        <v>7</v>
      </c>
      <c r="CQ131" s="455">
        <f>IF(ISNUMBER(SEARCH(CQ$119,'Reference Score Calculation'!$P108)),10,IF(ISNUMBER(SEARCH(CQ$119,'Reference Score Calculation'!$Q108)),7,IF(ISNUMBER(SEARCH(CQ$119,'Reference Score Calculation'!$R108)),5,IF(ISNUMBER(SEARCH($BV$108,'Reference Score Calculation'!$P108)),10,IF(ISNUMBER(SEARCH($BV$108,'Reference Score Calculation'!$Q108)),7,5)))))</f>
        <v>5</v>
      </c>
      <c r="CR131" s="455">
        <f>IF(ISNUMBER(SEARCH(CR$119,'Reference Score Calculation'!$P108)),10,IF(ISNUMBER(SEARCH(CR$119,'Reference Score Calculation'!$Q108)),7,IF(ISNUMBER(SEARCH(CR$119,'Reference Score Calculation'!$R108)),5,IF(ISNUMBER(SEARCH($BV$108,'Reference Score Calculation'!$P108)),10,IF(ISNUMBER(SEARCH($BV$108,'Reference Score Calculation'!$Q108)),7,5)))))</f>
        <v>5</v>
      </c>
      <c r="CS131" s="455">
        <f>IF(ISNUMBER(SEARCH(CS$119,'Reference Score Calculation'!$P108)),10,IF(ISNUMBER(SEARCH(CS$119,'Reference Score Calculation'!$Q108)),7,IF(ISNUMBER(SEARCH(CS$119,'Reference Score Calculation'!$R108)),5,IF(ISNUMBER(SEARCH($BV$108,'Reference Score Calculation'!$P108)),10,IF(ISNUMBER(SEARCH($BV$108,'Reference Score Calculation'!$Q108)),7,5)))))</f>
        <v>7</v>
      </c>
      <c r="CT131" s="455">
        <f>IF(ISNUMBER(SEARCH(CT$119,'Reference Score Calculation'!$P108)),10,IF(ISNUMBER(SEARCH(CT$119,'Reference Score Calculation'!$Q108)),7,IF(ISNUMBER(SEARCH(CT$119,'Reference Score Calculation'!$R108)),5,IF(ISNUMBER(SEARCH($BV$108,'Reference Score Calculation'!$P108)),10,IF(ISNUMBER(SEARCH($BV$108,'Reference Score Calculation'!$Q108)),7,5)))))</f>
        <v>5</v>
      </c>
      <c r="CU131" s="455">
        <f>IF(ISNUMBER(SEARCH(CU$119,'Reference Score Calculation'!$P108)),10,IF(ISNUMBER(SEARCH(CU$119,'Reference Score Calculation'!$Q108)),7,IF(ISNUMBER(SEARCH(CU$119,'Reference Score Calculation'!$R108)),5,IF(ISNUMBER(SEARCH($BV$108,'Reference Score Calculation'!$P108)),10,IF(ISNUMBER(SEARCH($BV$108,'Reference Score Calculation'!$Q108)),7,5)))))</f>
        <v>7</v>
      </c>
      <c r="CV131" s="455">
        <f>IF(ISNUMBER(SEARCH(CV$119,'Reference Score Calculation'!$P108)),10,IF(ISNUMBER(SEARCH(CV$119,'Reference Score Calculation'!$Q108)),7,IF(ISNUMBER(SEARCH(CV$119,'Reference Score Calculation'!$R108)),5,IF(ISNUMBER(SEARCH($BV$108,'Reference Score Calculation'!$P108)),10,IF(ISNUMBER(SEARCH($BV$108,'Reference Score Calculation'!$Q108)),7,5)))))</f>
        <v>7</v>
      </c>
      <c r="CW131" s="185"/>
      <c r="CX131" s="185"/>
      <c r="CY131" s="185"/>
    </row>
    <row r="132" spans="1:103">
      <c r="A132" s="117" t="s">
        <v>1061</v>
      </c>
      <c r="B132" s="459" t="str">
        <f>'Reference Score Calculation'!B109</f>
        <v>JS3070</v>
      </c>
      <c r="C132" s="117" t="str">
        <f>'Reference Score Calculation'!E109</f>
        <v>環球商業及物流、航空、航運及供應鏈管理(榮譽)工商管理學士組合課程</v>
      </c>
      <c r="D132" s="2" t="e">
        <f>'Reference Score Calculation'!#REF!</f>
        <v>#REF!</v>
      </c>
      <c r="E132" s="131" t="str">
        <f>'Reference Score Calculation'!F109</f>
        <v>Best 5</v>
      </c>
      <c r="F132" s="131"/>
      <c r="G132" s="117" t="str">
        <f>入學要求!AB118</f>
        <v>v</v>
      </c>
      <c r="H132" s="117" t="str">
        <f>入學要求!AC118</f>
        <v>E</v>
      </c>
      <c r="I132" s="117" t="str">
        <f>入學要求!AD118</f>
        <v>NO</v>
      </c>
      <c r="J132" s="117">
        <f t="shared" si="211"/>
        <v>9.1999999999999997E-9</v>
      </c>
      <c r="K132" s="117">
        <f t="shared" si="242"/>
        <v>7</v>
      </c>
      <c r="L132" s="117">
        <f t="shared" si="242"/>
        <v>10</v>
      </c>
      <c r="M132" s="117">
        <f t="shared" si="242"/>
        <v>10</v>
      </c>
      <c r="N132" s="117">
        <f t="shared" si="242"/>
        <v>0</v>
      </c>
      <c r="O132" s="117">
        <f t="shared" si="242"/>
        <v>7</v>
      </c>
      <c r="P132" s="117">
        <f t="shared" si="242"/>
        <v>0</v>
      </c>
      <c r="Q132" s="117">
        <f t="shared" si="242"/>
        <v>0</v>
      </c>
      <c r="R132" s="117">
        <f t="shared" si="242"/>
        <v>0</v>
      </c>
      <c r="S132" s="117">
        <f t="shared" si="242"/>
        <v>0</v>
      </c>
      <c r="T132" s="117">
        <v>5</v>
      </c>
      <c r="V132" s="117">
        <f t="shared" si="224"/>
        <v>7.0000000000000006E-10</v>
      </c>
      <c r="W132" s="117">
        <f t="shared" si="225"/>
        <v>2.0000000000000001E-9</v>
      </c>
      <c r="X132" s="117">
        <f t="shared" si="226"/>
        <v>3E-9</v>
      </c>
      <c r="Z132" s="117">
        <f t="shared" si="227"/>
        <v>3.5000000000000003E-9</v>
      </c>
      <c r="AA132" s="117">
        <f t="shared" si="228"/>
        <v>0</v>
      </c>
      <c r="AB132" s="117">
        <f t="shared" si="229"/>
        <v>0</v>
      </c>
      <c r="AC132" s="117">
        <f t="shared" si="230"/>
        <v>0</v>
      </c>
      <c r="AD132" s="117">
        <f t="shared" si="231"/>
        <v>0</v>
      </c>
      <c r="AE132" s="117">
        <f t="shared" si="232"/>
        <v>0</v>
      </c>
      <c r="AF132" s="117">
        <f t="shared" si="213"/>
        <v>7.0000000000000006E-10</v>
      </c>
      <c r="AG132" s="117">
        <f t="shared" si="214"/>
        <v>2.0000000000000001E-9</v>
      </c>
      <c r="AH132" s="117">
        <f t="shared" si="215"/>
        <v>3E-9</v>
      </c>
      <c r="AI132" s="117">
        <f t="shared" si="216"/>
        <v>0</v>
      </c>
      <c r="AJ132" s="117">
        <f t="shared" si="217"/>
        <v>3.5000000000000003E-9</v>
      </c>
      <c r="AK132" s="117">
        <f t="shared" si="218"/>
        <v>0</v>
      </c>
      <c r="AL132" s="117">
        <f t="shared" si="219"/>
        <v>0</v>
      </c>
      <c r="AM132" s="117">
        <f t="shared" si="220"/>
        <v>0</v>
      </c>
      <c r="AN132" s="117">
        <f t="shared" si="221"/>
        <v>0</v>
      </c>
      <c r="AO132" s="117">
        <f t="shared" si="222"/>
        <v>0</v>
      </c>
      <c r="AP132" s="117" t="b">
        <f t="shared" si="233"/>
        <v>1</v>
      </c>
      <c r="AQ132" s="117" t="b">
        <f t="shared" si="234"/>
        <v>1</v>
      </c>
      <c r="AR132" s="117" t="b">
        <f t="shared" si="235"/>
        <v>1</v>
      </c>
      <c r="AT132" s="117" t="b">
        <f t="shared" si="236"/>
        <v>1</v>
      </c>
      <c r="AU132" s="117" t="b">
        <f t="shared" si="237"/>
        <v>0</v>
      </c>
      <c r="AV132" s="117" t="b">
        <f t="shared" si="238"/>
        <v>0</v>
      </c>
      <c r="AW132" s="117" t="b">
        <f t="shared" si="239"/>
        <v>0</v>
      </c>
      <c r="AX132" s="117" t="b">
        <f t="shared" si="240"/>
        <v>0</v>
      </c>
      <c r="AY132" s="117" t="b">
        <f t="shared" si="241"/>
        <v>0</v>
      </c>
      <c r="BA132" s="2"/>
      <c r="BB132" s="2"/>
      <c r="BC132" s="2"/>
      <c r="BD132" s="2"/>
      <c r="BE132" s="2"/>
      <c r="BF132" s="2"/>
      <c r="BG132" s="2"/>
      <c r="BH132" s="2"/>
      <c r="BI132" s="2"/>
      <c r="BJ132" s="2"/>
      <c r="BK132" s="2"/>
      <c r="BL132" s="2"/>
      <c r="BM132" s="2"/>
      <c r="BN132" s="2"/>
      <c r="BO132" s="2"/>
      <c r="BP132" s="2"/>
      <c r="BQ132" s="2"/>
      <c r="BR132" s="2"/>
      <c r="BS132" s="185" t="str">
        <f>'Reference Score Calculation'!B109</f>
        <v>JS3070</v>
      </c>
      <c r="BT132" s="185"/>
      <c r="BU132" s="455">
        <f>IF(ISNUMBER(SEARCH(BU$119,'Reference Score Calculation'!$P109)),10,IF(ISNUMBER(SEARCH(BU$119,'Reference Score Calculation'!$Q109)),7,IF(ISNUMBER(SEARCH(BU$119,'Reference Score Calculation'!$R109)),5,IF(ISNUMBER(SEARCH($BV$108,'Reference Score Calculation'!$P109)),10,IF(ISNUMBER(SEARCH($BV$108,'Reference Score Calculation'!$Q109)),7,5)))))</f>
        <v>7</v>
      </c>
      <c r="BV132" s="455">
        <f>IF(ISNUMBER(SEARCH(BV$119,'Reference Score Calculation'!$P109)),10,IF(ISNUMBER(SEARCH(BV$119,'Reference Score Calculation'!$Q109)),7,IF(ISNUMBER(SEARCH(BV$119,'Reference Score Calculation'!$R109)),5,IF(ISNUMBER(SEARCH($BV$108,'Reference Score Calculation'!$P109)),10,IF(ISNUMBER(SEARCH($BV$108,'Reference Score Calculation'!$Q109)),7,5)))))</f>
        <v>10</v>
      </c>
      <c r="BW132" s="455">
        <f>IF(ISNUMBER(SEARCH(BW$119,'Reference Score Calculation'!$P109)),10,IF(ISNUMBER(SEARCH(BW$119,'Reference Score Calculation'!$Q109)),7,IF(ISNUMBER(SEARCH(BW$119,'Reference Score Calculation'!$R109)),5,IF(ISNUMBER(SEARCH($BV$108,'Reference Score Calculation'!$P109)),10,IF(ISNUMBER(SEARCH($BV$108,'Reference Score Calculation'!$Q109)),7,5)))))</f>
        <v>10</v>
      </c>
      <c r="BX132" s="455">
        <f>IF(ISNUMBER(SEARCH(BX$119,'Reference Score Calculation'!$P109)),10,IF(ISNUMBER(SEARCH(BX$119,'Reference Score Calculation'!$Q109)),7,IF(ISNUMBER(SEARCH(BX$119,'Reference Score Calculation'!$R109)),5,IF(ISNUMBER(SEARCH($BV$108,'Reference Score Calculation'!$P109)),10,IF(ISNUMBER(SEARCH($BV$108,'Reference Score Calculation'!$Q109)),7,5)))))</f>
        <v>7</v>
      </c>
      <c r="BY132" s="455">
        <f>IF(ISNUMBER(SEARCH(BY$119,'Reference Score Calculation'!$P109)),10,IF(ISNUMBER(SEARCH(BY$119,'Reference Score Calculation'!$Q109)),7,IF(ISNUMBER(SEARCH(BY$119,'Reference Score Calculation'!$R109)),5,IF(ISNUMBER(SEARCH($BV$108,'Reference Score Calculation'!$P109)),10,IF(ISNUMBER(SEARCH($BV$108,'Reference Score Calculation'!$Q109)),7,5)))))</f>
        <v>7</v>
      </c>
      <c r="BZ132" s="455">
        <f>IF(ISNUMBER(SEARCH(BZ$119,'Reference Score Calculation'!$P109)),10,IF(ISNUMBER(SEARCH(BZ$119,'Reference Score Calculation'!$Q109)),7,IF(ISNUMBER(SEARCH(BZ$119,'Reference Score Calculation'!$R109)),5,IF(ISNUMBER(SEARCH($BV$108,'Reference Score Calculation'!$P109)),10,IF(ISNUMBER(SEARCH($BV$108,'Reference Score Calculation'!$Q109)),7,5)))))</f>
        <v>7</v>
      </c>
      <c r="CA132" s="455">
        <f>IF(ISNUMBER(SEARCH(CA$119,'Reference Score Calculation'!$P109)),10,IF(ISNUMBER(SEARCH(CA$119,'Reference Score Calculation'!$Q109)),7,IF(ISNUMBER(SEARCH(CA$119,'Reference Score Calculation'!$R109)),5,IF(ISNUMBER(SEARCH($BV$108,'Reference Score Calculation'!$P109)),10,IF(ISNUMBER(SEARCH($BV$108,'Reference Score Calculation'!$Q109)),7,5)))))</f>
        <v>7</v>
      </c>
      <c r="CB132" s="455">
        <f>IF(ISNUMBER(SEARCH(CB$119,'Reference Score Calculation'!$P109)),10,IF(ISNUMBER(SEARCH(CB$119,'Reference Score Calculation'!$Q109)),7,IF(ISNUMBER(SEARCH(CB$119,'Reference Score Calculation'!$R109)),5,IF(ISNUMBER(SEARCH($BV$108,'Reference Score Calculation'!$P109)),10,IF(ISNUMBER(SEARCH($BV$108,'Reference Score Calculation'!$Q109)),7,5)))))</f>
        <v>7</v>
      </c>
      <c r="CC132" s="455">
        <f>IF(ISNUMBER(SEARCH(CC$119,'Reference Score Calculation'!$P109)),10,IF(ISNUMBER(SEARCH(CC$119,'Reference Score Calculation'!$Q109)),7,IF(ISNUMBER(SEARCH(CC$119,'Reference Score Calculation'!$R109)),5,IF(ISNUMBER(SEARCH($BV$108,'Reference Score Calculation'!$P109)),10,IF(ISNUMBER(SEARCH($BV$108,'Reference Score Calculation'!$Q109)),7,5)))))</f>
        <v>7</v>
      </c>
      <c r="CD132" s="455">
        <f>IF(ISNUMBER(SEARCH(CD$119,'Reference Score Calculation'!$P109)),10,IF(ISNUMBER(SEARCH(CD$119,'Reference Score Calculation'!$Q109)),7,IF(ISNUMBER(SEARCH(CD$119,'Reference Score Calculation'!$R109)),5,IF(ISNUMBER(SEARCH($BV$108,'Reference Score Calculation'!$P109)),10,IF(ISNUMBER(SEARCH($BV$108,'Reference Score Calculation'!$Q109)),7,5)))))</f>
        <v>7</v>
      </c>
      <c r="CE132" s="455">
        <f>IF(ISNUMBER(SEARCH(CE$119,'Reference Score Calculation'!$P109)),10,IF(ISNUMBER(SEARCH(CE$119,'Reference Score Calculation'!$Q109)),7,IF(ISNUMBER(SEARCH(CE$119,'Reference Score Calculation'!$R109)),5,IF(ISNUMBER(SEARCH($BV$108,'Reference Score Calculation'!$P109)),10,IF(ISNUMBER(SEARCH($BV$108,'Reference Score Calculation'!$Q109)),7,5)))))</f>
        <v>5</v>
      </c>
      <c r="CF132" s="455">
        <f>IF(ISNUMBER(SEARCH(CF$119,'Reference Score Calculation'!$P109)),10,IF(ISNUMBER(SEARCH(CF$119,'Reference Score Calculation'!$Q109)),7,IF(ISNUMBER(SEARCH(CF$119,'Reference Score Calculation'!$R109)),5,IF(ISNUMBER(SEARCH($BV$108,'Reference Score Calculation'!$P109)),10,IF(ISNUMBER(SEARCH($BV$108,'Reference Score Calculation'!$Q109)),7,5)))))</f>
        <v>5</v>
      </c>
      <c r="CG132" s="455">
        <f>IF(ISNUMBER(SEARCH(CG$119,'Reference Score Calculation'!$P109)),10,IF(ISNUMBER(SEARCH(CG$119,'Reference Score Calculation'!$Q109)),7,IF(ISNUMBER(SEARCH(CG$119,'Reference Score Calculation'!$R109)),5,IF(ISNUMBER(SEARCH($BV$108,'Reference Score Calculation'!$P109)),10,IF(ISNUMBER(SEARCH($BV$108,'Reference Score Calculation'!$Q109)),7,5)))))</f>
        <v>7</v>
      </c>
      <c r="CH132" s="455">
        <f>IF(ISNUMBER(SEARCH(CH$119,'Reference Score Calculation'!$P109)),10,IF(ISNUMBER(SEARCH(CH$119,'Reference Score Calculation'!$Q109)),7,IF(ISNUMBER(SEARCH(CH$119,'Reference Score Calculation'!$R109)),5,IF(ISNUMBER(SEARCH($BV$108,'Reference Score Calculation'!$P109)),10,IF(ISNUMBER(SEARCH($BV$108,'Reference Score Calculation'!$Q109)),7,5)))))</f>
        <v>7</v>
      </c>
      <c r="CI132" s="455">
        <f>IF(ISNUMBER(SEARCH(CI$119,'Reference Score Calculation'!$P109)),10,IF(ISNUMBER(SEARCH(CI$119,'Reference Score Calculation'!$Q109)),7,IF(ISNUMBER(SEARCH(CI$119,'Reference Score Calculation'!$R109)),5,IF(ISNUMBER(SEARCH($BV$108,'Reference Score Calculation'!$P109)),10,IF(ISNUMBER(SEARCH($BV$108,'Reference Score Calculation'!$Q109)),7,5)))))</f>
        <v>5</v>
      </c>
      <c r="CJ132" s="455">
        <f>IF(ISNUMBER(SEARCH(CJ$119,'Reference Score Calculation'!$P109)),10,IF(ISNUMBER(SEARCH(CJ$119,'Reference Score Calculation'!$Q109)),7,IF(ISNUMBER(SEARCH(CJ$119,'Reference Score Calculation'!$R109)),5,IF(ISNUMBER(SEARCH($BV$108,'Reference Score Calculation'!$P109)),10,IF(ISNUMBER(SEARCH($BV$108,'Reference Score Calculation'!$Q109)),7,5)))))</f>
        <v>7</v>
      </c>
      <c r="CK132" s="455">
        <f>IF(ISNUMBER(SEARCH(CK$119,'Reference Score Calculation'!$P109)),10,IF(ISNUMBER(SEARCH(CK$119,'Reference Score Calculation'!$Q109)),7,IF(ISNUMBER(SEARCH(CK$119,'Reference Score Calculation'!$R109)),5,IF(ISNUMBER(SEARCH($BV$108,'Reference Score Calculation'!$P109)),10,IF(ISNUMBER(SEARCH($BV$108,'Reference Score Calculation'!$Q109)),7,5)))))</f>
        <v>7</v>
      </c>
      <c r="CL132" s="455">
        <f>IF(ISNUMBER(SEARCH(CL$119,'Reference Score Calculation'!$P109)),10,IF(ISNUMBER(SEARCH(CL$119,'Reference Score Calculation'!$Q109)),7,IF(ISNUMBER(SEARCH(CL$119,'Reference Score Calculation'!$R109)),5,IF(ISNUMBER(SEARCH($BV$108,'Reference Score Calculation'!$P109)),10,IF(ISNUMBER(SEARCH($BV$108,'Reference Score Calculation'!$Q109)),7,5)))))</f>
        <v>7</v>
      </c>
      <c r="CM132" s="455">
        <f>IF(ISNUMBER(SEARCH(CM$119,'Reference Score Calculation'!$P109)),10,IF(ISNUMBER(SEARCH(CM$119,'Reference Score Calculation'!$Q109)),7,IF(ISNUMBER(SEARCH(CM$119,'Reference Score Calculation'!$R109)),5,IF(ISNUMBER(SEARCH($BV$108,'Reference Score Calculation'!$P109)),10,IF(ISNUMBER(SEARCH($BV$108,'Reference Score Calculation'!$Q109)),7,5)))))</f>
        <v>7</v>
      </c>
      <c r="CN132" s="455">
        <f>IF(ISNUMBER(SEARCH(CN$119,'Reference Score Calculation'!$P109)),10,IF(ISNUMBER(SEARCH(CN$119,'Reference Score Calculation'!$Q109)),7,IF(ISNUMBER(SEARCH(CN$119,'Reference Score Calculation'!$R109)),5,IF(ISNUMBER(SEARCH($BV$108,'Reference Score Calculation'!$P109)),10,IF(ISNUMBER(SEARCH($BV$108,'Reference Score Calculation'!$Q109)),7,5)))))</f>
        <v>7</v>
      </c>
      <c r="CO132" s="455">
        <f>IF(ISNUMBER(SEARCH(CO$119,'Reference Score Calculation'!$P109)),10,IF(ISNUMBER(SEARCH(CO$119,'Reference Score Calculation'!$Q109)),7,IF(ISNUMBER(SEARCH(CO$119,'Reference Score Calculation'!$R109)),5,IF(ISNUMBER(SEARCH($BV$108,'Reference Score Calculation'!$P109)),10,IF(ISNUMBER(SEARCH($BV$108,'Reference Score Calculation'!$Q109)),7,5)))))</f>
        <v>7</v>
      </c>
      <c r="CP132" s="455">
        <f>IF(ISNUMBER(SEARCH(CP$119,'Reference Score Calculation'!$P109)),10,IF(ISNUMBER(SEARCH(CP$119,'Reference Score Calculation'!$Q109)),7,IF(ISNUMBER(SEARCH(CP$119,'Reference Score Calculation'!$R109)),5,IF(ISNUMBER(SEARCH($BV$108,'Reference Score Calculation'!$P109)),10,IF(ISNUMBER(SEARCH($BV$108,'Reference Score Calculation'!$Q109)),7,5)))))</f>
        <v>7</v>
      </c>
      <c r="CQ132" s="455">
        <f>IF(ISNUMBER(SEARCH(CQ$119,'Reference Score Calculation'!$P109)),10,IF(ISNUMBER(SEARCH(CQ$119,'Reference Score Calculation'!$Q109)),7,IF(ISNUMBER(SEARCH(CQ$119,'Reference Score Calculation'!$R109)),5,IF(ISNUMBER(SEARCH($BV$108,'Reference Score Calculation'!$P109)),10,IF(ISNUMBER(SEARCH($BV$108,'Reference Score Calculation'!$Q109)),7,5)))))</f>
        <v>5</v>
      </c>
      <c r="CR132" s="455">
        <f>IF(ISNUMBER(SEARCH(CR$119,'Reference Score Calculation'!$P109)),10,IF(ISNUMBER(SEARCH(CR$119,'Reference Score Calculation'!$Q109)),7,IF(ISNUMBER(SEARCH(CR$119,'Reference Score Calculation'!$R109)),5,IF(ISNUMBER(SEARCH($BV$108,'Reference Score Calculation'!$P109)),10,IF(ISNUMBER(SEARCH($BV$108,'Reference Score Calculation'!$Q109)),7,5)))))</f>
        <v>5</v>
      </c>
      <c r="CS132" s="455">
        <f>IF(ISNUMBER(SEARCH(CS$119,'Reference Score Calculation'!$P109)),10,IF(ISNUMBER(SEARCH(CS$119,'Reference Score Calculation'!$Q109)),7,IF(ISNUMBER(SEARCH(CS$119,'Reference Score Calculation'!$R109)),5,IF(ISNUMBER(SEARCH($BV$108,'Reference Score Calculation'!$P109)),10,IF(ISNUMBER(SEARCH($BV$108,'Reference Score Calculation'!$Q109)),7,5)))))</f>
        <v>7</v>
      </c>
      <c r="CT132" s="455">
        <f>IF(ISNUMBER(SEARCH(CT$119,'Reference Score Calculation'!$P109)),10,IF(ISNUMBER(SEARCH(CT$119,'Reference Score Calculation'!$Q109)),7,IF(ISNUMBER(SEARCH(CT$119,'Reference Score Calculation'!$R109)),5,IF(ISNUMBER(SEARCH($BV$108,'Reference Score Calculation'!$P109)),10,IF(ISNUMBER(SEARCH($BV$108,'Reference Score Calculation'!$Q109)),7,5)))))</f>
        <v>5</v>
      </c>
      <c r="CU132" s="455">
        <f>IF(ISNUMBER(SEARCH(CU$119,'Reference Score Calculation'!$P109)),10,IF(ISNUMBER(SEARCH(CU$119,'Reference Score Calculation'!$Q109)),7,IF(ISNUMBER(SEARCH(CU$119,'Reference Score Calculation'!$R109)),5,IF(ISNUMBER(SEARCH($BV$108,'Reference Score Calculation'!$P109)),10,IF(ISNUMBER(SEARCH($BV$108,'Reference Score Calculation'!$Q109)),7,5)))))</f>
        <v>7</v>
      </c>
      <c r="CV132" s="455">
        <f>IF(ISNUMBER(SEARCH(CV$119,'Reference Score Calculation'!$P109)),10,IF(ISNUMBER(SEARCH(CV$119,'Reference Score Calculation'!$Q109)),7,IF(ISNUMBER(SEARCH(CV$119,'Reference Score Calculation'!$R109)),5,IF(ISNUMBER(SEARCH($BV$108,'Reference Score Calculation'!$P109)),10,IF(ISNUMBER(SEARCH($BV$108,'Reference Score Calculation'!$Q109)),7,5)))))</f>
        <v>7</v>
      </c>
      <c r="CW132" s="185"/>
      <c r="CX132" s="185"/>
      <c r="CY132" s="185"/>
    </row>
    <row r="133" spans="1:103">
      <c r="A133" s="117" t="s">
        <v>1064</v>
      </c>
      <c r="B133" s="459" t="str">
        <f>'Reference Score Calculation'!B110</f>
        <v>JS3080</v>
      </c>
      <c r="C133" s="117" t="str">
        <f>'Reference Score Calculation'!E110</f>
        <v>管理及市場學(榮譽)工商管理學士組合課程 (管理學 / 市場學)</v>
      </c>
      <c r="D133" s="2" t="e">
        <f>'Reference Score Calculation'!#REF!</f>
        <v>#REF!</v>
      </c>
      <c r="E133" s="131" t="str">
        <f>'Reference Score Calculation'!F110</f>
        <v>Best 5</v>
      </c>
      <c r="F133" s="131"/>
      <c r="G133" s="117" t="str">
        <f>入學要求!AB119</f>
        <v>v</v>
      </c>
      <c r="H133" s="117" t="str">
        <f>入學要求!AC119</f>
        <v>E</v>
      </c>
      <c r="I133" s="117" t="str">
        <f>入學要求!AD119</f>
        <v>NO</v>
      </c>
      <c r="J133" s="117">
        <f t="shared" si="211"/>
        <v>9.1999999999999997E-9</v>
      </c>
      <c r="K133" s="117">
        <f t="shared" si="242"/>
        <v>7</v>
      </c>
      <c r="L133" s="117">
        <f t="shared" si="242"/>
        <v>10</v>
      </c>
      <c r="M133" s="117">
        <f t="shared" si="242"/>
        <v>10</v>
      </c>
      <c r="N133" s="117">
        <f t="shared" si="242"/>
        <v>0</v>
      </c>
      <c r="O133" s="117">
        <f t="shared" si="242"/>
        <v>7</v>
      </c>
      <c r="P133" s="117">
        <f t="shared" si="242"/>
        <v>0</v>
      </c>
      <c r="Q133" s="117">
        <f t="shared" si="242"/>
        <v>0</v>
      </c>
      <c r="R133" s="117">
        <f t="shared" si="242"/>
        <v>0</v>
      </c>
      <c r="S133" s="117">
        <f t="shared" si="242"/>
        <v>0</v>
      </c>
      <c r="T133" s="117">
        <v>5</v>
      </c>
      <c r="V133" s="117">
        <f t="shared" si="224"/>
        <v>7.0000000000000006E-10</v>
      </c>
      <c r="W133" s="117">
        <f t="shared" si="225"/>
        <v>2.0000000000000001E-9</v>
      </c>
      <c r="X133" s="117">
        <f t="shared" si="226"/>
        <v>3E-9</v>
      </c>
      <c r="Z133" s="117">
        <f t="shared" si="227"/>
        <v>3.5000000000000003E-9</v>
      </c>
      <c r="AA133" s="117">
        <f t="shared" si="228"/>
        <v>0</v>
      </c>
      <c r="AB133" s="117">
        <f t="shared" si="229"/>
        <v>0</v>
      </c>
      <c r="AC133" s="117">
        <f t="shared" si="230"/>
        <v>0</v>
      </c>
      <c r="AD133" s="117">
        <f t="shared" si="231"/>
        <v>0</v>
      </c>
      <c r="AE133" s="117">
        <f t="shared" si="232"/>
        <v>0</v>
      </c>
      <c r="AF133" s="117">
        <f t="shared" si="213"/>
        <v>7.0000000000000006E-10</v>
      </c>
      <c r="AG133" s="117">
        <f t="shared" si="214"/>
        <v>2.0000000000000001E-9</v>
      </c>
      <c r="AH133" s="117">
        <f t="shared" si="215"/>
        <v>3E-9</v>
      </c>
      <c r="AI133" s="117">
        <f t="shared" si="216"/>
        <v>0</v>
      </c>
      <c r="AJ133" s="117">
        <f t="shared" si="217"/>
        <v>3.5000000000000003E-9</v>
      </c>
      <c r="AK133" s="117">
        <f t="shared" si="218"/>
        <v>0</v>
      </c>
      <c r="AL133" s="117">
        <f t="shared" si="219"/>
        <v>0</v>
      </c>
      <c r="AM133" s="117">
        <f t="shared" si="220"/>
        <v>0</v>
      </c>
      <c r="AN133" s="117">
        <f t="shared" si="221"/>
        <v>0</v>
      </c>
      <c r="AO133" s="117">
        <f t="shared" si="222"/>
        <v>0</v>
      </c>
      <c r="AP133" s="117" t="b">
        <f t="shared" si="233"/>
        <v>1</v>
      </c>
      <c r="AQ133" s="117" t="b">
        <f t="shared" si="234"/>
        <v>1</v>
      </c>
      <c r="AR133" s="117" t="b">
        <f t="shared" si="235"/>
        <v>1</v>
      </c>
      <c r="AT133" s="117" t="b">
        <f t="shared" si="236"/>
        <v>1</v>
      </c>
      <c r="AU133" s="117" t="b">
        <f t="shared" si="237"/>
        <v>0</v>
      </c>
      <c r="AV133" s="117" t="b">
        <f t="shared" si="238"/>
        <v>0</v>
      </c>
      <c r="AW133" s="117" t="b">
        <f t="shared" si="239"/>
        <v>0</v>
      </c>
      <c r="AX133" s="117" t="b">
        <f t="shared" si="240"/>
        <v>0</v>
      </c>
      <c r="AY133" s="117" t="b">
        <f t="shared" si="241"/>
        <v>0</v>
      </c>
      <c r="BA133" s="2"/>
      <c r="BB133" s="2"/>
      <c r="BC133" s="2"/>
      <c r="BD133" s="2"/>
      <c r="BE133" s="2"/>
      <c r="BF133" s="2"/>
      <c r="BG133" s="2"/>
      <c r="BH133" s="2"/>
      <c r="BI133" s="2"/>
      <c r="BJ133" s="2"/>
      <c r="BK133" s="2"/>
      <c r="BL133" s="2"/>
      <c r="BM133" s="2"/>
      <c r="BN133" s="2"/>
      <c r="BO133" s="2"/>
      <c r="BP133" s="2"/>
      <c r="BQ133" s="2"/>
      <c r="BR133" s="2"/>
      <c r="BS133" s="185" t="str">
        <f>'Reference Score Calculation'!B110</f>
        <v>JS3080</v>
      </c>
      <c r="BT133" s="185"/>
      <c r="BU133" s="455">
        <f>IF(ISNUMBER(SEARCH(BU$119,'Reference Score Calculation'!$P110)),10,IF(ISNUMBER(SEARCH(BU$119,'Reference Score Calculation'!$Q110)),7,IF(ISNUMBER(SEARCH(BU$119,'Reference Score Calculation'!$R110)),5,IF(ISNUMBER(SEARCH($BV$108,'Reference Score Calculation'!$P110)),10,IF(ISNUMBER(SEARCH($BV$108,'Reference Score Calculation'!$Q110)),7,5)))))</f>
        <v>7</v>
      </c>
      <c r="BV133" s="455">
        <f>IF(ISNUMBER(SEARCH(BV$119,'Reference Score Calculation'!$P110)),10,IF(ISNUMBER(SEARCH(BV$119,'Reference Score Calculation'!$Q110)),7,IF(ISNUMBER(SEARCH(BV$119,'Reference Score Calculation'!$R110)),5,IF(ISNUMBER(SEARCH($BV$108,'Reference Score Calculation'!$P110)),10,IF(ISNUMBER(SEARCH($BV$108,'Reference Score Calculation'!$Q110)),7,5)))))</f>
        <v>10</v>
      </c>
      <c r="BW133" s="455">
        <f>IF(ISNUMBER(SEARCH(BW$119,'Reference Score Calculation'!$P110)),10,IF(ISNUMBER(SEARCH(BW$119,'Reference Score Calculation'!$Q110)),7,IF(ISNUMBER(SEARCH(BW$119,'Reference Score Calculation'!$R110)),5,IF(ISNUMBER(SEARCH($BV$108,'Reference Score Calculation'!$P110)),10,IF(ISNUMBER(SEARCH($BV$108,'Reference Score Calculation'!$Q110)),7,5)))))</f>
        <v>10</v>
      </c>
      <c r="BX133" s="455">
        <f>IF(ISNUMBER(SEARCH(BX$119,'Reference Score Calculation'!$P110)),10,IF(ISNUMBER(SEARCH(BX$119,'Reference Score Calculation'!$Q110)),7,IF(ISNUMBER(SEARCH(BX$119,'Reference Score Calculation'!$R110)),5,IF(ISNUMBER(SEARCH($BV$108,'Reference Score Calculation'!$P110)),10,IF(ISNUMBER(SEARCH($BV$108,'Reference Score Calculation'!$Q110)),7,5)))))</f>
        <v>7</v>
      </c>
      <c r="BY133" s="455">
        <f>IF(ISNUMBER(SEARCH(BY$119,'Reference Score Calculation'!$P110)),10,IF(ISNUMBER(SEARCH(BY$119,'Reference Score Calculation'!$Q110)),7,IF(ISNUMBER(SEARCH(BY$119,'Reference Score Calculation'!$R110)),5,IF(ISNUMBER(SEARCH($BV$108,'Reference Score Calculation'!$P110)),10,IF(ISNUMBER(SEARCH($BV$108,'Reference Score Calculation'!$Q110)),7,5)))))</f>
        <v>7</v>
      </c>
      <c r="BZ133" s="455">
        <f>IF(ISNUMBER(SEARCH(BZ$119,'Reference Score Calculation'!$P110)),10,IF(ISNUMBER(SEARCH(BZ$119,'Reference Score Calculation'!$Q110)),7,IF(ISNUMBER(SEARCH(BZ$119,'Reference Score Calculation'!$R110)),5,IF(ISNUMBER(SEARCH($BV$108,'Reference Score Calculation'!$P110)),10,IF(ISNUMBER(SEARCH($BV$108,'Reference Score Calculation'!$Q110)),7,5)))))</f>
        <v>7</v>
      </c>
      <c r="CA133" s="455">
        <f>IF(ISNUMBER(SEARCH(CA$119,'Reference Score Calculation'!$P110)),10,IF(ISNUMBER(SEARCH(CA$119,'Reference Score Calculation'!$Q110)),7,IF(ISNUMBER(SEARCH(CA$119,'Reference Score Calculation'!$R110)),5,IF(ISNUMBER(SEARCH($BV$108,'Reference Score Calculation'!$P110)),10,IF(ISNUMBER(SEARCH($BV$108,'Reference Score Calculation'!$Q110)),7,5)))))</f>
        <v>7</v>
      </c>
      <c r="CB133" s="455">
        <f>IF(ISNUMBER(SEARCH(CB$119,'Reference Score Calculation'!$P110)),10,IF(ISNUMBER(SEARCH(CB$119,'Reference Score Calculation'!$Q110)),7,IF(ISNUMBER(SEARCH(CB$119,'Reference Score Calculation'!$R110)),5,IF(ISNUMBER(SEARCH($BV$108,'Reference Score Calculation'!$P110)),10,IF(ISNUMBER(SEARCH($BV$108,'Reference Score Calculation'!$Q110)),7,5)))))</f>
        <v>7</v>
      </c>
      <c r="CC133" s="455">
        <f>IF(ISNUMBER(SEARCH(CC$119,'Reference Score Calculation'!$P110)),10,IF(ISNUMBER(SEARCH(CC$119,'Reference Score Calculation'!$Q110)),7,IF(ISNUMBER(SEARCH(CC$119,'Reference Score Calculation'!$R110)),5,IF(ISNUMBER(SEARCH($BV$108,'Reference Score Calculation'!$P110)),10,IF(ISNUMBER(SEARCH($BV$108,'Reference Score Calculation'!$Q110)),7,5)))))</f>
        <v>7</v>
      </c>
      <c r="CD133" s="455">
        <f>IF(ISNUMBER(SEARCH(CD$119,'Reference Score Calculation'!$P110)),10,IF(ISNUMBER(SEARCH(CD$119,'Reference Score Calculation'!$Q110)),7,IF(ISNUMBER(SEARCH(CD$119,'Reference Score Calculation'!$R110)),5,IF(ISNUMBER(SEARCH($BV$108,'Reference Score Calculation'!$P110)),10,IF(ISNUMBER(SEARCH($BV$108,'Reference Score Calculation'!$Q110)),7,5)))))</f>
        <v>7</v>
      </c>
      <c r="CE133" s="455">
        <f>IF(ISNUMBER(SEARCH(CE$119,'Reference Score Calculation'!$P110)),10,IF(ISNUMBER(SEARCH(CE$119,'Reference Score Calculation'!$Q110)),7,IF(ISNUMBER(SEARCH(CE$119,'Reference Score Calculation'!$R110)),5,IF(ISNUMBER(SEARCH($BV$108,'Reference Score Calculation'!$P110)),10,IF(ISNUMBER(SEARCH($BV$108,'Reference Score Calculation'!$Q110)),7,5)))))</f>
        <v>5</v>
      </c>
      <c r="CF133" s="455">
        <f>IF(ISNUMBER(SEARCH(CF$119,'Reference Score Calculation'!$P110)),10,IF(ISNUMBER(SEARCH(CF$119,'Reference Score Calculation'!$Q110)),7,IF(ISNUMBER(SEARCH(CF$119,'Reference Score Calculation'!$R110)),5,IF(ISNUMBER(SEARCH($BV$108,'Reference Score Calculation'!$P110)),10,IF(ISNUMBER(SEARCH($BV$108,'Reference Score Calculation'!$Q110)),7,5)))))</f>
        <v>5</v>
      </c>
      <c r="CG133" s="455">
        <f>IF(ISNUMBER(SEARCH(CG$119,'Reference Score Calculation'!$P110)),10,IF(ISNUMBER(SEARCH(CG$119,'Reference Score Calculation'!$Q110)),7,IF(ISNUMBER(SEARCH(CG$119,'Reference Score Calculation'!$R110)),5,IF(ISNUMBER(SEARCH($BV$108,'Reference Score Calculation'!$P110)),10,IF(ISNUMBER(SEARCH($BV$108,'Reference Score Calculation'!$Q110)),7,5)))))</f>
        <v>7</v>
      </c>
      <c r="CH133" s="455">
        <f>IF(ISNUMBER(SEARCH(CH$119,'Reference Score Calculation'!$P110)),10,IF(ISNUMBER(SEARCH(CH$119,'Reference Score Calculation'!$Q110)),7,IF(ISNUMBER(SEARCH(CH$119,'Reference Score Calculation'!$R110)),5,IF(ISNUMBER(SEARCH($BV$108,'Reference Score Calculation'!$P110)),10,IF(ISNUMBER(SEARCH($BV$108,'Reference Score Calculation'!$Q110)),7,5)))))</f>
        <v>7</v>
      </c>
      <c r="CI133" s="455">
        <f>IF(ISNUMBER(SEARCH(CI$119,'Reference Score Calculation'!$P110)),10,IF(ISNUMBER(SEARCH(CI$119,'Reference Score Calculation'!$Q110)),7,IF(ISNUMBER(SEARCH(CI$119,'Reference Score Calculation'!$R110)),5,IF(ISNUMBER(SEARCH($BV$108,'Reference Score Calculation'!$P110)),10,IF(ISNUMBER(SEARCH($BV$108,'Reference Score Calculation'!$Q110)),7,5)))))</f>
        <v>5</v>
      </c>
      <c r="CJ133" s="455">
        <f>IF(ISNUMBER(SEARCH(CJ$119,'Reference Score Calculation'!$P110)),10,IF(ISNUMBER(SEARCH(CJ$119,'Reference Score Calculation'!$Q110)),7,IF(ISNUMBER(SEARCH(CJ$119,'Reference Score Calculation'!$R110)),5,IF(ISNUMBER(SEARCH($BV$108,'Reference Score Calculation'!$P110)),10,IF(ISNUMBER(SEARCH($BV$108,'Reference Score Calculation'!$Q110)),7,5)))))</f>
        <v>7</v>
      </c>
      <c r="CK133" s="455">
        <f>IF(ISNUMBER(SEARCH(CK$119,'Reference Score Calculation'!$P110)),10,IF(ISNUMBER(SEARCH(CK$119,'Reference Score Calculation'!$Q110)),7,IF(ISNUMBER(SEARCH(CK$119,'Reference Score Calculation'!$R110)),5,IF(ISNUMBER(SEARCH($BV$108,'Reference Score Calculation'!$P110)),10,IF(ISNUMBER(SEARCH($BV$108,'Reference Score Calculation'!$Q110)),7,5)))))</f>
        <v>7</v>
      </c>
      <c r="CL133" s="455">
        <f>IF(ISNUMBER(SEARCH(CL$119,'Reference Score Calculation'!$P110)),10,IF(ISNUMBER(SEARCH(CL$119,'Reference Score Calculation'!$Q110)),7,IF(ISNUMBER(SEARCH(CL$119,'Reference Score Calculation'!$R110)),5,IF(ISNUMBER(SEARCH($BV$108,'Reference Score Calculation'!$P110)),10,IF(ISNUMBER(SEARCH($BV$108,'Reference Score Calculation'!$Q110)),7,5)))))</f>
        <v>7</v>
      </c>
      <c r="CM133" s="455">
        <f>IF(ISNUMBER(SEARCH(CM$119,'Reference Score Calculation'!$P110)),10,IF(ISNUMBER(SEARCH(CM$119,'Reference Score Calculation'!$Q110)),7,IF(ISNUMBER(SEARCH(CM$119,'Reference Score Calculation'!$R110)),5,IF(ISNUMBER(SEARCH($BV$108,'Reference Score Calculation'!$P110)),10,IF(ISNUMBER(SEARCH($BV$108,'Reference Score Calculation'!$Q110)),7,5)))))</f>
        <v>7</v>
      </c>
      <c r="CN133" s="455">
        <f>IF(ISNUMBER(SEARCH(CN$119,'Reference Score Calculation'!$P110)),10,IF(ISNUMBER(SEARCH(CN$119,'Reference Score Calculation'!$Q110)),7,IF(ISNUMBER(SEARCH(CN$119,'Reference Score Calculation'!$R110)),5,IF(ISNUMBER(SEARCH($BV$108,'Reference Score Calculation'!$P110)),10,IF(ISNUMBER(SEARCH($BV$108,'Reference Score Calculation'!$Q110)),7,5)))))</f>
        <v>7</v>
      </c>
      <c r="CO133" s="455">
        <f>IF(ISNUMBER(SEARCH(CO$119,'Reference Score Calculation'!$P110)),10,IF(ISNUMBER(SEARCH(CO$119,'Reference Score Calculation'!$Q110)),7,IF(ISNUMBER(SEARCH(CO$119,'Reference Score Calculation'!$R110)),5,IF(ISNUMBER(SEARCH($BV$108,'Reference Score Calculation'!$P110)),10,IF(ISNUMBER(SEARCH($BV$108,'Reference Score Calculation'!$Q110)),7,5)))))</f>
        <v>7</v>
      </c>
      <c r="CP133" s="455">
        <f>IF(ISNUMBER(SEARCH(CP$119,'Reference Score Calculation'!$P110)),10,IF(ISNUMBER(SEARCH(CP$119,'Reference Score Calculation'!$Q110)),7,IF(ISNUMBER(SEARCH(CP$119,'Reference Score Calculation'!$R110)),5,IF(ISNUMBER(SEARCH($BV$108,'Reference Score Calculation'!$P110)),10,IF(ISNUMBER(SEARCH($BV$108,'Reference Score Calculation'!$Q110)),7,5)))))</f>
        <v>7</v>
      </c>
      <c r="CQ133" s="455">
        <f>IF(ISNUMBER(SEARCH(CQ$119,'Reference Score Calculation'!$P110)),10,IF(ISNUMBER(SEARCH(CQ$119,'Reference Score Calculation'!$Q110)),7,IF(ISNUMBER(SEARCH(CQ$119,'Reference Score Calculation'!$R110)),5,IF(ISNUMBER(SEARCH($BV$108,'Reference Score Calculation'!$P110)),10,IF(ISNUMBER(SEARCH($BV$108,'Reference Score Calculation'!$Q110)),7,5)))))</f>
        <v>5</v>
      </c>
      <c r="CR133" s="455">
        <f>IF(ISNUMBER(SEARCH(CR$119,'Reference Score Calculation'!$P110)),10,IF(ISNUMBER(SEARCH(CR$119,'Reference Score Calculation'!$Q110)),7,IF(ISNUMBER(SEARCH(CR$119,'Reference Score Calculation'!$R110)),5,IF(ISNUMBER(SEARCH($BV$108,'Reference Score Calculation'!$P110)),10,IF(ISNUMBER(SEARCH($BV$108,'Reference Score Calculation'!$Q110)),7,5)))))</f>
        <v>5</v>
      </c>
      <c r="CS133" s="455">
        <f>IF(ISNUMBER(SEARCH(CS$119,'Reference Score Calculation'!$P110)),10,IF(ISNUMBER(SEARCH(CS$119,'Reference Score Calculation'!$Q110)),7,IF(ISNUMBER(SEARCH(CS$119,'Reference Score Calculation'!$R110)),5,IF(ISNUMBER(SEARCH($BV$108,'Reference Score Calculation'!$P110)),10,IF(ISNUMBER(SEARCH($BV$108,'Reference Score Calculation'!$Q110)),7,5)))))</f>
        <v>7</v>
      </c>
      <c r="CT133" s="455">
        <f>IF(ISNUMBER(SEARCH(CT$119,'Reference Score Calculation'!$P110)),10,IF(ISNUMBER(SEARCH(CT$119,'Reference Score Calculation'!$Q110)),7,IF(ISNUMBER(SEARCH(CT$119,'Reference Score Calculation'!$R110)),5,IF(ISNUMBER(SEARCH($BV$108,'Reference Score Calculation'!$P110)),10,IF(ISNUMBER(SEARCH($BV$108,'Reference Score Calculation'!$Q110)),7,5)))))</f>
        <v>5</v>
      </c>
      <c r="CU133" s="455">
        <f>IF(ISNUMBER(SEARCH(CU$119,'Reference Score Calculation'!$P110)),10,IF(ISNUMBER(SEARCH(CU$119,'Reference Score Calculation'!$Q110)),7,IF(ISNUMBER(SEARCH(CU$119,'Reference Score Calculation'!$R110)),5,IF(ISNUMBER(SEARCH($BV$108,'Reference Score Calculation'!$P110)),10,IF(ISNUMBER(SEARCH($BV$108,'Reference Score Calculation'!$Q110)),7,5)))))</f>
        <v>7</v>
      </c>
      <c r="CV133" s="455">
        <f>IF(ISNUMBER(SEARCH(CV$119,'Reference Score Calculation'!$P110)),10,IF(ISNUMBER(SEARCH(CV$119,'Reference Score Calculation'!$Q110)),7,IF(ISNUMBER(SEARCH(CV$119,'Reference Score Calculation'!$R110)),5,IF(ISNUMBER(SEARCH($BV$108,'Reference Score Calculation'!$P110)),10,IF(ISNUMBER(SEARCH($BV$108,'Reference Score Calculation'!$Q110)),7,5)))))</f>
        <v>7</v>
      </c>
      <c r="CW133" s="185"/>
      <c r="CX133" s="185"/>
      <c r="CY133" s="185"/>
    </row>
    <row r="134" spans="1:103">
      <c r="A134" s="117" t="s">
        <v>1077</v>
      </c>
      <c r="B134" s="459" t="str">
        <f>'Reference Score Calculation'!B111</f>
        <v>JS3130</v>
      </c>
      <c r="C134" s="117" t="str">
        <f>'Reference Score Calculation'!E111</f>
        <v>空間數據科學及智慧城市(榮譽)理學士組合課程 (土地測量及地理資訊學 / 城市信息學及智慧城市)</v>
      </c>
      <c r="D134" s="2" t="e">
        <f>'Reference Score Calculation'!#REF!</f>
        <v>#REF!</v>
      </c>
      <c r="E134" s="131" t="str">
        <f>'Reference Score Calculation'!F111</f>
        <v>Best 5</v>
      </c>
      <c r="F134" s="131"/>
      <c r="G134" s="117" t="str">
        <f>入學要求!AB120</f>
        <v>v</v>
      </c>
      <c r="H134" s="117" t="str">
        <f>入學要求!AC120</f>
        <v>E</v>
      </c>
      <c r="I134" s="117" t="str">
        <f>入學要求!AD120</f>
        <v>NO</v>
      </c>
      <c r="J134" s="117">
        <f t="shared" si="211"/>
        <v>1.07E-8</v>
      </c>
      <c r="K134" s="117">
        <f t="shared" si="242"/>
        <v>7</v>
      </c>
      <c r="L134" s="117">
        <f t="shared" si="242"/>
        <v>10</v>
      </c>
      <c r="M134" s="117">
        <f t="shared" si="242"/>
        <v>10</v>
      </c>
      <c r="N134" s="117">
        <f t="shared" si="242"/>
        <v>0</v>
      </c>
      <c r="O134" s="117">
        <f t="shared" si="242"/>
        <v>10</v>
      </c>
      <c r="P134" s="117">
        <f t="shared" si="242"/>
        <v>0</v>
      </c>
      <c r="Q134" s="117">
        <f t="shared" si="242"/>
        <v>0</v>
      </c>
      <c r="R134" s="117">
        <f t="shared" si="242"/>
        <v>0</v>
      </c>
      <c r="S134" s="117">
        <f t="shared" si="242"/>
        <v>0</v>
      </c>
      <c r="T134" s="117">
        <v>5</v>
      </c>
      <c r="V134" s="117">
        <f t="shared" si="224"/>
        <v>7.0000000000000006E-10</v>
      </c>
      <c r="W134" s="117">
        <f t="shared" si="225"/>
        <v>2.0000000000000001E-9</v>
      </c>
      <c r="X134" s="117">
        <f t="shared" si="226"/>
        <v>3E-9</v>
      </c>
      <c r="Z134" s="117">
        <f t="shared" si="227"/>
        <v>5.0000000000000001E-9</v>
      </c>
      <c r="AA134" s="117">
        <f t="shared" si="228"/>
        <v>0</v>
      </c>
      <c r="AB134" s="117">
        <f t="shared" si="229"/>
        <v>0</v>
      </c>
      <c r="AC134" s="117">
        <f t="shared" si="230"/>
        <v>0</v>
      </c>
      <c r="AD134" s="117">
        <f t="shared" si="231"/>
        <v>0</v>
      </c>
      <c r="AE134" s="117">
        <f t="shared" si="232"/>
        <v>0</v>
      </c>
      <c r="AF134" s="117">
        <f t="shared" si="213"/>
        <v>7.0000000000000006E-10</v>
      </c>
      <c r="AG134" s="117">
        <f t="shared" si="214"/>
        <v>2.0000000000000001E-9</v>
      </c>
      <c r="AH134" s="117">
        <f t="shared" si="215"/>
        <v>3E-9</v>
      </c>
      <c r="AI134" s="117">
        <f t="shared" si="216"/>
        <v>0</v>
      </c>
      <c r="AJ134" s="117">
        <f t="shared" si="217"/>
        <v>5.0000000000000001E-9</v>
      </c>
      <c r="AK134" s="117">
        <f t="shared" si="218"/>
        <v>0</v>
      </c>
      <c r="AL134" s="117">
        <f t="shared" si="219"/>
        <v>0</v>
      </c>
      <c r="AM134" s="117">
        <f t="shared" si="220"/>
        <v>0</v>
      </c>
      <c r="AN134" s="117">
        <f t="shared" si="221"/>
        <v>0</v>
      </c>
      <c r="AO134" s="117">
        <f t="shared" si="222"/>
        <v>0</v>
      </c>
      <c r="AP134" s="117" t="b">
        <f t="shared" si="233"/>
        <v>1</v>
      </c>
      <c r="AQ134" s="117" t="b">
        <f t="shared" si="234"/>
        <v>1</v>
      </c>
      <c r="AR134" s="117" t="b">
        <f t="shared" si="235"/>
        <v>1</v>
      </c>
      <c r="AT134" s="117" t="b">
        <f t="shared" si="236"/>
        <v>1</v>
      </c>
      <c r="AU134" s="117" t="b">
        <f t="shared" si="237"/>
        <v>0</v>
      </c>
      <c r="AV134" s="117" t="b">
        <f t="shared" si="238"/>
        <v>0</v>
      </c>
      <c r="AW134" s="117" t="b">
        <f t="shared" si="239"/>
        <v>0</v>
      </c>
      <c r="AX134" s="117" t="b">
        <f t="shared" si="240"/>
        <v>0</v>
      </c>
      <c r="AY134" s="117" t="b">
        <f t="shared" si="241"/>
        <v>0</v>
      </c>
      <c r="BA134" s="2"/>
      <c r="BB134" s="2"/>
      <c r="BC134" s="2"/>
      <c r="BD134" s="2"/>
      <c r="BE134" s="2"/>
      <c r="BF134" s="2"/>
      <c r="BG134" s="2"/>
      <c r="BH134" s="2"/>
      <c r="BI134" s="2"/>
      <c r="BJ134" s="2"/>
      <c r="BK134" s="2"/>
      <c r="BL134" s="2"/>
      <c r="BM134" s="2"/>
      <c r="BN134" s="2"/>
      <c r="BO134" s="2"/>
      <c r="BP134" s="2"/>
      <c r="BQ134" s="2"/>
      <c r="BR134" s="2"/>
      <c r="BS134" s="185" t="str">
        <f>'Reference Score Calculation'!B111</f>
        <v>JS3130</v>
      </c>
      <c r="BT134" s="185"/>
      <c r="BU134" s="455">
        <f>IF(ISNUMBER(SEARCH(BU$119,'Reference Score Calculation'!$P111)),10,IF(ISNUMBER(SEARCH(BU$119,'Reference Score Calculation'!$Q111)),7,IF(ISNUMBER(SEARCH(BU$119,'Reference Score Calculation'!$R111)),5,IF(ISNUMBER(SEARCH($BV$108,'Reference Score Calculation'!$P111)),10,IF(ISNUMBER(SEARCH($BV$108,'Reference Score Calculation'!$Q111)),7,5)))))</f>
        <v>7</v>
      </c>
      <c r="BV134" s="455">
        <f>IF(ISNUMBER(SEARCH(BV$119,'Reference Score Calculation'!$P111)),10,IF(ISNUMBER(SEARCH(BV$119,'Reference Score Calculation'!$Q111)),7,IF(ISNUMBER(SEARCH(BV$119,'Reference Score Calculation'!$R111)),5,IF(ISNUMBER(SEARCH($BV$108,'Reference Score Calculation'!$P111)),10,IF(ISNUMBER(SEARCH($BV$108,'Reference Score Calculation'!$Q111)),7,5)))))</f>
        <v>10</v>
      </c>
      <c r="BW134" s="455">
        <f>IF(ISNUMBER(SEARCH(BW$119,'Reference Score Calculation'!$P111)),10,IF(ISNUMBER(SEARCH(BW$119,'Reference Score Calculation'!$Q111)),7,IF(ISNUMBER(SEARCH(BW$119,'Reference Score Calculation'!$R111)),5,IF(ISNUMBER(SEARCH($BV$108,'Reference Score Calculation'!$P111)),10,IF(ISNUMBER(SEARCH($BV$108,'Reference Score Calculation'!$Q111)),7,5)))))</f>
        <v>10</v>
      </c>
      <c r="BX134" s="455">
        <f>IF(ISNUMBER(SEARCH(BX$119,'Reference Score Calculation'!$P111)),10,IF(ISNUMBER(SEARCH(BX$119,'Reference Score Calculation'!$Q111)),7,IF(ISNUMBER(SEARCH(BX$119,'Reference Score Calculation'!$R111)),5,IF(ISNUMBER(SEARCH($BV$108,'Reference Score Calculation'!$P111)),10,IF(ISNUMBER(SEARCH($BV$108,'Reference Score Calculation'!$Q111)),7,5)))))</f>
        <v>7</v>
      </c>
      <c r="BY134" s="455">
        <f>IF(ISNUMBER(SEARCH(BY$119,'Reference Score Calculation'!$P111)),10,IF(ISNUMBER(SEARCH(BY$119,'Reference Score Calculation'!$Q111)),7,IF(ISNUMBER(SEARCH(BY$119,'Reference Score Calculation'!$R111)),5,IF(ISNUMBER(SEARCH($BV$108,'Reference Score Calculation'!$P111)),10,IF(ISNUMBER(SEARCH($BV$108,'Reference Score Calculation'!$Q111)),7,5)))))</f>
        <v>10</v>
      </c>
      <c r="BZ134" s="455">
        <f>IF(ISNUMBER(SEARCH(BZ$119,'Reference Score Calculation'!$P111)),10,IF(ISNUMBER(SEARCH(BZ$119,'Reference Score Calculation'!$Q111)),7,IF(ISNUMBER(SEARCH(BZ$119,'Reference Score Calculation'!$R111)),5,IF(ISNUMBER(SEARCH($BV$108,'Reference Score Calculation'!$P111)),10,IF(ISNUMBER(SEARCH($BV$108,'Reference Score Calculation'!$Q111)),7,5)))))</f>
        <v>10</v>
      </c>
      <c r="CA134" s="455">
        <f>IF(ISNUMBER(SEARCH(CA$119,'Reference Score Calculation'!$P111)),10,IF(ISNUMBER(SEARCH(CA$119,'Reference Score Calculation'!$Q111)),7,IF(ISNUMBER(SEARCH(CA$119,'Reference Score Calculation'!$R111)),5,IF(ISNUMBER(SEARCH($BV$108,'Reference Score Calculation'!$P111)),10,IF(ISNUMBER(SEARCH($BV$108,'Reference Score Calculation'!$Q111)),7,5)))))</f>
        <v>7</v>
      </c>
      <c r="CB134" s="455">
        <f>IF(ISNUMBER(SEARCH(CB$119,'Reference Score Calculation'!$P111)),10,IF(ISNUMBER(SEARCH(CB$119,'Reference Score Calculation'!$Q111)),7,IF(ISNUMBER(SEARCH(CB$119,'Reference Score Calculation'!$R111)),5,IF(ISNUMBER(SEARCH($BV$108,'Reference Score Calculation'!$P111)),10,IF(ISNUMBER(SEARCH($BV$108,'Reference Score Calculation'!$Q111)),7,5)))))</f>
        <v>7</v>
      </c>
      <c r="CC134" s="455">
        <f>IF(ISNUMBER(SEARCH(CC$119,'Reference Score Calculation'!$P111)),10,IF(ISNUMBER(SEARCH(CC$119,'Reference Score Calculation'!$Q111)),7,IF(ISNUMBER(SEARCH(CC$119,'Reference Score Calculation'!$R111)),5,IF(ISNUMBER(SEARCH($BV$108,'Reference Score Calculation'!$P111)),10,IF(ISNUMBER(SEARCH($BV$108,'Reference Score Calculation'!$Q111)),7,5)))))</f>
        <v>7</v>
      </c>
      <c r="CD134" s="455">
        <f>IF(ISNUMBER(SEARCH(CD$119,'Reference Score Calculation'!$P111)),10,IF(ISNUMBER(SEARCH(CD$119,'Reference Score Calculation'!$Q111)),7,IF(ISNUMBER(SEARCH(CD$119,'Reference Score Calculation'!$R111)),5,IF(ISNUMBER(SEARCH($BV$108,'Reference Score Calculation'!$P111)),10,IF(ISNUMBER(SEARCH($BV$108,'Reference Score Calculation'!$Q111)),7,5)))))</f>
        <v>10</v>
      </c>
      <c r="CE134" s="455">
        <f>IF(ISNUMBER(SEARCH(CE$119,'Reference Score Calculation'!$P111)),10,IF(ISNUMBER(SEARCH(CE$119,'Reference Score Calculation'!$Q111)),7,IF(ISNUMBER(SEARCH(CE$119,'Reference Score Calculation'!$R111)),5,IF(ISNUMBER(SEARCH($BV$108,'Reference Score Calculation'!$P111)),10,IF(ISNUMBER(SEARCH($BV$108,'Reference Score Calculation'!$Q111)),7,5)))))</f>
        <v>7</v>
      </c>
      <c r="CF134" s="455">
        <f>IF(ISNUMBER(SEARCH(CF$119,'Reference Score Calculation'!$P111)),10,IF(ISNUMBER(SEARCH(CF$119,'Reference Score Calculation'!$Q111)),7,IF(ISNUMBER(SEARCH(CF$119,'Reference Score Calculation'!$R111)),5,IF(ISNUMBER(SEARCH($BV$108,'Reference Score Calculation'!$P111)),10,IF(ISNUMBER(SEARCH($BV$108,'Reference Score Calculation'!$Q111)),7,5)))))</f>
        <v>7</v>
      </c>
      <c r="CG134" s="455">
        <f>IF(ISNUMBER(SEARCH(CG$119,'Reference Score Calculation'!$P111)),10,IF(ISNUMBER(SEARCH(CG$119,'Reference Score Calculation'!$Q111)),7,IF(ISNUMBER(SEARCH(CG$119,'Reference Score Calculation'!$R111)),5,IF(ISNUMBER(SEARCH($BV$108,'Reference Score Calculation'!$P111)),10,IF(ISNUMBER(SEARCH($BV$108,'Reference Score Calculation'!$Q111)),7,5)))))</f>
        <v>7</v>
      </c>
      <c r="CH134" s="455">
        <f>IF(ISNUMBER(SEARCH(CH$119,'Reference Score Calculation'!$P111)),10,IF(ISNUMBER(SEARCH(CH$119,'Reference Score Calculation'!$Q111)),7,IF(ISNUMBER(SEARCH(CH$119,'Reference Score Calculation'!$R111)),5,IF(ISNUMBER(SEARCH($BV$108,'Reference Score Calculation'!$P111)),10,IF(ISNUMBER(SEARCH($BV$108,'Reference Score Calculation'!$Q111)),7,5)))))</f>
        <v>7</v>
      </c>
      <c r="CI134" s="455">
        <f>IF(ISNUMBER(SEARCH(CI$119,'Reference Score Calculation'!$P111)),10,IF(ISNUMBER(SEARCH(CI$119,'Reference Score Calculation'!$Q111)),7,IF(ISNUMBER(SEARCH(CI$119,'Reference Score Calculation'!$R111)),5,IF(ISNUMBER(SEARCH($BV$108,'Reference Score Calculation'!$P111)),10,IF(ISNUMBER(SEARCH($BV$108,'Reference Score Calculation'!$Q111)),7,5)))))</f>
        <v>7</v>
      </c>
      <c r="CJ134" s="455">
        <f>IF(ISNUMBER(SEARCH(CJ$119,'Reference Score Calculation'!$P111)),10,IF(ISNUMBER(SEARCH(CJ$119,'Reference Score Calculation'!$Q111)),7,IF(ISNUMBER(SEARCH(CJ$119,'Reference Score Calculation'!$R111)),5,IF(ISNUMBER(SEARCH($BV$108,'Reference Score Calculation'!$P111)),10,IF(ISNUMBER(SEARCH($BV$108,'Reference Score Calculation'!$Q111)),7,5)))))</f>
        <v>10</v>
      </c>
      <c r="CK134" s="455">
        <f>IF(ISNUMBER(SEARCH(CK$119,'Reference Score Calculation'!$P111)),10,IF(ISNUMBER(SEARCH(CK$119,'Reference Score Calculation'!$Q111)),7,IF(ISNUMBER(SEARCH(CK$119,'Reference Score Calculation'!$R111)),5,IF(ISNUMBER(SEARCH($BV$108,'Reference Score Calculation'!$P111)),10,IF(ISNUMBER(SEARCH($BV$108,'Reference Score Calculation'!$Q111)),7,5)))))</f>
        <v>7</v>
      </c>
      <c r="CL134" s="455">
        <f>IF(ISNUMBER(SEARCH(CL$119,'Reference Score Calculation'!$P111)),10,IF(ISNUMBER(SEARCH(CL$119,'Reference Score Calculation'!$Q111)),7,IF(ISNUMBER(SEARCH(CL$119,'Reference Score Calculation'!$R111)),5,IF(ISNUMBER(SEARCH($BV$108,'Reference Score Calculation'!$P111)),10,IF(ISNUMBER(SEARCH($BV$108,'Reference Score Calculation'!$Q111)),7,5)))))</f>
        <v>7</v>
      </c>
      <c r="CM134" s="455">
        <f>IF(ISNUMBER(SEARCH(CM$119,'Reference Score Calculation'!$P111)),10,IF(ISNUMBER(SEARCH(CM$119,'Reference Score Calculation'!$Q111)),7,IF(ISNUMBER(SEARCH(CM$119,'Reference Score Calculation'!$R111)),5,IF(ISNUMBER(SEARCH($BV$108,'Reference Score Calculation'!$P111)),10,IF(ISNUMBER(SEARCH($BV$108,'Reference Score Calculation'!$Q111)),7,5)))))</f>
        <v>7</v>
      </c>
      <c r="CN134" s="455">
        <f>IF(ISNUMBER(SEARCH(CN$119,'Reference Score Calculation'!$P111)),10,IF(ISNUMBER(SEARCH(CN$119,'Reference Score Calculation'!$Q111)),7,IF(ISNUMBER(SEARCH(CN$119,'Reference Score Calculation'!$R111)),5,IF(ISNUMBER(SEARCH($BV$108,'Reference Score Calculation'!$P111)),10,IF(ISNUMBER(SEARCH($BV$108,'Reference Score Calculation'!$Q111)),7,5)))))</f>
        <v>7</v>
      </c>
      <c r="CO134" s="455">
        <f>IF(ISNUMBER(SEARCH(CO$119,'Reference Score Calculation'!$P111)),10,IF(ISNUMBER(SEARCH(CO$119,'Reference Score Calculation'!$Q111)),7,IF(ISNUMBER(SEARCH(CO$119,'Reference Score Calculation'!$R111)),5,IF(ISNUMBER(SEARCH($BV$108,'Reference Score Calculation'!$P111)),10,IF(ISNUMBER(SEARCH($BV$108,'Reference Score Calculation'!$Q111)),7,5)))))</f>
        <v>7</v>
      </c>
      <c r="CP134" s="455">
        <f>IF(ISNUMBER(SEARCH(CP$119,'Reference Score Calculation'!$P111)),10,IF(ISNUMBER(SEARCH(CP$119,'Reference Score Calculation'!$Q111)),7,IF(ISNUMBER(SEARCH(CP$119,'Reference Score Calculation'!$R111)),5,IF(ISNUMBER(SEARCH($BV$108,'Reference Score Calculation'!$P111)),10,IF(ISNUMBER(SEARCH($BV$108,'Reference Score Calculation'!$Q111)),7,5)))))</f>
        <v>7</v>
      </c>
      <c r="CQ134" s="455">
        <f>IF(ISNUMBER(SEARCH(CQ$119,'Reference Score Calculation'!$P111)),10,IF(ISNUMBER(SEARCH(CQ$119,'Reference Score Calculation'!$Q111)),7,IF(ISNUMBER(SEARCH(CQ$119,'Reference Score Calculation'!$R111)),5,IF(ISNUMBER(SEARCH($BV$108,'Reference Score Calculation'!$P111)),10,IF(ISNUMBER(SEARCH($BV$108,'Reference Score Calculation'!$Q111)),7,5)))))</f>
        <v>7</v>
      </c>
      <c r="CR134" s="455">
        <f>IF(ISNUMBER(SEARCH(CR$119,'Reference Score Calculation'!$P111)),10,IF(ISNUMBER(SEARCH(CR$119,'Reference Score Calculation'!$Q111)),7,IF(ISNUMBER(SEARCH(CR$119,'Reference Score Calculation'!$R111)),5,IF(ISNUMBER(SEARCH($BV$108,'Reference Score Calculation'!$P111)),10,IF(ISNUMBER(SEARCH($BV$108,'Reference Score Calculation'!$Q111)),7,5)))))</f>
        <v>7</v>
      </c>
      <c r="CS134" s="455">
        <f>IF(ISNUMBER(SEARCH(CS$119,'Reference Score Calculation'!$P111)),10,IF(ISNUMBER(SEARCH(CS$119,'Reference Score Calculation'!$Q111)),7,IF(ISNUMBER(SEARCH(CS$119,'Reference Score Calculation'!$R111)),5,IF(ISNUMBER(SEARCH($BV$108,'Reference Score Calculation'!$P111)),10,IF(ISNUMBER(SEARCH($BV$108,'Reference Score Calculation'!$Q111)),7,5)))))</f>
        <v>10</v>
      </c>
      <c r="CT134" s="455">
        <f>IF(ISNUMBER(SEARCH(CT$119,'Reference Score Calculation'!$P111)),10,IF(ISNUMBER(SEARCH(CT$119,'Reference Score Calculation'!$Q111)),7,IF(ISNUMBER(SEARCH(CT$119,'Reference Score Calculation'!$R111)),5,IF(ISNUMBER(SEARCH($BV$108,'Reference Score Calculation'!$P111)),10,IF(ISNUMBER(SEARCH($BV$108,'Reference Score Calculation'!$Q111)),7,5)))))</f>
        <v>7</v>
      </c>
      <c r="CU134" s="455">
        <f>IF(ISNUMBER(SEARCH(CU$119,'Reference Score Calculation'!$P111)),10,IF(ISNUMBER(SEARCH(CU$119,'Reference Score Calculation'!$Q111)),7,IF(ISNUMBER(SEARCH(CU$119,'Reference Score Calculation'!$R111)),5,IF(ISNUMBER(SEARCH($BV$108,'Reference Score Calculation'!$P111)),10,IF(ISNUMBER(SEARCH($BV$108,'Reference Score Calculation'!$Q111)),7,5)))))</f>
        <v>7</v>
      </c>
      <c r="CV134" s="455">
        <f>IF(ISNUMBER(SEARCH(CV$119,'Reference Score Calculation'!$P111)),10,IF(ISNUMBER(SEARCH(CV$119,'Reference Score Calculation'!$Q111)),7,IF(ISNUMBER(SEARCH(CV$119,'Reference Score Calculation'!$R111)),5,IF(ISNUMBER(SEARCH($BV$108,'Reference Score Calculation'!$P111)),10,IF(ISNUMBER(SEARCH($BV$108,'Reference Score Calculation'!$Q111)),7,5)))))</f>
        <v>7</v>
      </c>
      <c r="CW134" s="185"/>
      <c r="CX134" s="185"/>
      <c r="CY134" s="185"/>
    </row>
    <row r="135" spans="1:103">
      <c r="A135" s="117" t="s">
        <v>1080</v>
      </c>
      <c r="B135" s="459" t="str">
        <f>'Reference Score Calculation'!B112</f>
        <v>JS3140</v>
      </c>
      <c r="C135" s="117" t="str">
        <f>'Reference Score Calculation'!E112</f>
        <v>航空工程學(榮譽)工學士組合課程 (航空工程學 / 民航工程學)</v>
      </c>
      <c r="D135" s="2" t="e">
        <f>'Reference Score Calculation'!#REF!</f>
        <v>#REF!</v>
      </c>
      <c r="E135" s="131" t="str">
        <f>'Reference Score Calculation'!F112</f>
        <v>Best 5</v>
      </c>
      <c r="F135" s="131"/>
      <c r="G135" s="117" t="str">
        <f>入學要求!AB121</f>
        <v>v</v>
      </c>
      <c r="H135" s="117" t="str">
        <f>入學要求!AC121</f>
        <v>E</v>
      </c>
      <c r="I135" s="117" t="str">
        <f>入學要求!AD121</f>
        <v>NO</v>
      </c>
      <c r="J135" s="117">
        <f t="shared" si="211"/>
        <v>1.07E-8</v>
      </c>
      <c r="K135" s="117">
        <f t="shared" si="242"/>
        <v>7</v>
      </c>
      <c r="L135" s="117">
        <f t="shared" si="242"/>
        <v>10</v>
      </c>
      <c r="M135" s="117">
        <f t="shared" si="242"/>
        <v>10</v>
      </c>
      <c r="N135" s="117">
        <f t="shared" si="242"/>
        <v>0</v>
      </c>
      <c r="O135" s="117">
        <f t="shared" si="242"/>
        <v>10</v>
      </c>
      <c r="P135" s="117">
        <f t="shared" si="242"/>
        <v>0</v>
      </c>
      <c r="Q135" s="117">
        <f t="shared" si="242"/>
        <v>0</v>
      </c>
      <c r="R135" s="117">
        <f t="shared" si="242"/>
        <v>0</v>
      </c>
      <c r="S135" s="117">
        <f t="shared" si="242"/>
        <v>0</v>
      </c>
      <c r="T135" s="117">
        <v>5</v>
      </c>
      <c r="V135" s="117">
        <f t="shared" si="224"/>
        <v>7.0000000000000006E-10</v>
      </c>
      <c r="W135" s="117">
        <f t="shared" si="225"/>
        <v>2.0000000000000001E-9</v>
      </c>
      <c r="X135" s="117">
        <f t="shared" si="226"/>
        <v>3E-9</v>
      </c>
      <c r="Z135" s="117">
        <f t="shared" si="227"/>
        <v>5.0000000000000001E-9</v>
      </c>
      <c r="AA135" s="117">
        <f t="shared" si="228"/>
        <v>0</v>
      </c>
      <c r="AB135" s="117">
        <f t="shared" si="229"/>
        <v>0</v>
      </c>
      <c r="AC135" s="117">
        <f t="shared" si="230"/>
        <v>0</v>
      </c>
      <c r="AD135" s="117">
        <f t="shared" si="231"/>
        <v>0</v>
      </c>
      <c r="AE135" s="117">
        <f t="shared" si="232"/>
        <v>0</v>
      </c>
      <c r="AF135" s="117">
        <f t="shared" si="213"/>
        <v>7.0000000000000006E-10</v>
      </c>
      <c r="AG135" s="117">
        <f t="shared" si="214"/>
        <v>2.0000000000000001E-9</v>
      </c>
      <c r="AH135" s="117">
        <f t="shared" si="215"/>
        <v>3E-9</v>
      </c>
      <c r="AI135" s="117">
        <f t="shared" si="216"/>
        <v>0</v>
      </c>
      <c r="AJ135" s="117">
        <f t="shared" si="217"/>
        <v>5.0000000000000001E-9</v>
      </c>
      <c r="AK135" s="117">
        <f t="shared" si="218"/>
        <v>0</v>
      </c>
      <c r="AL135" s="117">
        <f t="shared" si="219"/>
        <v>0</v>
      </c>
      <c r="AM135" s="117">
        <f t="shared" si="220"/>
        <v>0</v>
      </c>
      <c r="AN135" s="117">
        <f t="shared" si="221"/>
        <v>0</v>
      </c>
      <c r="AO135" s="117">
        <f t="shared" si="222"/>
        <v>0</v>
      </c>
      <c r="AP135" s="117" t="b">
        <f t="shared" si="233"/>
        <v>1</v>
      </c>
      <c r="AQ135" s="117" t="b">
        <f t="shared" si="234"/>
        <v>1</v>
      </c>
      <c r="AR135" s="117" t="b">
        <f t="shared" si="235"/>
        <v>1</v>
      </c>
      <c r="AT135" s="117" t="b">
        <f t="shared" si="236"/>
        <v>1</v>
      </c>
      <c r="AU135" s="117" t="b">
        <f t="shared" si="237"/>
        <v>0</v>
      </c>
      <c r="AV135" s="117" t="b">
        <f t="shared" si="238"/>
        <v>0</v>
      </c>
      <c r="AW135" s="117" t="b">
        <f t="shared" si="239"/>
        <v>0</v>
      </c>
      <c r="AX135" s="117" t="b">
        <f t="shared" si="240"/>
        <v>0</v>
      </c>
      <c r="AY135" s="117" t="b">
        <f t="shared" si="241"/>
        <v>0</v>
      </c>
      <c r="BA135" s="2"/>
      <c r="BB135" s="2"/>
      <c r="BC135" s="2"/>
      <c r="BD135" s="2"/>
      <c r="BE135" s="2"/>
      <c r="BF135" s="2"/>
      <c r="BG135" s="2"/>
      <c r="BH135" s="2"/>
      <c r="BI135" s="2"/>
      <c r="BJ135" s="2"/>
      <c r="BK135" s="2"/>
      <c r="BL135" s="2"/>
      <c r="BM135" s="2"/>
      <c r="BN135" s="2"/>
      <c r="BO135" s="2"/>
      <c r="BP135" s="2"/>
      <c r="BQ135" s="2"/>
      <c r="BR135" s="2"/>
      <c r="BS135" s="185" t="str">
        <f>'Reference Score Calculation'!B112</f>
        <v>JS3140</v>
      </c>
      <c r="BT135" s="185"/>
      <c r="BU135" s="455">
        <f>IF(ISNUMBER(SEARCH(BU$119,'Reference Score Calculation'!$P112)),10,IF(ISNUMBER(SEARCH(BU$119,'Reference Score Calculation'!$Q112)),7,IF(ISNUMBER(SEARCH(BU$119,'Reference Score Calculation'!$R112)),5,IF(ISNUMBER(SEARCH($BV$108,'Reference Score Calculation'!$P112)),10,IF(ISNUMBER(SEARCH($BV$108,'Reference Score Calculation'!$Q112)),7,5)))))</f>
        <v>7</v>
      </c>
      <c r="BV135" s="455">
        <f>IF(ISNUMBER(SEARCH(BV$119,'Reference Score Calculation'!$P112)),10,IF(ISNUMBER(SEARCH(BV$119,'Reference Score Calculation'!$Q112)),7,IF(ISNUMBER(SEARCH(BV$119,'Reference Score Calculation'!$R112)),5,IF(ISNUMBER(SEARCH($BV$108,'Reference Score Calculation'!$P112)),10,IF(ISNUMBER(SEARCH($BV$108,'Reference Score Calculation'!$Q112)),7,5)))))</f>
        <v>10</v>
      </c>
      <c r="BW135" s="455">
        <f>IF(ISNUMBER(SEARCH(BW$119,'Reference Score Calculation'!$P112)),10,IF(ISNUMBER(SEARCH(BW$119,'Reference Score Calculation'!$Q112)),7,IF(ISNUMBER(SEARCH(BW$119,'Reference Score Calculation'!$R112)),5,IF(ISNUMBER(SEARCH($BV$108,'Reference Score Calculation'!$P112)),10,IF(ISNUMBER(SEARCH($BV$108,'Reference Score Calculation'!$Q112)),7,5)))))</f>
        <v>10</v>
      </c>
      <c r="BX135" s="455">
        <f>IF(ISNUMBER(SEARCH(BX$119,'Reference Score Calculation'!$P112)),10,IF(ISNUMBER(SEARCH(BX$119,'Reference Score Calculation'!$Q112)),7,IF(ISNUMBER(SEARCH(BX$119,'Reference Score Calculation'!$R112)),5,IF(ISNUMBER(SEARCH($BV$108,'Reference Score Calculation'!$P112)),10,IF(ISNUMBER(SEARCH($BV$108,'Reference Score Calculation'!$Q112)),7,5)))))</f>
        <v>5</v>
      </c>
      <c r="BY135" s="455">
        <f>IF(ISNUMBER(SEARCH(BY$119,'Reference Score Calculation'!$P112)),10,IF(ISNUMBER(SEARCH(BY$119,'Reference Score Calculation'!$Q112)),7,IF(ISNUMBER(SEARCH(BY$119,'Reference Score Calculation'!$R112)),5,IF(ISNUMBER(SEARCH($BV$108,'Reference Score Calculation'!$P112)),10,IF(ISNUMBER(SEARCH($BV$108,'Reference Score Calculation'!$Q112)),7,5)))))</f>
        <v>10</v>
      </c>
      <c r="BZ135" s="455">
        <f>IF(ISNUMBER(SEARCH(BZ$119,'Reference Score Calculation'!$P112)),10,IF(ISNUMBER(SEARCH(BZ$119,'Reference Score Calculation'!$Q112)),7,IF(ISNUMBER(SEARCH(BZ$119,'Reference Score Calculation'!$R112)),5,IF(ISNUMBER(SEARCH($BV$108,'Reference Score Calculation'!$P112)),10,IF(ISNUMBER(SEARCH($BV$108,'Reference Score Calculation'!$Q112)),7,5)))))</f>
        <v>10</v>
      </c>
      <c r="CA135" s="455">
        <f>IF(ISNUMBER(SEARCH(CA$119,'Reference Score Calculation'!$P112)),10,IF(ISNUMBER(SEARCH(CA$119,'Reference Score Calculation'!$Q112)),7,IF(ISNUMBER(SEARCH(CA$119,'Reference Score Calculation'!$R112)),5,IF(ISNUMBER(SEARCH($BV$108,'Reference Score Calculation'!$P112)),10,IF(ISNUMBER(SEARCH($BV$108,'Reference Score Calculation'!$Q112)),7,5)))))</f>
        <v>10</v>
      </c>
      <c r="CB135" s="455">
        <f>IF(ISNUMBER(SEARCH(CB$119,'Reference Score Calculation'!$P112)),10,IF(ISNUMBER(SEARCH(CB$119,'Reference Score Calculation'!$Q112)),7,IF(ISNUMBER(SEARCH(CB$119,'Reference Score Calculation'!$R112)),5,IF(ISNUMBER(SEARCH($BV$108,'Reference Score Calculation'!$P112)),10,IF(ISNUMBER(SEARCH($BV$108,'Reference Score Calculation'!$Q112)),7,5)))))</f>
        <v>7</v>
      </c>
      <c r="CC135" s="455">
        <f>IF(ISNUMBER(SEARCH(CC$119,'Reference Score Calculation'!$P112)),10,IF(ISNUMBER(SEARCH(CC$119,'Reference Score Calculation'!$Q112)),7,IF(ISNUMBER(SEARCH(CC$119,'Reference Score Calculation'!$R112)),5,IF(ISNUMBER(SEARCH($BV$108,'Reference Score Calculation'!$P112)),10,IF(ISNUMBER(SEARCH($BV$108,'Reference Score Calculation'!$Q112)),7,5)))))</f>
        <v>5</v>
      </c>
      <c r="CD135" s="455">
        <f>IF(ISNUMBER(SEARCH(CD$119,'Reference Score Calculation'!$P112)),10,IF(ISNUMBER(SEARCH(CD$119,'Reference Score Calculation'!$Q112)),7,IF(ISNUMBER(SEARCH(CD$119,'Reference Score Calculation'!$R112)),5,IF(ISNUMBER(SEARCH($BV$108,'Reference Score Calculation'!$P112)),10,IF(ISNUMBER(SEARCH($BV$108,'Reference Score Calculation'!$Q112)),7,5)))))</f>
        <v>5</v>
      </c>
      <c r="CE135" s="455">
        <f>IF(ISNUMBER(SEARCH(CE$119,'Reference Score Calculation'!$P112)),10,IF(ISNUMBER(SEARCH(CE$119,'Reference Score Calculation'!$Q112)),7,IF(ISNUMBER(SEARCH(CE$119,'Reference Score Calculation'!$R112)),5,IF(ISNUMBER(SEARCH($BV$108,'Reference Score Calculation'!$P112)),10,IF(ISNUMBER(SEARCH($BV$108,'Reference Score Calculation'!$Q112)),7,5)))))</f>
        <v>5</v>
      </c>
      <c r="CF135" s="455">
        <f>IF(ISNUMBER(SEARCH(CF$119,'Reference Score Calculation'!$P112)),10,IF(ISNUMBER(SEARCH(CF$119,'Reference Score Calculation'!$Q112)),7,IF(ISNUMBER(SEARCH(CF$119,'Reference Score Calculation'!$R112)),5,IF(ISNUMBER(SEARCH($BV$108,'Reference Score Calculation'!$P112)),10,IF(ISNUMBER(SEARCH($BV$108,'Reference Score Calculation'!$Q112)),7,5)))))</f>
        <v>5</v>
      </c>
      <c r="CG135" s="455">
        <f>IF(ISNUMBER(SEARCH(CG$119,'Reference Score Calculation'!$P112)),10,IF(ISNUMBER(SEARCH(CG$119,'Reference Score Calculation'!$Q112)),7,IF(ISNUMBER(SEARCH(CG$119,'Reference Score Calculation'!$R112)),5,IF(ISNUMBER(SEARCH($BV$108,'Reference Score Calculation'!$P112)),10,IF(ISNUMBER(SEARCH($BV$108,'Reference Score Calculation'!$Q112)),7,5)))))</f>
        <v>5</v>
      </c>
      <c r="CH135" s="455">
        <f>IF(ISNUMBER(SEARCH(CH$119,'Reference Score Calculation'!$P112)),10,IF(ISNUMBER(SEARCH(CH$119,'Reference Score Calculation'!$Q112)),7,IF(ISNUMBER(SEARCH(CH$119,'Reference Score Calculation'!$R112)),5,IF(ISNUMBER(SEARCH($BV$108,'Reference Score Calculation'!$P112)),10,IF(ISNUMBER(SEARCH($BV$108,'Reference Score Calculation'!$Q112)),7,5)))))</f>
        <v>5</v>
      </c>
      <c r="CI135" s="455">
        <f>IF(ISNUMBER(SEARCH(CI$119,'Reference Score Calculation'!$P112)),10,IF(ISNUMBER(SEARCH(CI$119,'Reference Score Calculation'!$Q112)),7,IF(ISNUMBER(SEARCH(CI$119,'Reference Score Calculation'!$R112)),5,IF(ISNUMBER(SEARCH($BV$108,'Reference Score Calculation'!$P112)),10,IF(ISNUMBER(SEARCH($BV$108,'Reference Score Calculation'!$Q112)),7,5)))))</f>
        <v>5</v>
      </c>
      <c r="CJ135" s="455">
        <f>IF(ISNUMBER(SEARCH(CJ$119,'Reference Score Calculation'!$P112)),10,IF(ISNUMBER(SEARCH(CJ$119,'Reference Score Calculation'!$Q112)),7,IF(ISNUMBER(SEARCH(CJ$119,'Reference Score Calculation'!$R112)),5,IF(ISNUMBER(SEARCH($BV$108,'Reference Score Calculation'!$P112)),10,IF(ISNUMBER(SEARCH($BV$108,'Reference Score Calculation'!$Q112)),7,5)))))</f>
        <v>7</v>
      </c>
      <c r="CK135" s="455">
        <f>IF(ISNUMBER(SEARCH(CK$119,'Reference Score Calculation'!$P112)),10,IF(ISNUMBER(SEARCH(CK$119,'Reference Score Calculation'!$Q112)),7,IF(ISNUMBER(SEARCH(CK$119,'Reference Score Calculation'!$R112)),5,IF(ISNUMBER(SEARCH($BV$108,'Reference Score Calculation'!$P112)),10,IF(ISNUMBER(SEARCH($BV$108,'Reference Score Calculation'!$Q112)),7,5)))))</f>
        <v>5</v>
      </c>
      <c r="CL135" s="455">
        <f>IF(ISNUMBER(SEARCH(CL$119,'Reference Score Calculation'!$P112)),10,IF(ISNUMBER(SEARCH(CL$119,'Reference Score Calculation'!$Q112)),7,IF(ISNUMBER(SEARCH(CL$119,'Reference Score Calculation'!$R112)),5,IF(ISNUMBER(SEARCH($BV$108,'Reference Score Calculation'!$P112)),10,IF(ISNUMBER(SEARCH($BV$108,'Reference Score Calculation'!$Q112)),7,5)))))</f>
        <v>5</v>
      </c>
      <c r="CM135" s="455">
        <f>IF(ISNUMBER(SEARCH(CM$119,'Reference Score Calculation'!$P112)),10,IF(ISNUMBER(SEARCH(CM$119,'Reference Score Calculation'!$Q112)),7,IF(ISNUMBER(SEARCH(CM$119,'Reference Score Calculation'!$R112)),5,IF(ISNUMBER(SEARCH($BV$108,'Reference Score Calculation'!$P112)),10,IF(ISNUMBER(SEARCH($BV$108,'Reference Score Calculation'!$Q112)),7,5)))))</f>
        <v>5</v>
      </c>
      <c r="CN135" s="455">
        <f>IF(ISNUMBER(SEARCH(CN$119,'Reference Score Calculation'!$P112)),10,IF(ISNUMBER(SEARCH(CN$119,'Reference Score Calculation'!$Q112)),7,IF(ISNUMBER(SEARCH(CN$119,'Reference Score Calculation'!$R112)),5,IF(ISNUMBER(SEARCH($BV$108,'Reference Score Calculation'!$P112)),10,IF(ISNUMBER(SEARCH($BV$108,'Reference Score Calculation'!$Q112)),7,5)))))</f>
        <v>5</v>
      </c>
      <c r="CO135" s="455">
        <f>IF(ISNUMBER(SEARCH(CO$119,'Reference Score Calculation'!$P112)),10,IF(ISNUMBER(SEARCH(CO$119,'Reference Score Calculation'!$Q112)),7,IF(ISNUMBER(SEARCH(CO$119,'Reference Score Calculation'!$R112)),5,IF(ISNUMBER(SEARCH($BV$108,'Reference Score Calculation'!$P112)),10,IF(ISNUMBER(SEARCH($BV$108,'Reference Score Calculation'!$Q112)),7,5)))))</f>
        <v>5</v>
      </c>
      <c r="CP135" s="455">
        <f>IF(ISNUMBER(SEARCH(CP$119,'Reference Score Calculation'!$P112)),10,IF(ISNUMBER(SEARCH(CP$119,'Reference Score Calculation'!$Q112)),7,IF(ISNUMBER(SEARCH(CP$119,'Reference Score Calculation'!$R112)),5,IF(ISNUMBER(SEARCH($BV$108,'Reference Score Calculation'!$P112)),10,IF(ISNUMBER(SEARCH($BV$108,'Reference Score Calculation'!$Q112)),7,5)))))</f>
        <v>5</v>
      </c>
      <c r="CQ135" s="455">
        <f>IF(ISNUMBER(SEARCH(CQ$119,'Reference Score Calculation'!$P112)),10,IF(ISNUMBER(SEARCH(CQ$119,'Reference Score Calculation'!$Q112)),7,IF(ISNUMBER(SEARCH(CQ$119,'Reference Score Calculation'!$R112)),5,IF(ISNUMBER(SEARCH($BV$108,'Reference Score Calculation'!$P112)),10,IF(ISNUMBER(SEARCH($BV$108,'Reference Score Calculation'!$Q112)),7,5)))))</f>
        <v>5</v>
      </c>
      <c r="CR135" s="455">
        <f>IF(ISNUMBER(SEARCH(CR$119,'Reference Score Calculation'!$P112)),10,IF(ISNUMBER(SEARCH(CR$119,'Reference Score Calculation'!$Q112)),7,IF(ISNUMBER(SEARCH(CR$119,'Reference Score Calculation'!$R112)),5,IF(ISNUMBER(SEARCH($BV$108,'Reference Score Calculation'!$P112)),10,IF(ISNUMBER(SEARCH($BV$108,'Reference Score Calculation'!$Q112)),7,5)))))</f>
        <v>5</v>
      </c>
      <c r="CS135" s="455">
        <f>IF(ISNUMBER(SEARCH(CS$119,'Reference Score Calculation'!$P112)),10,IF(ISNUMBER(SEARCH(CS$119,'Reference Score Calculation'!$Q112)),7,IF(ISNUMBER(SEARCH(CS$119,'Reference Score Calculation'!$R112)),5,IF(ISNUMBER(SEARCH($BV$108,'Reference Score Calculation'!$P112)),10,IF(ISNUMBER(SEARCH($BV$108,'Reference Score Calculation'!$Q112)),7,5)))))</f>
        <v>10</v>
      </c>
      <c r="CT135" s="455">
        <f>IF(ISNUMBER(SEARCH(CT$119,'Reference Score Calculation'!$P112)),10,IF(ISNUMBER(SEARCH(CT$119,'Reference Score Calculation'!$Q112)),7,IF(ISNUMBER(SEARCH(CT$119,'Reference Score Calculation'!$R112)),5,IF(ISNUMBER(SEARCH($BV$108,'Reference Score Calculation'!$P112)),10,IF(ISNUMBER(SEARCH($BV$108,'Reference Score Calculation'!$Q112)),7,5)))))</f>
        <v>5</v>
      </c>
      <c r="CU135" s="455">
        <f>IF(ISNUMBER(SEARCH(CU$119,'Reference Score Calculation'!$P112)),10,IF(ISNUMBER(SEARCH(CU$119,'Reference Score Calculation'!$Q112)),7,IF(ISNUMBER(SEARCH(CU$119,'Reference Score Calculation'!$R112)),5,IF(ISNUMBER(SEARCH($BV$108,'Reference Score Calculation'!$P112)),10,IF(ISNUMBER(SEARCH($BV$108,'Reference Score Calculation'!$Q112)),7,5)))))</f>
        <v>5</v>
      </c>
      <c r="CV135" s="455">
        <f>IF(ISNUMBER(SEARCH(CV$119,'Reference Score Calculation'!$P112)),10,IF(ISNUMBER(SEARCH(CV$119,'Reference Score Calculation'!$Q112)),7,IF(ISNUMBER(SEARCH(CV$119,'Reference Score Calculation'!$R112)),5,IF(ISNUMBER(SEARCH($BV$108,'Reference Score Calculation'!$P112)),10,IF(ISNUMBER(SEARCH($BV$108,'Reference Score Calculation'!$Q112)),7,5)))))</f>
        <v>5</v>
      </c>
      <c r="CW135" s="185"/>
      <c r="CX135" s="185"/>
      <c r="CY135" s="185"/>
    </row>
    <row r="136" spans="1:103">
      <c r="A136" s="117" t="s">
        <v>1084</v>
      </c>
      <c r="B136" s="459" t="str">
        <f>'Reference Score Calculation'!B113</f>
        <v>JS3150</v>
      </c>
      <c r="C136" s="117" t="str">
        <f>'Reference Score Calculation'!E113</f>
        <v>生物醫學工程(榮譽)理學士組合課程</v>
      </c>
      <c r="D136" s="2" t="e">
        <f>'Reference Score Calculation'!#REF!</f>
        <v>#REF!</v>
      </c>
      <c r="E136" s="131" t="str">
        <f>'Reference Score Calculation'!F113</f>
        <v>Best 5</v>
      </c>
      <c r="F136" s="131"/>
      <c r="G136" s="117" t="str">
        <f>入學要求!AB122</f>
        <v>v</v>
      </c>
      <c r="H136" s="117" t="str">
        <f>入學要求!AC122</f>
        <v>E</v>
      </c>
      <c r="I136" s="117" t="str">
        <f>入學要求!AD122</f>
        <v>NO</v>
      </c>
      <c r="J136" s="117">
        <f t="shared" si="211"/>
        <v>1.0100000000000001E-8</v>
      </c>
      <c r="K136" s="117">
        <f t="shared" si="242"/>
        <v>7</v>
      </c>
      <c r="L136" s="117">
        <f t="shared" si="242"/>
        <v>7</v>
      </c>
      <c r="M136" s="117">
        <f t="shared" si="242"/>
        <v>10</v>
      </c>
      <c r="N136" s="117">
        <f t="shared" si="242"/>
        <v>0</v>
      </c>
      <c r="O136" s="117">
        <f t="shared" si="242"/>
        <v>10</v>
      </c>
      <c r="P136" s="117">
        <f t="shared" si="242"/>
        <v>0</v>
      </c>
      <c r="Q136" s="117">
        <f t="shared" si="242"/>
        <v>0</v>
      </c>
      <c r="R136" s="117">
        <f t="shared" si="242"/>
        <v>0</v>
      </c>
      <c r="S136" s="117">
        <f t="shared" si="242"/>
        <v>0</v>
      </c>
      <c r="T136" s="117">
        <v>5</v>
      </c>
      <c r="V136" s="117">
        <f t="shared" si="224"/>
        <v>7.0000000000000006E-10</v>
      </c>
      <c r="W136" s="117">
        <f t="shared" si="225"/>
        <v>1.4000000000000001E-9</v>
      </c>
      <c r="X136" s="117">
        <f t="shared" si="226"/>
        <v>3E-9</v>
      </c>
      <c r="Z136" s="117">
        <f t="shared" si="227"/>
        <v>5.0000000000000001E-9</v>
      </c>
      <c r="AA136" s="117">
        <f t="shared" si="228"/>
        <v>0</v>
      </c>
      <c r="AB136" s="117">
        <f t="shared" si="229"/>
        <v>0</v>
      </c>
      <c r="AC136" s="117">
        <f t="shared" si="230"/>
        <v>0</v>
      </c>
      <c r="AD136" s="117">
        <f t="shared" si="231"/>
        <v>0</v>
      </c>
      <c r="AE136" s="117">
        <f t="shared" si="232"/>
        <v>0</v>
      </c>
      <c r="AF136" s="117">
        <f t="shared" si="213"/>
        <v>7.0000000000000006E-10</v>
      </c>
      <c r="AG136" s="117">
        <f t="shared" si="214"/>
        <v>1.4000000000000001E-9</v>
      </c>
      <c r="AH136" s="117">
        <f t="shared" si="215"/>
        <v>3E-9</v>
      </c>
      <c r="AI136" s="117">
        <f t="shared" si="216"/>
        <v>0</v>
      </c>
      <c r="AJ136" s="117">
        <f t="shared" si="217"/>
        <v>5.0000000000000001E-9</v>
      </c>
      <c r="AK136" s="117">
        <f t="shared" si="218"/>
        <v>0</v>
      </c>
      <c r="AL136" s="117">
        <f t="shared" si="219"/>
        <v>0</v>
      </c>
      <c r="AM136" s="117">
        <f t="shared" si="220"/>
        <v>0</v>
      </c>
      <c r="AN136" s="117">
        <f t="shared" si="221"/>
        <v>0</v>
      </c>
      <c r="AO136" s="117">
        <f t="shared" si="222"/>
        <v>0</v>
      </c>
      <c r="AP136" s="117" t="b">
        <f t="shared" si="233"/>
        <v>1</v>
      </c>
      <c r="AQ136" s="117" t="b">
        <f t="shared" si="234"/>
        <v>1</v>
      </c>
      <c r="AR136" s="117" t="b">
        <f t="shared" si="235"/>
        <v>1</v>
      </c>
      <c r="AT136" s="117" t="b">
        <f t="shared" si="236"/>
        <v>1</v>
      </c>
      <c r="AU136" s="117" t="b">
        <f t="shared" si="237"/>
        <v>0</v>
      </c>
      <c r="AV136" s="117" t="b">
        <f t="shared" si="238"/>
        <v>0</v>
      </c>
      <c r="AW136" s="117" t="b">
        <f t="shared" si="239"/>
        <v>0</v>
      </c>
      <c r="AX136" s="117" t="b">
        <f t="shared" si="240"/>
        <v>0</v>
      </c>
      <c r="AY136" s="117" t="b">
        <f t="shared" si="241"/>
        <v>0</v>
      </c>
      <c r="BA136" s="2"/>
      <c r="BB136" s="2"/>
      <c r="BC136" s="2"/>
      <c r="BD136" s="2"/>
      <c r="BE136" s="2"/>
      <c r="BF136" s="2"/>
      <c r="BG136" s="2"/>
      <c r="BH136" s="2"/>
      <c r="BI136" s="2"/>
      <c r="BJ136" s="2"/>
      <c r="BK136" s="2"/>
      <c r="BL136" s="2"/>
      <c r="BM136" s="2"/>
      <c r="BN136" s="2"/>
      <c r="BO136" s="2"/>
      <c r="BP136" s="2"/>
      <c r="BQ136" s="2"/>
      <c r="BR136" s="2"/>
      <c r="BS136" s="185" t="str">
        <f>'Reference Score Calculation'!B113</f>
        <v>JS3150</v>
      </c>
      <c r="BT136" s="185"/>
      <c r="BU136" s="455">
        <f>IF(ISNUMBER(SEARCH(BU$119,'Reference Score Calculation'!$P113)),10,IF(ISNUMBER(SEARCH(BU$119,'Reference Score Calculation'!$Q113)),7,IF(ISNUMBER(SEARCH(BU$119,'Reference Score Calculation'!$R113)),5,IF(ISNUMBER(SEARCH($BV$108,'Reference Score Calculation'!$P113)),10,IF(ISNUMBER(SEARCH($BV$108,'Reference Score Calculation'!$Q113)),7,5)))))</f>
        <v>7</v>
      </c>
      <c r="BV136" s="455">
        <f>IF(ISNUMBER(SEARCH(BV$119,'Reference Score Calculation'!$P113)),10,IF(ISNUMBER(SEARCH(BV$119,'Reference Score Calculation'!$Q113)),7,IF(ISNUMBER(SEARCH(BV$119,'Reference Score Calculation'!$R113)),5,IF(ISNUMBER(SEARCH($BV$108,'Reference Score Calculation'!$P113)),10,IF(ISNUMBER(SEARCH($BV$108,'Reference Score Calculation'!$Q113)),7,5)))))</f>
        <v>7</v>
      </c>
      <c r="BW136" s="455">
        <f>IF(ISNUMBER(SEARCH(BW$119,'Reference Score Calculation'!$P113)),10,IF(ISNUMBER(SEARCH(BW$119,'Reference Score Calculation'!$Q113)),7,IF(ISNUMBER(SEARCH(BW$119,'Reference Score Calculation'!$R113)),5,IF(ISNUMBER(SEARCH($BV$108,'Reference Score Calculation'!$P113)),10,IF(ISNUMBER(SEARCH($BV$108,'Reference Score Calculation'!$Q113)),7,5)))))</f>
        <v>10</v>
      </c>
      <c r="BX136" s="455">
        <f>IF(ISNUMBER(SEARCH(BX$119,'Reference Score Calculation'!$P113)),10,IF(ISNUMBER(SEARCH(BX$119,'Reference Score Calculation'!$Q113)),7,IF(ISNUMBER(SEARCH(BX$119,'Reference Score Calculation'!$R113)),5,IF(ISNUMBER(SEARCH($BV$108,'Reference Score Calculation'!$P113)),10,IF(ISNUMBER(SEARCH($BV$108,'Reference Score Calculation'!$Q113)),7,5)))))</f>
        <v>5</v>
      </c>
      <c r="BY136" s="455">
        <f>IF(ISNUMBER(SEARCH(BY$119,'Reference Score Calculation'!$P113)),10,IF(ISNUMBER(SEARCH(BY$119,'Reference Score Calculation'!$Q113)),7,IF(ISNUMBER(SEARCH(BY$119,'Reference Score Calculation'!$R113)),5,IF(ISNUMBER(SEARCH($BV$108,'Reference Score Calculation'!$P113)),10,IF(ISNUMBER(SEARCH($BV$108,'Reference Score Calculation'!$Q113)),7,5)))))</f>
        <v>10</v>
      </c>
      <c r="BZ136" s="455">
        <f>IF(ISNUMBER(SEARCH(BZ$119,'Reference Score Calculation'!$P113)),10,IF(ISNUMBER(SEARCH(BZ$119,'Reference Score Calculation'!$Q113)),7,IF(ISNUMBER(SEARCH(BZ$119,'Reference Score Calculation'!$R113)),5,IF(ISNUMBER(SEARCH($BV$108,'Reference Score Calculation'!$P113)),10,IF(ISNUMBER(SEARCH($BV$108,'Reference Score Calculation'!$Q113)),7,5)))))</f>
        <v>10</v>
      </c>
      <c r="CA136" s="455">
        <f>IF(ISNUMBER(SEARCH(CA$119,'Reference Score Calculation'!$P113)),10,IF(ISNUMBER(SEARCH(CA$119,'Reference Score Calculation'!$Q113)),7,IF(ISNUMBER(SEARCH(CA$119,'Reference Score Calculation'!$R113)),5,IF(ISNUMBER(SEARCH($BV$108,'Reference Score Calculation'!$P113)),10,IF(ISNUMBER(SEARCH($BV$108,'Reference Score Calculation'!$Q113)),7,5)))))</f>
        <v>10</v>
      </c>
      <c r="CB136" s="455">
        <f>IF(ISNUMBER(SEARCH(CB$119,'Reference Score Calculation'!$P113)),10,IF(ISNUMBER(SEARCH(CB$119,'Reference Score Calculation'!$Q113)),7,IF(ISNUMBER(SEARCH(CB$119,'Reference Score Calculation'!$R113)),5,IF(ISNUMBER(SEARCH($BV$108,'Reference Score Calculation'!$P113)),10,IF(ISNUMBER(SEARCH($BV$108,'Reference Score Calculation'!$Q113)),7,5)))))</f>
        <v>10</v>
      </c>
      <c r="CC136" s="455">
        <f>IF(ISNUMBER(SEARCH(CC$119,'Reference Score Calculation'!$P113)),10,IF(ISNUMBER(SEARCH(CC$119,'Reference Score Calculation'!$Q113)),7,IF(ISNUMBER(SEARCH(CC$119,'Reference Score Calculation'!$R113)),5,IF(ISNUMBER(SEARCH($BV$108,'Reference Score Calculation'!$P113)),10,IF(ISNUMBER(SEARCH($BV$108,'Reference Score Calculation'!$Q113)),7,5)))))</f>
        <v>5</v>
      </c>
      <c r="CD136" s="455">
        <f>IF(ISNUMBER(SEARCH(CD$119,'Reference Score Calculation'!$P113)),10,IF(ISNUMBER(SEARCH(CD$119,'Reference Score Calculation'!$Q113)),7,IF(ISNUMBER(SEARCH(CD$119,'Reference Score Calculation'!$R113)),5,IF(ISNUMBER(SEARCH($BV$108,'Reference Score Calculation'!$P113)),10,IF(ISNUMBER(SEARCH($BV$108,'Reference Score Calculation'!$Q113)),7,5)))))</f>
        <v>5</v>
      </c>
      <c r="CE136" s="455">
        <f>IF(ISNUMBER(SEARCH(CE$119,'Reference Score Calculation'!$P113)),10,IF(ISNUMBER(SEARCH(CE$119,'Reference Score Calculation'!$Q113)),7,IF(ISNUMBER(SEARCH(CE$119,'Reference Score Calculation'!$R113)),5,IF(ISNUMBER(SEARCH($BV$108,'Reference Score Calculation'!$P113)),10,IF(ISNUMBER(SEARCH($BV$108,'Reference Score Calculation'!$Q113)),7,5)))))</f>
        <v>5</v>
      </c>
      <c r="CF136" s="455">
        <f>IF(ISNUMBER(SEARCH(CF$119,'Reference Score Calculation'!$P113)),10,IF(ISNUMBER(SEARCH(CF$119,'Reference Score Calculation'!$Q113)),7,IF(ISNUMBER(SEARCH(CF$119,'Reference Score Calculation'!$R113)),5,IF(ISNUMBER(SEARCH($BV$108,'Reference Score Calculation'!$P113)),10,IF(ISNUMBER(SEARCH($BV$108,'Reference Score Calculation'!$Q113)),7,5)))))</f>
        <v>5</v>
      </c>
      <c r="CG136" s="455">
        <f>IF(ISNUMBER(SEARCH(CG$119,'Reference Score Calculation'!$P113)),10,IF(ISNUMBER(SEARCH(CG$119,'Reference Score Calculation'!$Q113)),7,IF(ISNUMBER(SEARCH(CG$119,'Reference Score Calculation'!$R113)),5,IF(ISNUMBER(SEARCH($BV$108,'Reference Score Calculation'!$P113)),10,IF(ISNUMBER(SEARCH($BV$108,'Reference Score Calculation'!$Q113)),7,5)))))</f>
        <v>5</v>
      </c>
      <c r="CH136" s="455">
        <f>IF(ISNUMBER(SEARCH(CH$119,'Reference Score Calculation'!$P113)),10,IF(ISNUMBER(SEARCH(CH$119,'Reference Score Calculation'!$Q113)),7,IF(ISNUMBER(SEARCH(CH$119,'Reference Score Calculation'!$R113)),5,IF(ISNUMBER(SEARCH($BV$108,'Reference Score Calculation'!$P113)),10,IF(ISNUMBER(SEARCH($BV$108,'Reference Score Calculation'!$Q113)),7,5)))))</f>
        <v>5</v>
      </c>
      <c r="CI136" s="455">
        <f>IF(ISNUMBER(SEARCH(CI$119,'Reference Score Calculation'!$P113)),10,IF(ISNUMBER(SEARCH(CI$119,'Reference Score Calculation'!$Q113)),7,IF(ISNUMBER(SEARCH(CI$119,'Reference Score Calculation'!$R113)),5,IF(ISNUMBER(SEARCH($BV$108,'Reference Score Calculation'!$P113)),10,IF(ISNUMBER(SEARCH($BV$108,'Reference Score Calculation'!$Q113)),7,5)))))</f>
        <v>5</v>
      </c>
      <c r="CJ136" s="455">
        <f>IF(ISNUMBER(SEARCH(CJ$119,'Reference Score Calculation'!$P113)),10,IF(ISNUMBER(SEARCH(CJ$119,'Reference Score Calculation'!$Q113)),7,IF(ISNUMBER(SEARCH(CJ$119,'Reference Score Calculation'!$R113)),5,IF(ISNUMBER(SEARCH($BV$108,'Reference Score Calculation'!$P113)),10,IF(ISNUMBER(SEARCH($BV$108,'Reference Score Calculation'!$Q113)),7,5)))))</f>
        <v>5</v>
      </c>
      <c r="CK136" s="455">
        <f>IF(ISNUMBER(SEARCH(CK$119,'Reference Score Calculation'!$P113)),10,IF(ISNUMBER(SEARCH(CK$119,'Reference Score Calculation'!$Q113)),7,IF(ISNUMBER(SEARCH(CK$119,'Reference Score Calculation'!$R113)),5,IF(ISNUMBER(SEARCH($BV$108,'Reference Score Calculation'!$P113)),10,IF(ISNUMBER(SEARCH($BV$108,'Reference Score Calculation'!$Q113)),7,5)))))</f>
        <v>5</v>
      </c>
      <c r="CL136" s="455">
        <f>IF(ISNUMBER(SEARCH(CL$119,'Reference Score Calculation'!$P113)),10,IF(ISNUMBER(SEARCH(CL$119,'Reference Score Calculation'!$Q113)),7,IF(ISNUMBER(SEARCH(CL$119,'Reference Score Calculation'!$R113)),5,IF(ISNUMBER(SEARCH($BV$108,'Reference Score Calculation'!$P113)),10,IF(ISNUMBER(SEARCH($BV$108,'Reference Score Calculation'!$Q113)),7,5)))))</f>
        <v>5</v>
      </c>
      <c r="CM136" s="455">
        <f>IF(ISNUMBER(SEARCH(CM$119,'Reference Score Calculation'!$P113)),10,IF(ISNUMBER(SEARCH(CM$119,'Reference Score Calculation'!$Q113)),7,IF(ISNUMBER(SEARCH(CM$119,'Reference Score Calculation'!$R113)),5,IF(ISNUMBER(SEARCH($BV$108,'Reference Score Calculation'!$P113)),10,IF(ISNUMBER(SEARCH($BV$108,'Reference Score Calculation'!$Q113)),7,5)))))</f>
        <v>5</v>
      </c>
      <c r="CN136" s="455">
        <f>IF(ISNUMBER(SEARCH(CN$119,'Reference Score Calculation'!$P113)),10,IF(ISNUMBER(SEARCH(CN$119,'Reference Score Calculation'!$Q113)),7,IF(ISNUMBER(SEARCH(CN$119,'Reference Score Calculation'!$R113)),5,IF(ISNUMBER(SEARCH($BV$108,'Reference Score Calculation'!$P113)),10,IF(ISNUMBER(SEARCH($BV$108,'Reference Score Calculation'!$Q113)),7,5)))))</f>
        <v>5</v>
      </c>
      <c r="CO136" s="455">
        <f>IF(ISNUMBER(SEARCH(CO$119,'Reference Score Calculation'!$P113)),10,IF(ISNUMBER(SEARCH(CO$119,'Reference Score Calculation'!$Q113)),7,IF(ISNUMBER(SEARCH(CO$119,'Reference Score Calculation'!$R113)),5,IF(ISNUMBER(SEARCH($BV$108,'Reference Score Calculation'!$P113)),10,IF(ISNUMBER(SEARCH($BV$108,'Reference Score Calculation'!$Q113)),7,5)))))</f>
        <v>5</v>
      </c>
      <c r="CP136" s="455">
        <f>IF(ISNUMBER(SEARCH(CP$119,'Reference Score Calculation'!$P113)),10,IF(ISNUMBER(SEARCH(CP$119,'Reference Score Calculation'!$Q113)),7,IF(ISNUMBER(SEARCH(CP$119,'Reference Score Calculation'!$R113)),5,IF(ISNUMBER(SEARCH($BV$108,'Reference Score Calculation'!$P113)),10,IF(ISNUMBER(SEARCH($BV$108,'Reference Score Calculation'!$Q113)),7,5)))))</f>
        <v>5</v>
      </c>
      <c r="CQ136" s="455">
        <f>IF(ISNUMBER(SEARCH(CQ$119,'Reference Score Calculation'!$P113)),10,IF(ISNUMBER(SEARCH(CQ$119,'Reference Score Calculation'!$Q113)),7,IF(ISNUMBER(SEARCH(CQ$119,'Reference Score Calculation'!$R113)),5,IF(ISNUMBER(SEARCH($BV$108,'Reference Score Calculation'!$P113)),10,IF(ISNUMBER(SEARCH($BV$108,'Reference Score Calculation'!$Q113)),7,5)))))</f>
        <v>5</v>
      </c>
      <c r="CR136" s="455">
        <f>IF(ISNUMBER(SEARCH(CR$119,'Reference Score Calculation'!$P113)),10,IF(ISNUMBER(SEARCH(CR$119,'Reference Score Calculation'!$Q113)),7,IF(ISNUMBER(SEARCH(CR$119,'Reference Score Calculation'!$R113)),5,IF(ISNUMBER(SEARCH($BV$108,'Reference Score Calculation'!$P113)),10,IF(ISNUMBER(SEARCH($BV$108,'Reference Score Calculation'!$Q113)),7,5)))))</f>
        <v>5</v>
      </c>
      <c r="CS136" s="455">
        <f>IF(ISNUMBER(SEARCH(CS$119,'Reference Score Calculation'!$P113)),10,IF(ISNUMBER(SEARCH(CS$119,'Reference Score Calculation'!$Q113)),7,IF(ISNUMBER(SEARCH(CS$119,'Reference Score Calculation'!$R113)),5,IF(ISNUMBER(SEARCH($BV$108,'Reference Score Calculation'!$P113)),10,IF(ISNUMBER(SEARCH($BV$108,'Reference Score Calculation'!$Q113)),7,5)))))</f>
        <v>5</v>
      </c>
      <c r="CT136" s="455">
        <f>IF(ISNUMBER(SEARCH(CT$119,'Reference Score Calculation'!$P113)),10,IF(ISNUMBER(SEARCH(CT$119,'Reference Score Calculation'!$Q113)),7,IF(ISNUMBER(SEARCH(CT$119,'Reference Score Calculation'!$R113)),5,IF(ISNUMBER(SEARCH($BV$108,'Reference Score Calculation'!$P113)),10,IF(ISNUMBER(SEARCH($BV$108,'Reference Score Calculation'!$Q113)),7,5)))))</f>
        <v>5</v>
      </c>
      <c r="CU136" s="455">
        <f>IF(ISNUMBER(SEARCH(CU$119,'Reference Score Calculation'!$P113)),10,IF(ISNUMBER(SEARCH(CU$119,'Reference Score Calculation'!$Q113)),7,IF(ISNUMBER(SEARCH(CU$119,'Reference Score Calculation'!$R113)),5,IF(ISNUMBER(SEARCH($BV$108,'Reference Score Calculation'!$P113)),10,IF(ISNUMBER(SEARCH($BV$108,'Reference Score Calculation'!$Q113)),7,5)))))</f>
        <v>5</v>
      </c>
      <c r="CV136" s="455">
        <f>IF(ISNUMBER(SEARCH(CV$119,'Reference Score Calculation'!$P113)),10,IF(ISNUMBER(SEARCH(CV$119,'Reference Score Calculation'!$Q113)),7,IF(ISNUMBER(SEARCH(CV$119,'Reference Score Calculation'!$R113)),5,IF(ISNUMBER(SEARCH($BV$108,'Reference Score Calculation'!$P113)),10,IF(ISNUMBER(SEARCH($BV$108,'Reference Score Calculation'!$Q113)),7,5)))))</f>
        <v>5</v>
      </c>
      <c r="CW136" s="185"/>
      <c r="CX136" s="185"/>
      <c r="CY136" s="185"/>
    </row>
    <row r="137" spans="1:103">
      <c r="A137" s="117" t="s">
        <v>1087</v>
      </c>
      <c r="B137" s="459" t="str">
        <f>'Reference Score Calculation'!B114</f>
        <v>JS3170</v>
      </c>
      <c r="C137" s="117" t="str">
        <f>'Reference Score Calculation'!E114</f>
        <v>電機工程學(榮譽)工學士組合課程 (電機工程學 / 運輸系統工程學)</v>
      </c>
      <c r="D137" s="2" t="e">
        <f>'Reference Score Calculation'!#REF!</f>
        <v>#REF!</v>
      </c>
      <c r="E137" s="131" t="str">
        <f>'Reference Score Calculation'!F114</f>
        <v>Best 5</v>
      </c>
      <c r="F137" s="131"/>
      <c r="G137" s="117" t="str">
        <f>入學要求!AB123</f>
        <v>v</v>
      </c>
      <c r="H137" s="117" t="str">
        <f>入學要求!AC123</f>
        <v>E</v>
      </c>
      <c r="I137" s="117" t="str">
        <f>入學要求!AD123</f>
        <v>NO</v>
      </c>
      <c r="J137" s="117">
        <f t="shared" si="211"/>
        <v>1.07E-8</v>
      </c>
      <c r="K137" s="117">
        <f t="shared" si="242"/>
        <v>7</v>
      </c>
      <c r="L137" s="117">
        <f t="shared" si="242"/>
        <v>10</v>
      </c>
      <c r="M137" s="117">
        <f t="shared" si="242"/>
        <v>10</v>
      </c>
      <c r="N137" s="117">
        <f t="shared" si="242"/>
        <v>0</v>
      </c>
      <c r="O137" s="117">
        <f t="shared" si="242"/>
        <v>10</v>
      </c>
      <c r="P137" s="117">
        <f t="shared" si="242"/>
        <v>0</v>
      </c>
      <c r="Q137" s="117">
        <f t="shared" si="242"/>
        <v>0</v>
      </c>
      <c r="R137" s="117">
        <f t="shared" si="242"/>
        <v>0</v>
      </c>
      <c r="S137" s="117">
        <f t="shared" si="242"/>
        <v>0</v>
      </c>
      <c r="T137" s="117">
        <v>5</v>
      </c>
      <c r="V137" s="117">
        <f t="shared" si="224"/>
        <v>7.0000000000000006E-10</v>
      </c>
      <c r="W137" s="117">
        <f t="shared" si="225"/>
        <v>2.0000000000000001E-9</v>
      </c>
      <c r="X137" s="117">
        <f t="shared" si="226"/>
        <v>3E-9</v>
      </c>
      <c r="Z137" s="117">
        <f t="shared" si="227"/>
        <v>5.0000000000000001E-9</v>
      </c>
      <c r="AA137" s="117">
        <f t="shared" si="228"/>
        <v>0</v>
      </c>
      <c r="AB137" s="117">
        <f t="shared" si="229"/>
        <v>0</v>
      </c>
      <c r="AC137" s="117">
        <f t="shared" si="230"/>
        <v>0</v>
      </c>
      <c r="AD137" s="117">
        <f t="shared" si="231"/>
        <v>0</v>
      </c>
      <c r="AE137" s="117">
        <f t="shared" si="232"/>
        <v>0</v>
      </c>
      <c r="AF137" s="117">
        <f t="shared" si="213"/>
        <v>7.0000000000000006E-10</v>
      </c>
      <c r="AG137" s="117">
        <f t="shared" si="214"/>
        <v>2.0000000000000001E-9</v>
      </c>
      <c r="AH137" s="117">
        <f t="shared" si="215"/>
        <v>3E-9</v>
      </c>
      <c r="AI137" s="117">
        <f t="shared" si="216"/>
        <v>0</v>
      </c>
      <c r="AJ137" s="117">
        <f t="shared" si="217"/>
        <v>5.0000000000000001E-9</v>
      </c>
      <c r="AK137" s="117">
        <f t="shared" si="218"/>
        <v>0</v>
      </c>
      <c r="AL137" s="117">
        <f t="shared" si="219"/>
        <v>0</v>
      </c>
      <c r="AM137" s="117">
        <f t="shared" si="220"/>
        <v>0</v>
      </c>
      <c r="AN137" s="117">
        <f t="shared" si="221"/>
        <v>0</v>
      </c>
      <c r="AO137" s="117">
        <f t="shared" si="222"/>
        <v>0</v>
      </c>
      <c r="AP137" s="117" t="b">
        <f t="shared" si="233"/>
        <v>1</v>
      </c>
      <c r="AQ137" s="117" t="b">
        <f t="shared" si="234"/>
        <v>1</v>
      </c>
      <c r="AR137" s="117" t="b">
        <f t="shared" si="235"/>
        <v>1</v>
      </c>
      <c r="AT137" s="117" t="b">
        <f t="shared" si="236"/>
        <v>1</v>
      </c>
      <c r="AU137" s="117" t="b">
        <f t="shared" si="237"/>
        <v>0</v>
      </c>
      <c r="AV137" s="117" t="b">
        <f t="shared" si="238"/>
        <v>0</v>
      </c>
      <c r="AW137" s="117" t="b">
        <f t="shared" si="239"/>
        <v>0</v>
      </c>
      <c r="AX137" s="117" t="b">
        <f t="shared" si="240"/>
        <v>0</v>
      </c>
      <c r="AY137" s="117" t="b">
        <f t="shared" si="241"/>
        <v>0</v>
      </c>
      <c r="BA137" s="2"/>
      <c r="BB137" s="2"/>
      <c r="BC137" s="2"/>
      <c r="BD137" s="2"/>
      <c r="BE137" s="2"/>
      <c r="BF137" s="2"/>
      <c r="BG137" s="2"/>
      <c r="BH137" s="2"/>
      <c r="BI137" s="2"/>
      <c r="BJ137" s="2"/>
      <c r="BK137" s="2"/>
      <c r="BL137" s="2"/>
      <c r="BM137" s="2"/>
      <c r="BN137" s="2"/>
      <c r="BO137" s="2"/>
      <c r="BP137" s="2"/>
      <c r="BQ137" s="2"/>
      <c r="BR137" s="2"/>
      <c r="BS137" s="185" t="str">
        <f>'Reference Score Calculation'!B114</f>
        <v>JS3170</v>
      </c>
      <c r="BT137" s="185"/>
      <c r="BU137" s="455">
        <f>IF(ISNUMBER(SEARCH(BU$119,'Reference Score Calculation'!$P114)),10,IF(ISNUMBER(SEARCH(BU$119,'Reference Score Calculation'!$Q114)),7,IF(ISNUMBER(SEARCH(BU$119,'Reference Score Calculation'!$R114)),5,IF(ISNUMBER(SEARCH($BV$108,'Reference Score Calculation'!$P114)),10,IF(ISNUMBER(SEARCH($BV$108,'Reference Score Calculation'!$Q114)),7,5)))))</f>
        <v>7</v>
      </c>
      <c r="BV137" s="455">
        <f>IF(ISNUMBER(SEARCH(BV$119,'Reference Score Calculation'!$P114)),10,IF(ISNUMBER(SEARCH(BV$119,'Reference Score Calculation'!$Q114)),7,IF(ISNUMBER(SEARCH(BV$119,'Reference Score Calculation'!$R114)),5,IF(ISNUMBER(SEARCH($BV$108,'Reference Score Calculation'!$P114)),10,IF(ISNUMBER(SEARCH($BV$108,'Reference Score Calculation'!$Q114)),7,5)))))</f>
        <v>10</v>
      </c>
      <c r="BW137" s="455">
        <f>IF(ISNUMBER(SEARCH(BW$119,'Reference Score Calculation'!$P114)),10,IF(ISNUMBER(SEARCH(BW$119,'Reference Score Calculation'!$Q114)),7,IF(ISNUMBER(SEARCH(BW$119,'Reference Score Calculation'!$R114)),5,IF(ISNUMBER(SEARCH($BV$108,'Reference Score Calculation'!$P114)),10,IF(ISNUMBER(SEARCH($BV$108,'Reference Score Calculation'!$Q114)),7,5)))))</f>
        <v>10</v>
      </c>
      <c r="BX137" s="455">
        <f>IF(ISNUMBER(SEARCH(BX$119,'Reference Score Calculation'!$P114)),10,IF(ISNUMBER(SEARCH(BX$119,'Reference Score Calculation'!$Q114)),7,IF(ISNUMBER(SEARCH(BX$119,'Reference Score Calculation'!$R114)),5,IF(ISNUMBER(SEARCH($BV$108,'Reference Score Calculation'!$P114)),10,IF(ISNUMBER(SEARCH($BV$108,'Reference Score Calculation'!$Q114)),7,5)))))</f>
        <v>5</v>
      </c>
      <c r="BY137" s="455">
        <f>IF(ISNUMBER(SEARCH(BY$119,'Reference Score Calculation'!$P114)),10,IF(ISNUMBER(SEARCH(BY$119,'Reference Score Calculation'!$Q114)),7,IF(ISNUMBER(SEARCH(BY$119,'Reference Score Calculation'!$R114)),5,IF(ISNUMBER(SEARCH($BV$108,'Reference Score Calculation'!$P114)),10,IF(ISNUMBER(SEARCH($BV$108,'Reference Score Calculation'!$Q114)),7,5)))))</f>
        <v>10</v>
      </c>
      <c r="BZ137" s="455">
        <f>IF(ISNUMBER(SEARCH(BZ$119,'Reference Score Calculation'!$P114)),10,IF(ISNUMBER(SEARCH(BZ$119,'Reference Score Calculation'!$Q114)),7,IF(ISNUMBER(SEARCH(BZ$119,'Reference Score Calculation'!$R114)),5,IF(ISNUMBER(SEARCH($BV$108,'Reference Score Calculation'!$P114)),10,IF(ISNUMBER(SEARCH($BV$108,'Reference Score Calculation'!$Q114)),7,5)))))</f>
        <v>10</v>
      </c>
      <c r="CA137" s="455">
        <f>IF(ISNUMBER(SEARCH(CA$119,'Reference Score Calculation'!$P114)),10,IF(ISNUMBER(SEARCH(CA$119,'Reference Score Calculation'!$Q114)),7,IF(ISNUMBER(SEARCH(CA$119,'Reference Score Calculation'!$R114)),5,IF(ISNUMBER(SEARCH($BV$108,'Reference Score Calculation'!$P114)),10,IF(ISNUMBER(SEARCH($BV$108,'Reference Score Calculation'!$Q114)),7,5)))))</f>
        <v>10</v>
      </c>
      <c r="CB137" s="455">
        <f>IF(ISNUMBER(SEARCH(CB$119,'Reference Score Calculation'!$P114)),10,IF(ISNUMBER(SEARCH(CB$119,'Reference Score Calculation'!$Q114)),7,IF(ISNUMBER(SEARCH(CB$119,'Reference Score Calculation'!$R114)),5,IF(ISNUMBER(SEARCH($BV$108,'Reference Score Calculation'!$P114)),10,IF(ISNUMBER(SEARCH($BV$108,'Reference Score Calculation'!$Q114)),7,5)))))</f>
        <v>10</v>
      </c>
      <c r="CC137" s="455">
        <f>IF(ISNUMBER(SEARCH(CC$119,'Reference Score Calculation'!$P114)),10,IF(ISNUMBER(SEARCH(CC$119,'Reference Score Calculation'!$Q114)),7,IF(ISNUMBER(SEARCH(CC$119,'Reference Score Calculation'!$R114)),5,IF(ISNUMBER(SEARCH($BV$108,'Reference Score Calculation'!$P114)),10,IF(ISNUMBER(SEARCH($BV$108,'Reference Score Calculation'!$Q114)),7,5)))))</f>
        <v>7</v>
      </c>
      <c r="CD137" s="455">
        <f>IF(ISNUMBER(SEARCH(CD$119,'Reference Score Calculation'!$P114)),10,IF(ISNUMBER(SEARCH(CD$119,'Reference Score Calculation'!$Q114)),7,IF(ISNUMBER(SEARCH(CD$119,'Reference Score Calculation'!$R114)),5,IF(ISNUMBER(SEARCH($BV$108,'Reference Score Calculation'!$P114)),10,IF(ISNUMBER(SEARCH($BV$108,'Reference Score Calculation'!$Q114)),7,5)))))</f>
        <v>5</v>
      </c>
      <c r="CE137" s="455">
        <f>IF(ISNUMBER(SEARCH(CE$119,'Reference Score Calculation'!$P114)),10,IF(ISNUMBER(SEARCH(CE$119,'Reference Score Calculation'!$Q114)),7,IF(ISNUMBER(SEARCH(CE$119,'Reference Score Calculation'!$R114)),5,IF(ISNUMBER(SEARCH($BV$108,'Reference Score Calculation'!$P114)),10,IF(ISNUMBER(SEARCH($BV$108,'Reference Score Calculation'!$Q114)),7,5)))))</f>
        <v>5</v>
      </c>
      <c r="CF137" s="455">
        <f>IF(ISNUMBER(SEARCH(CF$119,'Reference Score Calculation'!$P114)),10,IF(ISNUMBER(SEARCH(CF$119,'Reference Score Calculation'!$Q114)),7,IF(ISNUMBER(SEARCH(CF$119,'Reference Score Calculation'!$R114)),5,IF(ISNUMBER(SEARCH($BV$108,'Reference Score Calculation'!$P114)),10,IF(ISNUMBER(SEARCH($BV$108,'Reference Score Calculation'!$Q114)),7,5)))))</f>
        <v>5</v>
      </c>
      <c r="CG137" s="455">
        <f>IF(ISNUMBER(SEARCH(CG$119,'Reference Score Calculation'!$P114)),10,IF(ISNUMBER(SEARCH(CG$119,'Reference Score Calculation'!$Q114)),7,IF(ISNUMBER(SEARCH(CG$119,'Reference Score Calculation'!$R114)),5,IF(ISNUMBER(SEARCH($BV$108,'Reference Score Calculation'!$P114)),10,IF(ISNUMBER(SEARCH($BV$108,'Reference Score Calculation'!$Q114)),7,5)))))</f>
        <v>5</v>
      </c>
      <c r="CH137" s="455">
        <f>IF(ISNUMBER(SEARCH(CH$119,'Reference Score Calculation'!$P114)),10,IF(ISNUMBER(SEARCH(CH$119,'Reference Score Calculation'!$Q114)),7,IF(ISNUMBER(SEARCH(CH$119,'Reference Score Calculation'!$R114)),5,IF(ISNUMBER(SEARCH($BV$108,'Reference Score Calculation'!$P114)),10,IF(ISNUMBER(SEARCH($BV$108,'Reference Score Calculation'!$Q114)),7,5)))))</f>
        <v>5</v>
      </c>
      <c r="CI137" s="455">
        <f>IF(ISNUMBER(SEARCH(CI$119,'Reference Score Calculation'!$P114)),10,IF(ISNUMBER(SEARCH(CI$119,'Reference Score Calculation'!$Q114)),7,IF(ISNUMBER(SEARCH(CI$119,'Reference Score Calculation'!$R114)),5,IF(ISNUMBER(SEARCH($BV$108,'Reference Score Calculation'!$P114)),10,IF(ISNUMBER(SEARCH($BV$108,'Reference Score Calculation'!$Q114)),7,5)))))</f>
        <v>5</v>
      </c>
      <c r="CJ137" s="455">
        <f>IF(ISNUMBER(SEARCH(CJ$119,'Reference Score Calculation'!$P114)),10,IF(ISNUMBER(SEARCH(CJ$119,'Reference Score Calculation'!$Q114)),7,IF(ISNUMBER(SEARCH(CJ$119,'Reference Score Calculation'!$R114)),5,IF(ISNUMBER(SEARCH($BV$108,'Reference Score Calculation'!$P114)),10,IF(ISNUMBER(SEARCH($BV$108,'Reference Score Calculation'!$Q114)),7,5)))))</f>
        <v>5</v>
      </c>
      <c r="CK137" s="455">
        <f>IF(ISNUMBER(SEARCH(CK$119,'Reference Score Calculation'!$P114)),10,IF(ISNUMBER(SEARCH(CK$119,'Reference Score Calculation'!$Q114)),7,IF(ISNUMBER(SEARCH(CK$119,'Reference Score Calculation'!$R114)),5,IF(ISNUMBER(SEARCH($BV$108,'Reference Score Calculation'!$P114)),10,IF(ISNUMBER(SEARCH($BV$108,'Reference Score Calculation'!$Q114)),7,5)))))</f>
        <v>5</v>
      </c>
      <c r="CL137" s="455">
        <f>IF(ISNUMBER(SEARCH(CL$119,'Reference Score Calculation'!$P114)),10,IF(ISNUMBER(SEARCH(CL$119,'Reference Score Calculation'!$Q114)),7,IF(ISNUMBER(SEARCH(CL$119,'Reference Score Calculation'!$R114)),5,IF(ISNUMBER(SEARCH($BV$108,'Reference Score Calculation'!$P114)),10,IF(ISNUMBER(SEARCH($BV$108,'Reference Score Calculation'!$Q114)),7,5)))))</f>
        <v>5</v>
      </c>
      <c r="CM137" s="455">
        <f>IF(ISNUMBER(SEARCH(CM$119,'Reference Score Calculation'!$P114)),10,IF(ISNUMBER(SEARCH(CM$119,'Reference Score Calculation'!$Q114)),7,IF(ISNUMBER(SEARCH(CM$119,'Reference Score Calculation'!$R114)),5,IF(ISNUMBER(SEARCH($BV$108,'Reference Score Calculation'!$P114)),10,IF(ISNUMBER(SEARCH($BV$108,'Reference Score Calculation'!$Q114)),7,5)))))</f>
        <v>5</v>
      </c>
      <c r="CN137" s="455">
        <f>IF(ISNUMBER(SEARCH(CN$119,'Reference Score Calculation'!$P114)),10,IF(ISNUMBER(SEARCH(CN$119,'Reference Score Calculation'!$Q114)),7,IF(ISNUMBER(SEARCH(CN$119,'Reference Score Calculation'!$R114)),5,IF(ISNUMBER(SEARCH($BV$108,'Reference Score Calculation'!$P114)),10,IF(ISNUMBER(SEARCH($BV$108,'Reference Score Calculation'!$Q114)),7,5)))))</f>
        <v>7</v>
      </c>
      <c r="CO137" s="455">
        <f>IF(ISNUMBER(SEARCH(CO$119,'Reference Score Calculation'!$P114)),10,IF(ISNUMBER(SEARCH(CO$119,'Reference Score Calculation'!$Q114)),7,IF(ISNUMBER(SEARCH(CO$119,'Reference Score Calculation'!$R114)),5,IF(ISNUMBER(SEARCH($BV$108,'Reference Score Calculation'!$P114)),10,IF(ISNUMBER(SEARCH($BV$108,'Reference Score Calculation'!$Q114)),7,5)))))</f>
        <v>7</v>
      </c>
      <c r="CP137" s="455">
        <f>IF(ISNUMBER(SEARCH(CP$119,'Reference Score Calculation'!$P114)),10,IF(ISNUMBER(SEARCH(CP$119,'Reference Score Calculation'!$Q114)),7,IF(ISNUMBER(SEARCH(CP$119,'Reference Score Calculation'!$R114)),5,IF(ISNUMBER(SEARCH($BV$108,'Reference Score Calculation'!$P114)),10,IF(ISNUMBER(SEARCH($BV$108,'Reference Score Calculation'!$Q114)),7,5)))))</f>
        <v>5</v>
      </c>
      <c r="CQ137" s="455">
        <f>IF(ISNUMBER(SEARCH(CQ$119,'Reference Score Calculation'!$P114)),10,IF(ISNUMBER(SEARCH(CQ$119,'Reference Score Calculation'!$Q114)),7,IF(ISNUMBER(SEARCH(CQ$119,'Reference Score Calculation'!$R114)),5,IF(ISNUMBER(SEARCH($BV$108,'Reference Score Calculation'!$P114)),10,IF(ISNUMBER(SEARCH($BV$108,'Reference Score Calculation'!$Q114)),7,5)))))</f>
        <v>5</v>
      </c>
      <c r="CR137" s="455">
        <f>IF(ISNUMBER(SEARCH(CR$119,'Reference Score Calculation'!$P114)),10,IF(ISNUMBER(SEARCH(CR$119,'Reference Score Calculation'!$Q114)),7,IF(ISNUMBER(SEARCH(CR$119,'Reference Score Calculation'!$R114)),5,IF(ISNUMBER(SEARCH($BV$108,'Reference Score Calculation'!$P114)),10,IF(ISNUMBER(SEARCH($BV$108,'Reference Score Calculation'!$Q114)),7,5)))))</f>
        <v>5</v>
      </c>
      <c r="CS137" s="455">
        <f>IF(ISNUMBER(SEARCH(CS$119,'Reference Score Calculation'!$P114)),10,IF(ISNUMBER(SEARCH(CS$119,'Reference Score Calculation'!$Q114)),7,IF(ISNUMBER(SEARCH(CS$119,'Reference Score Calculation'!$R114)),5,IF(ISNUMBER(SEARCH($BV$108,'Reference Score Calculation'!$P114)),10,IF(ISNUMBER(SEARCH($BV$108,'Reference Score Calculation'!$Q114)),7,5)))))</f>
        <v>10</v>
      </c>
      <c r="CT137" s="455">
        <f>IF(ISNUMBER(SEARCH(CT$119,'Reference Score Calculation'!$P114)),10,IF(ISNUMBER(SEARCH(CT$119,'Reference Score Calculation'!$Q114)),7,IF(ISNUMBER(SEARCH(CT$119,'Reference Score Calculation'!$R114)),5,IF(ISNUMBER(SEARCH($BV$108,'Reference Score Calculation'!$P114)),10,IF(ISNUMBER(SEARCH($BV$108,'Reference Score Calculation'!$Q114)),7,5)))))</f>
        <v>7</v>
      </c>
      <c r="CU137" s="455">
        <f>IF(ISNUMBER(SEARCH(CU$119,'Reference Score Calculation'!$P114)),10,IF(ISNUMBER(SEARCH(CU$119,'Reference Score Calculation'!$Q114)),7,IF(ISNUMBER(SEARCH(CU$119,'Reference Score Calculation'!$R114)),5,IF(ISNUMBER(SEARCH($BV$108,'Reference Score Calculation'!$P114)),10,IF(ISNUMBER(SEARCH($BV$108,'Reference Score Calculation'!$Q114)),7,5)))))</f>
        <v>5</v>
      </c>
      <c r="CV137" s="455">
        <f>IF(ISNUMBER(SEARCH(CV$119,'Reference Score Calculation'!$P114)),10,IF(ISNUMBER(SEARCH(CV$119,'Reference Score Calculation'!$Q114)),7,IF(ISNUMBER(SEARCH(CV$119,'Reference Score Calculation'!$R114)),5,IF(ISNUMBER(SEARCH($BV$108,'Reference Score Calculation'!$P114)),10,IF(ISNUMBER(SEARCH($BV$108,'Reference Score Calculation'!$Q114)),7,5)))))</f>
        <v>7</v>
      </c>
      <c r="CW137" s="185"/>
      <c r="CX137" s="185"/>
      <c r="CY137" s="185"/>
    </row>
    <row r="138" spans="1:103">
      <c r="A138" s="117" t="s">
        <v>1090</v>
      </c>
      <c r="B138" s="459" t="str">
        <f>'Reference Score Calculation'!B115</f>
        <v>JS3180</v>
      </c>
      <c r="C138" s="117" t="str">
        <f>'Reference Score Calculation'!E115</f>
        <v>資訊及人工智能工程學(榮譽)工學士/理學士組合課程 (物聯網 / 人工智能 / 資訊安全)</v>
      </c>
      <c r="D138" s="2" t="e">
        <f>'Reference Score Calculation'!#REF!</f>
        <v>#REF!</v>
      </c>
      <c r="E138" s="131" t="str">
        <f>'Reference Score Calculation'!F115</f>
        <v>Best 5</v>
      </c>
      <c r="F138" s="131"/>
      <c r="G138" s="117" t="str">
        <f>入學要求!AB124</f>
        <v>v</v>
      </c>
      <c r="H138" s="117" t="str">
        <f>入學要求!AC124</f>
        <v>E</v>
      </c>
      <c r="I138" s="117" t="str">
        <f>入學要求!AD124</f>
        <v>v</v>
      </c>
      <c r="J138" s="117">
        <f t="shared" si="211"/>
        <v>1.07E-8</v>
      </c>
      <c r="K138" s="117">
        <f t="shared" si="242"/>
        <v>7</v>
      </c>
      <c r="L138" s="117">
        <f t="shared" si="242"/>
        <v>10</v>
      </c>
      <c r="M138" s="117">
        <f t="shared" si="242"/>
        <v>10</v>
      </c>
      <c r="N138" s="117">
        <f t="shared" si="242"/>
        <v>0</v>
      </c>
      <c r="O138" s="117">
        <f t="shared" si="242"/>
        <v>10</v>
      </c>
      <c r="P138" s="117">
        <f t="shared" si="242"/>
        <v>0</v>
      </c>
      <c r="Q138" s="117">
        <f t="shared" si="242"/>
        <v>0</v>
      </c>
      <c r="R138" s="117">
        <f t="shared" si="242"/>
        <v>0</v>
      </c>
      <c r="S138" s="117">
        <f t="shared" si="242"/>
        <v>0</v>
      </c>
      <c r="T138" s="117">
        <v>5</v>
      </c>
      <c r="V138" s="117">
        <f t="shared" si="224"/>
        <v>7.0000000000000006E-10</v>
      </c>
      <c r="W138" s="117">
        <f t="shared" si="225"/>
        <v>2.0000000000000001E-9</v>
      </c>
      <c r="X138" s="117">
        <f t="shared" si="226"/>
        <v>3E-9</v>
      </c>
      <c r="Z138" s="117">
        <f t="shared" si="227"/>
        <v>5.0000000000000001E-9</v>
      </c>
      <c r="AA138" s="117">
        <f t="shared" si="228"/>
        <v>0</v>
      </c>
      <c r="AB138" s="117">
        <f t="shared" si="229"/>
        <v>0</v>
      </c>
      <c r="AC138" s="117">
        <f t="shared" si="230"/>
        <v>0</v>
      </c>
      <c r="AD138" s="117">
        <f t="shared" si="231"/>
        <v>0</v>
      </c>
      <c r="AE138" s="117">
        <f t="shared" si="232"/>
        <v>0</v>
      </c>
      <c r="AF138" s="117">
        <f t="shared" si="213"/>
        <v>7.0000000000000006E-10</v>
      </c>
      <c r="AG138" s="117">
        <f t="shared" si="214"/>
        <v>2.0000000000000001E-9</v>
      </c>
      <c r="AH138" s="117">
        <f t="shared" si="215"/>
        <v>3E-9</v>
      </c>
      <c r="AI138" s="117">
        <f t="shared" si="216"/>
        <v>0</v>
      </c>
      <c r="AJ138" s="117">
        <f t="shared" si="217"/>
        <v>5.0000000000000001E-9</v>
      </c>
      <c r="AK138" s="117">
        <f t="shared" si="218"/>
        <v>0</v>
      </c>
      <c r="AL138" s="117">
        <f t="shared" si="219"/>
        <v>0</v>
      </c>
      <c r="AM138" s="117">
        <f t="shared" si="220"/>
        <v>0</v>
      </c>
      <c r="AN138" s="117">
        <f t="shared" si="221"/>
        <v>0</v>
      </c>
      <c r="AO138" s="117">
        <f t="shared" si="222"/>
        <v>0</v>
      </c>
      <c r="AP138" s="117" t="b">
        <f t="shared" si="233"/>
        <v>1</v>
      </c>
      <c r="AQ138" s="117" t="b">
        <f t="shared" si="234"/>
        <v>1</v>
      </c>
      <c r="AR138" s="117" t="b">
        <f t="shared" si="235"/>
        <v>1</v>
      </c>
      <c r="AT138" s="117" t="b">
        <f t="shared" si="236"/>
        <v>1</v>
      </c>
      <c r="AU138" s="117" t="b">
        <f t="shared" si="237"/>
        <v>0</v>
      </c>
      <c r="AV138" s="117" t="b">
        <f t="shared" si="238"/>
        <v>0</v>
      </c>
      <c r="AW138" s="117" t="b">
        <f t="shared" si="239"/>
        <v>0</v>
      </c>
      <c r="AX138" s="117" t="b">
        <f t="shared" si="240"/>
        <v>0</v>
      </c>
      <c r="AY138" s="117" t="b">
        <f t="shared" si="241"/>
        <v>0</v>
      </c>
      <c r="BA138" s="2"/>
      <c r="BB138" s="2"/>
      <c r="BC138" s="2"/>
      <c r="BD138" s="2"/>
      <c r="BE138" s="2"/>
      <c r="BF138" s="2"/>
      <c r="BG138" s="2"/>
      <c r="BH138" s="2"/>
      <c r="BI138" s="2"/>
      <c r="BJ138" s="2"/>
      <c r="BK138" s="2"/>
      <c r="BL138" s="2"/>
      <c r="BM138" s="2"/>
      <c r="BN138" s="2"/>
      <c r="BO138" s="2"/>
      <c r="BP138" s="2"/>
      <c r="BQ138" s="2"/>
      <c r="BR138" s="2"/>
      <c r="BS138" s="185" t="str">
        <f>'Reference Score Calculation'!B115</f>
        <v>JS3180</v>
      </c>
      <c r="BT138" s="185"/>
      <c r="BU138" s="455">
        <f>IF(ISNUMBER(SEARCH(BU$119,'Reference Score Calculation'!$P115)),10,IF(ISNUMBER(SEARCH(BU$119,'Reference Score Calculation'!$Q115)),7,IF(ISNUMBER(SEARCH(BU$119,'Reference Score Calculation'!$R115)),5,IF(ISNUMBER(SEARCH($BV$108,'Reference Score Calculation'!$P115)),10,IF(ISNUMBER(SEARCH($BV$108,'Reference Score Calculation'!$Q115)),7,5)))))</f>
        <v>7</v>
      </c>
      <c r="BV138" s="455">
        <f>IF(ISNUMBER(SEARCH(BV$119,'Reference Score Calculation'!$P115)),10,IF(ISNUMBER(SEARCH(BV$119,'Reference Score Calculation'!$Q115)),7,IF(ISNUMBER(SEARCH(BV$119,'Reference Score Calculation'!$R115)),5,IF(ISNUMBER(SEARCH($BV$108,'Reference Score Calculation'!$P115)),10,IF(ISNUMBER(SEARCH($BV$108,'Reference Score Calculation'!$Q115)),7,5)))))</f>
        <v>10</v>
      </c>
      <c r="BW138" s="455">
        <f>IF(ISNUMBER(SEARCH(BW$119,'Reference Score Calculation'!$P115)),10,IF(ISNUMBER(SEARCH(BW$119,'Reference Score Calculation'!$Q115)),7,IF(ISNUMBER(SEARCH(BW$119,'Reference Score Calculation'!$R115)),5,IF(ISNUMBER(SEARCH($BV$108,'Reference Score Calculation'!$P115)),10,IF(ISNUMBER(SEARCH($BV$108,'Reference Score Calculation'!$Q115)),7,5)))))</f>
        <v>10</v>
      </c>
      <c r="BX138" s="455">
        <f>IF(ISNUMBER(SEARCH(BX$119,'Reference Score Calculation'!$P115)),10,IF(ISNUMBER(SEARCH(BX$119,'Reference Score Calculation'!$Q115)),7,IF(ISNUMBER(SEARCH(BX$119,'Reference Score Calculation'!$R115)),5,IF(ISNUMBER(SEARCH($BV$108,'Reference Score Calculation'!$P115)),10,IF(ISNUMBER(SEARCH($BV$108,'Reference Score Calculation'!$Q115)),7,5)))))</f>
        <v>5</v>
      </c>
      <c r="BY138" s="455">
        <f>IF(ISNUMBER(SEARCH(BY$119,'Reference Score Calculation'!$P115)),10,IF(ISNUMBER(SEARCH(BY$119,'Reference Score Calculation'!$Q115)),7,IF(ISNUMBER(SEARCH(BY$119,'Reference Score Calculation'!$R115)),5,IF(ISNUMBER(SEARCH($BV$108,'Reference Score Calculation'!$P115)),10,IF(ISNUMBER(SEARCH($BV$108,'Reference Score Calculation'!$Q115)),7,5)))))</f>
        <v>10</v>
      </c>
      <c r="BZ138" s="455">
        <f>IF(ISNUMBER(SEARCH(BZ$119,'Reference Score Calculation'!$P115)),10,IF(ISNUMBER(SEARCH(BZ$119,'Reference Score Calculation'!$Q115)),7,IF(ISNUMBER(SEARCH(BZ$119,'Reference Score Calculation'!$R115)),5,IF(ISNUMBER(SEARCH($BV$108,'Reference Score Calculation'!$P115)),10,IF(ISNUMBER(SEARCH($BV$108,'Reference Score Calculation'!$Q115)),7,5)))))</f>
        <v>10</v>
      </c>
      <c r="CA138" s="455">
        <f>IF(ISNUMBER(SEARCH(CA$119,'Reference Score Calculation'!$P115)),10,IF(ISNUMBER(SEARCH(CA$119,'Reference Score Calculation'!$Q115)),7,IF(ISNUMBER(SEARCH(CA$119,'Reference Score Calculation'!$R115)),5,IF(ISNUMBER(SEARCH($BV$108,'Reference Score Calculation'!$P115)),10,IF(ISNUMBER(SEARCH($BV$108,'Reference Score Calculation'!$Q115)),7,5)))))</f>
        <v>10</v>
      </c>
      <c r="CB138" s="455">
        <f>IF(ISNUMBER(SEARCH(CB$119,'Reference Score Calculation'!$P115)),10,IF(ISNUMBER(SEARCH(CB$119,'Reference Score Calculation'!$Q115)),7,IF(ISNUMBER(SEARCH(CB$119,'Reference Score Calculation'!$R115)),5,IF(ISNUMBER(SEARCH($BV$108,'Reference Score Calculation'!$P115)),10,IF(ISNUMBER(SEARCH($BV$108,'Reference Score Calculation'!$Q115)),7,5)))))</f>
        <v>10</v>
      </c>
      <c r="CC138" s="455">
        <f>IF(ISNUMBER(SEARCH(CC$119,'Reference Score Calculation'!$P115)),10,IF(ISNUMBER(SEARCH(CC$119,'Reference Score Calculation'!$Q115)),7,IF(ISNUMBER(SEARCH(CC$119,'Reference Score Calculation'!$R115)),5,IF(ISNUMBER(SEARCH($BV$108,'Reference Score Calculation'!$P115)),10,IF(ISNUMBER(SEARCH($BV$108,'Reference Score Calculation'!$Q115)),7,5)))))</f>
        <v>5</v>
      </c>
      <c r="CD138" s="455">
        <f>IF(ISNUMBER(SEARCH(CD$119,'Reference Score Calculation'!$P115)),10,IF(ISNUMBER(SEARCH(CD$119,'Reference Score Calculation'!$Q115)),7,IF(ISNUMBER(SEARCH(CD$119,'Reference Score Calculation'!$R115)),5,IF(ISNUMBER(SEARCH($BV$108,'Reference Score Calculation'!$P115)),10,IF(ISNUMBER(SEARCH($BV$108,'Reference Score Calculation'!$Q115)),7,5)))))</f>
        <v>5</v>
      </c>
      <c r="CE138" s="455">
        <f>IF(ISNUMBER(SEARCH(CE$119,'Reference Score Calculation'!$P115)),10,IF(ISNUMBER(SEARCH(CE$119,'Reference Score Calculation'!$Q115)),7,IF(ISNUMBER(SEARCH(CE$119,'Reference Score Calculation'!$R115)),5,IF(ISNUMBER(SEARCH($BV$108,'Reference Score Calculation'!$P115)),10,IF(ISNUMBER(SEARCH($BV$108,'Reference Score Calculation'!$Q115)),7,5)))))</f>
        <v>5</v>
      </c>
      <c r="CF138" s="455">
        <f>IF(ISNUMBER(SEARCH(CF$119,'Reference Score Calculation'!$P115)),10,IF(ISNUMBER(SEARCH(CF$119,'Reference Score Calculation'!$Q115)),7,IF(ISNUMBER(SEARCH(CF$119,'Reference Score Calculation'!$R115)),5,IF(ISNUMBER(SEARCH($BV$108,'Reference Score Calculation'!$P115)),10,IF(ISNUMBER(SEARCH($BV$108,'Reference Score Calculation'!$Q115)),7,5)))))</f>
        <v>5</v>
      </c>
      <c r="CG138" s="455">
        <f>IF(ISNUMBER(SEARCH(CG$119,'Reference Score Calculation'!$P115)),10,IF(ISNUMBER(SEARCH(CG$119,'Reference Score Calculation'!$Q115)),7,IF(ISNUMBER(SEARCH(CG$119,'Reference Score Calculation'!$R115)),5,IF(ISNUMBER(SEARCH($BV$108,'Reference Score Calculation'!$P115)),10,IF(ISNUMBER(SEARCH($BV$108,'Reference Score Calculation'!$Q115)),7,5)))))</f>
        <v>5</v>
      </c>
      <c r="CH138" s="455">
        <f>IF(ISNUMBER(SEARCH(CH$119,'Reference Score Calculation'!$P115)),10,IF(ISNUMBER(SEARCH(CH$119,'Reference Score Calculation'!$Q115)),7,IF(ISNUMBER(SEARCH(CH$119,'Reference Score Calculation'!$R115)),5,IF(ISNUMBER(SEARCH($BV$108,'Reference Score Calculation'!$P115)),10,IF(ISNUMBER(SEARCH($BV$108,'Reference Score Calculation'!$Q115)),7,5)))))</f>
        <v>5</v>
      </c>
      <c r="CI138" s="455">
        <f>IF(ISNUMBER(SEARCH(CI$119,'Reference Score Calculation'!$P115)),10,IF(ISNUMBER(SEARCH(CI$119,'Reference Score Calculation'!$Q115)),7,IF(ISNUMBER(SEARCH(CI$119,'Reference Score Calculation'!$R115)),5,IF(ISNUMBER(SEARCH($BV$108,'Reference Score Calculation'!$P115)),10,IF(ISNUMBER(SEARCH($BV$108,'Reference Score Calculation'!$Q115)),7,5)))))</f>
        <v>5</v>
      </c>
      <c r="CJ138" s="455">
        <f>IF(ISNUMBER(SEARCH(CJ$119,'Reference Score Calculation'!$P115)),10,IF(ISNUMBER(SEARCH(CJ$119,'Reference Score Calculation'!$Q115)),7,IF(ISNUMBER(SEARCH(CJ$119,'Reference Score Calculation'!$R115)),5,IF(ISNUMBER(SEARCH($BV$108,'Reference Score Calculation'!$P115)),10,IF(ISNUMBER(SEARCH($BV$108,'Reference Score Calculation'!$Q115)),7,5)))))</f>
        <v>7</v>
      </c>
      <c r="CK138" s="455">
        <f>IF(ISNUMBER(SEARCH(CK$119,'Reference Score Calculation'!$P115)),10,IF(ISNUMBER(SEARCH(CK$119,'Reference Score Calculation'!$Q115)),7,IF(ISNUMBER(SEARCH(CK$119,'Reference Score Calculation'!$R115)),5,IF(ISNUMBER(SEARCH($BV$108,'Reference Score Calculation'!$P115)),10,IF(ISNUMBER(SEARCH($BV$108,'Reference Score Calculation'!$Q115)),7,5)))))</f>
        <v>5</v>
      </c>
      <c r="CL138" s="455">
        <f>IF(ISNUMBER(SEARCH(CL$119,'Reference Score Calculation'!$P115)),10,IF(ISNUMBER(SEARCH(CL$119,'Reference Score Calculation'!$Q115)),7,IF(ISNUMBER(SEARCH(CL$119,'Reference Score Calculation'!$R115)),5,IF(ISNUMBER(SEARCH($BV$108,'Reference Score Calculation'!$P115)),10,IF(ISNUMBER(SEARCH($BV$108,'Reference Score Calculation'!$Q115)),7,5)))))</f>
        <v>5</v>
      </c>
      <c r="CM138" s="455">
        <f>IF(ISNUMBER(SEARCH(CM$119,'Reference Score Calculation'!$P115)),10,IF(ISNUMBER(SEARCH(CM$119,'Reference Score Calculation'!$Q115)),7,IF(ISNUMBER(SEARCH(CM$119,'Reference Score Calculation'!$R115)),5,IF(ISNUMBER(SEARCH($BV$108,'Reference Score Calculation'!$P115)),10,IF(ISNUMBER(SEARCH($BV$108,'Reference Score Calculation'!$Q115)),7,5)))))</f>
        <v>5</v>
      </c>
      <c r="CN138" s="455">
        <f>IF(ISNUMBER(SEARCH(CN$119,'Reference Score Calculation'!$P115)),10,IF(ISNUMBER(SEARCH(CN$119,'Reference Score Calculation'!$Q115)),7,IF(ISNUMBER(SEARCH(CN$119,'Reference Score Calculation'!$R115)),5,IF(ISNUMBER(SEARCH($BV$108,'Reference Score Calculation'!$P115)),10,IF(ISNUMBER(SEARCH($BV$108,'Reference Score Calculation'!$Q115)),7,5)))))</f>
        <v>5</v>
      </c>
      <c r="CO138" s="455">
        <f>IF(ISNUMBER(SEARCH(CO$119,'Reference Score Calculation'!$P115)),10,IF(ISNUMBER(SEARCH(CO$119,'Reference Score Calculation'!$Q115)),7,IF(ISNUMBER(SEARCH(CO$119,'Reference Score Calculation'!$R115)),5,IF(ISNUMBER(SEARCH($BV$108,'Reference Score Calculation'!$P115)),10,IF(ISNUMBER(SEARCH($BV$108,'Reference Score Calculation'!$Q115)),7,5)))))</f>
        <v>5</v>
      </c>
      <c r="CP138" s="455">
        <f>IF(ISNUMBER(SEARCH(CP$119,'Reference Score Calculation'!$P115)),10,IF(ISNUMBER(SEARCH(CP$119,'Reference Score Calculation'!$Q115)),7,IF(ISNUMBER(SEARCH(CP$119,'Reference Score Calculation'!$R115)),5,IF(ISNUMBER(SEARCH($BV$108,'Reference Score Calculation'!$P115)),10,IF(ISNUMBER(SEARCH($BV$108,'Reference Score Calculation'!$Q115)),7,5)))))</f>
        <v>5</v>
      </c>
      <c r="CQ138" s="455">
        <f>IF(ISNUMBER(SEARCH(CQ$119,'Reference Score Calculation'!$P115)),10,IF(ISNUMBER(SEARCH(CQ$119,'Reference Score Calculation'!$Q115)),7,IF(ISNUMBER(SEARCH(CQ$119,'Reference Score Calculation'!$R115)),5,IF(ISNUMBER(SEARCH($BV$108,'Reference Score Calculation'!$P115)),10,IF(ISNUMBER(SEARCH($BV$108,'Reference Score Calculation'!$Q115)),7,5)))))</f>
        <v>5</v>
      </c>
      <c r="CR138" s="455">
        <f>IF(ISNUMBER(SEARCH(CR$119,'Reference Score Calculation'!$P115)),10,IF(ISNUMBER(SEARCH(CR$119,'Reference Score Calculation'!$Q115)),7,IF(ISNUMBER(SEARCH(CR$119,'Reference Score Calculation'!$R115)),5,IF(ISNUMBER(SEARCH($BV$108,'Reference Score Calculation'!$P115)),10,IF(ISNUMBER(SEARCH($BV$108,'Reference Score Calculation'!$Q115)),7,5)))))</f>
        <v>5</v>
      </c>
      <c r="CS138" s="455">
        <f>IF(ISNUMBER(SEARCH(CS$119,'Reference Score Calculation'!$P115)),10,IF(ISNUMBER(SEARCH(CS$119,'Reference Score Calculation'!$Q115)),7,IF(ISNUMBER(SEARCH(CS$119,'Reference Score Calculation'!$R115)),5,IF(ISNUMBER(SEARCH($BV$108,'Reference Score Calculation'!$P115)),10,IF(ISNUMBER(SEARCH($BV$108,'Reference Score Calculation'!$Q115)),7,5)))))</f>
        <v>10</v>
      </c>
      <c r="CT138" s="455">
        <f>IF(ISNUMBER(SEARCH(CT$119,'Reference Score Calculation'!$P115)),10,IF(ISNUMBER(SEARCH(CT$119,'Reference Score Calculation'!$Q115)),7,IF(ISNUMBER(SEARCH(CT$119,'Reference Score Calculation'!$R115)),5,IF(ISNUMBER(SEARCH($BV$108,'Reference Score Calculation'!$P115)),10,IF(ISNUMBER(SEARCH($BV$108,'Reference Score Calculation'!$Q115)),7,5)))))</f>
        <v>7</v>
      </c>
      <c r="CU138" s="455">
        <f>IF(ISNUMBER(SEARCH(CU$119,'Reference Score Calculation'!$P115)),10,IF(ISNUMBER(SEARCH(CU$119,'Reference Score Calculation'!$Q115)),7,IF(ISNUMBER(SEARCH(CU$119,'Reference Score Calculation'!$R115)),5,IF(ISNUMBER(SEARCH($BV$108,'Reference Score Calculation'!$P115)),10,IF(ISNUMBER(SEARCH($BV$108,'Reference Score Calculation'!$Q115)),7,5)))))</f>
        <v>5</v>
      </c>
      <c r="CV138" s="455">
        <f>IF(ISNUMBER(SEARCH(CV$119,'Reference Score Calculation'!$P115)),10,IF(ISNUMBER(SEARCH(CV$119,'Reference Score Calculation'!$Q115)),7,IF(ISNUMBER(SEARCH(CV$119,'Reference Score Calculation'!$R115)),5,IF(ISNUMBER(SEARCH($BV$108,'Reference Score Calculation'!$P115)),10,IF(ISNUMBER(SEARCH($BV$108,'Reference Score Calculation'!$Q115)),7,5)))))</f>
        <v>5</v>
      </c>
      <c r="CW138" s="185"/>
      <c r="CX138" s="185"/>
      <c r="CY138" s="185"/>
    </row>
    <row r="139" spans="1:103">
      <c r="A139" s="117" t="s">
        <v>2738</v>
      </c>
      <c r="B139" s="459" t="str">
        <f>'Reference Score Calculation'!B116</f>
        <v>JS3211</v>
      </c>
      <c r="C139" s="117" t="str">
        <f>'Reference Score Calculation'!E116</f>
        <v>建築科學及工程學(榮譽)工學士</v>
      </c>
      <c r="D139" s="2" t="e">
        <f>'Reference Score Calculation'!#REF!</f>
        <v>#REF!</v>
      </c>
      <c r="E139" s="131" t="str">
        <f>'Reference Score Calculation'!F116</f>
        <v>Best 5</v>
      </c>
      <c r="F139" s="131"/>
      <c r="G139" s="117" t="str">
        <f>入學要求!AB125</f>
        <v>v</v>
      </c>
      <c r="H139" s="117" t="str">
        <f>入學要求!AC125</f>
        <v>E</v>
      </c>
      <c r="I139" s="117" t="str">
        <f>入學要求!AD125</f>
        <v>v</v>
      </c>
      <c r="J139" s="117">
        <f t="shared" si="211"/>
        <v>9.1999999999999997E-9</v>
      </c>
      <c r="K139" s="117">
        <f t="shared" si="242"/>
        <v>7</v>
      </c>
      <c r="L139" s="117">
        <f t="shared" si="242"/>
        <v>10</v>
      </c>
      <c r="M139" s="117">
        <f t="shared" si="242"/>
        <v>10</v>
      </c>
      <c r="N139" s="117">
        <f t="shared" si="242"/>
        <v>0</v>
      </c>
      <c r="O139" s="117">
        <f t="shared" si="242"/>
        <v>7</v>
      </c>
      <c r="P139" s="117">
        <f t="shared" si="242"/>
        <v>0</v>
      </c>
      <c r="Q139" s="117">
        <f t="shared" si="242"/>
        <v>0</v>
      </c>
      <c r="R139" s="117">
        <f t="shared" si="242"/>
        <v>0</v>
      </c>
      <c r="S139" s="117">
        <f t="shared" si="242"/>
        <v>0</v>
      </c>
      <c r="T139" s="117">
        <v>5</v>
      </c>
      <c r="V139" s="117">
        <f t="shared" si="224"/>
        <v>7.0000000000000006E-10</v>
      </c>
      <c r="W139" s="117">
        <f t="shared" si="225"/>
        <v>2.0000000000000001E-9</v>
      </c>
      <c r="X139" s="117">
        <f t="shared" si="226"/>
        <v>3E-9</v>
      </c>
      <c r="Z139" s="117">
        <f t="shared" si="227"/>
        <v>3.5000000000000003E-9</v>
      </c>
      <c r="AA139" s="117">
        <f t="shared" si="228"/>
        <v>0</v>
      </c>
      <c r="AB139" s="117">
        <f t="shared" si="229"/>
        <v>0</v>
      </c>
      <c r="AC139" s="117">
        <f t="shared" si="230"/>
        <v>0</v>
      </c>
      <c r="AD139" s="117">
        <f t="shared" si="231"/>
        <v>0</v>
      </c>
      <c r="AE139" s="117">
        <f t="shared" si="232"/>
        <v>0</v>
      </c>
      <c r="AF139" s="117">
        <f t="shared" si="213"/>
        <v>7.0000000000000006E-10</v>
      </c>
      <c r="AG139" s="117">
        <f t="shared" si="214"/>
        <v>2.0000000000000001E-9</v>
      </c>
      <c r="AH139" s="117">
        <f t="shared" si="215"/>
        <v>3E-9</v>
      </c>
      <c r="AI139" s="117">
        <f t="shared" si="216"/>
        <v>0</v>
      </c>
      <c r="AJ139" s="117">
        <f t="shared" si="217"/>
        <v>3.5000000000000003E-9</v>
      </c>
      <c r="AK139" s="117">
        <f t="shared" si="218"/>
        <v>0</v>
      </c>
      <c r="AL139" s="117">
        <f t="shared" si="219"/>
        <v>0</v>
      </c>
      <c r="AM139" s="117">
        <f t="shared" si="220"/>
        <v>0</v>
      </c>
      <c r="AN139" s="117">
        <f t="shared" si="221"/>
        <v>0</v>
      </c>
      <c r="AO139" s="117">
        <f t="shared" si="222"/>
        <v>0</v>
      </c>
      <c r="AP139" s="117" t="b">
        <f t="shared" si="233"/>
        <v>1</v>
      </c>
      <c r="AQ139" s="117" t="b">
        <f t="shared" si="234"/>
        <v>1</v>
      </c>
      <c r="AR139" s="117" t="b">
        <f t="shared" si="235"/>
        <v>1</v>
      </c>
      <c r="AT139" s="117" t="b">
        <f t="shared" si="236"/>
        <v>1</v>
      </c>
      <c r="AU139" s="117" t="b">
        <f t="shared" si="237"/>
        <v>0</v>
      </c>
      <c r="AV139" s="117" t="b">
        <f t="shared" si="238"/>
        <v>0</v>
      </c>
      <c r="AW139" s="117" t="b">
        <f t="shared" si="239"/>
        <v>0</v>
      </c>
      <c r="AX139" s="117" t="b">
        <f t="shared" si="240"/>
        <v>0</v>
      </c>
      <c r="AY139" s="117" t="b">
        <f t="shared" si="241"/>
        <v>0</v>
      </c>
      <c r="BA139" s="2"/>
      <c r="BB139" s="2"/>
      <c r="BC139" s="2"/>
      <c r="BD139" s="2"/>
      <c r="BE139" s="2"/>
      <c r="BF139" s="2"/>
      <c r="BG139" s="2"/>
      <c r="BH139" s="2"/>
      <c r="BI139" s="2"/>
      <c r="BJ139" s="2"/>
      <c r="BK139" s="2"/>
      <c r="BL139" s="2"/>
      <c r="BM139" s="2"/>
      <c r="BN139" s="2"/>
      <c r="BO139" s="2"/>
      <c r="BP139" s="2"/>
      <c r="BQ139" s="2"/>
      <c r="BR139" s="2"/>
      <c r="BS139" s="185" t="str">
        <f>'Reference Score Calculation'!B116</f>
        <v>JS3211</v>
      </c>
      <c r="BT139" s="185"/>
      <c r="BU139" s="455">
        <f>IF(ISNUMBER(SEARCH(BU$119,'Reference Score Calculation'!$P116)),10,IF(ISNUMBER(SEARCH(BU$119,'Reference Score Calculation'!$Q116)),7,IF(ISNUMBER(SEARCH(BU$119,'Reference Score Calculation'!$R116)),5,IF(ISNUMBER(SEARCH($BV$108,'Reference Score Calculation'!$P116)),10,IF(ISNUMBER(SEARCH($BV$108,'Reference Score Calculation'!$Q116)),7,5)))))</f>
        <v>7</v>
      </c>
      <c r="BV139" s="455">
        <f>IF(ISNUMBER(SEARCH(BV$119,'Reference Score Calculation'!$P116)),10,IF(ISNUMBER(SEARCH(BV$119,'Reference Score Calculation'!$Q116)),7,IF(ISNUMBER(SEARCH(BV$119,'Reference Score Calculation'!$R116)),5,IF(ISNUMBER(SEARCH($BV$108,'Reference Score Calculation'!$P116)),10,IF(ISNUMBER(SEARCH($BV$108,'Reference Score Calculation'!$Q116)),7,5)))))</f>
        <v>10</v>
      </c>
      <c r="BW139" s="455">
        <f>IF(ISNUMBER(SEARCH(BW$119,'Reference Score Calculation'!$P116)),10,IF(ISNUMBER(SEARCH(BW$119,'Reference Score Calculation'!$Q116)),7,IF(ISNUMBER(SEARCH(BW$119,'Reference Score Calculation'!$R116)),5,IF(ISNUMBER(SEARCH($BV$108,'Reference Score Calculation'!$P116)),10,IF(ISNUMBER(SEARCH($BV$108,'Reference Score Calculation'!$Q116)),7,5)))))</f>
        <v>10</v>
      </c>
      <c r="BX139" s="455">
        <f>IF(ISNUMBER(SEARCH(BX$119,'Reference Score Calculation'!$P116)),10,IF(ISNUMBER(SEARCH(BX$119,'Reference Score Calculation'!$Q116)),7,IF(ISNUMBER(SEARCH(BX$119,'Reference Score Calculation'!$R116)),5,IF(ISNUMBER(SEARCH($BV$108,'Reference Score Calculation'!$P116)),10,IF(ISNUMBER(SEARCH($BV$108,'Reference Score Calculation'!$Q116)),7,5)))))</f>
        <v>7</v>
      </c>
      <c r="BY139" s="455">
        <f>IF(ISNUMBER(SEARCH(BY$119,'Reference Score Calculation'!$P116)),10,IF(ISNUMBER(SEARCH(BY$119,'Reference Score Calculation'!$Q116)),7,IF(ISNUMBER(SEARCH(BY$119,'Reference Score Calculation'!$R116)),5,IF(ISNUMBER(SEARCH($BV$108,'Reference Score Calculation'!$P116)),10,IF(ISNUMBER(SEARCH($BV$108,'Reference Score Calculation'!$Q116)),7,5)))))</f>
        <v>7</v>
      </c>
      <c r="BZ139" s="455">
        <f>IF(ISNUMBER(SEARCH(BZ$119,'Reference Score Calculation'!$P116)),10,IF(ISNUMBER(SEARCH(BZ$119,'Reference Score Calculation'!$Q116)),7,IF(ISNUMBER(SEARCH(BZ$119,'Reference Score Calculation'!$R116)),5,IF(ISNUMBER(SEARCH($BV$108,'Reference Score Calculation'!$P116)),10,IF(ISNUMBER(SEARCH($BV$108,'Reference Score Calculation'!$Q116)),7,5)))))</f>
        <v>10</v>
      </c>
      <c r="CA139" s="455">
        <f>IF(ISNUMBER(SEARCH(CA$119,'Reference Score Calculation'!$P116)),10,IF(ISNUMBER(SEARCH(CA$119,'Reference Score Calculation'!$Q116)),7,IF(ISNUMBER(SEARCH(CA$119,'Reference Score Calculation'!$R116)),5,IF(ISNUMBER(SEARCH($BV$108,'Reference Score Calculation'!$P116)),10,IF(ISNUMBER(SEARCH($BV$108,'Reference Score Calculation'!$Q116)),7,5)))))</f>
        <v>7</v>
      </c>
      <c r="CB139" s="455">
        <f>IF(ISNUMBER(SEARCH(CB$119,'Reference Score Calculation'!$P116)),10,IF(ISNUMBER(SEARCH(CB$119,'Reference Score Calculation'!$Q116)),7,IF(ISNUMBER(SEARCH(CB$119,'Reference Score Calculation'!$R116)),5,IF(ISNUMBER(SEARCH($BV$108,'Reference Score Calculation'!$P116)),10,IF(ISNUMBER(SEARCH($BV$108,'Reference Score Calculation'!$Q116)),7,5)))))</f>
        <v>7</v>
      </c>
      <c r="CC139" s="455">
        <f>IF(ISNUMBER(SEARCH(CC$119,'Reference Score Calculation'!$P116)),10,IF(ISNUMBER(SEARCH(CC$119,'Reference Score Calculation'!$Q116)),7,IF(ISNUMBER(SEARCH(CC$119,'Reference Score Calculation'!$R116)),5,IF(ISNUMBER(SEARCH($BV$108,'Reference Score Calculation'!$P116)),10,IF(ISNUMBER(SEARCH($BV$108,'Reference Score Calculation'!$Q116)),7,5)))))</f>
        <v>7</v>
      </c>
      <c r="CD139" s="455">
        <f>IF(ISNUMBER(SEARCH(CD$119,'Reference Score Calculation'!$P116)),10,IF(ISNUMBER(SEARCH(CD$119,'Reference Score Calculation'!$Q116)),7,IF(ISNUMBER(SEARCH(CD$119,'Reference Score Calculation'!$R116)),5,IF(ISNUMBER(SEARCH($BV$108,'Reference Score Calculation'!$P116)),10,IF(ISNUMBER(SEARCH($BV$108,'Reference Score Calculation'!$Q116)),7,5)))))</f>
        <v>7</v>
      </c>
      <c r="CE139" s="455">
        <f>IF(ISNUMBER(SEARCH(CE$119,'Reference Score Calculation'!$P116)),10,IF(ISNUMBER(SEARCH(CE$119,'Reference Score Calculation'!$Q116)),7,IF(ISNUMBER(SEARCH(CE$119,'Reference Score Calculation'!$R116)),5,IF(ISNUMBER(SEARCH($BV$108,'Reference Score Calculation'!$P116)),10,IF(ISNUMBER(SEARCH($BV$108,'Reference Score Calculation'!$Q116)),7,5)))))</f>
        <v>5</v>
      </c>
      <c r="CF139" s="455">
        <f>IF(ISNUMBER(SEARCH(CF$119,'Reference Score Calculation'!$P116)),10,IF(ISNUMBER(SEARCH(CF$119,'Reference Score Calculation'!$Q116)),7,IF(ISNUMBER(SEARCH(CF$119,'Reference Score Calculation'!$R116)),5,IF(ISNUMBER(SEARCH($BV$108,'Reference Score Calculation'!$P116)),10,IF(ISNUMBER(SEARCH($BV$108,'Reference Score Calculation'!$Q116)),7,5)))))</f>
        <v>5</v>
      </c>
      <c r="CG139" s="455">
        <f>IF(ISNUMBER(SEARCH(CG$119,'Reference Score Calculation'!$P116)),10,IF(ISNUMBER(SEARCH(CG$119,'Reference Score Calculation'!$Q116)),7,IF(ISNUMBER(SEARCH(CG$119,'Reference Score Calculation'!$R116)),5,IF(ISNUMBER(SEARCH($BV$108,'Reference Score Calculation'!$P116)),10,IF(ISNUMBER(SEARCH($BV$108,'Reference Score Calculation'!$Q116)),7,5)))))</f>
        <v>5</v>
      </c>
      <c r="CH139" s="455">
        <f>IF(ISNUMBER(SEARCH(CH$119,'Reference Score Calculation'!$P116)),10,IF(ISNUMBER(SEARCH(CH$119,'Reference Score Calculation'!$Q116)),7,IF(ISNUMBER(SEARCH(CH$119,'Reference Score Calculation'!$R116)),5,IF(ISNUMBER(SEARCH($BV$108,'Reference Score Calculation'!$P116)),10,IF(ISNUMBER(SEARCH($BV$108,'Reference Score Calculation'!$Q116)),7,5)))))</f>
        <v>5</v>
      </c>
      <c r="CI139" s="455">
        <f>IF(ISNUMBER(SEARCH(CI$119,'Reference Score Calculation'!$P116)),10,IF(ISNUMBER(SEARCH(CI$119,'Reference Score Calculation'!$Q116)),7,IF(ISNUMBER(SEARCH(CI$119,'Reference Score Calculation'!$R116)),5,IF(ISNUMBER(SEARCH($BV$108,'Reference Score Calculation'!$P116)),10,IF(ISNUMBER(SEARCH($BV$108,'Reference Score Calculation'!$Q116)),7,5)))))</f>
        <v>5</v>
      </c>
      <c r="CJ139" s="455">
        <f>IF(ISNUMBER(SEARCH(CJ$119,'Reference Score Calculation'!$P116)),10,IF(ISNUMBER(SEARCH(CJ$119,'Reference Score Calculation'!$Q116)),7,IF(ISNUMBER(SEARCH(CJ$119,'Reference Score Calculation'!$R116)),5,IF(ISNUMBER(SEARCH($BV$108,'Reference Score Calculation'!$P116)),10,IF(ISNUMBER(SEARCH($BV$108,'Reference Score Calculation'!$Q116)),7,5)))))</f>
        <v>7</v>
      </c>
      <c r="CK139" s="455">
        <f>IF(ISNUMBER(SEARCH(CK$119,'Reference Score Calculation'!$P116)),10,IF(ISNUMBER(SEARCH(CK$119,'Reference Score Calculation'!$Q116)),7,IF(ISNUMBER(SEARCH(CK$119,'Reference Score Calculation'!$R116)),5,IF(ISNUMBER(SEARCH($BV$108,'Reference Score Calculation'!$P116)),10,IF(ISNUMBER(SEARCH($BV$108,'Reference Score Calculation'!$Q116)),7,5)))))</f>
        <v>7</v>
      </c>
      <c r="CL139" s="455">
        <f>IF(ISNUMBER(SEARCH(CL$119,'Reference Score Calculation'!$P116)),10,IF(ISNUMBER(SEARCH(CL$119,'Reference Score Calculation'!$Q116)),7,IF(ISNUMBER(SEARCH(CL$119,'Reference Score Calculation'!$R116)),5,IF(ISNUMBER(SEARCH($BV$108,'Reference Score Calculation'!$P116)),10,IF(ISNUMBER(SEARCH($BV$108,'Reference Score Calculation'!$Q116)),7,5)))))</f>
        <v>7</v>
      </c>
      <c r="CM139" s="455">
        <f>IF(ISNUMBER(SEARCH(CM$119,'Reference Score Calculation'!$P116)),10,IF(ISNUMBER(SEARCH(CM$119,'Reference Score Calculation'!$Q116)),7,IF(ISNUMBER(SEARCH(CM$119,'Reference Score Calculation'!$R116)),5,IF(ISNUMBER(SEARCH($BV$108,'Reference Score Calculation'!$P116)),10,IF(ISNUMBER(SEARCH($BV$108,'Reference Score Calculation'!$Q116)),7,5)))))</f>
        <v>7</v>
      </c>
      <c r="CN139" s="455">
        <f>IF(ISNUMBER(SEARCH(CN$119,'Reference Score Calculation'!$P116)),10,IF(ISNUMBER(SEARCH(CN$119,'Reference Score Calculation'!$Q116)),7,IF(ISNUMBER(SEARCH(CN$119,'Reference Score Calculation'!$R116)),5,IF(ISNUMBER(SEARCH($BV$108,'Reference Score Calculation'!$P116)),10,IF(ISNUMBER(SEARCH($BV$108,'Reference Score Calculation'!$Q116)),7,5)))))</f>
        <v>5</v>
      </c>
      <c r="CO139" s="455">
        <f>IF(ISNUMBER(SEARCH(CO$119,'Reference Score Calculation'!$P116)),10,IF(ISNUMBER(SEARCH(CO$119,'Reference Score Calculation'!$Q116)),7,IF(ISNUMBER(SEARCH(CO$119,'Reference Score Calculation'!$R116)),5,IF(ISNUMBER(SEARCH($BV$108,'Reference Score Calculation'!$P116)),10,IF(ISNUMBER(SEARCH($BV$108,'Reference Score Calculation'!$Q116)),7,5)))))</f>
        <v>5</v>
      </c>
      <c r="CP139" s="455">
        <f>IF(ISNUMBER(SEARCH(CP$119,'Reference Score Calculation'!$P116)),10,IF(ISNUMBER(SEARCH(CP$119,'Reference Score Calculation'!$Q116)),7,IF(ISNUMBER(SEARCH(CP$119,'Reference Score Calculation'!$R116)),5,IF(ISNUMBER(SEARCH($BV$108,'Reference Score Calculation'!$P116)),10,IF(ISNUMBER(SEARCH($BV$108,'Reference Score Calculation'!$Q116)),7,5)))))</f>
        <v>5</v>
      </c>
      <c r="CQ139" s="455">
        <f>IF(ISNUMBER(SEARCH(CQ$119,'Reference Score Calculation'!$P116)),10,IF(ISNUMBER(SEARCH(CQ$119,'Reference Score Calculation'!$Q116)),7,IF(ISNUMBER(SEARCH(CQ$119,'Reference Score Calculation'!$R116)),5,IF(ISNUMBER(SEARCH($BV$108,'Reference Score Calculation'!$P116)),10,IF(ISNUMBER(SEARCH($BV$108,'Reference Score Calculation'!$Q116)),7,5)))))</f>
        <v>5</v>
      </c>
      <c r="CR139" s="455">
        <f>IF(ISNUMBER(SEARCH(CR$119,'Reference Score Calculation'!$P116)),10,IF(ISNUMBER(SEARCH(CR$119,'Reference Score Calculation'!$Q116)),7,IF(ISNUMBER(SEARCH(CR$119,'Reference Score Calculation'!$R116)),5,IF(ISNUMBER(SEARCH($BV$108,'Reference Score Calculation'!$P116)),10,IF(ISNUMBER(SEARCH($BV$108,'Reference Score Calculation'!$Q116)),7,5)))))</f>
        <v>5</v>
      </c>
      <c r="CS139" s="455">
        <f>IF(ISNUMBER(SEARCH(CS$119,'Reference Score Calculation'!$P116)),10,IF(ISNUMBER(SEARCH(CS$119,'Reference Score Calculation'!$Q116)),7,IF(ISNUMBER(SEARCH(CS$119,'Reference Score Calculation'!$R116)),5,IF(ISNUMBER(SEARCH($BV$108,'Reference Score Calculation'!$P116)),10,IF(ISNUMBER(SEARCH($BV$108,'Reference Score Calculation'!$Q116)),7,5)))))</f>
        <v>7</v>
      </c>
      <c r="CT139" s="455">
        <f>IF(ISNUMBER(SEARCH(CT$119,'Reference Score Calculation'!$P116)),10,IF(ISNUMBER(SEARCH(CT$119,'Reference Score Calculation'!$Q116)),7,IF(ISNUMBER(SEARCH(CT$119,'Reference Score Calculation'!$R116)),5,IF(ISNUMBER(SEARCH($BV$108,'Reference Score Calculation'!$P116)),10,IF(ISNUMBER(SEARCH($BV$108,'Reference Score Calculation'!$Q116)),7,5)))))</f>
        <v>7</v>
      </c>
      <c r="CU139" s="455">
        <f>IF(ISNUMBER(SEARCH(CU$119,'Reference Score Calculation'!$P116)),10,IF(ISNUMBER(SEARCH(CU$119,'Reference Score Calculation'!$Q116)),7,IF(ISNUMBER(SEARCH(CU$119,'Reference Score Calculation'!$R116)),5,IF(ISNUMBER(SEARCH($BV$108,'Reference Score Calculation'!$P116)),10,IF(ISNUMBER(SEARCH($BV$108,'Reference Score Calculation'!$Q116)),7,5)))))</f>
        <v>7</v>
      </c>
      <c r="CV139" s="455">
        <f>IF(ISNUMBER(SEARCH(CV$119,'Reference Score Calculation'!$P116)),10,IF(ISNUMBER(SEARCH(CV$119,'Reference Score Calculation'!$Q116)),7,IF(ISNUMBER(SEARCH(CV$119,'Reference Score Calculation'!$R116)),5,IF(ISNUMBER(SEARCH($BV$108,'Reference Score Calculation'!$P116)),10,IF(ISNUMBER(SEARCH($BV$108,'Reference Score Calculation'!$Q116)),7,5)))))</f>
        <v>7</v>
      </c>
      <c r="CW139" s="185"/>
      <c r="CX139" s="185"/>
      <c r="CY139" s="185"/>
    </row>
    <row r="140" spans="1:103">
      <c r="A140" s="117" t="s">
        <v>2740</v>
      </c>
      <c r="B140" s="459" t="str">
        <f>'Reference Score Calculation'!B117</f>
        <v>JS3214</v>
      </c>
      <c r="C140" s="117" t="str">
        <f>'Reference Score Calculation'!E117</f>
        <v>建築學(榮譽)理學士</v>
      </c>
      <c r="D140" s="2"/>
      <c r="E140" s="131" t="str">
        <f>'Reference Score Calculation'!F117</f>
        <v>25年新科目</v>
      </c>
      <c r="F140" s="131"/>
      <c r="G140" s="117" t="str">
        <f>入學要求!AB126</f>
        <v>v</v>
      </c>
      <c r="H140" s="117" t="str">
        <f>入學要求!AC126</f>
        <v>E</v>
      </c>
      <c r="I140" s="117" t="str">
        <f>入學要求!AD126</f>
        <v>NO</v>
      </c>
      <c r="J140" s="117">
        <f t="shared" si="211"/>
        <v>8.2999999999999999E-9</v>
      </c>
      <c r="K140" s="117">
        <f t="shared" si="242"/>
        <v>7</v>
      </c>
      <c r="L140" s="117">
        <f t="shared" si="242"/>
        <v>10</v>
      </c>
      <c r="M140" s="117">
        <f t="shared" si="242"/>
        <v>7</v>
      </c>
      <c r="N140" s="117">
        <f t="shared" si="242"/>
        <v>0</v>
      </c>
      <c r="O140" s="117">
        <f t="shared" si="242"/>
        <v>7</v>
      </c>
      <c r="P140" s="117">
        <f t="shared" si="242"/>
        <v>0</v>
      </c>
      <c r="Q140" s="117">
        <f t="shared" si="242"/>
        <v>0</v>
      </c>
      <c r="R140" s="117">
        <f t="shared" si="242"/>
        <v>0</v>
      </c>
      <c r="S140" s="117">
        <f t="shared" si="242"/>
        <v>0</v>
      </c>
      <c r="T140" s="117">
        <v>5</v>
      </c>
      <c r="V140" s="117">
        <f t="shared" si="224"/>
        <v>7.0000000000000006E-10</v>
      </c>
      <c r="W140" s="117">
        <f t="shared" si="225"/>
        <v>2.0000000000000001E-9</v>
      </c>
      <c r="X140" s="117">
        <f t="shared" si="226"/>
        <v>2.0999999999999998E-9</v>
      </c>
      <c r="Z140" s="117">
        <f t="shared" si="227"/>
        <v>3.5000000000000003E-9</v>
      </c>
      <c r="AA140" s="117">
        <f t="shared" si="228"/>
        <v>0</v>
      </c>
      <c r="AB140" s="117">
        <f t="shared" si="229"/>
        <v>0</v>
      </c>
      <c r="AC140" s="117">
        <f t="shared" si="230"/>
        <v>0</v>
      </c>
      <c r="AD140" s="117">
        <f t="shared" si="231"/>
        <v>0</v>
      </c>
      <c r="AE140" s="117">
        <f t="shared" si="232"/>
        <v>0</v>
      </c>
      <c r="AF140" s="117">
        <f t="shared" si="213"/>
        <v>7.0000000000000006E-10</v>
      </c>
      <c r="AG140" s="117">
        <f t="shared" si="214"/>
        <v>2.0000000000000001E-9</v>
      </c>
      <c r="AH140" s="117">
        <f t="shared" si="215"/>
        <v>2.0999999999999998E-9</v>
      </c>
      <c r="AI140" s="117">
        <f t="shared" si="216"/>
        <v>0</v>
      </c>
      <c r="AJ140" s="117">
        <f t="shared" si="217"/>
        <v>3.5000000000000003E-9</v>
      </c>
      <c r="AK140" s="117">
        <f t="shared" si="218"/>
        <v>0</v>
      </c>
      <c r="AL140" s="117">
        <f t="shared" si="219"/>
        <v>0</v>
      </c>
      <c r="AM140" s="117">
        <f t="shared" si="220"/>
        <v>0</v>
      </c>
      <c r="AN140" s="117">
        <f t="shared" si="221"/>
        <v>0</v>
      </c>
      <c r="AO140" s="117">
        <f t="shared" si="222"/>
        <v>0</v>
      </c>
      <c r="AP140" s="117" t="b">
        <f t="shared" si="233"/>
        <v>1</v>
      </c>
      <c r="AQ140" s="117" t="b">
        <f t="shared" si="234"/>
        <v>1</v>
      </c>
      <c r="AR140" s="117" t="b">
        <f t="shared" si="235"/>
        <v>1</v>
      </c>
      <c r="AT140" s="117" t="b">
        <f t="shared" si="236"/>
        <v>1</v>
      </c>
      <c r="AU140" s="117" t="b">
        <f t="shared" si="237"/>
        <v>0</v>
      </c>
      <c r="AV140" s="117" t="b">
        <f t="shared" si="238"/>
        <v>0</v>
      </c>
      <c r="AW140" s="117" t="b">
        <f t="shared" si="239"/>
        <v>0</v>
      </c>
      <c r="AX140" s="117" t="b">
        <f t="shared" si="240"/>
        <v>0</v>
      </c>
      <c r="AY140" s="117" t="b">
        <f t="shared" si="241"/>
        <v>0</v>
      </c>
      <c r="BA140" s="2"/>
      <c r="BB140" s="2"/>
      <c r="BC140" s="2"/>
      <c r="BD140" s="2"/>
      <c r="BE140" s="2"/>
      <c r="BF140" s="2"/>
      <c r="BG140" s="2"/>
      <c r="BH140" s="2"/>
      <c r="BI140" s="2"/>
      <c r="BJ140" s="2"/>
      <c r="BK140" s="2"/>
      <c r="BL140" s="2"/>
      <c r="BM140" s="2"/>
      <c r="BN140" s="2"/>
      <c r="BO140" s="2"/>
      <c r="BP140" s="2"/>
      <c r="BQ140" s="2"/>
      <c r="BR140" s="2"/>
      <c r="BS140" s="185" t="str">
        <f>'Reference Score Calculation'!B117</f>
        <v>JS3214</v>
      </c>
      <c r="BT140" s="185"/>
      <c r="BU140" s="455">
        <f>IF(ISNUMBER(SEARCH(BU$119,'Reference Score Calculation'!$P117)),10,IF(ISNUMBER(SEARCH(BU$119,'Reference Score Calculation'!$Q117)),7,IF(ISNUMBER(SEARCH(BU$119,'Reference Score Calculation'!$R117)),5,IF(ISNUMBER(SEARCH($BV$108,'Reference Score Calculation'!$P117)),10,IF(ISNUMBER(SEARCH($BV$108,'Reference Score Calculation'!$Q117)),7,5)))))</f>
        <v>7</v>
      </c>
      <c r="BV140" s="455">
        <f>IF(ISNUMBER(SEARCH(BV$119,'Reference Score Calculation'!$P117)),10,IF(ISNUMBER(SEARCH(BV$119,'Reference Score Calculation'!$Q117)),7,IF(ISNUMBER(SEARCH(BV$119,'Reference Score Calculation'!$R117)),5,IF(ISNUMBER(SEARCH($BV$108,'Reference Score Calculation'!$P117)),10,IF(ISNUMBER(SEARCH($BV$108,'Reference Score Calculation'!$Q117)),7,5)))))</f>
        <v>10</v>
      </c>
      <c r="BW140" s="455">
        <f>IF(ISNUMBER(SEARCH(BW$119,'Reference Score Calculation'!$P117)),10,IF(ISNUMBER(SEARCH(BW$119,'Reference Score Calculation'!$Q117)),7,IF(ISNUMBER(SEARCH(BW$119,'Reference Score Calculation'!$R117)),5,IF(ISNUMBER(SEARCH($BV$108,'Reference Score Calculation'!$P117)),10,IF(ISNUMBER(SEARCH($BV$108,'Reference Score Calculation'!$Q117)),7,5)))))</f>
        <v>7</v>
      </c>
      <c r="BX140" s="455">
        <f>IF(ISNUMBER(SEARCH(BX$119,'Reference Score Calculation'!$P117)),10,IF(ISNUMBER(SEARCH(BX$119,'Reference Score Calculation'!$Q117)),7,IF(ISNUMBER(SEARCH(BX$119,'Reference Score Calculation'!$R117)),5,IF(ISNUMBER(SEARCH($BV$108,'Reference Score Calculation'!$P117)),10,IF(ISNUMBER(SEARCH($BV$108,'Reference Score Calculation'!$Q117)),7,5)))))</f>
        <v>7</v>
      </c>
      <c r="BY140" s="455">
        <f>IF(ISNUMBER(SEARCH(BY$119,'Reference Score Calculation'!$P117)),10,IF(ISNUMBER(SEARCH(BY$119,'Reference Score Calculation'!$Q117)),7,IF(ISNUMBER(SEARCH(BY$119,'Reference Score Calculation'!$R117)),5,IF(ISNUMBER(SEARCH($BV$108,'Reference Score Calculation'!$P117)),10,IF(ISNUMBER(SEARCH($BV$108,'Reference Score Calculation'!$Q117)),7,5)))))</f>
        <v>7</v>
      </c>
      <c r="BZ140" s="455">
        <f>IF(ISNUMBER(SEARCH(BZ$119,'Reference Score Calculation'!$P117)),10,IF(ISNUMBER(SEARCH(BZ$119,'Reference Score Calculation'!$Q117)),7,IF(ISNUMBER(SEARCH(BZ$119,'Reference Score Calculation'!$R117)),5,IF(ISNUMBER(SEARCH($BV$108,'Reference Score Calculation'!$P117)),10,IF(ISNUMBER(SEARCH($BV$108,'Reference Score Calculation'!$Q117)),7,5)))))</f>
        <v>7</v>
      </c>
      <c r="CA140" s="455">
        <f>IF(ISNUMBER(SEARCH(CA$119,'Reference Score Calculation'!$P117)),10,IF(ISNUMBER(SEARCH(CA$119,'Reference Score Calculation'!$Q117)),7,IF(ISNUMBER(SEARCH(CA$119,'Reference Score Calculation'!$R117)),5,IF(ISNUMBER(SEARCH($BV$108,'Reference Score Calculation'!$P117)),10,IF(ISNUMBER(SEARCH($BV$108,'Reference Score Calculation'!$Q117)),7,5)))))</f>
        <v>7</v>
      </c>
      <c r="CB140" s="455">
        <f>IF(ISNUMBER(SEARCH(CB$119,'Reference Score Calculation'!$P117)),10,IF(ISNUMBER(SEARCH(CB$119,'Reference Score Calculation'!$Q117)),7,IF(ISNUMBER(SEARCH(CB$119,'Reference Score Calculation'!$R117)),5,IF(ISNUMBER(SEARCH($BV$108,'Reference Score Calculation'!$P117)),10,IF(ISNUMBER(SEARCH($BV$108,'Reference Score Calculation'!$Q117)),7,5)))))</f>
        <v>7</v>
      </c>
      <c r="CC140" s="455">
        <f>IF(ISNUMBER(SEARCH(CC$119,'Reference Score Calculation'!$P117)),10,IF(ISNUMBER(SEARCH(CC$119,'Reference Score Calculation'!$Q117)),7,IF(ISNUMBER(SEARCH(CC$119,'Reference Score Calculation'!$R117)),5,IF(ISNUMBER(SEARCH($BV$108,'Reference Score Calculation'!$P117)),10,IF(ISNUMBER(SEARCH($BV$108,'Reference Score Calculation'!$Q117)),7,5)))))</f>
        <v>7</v>
      </c>
      <c r="CD140" s="455">
        <f>IF(ISNUMBER(SEARCH(CD$119,'Reference Score Calculation'!$P117)),10,IF(ISNUMBER(SEARCH(CD$119,'Reference Score Calculation'!$Q117)),7,IF(ISNUMBER(SEARCH(CD$119,'Reference Score Calculation'!$R117)),5,IF(ISNUMBER(SEARCH($BV$108,'Reference Score Calculation'!$P117)),10,IF(ISNUMBER(SEARCH($BV$108,'Reference Score Calculation'!$Q117)),7,5)))))</f>
        <v>7</v>
      </c>
      <c r="CE140" s="455">
        <f>IF(ISNUMBER(SEARCH(CE$119,'Reference Score Calculation'!$P117)),10,IF(ISNUMBER(SEARCH(CE$119,'Reference Score Calculation'!$Q117)),7,IF(ISNUMBER(SEARCH(CE$119,'Reference Score Calculation'!$R117)),5,IF(ISNUMBER(SEARCH($BV$108,'Reference Score Calculation'!$P117)),10,IF(ISNUMBER(SEARCH($BV$108,'Reference Score Calculation'!$Q117)),7,5)))))</f>
        <v>7</v>
      </c>
      <c r="CF140" s="455">
        <f>IF(ISNUMBER(SEARCH(CF$119,'Reference Score Calculation'!$P117)),10,IF(ISNUMBER(SEARCH(CF$119,'Reference Score Calculation'!$Q117)),7,IF(ISNUMBER(SEARCH(CF$119,'Reference Score Calculation'!$R117)),5,IF(ISNUMBER(SEARCH($BV$108,'Reference Score Calculation'!$P117)),10,IF(ISNUMBER(SEARCH($BV$108,'Reference Score Calculation'!$Q117)),7,5)))))</f>
        <v>5</v>
      </c>
      <c r="CG140" s="455">
        <f>IF(ISNUMBER(SEARCH(CG$119,'Reference Score Calculation'!$P117)),10,IF(ISNUMBER(SEARCH(CG$119,'Reference Score Calculation'!$Q117)),7,IF(ISNUMBER(SEARCH(CG$119,'Reference Score Calculation'!$R117)),5,IF(ISNUMBER(SEARCH($BV$108,'Reference Score Calculation'!$P117)),10,IF(ISNUMBER(SEARCH($BV$108,'Reference Score Calculation'!$Q117)),7,5)))))</f>
        <v>7</v>
      </c>
      <c r="CH140" s="455">
        <f>IF(ISNUMBER(SEARCH(CH$119,'Reference Score Calculation'!$P117)),10,IF(ISNUMBER(SEARCH(CH$119,'Reference Score Calculation'!$Q117)),7,IF(ISNUMBER(SEARCH(CH$119,'Reference Score Calculation'!$R117)),5,IF(ISNUMBER(SEARCH($BV$108,'Reference Score Calculation'!$P117)),10,IF(ISNUMBER(SEARCH($BV$108,'Reference Score Calculation'!$Q117)),7,5)))))</f>
        <v>7</v>
      </c>
      <c r="CI140" s="455">
        <f>IF(ISNUMBER(SEARCH(CI$119,'Reference Score Calculation'!$P117)),10,IF(ISNUMBER(SEARCH(CI$119,'Reference Score Calculation'!$Q117)),7,IF(ISNUMBER(SEARCH(CI$119,'Reference Score Calculation'!$R117)),5,IF(ISNUMBER(SEARCH($BV$108,'Reference Score Calculation'!$P117)),10,IF(ISNUMBER(SEARCH($BV$108,'Reference Score Calculation'!$Q117)),7,5)))))</f>
        <v>7</v>
      </c>
      <c r="CJ140" s="455">
        <f>IF(ISNUMBER(SEARCH(CJ$119,'Reference Score Calculation'!$P117)),10,IF(ISNUMBER(SEARCH(CJ$119,'Reference Score Calculation'!$Q117)),7,IF(ISNUMBER(SEARCH(CJ$119,'Reference Score Calculation'!$R117)),5,IF(ISNUMBER(SEARCH($BV$108,'Reference Score Calculation'!$P117)),10,IF(ISNUMBER(SEARCH($BV$108,'Reference Score Calculation'!$Q117)),7,5)))))</f>
        <v>7</v>
      </c>
      <c r="CK140" s="455">
        <f>IF(ISNUMBER(SEARCH(CK$119,'Reference Score Calculation'!$P117)),10,IF(ISNUMBER(SEARCH(CK$119,'Reference Score Calculation'!$Q117)),7,IF(ISNUMBER(SEARCH(CK$119,'Reference Score Calculation'!$R117)),5,IF(ISNUMBER(SEARCH($BV$108,'Reference Score Calculation'!$P117)),10,IF(ISNUMBER(SEARCH($BV$108,'Reference Score Calculation'!$Q117)),7,5)))))</f>
        <v>7</v>
      </c>
      <c r="CL140" s="455">
        <f>IF(ISNUMBER(SEARCH(CL$119,'Reference Score Calculation'!$P117)),10,IF(ISNUMBER(SEARCH(CL$119,'Reference Score Calculation'!$Q117)),7,IF(ISNUMBER(SEARCH(CL$119,'Reference Score Calculation'!$R117)),5,IF(ISNUMBER(SEARCH($BV$108,'Reference Score Calculation'!$P117)),10,IF(ISNUMBER(SEARCH($BV$108,'Reference Score Calculation'!$Q117)),7,5)))))</f>
        <v>7</v>
      </c>
      <c r="CM140" s="455">
        <f>IF(ISNUMBER(SEARCH(CM$119,'Reference Score Calculation'!$P117)),10,IF(ISNUMBER(SEARCH(CM$119,'Reference Score Calculation'!$Q117)),7,IF(ISNUMBER(SEARCH(CM$119,'Reference Score Calculation'!$R117)),5,IF(ISNUMBER(SEARCH($BV$108,'Reference Score Calculation'!$P117)),10,IF(ISNUMBER(SEARCH($BV$108,'Reference Score Calculation'!$Q117)),7,5)))))</f>
        <v>7</v>
      </c>
      <c r="CN140" s="455">
        <f>IF(ISNUMBER(SEARCH(CN$119,'Reference Score Calculation'!$P117)),10,IF(ISNUMBER(SEARCH(CN$119,'Reference Score Calculation'!$Q117)),7,IF(ISNUMBER(SEARCH(CN$119,'Reference Score Calculation'!$R117)),5,IF(ISNUMBER(SEARCH($BV$108,'Reference Score Calculation'!$P117)),10,IF(ISNUMBER(SEARCH($BV$108,'Reference Score Calculation'!$Q117)),7,5)))))</f>
        <v>7</v>
      </c>
      <c r="CO140" s="455">
        <f>IF(ISNUMBER(SEARCH(CO$119,'Reference Score Calculation'!$P117)),10,IF(ISNUMBER(SEARCH(CO$119,'Reference Score Calculation'!$Q117)),7,IF(ISNUMBER(SEARCH(CO$119,'Reference Score Calculation'!$R117)),5,IF(ISNUMBER(SEARCH($BV$108,'Reference Score Calculation'!$P117)),10,IF(ISNUMBER(SEARCH($BV$108,'Reference Score Calculation'!$Q117)),7,5)))))</f>
        <v>7</v>
      </c>
      <c r="CP140" s="455">
        <f>IF(ISNUMBER(SEARCH(CP$119,'Reference Score Calculation'!$P117)),10,IF(ISNUMBER(SEARCH(CP$119,'Reference Score Calculation'!$Q117)),7,IF(ISNUMBER(SEARCH(CP$119,'Reference Score Calculation'!$R117)),5,IF(ISNUMBER(SEARCH($BV$108,'Reference Score Calculation'!$P117)),10,IF(ISNUMBER(SEARCH($BV$108,'Reference Score Calculation'!$Q117)),7,5)))))</f>
        <v>7</v>
      </c>
      <c r="CQ140" s="455">
        <f>IF(ISNUMBER(SEARCH(CQ$119,'Reference Score Calculation'!$P117)),10,IF(ISNUMBER(SEARCH(CQ$119,'Reference Score Calculation'!$Q117)),7,IF(ISNUMBER(SEARCH(CQ$119,'Reference Score Calculation'!$R117)),5,IF(ISNUMBER(SEARCH($BV$108,'Reference Score Calculation'!$P117)),10,IF(ISNUMBER(SEARCH($BV$108,'Reference Score Calculation'!$Q117)),7,5)))))</f>
        <v>7</v>
      </c>
      <c r="CR140" s="455">
        <f>IF(ISNUMBER(SEARCH(CR$119,'Reference Score Calculation'!$P117)),10,IF(ISNUMBER(SEARCH(CR$119,'Reference Score Calculation'!$Q117)),7,IF(ISNUMBER(SEARCH(CR$119,'Reference Score Calculation'!$R117)),5,IF(ISNUMBER(SEARCH($BV$108,'Reference Score Calculation'!$P117)),10,IF(ISNUMBER(SEARCH($BV$108,'Reference Score Calculation'!$Q117)),7,5)))))</f>
        <v>5</v>
      </c>
      <c r="CS140" s="455">
        <f>IF(ISNUMBER(SEARCH(CS$119,'Reference Score Calculation'!$P117)),10,IF(ISNUMBER(SEARCH(CS$119,'Reference Score Calculation'!$Q117)),7,IF(ISNUMBER(SEARCH(CS$119,'Reference Score Calculation'!$R117)),5,IF(ISNUMBER(SEARCH($BV$108,'Reference Score Calculation'!$P117)),10,IF(ISNUMBER(SEARCH($BV$108,'Reference Score Calculation'!$Q117)),7,5)))))</f>
        <v>5</v>
      </c>
      <c r="CT140" s="455">
        <f>IF(ISNUMBER(SEARCH(CT$119,'Reference Score Calculation'!$P117)),10,IF(ISNUMBER(SEARCH(CT$119,'Reference Score Calculation'!$Q117)),7,IF(ISNUMBER(SEARCH(CT$119,'Reference Score Calculation'!$R117)),5,IF(ISNUMBER(SEARCH($BV$108,'Reference Score Calculation'!$P117)),10,IF(ISNUMBER(SEARCH($BV$108,'Reference Score Calculation'!$Q117)),7,5)))))</f>
        <v>7</v>
      </c>
      <c r="CU140" s="455">
        <f>IF(ISNUMBER(SEARCH(CU$119,'Reference Score Calculation'!$P117)),10,IF(ISNUMBER(SEARCH(CU$119,'Reference Score Calculation'!$Q117)),7,IF(ISNUMBER(SEARCH(CU$119,'Reference Score Calculation'!$R117)),5,IF(ISNUMBER(SEARCH($BV$108,'Reference Score Calculation'!$P117)),10,IF(ISNUMBER(SEARCH($BV$108,'Reference Score Calculation'!$Q117)),7,5)))))</f>
        <v>5</v>
      </c>
      <c r="CV140" s="455">
        <f>IF(ISNUMBER(SEARCH(CV$119,'Reference Score Calculation'!$P117)),10,IF(ISNUMBER(SEARCH(CV$119,'Reference Score Calculation'!$Q117)),7,IF(ISNUMBER(SEARCH(CV$119,'Reference Score Calculation'!$R117)),5,IF(ISNUMBER(SEARCH($BV$108,'Reference Score Calculation'!$P117)),10,IF(ISNUMBER(SEARCH($BV$108,'Reference Score Calculation'!$Q117)),7,5)))))</f>
        <v>7</v>
      </c>
      <c r="CW140" s="185"/>
      <c r="CX140" s="185"/>
      <c r="CY140" s="185"/>
    </row>
    <row r="141" spans="1:103">
      <c r="A141" s="117" t="s">
        <v>2743</v>
      </c>
      <c r="B141" s="459" t="str">
        <f>'Reference Score Calculation'!B118</f>
        <v>JS3220</v>
      </c>
      <c r="C141" s="117" t="str">
        <f>'Reference Score Calculation'!E118</f>
        <v>應用數學及金融分析(榮譽)理學士組合課程 (應用數學 / 投資科學及金融分析 / 量化金融及金融科技)</v>
      </c>
      <c r="D141" s="2" t="e">
        <f>'Reference Score Calculation'!#REF!</f>
        <v>#REF!</v>
      </c>
      <c r="E141" s="131" t="str">
        <f>'Reference Score Calculation'!F118</f>
        <v>Best 5</v>
      </c>
      <c r="F141" s="131"/>
      <c r="G141" s="117" t="str">
        <f>入學要求!AB127</f>
        <v>v</v>
      </c>
      <c r="H141" s="117" t="str">
        <f>入學要求!AC127</f>
        <v>E</v>
      </c>
      <c r="I141" s="117" t="str">
        <f>入學要求!AD127</f>
        <v>NO</v>
      </c>
      <c r="J141" s="117">
        <f t="shared" si="211"/>
        <v>9.1999999999999997E-9</v>
      </c>
      <c r="K141" s="117">
        <f t="shared" ref="K141:S150" si="243">IFERROR(INDEX($BU141:$CV141,MATCH(K$1,$BU$120:$CV$120,0)),0)</f>
        <v>7</v>
      </c>
      <c r="L141" s="117">
        <f t="shared" si="243"/>
        <v>10</v>
      </c>
      <c r="M141" s="117">
        <f t="shared" si="243"/>
        <v>10</v>
      </c>
      <c r="N141" s="117">
        <f t="shared" si="243"/>
        <v>0</v>
      </c>
      <c r="O141" s="117">
        <f t="shared" si="243"/>
        <v>7</v>
      </c>
      <c r="P141" s="117">
        <f t="shared" si="243"/>
        <v>0</v>
      </c>
      <c r="Q141" s="117">
        <f t="shared" si="243"/>
        <v>0</v>
      </c>
      <c r="R141" s="117">
        <f t="shared" si="243"/>
        <v>0</v>
      </c>
      <c r="S141" s="117">
        <f t="shared" si="243"/>
        <v>0</v>
      </c>
      <c r="T141" s="117">
        <v>5</v>
      </c>
      <c r="V141" s="117">
        <f t="shared" si="224"/>
        <v>7.0000000000000006E-10</v>
      </c>
      <c r="W141" s="117">
        <f t="shared" si="225"/>
        <v>2.0000000000000001E-9</v>
      </c>
      <c r="X141" s="117">
        <f t="shared" si="226"/>
        <v>3E-9</v>
      </c>
      <c r="Z141" s="117">
        <f t="shared" si="227"/>
        <v>3.5000000000000003E-9</v>
      </c>
      <c r="AA141" s="117">
        <f t="shared" si="228"/>
        <v>0</v>
      </c>
      <c r="AB141" s="117">
        <f t="shared" si="229"/>
        <v>0</v>
      </c>
      <c r="AC141" s="117">
        <f t="shared" si="230"/>
        <v>0</v>
      </c>
      <c r="AD141" s="117">
        <f t="shared" si="231"/>
        <v>0</v>
      </c>
      <c r="AE141" s="117">
        <f t="shared" si="232"/>
        <v>0</v>
      </c>
      <c r="AF141" s="117">
        <f t="shared" si="213"/>
        <v>7.0000000000000006E-10</v>
      </c>
      <c r="AG141" s="117">
        <f t="shared" si="214"/>
        <v>2.0000000000000001E-9</v>
      </c>
      <c r="AH141" s="117">
        <f t="shared" si="215"/>
        <v>3E-9</v>
      </c>
      <c r="AI141" s="117">
        <f t="shared" si="216"/>
        <v>0</v>
      </c>
      <c r="AJ141" s="117">
        <f t="shared" si="217"/>
        <v>3.5000000000000003E-9</v>
      </c>
      <c r="AK141" s="117">
        <f t="shared" si="218"/>
        <v>0</v>
      </c>
      <c r="AL141" s="117">
        <f t="shared" si="219"/>
        <v>0</v>
      </c>
      <c r="AM141" s="117">
        <f t="shared" si="220"/>
        <v>0</v>
      </c>
      <c r="AN141" s="117">
        <f t="shared" si="221"/>
        <v>0</v>
      </c>
      <c r="AO141" s="117">
        <f t="shared" si="222"/>
        <v>0</v>
      </c>
      <c r="AP141" s="117" t="b">
        <f t="shared" si="233"/>
        <v>1</v>
      </c>
      <c r="AQ141" s="117" t="b">
        <f t="shared" si="234"/>
        <v>1</v>
      </c>
      <c r="AR141" s="117" t="b">
        <f t="shared" si="235"/>
        <v>1</v>
      </c>
      <c r="AT141" s="117" t="b">
        <f t="shared" si="236"/>
        <v>1</v>
      </c>
      <c r="AU141" s="117" t="b">
        <f t="shared" si="237"/>
        <v>0</v>
      </c>
      <c r="AV141" s="117" t="b">
        <f t="shared" si="238"/>
        <v>0</v>
      </c>
      <c r="AW141" s="117" t="b">
        <f t="shared" si="239"/>
        <v>0</v>
      </c>
      <c r="AX141" s="117" t="b">
        <f t="shared" si="240"/>
        <v>0</v>
      </c>
      <c r="AY141" s="117" t="b">
        <f t="shared" si="241"/>
        <v>0</v>
      </c>
      <c r="BA141" s="2"/>
      <c r="BB141" s="2"/>
      <c r="BC141" s="2"/>
      <c r="BD141" s="2"/>
      <c r="BE141" s="2"/>
      <c r="BF141" s="2"/>
      <c r="BG141" s="2"/>
      <c r="BH141" s="2"/>
      <c r="BI141" s="2"/>
      <c r="BJ141" s="2"/>
      <c r="BK141" s="2"/>
      <c r="BL141" s="2"/>
      <c r="BM141" s="2"/>
      <c r="BN141" s="2"/>
      <c r="BO141" s="2"/>
      <c r="BP141" s="2"/>
      <c r="BQ141" s="2"/>
      <c r="BR141" s="2"/>
      <c r="BS141" s="185" t="str">
        <f>'Reference Score Calculation'!B118</f>
        <v>JS3220</v>
      </c>
      <c r="BT141" s="185"/>
      <c r="BU141" s="455">
        <f>IF(ISNUMBER(SEARCH(BU$119,'Reference Score Calculation'!$P118)),10,IF(ISNUMBER(SEARCH(BU$119,'Reference Score Calculation'!$Q118)),7,IF(ISNUMBER(SEARCH(BU$119,'Reference Score Calculation'!$R118)),5,IF(ISNUMBER(SEARCH($BV$108,'Reference Score Calculation'!$P118)),10,IF(ISNUMBER(SEARCH($BV$108,'Reference Score Calculation'!$Q118)),7,5)))))</f>
        <v>7</v>
      </c>
      <c r="BV141" s="455">
        <f>IF(ISNUMBER(SEARCH(BV$119,'Reference Score Calculation'!$P118)),10,IF(ISNUMBER(SEARCH(BV$119,'Reference Score Calculation'!$Q118)),7,IF(ISNUMBER(SEARCH(BV$119,'Reference Score Calculation'!$R118)),5,IF(ISNUMBER(SEARCH($BV$108,'Reference Score Calculation'!$P118)),10,IF(ISNUMBER(SEARCH($BV$108,'Reference Score Calculation'!$Q118)),7,5)))))</f>
        <v>10</v>
      </c>
      <c r="BW141" s="455">
        <f>IF(ISNUMBER(SEARCH(BW$119,'Reference Score Calculation'!$P118)),10,IF(ISNUMBER(SEARCH(BW$119,'Reference Score Calculation'!$Q118)),7,IF(ISNUMBER(SEARCH(BW$119,'Reference Score Calculation'!$R118)),5,IF(ISNUMBER(SEARCH($BV$108,'Reference Score Calculation'!$P118)),10,IF(ISNUMBER(SEARCH($BV$108,'Reference Score Calculation'!$Q118)),7,5)))))</f>
        <v>10</v>
      </c>
      <c r="BX141" s="455">
        <f>IF(ISNUMBER(SEARCH(BX$119,'Reference Score Calculation'!$P118)),10,IF(ISNUMBER(SEARCH(BX$119,'Reference Score Calculation'!$Q118)),7,IF(ISNUMBER(SEARCH(BX$119,'Reference Score Calculation'!$R118)),5,IF(ISNUMBER(SEARCH($BV$108,'Reference Score Calculation'!$P118)),10,IF(ISNUMBER(SEARCH($BV$108,'Reference Score Calculation'!$Q118)),7,5)))))</f>
        <v>5</v>
      </c>
      <c r="BY141" s="455">
        <f>IF(ISNUMBER(SEARCH(BY$119,'Reference Score Calculation'!$P118)),10,IF(ISNUMBER(SEARCH(BY$119,'Reference Score Calculation'!$Q118)),7,IF(ISNUMBER(SEARCH(BY$119,'Reference Score Calculation'!$R118)),5,IF(ISNUMBER(SEARCH($BV$108,'Reference Score Calculation'!$P118)),10,IF(ISNUMBER(SEARCH($BV$108,'Reference Score Calculation'!$Q118)),7,5)))))</f>
        <v>7</v>
      </c>
      <c r="BZ141" s="455">
        <f>IF(ISNUMBER(SEARCH(BZ$119,'Reference Score Calculation'!$P118)),10,IF(ISNUMBER(SEARCH(BZ$119,'Reference Score Calculation'!$Q118)),7,IF(ISNUMBER(SEARCH(BZ$119,'Reference Score Calculation'!$R118)),5,IF(ISNUMBER(SEARCH($BV$108,'Reference Score Calculation'!$P118)),10,IF(ISNUMBER(SEARCH($BV$108,'Reference Score Calculation'!$Q118)),7,5)))))</f>
        <v>7</v>
      </c>
      <c r="CA141" s="455">
        <f>IF(ISNUMBER(SEARCH(CA$119,'Reference Score Calculation'!$P118)),10,IF(ISNUMBER(SEARCH(CA$119,'Reference Score Calculation'!$Q118)),7,IF(ISNUMBER(SEARCH(CA$119,'Reference Score Calculation'!$R118)),5,IF(ISNUMBER(SEARCH($BV$108,'Reference Score Calculation'!$P118)),10,IF(ISNUMBER(SEARCH($BV$108,'Reference Score Calculation'!$Q118)),7,5)))))</f>
        <v>7</v>
      </c>
      <c r="CB141" s="455">
        <f>IF(ISNUMBER(SEARCH(CB$119,'Reference Score Calculation'!$P118)),10,IF(ISNUMBER(SEARCH(CB$119,'Reference Score Calculation'!$Q118)),7,IF(ISNUMBER(SEARCH(CB$119,'Reference Score Calculation'!$R118)),5,IF(ISNUMBER(SEARCH($BV$108,'Reference Score Calculation'!$P118)),10,IF(ISNUMBER(SEARCH($BV$108,'Reference Score Calculation'!$Q118)),7,5)))))</f>
        <v>7</v>
      </c>
      <c r="CC141" s="455">
        <f>IF(ISNUMBER(SEARCH(CC$119,'Reference Score Calculation'!$P118)),10,IF(ISNUMBER(SEARCH(CC$119,'Reference Score Calculation'!$Q118)),7,IF(ISNUMBER(SEARCH(CC$119,'Reference Score Calculation'!$R118)),5,IF(ISNUMBER(SEARCH($BV$108,'Reference Score Calculation'!$P118)),10,IF(ISNUMBER(SEARCH($BV$108,'Reference Score Calculation'!$Q118)),7,5)))))</f>
        <v>7</v>
      </c>
      <c r="CD141" s="455">
        <f>IF(ISNUMBER(SEARCH(CD$119,'Reference Score Calculation'!$P118)),10,IF(ISNUMBER(SEARCH(CD$119,'Reference Score Calculation'!$Q118)),7,IF(ISNUMBER(SEARCH(CD$119,'Reference Score Calculation'!$R118)),5,IF(ISNUMBER(SEARCH($BV$108,'Reference Score Calculation'!$P118)),10,IF(ISNUMBER(SEARCH($BV$108,'Reference Score Calculation'!$Q118)),7,5)))))</f>
        <v>5</v>
      </c>
      <c r="CE141" s="455">
        <f>IF(ISNUMBER(SEARCH(CE$119,'Reference Score Calculation'!$P118)),10,IF(ISNUMBER(SEARCH(CE$119,'Reference Score Calculation'!$Q118)),7,IF(ISNUMBER(SEARCH(CE$119,'Reference Score Calculation'!$R118)),5,IF(ISNUMBER(SEARCH($BV$108,'Reference Score Calculation'!$P118)),10,IF(ISNUMBER(SEARCH($BV$108,'Reference Score Calculation'!$Q118)),7,5)))))</f>
        <v>5</v>
      </c>
      <c r="CF141" s="455">
        <f>IF(ISNUMBER(SEARCH(CF$119,'Reference Score Calculation'!$P118)),10,IF(ISNUMBER(SEARCH(CF$119,'Reference Score Calculation'!$Q118)),7,IF(ISNUMBER(SEARCH(CF$119,'Reference Score Calculation'!$R118)),5,IF(ISNUMBER(SEARCH($BV$108,'Reference Score Calculation'!$P118)),10,IF(ISNUMBER(SEARCH($BV$108,'Reference Score Calculation'!$Q118)),7,5)))))</f>
        <v>5</v>
      </c>
      <c r="CG141" s="455">
        <f>IF(ISNUMBER(SEARCH(CG$119,'Reference Score Calculation'!$P118)),10,IF(ISNUMBER(SEARCH(CG$119,'Reference Score Calculation'!$Q118)),7,IF(ISNUMBER(SEARCH(CG$119,'Reference Score Calculation'!$R118)),5,IF(ISNUMBER(SEARCH($BV$108,'Reference Score Calculation'!$P118)),10,IF(ISNUMBER(SEARCH($BV$108,'Reference Score Calculation'!$Q118)),7,5)))))</f>
        <v>5</v>
      </c>
      <c r="CH141" s="455">
        <f>IF(ISNUMBER(SEARCH(CH$119,'Reference Score Calculation'!$P118)),10,IF(ISNUMBER(SEARCH(CH$119,'Reference Score Calculation'!$Q118)),7,IF(ISNUMBER(SEARCH(CH$119,'Reference Score Calculation'!$R118)),5,IF(ISNUMBER(SEARCH($BV$108,'Reference Score Calculation'!$P118)),10,IF(ISNUMBER(SEARCH($BV$108,'Reference Score Calculation'!$Q118)),7,5)))))</f>
        <v>5</v>
      </c>
      <c r="CI141" s="455">
        <f>IF(ISNUMBER(SEARCH(CI$119,'Reference Score Calculation'!$P118)),10,IF(ISNUMBER(SEARCH(CI$119,'Reference Score Calculation'!$Q118)),7,IF(ISNUMBER(SEARCH(CI$119,'Reference Score Calculation'!$R118)),5,IF(ISNUMBER(SEARCH($BV$108,'Reference Score Calculation'!$P118)),10,IF(ISNUMBER(SEARCH($BV$108,'Reference Score Calculation'!$Q118)),7,5)))))</f>
        <v>5</v>
      </c>
      <c r="CJ141" s="455">
        <f>IF(ISNUMBER(SEARCH(CJ$119,'Reference Score Calculation'!$P118)),10,IF(ISNUMBER(SEARCH(CJ$119,'Reference Score Calculation'!$Q118)),7,IF(ISNUMBER(SEARCH(CJ$119,'Reference Score Calculation'!$R118)),5,IF(ISNUMBER(SEARCH($BV$108,'Reference Score Calculation'!$P118)),10,IF(ISNUMBER(SEARCH($BV$108,'Reference Score Calculation'!$Q118)),7,5)))))</f>
        <v>5</v>
      </c>
      <c r="CK141" s="455">
        <f>IF(ISNUMBER(SEARCH(CK$119,'Reference Score Calculation'!$P118)),10,IF(ISNUMBER(SEARCH(CK$119,'Reference Score Calculation'!$Q118)),7,IF(ISNUMBER(SEARCH(CK$119,'Reference Score Calculation'!$R118)),5,IF(ISNUMBER(SEARCH($BV$108,'Reference Score Calculation'!$P118)),10,IF(ISNUMBER(SEARCH($BV$108,'Reference Score Calculation'!$Q118)),7,5)))))</f>
        <v>5</v>
      </c>
      <c r="CL141" s="455">
        <f>IF(ISNUMBER(SEARCH(CL$119,'Reference Score Calculation'!$P118)),10,IF(ISNUMBER(SEARCH(CL$119,'Reference Score Calculation'!$Q118)),7,IF(ISNUMBER(SEARCH(CL$119,'Reference Score Calculation'!$R118)),5,IF(ISNUMBER(SEARCH($BV$108,'Reference Score Calculation'!$P118)),10,IF(ISNUMBER(SEARCH($BV$108,'Reference Score Calculation'!$Q118)),7,5)))))</f>
        <v>5</v>
      </c>
      <c r="CM141" s="455">
        <f>IF(ISNUMBER(SEARCH(CM$119,'Reference Score Calculation'!$P118)),10,IF(ISNUMBER(SEARCH(CM$119,'Reference Score Calculation'!$Q118)),7,IF(ISNUMBER(SEARCH(CM$119,'Reference Score Calculation'!$R118)),5,IF(ISNUMBER(SEARCH($BV$108,'Reference Score Calculation'!$P118)),10,IF(ISNUMBER(SEARCH($BV$108,'Reference Score Calculation'!$Q118)),7,5)))))</f>
        <v>5</v>
      </c>
      <c r="CN141" s="455">
        <f>IF(ISNUMBER(SEARCH(CN$119,'Reference Score Calculation'!$P118)),10,IF(ISNUMBER(SEARCH(CN$119,'Reference Score Calculation'!$Q118)),7,IF(ISNUMBER(SEARCH(CN$119,'Reference Score Calculation'!$R118)),5,IF(ISNUMBER(SEARCH($BV$108,'Reference Score Calculation'!$P118)),10,IF(ISNUMBER(SEARCH($BV$108,'Reference Score Calculation'!$Q118)),7,5)))))</f>
        <v>5</v>
      </c>
      <c r="CO141" s="455">
        <f>IF(ISNUMBER(SEARCH(CO$119,'Reference Score Calculation'!$P118)),10,IF(ISNUMBER(SEARCH(CO$119,'Reference Score Calculation'!$Q118)),7,IF(ISNUMBER(SEARCH(CO$119,'Reference Score Calculation'!$R118)),5,IF(ISNUMBER(SEARCH($BV$108,'Reference Score Calculation'!$P118)),10,IF(ISNUMBER(SEARCH($BV$108,'Reference Score Calculation'!$Q118)),7,5)))))</f>
        <v>5</v>
      </c>
      <c r="CP141" s="455">
        <f>IF(ISNUMBER(SEARCH(CP$119,'Reference Score Calculation'!$P118)),10,IF(ISNUMBER(SEARCH(CP$119,'Reference Score Calculation'!$Q118)),7,IF(ISNUMBER(SEARCH(CP$119,'Reference Score Calculation'!$R118)),5,IF(ISNUMBER(SEARCH($BV$108,'Reference Score Calculation'!$P118)),10,IF(ISNUMBER(SEARCH($BV$108,'Reference Score Calculation'!$Q118)),7,5)))))</f>
        <v>5</v>
      </c>
      <c r="CQ141" s="455">
        <f>IF(ISNUMBER(SEARCH(CQ$119,'Reference Score Calculation'!$P118)),10,IF(ISNUMBER(SEARCH(CQ$119,'Reference Score Calculation'!$Q118)),7,IF(ISNUMBER(SEARCH(CQ$119,'Reference Score Calculation'!$R118)),5,IF(ISNUMBER(SEARCH($BV$108,'Reference Score Calculation'!$P118)),10,IF(ISNUMBER(SEARCH($BV$108,'Reference Score Calculation'!$Q118)),7,5)))))</f>
        <v>5</v>
      </c>
      <c r="CR141" s="455">
        <f>IF(ISNUMBER(SEARCH(CR$119,'Reference Score Calculation'!$P118)),10,IF(ISNUMBER(SEARCH(CR$119,'Reference Score Calculation'!$Q118)),7,IF(ISNUMBER(SEARCH(CR$119,'Reference Score Calculation'!$R118)),5,IF(ISNUMBER(SEARCH($BV$108,'Reference Score Calculation'!$P118)),10,IF(ISNUMBER(SEARCH($BV$108,'Reference Score Calculation'!$Q118)),7,5)))))</f>
        <v>5</v>
      </c>
      <c r="CS141" s="455">
        <f>IF(ISNUMBER(SEARCH(CS$119,'Reference Score Calculation'!$P118)),10,IF(ISNUMBER(SEARCH(CS$119,'Reference Score Calculation'!$Q118)),7,IF(ISNUMBER(SEARCH(CS$119,'Reference Score Calculation'!$R118)),5,IF(ISNUMBER(SEARCH($BV$108,'Reference Score Calculation'!$P118)),10,IF(ISNUMBER(SEARCH($BV$108,'Reference Score Calculation'!$Q118)),7,5)))))</f>
        <v>7</v>
      </c>
      <c r="CT141" s="455">
        <f>IF(ISNUMBER(SEARCH(CT$119,'Reference Score Calculation'!$P118)),10,IF(ISNUMBER(SEARCH(CT$119,'Reference Score Calculation'!$Q118)),7,IF(ISNUMBER(SEARCH(CT$119,'Reference Score Calculation'!$R118)),5,IF(ISNUMBER(SEARCH($BV$108,'Reference Score Calculation'!$P118)),10,IF(ISNUMBER(SEARCH($BV$108,'Reference Score Calculation'!$Q118)),7,5)))))</f>
        <v>5</v>
      </c>
      <c r="CU141" s="455">
        <f>IF(ISNUMBER(SEARCH(CU$119,'Reference Score Calculation'!$P118)),10,IF(ISNUMBER(SEARCH(CU$119,'Reference Score Calculation'!$Q118)),7,IF(ISNUMBER(SEARCH(CU$119,'Reference Score Calculation'!$R118)),5,IF(ISNUMBER(SEARCH($BV$108,'Reference Score Calculation'!$P118)),10,IF(ISNUMBER(SEARCH($BV$108,'Reference Score Calculation'!$Q118)),7,5)))))</f>
        <v>5</v>
      </c>
      <c r="CV141" s="455">
        <f>IF(ISNUMBER(SEARCH(CV$119,'Reference Score Calculation'!$P118)),10,IF(ISNUMBER(SEARCH(CV$119,'Reference Score Calculation'!$Q118)),7,IF(ISNUMBER(SEARCH(CV$119,'Reference Score Calculation'!$R118)),5,IF(ISNUMBER(SEARCH($BV$108,'Reference Score Calculation'!$P118)),10,IF(ISNUMBER(SEARCH($BV$108,'Reference Score Calculation'!$Q118)),7,5)))))</f>
        <v>7</v>
      </c>
      <c r="CW141" s="185"/>
      <c r="CX141" s="185"/>
      <c r="CY141" s="185"/>
    </row>
    <row r="142" spans="1:103">
      <c r="A142" s="117" t="s">
        <v>2746</v>
      </c>
      <c r="B142" s="459" t="str">
        <f>'Reference Score Calculation'!B119</f>
        <v>JS3223</v>
      </c>
      <c r="C142" s="117" t="str">
        <f>'Reference Score Calculation'!E119</f>
        <v>數據科學及人工智能(榮譽)理學士組合課程 (數據科學及分析 / 金融科技及人工智能)</v>
      </c>
      <c r="D142" s="2" t="e">
        <f>'Reference Score Calculation'!#REF!</f>
        <v>#REF!</v>
      </c>
      <c r="E142" s="131" t="str">
        <f>'Reference Score Calculation'!F119</f>
        <v>Best 5</v>
      </c>
      <c r="F142" s="131"/>
      <c r="G142" s="117" t="str">
        <f>入學要求!AB128</f>
        <v>v</v>
      </c>
      <c r="H142" s="117" t="str">
        <f>入學要求!AC128</f>
        <v>E</v>
      </c>
      <c r="I142" s="117" t="str">
        <f>入學要求!AD128</f>
        <v>NO</v>
      </c>
      <c r="J142" s="117">
        <f t="shared" si="211"/>
        <v>9.1999999999999997E-9</v>
      </c>
      <c r="K142" s="117">
        <f t="shared" si="243"/>
        <v>7</v>
      </c>
      <c r="L142" s="117">
        <f t="shared" si="243"/>
        <v>10</v>
      </c>
      <c r="M142" s="117">
        <f t="shared" si="243"/>
        <v>10</v>
      </c>
      <c r="N142" s="117">
        <f t="shared" si="243"/>
        <v>0</v>
      </c>
      <c r="O142" s="117">
        <f t="shared" si="243"/>
        <v>7</v>
      </c>
      <c r="P142" s="117">
        <f t="shared" si="243"/>
        <v>0</v>
      </c>
      <c r="Q142" s="117">
        <f t="shared" si="243"/>
        <v>0</v>
      </c>
      <c r="R142" s="117">
        <f t="shared" si="243"/>
        <v>0</v>
      </c>
      <c r="S142" s="117">
        <f t="shared" si="243"/>
        <v>0</v>
      </c>
      <c r="T142" s="117">
        <v>5</v>
      </c>
      <c r="V142" s="117">
        <f t="shared" si="224"/>
        <v>7.0000000000000006E-10</v>
      </c>
      <c r="W142" s="117">
        <f t="shared" si="225"/>
        <v>2.0000000000000001E-9</v>
      </c>
      <c r="X142" s="117">
        <f t="shared" si="226"/>
        <v>3E-9</v>
      </c>
      <c r="Z142" s="117">
        <f t="shared" si="227"/>
        <v>3.5000000000000003E-9</v>
      </c>
      <c r="AA142" s="117">
        <f t="shared" si="228"/>
        <v>0</v>
      </c>
      <c r="AB142" s="117">
        <f t="shared" si="229"/>
        <v>0</v>
      </c>
      <c r="AC142" s="117">
        <f t="shared" si="230"/>
        <v>0</v>
      </c>
      <c r="AD142" s="117">
        <f t="shared" si="231"/>
        <v>0</v>
      </c>
      <c r="AE142" s="117">
        <f t="shared" si="232"/>
        <v>0</v>
      </c>
      <c r="AF142" s="117">
        <f t="shared" si="213"/>
        <v>7.0000000000000006E-10</v>
      </c>
      <c r="AG142" s="117">
        <f t="shared" si="214"/>
        <v>2.0000000000000001E-9</v>
      </c>
      <c r="AH142" s="117">
        <f t="shared" si="215"/>
        <v>3E-9</v>
      </c>
      <c r="AI142" s="117">
        <f t="shared" si="216"/>
        <v>0</v>
      </c>
      <c r="AJ142" s="117">
        <f t="shared" si="217"/>
        <v>3.5000000000000003E-9</v>
      </c>
      <c r="AK142" s="117">
        <f t="shared" si="218"/>
        <v>0</v>
      </c>
      <c r="AL142" s="117">
        <f t="shared" si="219"/>
        <v>0</v>
      </c>
      <c r="AM142" s="117">
        <f t="shared" si="220"/>
        <v>0</v>
      </c>
      <c r="AN142" s="117">
        <f t="shared" si="221"/>
        <v>0</v>
      </c>
      <c r="AO142" s="117">
        <f t="shared" si="222"/>
        <v>0</v>
      </c>
      <c r="AP142" s="117" t="b">
        <f t="shared" si="233"/>
        <v>1</v>
      </c>
      <c r="AQ142" s="117" t="b">
        <f t="shared" si="234"/>
        <v>1</v>
      </c>
      <c r="AR142" s="117" t="b">
        <f t="shared" si="235"/>
        <v>1</v>
      </c>
      <c r="AT142" s="117" t="b">
        <f t="shared" si="236"/>
        <v>1</v>
      </c>
      <c r="AU142" s="117" t="b">
        <f t="shared" si="237"/>
        <v>0</v>
      </c>
      <c r="AV142" s="117" t="b">
        <f t="shared" si="238"/>
        <v>0</v>
      </c>
      <c r="AW142" s="117" t="b">
        <f t="shared" si="239"/>
        <v>0</v>
      </c>
      <c r="AX142" s="117" t="b">
        <f t="shared" si="240"/>
        <v>0</v>
      </c>
      <c r="AY142" s="117" t="b">
        <f t="shared" si="241"/>
        <v>0</v>
      </c>
      <c r="BA142" s="2"/>
      <c r="BB142" s="2"/>
      <c r="BC142" s="2"/>
      <c r="BD142" s="2"/>
      <c r="BE142" s="2"/>
      <c r="BF142" s="2"/>
      <c r="BG142" s="2"/>
      <c r="BH142" s="2"/>
      <c r="BI142" s="2"/>
      <c r="BJ142" s="2"/>
      <c r="BK142" s="2"/>
      <c r="BL142" s="2"/>
      <c r="BM142" s="2"/>
      <c r="BN142" s="2"/>
      <c r="BO142" s="2"/>
      <c r="BP142" s="2"/>
      <c r="BQ142" s="2"/>
      <c r="BR142" s="2"/>
      <c r="BS142" s="185" t="str">
        <f>'Reference Score Calculation'!B119</f>
        <v>JS3223</v>
      </c>
      <c r="BT142" s="185"/>
      <c r="BU142" s="455">
        <f>IF(ISNUMBER(SEARCH(BU$119,'Reference Score Calculation'!$P119)),10,IF(ISNUMBER(SEARCH(BU$119,'Reference Score Calculation'!$Q119)),7,IF(ISNUMBER(SEARCH(BU$119,'Reference Score Calculation'!$R119)),5,IF(ISNUMBER(SEARCH($BV$108,'Reference Score Calculation'!$P119)),10,IF(ISNUMBER(SEARCH($BV$108,'Reference Score Calculation'!$Q119)),7,5)))))</f>
        <v>7</v>
      </c>
      <c r="BV142" s="455">
        <f>IF(ISNUMBER(SEARCH(BV$119,'Reference Score Calculation'!$P119)),10,IF(ISNUMBER(SEARCH(BV$119,'Reference Score Calculation'!$Q119)),7,IF(ISNUMBER(SEARCH(BV$119,'Reference Score Calculation'!$R119)),5,IF(ISNUMBER(SEARCH($BV$108,'Reference Score Calculation'!$P119)),10,IF(ISNUMBER(SEARCH($BV$108,'Reference Score Calculation'!$Q119)),7,5)))))</f>
        <v>10</v>
      </c>
      <c r="BW142" s="455">
        <f>IF(ISNUMBER(SEARCH(BW$119,'Reference Score Calculation'!$P119)),10,IF(ISNUMBER(SEARCH(BW$119,'Reference Score Calculation'!$Q119)),7,IF(ISNUMBER(SEARCH(BW$119,'Reference Score Calculation'!$R119)),5,IF(ISNUMBER(SEARCH($BV$108,'Reference Score Calculation'!$P119)),10,IF(ISNUMBER(SEARCH($BV$108,'Reference Score Calculation'!$Q119)),7,5)))))</f>
        <v>10</v>
      </c>
      <c r="BX142" s="455">
        <f>IF(ISNUMBER(SEARCH(BX$119,'Reference Score Calculation'!$P119)),10,IF(ISNUMBER(SEARCH(BX$119,'Reference Score Calculation'!$Q119)),7,IF(ISNUMBER(SEARCH(BX$119,'Reference Score Calculation'!$R119)),5,IF(ISNUMBER(SEARCH($BV$108,'Reference Score Calculation'!$P119)),10,IF(ISNUMBER(SEARCH($BV$108,'Reference Score Calculation'!$Q119)),7,5)))))</f>
        <v>5</v>
      </c>
      <c r="BY142" s="455">
        <f>IF(ISNUMBER(SEARCH(BY$119,'Reference Score Calculation'!$P119)),10,IF(ISNUMBER(SEARCH(BY$119,'Reference Score Calculation'!$Q119)),7,IF(ISNUMBER(SEARCH(BY$119,'Reference Score Calculation'!$R119)),5,IF(ISNUMBER(SEARCH($BV$108,'Reference Score Calculation'!$P119)),10,IF(ISNUMBER(SEARCH($BV$108,'Reference Score Calculation'!$Q119)),7,5)))))</f>
        <v>7</v>
      </c>
      <c r="BZ142" s="455">
        <f>IF(ISNUMBER(SEARCH(BZ$119,'Reference Score Calculation'!$P119)),10,IF(ISNUMBER(SEARCH(BZ$119,'Reference Score Calculation'!$Q119)),7,IF(ISNUMBER(SEARCH(BZ$119,'Reference Score Calculation'!$R119)),5,IF(ISNUMBER(SEARCH($BV$108,'Reference Score Calculation'!$P119)),10,IF(ISNUMBER(SEARCH($BV$108,'Reference Score Calculation'!$Q119)),7,5)))))</f>
        <v>7</v>
      </c>
      <c r="CA142" s="455">
        <f>IF(ISNUMBER(SEARCH(CA$119,'Reference Score Calculation'!$P119)),10,IF(ISNUMBER(SEARCH(CA$119,'Reference Score Calculation'!$Q119)),7,IF(ISNUMBER(SEARCH(CA$119,'Reference Score Calculation'!$R119)),5,IF(ISNUMBER(SEARCH($BV$108,'Reference Score Calculation'!$P119)),10,IF(ISNUMBER(SEARCH($BV$108,'Reference Score Calculation'!$Q119)),7,5)))))</f>
        <v>7</v>
      </c>
      <c r="CB142" s="455">
        <f>IF(ISNUMBER(SEARCH(CB$119,'Reference Score Calculation'!$P119)),10,IF(ISNUMBER(SEARCH(CB$119,'Reference Score Calculation'!$Q119)),7,IF(ISNUMBER(SEARCH(CB$119,'Reference Score Calculation'!$R119)),5,IF(ISNUMBER(SEARCH($BV$108,'Reference Score Calculation'!$P119)),10,IF(ISNUMBER(SEARCH($BV$108,'Reference Score Calculation'!$Q119)),7,5)))))</f>
        <v>7</v>
      </c>
      <c r="CC142" s="455">
        <f>IF(ISNUMBER(SEARCH(CC$119,'Reference Score Calculation'!$P119)),10,IF(ISNUMBER(SEARCH(CC$119,'Reference Score Calculation'!$Q119)),7,IF(ISNUMBER(SEARCH(CC$119,'Reference Score Calculation'!$R119)),5,IF(ISNUMBER(SEARCH($BV$108,'Reference Score Calculation'!$P119)),10,IF(ISNUMBER(SEARCH($BV$108,'Reference Score Calculation'!$Q119)),7,5)))))</f>
        <v>7</v>
      </c>
      <c r="CD142" s="455">
        <f>IF(ISNUMBER(SEARCH(CD$119,'Reference Score Calculation'!$P119)),10,IF(ISNUMBER(SEARCH(CD$119,'Reference Score Calculation'!$Q119)),7,IF(ISNUMBER(SEARCH(CD$119,'Reference Score Calculation'!$R119)),5,IF(ISNUMBER(SEARCH($BV$108,'Reference Score Calculation'!$P119)),10,IF(ISNUMBER(SEARCH($BV$108,'Reference Score Calculation'!$Q119)),7,5)))))</f>
        <v>5</v>
      </c>
      <c r="CE142" s="455">
        <f>IF(ISNUMBER(SEARCH(CE$119,'Reference Score Calculation'!$P119)),10,IF(ISNUMBER(SEARCH(CE$119,'Reference Score Calculation'!$Q119)),7,IF(ISNUMBER(SEARCH(CE$119,'Reference Score Calculation'!$R119)),5,IF(ISNUMBER(SEARCH($BV$108,'Reference Score Calculation'!$P119)),10,IF(ISNUMBER(SEARCH($BV$108,'Reference Score Calculation'!$Q119)),7,5)))))</f>
        <v>5</v>
      </c>
      <c r="CF142" s="455">
        <f>IF(ISNUMBER(SEARCH(CF$119,'Reference Score Calculation'!$P119)),10,IF(ISNUMBER(SEARCH(CF$119,'Reference Score Calculation'!$Q119)),7,IF(ISNUMBER(SEARCH(CF$119,'Reference Score Calculation'!$R119)),5,IF(ISNUMBER(SEARCH($BV$108,'Reference Score Calculation'!$P119)),10,IF(ISNUMBER(SEARCH($BV$108,'Reference Score Calculation'!$Q119)),7,5)))))</f>
        <v>5</v>
      </c>
      <c r="CG142" s="455">
        <f>IF(ISNUMBER(SEARCH(CG$119,'Reference Score Calculation'!$P119)),10,IF(ISNUMBER(SEARCH(CG$119,'Reference Score Calculation'!$Q119)),7,IF(ISNUMBER(SEARCH(CG$119,'Reference Score Calculation'!$R119)),5,IF(ISNUMBER(SEARCH($BV$108,'Reference Score Calculation'!$P119)),10,IF(ISNUMBER(SEARCH($BV$108,'Reference Score Calculation'!$Q119)),7,5)))))</f>
        <v>5</v>
      </c>
      <c r="CH142" s="455">
        <f>IF(ISNUMBER(SEARCH(CH$119,'Reference Score Calculation'!$P119)),10,IF(ISNUMBER(SEARCH(CH$119,'Reference Score Calculation'!$Q119)),7,IF(ISNUMBER(SEARCH(CH$119,'Reference Score Calculation'!$R119)),5,IF(ISNUMBER(SEARCH($BV$108,'Reference Score Calculation'!$P119)),10,IF(ISNUMBER(SEARCH($BV$108,'Reference Score Calculation'!$Q119)),7,5)))))</f>
        <v>5</v>
      </c>
      <c r="CI142" s="455">
        <f>IF(ISNUMBER(SEARCH(CI$119,'Reference Score Calculation'!$P119)),10,IF(ISNUMBER(SEARCH(CI$119,'Reference Score Calculation'!$Q119)),7,IF(ISNUMBER(SEARCH(CI$119,'Reference Score Calculation'!$R119)),5,IF(ISNUMBER(SEARCH($BV$108,'Reference Score Calculation'!$P119)),10,IF(ISNUMBER(SEARCH($BV$108,'Reference Score Calculation'!$Q119)),7,5)))))</f>
        <v>5</v>
      </c>
      <c r="CJ142" s="455">
        <f>IF(ISNUMBER(SEARCH(CJ$119,'Reference Score Calculation'!$P119)),10,IF(ISNUMBER(SEARCH(CJ$119,'Reference Score Calculation'!$Q119)),7,IF(ISNUMBER(SEARCH(CJ$119,'Reference Score Calculation'!$R119)),5,IF(ISNUMBER(SEARCH($BV$108,'Reference Score Calculation'!$P119)),10,IF(ISNUMBER(SEARCH($BV$108,'Reference Score Calculation'!$Q119)),7,5)))))</f>
        <v>5</v>
      </c>
      <c r="CK142" s="455">
        <f>IF(ISNUMBER(SEARCH(CK$119,'Reference Score Calculation'!$P119)),10,IF(ISNUMBER(SEARCH(CK$119,'Reference Score Calculation'!$Q119)),7,IF(ISNUMBER(SEARCH(CK$119,'Reference Score Calculation'!$R119)),5,IF(ISNUMBER(SEARCH($BV$108,'Reference Score Calculation'!$P119)),10,IF(ISNUMBER(SEARCH($BV$108,'Reference Score Calculation'!$Q119)),7,5)))))</f>
        <v>5</v>
      </c>
      <c r="CL142" s="455">
        <f>IF(ISNUMBER(SEARCH(CL$119,'Reference Score Calculation'!$P119)),10,IF(ISNUMBER(SEARCH(CL$119,'Reference Score Calculation'!$Q119)),7,IF(ISNUMBER(SEARCH(CL$119,'Reference Score Calculation'!$R119)),5,IF(ISNUMBER(SEARCH($BV$108,'Reference Score Calculation'!$P119)),10,IF(ISNUMBER(SEARCH($BV$108,'Reference Score Calculation'!$Q119)),7,5)))))</f>
        <v>5</v>
      </c>
      <c r="CM142" s="455">
        <f>IF(ISNUMBER(SEARCH(CM$119,'Reference Score Calculation'!$P119)),10,IF(ISNUMBER(SEARCH(CM$119,'Reference Score Calculation'!$Q119)),7,IF(ISNUMBER(SEARCH(CM$119,'Reference Score Calculation'!$R119)),5,IF(ISNUMBER(SEARCH($BV$108,'Reference Score Calculation'!$P119)),10,IF(ISNUMBER(SEARCH($BV$108,'Reference Score Calculation'!$Q119)),7,5)))))</f>
        <v>5</v>
      </c>
      <c r="CN142" s="455">
        <f>IF(ISNUMBER(SEARCH(CN$119,'Reference Score Calculation'!$P119)),10,IF(ISNUMBER(SEARCH(CN$119,'Reference Score Calculation'!$Q119)),7,IF(ISNUMBER(SEARCH(CN$119,'Reference Score Calculation'!$R119)),5,IF(ISNUMBER(SEARCH($BV$108,'Reference Score Calculation'!$P119)),10,IF(ISNUMBER(SEARCH($BV$108,'Reference Score Calculation'!$Q119)),7,5)))))</f>
        <v>5</v>
      </c>
      <c r="CO142" s="455">
        <f>IF(ISNUMBER(SEARCH(CO$119,'Reference Score Calculation'!$P119)),10,IF(ISNUMBER(SEARCH(CO$119,'Reference Score Calculation'!$Q119)),7,IF(ISNUMBER(SEARCH(CO$119,'Reference Score Calculation'!$R119)),5,IF(ISNUMBER(SEARCH($BV$108,'Reference Score Calculation'!$P119)),10,IF(ISNUMBER(SEARCH($BV$108,'Reference Score Calculation'!$Q119)),7,5)))))</f>
        <v>5</v>
      </c>
      <c r="CP142" s="455">
        <f>IF(ISNUMBER(SEARCH(CP$119,'Reference Score Calculation'!$P119)),10,IF(ISNUMBER(SEARCH(CP$119,'Reference Score Calculation'!$Q119)),7,IF(ISNUMBER(SEARCH(CP$119,'Reference Score Calculation'!$R119)),5,IF(ISNUMBER(SEARCH($BV$108,'Reference Score Calculation'!$P119)),10,IF(ISNUMBER(SEARCH($BV$108,'Reference Score Calculation'!$Q119)),7,5)))))</f>
        <v>5</v>
      </c>
      <c r="CQ142" s="455">
        <f>IF(ISNUMBER(SEARCH(CQ$119,'Reference Score Calculation'!$P119)),10,IF(ISNUMBER(SEARCH(CQ$119,'Reference Score Calculation'!$Q119)),7,IF(ISNUMBER(SEARCH(CQ$119,'Reference Score Calculation'!$R119)),5,IF(ISNUMBER(SEARCH($BV$108,'Reference Score Calculation'!$P119)),10,IF(ISNUMBER(SEARCH($BV$108,'Reference Score Calculation'!$Q119)),7,5)))))</f>
        <v>5</v>
      </c>
      <c r="CR142" s="455">
        <f>IF(ISNUMBER(SEARCH(CR$119,'Reference Score Calculation'!$P119)),10,IF(ISNUMBER(SEARCH(CR$119,'Reference Score Calculation'!$Q119)),7,IF(ISNUMBER(SEARCH(CR$119,'Reference Score Calculation'!$R119)),5,IF(ISNUMBER(SEARCH($BV$108,'Reference Score Calculation'!$P119)),10,IF(ISNUMBER(SEARCH($BV$108,'Reference Score Calculation'!$Q119)),7,5)))))</f>
        <v>5</v>
      </c>
      <c r="CS142" s="455">
        <f>IF(ISNUMBER(SEARCH(CS$119,'Reference Score Calculation'!$P119)),10,IF(ISNUMBER(SEARCH(CS$119,'Reference Score Calculation'!$Q119)),7,IF(ISNUMBER(SEARCH(CS$119,'Reference Score Calculation'!$R119)),5,IF(ISNUMBER(SEARCH($BV$108,'Reference Score Calculation'!$P119)),10,IF(ISNUMBER(SEARCH($BV$108,'Reference Score Calculation'!$Q119)),7,5)))))</f>
        <v>7</v>
      </c>
      <c r="CT142" s="455">
        <f>IF(ISNUMBER(SEARCH(CT$119,'Reference Score Calculation'!$P119)),10,IF(ISNUMBER(SEARCH(CT$119,'Reference Score Calculation'!$Q119)),7,IF(ISNUMBER(SEARCH(CT$119,'Reference Score Calculation'!$R119)),5,IF(ISNUMBER(SEARCH($BV$108,'Reference Score Calculation'!$P119)),10,IF(ISNUMBER(SEARCH($BV$108,'Reference Score Calculation'!$Q119)),7,5)))))</f>
        <v>5</v>
      </c>
      <c r="CU142" s="455">
        <f>IF(ISNUMBER(SEARCH(CU$119,'Reference Score Calculation'!$P119)),10,IF(ISNUMBER(SEARCH(CU$119,'Reference Score Calculation'!$Q119)),7,IF(ISNUMBER(SEARCH(CU$119,'Reference Score Calculation'!$R119)),5,IF(ISNUMBER(SEARCH($BV$108,'Reference Score Calculation'!$P119)),10,IF(ISNUMBER(SEARCH($BV$108,'Reference Score Calculation'!$Q119)),7,5)))))</f>
        <v>5</v>
      </c>
      <c r="CV142" s="455">
        <f>IF(ISNUMBER(SEARCH(CV$119,'Reference Score Calculation'!$P119)),10,IF(ISNUMBER(SEARCH(CV$119,'Reference Score Calculation'!$Q119)),7,IF(ISNUMBER(SEARCH(CV$119,'Reference Score Calculation'!$R119)),5,IF(ISNUMBER(SEARCH($BV$108,'Reference Score Calculation'!$P119)),10,IF(ISNUMBER(SEARCH($BV$108,'Reference Score Calculation'!$Q119)),7,5)))))</f>
        <v>7</v>
      </c>
      <c r="CW142" s="185"/>
      <c r="CX142" s="185"/>
      <c r="CY142" s="185"/>
    </row>
    <row r="143" spans="1:103">
      <c r="A143" s="117" t="s">
        <v>2749</v>
      </c>
      <c r="B143" s="459" t="str">
        <f>'Reference Score Calculation'!B120</f>
        <v>JS3236</v>
      </c>
      <c r="C143" s="117" t="str">
        <f>'Reference Score Calculation'!E120</f>
        <v>產品創新及智能製造(榮譽)工學士組合課程 (產品創新兼市場學 / 智能製造)</v>
      </c>
      <c r="D143" s="2" t="e">
        <f>'Reference Score Calculation'!#REF!</f>
        <v>#REF!</v>
      </c>
      <c r="E143" s="131" t="str">
        <f>'Reference Score Calculation'!F120</f>
        <v>Best 5</v>
      </c>
      <c r="F143" s="131"/>
      <c r="G143" s="117" t="str">
        <f>入學要求!AB129</f>
        <v>v</v>
      </c>
      <c r="H143" s="117" t="str">
        <f>入學要求!AC129</f>
        <v>E</v>
      </c>
      <c r="I143" s="117" t="str">
        <f>入學要求!AD129</f>
        <v>v</v>
      </c>
      <c r="J143" s="117">
        <f t="shared" si="211"/>
        <v>8.2000000000000006E-9</v>
      </c>
      <c r="K143" s="117">
        <f t="shared" si="243"/>
        <v>7</v>
      </c>
      <c r="L143" s="117">
        <f t="shared" si="243"/>
        <v>10</v>
      </c>
      <c r="M143" s="117">
        <f t="shared" si="243"/>
        <v>10</v>
      </c>
      <c r="N143" s="117">
        <f t="shared" si="243"/>
        <v>0</v>
      </c>
      <c r="O143" s="117">
        <f t="shared" si="243"/>
        <v>5</v>
      </c>
      <c r="P143" s="117">
        <f t="shared" si="243"/>
        <v>0</v>
      </c>
      <c r="Q143" s="117">
        <f t="shared" si="243"/>
        <v>0</v>
      </c>
      <c r="R143" s="117">
        <f t="shared" si="243"/>
        <v>0</v>
      </c>
      <c r="S143" s="117">
        <f t="shared" si="243"/>
        <v>0</v>
      </c>
      <c r="T143" s="117">
        <v>5</v>
      </c>
      <c r="V143" s="117">
        <f t="shared" si="224"/>
        <v>7.0000000000000006E-10</v>
      </c>
      <c r="W143" s="117">
        <f t="shared" si="225"/>
        <v>2.0000000000000001E-9</v>
      </c>
      <c r="X143" s="117">
        <f t="shared" si="226"/>
        <v>3E-9</v>
      </c>
      <c r="Z143" s="117">
        <f t="shared" si="227"/>
        <v>2.5000000000000001E-9</v>
      </c>
      <c r="AA143" s="117">
        <f t="shared" si="228"/>
        <v>0</v>
      </c>
      <c r="AB143" s="117">
        <f t="shared" si="229"/>
        <v>0</v>
      </c>
      <c r="AC143" s="117">
        <f t="shared" si="230"/>
        <v>0</v>
      </c>
      <c r="AD143" s="117">
        <f t="shared" si="231"/>
        <v>0</v>
      </c>
      <c r="AE143" s="117">
        <f t="shared" si="232"/>
        <v>0</v>
      </c>
      <c r="AF143" s="117">
        <f t="shared" si="213"/>
        <v>7.0000000000000006E-10</v>
      </c>
      <c r="AG143" s="117">
        <f t="shared" si="214"/>
        <v>2.0000000000000001E-9</v>
      </c>
      <c r="AH143" s="117">
        <f t="shared" si="215"/>
        <v>3E-9</v>
      </c>
      <c r="AI143" s="117">
        <f t="shared" si="216"/>
        <v>0</v>
      </c>
      <c r="AJ143" s="117">
        <f t="shared" si="217"/>
        <v>2.5000000000000001E-9</v>
      </c>
      <c r="AK143" s="117">
        <f t="shared" si="218"/>
        <v>0</v>
      </c>
      <c r="AL143" s="117">
        <f t="shared" si="219"/>
        <v>0</v>
      </c>
      <c r="AM143" s="117">
        <f t="shared" si="220"/>
        <v>0</v>
      </c>
      <c r="AN143" s="117">
        <f t="shared" si="221"/>
        <v>0</v>
      </c>
      <c r="AO143" s="117">
        <f t="shared" si="222"/>
        <v>0</v>
      </c>
      <c r="AP143" s="117" t="b">
        <f t="shared" si="233"/>
        <v>1</v>
      </c>
      <c r="AQ143" s="117" t="b">
        <f t="shared" si="234"/>
        <v>1</v>
      </c>
      <c r="AR143" s="117" t="b">
        <f t="shared" si="235"/>
        <v>1</v>
      </c>
      <c r="AT143" s="117" t="b">
        <f t="shared" si="236"/>
        <v>1</v>
      </c>
      <c r="AU143" s="117" t="b">
        <f t="shared" si="237"/>
        <v>0</v>
      </c>
      <c r="AV143" s="117" t="b">
        <f t="shared" si="238"/>
        <v>0</v>
      </c>
      <c r="AW143" s="117" t="b">
        <f t="shared" si="239"/>
        <v>0</v>
      </c>
      <c r="AX143" s="117" t="b">
        <f t="shared" si="240"/>
        <v>0</v>
      </c>
      <c r="AY143" s="117" t="b">
        <f t="shared" si="241"/>
        <v>0</v>
      </c>
      <c r="BA143" s="2"/>
      <c r="BB143" s="2"/>
      <c r="BC143" s="2"/>
      <c r="BD143" s="2"/>
      <c r="BE143" s="2"/>
      <c r="BF143" s="2"/>
      <c r="BG143" s="2"/>
      <c r="BH143" s="2"/>
      <c r="BI143" s="2"/>
      <c r="BJ143" s="2"/>
      <c r="BK143" s="2"/>
      <c r="BL143" s="2"/>
      <c r="BM143" s="2"/>
      <c r="BN143" s="2"/>
      <c r="BO143" s="2"/>
      <c r="BP143" s="2"/>
      <c r="BQ143" s="2"/>
      <c r="BR143" s="2"/>
      <c r="BS143" s="185" t="str">
        <f>'Reference Score Calculation'!B120</f>
        <v>JS3236</v>
      </c>
      <c r="BT143" s="185"/>
      <c r="BU143" s="455">
        <f>IF(ISNUMBER(SEARCH(BU$119,'Reference Score Calculation'!$P120)),10,IF(ISNUMBER(SEARCH(BU$119,'Reference Score Calculation'!$Q120)),7,IF(ISNUMBER(SEARCH(BU$119,'Reference Score Calculation'!$R120)),5,IF(ISNUMBER(SEARCH($BV$108,'Reference Score Calculation'!$P120)),10,IF(ISNUMBER(SEARCH($BV$108,'Reference Score Calculation'!$Q120)),7,5)))))</f>
        <v>7</v>
      </c>
      <c r="BV143" s="455">
        <f>IF(ISNUMBER(SEARCH(BV$119,'Reference Score Calculation'!$P120)),10,IF(ISNUMBER(SEARCH(BV$119,'Reference Score Calculation'!$Q120)),7,IF(ISNUMBER(SEARCH(BV$119,'Reference Score Calculation'!$R120)),5,IF(ISNUMBER(SEARCH($BV$108,'Reference Score Calculation'!$P120)),10,IF(ISNUMBER(SEARCH($BV$108,'Reference Score Calculation'!$Q120)),7,5)))))</f>
        <v>10</v>
      </c>
      <c r="BW143" s="455">
        <f>IF(ISNUMBER(SEARCH(BW$119,'Reference Score Calculation'!$P120)),10,IF(ISNUMBER(SEARCH(BW$119,'Reference Score Calculation'!$Q120)),7,IF(ISNUMBER(SEARCH(BW$119,'Reference Score Calculation'!$R120)),5,IF(ISNUMBER(SEARCH($BV$108,'Reference Score Calculation'!$P120)),10,IF(ISNUMBER(SEARCH($BV$108,'Reference Score Calculation'!$Q120)),7,5)))))</f>
        <v>10</v>
      </c>
      <c r="BX143" s="455">
        <f>IF(ISNUMBER(SEARCH(BX$119,'Reference Score Calculation'!$P120)),10,IF(ISNUMBER(SEARCH(BX$119,'Reference Score Calculation'!$Q120)),7,IF(ISNUMBER(SEARCH(BX$119,'Reference Score Calculation'!$R120)),5,IF(ISNUMBER(SEARCH($BV$108,'Reference Score Calculation'!$P120)),10,IF(ISNUMBER(SEARCH($BV$108,'Reference Score Calculation'!$Q120)),7,5)))))</f>
        <v>5</v>
      </c>
      <c r="BY143" s="455">
        <f>IF(ISNUMBER(SEARCH(BY$119,'Reference Score Calculation'!$P120)),10,IF(ISNUMBER(SEARCH(BY$119,'Reference Score Calculation'!$Q120)),7,IF(ISNUMBER(SEARCH(BY$119,'Reference Score Calculation'!$R120)),5,IF(ISNUMBER(SEARCH($BV$108,'Reference Score Calculation'!$P120)),10,IF(ISNUMBER(SEARCH($BV$108,'Reference Score Calculation'!$Q120)),7,5)))))</f>
        <v>5</v>
      </c>
      <c r="BZ143" s="455">
        <f>IF(ISNUMBER(SEARCH(BZ$119,'Reference Score Calculation'!$P120)),10,IF(ISNUMBER(SEARCH(BZ$119,'Reference Score Calculation'!$Q120)),7,IF(ISNUMBER(SEARCH(BZ$119,'Reference Score Calculation'!$R120)),5,IF(ISNUMBER(SEARCH($BV$108,'Reference Score Calculation'!$P120)),10,IF(ISNUMBER(SEARCH($BV$108,'Reference Score Calculation'!$Q120)),7,5)))))</f>
        <v>5</v>
      </c>
      <c r="CA143" s="455">
        <f>IF(ISNUMBER(SEARCH(CA$119,'Reference Score Calculation'!$P120)),10,IF(ISNUMBER(SEARCH(CA$119,'Reference Score Calculation'!$Q120)),7,IF(ISNUMBER(SEARCH(CA$119,'Reference Score Calculation'!$R120)),5,IF(ISNUMBER(SEARCH($BV$108,'Reference Score Calculation'!$P120)),10,IF(ISNUMBER(SEARCH($BV$108,'Reference Score Calculation'!$Q120)),7,5)))))</f>
        <v>5</v>
      </c>
      <c r="CB143" s="455">
        <f>IF(ISNUMBER(SEARCH(CB$119,'Reference Score Calculation'!$P120)),10,IF(ISNUMBER(SEARCH(CB$119,'Reference Score Calculation'!$Q120)),7,IF(ISNUMBER(SEARCH(CB$119,'Reference Score Calculation'!$R120)),5,IF(ISNUMBER(SEARCH($BV$108,'Reference Score Calculation'!$P120)),10,IF(ISNUMBER(SEARCH($BV$108,'Reference Score Calculation'!$Q120)),7,5)))))</f>
        <v>5</v>
      </c>
      <c r="CC143" s="455">
        <f>IF(ISNUMBER(SEARCH(CC$119,'Reference Score Calculation'!$P120)),10,IF(ISNUMBER(SEARCH(CC$119,'Reference Score Calculation'!$Q120)),7,IF(ISNUMBER(SEARCH(CC$119,'Reference Score Calculation'!$R120)),5,IF(ISNUMBER(SEARCH($BV$108,'Reference Score Calculation'!$P120)),10,IF(ISNUMBER(SEARCH($BV$108,'Reference Score Calculation'!$Q120)),7,5)))))</f>
        <v>5</v>
      </c>
      <c r="CD143" s="455">
        <f>IF(ISNUMBER(SEARCH(CD$119,'Reference Score Calculation'!$P120)),10,IF(ISNUMBER(SEARCH(CD$119,'Reference Score Calculation'!$Q120)),7,IF(ISNUMBER(SEARCH(CD$119,'Reference Score Calculation'!$R120)),5,IF(ISNUMBER(SEARCH($BV$108,'Reference Score Calculation'!$P120)),10,IF(ISNUMBER(SEARCH($BV$108,'Reference Score Calculation'!$Q120)),7,5)))))</f>
        <v>5</v>
      </c>
      <c r="CE143" s="455">
        <f>IF(ISNUMBER(SEARCH(CE$119,'Reference Score Calculation'!$P120)),10,IF(ISNUMBER(SEARCH(CE$119,'Reference Score Calculation'!$Q120)),7,IF(ISNUMBER(SEARCH(CE$119,'Reference Score Calculation'!$R120)),5,IF(ISNUMBER(SEARCH($BV$108,'Reference Score Calculation'!$P120)),10,IF(ISNUMBER(SEARCH($BV$108,'Reference Score Calculation'!$Q120)),7,5)))))</f>
        <v>5</v>
      </c>
      <c r="CF143" s="455">
        <f>IF(ISNUMBER(SEARCH(CF$119,'Reference Score Calculation'!$P120)),10,IF(ISNUMBER(SEARCH(CF$119,'Reference Score Calculation'!$Q120)),7,IF(ISNUMBER(SEARCH(CF$119,'Reference Score Calculation'!$R120)),5,IF(ISNUMBER(SEARCH($BV$108,'Reference Score Calculation'!$P120)),10,IF(ISNUMBER(SEARCH($BV$108,'Reference Score Calculation'!$Q120)),7,5)))))</f>
        <v>5</v>
      </c>
      <c r="CG143" s="455">
        <f>IF(ISNUMBER(SEARCH(CG$119,'Reference Score Calculation'!$P120)),10,IF(ISNUMBER(SEARCH(CG$119,'Reference Score Calculation'!$Q120)),7,IF(ISNUMBER(SEARCH(CG$119,'Reference Score Calculation'!$R120)),5,IF(ISNUMBER(SEARCH($BV$108,'Reference Score Calculation'!$P120)),10,IF(ISNUMBER(SEARCH($BV$108,'Reference Score Calculation'!$Q120)),7,5)))))</f>
        <v>5</v>
      </c>
      <c r="CH143" s="455">
        <f>IF(ISNUMBER(SEARCH(CH$119,'Reference Score Calculation'!$P120)),10,IF(ISNUMBER(SEARCH(CH$119,'Reference Score Calculation'!$Q120)),7,IF(ISNUMBER(SEARCH(CH$119,'Reference Score Calculation'!$R120)),5,IF(ISNUMBER(SEARCH($BV$108,'Reference Score Calculation'!$P120)),10,IF(ISNUMBER(SEARCH($BV$108,'Reference Score Calculation'!$Q120)),7,5)))))</f>
        <v>5</v>
      </c>
      <c r="CI143" s="455">
        <f>IF(ISNUMBER(SEARCH(CI$119,'Reference Score Calculation'!$P120)),10,IF(ISNUMBER(SEARCH(CI$119,'Reference Score Calculation'!$Q120)),7,IF(ISNUMBER(SEARCH(CI$119,'Reference Score Calculation'!$R120)),5,IF(ISNUMBER(SEARCH($BV$108,'Reference Score Calculation'!$P120)),10,IF(ISNUMBER(SEARCH($BV$108,'Reference Score Calculation'!$Q120)),7,5)))))</f>
        <v>5</v>
      </c>
      <c r="CJ143" s="455">
        <f>IF(ISNUMBER(SEARCH(CJ$119,'Reference Score Calculation'!$P120)),10,IF(ISNUMBER(SEARCH(CJ$119,'Reference Score Calculation'!$Q120)),7,IF(ISNUMBER(SEARCH(CJ$119,'Reference Score Calculation'!$R120)),5,IF(ISNUMBER(SEARCH($BV$108,'Reference Score Calculation'!$P120)),10,IF(ISNUMBER(SEARCH($BV$108,'Reference Score Calculation'!$Q120)),7,5)))))</f>
        <v>5</v>
      </c>
      <c r="CK143" s="455">
        <f>IF(ISNUMBER(SEARCH(CK$119,'Reference Score Calculation'!$P120)),10,IF(ISNUMBER(SEARCH(CK$119,'Reference Score Calculation'!$Q120)),7,IF(ISNUMBER(SEARCH(CK$119,'Reference Score Calculation'!$R120)),5,IF(ISNUMBER(SEARCH($BV$108,'Reference Score Calculation'!$P120)),10,IF(ISNUMBER(SEARCH($BV$108,'Reference Score Calculation'!$Q120)),7,5)))))</f>
        <v>5</v>
      </c>
      <c r="CL143" s="455">
        <f>IF(ISNUMBER(SEARCH(CL$119,'Reference Score Calculation'!$P120)),10,IF(ISNUMBER(SEARCH(CL$119,'Reference Score Calculation'!$Q120)),7,IF(ISNUMBER(SEARCH(CL$119,'Reference Score Calculation'!$R120)),5,IF(ISNUMBER(SEARCH($BV$108,'Reference Score Calculation'!$P120)),10,IF(ISNUMBER(SEARCH($BV$108,'Reference Score Calculation'!$Q120)),7,5)))))</f>
        <v>5</v>
      </c>
      <c r="CM143" s="455">
        <f>IF(ISNUMBER(SEARCH(CM$119,'Reference Score Calculation'!$P120)),10,IF(ISNUMBER(SEARCH(CM$119,'Reference Score Calculation'!$Q120)),7,IF(ISNUMBER(SEARCH(CM$119,'Reference Score Calculation'!$R120)),5,IF(ISNUMBER(SEARCH($BV$108,'Reference Score Calculation'!$P120)),10,IF(ISNUMBER(SEARCH($BV$108,'Reference Score Calculation'!$Q120)),7,5)))))</f>
        <v>5</v>
      </c>
      <c r="CN143" s="455">
        <f>IF(ISNUMBER(SEARCH(CN$119,'Reference Score Calculation'!$P120)),10,IF(ISNUMBER(SEARCH(CN$119,'Reference Score Calculation'!$Q120)),7,IF(ISNUMBER(SEARCH(CN$119,'Reference Score Calculation'!$R120)),5,IF(ISNUMBER(SEARCH($BV$108,'Reference Score Calculation'!$P120)),10,IF(ISNUMBER(SEARCH($BV$108,'Reference Score Calculation'!$Q120)),7,5)))))</f>
        <v>5</v>
      </c>
      <c r="CO143" s="455">
        <f>IF(ISNUMBER(SEARCH(CO$119,'Reference Score Calculation'!$P120)),10,IF(ISNUMBER(SEARCH(CO$119,'Reference Score Calculation'!$Q120)),7,IF(ISNUMBER(SEARCH(CO$119,'Reference Score Calculation'!$R120)),5,IF(ISNUMBER(SEARCH($BV$108,'Reference Score Calculation'!$P120)),10,IF(ISNUMBER(SEARCH($BV$108,'Reference Score Calculation'!$Q120)),7,5)))))</f>
        <v>5</v>
      </c>
      <c r="CP143" s="455">
        <f>IF(ISNUMBER(SEARCH(CP$119,'Reference Score Calculation'!$P120)),10,IF(ISNUMBER(SEARCH(CP$119,'Reference Score Calculation'!$Q120)),7,IF(ISNUMBER(SEARCH(CP$119,'Reference Score Calculation'!$R120)),5,IF(ISNUMBER(SEARCH($BV$108,'Reference Score Calculation'!$P120)),10,IF(ISNUMBER(SEARCH($BV$108,'Reference Score Calculation'!$Q120)),7,5)))))</f>
        <v>5</v>
      </c>
      <c r="CQ143" s="455">
        <f>IF(ISNUMBER(SEARCH(CQ$119,'Reference Score Calculation'!$P120)),10,IF(ISNUMBER(SEARCH(CQ$119,'Reference Score Calculation'!$Q120)),7,IF(ISNUMBER(SEARCH(CQ$119,'Reference Score Calculation'!$R120)),5,IF(ISNUMBER(SEARCH($BV$108,'Reference Score Calculation'!$P120)),10,IF(ISNUMBER(SEARCH($BV$108,'Reference Score Calculation'!$Q120)),7,5)))))</f>
        <v>5</v>
      </c>
      <c r="CR143" s="455">
        <f>IF(ISNUMBER(SEARCH(CR$119,'Reference Score Calculation'!$P120)),10,IF(ISNUMBER(SEARCH(CR$119,'Reference Score Calculation'!$Q120)),7,IF(ISNUMBER(SEARCH(CR$119,'Reference Score Calculation'!$R120)),5,IF(ISNUMBER(SEARCH($BV$108,'Reference Score Calculation'!$P120)),10,IF(ISNUMBER(SEARCH($BV$108,'Reference Score Calculation'!$Q120)),7,5)))))</f>
        <v>5</v>
      </c>
      <c r="CS143" s="455">
        <f>IF(ISNUMBER(SEARCH(CS$119,'Reference Score Calculation'!$P120)),10,IF(ISNUMBER(SEARCH(CS$119,'Reference Score Calculation'!$Q120)),7,IF(ISNUMBER(SEARCH(CS$119,'Reference Score Calculation'!$R120)),5,IF(ISNUMBER(SEARCH($BV$108,'Reference Score Calculation'!$P120)),10,IF(ISNUMBER(SEARCH($BV$108,'Reference Score Calculation'!$Q120)),7,5)))))</f>
        <v>5</v>
      </c>
      <c r="CT143" s="455">
        <f>IF(ISNUMBER(SEARCH(CT$119,'Reference Score Calculation'!$P120)),10,IF(ISNUMBER(SEARCH(CT$119,'Reference Score Calculation'!$Q120)),7,IF(ISNUMBER(SEARCH(CT$119,'Reference Score Calculation'!$R120)),5,IF(ISNUMBER(SEARCH($BV$108,'Reference Score Calculation'!$P120)),10,IF(ISNUMBER(SEARCH($BV$108,'Reference Score Calculation'!$Q120)),7,5)))))</f>
        <v>5</v>
      </c>
      <c r="CU143" s="455">
        <f>IF(ISNUMBER(SEARCH(CU$119,'Reference Score Calculation'!$P120)),10,IF(ISNUMBER(SEARCH(CU$119,'Reference Score Calculation'!$Q120)),7,IF(ISNUMBER(SEARCH(CU$119,'Reference Score Calculation'!$R120)),5,IF(ISNUMBER(SEARCH($BV$108,'Reference Score Calculation'!$P120)),10,IF(ISNUMBER(SEARCH($BV$108,'Reference Score Calculation'!$Q120)),7,5)))))</f>
        <v>5</v>
      </c>
      <c r="CV143" s="455">
        <f>IF(ISNUMBER(SEARCH(CV$119,'Reference Score Calculation'!$P120)),10,IF(ISNUMBER(SEARCH(CV$119,'Reference Score Calculation'!$Q120)),7,IF(ISNUMBER(SEARCH(CV$119,'Reference Score Calculation'!$R120)),5,IF(ISNUMBER(SEARCH($BV$108,'Reference Score Calculation'!$P120)),10,IF(ISNUMBER(SEARCH($BV$108,'Reference Score Calculation'!$Q120)),7,5)))))</f>
        <v>5</v>
      </c>
      <c r="CW143" s="185"/>
      <c r="CX143" s="185"/>
      <c r="CY143" s="185"/>
    </row>
    <row r="144" spans="1:103">
      <c r="A144" s="117" t="s">
        <v>2752</v>
      </c>
      <c r="B144" s="459" t="str">
        <f>'Reference Score Calculation'!B121</f>
        <v>JS3237</v>
      </c>
      <c r="C144" s="117" t="str">
        <f>'Reference Score Calculation'!E121</f>
        <v>智能供應鏈及工程管理(榮譽)理學士組合課程 (智能供應鏈 / 工程管理兼數據分析)</v>
      </c>
      <c r="D144" s="2" t="e">
        <f>'Reference Score Calculation'!#REF!</f>
        <v>#REF!</v>
      </c>
      <c r="E144" s="131" t="str">
        <f>'Reference Score Calculation'!F121</f>
        <v>Best 5</v>
      </c>
      <c r="F144" s="131"/>
      <c r="G144" s="117" t="str">
        <f>入學要求!AB130</f>
        <v>v</v>
      </c>
      <c r="H144" s="117" t="str">
        <f>入學要求!AC130</f>
        <v>E</v>
      </c>
      <c r="I144" s="117" t="str">
        <f>入學要求!AD130</f>
        <v>v</v>
      </c>
      <c r="J144" s="117">
        <f t="shared" si="211"/>
        <v>8.2000000000000006E-9</v>
      </c>
      <c r="K144" s="117">
        <f t="shared" si="243"/>
        <v>7</v>
      </c>
      <c r="L144" s="117">
        <f t="shared" si="243"/>
        <v>10</v>
      </c>
      <c r="M144" s="117">
        <f t="shared" si="243"/>
        <v>10</v>
      </c>
      <c r="N144" s="117">
        <f t="shared" si="243"/>
        <v>0</v>
      </c>
      <c r="O144" s="117">
        <f t="shared" si="243"/>
        <v>5</v>
      </c>
      <c r="P144" s="117">
        <f t="shared" si="243"/>
        <v>0</v>
      </c>
      <c r="Q144" s="117">
        <f t="shared" si="243"/>
        <v>0</v>
      </c>
      <c r="R144" s="117">
        <f t="shared" si="243"/>
        <v>0</v>
      </c>
      <c r="S144" s="117">
        <f t="shared" si="243"/>
        <v>0</v>
      </c>
      <c r="T144" s="117">
        <v>5</v>
      </c>
      <c r="V144" s="117">
        <f t="shared" si="224"/>
        <v>7.0000000000000006E-10</v>
      </c>
      <c r="W144" s="117">
        <f t="shared" si="225"/>
        <v>2.0000000000000001E-9</v>
      </c>
      <c r="X144" s="117">
        <f t="shared" si="226"/>
        <v>3E-9</v>
      </c>
      <c r="Z144" s="117">
        <f t="shared" si="227"/>
        <v>2.5000000000000001E-9</v>
      </c>
      <c r="AA144" s="117">
        <f t="shared" si="228"/>
        <v>0</v>
      </c>
      <c r="AB144" s="117">
        <f t="shared" si="229"/>
        <v>0</v>
      </c>
      <c r="AC144" s="117">
        <f t="shared" si="230"/>
        <v>0</v>
      </c>
      <c r="AD144" s="117">
        <f t="shared" si="231"/>
        <v>0</v>
      </c>
      <c r="AE144" s="117">
        <f t="shared" si="232"/>
        <v>0</v>
      </c>
      <c r="AF144" s="117">
        <f t="shared" si="213"/>
        <v>7.0000000000000006E-10</v>
      </c>
      <c r="AG144" s="117">
        <f t="shared" si="214"/>
        <v>2.0000000000000001E-9</v>
      </c>
      <c r="AH144" s="117">
        <f t="shared" si="215"/>
        <v>3E-9</v>
      </c>
      <c r="AI144" s="117">
        <f t="shared" si="216"/>
        <v>0</v>
      </c>
      <c r="AJ144" s="117">
        <f t="shared" si="217"/>
        <v>2.5000000000000001E-9</v>
      </c>
      <c r="AK144" s="117">
        <f t="shared" si="218"/>
        <v>0</v>
      </c>
      <c r="AL144" s="117">
        <f t="shared" si="219"/>
        <v>0</v>
      </c>
      <c r="AM144" s="117">
        <f t="shared" si="220"/>
        <v>0</v>
      </c>
      <c r="AN144" s="117">
        <f t="shared" si="221"/>
        <v>0</v>
      </c>
      <c r="AO144" s="117">
        <f t="shared" si="222"/>
        <v>0</v>
      </c>
      <c r="AP144" s="117" t="b">
        <f t="shared" si="233"/>
        <v>1</v>
      </c>
      <c r="AQ144" s="117" t="b">
        <f t="shared" si="234"/>
        <v>1</v>
      </c>
      <c r="AR144" s="117" t="b">
        <f t="shared" si="235"/>
        <v>1</v>
      </c>
      <c r="AT144" s="117" t="b">
        <f t="shared" si="236"/>
        <v>1</v>
      </c>
      <c r="AU144" s="117" t="b">
        <f t="shared" si="237"/>
        <v>0</v>
      </c>
      <c r="AV144" s="117" t="b">
        <f t="shared" si="238"/>
        <v>0</v>
      </c>
      <c r="AW144" s="117" t="b">
        <f t="shared" si="239"/>
        <v>0</v>
      </c>
      <c r="AX144" s="117" t="b">
        <f t="shared" si="240"/>
        <v>0</v>
      </c>
      <c r="AY144" s="117" t="b">
        <f t="shared" si="241"/>
        <v>0</v>
      </c>
      <c r="BA144" s="2"/>
      <c r="BB144" s="2"/>
      <c r="BC144" s="2"/>
      <c r="BD144" s="2"/>
      <c r="BE144" s="2"/>
      <c r="BF144" s="2"/>
      <c r="BG144" s="2"/>
      <c r="BH144" s="2"/>
      <c r="BI144" s="2"/>
      <c r="BJ144" s="2"/>
      <c r="BK144" s="2"/>
      <c r="BL144" s="2"/>
      <c r="BM144" s="2"/>
      <c r="BN144" s="2"/>
      <c r="BO144" s="2"/>
      <c r="BP144" s="2"/>
      <c r="BQ144" s="2"/>
      <c r="BR144" s="2"/>
      <c r="BS144" s="185" t="str">
        <f>'Reference Score Calculation'!B121</f>
        <v>JS3237</v>
      </c>
      <c r="BT144" s="185"/>
      <c r="BU144" s="455">
        <f>IF(ISNUMBER(SEARCH(BU$119,'Reference Score Calculation'!$P121)),10,IF(ISNUMBER(SEARCH(BU$119,'Reference Score Calculation'!$Q121)),7,IF(ISNUMBER(SEARCH(BU$119,'Reference Score Calculation'!$R121)),5,IF(ISNUMBER(SEARCH($BV$108,'Reference Score Calculation'!$P121)),10,IF(ISNUMBER(SEARCH($BV$108,'Reference Score Calculation'!$Q121)),7,5)))))</f>
        <v>7</v>
      </c>
      <c r="BV144" s="455">
        <f>IF(ISNUMBER(SEARCH(BV$119,'Reference Score Calculation'!$P121)),10,IF(ISNUMBER(SEARCH(BV$119,'Reference Score Calculation'!$Q121)),7,IF(ISNUMBER(SEARCH(BV$119,'Reference Score Calculation'!$R121)),5,IF(ISNUMBER(SEARCH($BV$108,'Reference Score Calculation'!$P121)),10,IF(ISNUMBER(SEARCH($BV$108,'Reference Score Calculation'!$Q121)),7,5)))))</f>
        <v>10</v>
      </c>
      <c r="BW144" s="455">
        <f>IF(ISNUMBER(SEARCH(BW$119,'Reference Score Calculation'!$P121)),10,IF(ISNUMBER(SEARCH(BW$119,'Reference Score Calculation'!$Q121)),7,IF(ISNUMBER(SEARCH(BW$119,'Reference Score Calculation'!$R121)),5,IF(ISNUMBER(SEARCH($BV$108,'Reference Score Calculation'!$P121)),10,IF(ISNUMBER(SEARCH($BV$108,'Reference Score Calculation'!$Q121)),7,5)))))</f>
        <v>10</v>
      </c>
      <c r="BX144" s="455">
        <f>IF(ISNUMBER(SEARCH(BX$119,'Reference Score Calculation'!$P121)),10,IF(ISNUMBER(SEARCH(BX$119,'Reference Score Calculation'!$Q121)),7,IF(ISNUMBER(SEARCH(BX$119,'Reference Score Calculation'!$R121)),5,IF(ISNUMBER(SEARCH($BV$108,'Reference Score Calculation'!$P121)),10,IF(ISNUMBER(SEARCH($BV$108,'Reference Score Calculation'!$Q121)),7,5)))))</f>
        <v>5</v>
      </c>
      <c r="BY144" s="455">
        <f>IF(ISNUMBER(SEARCH(BY$119,'Reference Score Calculation'!$P121)),10,IF(ISNUMBER(SEARCH(BY$119,'Reference Score Calculation'!$Q121)),7,IF(ISNUMBER(SEARCH(BY$119,'Reference Score Calculation'!$R121)),5,IF(ISNUMBER(SEARCH($BV$108,'Reference Score Calculation'!$P121)),10,IF(ISNUMBER(SEARCH($BV$108,'Reference Score Calculation'!$Q121)),7,5)))))</f>
        <v>5</v>
      </c>
      <c r="BZ144" s="455">
        <f>IF(ISNUMBER(SEARCH(BZ$119,'Reference Score Calculation'!$P121)),10,IF(ISNUMBER(SEARCH(BZ$119,'Reference Score Calculation'!$Q121)),7,IF(ISNUMBER(SEARCH(BZ$119,'Reference Score Calculation'!$R121)),5,IF(ISNUMBER(SEARCH($BV$108,'Reference Score Calculation'!$P121)),10,IF(ISNUMBER(SEARCH($BV$108,'Reference Score Calculation'!$Q121)),7,5)))))</f>
        <v>5</v>
      </c>
      <c r="CA144" s="455">
        <f>IF(ISNUMBER(SEARCH(CA$119,'Reference Score Calculation'!$P121)),10,IF(ISNUMBER(SEARCH(CA$119,'Reference Score Calculation'!$Q121)),7,IF(ISNUMBER(SEARCH(CA$119,'Reference Score Calculation'!$R121)),5,IF(ISNUMBER(SEARCH($BV$108,'Reference Score Calculation'!$P121)),10,IF(ISNUMBER(SEARCH($BV$108,'Reference Score Calculation'!$Q121)),7,5)))))</f>
        <v>5</v>
      </c>
      <c r="CB144" s="455">
        <f>IF(ISNUMBER(SEARCH(CB$119,'Reference Score Calculation'!$P121)),10,IF(ISNUMBER(SEARCH(CB$119,'Reference Score Calculation'!$Q121)),7,IF(ISNUMBER(SEARCH(CB$119,'Reference Score Calculation'!$R121)),5,IF(ISNUMBER(SEARCH($BV$108,'Reference Score Calculation'!$P121)),10,IF(ISNUMBER(SEARCH($BV$108,'Reference Score Calculation'!$Q121)),7,5)))))</f>
        <v>5</v>
      </c>
      <c r="CC144" s="455">
        <f>IF(ISNUMBER(SEARCH(CC$119,'Reference Score Calculation'!$P121)),10,IF(ISNUMBER(SEARCH(CC$119,'Reference Score Calculation'!$Q121)),7,IF(ISNUMBER(SEARCH(CC$119,'Reference Score Calculation'!$R121)),5,IF(ISNUMBER(SEARCH($BV$108,'Reference Score Calculation'!$P121)),10,IF(ISNUMBER(SEARCH($BV$108,'Reference Score Calculation'!$Q121)),7,5)))))</f>
        <v>5</v>
      </c>
      <c r="CD144" s="455">
        <f>IF(ISNUMBER(SEARCH(CD$119,'Reference Score Calculation'!$P121)),10,IF(ISNUMBER(SEARCH(CD$119,'Reference Score Calculation'!$Q121)),7,IF(ISNUMBER(SEARCH(CD$119,'Reference Score Calculation'!$R121)),5,IF(ISNUMBER(SEARCH($BV$108,'Reference Score Calculation'!$P121)),10,IF(ISNUMBER(SEARCH($BV$108,'Reference Score Calculation'!$Q121)),7,5)))))</f>
        <v>5</v>
      </c>
      <c r="CE144" s="455">
        <f>IF(ISNUMBER(SEARCH(CE$119,'Reference Score Calculation'!$P121)),10,IF(ISNUMBER(SEARCH(CE$119,'Reference Score Calculation'!$Q121)),7,IF(ISNUMBER(SEARCH(CE$119,'Reference Score Calculation'!$R121)),5,IF(ISNUMBER(SEARCH($BV$108,'Reference Score Calculation'!$P121)),10,IF(ISNUMBER(SEARCH($BV$108,'Reference Score Calculation'!$Q121)),7,5)))))</f>
        <v>5</v>
      </c>
      <c r="CF144" s="455">
        <f>IF(ISNUMBER(SEARCH(CF$119,'Reference Score Calculation'!$P121)),10,IF(ISNUMBER(SEARCH(CF$119,'Reference Score Calculation'!$Q121)),7,IF(ISNUMBER(SEARCH(CF$119,'Reference Score Calculation'!$R121)),5,IF(ISNUMBER(SEARCH($BV$108,'Reference Score Calculation'!$P121)),10,IF(ISNUMBER(SEARCH($BV$108,'Reference Score Calculation'!$Q121)),7,5)))))</f>
        <v>5</v>
      </c>
      <c r="CG144" s="455">
        <f>IF(ISNUMBER(SEARCH(CG$119,'Reference Score Calculation'!$P121)),10,IF(ISNUMBER(SEARCH(CG$119,'Reference Score Calculation'!$Q121)),7,IF(ISNUMBER(SEARCH(CG$119,'Reference Score Calculation'!$R121)),5,IF(ISNUMBER(SEARCH($BV$108,'Reference Score Calculation'!$P121)),10,IF(ISNUMBER(SEARCH($BV$108,'Reference Score Calculation'!$Q121)),7,5)))))</f>
        <v>5</v>
      </c>
      <c r="CH144" s="455">
        <f>IF(ISNUMBER(SEARCH(CH$119,'Reference Score Calculation'!$P121)),10,IF(ISNUMBER(SEARCH(CH$119,'Reference Score Calculation'!$Q121)),7,IF(ISNUMBER(SEARCH(CH$119,'Reference Score Calculation'!$R121)),5,IF(ISNUMBER(SEARCH($BV$108,'Reference Score Calculation'!$P121)),10,IF(ISNUMBER(SEARCH($BV$108,'Reference Score Calculation'!$Q121)),7,5)))))</f>
        <v>5</v>
      </c>
      <c r="CI144" s="455">
        <f>IF(ISNUMBER(SEARCH(CI$119,'Reference Score Calculation'!$P121)),10,IF(ISNUMBER(SEARCH(CI$119,'Reference Score Calculation'!$Q121)),7,IF(ISNUMBER(SEARCH(CI$119,'Reference Score Calculation'!$R121)),5,IF(ISNUMBER(SEARCH($BV$108,'Reference Score Calculation'!$P121)),10,IF(ISNUMBER(SEARCH($BV$108,'Reference Score Calculation'!$Q121)),7,5)))))</f>
        <v>5</v>
      </c>
      <c r="CJ144" s="455">
        <f>IF(ISNUMBER(SEARCH(CJ$119,'Reference Score Calculation'!$P121)),10,IF(ISNUMBER(SEARCH(CJ$119,'Reference Score Calculation'!$Q121)),7,IF(ISNUMBER(SEARCH(CJ$119,'Reference Score Calculation'!$R121)),5,IF(ISNUMBER(SEARCH($BV$108,'Reference Score Calculation'!$P121)),10,IF(ISNUMBER(SEARCH($BV$108,'Reference Score Calculation'!$Q121)),7,5)))))</f>
        <v>5</v>
      </c>
      <c r="CK144" s="455">
        <f>IF(ISNUMBER(SEARCH(CK$119,'Reference Score Calculation'!$P121)),10,IF(ISNUMBER(SEARCH(CK$119,'Reference Score Calculation'!$Q121)),7,IF(ISNUMBER(SEARCH(CK$119,'Reference Score Calculation'!$R121)),5,IF(ISNUMBER(SEARCH($BV$108,'Reference Score Calculation'!$P121)),10,IF(ISNUMBER(SEARCH($BV$108,'Reference Score Calculation'!$Q121)),7,5)))))</f>
        <v>5</v>
      </c>
      <c r="CL144" s="455">
        <f>IF(ISNUMBER(SEARCH(CL$119,'Reference Score Calculation'!$P121)),10,IF(ISNUMBER(SEARCH(CL$119,'Reference Score Calculation'!$Q121)),7,IF(ISNUMBER(SEARCH(CL$119,'Reference Score Calculation'!$R121)),5,IF(ISNUMBER(SEARCH($BV$108,'Reference Score Calculation'!$P121)),10,IF(ISNUMBER(SEARCH($BV$108,'Reference Score Calculation'!$Q121)),7,5)))))</f>
        <v>5</v>
      </c>
      <c r="CM144" s="455">
        <f>IF(ISNUMBER(SEARCH(CM$119,'Reference Score Calculation'!$P121)),10,IF(ISNUMBER(SEARCH(CM$119,'Reference Score Calculation'!$Q121)),7,IF(ISNUMBER(SEARCH(CM$119,'Reference Score Calculation'!$R121)),5,IF(ISNUMBER(SEARCH($BV$108,'Reference Score Calculation'!$P121)),10,IF(ISNUMBER(SEARCH($BV$108,'Reference Score Calculation'!$Q121)),7,5)))))</f>
        <v>5</v>
      </c>
      <c r="CN144" s="455">
        <f>IF(ISNUMBER(SEARCH(CN$119,'Reference Score Calculation'!$P121)),10,IF(ISNUMBER(SEARCH(CN$119,'Reference Score Calculation'!$Q121)),7,IF(ISNUMBER(SEARCH(CN$119,'Reference Score Calculation'!$R121)),5,IF(ISNUMBER(SEARCH($BV$108,'Reference Score Calculation'!$P121)),10,IF(ISNUMBER(SEARCH($BV$108,'Reference Score Calculation'!$Q121)),7,5)))))</f>
        <v>5</v>
      </c>
      <c r="CO144" s="455">
        <f>IF(ISNUMBER(SEARCH(CO$119,'Reference Score Calculation'!$P121)),10,IF(ISNUMBER(SEARCH(CO$119,'Reference Score Calculation'!$Q121)),7,IF(ISNUMBER(SEARCH(CO$119,'Reference Score Calculation'!$R121)),5,IF(ISNUMBER(SEARCH($BV$108,'Reference Score Calculation'!$P121)),10,IF(ISNUMBER(SEARCH($BV$108,'Reference Score Calculation'!$Q121)),7,5)))))</f>
        <v>5</v>
      </c>
      <c r="CP144" s="455">
        <f>IF(ISNUMBER(SEARCH(CP$119,'Reference Score Calculation'!$P121)),10,IF(ISNUMBER(SEARCH(CP$119,'Reference Score Calculation'!$Q121)),7,IF(ISNUMBER(SEARCH(CP$119,'Reference Score Calculation'!$R121)),5,IF(ISNUMBER(SEARCH($BV$108,'Reference Score Calculation'!$P121)),10,IF(ISNUMBER(SEARCH($BV$108,'Reference Score Calculation'!$Q121)),7,5)))))</f>
        <v>5</v>
      </c>
      <c r="CQ144" s="455">
        <f>IF(ISNUMBER(SEARCH(CQ$119,'Reference Score Calculation'!$P121)),10,IF(ISNUMBER(SEARCH(CQ$119,'Reference Score Calculation'!$Q121)),7,IF(ISNUMBER(SEARCH(CQ$119,'Reference Score Calculation'!$R121)),5,IF(ISNUMBER(SEARCH($BV$108,'Reference Score Calculation'!$P121)),10,IF(ISNUMBER(SEARCH($BV$108,'Reference Score Calculation'!$Q121)),7,5)))))</f>
        <v>5</v>
      </c>
      <c r="CR144" s="455">
        <f>IF(ISNUMBER(SEARCH(CR$119,'Reference Score Calculation'!$P121)),10,IF(ISNUMBER(SEARCH(CR$119,'Reference Score Calculation'!$Q121)),7,IF(ISNUMBER(SEARCH(CR$119,'Reference Score Calculation'!$R121)),5,IF(ISNUMBER(SEARCH($BV$108,'Reference Score Calculation'!$P121)),10,IF(ISNUMBER(SEARCH($BV$108,'Reference Score Calculation'!$Q121)),7,5)))))</f>
        <v>5</v>
      </c>
      <c r="CS144" s="455">
        <f>IF(ISNUMBER(SEARCH(CS$119,'Reference Score Calculation'!$P121)),10,IF(ISNUMBER(SEARCH(CS$119,'Reference Score Calculation'!$Q121)),7,IF(ISNUMBER(SEARCH(CS$119,'Reference Score Calculation'!$R121)),5,IF(ISNUMBER(SEARCH($BV$108,'Reference Score Calculation'!$P121)),10,IF(ISNUMBER(SEARCH($BV$108,'Reference Score Calculation'!$Q121)),7,5)))))</f>
        <v>5</v>
      </c>
      <c r="CT144" s="455">
        <f>IF(ISNUMBER(SEARCH(CT$119,'Reference Score Calculation'!$P121)),10,IF(ISNUMBER(SEARCH(CT$119,'Reference Score Calculation'!$Q121)),7,IF(ISNUMBER(SEARCH(CT$119,'Reference Score Calculation'!$R121)),5,IF(ISNUMBER(SEARCH($BV$108,'Reference Score Calculation'!$P121)),10,IF(ISNUMBER(SEARCH($BV$108,'Reference Score Calculation'!$Q121)),7,5)))))</f>
        <v>5</v>
      </c>
      <c r="CU144" s="455">
        <f>IF(ISNUMBER(SEARCH(CU$119,'Reference Score Calculation'!$P121)),10,IF(ISNUMBER(SEARCH(CU$119,'Reference Score Calculation'!$Q121)),7,IF(ISNUMBER(SEARCH(CU$119,'Reference Score Calculation'!$R121)),5,IF(ISNUMBER(SEARCH($BV$108,'Reference Score Calculation'!$P121)),10,IF(ISNUMBER(SEARCH($BV$108,'Reference Score Calculation'!$Q121)),7,5)))))</f>
        <v>5</v>
      </c>
      <c r="CV144" s="455">
        <f>IF(ISNUMBER(SEARCH(CV$119,'Reference Score Calculation'!$P121)),10,IF(ISNUMBER(SEARCH(CV$119,'Reference Score Calculation'!$Q121)),7,IF(ISNUMBER(SEARCH(CV$119,'Reference Score Calculation'!$R121)),5,IF(ISNUMBER(SEARCH($BV$108,'Reference Score Calculation'!$P121)),10,IF(ISNUMBER(SEARCH($BV$108,'Reference Score Calculation'!$Q121)),7,5)))))</f>
        <v>5</v>
      </c>
      <c r="CW144" s="185"/>
      <c r="CX144" s="185"/>
      <c r="CY144" s="185"/>
    </row>
    <row r="145" spans="1:103">
      <c r="A145" s="117" t="s">
        <v>1093</v>
      </c>
      <c r="B145" s="459" t="str">
        <f>'Reference Score Calculation'!B122</f>
        <v>JS3240</v>
      </c>
      <c r="C145" s="117" t="str">
        <f>'Reference Score Calculation'!E122</f>
        <v>英文及應用語言學(榮譽)文學士</v>
      </c>
      <c r="D145" s="2" t="e">
        <f>'Reference Score Calculation'!#REF!</f>
        <v>#REF!</v>
      </c>
      <c r="E145" s="131" t="str">
        <f>'Reference Score Calculation'!F122</f>
        <v>中英Best3</v>
      </c>
      <c r="F145" s="131"/>
      <c r="G145" s="117" t="str">
        <f>入學要求!AB131</f>
        <v>v</v>
      </c>
      <c r="H145" s="117" t="str">
        <f>入學要求!AC131</f>
        <v>E</v>
      </c>
      <c r="I145" s="117" t="str">
        <f>入學要求!AD131</f>
        <v>v</v>
      </c>
      <c r="J145" s="117">
        <f t="shared" si="211"/>
        <v>7.6000000000000002E-9</v>
      </c>
      <c r="K145" s="117">
        <f t="shared" si="243"/>
        <v>10</v>
      </c>
      <c r="L145" s="117">
        <f t="shared" si="243"/>
        <v>10</v>
      </c>
      <c r="M145" s="117">
        <f t="shared" si="243"/>
        <v>7</v>
      </c>
      <c r="N145" s="117">
        <f t="shared" si="243"/>
        <v>0</v>
      </c>
      <c r="O145" s="117">
        <f t="shared" si="243"/>
        <v>5</v>
      </c>
      <c r="P145" s="117">
        <f t="shared" si="243"/>
        <v>0</v>
      </c>
      <c r="Q145" s="117">
        <f t="shared" si="243"/>
        <v>0</v>
      </c>
      <c r="R145" s="117">
        <f t="shared" si="243"/>
        <v>0</v>
      </c>
      <c r="S145" s="117">
        <f t="shared" si="243"/>
        <v>0</v>
      </c>
      <c r="T145" s="117">
        <v>5</v>
      </c>
      <c r="V145" s="117">
        <f t="shared" si="224"/>
        <v>1.0000000000000001E-9</v>
      </c>
      <c r="W145" s="117">
        <f t="shared" si="225"/>
        <v>2.0000000000000001E-9</v>
      </c>
      <c r="X145" s="117">
        <f t="shared" si="226"/>
        <v>2.0999999999999998E-9</v>
      </c>
      <c r="Z145" s="117">
        <f t="shared" si="227"/>
        <v>2.5000000000000001E-9</v>
      </c>
      <c r="AA145" s="117">
        <f t="shared" si="228"/>
        <v>0</v>
      </c>
      <c r="AB145" s="117">
        <f t="shared" si="229"/>
        <v>0</v>
      </c>
      <c r="AC145" s="117">
        <f t="shared" si="230"/>
        <v>0</v>
      </c>
      <c r="AD145" s="117">
        <f t="shared" si="231"/>
        <v>0</v>
      </c>
      <c r="AE145" s="117">
        <f t="shared" si="232"/>
        <v>0</v>
      </c>
      <c r="AF145" s="117">
        <f t="shared" si="213"/>
        <v>99.000000001000004</v>
      </c>
      <c r="AG145" s="117">
        <f t="shared" si="214"/>
        <v>99.000000001999993</v>
      </c>
      <c r="AH145" s="117">
        <f t="shared" si="215"/>
        <v>2.0999999999999998E-9</v>
      </c>
      <c r="AI145" s="117">
        <f t="shared" si="216"/>
        <v>0</v>
      </c>
      <c r="AJ145" s="117">
        <f t="shared" si="217"/>
        <v>2.5000000000000001E-9</v>
      </c>
      <c r="AK145" s="117">
        <f t="shared" si="218"/>
        <v>0</v>
      </c>
      <c r="AL145" s="117">
        <f t="shared" si="219"/>
        <v>0</v>
      </c>
      <c r="AM145" s="117">
        <f t="shared" si="220"/>
        <v>0</v>
      </c>
      <c r="AN145" s="117">
        <f t="shared" si="221"/>
        <v>0</v>
      </c>
      <c r="AO145" s="117">
        <f t="shared" si="222"/>
        <v>0</v>
      </c>
      <c r="AP145" s="117" t="b">
        <f t="shared" si="233"/>
        <v>1</v>
      </c>
      <c r="AQ145" s="117" t="b">
        <f t="shared" si="234"/>
        <v>1</v>
      </c>
      <c r="AR145" s="117" t="b">
        <f t="shared" si="235"/>
        <v>1</v>
      </c>
      <c r="AT145" s="117" t="b">
        <f t="shared" si="236"/>
        <v>1</v>
      </c>
      <c r="AU145" s="117" t="b">
        <f t="shared" si="237"/>
        <v>0</v>
      </c>
      <c r="AV145" s="117" t="b">
        <f t="shared" si="238"/>
        <v>0</v>
      </c>
      <c r="AW145" s="117" t="b">
        <f t="shared" si="239"/>
        <v>0</v>
      </c>
      <c r="AX145" s="117" t="b">
        <f t="shared" si="240"/>
        <v>0</v>
      </c>
      <c r="AY145" s="117" t="b">
        <f t="shared" si="241"/>
        <v>0</v>
      </c>
      <c r="BA145" s="2"/>
      <c r="BB145" s="2"/>
      <c r="BC145" s="2"/>
      <c r="BD145" s="2"/>
      <c r="BE145" s="2"/>
      <c r="BF145" s="2"/>
      <c r="BG145" s="2"/>
      <c r="BH145" s="2" t="b">
        <v>1</v>
      </c>
      <c r="BI145" s="2" t="b">
        <v>1</v>
      </c>
      <c r="BJ145" s="2"/>
      <c r="BK145" s="2"/>
      <c r="BL145" s="2"/>
      <c r="BM145" s="2"/>
      <c r="BN145" s="2"/>
      <c r="BO145" s="2"/>
      <c r="BP145" s="2"/>
      <c r="BQ145" s="2"/>
      <c r="BR145" s="2"/>
      <c r="BS145" s="185" t="str">
        <f>'Reference Score Calculation'!B122</f>
        <v>JS3240</v>
      </c>
      <c r="BT145" s="185"/>
      <c r="BU145" s="455">
        <f>IF(ISNUMBER(SEARCH(BU$119,'Reference Score Calculation'!$P122)),10,IF(ISNUMBER(SEARCH(BU$119,'Reference Score Calculation'!$Q122)),7,IF(ISNUMBER(SEARCH(BU$119,'Reference Score Calculation'!$R122)),5,IF(ISNUMBER(SEARCH($BV$108,'Reference Score Calculation'!$P122)),10,IF(ISNUMBER(SEARCH($BV$108,'Reference Score Calculation'!$Q122)),7,5)))))</f>
        <v>10</v>
      </c>
      <c r="BV145" s="455">
        <f>IF(ISNUMBER(SEARCH(BV$119,'Reference Score Calculation'!$P122)),10,IF(ISNUMBER(SEARCH(BV$119,'Reference Score Calculation'!$Q122)),7,IF(ISNUMBER(SEARCH(BV$119,'Reference Score Calculation'!$R122)),5,IF(ISNUMBER(SEARCH($BV$108,'Reference Score Calculation'!$P122)),10,IF(ISNUMBER(SEARCH($BV$108,'Reference Score Calculation'!$Q122)),7,5)))))</f>
        <v>10</v>
      </c>
      <c r="BW145" s="455">
        <f>IF(ISNUMBER(SEARCH(BW$119,'Reference Score Calculation'!$P122)),10,IF(ISNUMBER(SEARCH(BW$119,'Reference Score Calculation'!$Q122)),7,IF(ISNUMBER(SEARCH(BW$119,'Reference Score Calculation'!$R122)),5,IF(ISNUMBER(SEARCH($BV$108,'Reference Score Calculation'!$P122)),10,IF(ISNUMBER(SEARCH($BV$108,'Reference Score Calculation'!$Q122)),7,5)))))</f>
        <v>7</v>
      </c>
      <c r="BX145" s="455">
        <f>IF(ISNUMBER(SEARCH(BX$119,'Reference Score Calculation'!$P122)),10,IF(ISNUMBER(SEARCH(BX$119,'Reference Score Calculation'!$Q122)),7,IF(ISNUMBER(SEARCH(BX$119,'Reference Score Calculation'!$R122)),5,IF(ISNUMBER(SEARCH($BV$108,'Reference Score Calculation'!$P122)),10,IF(ISNUMBER(SEARCH($BV$108,'Reference Score Calculation'!$Q122)),7,5)))))</f>
        <v>7</v>
      </c>
      <c r="BY145" s="455">
        <f>IF(ISNUMBER(SEARCH(BY$119,'Reference Score Calculation'!$P122)),10,IF(ISNUMBER(SEARCH(BY$119,'Reference Score Calculation'!$Q122)),7,IF(ISNUMBER(SEARCH(BY$119,'Reference Score Calculation'!$R122)),5,IF(ISNUMBER(SEARCH($BV$108,'Reference Score Calculation'!$P122)),10,IF(ISNUMBER(SEARCH($BV$108,'Reference Score Calculation'!$Q122)),7,5)))))</f>
        <v>5</v>
      </c>
      <c r="BZ145" s="455">
        <f>IF(ISNUMBER(SEARCH(BZ$119,'Reference Score Calculation'!$P122)),10,IF(ISNUMBER(SEARCH(BZ$119,'Reference Score Calculation'!$Q122)),7,IF(ISNUMBER(SEARCH(BZ$119,'Reference Score Calculation'!$R122)),5,IF(ISNUMBER(SEARCH($BV$108,'Reference Score Calculation'!$P122)),10,IF(ISNUMBER(SEARCH($BV$108,'Reference Score Calculation'!$Q122)),7,5)))))</f>
        <v>5</v>
      </c>
      <c r="CA145" s="455">
        <f>IF(ISNUMBER(SEARCH(CA$119,'Reference Score Calculation'!$P122)),10,IF(ISNUMBER(SEARCH(CA$119,'Reference Score Calculation'!$Q122)),7,IF(ISNUMBER(SEARCH(CA$119,'Reference Score Calculation'!$R122)),5,IF(ISNUMBER(SEARCH($BV$108,'Reference Score Calculation'!$P122)),10,IF(ISNUMBER(SEARCH($BV$108,'Reference Score Calculation'!$Q122)),7,5)))))</f>
        <v>5</v>
      </c>
      <c r="CB145" s="455">
        <f>IF(ISNUMBER(SEARCH(CB$119,'Reference Score Calculation'!$P122)),10,IF(ISNUMBER(SEARCH(CB$119,'Reference Score Calculation'!$Q122)),7,IF(ISNUMBER(SEARCH(CB$119,'Reference Score Calculation'!$R122)),5,IF(ISNUMBER(SEARCH($BV$108,'Reference Score Calculation'!$P122)),10,IF(ISNUMBER(SEARCH($BV$108,'Reference Score Calculation'!$Q122)),7,5)))))</f>
        <v>5</v>
      </c>
      <c r="CC145" s="455">
        <f>IF(ISNUMBER(SEARCH(CC$119,'Reference Score Calculation'!$P122)),10,IF(ISNUMBER(SEARCH(CC$119,'Reference Score Calculation'!$Q122)),7,IF(ISNUMBER(SEARCH(CC$119,'Reference Score Calculation'!$R122)),5,IF(ISNUMBER(SEARCH($BV$108,'Reference Score Calculation'!$P122)),10,IF(ISNUMBER(SEARCH($BV$108,'Reference Score Calculation'!$Q122)),7,5)))))</f>
        <v>5</v>
      </c>
      <c r="CD145" s="455">
        <f>IF(ISNUMBER(SEARCH(CD$119,'Reference Score Calculation'!$P122)),10,IF(ISNUMBER(SEARCH(CD$119,'Reference Score Calculation'!$Q122)),7,IF(ISNUMBER(SEARCH(CD$119,'Reference Score Calculation'!$R122)),5,IF(ISNUMBER(SEARCH($BV$108,'Reference Score Calculation'!$P122)),10,IF(ISNUMBER(SEARCH($BV$108,'Reference Score Calculation'!$Q122)),7,5)))))</f>
        <v>7</v>
      </c>
      <c r="CE145" s="455">
        <f>IF(ISNUMBER(SEARCH(CE$119,'Reference Score Calculation'!$P122)),10,IF(ISNUMBER(SEARCH(CE$119,'Reference Score Calculation'!$Q122)),7,IF(ISNUMBER(SEARCH(CE$119,'Reference Score Calculation'!$R122)),5,IF(ISNUMBER(SEARCH($BV$108,'Reference Score Calculation'!$P122)),10,IF(ISNUMBER(SEARCH($BV$108,'Reference Score Calculation'!$Q122)),7,5)))))</f>
        <v>7</v>
      </c>
      <c r="CF145" s="455">
        <f>IF(ISNUMBER(SEARCH(CF$119,'Reference Score Calculation'!$P122)),10,IF(ISNUMBER(SEARCH(CF$119,'Reference Score Calculation'!$Q122)),7,IF(ISNUMBER(SEARCH(CF$119,'Reference Score Calculation'!$R122)),5,IF(ISNUMBER(SEARCH($BV$108,'Reference Score Calculation'!$P122)),10,IF(ISNUMBER(SEARCH($BV$108,'Reference Score Calculation'!$Q122)),7,5)))))</f>
        <v>5</v>
      </c>
      <c r="CG145" s="455">
        <f>IF(ISNUMBER(SEARCH(CG$119,'Reference Score Calculation'!$P122)),10,IF(ISNUMBER(SEARCH(CG$119,'Reference Score Calculation'!$Q122)),7,IF(ISNUMBER(SEARCH(CG$119,'Reference Score Calculation'!$R122)),5,IF(ISNUMBER(SEARCH($BV$108,'Reference Score Calculation'!$P122)),10,IF(ISNUMBER(SEARCH($BV$108,'Reference Score Calculation'!$Q122)),7,5)))))</f>
        <v>7</v>
      </c>
      <c r="CH145" s="455">
        <f>IF(ISNUMBER(SEARCH(CH$119,'Reference Score Calculation'!$P122)),10,IF(ISNUMBER(SEARCH(CH$119,'Reference Score Calculation'!$Q122)),7,IF(ISNUMBER(SEARCH(CH$119,'Reference Score Calculation'!$R122)),5,IF(ISNUMBER(SEARCH($BV$108,'Reference Score Calculation'!$P122)),10,IF(ISNUMBER(SEARCH($BV$108,'Reference Score Calculation'!$Q122)),7,5)))))</f>
        <v>7</v>
      </c>
      <c r="CI145" s="455">
        <f>IF(ISNUMBER(SEARCH(CI$119,'Reference Score Calculation'!$P122)),10,IF(ISNUMBER(SEARCH(CI$119,'Reference Score Calculation'!$Q122)),7,IF(ISNUMBER(SEARCH(CI$119,'Reference Score Calculation'!$R122)),5,IF(ISNUMBER(SEARCH($BV$108,'Reference Score Calculation'!$P122)),10,IF(ISNUMBER(SEARCH($BV$108,'Reference Score Calculation'!$Q122)),7,5)))))</f>
        <v>7</v>
      </c>
      <c r="CJ145" s="455">
        <f>IF(ISNUMBER(SEARCH(CJ$119,'Reference Score Calculation'!$P122)),10,IF(ISNUMBER(SEARCH(CJ$119,'Reference Score Calculation'!$Q122)),7,IF(ISNUMBER(SEARCH(CJ$119,'Reference Score Calculation'!$R122)),5,IF(ISNUMBER(SEARCH($BV$108,'Reference Score Calculation'!$P122)),10,IF(ISNUMBER(SEARCH($BV$108,'Reference Score Calculation'!$Q122)),7,5)))))</f>
        <v>5</v>
      </c>
      <c r="CK145" s="455">
        <f>IF(ISNUMBER(SEARCH(CK$119,'Reference Score Calculation'!$P122)),10,IF(ISNUMBER(SEARCH(CK$119,'Reference Score Calculation'!$Q122)),7,IF(ISNUMBER(SEARCH(CK$119,'Reference Score Calculation'!$R122)),5,IF(ISNUMBER(SEARCH($BV$108,'Reference Score Calculation'!$P122)),10,IF(ISNUMBER(SEARCH($BV$108,'Reference Score Calculation'!$Q122)),7,5)))))</f>
        <v>7</v>
      </c>
      <c r="CL145" s="455">
        <f>IF(ISNUMBER(SEARCH(CL$119,'Reference Score Calculation'!$P122)),10,IF(ISNUMBER(SEARCH(CL$119,'Reference Score Calculation'!$Q122)),7,IF(ISNUMBER(SEARCH(CL$119,'Reference Score Calculation'!$R122)),5,IF(ISNUMBER(SEARCH($BV$108,'Reference Score Calculation'!$P122)),10,IF(ISNUMBER(SEARCH($BV$108,'Reference Score Calculation'!$Q122)),7,5)))))</f>
        <v>7</v>
      </c>
      <c r="CM145" s="455">
        <f>IF(ISNUMBER(SEARCH(CM$119,'Reference Score Calculation'!$P122)),10,IF(ISNUMBER(SEARCH(CM$119,'Reference Score Calculation'!$Q122)),7,IF(ISNUMBER(SEARCH(CM$119,'Reference Score Calculation'!$R122)),5,IF(ISNUMBER(SEARCH($BV$108,'Reference Score Calculation'!$P122)),10,IF(ISNUMBER(SEARCH($BV$108,'Reference Score Calculation'!$Q122)),7,5)))))</f>
        <v>7</v>
      </c>
      <c r="CN145" s="455">
        <f>IF(ISNUMBER(SEARCH(CN$119,'Reference Score Calculation'!$P122)),10,IF(ISNUMBER(SEARCH(CN$119,'Reference Score Calculation'!$Q122)),7,IF(ISNUMBER(SEARCH(CN$119,'Reference Score Calculation'!$R122)),5,IF(ISNUMBER(SEARCH($BV$108,'Reference Score Calculation'!$P122)),10,IF(ISNUMBER(SEARCH($BV$108,'Reference Score Calculation'!$Q122)),7,5)))))</f>
        <v>7</v>
      </c>
      <c r="CO145" s="455">
        <f>IF(ISNUMBER(SEARCH(CO$119,'Reference Score Calculation'!$P122)),10,IF(ISNUMBER(SEARCH(CO$119,'Reference Score Calculation'!$Q122)),7,IF(ISNUMBER(SEARCH(CO$119,'Reference Score Calculation'!$R122)),5,IF(ISNUMBER(SEARCH($BV$108,'Reference Score Calculation'!$P122)),10,IF(ISNUMBER(SEARCH($BV$108,'Reference Score Calculation'!$Q122)),7,5)))))</f>
        <v>7</v>
      </c>
      <c r="CP145" s="455">
        <f>IF(ISNUMBER(SEARCH(CP$119,'Reference Score Calculation'!$P122)),10,IF(ISNUMBER(SEARCH(CP$119,'Reference Score Calculation'!$Q122)),7,IF(ISNUMBER(SEARCH(CP$119,'Reference Score Calculation'!$R122)),5,IF(ISNUMBER(SEARCH($BV$108,'Reference Score Calculation'!$P122)),10,IF(ISNUMBER(SEARCH($BV$108,'Reference Score Calculation'!$Q122)),7,5)))))</f>
        <v>7</v>
      </c>
      <c r="CQ145" s="455">
        <f>IF(ISNUMBER(SEARCH(CQ$119,'Reference Score Calculation'!$P122)),10,IF(ISNUMBER(SEARCH(CQ$119,'Reference Score Calculation'!$Q122)),7,IF(ISNUMBER(SEARCH(CQ$119,'Reference Score Calculation'!$R122)),5,IF(ISNUMBER(SEARCH($BV$108,'Reference Score Calculation'!$P122)),10,IF(ISNUMBER(SEARCH($BV$108,'Reference Score Calculation'!$Q122)),7,5)))))</f>
        <v>7</v>
      </c>
      <c r="CR145" s="455">
        <f>IF(ISNUMBER(SEARCH(CR$119,'Reference Score Calculation'!$P122)),10,IF(ISNUMBER(SEARCH(CR$119,'Reference Score Calculation'!$Q122)),7,IF(ISNUMBER(SEARCH(CR$119,'Reference Score Calculation'!$R122)),5,IF(ISNUMBER(SEARCH($BV$108,'Reference Score Calculation'!$P122)),10,IF(ISNUMBER(SEARCH($BV$108,'Reference Score Calculation'!$Q122)),7,5)))))</f>
        <v>5</v>
      </c>
      <c r="CS145" s="455">
        <f>IF(ISNUMBER(SEARCH(CS$119,'Reference Score Calculation'!$P122)),10,IF(ISNUMBER(SEARCH(CS$119,'Reference Score Calculation'!$Q122)),7,IF(ISNUMBER(SEARCH(CS$119,'Reference Score Calculation'!$R122)),5,IF(ISNUMBER(SEARCH($BV$108,'Reference Score Calculation'!$P122)),10,IF(ISNUMBER(SEARCH($BV$108,'Reference Score Calculation'!$Q122)),7,5)))))</f>
        <v>7</v>
      </c>
      <c r="CT145" s="455">
        <f>IF(ISNUMBER(SEARCH(CT$119,'Reference Score Calculation'!$P122)),10,IF(ISNUMBER(SEARCH(CT$119,'Reference Score Calculation'!$Q122)),7,IF(ISNUMBER(SEARCH(CT$119,'Reference Score Calculation'!$R122)),5,IF(ISNUMBER(SEARCH($BV$108,'Reference Score Calculation'!$P122)),10,IF(ISNUMBER(SEARCH($BV$108,'Reference Score Calculation'!$Q122)),7,5)))))</f>
        <v>7</v>
      </c>
      <c r="CU145" s="455">
        <f>IF(ISNUMBER(SEARCH(CU$119,'Reference Score Calculation'!$P122)),10,IF(ISNUMBER(SEARCH(CU$119,'Reference Score Calculation'!$Q122)),7,IF(ISNUMBER(SEARCH(CU$119,'Reference Score Calculation'!$R122)),5,IF(ISNUMBER(SEARCH($BV$108,'Reference Score Calculation'!$P122)),10,IF(ISNUMBER(SEARCH($BV$108,'Reference Score Calculation'!$Q122)),7,5)))))</f>
        <v>7</v>
      </c>
      <c r="CV145" s="455">
        <f>IF(ISNUMBER(SEARCH(CV$119,'Reference Score Calculation'!$P122)),10,IF(ISNUMBER(SEARCH(CV$119,'Reference Score Calculation'!$Q122)),7,IF(ISNUMBER(SEARCH(CV$119,'Reference Score Calculation'!$R122)),5,IF(ISNUMBER(SEARCH($BV$108,'Reference Score Calculation'!$P122)),10,IF(ISNUMBER(SEARCH($BV$108,'Reference Score Calculation'!$Q122)),7,5)))))</f>
        <v>7</v>
      </c>
      <c r="CW145" s="185"/>
      <c r="CX145" s="185"/>
      <c r="CY145" s="185"/>
    </row>
    <row r="146" spans="1:103">
      <c r="A146" s="117" t="s">
        <v>2756</v>
      </c>
      <c r="B146" s="459" t="str">
        <f>'Reference Score Calculation'!B123</f>
        <v>JS3241</v>
      </c>
      <c r="C146" s="117" t="str">
        <f>'Reference Score Calculation'!E123</f>
        <v>翻譯學、語言科學與語言數據分析(榮譽)文學士/理學士組合課程 (語言學及翻譯學 / 語言科學與語言數據分析)</v>
      </c>
      <c r="D146" s="2" t="e">
        <f>'Reference Score Calculation'!#REF!</f>
        <v>#REF!</v>
      </c>
      <c r="E146" s="131" t="str">
        <f>'Reference Score Calculation'!F123</f>
        <v>Best 5</v>
      </c>
      <c r="F146" s="131"/>
      <c r="G146" s="117" t="str">
        <f>入學要求!AB132</f>
        <v>v</v>
      </c>
      <c r="H146" s="117" t="str">
        <f>入學要求!AC132</f>
        <v>E</v>
      </c>
      <c r="I146" s="117" t="str">
        <f>入學要求!AD132</f>
        <v>NO</v>
      </c>
      <c r="J146" s="117">
        <f t="shared" si="211"/>
        <v>9.5000000000000007E-9</v>
      </c>
      <c r="K146" s="117">
        <f t="shared" si="243"/>
        <v>10</v>
      </c>
      <c r="L146" s="117">
        <f t="shared" si="243"/>
        <v>10</v>
      </c>
      <c r="M146" s="117">
        <f t="shared" si="243"/>
        <v>10</v>
      </c>
      <c r="N146" s="117">
        <f t="shared" si="243"/>
        <v>0</v>
      </c>
      <c r="O146" s="117">
        <f t="shared" si="243"/>
        <v>7</v>
      </c>
      <c r="P146" s="117">
        <f t="shared" si="243"/>
        <v>0</v>
      </c>
      <c r="Q146" s="117">
        <f t="shared" si="243"/>
        <v>0</v>
      </c>
      <c r="R146" s="117">
        <f t="shared" si="243"/>
        <v>0</v>
      </c>
      <c r="S146" s="117">
        <f t="shared" si="243"/>
        <v>0</v>
      </c>
      <c r="T146" s="117">
        <v>5</v>
      </c>
      <c r="V146" s="117">
        <f t="shared" si="224"/>
        <v>1.0000000000000001E-9</v>
      </c>
      <c r="W146" s="117">
        <f t="shared" si="225"/>
        <v>2.0000000000000001E-9</v>
      </c>
      <c r="X146" s="117">
        <f t="shared" si="226"/>
        <v>3E-9</v>
      </c>
      <c r="Z146" s="117">
        <f t="shared" si="227"/>
        <v>3.5000000000000003E-9</v>
      </c>
      <c r="AA146" s="117">
        <f t="shared" si="228"/>
        <v>0</v>
      </c>
      <c r="AB146" s="117">
        <f t="shared" si="229"/>
        <v>0</v>
      </c>
      <c r="AC146" s="117">
        <f t="shared" si="230"/>
        <v>0</v>
      </c>
      <c r="AD146" s="117">
        <f t="shared" si="231"/>
        <v>0</v>
      </c>
      <c r="AE146" s="117">
        <f t="shared" si="232"/>
        <v>0</v>
      </c>
      <c r="AF146" s="117">
        <f t="shared" si="213"/>
        <v>1.0000000000000001E-9</v>
      </c>
      <c r="AG146" s="117">
        <f t="shared" si="214"/>
        <v>2.0000000000000001E-9</v>
      </c>
      <c r="AH146" s="117">
        <f t="shared" si="215"/>
        <v>3E-9</v>
      </c>
      <c r="AI146" s="117">
        <f t="shared" si="216"/>
        <v>0</v>
      </c>
      <c r="AJ146" s="117">
        <f t="shared" si="217"/>
        <v>3.5000000000000003E-9</v>
      </c>
      <c r="AK146" s="117">
        <f t="shared" si="218"/>
        <v>0</v>
      </c>
      <c r="AL146" s="117">
        <f t="shared" si="219"/>
        <v>0</v>
      </c>
      <c r="AM146" s="117">
        <f t="shared" si="220"/>
        <v>0</v>
      </c>
      <c r="AN146" s="117">
        <f t="shared" si="221"/>
        <v>0</v>
      </c>
      <c r="AO146" s="117">
        <f t="shared" si="222"/>
        <v>0</v>
      </c>
      <c r="AP146" s="117" t="b">
        <f t="shared" si="233"/>
        <v>1</v>
      </c>
      <c r="AQ146" s="117" t="b">
        <f t="shared" si="234"/>
        <v>1</v>
      </c>
      <c r="AR146" s="117" t="b">
        <f t="shared" si="235"/>
        <v>1</v>
      </c>
      <c r="AT146" s="117" t="b">
        <f t="shared" si="236"/>
        <v>1</v>
      </c>
      <c r="AU146" s="117" t="b">
        <f t="shared" si="237"/>
        <v>0</v>
      </c>
      <c r="AV146" s="117" t="b">
        <f t="shared" si="238"/>
        <v>0</v>
      </c>
      <c r="AW146" s="117" t="b">
        <f t="shared" si="239"/>
        <v>0</v>
      </c>
      <c r="AX146" s="117" t="b">
        <f t="shared" si="240"/>
        <v>0</v>
      </c>
      <c r="AY146" s="117" t="b">
        <f t="shared" si="241"/>
        <v>0</v>
      </c>
      <c r="BA146" s="2"/>
      <c r="BB146" s="2"/>
      <c r="BC146" s="2"/>
      <c r="BD146" s="2"/>
      <c r="BE146" s="2"/>
      <c r="BF146" s="2"/>
      <c r="BG146" s="2"/>
      <c r="BH146" s="2"/>
      <c r="BI146" s="2"/>
      <c r="BJ146" s="2"/>
      <c r="BK146" s="2"/>
      <c r="BL146" s="2"/>
      <c r="BM146" s="2"/>
      <c r="BN146" s="2"/>
      <c r="BO146" s="2"/>
      <c r="BP146" s="2"/>
      <c r="BQ146" s="2"/>
      <c r="BR146" s="2"/>
      <c r="BS146" s="185" t="str">
        <f>'Reference Score Calculation'!B123</f>
        <v>JS3241</v>
      </c>
      <c r="BT146" s="185"/>
      <c r="BU146" s="455">
        <f>IF(ISNUMBER(SEARCH(BU$119,'Reference Score Calculation'!$P123)),10,IF(ISNUMBER(SEARCH(BU$119,'Reference Score Calculation'!$Q123)),7,IF(ISNUMBER(SEARCH(BU$119,'Reference Score Calculation'!$R123)),5,IF(ISNUMBER(SEARCH($BV$108,'Reference Score Calculation'!$P123)),10,IF(ISNUMBER(SEARCH($BV$108,'Reference Score Calculation'!$Q123)),7,5)))))</f>
        <v>10</v>
      </c>
      <c r="BV146" s="455">
        <f>IF(ISNUMBER(SEARCH(BV$119,'Reference Score Calculation'!$P123)),10,IF(ISNUMBER(SEARCH(BV$119,'Reference Score Calculation'!$Q123)),7,IF(ISNUMBER(SEARCH(BV$119,'Reference Score Calculation'!$R123)),5,IF(ISNUMBER(SEARCH($BV$108,'Reference Score Calculation'!$P123)),10,IF(ISNUMBER(SEARCH($BV$108,'Reference Score Calculation'!$Q123)),7,5)))))</f>
        <v>10</v>
      </c>
      <c r="BW146" s="455">
        <f>IF(ISNUMBER(SEARCH(BW$119,'Reference Score Calculation'!$P123)),10,IF(ISNUMBER(SEARCH(BW$119,'Reference Score Calculation'!$Q123)),7,IF(ISNUMBER(SEARCH(BW$119,'Reference Score Calculation'!$R123)),5,IF(ISNUMBER(SEARCH($BV$108,'Reference Score Calculation'!$P123)),10,IF(ISNUMBER(SEARCH($BV$108,'Reference Score Calculation'!$Q123)),7,5)))))</f>
        <v>10</v>
      </c>
      <c r="BX146" s="455">
        <f>IF(ISNUMBER(SEARCH(BX$119,'Reference Score Calculation'!$P123)),10,IF(ISNUMBER(SEARCH(BX$119,'Reference Score Calculation'!$Q123)),7,IF(ISNUMBER(SEARCH(BX$119,'Reference Score Calculation'!$R123)),5,IF(ISNUMBER(SEARCH($BV$108,'Reference Score Calculation'!$P123)),10,IF(ISNUMBER(SEARCH($BV$108,'Reference Score Calculation'!$Q123)),7,5)))))</f>
        <v>7</v>
      </c>
      <c r="BY146" s="455">
        <f>IF(ISNUMBER(SEARCH(BY$119,'Reference Score Calculation'!$P123)),10,IF(ISNUMBER(SEARCH(BY$119,'Reference Score Calculation'!$Q123)),7,IF(ISNUMBER(SEARCH(BY$119,'Reference Score Calculation'!$R123)),5,IF(ISNUMBER(SEARCH($BV$108,'Reference Score Calculation'!$P123)),10,IF(ISNUMBER(SEARCH($BV$108,'Reference Score Calculation'!$Q123)),7,5)))))</f>
        <v>7</v>
      </c>
      <c r="BZ146" s="455">
        <f>IF(ISNUMBER(SEARCH(BZ$119,'Reference Score Calculation'!$P123)),10,IF(ISNUMBER(SEARCH(BZ$119,'Reference Score Calculation'!$Q123)),7,IF(ISNUMBER(SEARCH(BZ$119,'Reference Score Calculation'!$R123)),5,IF(ISNUMBER(SEARCH($BV$108,'Reference Score Calculation'!$P123)),10,IF(ISNUMBER(SEARCH($BV$108,'Reference Score Calculation'!$Q123)),7,5)))))</f>
        <v>7</v>
      </c>
      <c r="CA146" s="455">
        <f>IF(ISNUMBER(SEARCH(CA$119,'Reference Score Calculation'!$P123)),10,IF(ISNUMBER(SEARCH(CA$119,'Reference Score Calculation'!$Q123)),7,IF(ISNUMBER(SEARCH(CA$119,'Reference Score Calculation'!$R123)),5,IF(ISNUMBER(SEARCH($BV$108,'Reference Score Calculation'!$P123)),10,IF(ISNUMBER(SEARCH($BV$108,'Reference Score Calculation'!$Q123)),7,5)))))</f>
        <v>7</v>
      </c>
      <c r="CB146" s="455">
        <f>IF(ISNUMBER(SEARCH(CB$119,'Reference Score Calculation'!$P123)),10,IF(ISNUMBER(SEARCH(CB$119,'Reference Score Calculation'!$Q123)),7,IF(ISNUMBER(SEARCH(CB$119,'Reference Score Calculation'!$R123)),5,IF(ISNUMBER(SEARCH($BV$108,'Reference Score Calculation'!$P123)),10,IF(ISNUMBER(SEARCH($BV$108,'Reference Score Calculation'!$Q123)),7,5)))))</f>
        <v>7</v>
      </c>
      <c r="CC146" s="455">
        <f>IF(ISNUMBER(SEARCH(CC$119,'Reference Score Calculation'!$P123)),10,IF(ISNUMBER(SEARCH(CC$119,'Reference Score Calculation'!$Q123)),7,IF(ISNUMBER(SEARCH(CC$119,'Reference Score Calculation'!$R123)),5,IF(ISNUMBER(SEARCH($BV$108,'Reference Score Calculation'!$P123)),10,IF(ISNUMBER(SEARCH($BV$108,'Reference Score Calculation'!$Q123)),7,5)))))</f>
        <v>7</v>
      </c>
      <c r="CD146" s="455">
        <f>IF(ISNUMBER(SEARCH(CD$119,'Reference Score Calculation'!$P123)),10,IF(ISNUMBER(SEARCH(CD$119,'Reference Score Calculation'!$Q123)),7,IF(ISNUMBER(SEARCH(CD$119,'Reference Score Calculation'!$R123)),5,IF(ISNUMBER(SEARCH($BV$108,'Reference Score Calculation'!$P123)),10,IF(ISNUMBER(SEARCH($BV$108,'Reference Score Calculation'!$Q123)),7,5)))))</f>
        <v>7</v>
      </c>
      <c r="CE146" s="455">
        <f>IF(ISNUMBER(SEARCH(CE$119,'Reference Score Calculation'!$P123)),10,IF(ISNUMBER(SEARCH(CE$119,'Reference Score Calculation'!$Q123)),7,IF(ISNUMBER(SEARCH(CE$119,'Reference Score Calculation'!$R123)),5,IF(ISNUMBER(SEARCH($BV$108,'Reference Score Calculation'!$P123)),10,IF(ISNUMBER(SEARCH($BV$108,'Reference Score Calculation'!$Q123)),7,5)))))</f>
        <v>5</v>
      </c>
      <c r="CF146" s="455">
        <f>IF(ISNUMBER(SEARCH(CF$119,'Reference Score Calculation'!$P123)),10,IF(ISNUMBER(SEARCH(CF$119,'Reference Score Calculation'!$Q123)),7,IF(ISNUMBER(SEARCH(CF$119,'Reference Score Calculation'!$R123)),5,IF(ISNUMBER(SEARCH($BV$108,'Reference Score Calculation'!$P123)),10,IF(ISNUMBER(SEARCH($BV$108,'Reference Score Calculation'!$Q123)),7,5)))))</f>
        <v>5</v>
      </c>
      <c r="CG146" s="455">
        <f>IF(ISNUMBER(SEARCH(CG$119,'Reference Score Calculation'!$P123)),10,IF(ISNUMBER(SEARCH(CG$119,'Reference Score Calculation'!$Q123)),7,IF(ISNUMBER(SEARCH(CG$119,'Reference Score Calculation'!$R123)),5,IF(ISNUMBER(SEARCH($BV$108,'Reference Score Calculation'!$P123)),10,IF(ISNUMBER(SEARCH($BV$108,'Reference Score Calculation'!$Q123)),7,5)))))</f>
        <v>7</v>
      </c>
      <c r="CH146" s="455">
        <f>IF(ISNUMBER(SEARCH(CH$119,'Reference Score Calculation'!$P123)),10,IF(ISNUMBER(SEARCH(CH$119,'Reference Score Calculation'!$Q123)),7,IF(ISNUMBER(SEARCH(CH$119,'Reference Score Calculation'!$R123)),5,IF(ISNUMBER(SEARCH($BV$108,'Reference Score Calculation'!$P123)),10,IF(ISNUMBER(SEARCH($BV$108,'Reference Score Calculation'!$Q123)),7,5)))))</f>
        <v>7</v>
      </c>
      <c r="CI146" s="455">
        <f>IF(ISNUMBER(SEARCH(CI$119,'Reference Score Calculation'!$P123)),10,IF(ISNUMBER(SEARCH(CI$119,'Reference Score Calculation'!$Q123)),7,IF(ISNUMBER(SEARCH(CI$119,'Reference Score Calculation'!$R123)),5,IF(ISNUMBER(SEARCH($BV$108,'Reference Score Calculation'!$P123)),10,IF(ISNUMBER(SEARCH($BV$108,'Reference Score Calculation'!$Q123)),7,5)))))</f>
        <v>5</v>
      </c>
      <c r="CJ146" s="455">
        <f>IF(ISNUMBER(SEARCH(CJ$119,'Reference Score Calculation'!$P123)),10,IF(ISNUMBER(SEARCH(CJ$119,'Reference Score Calculation'!$Q123)),7,IF(ISNUMBER(SEARCH(CJ$119,'Reference Score Calculation'!$R123)),5,IF(ISNUMBER(SEARCH($BV$108,'Reference Score Calculation'!$P123)),10,IF(ISNUMBER(SEARCH($BV$108,'Reference Score Calculation'!$Q123)),7,5)))))</f>
        <v>7</v>
      </c>
      <c r="CK146" s="455">
        <f>IF(ISNUMBER(SEARCH(CK$119,'Reference Score Calculation'!$P123)),10,IF(ISNUMBER(SEARCH(CK$119,'Reference Score Calculation'!$Q123)),7,IF(ISNUMBER(SEARCH(CK$119,'Reference Score Calculation'!$R123)),5,IF(ISNUMBER(SEARCH($BV$108,'Reference Score Calculation'!$P123)),10,IF(ISNUMBER(SEARCH($BV$108,'Reference Score Calculation'!$Q123)),7,5)))))</f>
        <v>7</v>
      </c>
      <c r="CL146" s="455">
        <f>IF(ISNUMBER(SEARCH(CL$119,'Reference Score Calculation'!$P123)),10,IF(ISNUMBER(SEARCH(CL$119,'Reference Score Calculation'!$Q123)),7,IF(ISNUMBER(SEARCH(CL$119,'Reference Score Calculation'!$R123)),5,IF(ISNUMBER(SEARCH($BV$108,'Reference Score Calculation'!$P123)),10,IF(ISNUMBER(SEARCH($BV$108,'Reference Score Calculation'!$Q123)),7,5)))))</f>
        <v>7</v>
      </c>
      <c r="CM146" s="455">
        <f>IF(ISNUMBER(SEARCH(CM$119,'Reference Score Calculation'!$P123)),10,IF(ISNUMBER(SEARCH(CM$119,'Reference Score Calculation'!$Q123)),7,IF(ISNUMBER(SEARCH(CM$119,'Reference Score Calculation'!$R123)),5,IF(ISNUMBER(SEARCH($BV$108,'Reference Score Calculation'!$P123)),10,IF(ISNUMBER(SEARCH($BV$108,'Reference Score Calculation'!$Q123)),7,5)))))</f>
        <v>7</v>
      </c>
      <c r="CN146" s="455">
        <f>IF(ISNUMBER(SEARCH(CN$119,'Reference Score Calculation'!$P123)),10,IF(ISNUMBER(SEARCH(CN$119,'Reference Score Calculation'!$Q123)),7,IF(ISNUMBER(SEARCH(CN$119,'Reference Score Calculation'!$R123)),5,IF(ISNUMBER(SEARCH($BV$108,'Reference Score Calculation'!$P123)),10,IF(ISNUMBER(SEARCH($BV$108,'Reference Score Calculation'!$Q123)),7,5)))))</f>
        <v>7</v>
      </c>
      <c r="CO146" s="455">
        <f>IF(ISNUMBER(SEARCH(CO$119,'Reference Score Calculation'!$P123)),10,IF(ISNUMBER(SEARCH(CO$119,'Reference Score Calculation'!$Q123)),7,IF(ISNUMBER(SEARCH(CO$119,'Reference Score Calculation'!$R123)),5,IF(ISNUMBER(SEARCH($BV$108,'Reference Score Calculation'!$P123)),10,IF(ISNUMBER(SEARCH($BV$108,'Reference Score Calculation'!$Q123)),7,5)))))</f>
        <v>7</v>
      </c>
      <c r="CP146" s="455">
        <f>IF(ISNUMBER(SEARCH(CP$119,'Reference Score Calculation'!$P123)),10,IF(ISNUMBER(SEARCH(CP$119,'Reference Score Calculation'!$Q123)),7,IF(ISNUMBER(SEARCH(CP$119,'Reference Score Calculation'!$R123)),5,IF(ISNUMBER(SEARCH($BV$108,'Reference Score Calculation'!$P123)),10,IF(ISNUMBER(SEARCH($BV$108,'Reference Score Calculation'!$Q123)),7,5)))))</f>
        <v>7</v>
      </c>
      <c r="CQ146" s="455">
        <f>IF(ISNUMBER(SEARCH(CQ$119,'Reference Score Calculation'!$P123)),10,IF(ISNUMBER(SEARCH(CQ$119,'Reference Score Calculation'!$Q123)),7,IF(ISNUMBER(SEARCH(CQ$119,'Reference Score Calculation'!$R123)),5,IF(ISNUMBER(SEARCH($BV$108,'Reference Score Calculation'!$P123)),10,IF(ISNUMBER(SEARCH($BV$108,'Reference Score Calculation'!$Q123)),7,5)))))</f>
        <v>7</v>
      </c>
      <c r="CR146" s="455">
        <f>IF(ISNUMBER(SEARCH(CR$119,'Reference Score Calculation'!$P123)),10,IF(ISNUMBER(SEARCH(CR$119,'Reference Score Calculation'!$Q123)),7,IF(ISNUMBER(SEARCH(CR$119,'Reference Score Calculation'!$R123)),5,IF(ISNUMBER(SEARCH($BV$108,'Reference Score Calculation'!$P123)),10,IF(ISNUMBER(SEARCH($BV$108,'Reference Score Calculation'!$Q123)),7,5)))))</f>
        <v>5</v>
      </c>
      <c r="CS146" s="455">
        <f>IF(ISNUMBER(SEARCH(CS$119,'Reference Score Calculation'!$P123)),10,IF(ISNUMBER(SEARCH(CS$119,'Reference Score Calculation'!$Q123)),7,IF(ISNUMBER(SEARCH(CS$119,'Reference Score Calculation'!$R123)),5,IF(ISNUMBER(SEARCH($BV$108,'Reference Score Calculation'!$P123)),10,IF(ISNUMBER(SEARCH($BV$108,'Reference Score Calculation'!$Q123)),7,5)))))</f>
        <v>7</v>
      </c>
      <c r="CT146" s="455">
        <f>IF(ISNUMBER(SEARCH(CT$119,'Reference Score Calculation'!$P123)),10,IF(ISNUMBER(SEARCH(CT$119,'Reference Score Calculation'!$Q123)),7,IF(ISNUMBER(SEARCH(CT$119,'Reference Score Calculation'!$R123)),5,IF(ISNUMBER(SEARCH($BV$108,'Reference Score Calculation'!$P123)),10,IF(ISNUMBER(SEARCH($BV$108,'Reference Score Calculation'!$Q123)),7,5)))))</f>
        <v>5</v>
      </c>
      <c r="CU146" s="455">
        <f>IF(ISNUMBER(SEARCH(CU$119,'Reference Score Calculation'!$P123)),10,IF(ISNUMBER(SEARCH(CU$119,'Reference Score Calculation'!$Q123)),7,IF(ISNUMBER(SEARCH(CU$119,'Reference Score Calculation'!$R123)),5,IF(ISNUMBER(SEARCH($BV$108,'Reference Score Calculation'!$P123)),10,IF(ISNUMBER(SEARCH($BV$108,'Reference Score Calculation'!$Q123)),7,5)))))</f>
        <v>7</v>
      </c>
      <c r="CV146" s="455">
        <f>IF(ISNUMBER(SEARCH(CV$119,'Reference Score Calculation'!$P123)),10,IF(ISNUMBER(SEARCH(CV$119,'Reference Score Calculation'!$Q123)),7,IF(ISNUMBER(SEARCH(CV$119,'Reference Score Calculation'!$R123)),5,IF(ISNUMBER(SEARCH($BV$108,'Reference Score Calculation'!$P123)),10,IF(ISNUMBER(SEARCH($BV$108,'Reference Score Calculation'!$Q123)),7,5)))))</f>
        <v>7</v>
      </c>
      <c r="CW146" s="185"/>
      <c r="CX146" s="185"/>
      <c r="CY146" s="185"/>
    </row>
    <row r="147" spans="1:103">
      <c r="A147" s="117" t="s">
        <v>2759</v>
      </c>
      <c r="B147" s="459" t="str">
        <f>'Reference Score Calculation'!B124</f>
        <v>JS3242</v>
      </c>
      <c r="C147" s="117" t="str">
        <f>'Reference Score Calculation'!E124</f>
        <v>言語治療(榮譽)理學士</v>
      </c>
      <c r="D147" s="2" t="e">
        <f>'Reference Score Calculation'!#REF!</f>
        <v>#REF!</v>
      </c>
      <c r="E147" s="131" t="str">
        <f>'Reference Score Calculation'!F124</f>
        <v>Best 5</v>
      </c>
      <c r="F147" s="131"/>
      <c r="G147" s="117" t="str">
        <f>入學要求!AB133</f>
        <v>v</v>
      </c>
      <c r="H147" s="117" t="str">
        <f>入學要求!AC133</f>
        <v>E</v>
      </c>
      <c r="I147" s="117" t="str">
        <f>入學要求!AD133</f>
        <v>NO</v>
      </c>
      <c r="J147" s="117">
        <f t="shared" si="211"/>
        <v>9.5000000000000007E-9</v>
      </c>
      <c r="K147" s="117">
        <f t="shared" si="243"/>
        <v>10</v>
      </c>
      <c r="L147" s="117">
        <f t="shared" si="243"/>
        <v>10</v>
      </c>
      <c r="M147" s="117">
        <f t="shared" si="243"/>
        <v>10</v>
      </c>
      <c r="N147" s="117">
        <f t="shared" si="243"/>
        <v>0</v>
      </c>
      <c r="O147" s="117">
        <f t="shared" si="243"/>
        <v>7</v>
      </c>
      <c r="P147" s="117">
        <f t="shared" si="243"/>
        <v>0</v>
      </c>
      <c r="Q147" s="117">
        <f t="shared" si="243"/>
        <v>0</v>
      </c>
      <c r="R147" s="117">
        <f t="shared" si="243"/>
        <v>0</v>
      </c>
      <c r="S147" s="117">
        <f t="shared" si="243"/>
        <v>0</v>
      </c>
      <c r="T147" s="117">
        <v>5</v>
      </c>
      <c r="V147" s="117">
        <f t="shared" si="224"/>
        <v>1.0000000000000001E-9</v>
      </c>
      <c r="W147" s="117">
        <f t="shared" si="225"/>
        <v>2.0000000000000001E-9</v>
      </c>
      <c r="X147" s="117">
        <f t="shared" si="226"/>
        <v>3E-9</v>
      </c>
      <c r="Z147" s="117">
        <f t="shared" si="227"/>
        <v>3.5000000000000003E-9</v>
      </c>
      <c r="AA147" s="117">
        <f t="shared" si="228"/>
        <v>0</v>
      </c>
      <c r="AB147" s="117">
        <f t="shared" si="229"/>
        <v>0</v>
      </c>
      <c r="AC147" s="117">
        <f t="shared" si="230"/>
        <v>0</v>
      </c>
      <c r="AD147" s="117">
        <f t="shared" si="231"/>
        <v>0</v>
      </c>
      <c r="AE147" s="117">
        <f t="shared" si="232"/>
        <v>0</v>
      </c>
      <c r="AF147" s="117">
        <f t="shared" si="213"/>
        <v>1.0000000000000001E-9</v>
      </c>
      <c r="AG147" s="117">
        <f t="shared" si="214"/>
        <v>2.0000000000000001E-9</v>
      </c>
      <c r="AH147" s="117">
        <f t="shared" si="215"/>
        <v>3E-9</v>
      </c>
      <c r="AI147" s="117">
        <f t="shared" si="216"/>
        <v>0</v>
      </c>
      <c r="AJ147" s="117">
        <f t="shared" si="217"/>
        <v>3.5000000000000003E-9</v>
      </c>
      <c r="AK147" s="117">
        <f t="shared" si="218"/>
        <v>0</v>
      </c>
      <c r="AL147" s="117">
        <f t="shared" si="219"/>
        <v>0</v>
      </c>
      <c r="AM147" s="117">
        <f t="shared" si="220"/>
        <v>0</v>
      </c>
      <c r="AN147" s="117">
        <f t="shared" si="221"/>
        <v>0</v>
      </c>
      <c r="AO147" s="117">
        <f t="shared" si="222"/>
        <v>0</v>
      </c>
      <c r="AP147" s="117" t="b">
        <f t="shared" si="233"/>
        <v>1</v>
      </c>
      <c r="AQ147" s="117" t="b">
        <f t="shared" si="234"/>
        <v>1</v>
      </c>
      <c r="AR147" s="117" t="b">
        <f t="shared" si="235"/>
        <v>1</v>
      </c>
      <c r="AT147" s="117" t="b">
        <f t="shared" si="236"/>
        <v>1</v>
      </c>
      <c r="AU147" s="117" t="b">
        <f t="shared" si="237"/>
        <v>0</v>
      </c>
      <c r="AV147" s="117" t="b">
        <f t="shared" si="238"/>
        <v>0</v>
      </c>
      <c r="AW147" s="117" t="b">
        <f t="shared" si="239"/>
        <v>0</v>
      </c>
      <c r="AX147" s="117" t="b">
        <f t="shared" si="240"/>
        <v>0</v>
      </c>
      <c r="AY147" s="117" t="b">
        <f t="shared" si="241"/>
        <v>0</v>
      </c>
      <c r="BA147" s="2"/>
      <c r="BB147" s="2"/>
      <c r="BC147" s="2"/>
      <c r="BD147" s="2"/>
      <c r="BE147" s="2"/>
      <c r="BF147" s="2"/>
      <c r="BG147" s="2"/>
      <c r="BH147" s="2"/>
      <c r="BI147" s="2"/>
      <c r="BJ147" s="2"/>
      <c r="BK147" s="2"/>
      <c r="BL147" s="2"/>
      <c r="BM147" s="2"/>
      <c r="BN147" s="2"/>
      <c r="BO147" s="2"/>
      <c r="BP147" s="2"/>
      <c r="BQ147" s="2"/>
      <c r="BR147" s="2"/>
      <c r="BS147" s="185" t="str">
        <f>'Reference Score Calculation'!B124</f>
        <v>JS3242</v>
      </c>
      <c r="BT147" s="185"/>
      <c r="BU147" s="455">
        <f>IF(ISNUMBER(SEARCH(BU$119,'Reference Score Calculation'!$P124)),10,IF(ISNUMBER(SEARCH(BU$119,'Reference Score Calculation'!$Q124)),7,IF(ISNUMBER(SEARCH(BU$119,'Reference Score Calculation'!$R124)),5,IF(ISNUMBER(SEARCH($BV$108,'Reference Score Calculation'!$P124)),10,IF(ISNUMBER(SEARCH($BV$108,'Reference Score Calculation'!$Q124)),7,5)))))</f>
        <v>10</v>
      </c>
      <c r="BV147" s="455">
        <f>IF(ISNUMBER(SEARCH(BV$119,'Reference Score Calculation'!$P124)),10,IF(ISNUMBER(SEARCH(BV$119,'Reference Score Calculation'!$Q124)),7,IF(ISNUMBER(SEARCH(BV$119,'Reference Score Calculation'!$R124)),5,IF(ISNUMBER(SEARCH($BV$108,'Reference Score Calculation'!$P124)),10,IF(ISNUMBER(SEARCH($BV$108,'Reference Score Calculation'!$Q124)),7,5)))))</f>
        <v>10</v>
      </c>
      <c r="BW147" s="455">
        <f>IF(ISNUMBER(SEARCH(BW$119,'Reference Score Calculation'!$P124)),10,IF(ISNUMBER(SEARCH(BW$119,'Reference Score Calculation'!$Q124)),7,IF(ISNUMBER(SEARCH(BW$119,'Reference Score Calculation'!$R124)),5,IF(ISNUMBER(SEARCH($BV$108,'Reference Score Calculation'!$P124)),10,IF(ISNUMBER(SEARCH($BV$108,'Reference Score Calculation'!$Q124)),7,5)))))</f>
        <v>10</v>
      </c>
      <c r="BX147" s="455">
        <f>IF(ISNUMBER(SEARCH(BX$119,'Reference Score Calculation'!$P124)),10,IF(ISNUMBER(SEARCH(BX$119,'Reference Score Calculation'!$Q124)),7,IF(ISNUMBER(SEARCH(BX$119,'Reference Score Calculation'!$R124)),5,IF(ISNUMBER(SEARCH($BV$108,'Reference Score Calculation'!$P124)),10,IF(ISNUMBER(SEARCH($BV$108,'Reference Score Calculation'!$Q124)),7,5)))))</f>
        <v>7</v>
      </c>
      <c r="BY147" s="455">
        <f>IF(ISNUMBER(SEARCH(BY$119,'Reference Score Calculation'!$P124)),10,IF(ISNUMBER(SEARCH(BY$119,'Reference Score Calculation'!$Q124)),7,IF(ISNUMBER(SEARCH(BY$119,'Reference Score Calculation'!$R124)),5,IF(ISNUMBER(SEARCH($BV$108,'Reference Score Calculation'!$P124)),10,IF(ISNUMBER(SEARCH($BV$108,'Reference Score Calculation'!$Q124)),7,5)))))</f>
        <v>7</v>
      </c>
      <c r="BZ147" s="455">
        <f>IF(ISNUMBER(SEARCH(BZ$119,'Reference Score Calculation'!$P124)),10,IF(ISNUMBER(SEARCH(BZ$119,'Reference Score Calculation'!$Q124)),7,IF(ISNUMBER(SEARCH(BZ$119,'Reference Score Calculation'!$R124)),5,IF(ISNUMBER(SEARCH($BV$108,'Reference Score Calculation'!$P124)),10,IF(ISNUMBER(SEARCH($BV$108,'Reference Score Calculation'!$Q124)),7,5)))))</f>
        <v>7</v>
      </c>
      <c r="CA147" s="455">
        <f>IF(ISNUMBER(SEARCH(CA$119,'Reference Score Calculation'!$P124)),10,IF(ISNUMBER(SEARCH(CA$119,'Reference Score Calculation'!$Q124)),7,IF(ISNUMBER(SEARCH(CA$119,'Reference Score Calculation'!$R124)),5,IF(ISNUMBER(SEARCH($BV$108,'Reference Score Calculation'!$P124)),10,IF(ISNUMBER(SEARCH($BV$108,'Reference Score Calculation'!$Q124)),7,5)))))</f>
        <v>7</v>
      </c>
      <c r="CB147" s="455">
        <f>IF(ISNUMBER(SEARCH(CB$119,'Reference Score Calculation'!$P124)),10,IF(ISNUMBER(SEARCH(CB$119,'Reference Score Calculation'!$Q124)),7,IF(ISNUMBER(SEARCH(CB$119,'Reference Score Calculation'!$R124)),5,IF(ISNUMBER(SEARCH($BV$108,'Reference Score Calculation'!$P124)),10,IF(ISNUMBER(SEARCH($BV$108,'Reference Score Calculation'!$Q124)),7,5)))))</f>
        <v>7</v>
      </c>
      <c r="CC147" s="455">
        <f>IF(ISNUMBER(SEARCH(CC$119,'Reference Score Calculation'!$P124)),10,IF(ISNUMBER(SEARCH(CC$119,'Reference Score Calculation'!$Q124)),7,IF(ISNUMBER(SEARCH(CC$119,'Reference Score Calculation'!$R124)),5,IF(ISNUMBER(SEARCH($BV$108,'Reference Score Calculation'!$P124)),10,IF(ISNUMBER(SEARCH($BV$108,'Reference Score Calculation'!$Q124)),7,5)))))</f>
        <v>7</v>
      </c>
      <c r="CD147" s="455">
        <f>IF(ISNUMBER(SEARCH(CD$119,'Reference Score Calculation'!$P124)),10,IF(ISNUMBER(SEARCH(CD$119,'Reference Score Calculation'!$Q124)),7,IF(ISNUMBER(SEARCH(CD$119,'Reference Score Calculation'!$R124)),5,IF(ISNUMBER(SEARCH($BV$108,'Reference Score Calculation'!$P124)),10,IF(ISNUMBER(SEARCH($BV$108,'Reference Score Calculation'!$Q124)),7,5)))))</f>
        <v>7</v>
      </c>
      <c r="CE147" s="455">
        <f>IF(ISNUMBER(SEARCH(CE$119,'Reference Score Calculation'!$P124)),10,IF(ISNUMBER(SEARCH(CE$119,'Reference Score Calculation'!$Q124)),7,IF(ISNUMBER(SEARCH(CE$119,'Reference Score Calculation'!$R124)),5,IF(ISNUMBER(SEARCH($BV$108,'Reference Score Calculation'!$P124)),10,IF(ISNUMBER(SEARCH($BV$108,'Reference Score Calculation'!$Q124)),7,5)))))</f>
        <v>5</v>
      </c>
      <c r="CF147" s="455">
        <f>IF(ISNUMBER(SEARCH(CF$119,'Reference Score Calculation'!$P124)),10,IF(ISNUMBER(SEARCH(CF$119,'Reference Score Calculation'!$Q124)),7,IF(ISNUMBER(SEARCH(CF$119,'Reference Score Calculation'!$R124)),5,IF(ISNUMBER(SEARCH($BV$108,'Reference Score Calculation'!$P124)),10,IF(ISNUMBER(SEARCH($BV$108,'Reference Score Calculation'!$Q124)),7,5)))))</f>
        <v>5</v>
      </c>
      <c r="CG147" s="455">
        <f>IF(ISNUMBER(SEARCH(CG$119,'Reference Score Calculation'!$P124)),10,IF(ISNUMBER(SEARCH(CG$119,'Reference Score Calculation'!$Q124)),7,IF(ISNUMBER(SEARCH(CG$119,'Reference Score Calculation'!$R124)),5,IF(ISNUMBER(SEARCH($BV$108,'Reference Score Calculation'!$P124)),10,IF(ISNUMBER(SEARCH($BV$108,'Reference Score Calculation'!$Q124)),7,5)))))</f>
        <v>7</v>
      </c>
      <c r="CH147" s="455">
        <f>IF(ISNUMBER(SEARCH(CH$119,'Reference Score Calculation'!$P124)),10,IF(ISNUMBER(SEARCH(CH$119,'Reference Score Calculation'!$Q124)),7,IF(ISNUMBER(SEARCH(CH$119,'Reference Score Calculation'!$R124)),5,IF(ISNUMBER(SEARCH($BV$108,'Reference Score Calculation'!$P124)),10,IF(ISNUMBER(SEARCH($BV$108,'Reference Score Calculation'!$Q124)),7,5)))))</f>
        <v>7</v>
      </c>
      <c r="CI147" s="455">
        <f>IF(ISNUMBER(SEARCH(CI$119,'Reference Score Calculation'!$P124)),10,IF(ISNUMBER(SEARCH(CI$119,'Reference Score Calculation'!$Q124)),7,IF(ISNUMBER(SEARCH(CI$119,'Reference Score Calculation'!$R124)),5,IF(ISNUMBER(SEARCH($BV$108,'Reference Score Calculation'!$P124)),10,IF(ISNUMBER(SEARCH($BV$108,'Reference Score Calculation'!$Q124)),7,5)))))</f>
        <v>5</v>
      </c>
      <c r="CJ147" s="455">
        <f>IF(ISNUMBER(SEARCH(CJ$119,'Reference Score Calculation'!$P124)),10,IF(ISNUMBER(SEARCH(CJ$119,'Reference Score Calculation'!$Q124)),7,IF(ISNUMBER(SEARCH(CJ$119,'Reference Score Calculation'!$R124)),5,IF(ISNUMBER(SEARCH($BV$108,'Reference Score Calculation'!$P124)),10,IF(ISNUMBER(SEARCH($BV$108,'Reference Score Calculation'!$Q124)),7,5)))))</f>
        <v>7</v>
      </c>
      <c r="CK147" s="455">
        <f>IF(ISNUMBER(SEARCH(CK$119,'Reference Score Calculation'!$P124)),10,IF(ISNUMBER(SEARCH(CK$119,'Reference Score Calculation'!$Q124)),7,IF(ISNUMBER(SEARCH(CK$119,'Reference Score Calculation'!$R124)),5,IF(ISNUMBER(SEARCH($BV$108,'Reference Score Calculation'!$P124)),10,IF(ISNUMBER(SEARCH($BV$108,'Reference Score Calculation'!$Q124)),7,5)))))</f>
        <v>7</v>
      </c>
      <c r="CL147" s="455">
        <f>IF(ISNUMBER(SEARCH(CL$119,'Reference Score Calculation'!$P124)),10,IF(ISNUMBER(SEARCH(CL$119,'Reference Score Calculation'!$Q124)),7,IF(ISNUMBER(SEARCH(CL$119,'Reference Score Calculation'!$R124)),5,IF(ISNUMBER(SEARCH($BV$108,'Reference Score Calculation'!$P124)),10,IF(ISNUMBER(SEARCH($BV$108,'Reference Score Calculation'!$Q124)),7,5)))))</f>
        <v>7</v>
      </c>
      <c r="CM147" s="455">
        <f>IF(ISNUMBER(SEARCH(CM$119,'Reference Score Calculation'!$P124)),10,IF(ISNUMBER(SEARCH(CM$119,'Reference Score Calculation'!$Q124)),7,IF(ISNUMBER(SEARCH(CM$119,'Reference Score Calculation'!$R124)),5,IF(ISNUMBER(SEARCH($BV$108,'Reference Score Calculation'!$P124)),10,IF(ISNUMBER(SEARCH($BV$108,'Reference Score Calculation'!$Q124)),7,5)))))</f>
        <v>7</v>
      </c>
      <c r="CN147" s="455">
        <f>IF(ISNUMBER(SEARCH(CN$119,'Reference Score Calculation'!$P124)),10,IF(ISNUMBER(SEARCH(CN$119,'Reference Score Calculation'!$Q124)),7,IF(ISNUMBER(SEARCH(CN$119,'Reference Score Calculation'!$R124)),5,IF(ISNUMBER(SEARCH($BV$108,'Reference Score Calculation'!$P124)),10,IF(ISNUMBER(SEARCH($BV$108,'Reference Score Calculation'!$Q124)),7,5)))))</f>
        <v>7</v>
      </c>
      <c r="CO147" s="455">
        <f>IF(ISNUMBER(SEARCH(CO$119,'Reference Score Calculation'!$P124)),10,IF(ISNUMBER(SEARCH(CO$119,'Reference Score Calculation'!$Q124)),7,IF(ISNUMBER(SEARCH(CO$119,'Reference Score Calculation'!$R124)),5,IF(ISNUMBER(SEARCH($BV$108,'Reference Score Calculation'!$P124)),10,IF(ISNUMBER(SEARCH($BV$108,'Reference Score Calculation'!$Q124)),7,5)))))</f>
        <v>7</v>
      </c>
      <c r="CP147" s="455">
        <f>IF(ISNUMBER(SEARCH(CP$119,'Reference Score Calculation'!$P124)),10,IF(ISNUMBER(SEARCH(CP$119,'Reference Score Calculation'!$Q124)),7,IF(ISNUMBER(SEARCH(CP$119,'Reference Score Calculation'!$R124)),5,IF(ISNUMBER(SEARCH($BV$108,'Reference Score Calculation'!$P124)),10,IF(ISNUMBER(SEARCH($BV$108,'Reference Score Calculation'!$Q124)),7,5)))))</f>
        <v>7</v>
      </c>
      <c r="CQ147" s="455">
        <f>IF(ISNUMBER(SEARCH(CQ$119,'Reference Score Calculation'!$P124)),10,IF(ISNUMBER(SEARCH(CQ$119,'Reference Score Calculation'!$Q124)),7,IF(ISNUMBER(SEARCH(CQ$119,'Reference Score Calculation'!$R124)),5,IF(ISNUMBER(SEARCH($BV$108,'Reference Score Calculation'!$P124)),10,IF(ISNUMBER(SEARCH($BV$108,'Reference Score Calculation'!$Q124)),7,5)))))</f>
        <v>7</v>
      </c>
      <c r="CR147" s="455">
        <f>IF(ISNUMBER(SEARCH(CR$119,'Reference Score Calculation'!$P124)),10,IF(ISNUMBER(SEARCH(CR$119,'Reference Score Calculation'!$Q124)),7,IF(ISNUMBER(SEARCH(CR$119,'Reference Score Calculation'!$R124)),5,IF(ISNUMBER(SEARCH($BV$108,'Reference Score Calculation'!$P124)),10,IF(ISNUMBER(SEARCH($BV$108,'Reference Score Calculation'!$Q124)),7,5)))))</f>
        <v>5</v>
      </c>
      <c r="CS147" s="455">
        <f>IF(ISNUMBER(SEARCH(CS$119,'Reference Score Calculation'!$P124)),10,IF(ISNUMBER(SEARCH(CS$119,'Reference Score Calculation'!$Q124)),7,IF(ISNUMBER(SEARCH(CS$119,'Reference Score Calculation'!$R124)),5,IF(ISNUMBER(SEARCH($BV$108,'Reference Score Calculation'!$P124)),10,IF(ISNUMBER(SEARCH($BV$108,'Reference Score Calculation'!$Q124)),7,5)))))</f>
        <v>7</v>
      </c>
      <c r="CT147" s="455">
        <f>IF(ISNUMBER(SEARCH(CT$119,'Reference Score Calculation'!$P124)),10,IF(ISNUMBER(SEARCH(CT$119,'Reference Score Calculation'!$Q124)),7,IF(ISNUMBER(SEARCH(CT$119,'Reference Score Calculation'!$R124)),5,IF(ISNUMBER(SEARCH($BV$108,'Reference Score Calculation'!$P124)),10,IF(ISNUMBER(SEARCH($BV$108,'Reference Score Calculation'!$Q124)),7,5)))))</f>
        <v>5</v>
      </c>
      <c r="CU147" s="455">
        <f>IF(ISNUMBER(SEARCH(CU$119,'Reference Score Calculation'!$P124)),10,IF(ISNUMBER(SEARCH(CU$119,'Reference Score Calculation'!$Q124)),7,IF(ISNUMBER(SEARCH(CU$119,'Reference Score Calculation'!$R124)),5,IF(ISNUMBER(SEARCH($BV$108,'Reference Score Calculation'!$P124)),10,IF(ISNUMBER(SEARCH($BV$108,'Reference Score Calculation'!$Q124)),7,5)))))</f>
        <v>7</v>
      </c>
      <c r="CV147" s="455">
        <f>IF(ISNUMBER(SEARCH(CV$119,'Reference Score Calculation'!$P124)),10,IF(ISNUMBER(SEARCH(CV$119,'Reference Score Calculation'!$Q124)),7,IF(ISNUMBER(SEARCH(CV$119,'Reference Score Calculation'!$R124)),5,IF(ISNUMBER(SEARCH($BV$108,'Reference Score Calculation'!$P124)),10,IF(ISNUMBER(SEARCH($BV$108,'Reference Score Calculation'!$Q124)),7,5)))))</f>
        <v>7</v>
      </c>
      <c r="CW147" s="185"/>
      <c r="CX147" s="185"/>
      <c r="CY147" s="185"/>
    </row>
    <row r="148" spans="1:103">
      <c r="A148" s="117" t="s">
        <v>1098</v>
      </c>
      <c r="B148" s="459" t="str">
        <f>'Reference Score Calculation'!B125</f>
        <v>JS3250</v>
      </c>
      <c r="C148" s="117" t="str">
        <f>'Reference Score Calculation'!E125</f>
        <v>應用社會科學(榮譽)文學士組合課程 (社會工作 / 社會政策及社會創業)</v>
      </c>
      <c r="D148" s="2" t="e">
        <f>'Reference Score Calculation'!#REF!</f>
        <v>#REF!</v>
      </c>
      <c r="E148" s="131" t="str">
        <f>'Reference Score Calculation'!F125</f>
        <v>Best 5</v>
      </c>
      <c r="F148" s="131"/>
      <c r="G148" s="117" t="str">
        <f>入學要求!AB134</f>
        <v>v</v>
      </c>
      <c r="H148" s="117" t="str">
        <f>入學要求!AC134</f>
        <v>E</v>
      </c>
      <c r="I148" s="117" t="str">
        <f>入學要求!AD134</f>
        <v>NO</v>
      </c>
      <c r="J148" s="117">
        <f t="shared" si="211"/>
        <v>7.6999999999999995E-9</v>
      </c>
      <c r="K148" s="117">
        <f t="shared" si="243"/>
        <v>7</v>
      </c>
      <c r="L148" s="117">
        <f t="shared" si="243"/>
        <v>7</v>
      </c>
      <c r="M148" s="117">
        <f t="shared" si="243"/>
        <v>7</v>
      </c>
      <c r="N148" s="117">
        <f t="shared" si="243"/>
        <v>0</v>
      </c>
      <c r="O148" s="117">
        <f t="shared" si="243"/>
        <v>7</v>
      </c>
      <c r="P148" s="117">
        <f t="shared" si="243"/>
        <v>0</v>
      </c>
      <c r="Q148" s="117">
        <f t="shared" si="243"/>
        <v>0</v>
      </c>
      <c r="R148" s="117">
        <f t="shared" si="243"/>
        <v>0</v>
      </c>
      <c r="S148" s="117">
        <f t="shared" si="243"/>
        <v>0</v>
      </c>
      <c r="T148" s="117">
        <v>5</v>
      </c>
      <c r="V148" s="117">
        <f t="shared" si="224"/>
        <v>7.0000000000000006E-10</v>
      </c>
      <c r="W148" s="117">
        <f t="shared" si="225"/>
        <v>1.4000000000000001E-9</v>
      </c>
      <c r="X148" s="117">
        <f t="shared" si="226"/>
        <v>2.0999999999999998E-9</v>
      </c>
      <c r="Z148" s="117">
        <f t="shared" si="227"/>
        <v>3.5000000000000003E-9</v>
      </c>
      <c r="AA148" s="117">
        <f t="shared" si="228"/>
        <v>0</v>
      </c>
      <c r="AB148" s="117">
        <f t="shared" si="229"/>
        <v>0</v>
      </c>
      <c r="AC148" s="117">
        <f t="shared" si="230"/>
        <v>0</v>
      </c>
      <c r="AD148" s="117">
        <f t="shared" si="231"/>
        <v>0</v>
      </c>
      <c r="AE148" s="117">
        <f t="shared" si="232"/>
        <v>0</v>
      </c>
      <c r="AF148" s="117">
        <f t="shared" si="213"/>
        <v>7.0000000000000006E-10</v>
      </c>
      <c r="AG148" s="117">
        <f t="shared" si="214"/>
        <v>1.4000000000000001E-9</v>
      </c>
      <c r="AH148" s="117">
        <f t="shared" si="215"/>
        <v>2.0999999999999998E-9</v>
      </c>
      <c r="AI148" s="117">
        <f t="shared" si="216"/>
        <v>0</v>
      </c>
      <c r="AJ148" s="117">
        <f t="shared" si="217"/>
        <v>3.5000000000000003E-9</v>
      </c>
      <c r="AK148" s="117">
        <f t="shared" si="218"/>
        <v>0</v>
      </c>
      <c r="AL148" s="117">
        <f t="shared" si="219"/>
        <v>0</v>
      </c>
      <c r="AM148" s="117">
        <f t="shared" si="220"/>
        <v>0</v>
      </c>
      <c r="AN148" s="117">
        <f t="shared" si="221"/>
        <v>0</v>
      </c>
      <c r="AO148" s="117">
        <f t="shared" si="222"/>
        <v>0</v>
      </c>
      <c r="AP148" s="117" t="b">
        <f t="shared" si="233"/>
        <v>1</v>
      </c>
      <c r="AQ148" s="117" t="b">
        <f t="shared" si="234"/>
        <v>1</v>
      </c>
      <c r="AR148" s="117" t="b">
        <f t="shared" si="235"/>
        <v>1</v>
      </c>
      <c r="AT148" s="117" t="b">
        <f t="shared" si="236"/>
        <v>1</v>
      </c>
      <c r="AU148" s="117" t="b">
        <f t="shared" si="237"/>
        <v>0</v>
      </c>
      <c r="AV148" s="117" t="b">
        <f t="shared" si="238"/>
        <v>0</v>
      </c>
      <c r="AW148" s="117" t="b">
        <f t="shared" si="239"/>
        <v>0</v>
      </c>
      <c r="AX148" s="117" t="b">
        <f t="shared" si="240"/>
        <v>0</v>
      </c>
      <c r="AY148" s="117" t="b">
        <f t="shared" si="241"/>
        <v>0</v>
      </c>
      <c r="BA148" s="2"/>
      <c r="BB148" s="2"/>
      <c r="BC148" s="2"/>
      <c r="BD148" s="2"/>
      <c r="BE148" s="2"/>
      <c r="BF148" s="2"/>
      <c r="BG148" s="2"/>
      <c r="BH148" s="2"/>
      <c r="BI148" s="2"/>
      <c r="BJ148" s="2"/>
      <c r="BK148" s="2"/>
      <c r="BL148" s="2"/>
      <c r="BM148" s="2"/>
      <c r="BN148" s="2"/>
      <c r="BO148" s="2"/>
      <c r="BP148" s="2"/>
      <c r="BQ148" s="2"/>
      <c r="BR148" s="2"/>
      <c r="BS148" s="185" t="str">
        <f>'Reference Score Calculation'!B125</f>
        <v>JS3250</v>
      </c>
      <c r="BT148" s="185"/>
      <c r="BU148" s="455">
        <f>IF(ISNUMBER(SEARCH(BU$119,'Reference Score Calculation'!$P125)),10,IF(ISNUMBER(SEARCH(BU$119,'Reference Score Calculation'!$Q125)),7,IF(ISNUMBER(SEARCH(BU$119,'Reference Score Calculation'!$R125)),5,IF(ISNUMBER(SEARCH($BV$108,'Reference Score Calculation'!$P125)),10,IF(ISNUMBER(SEARCH($BV$108,'Reference Score Calculation'!$Q125)),7,5)))))</f>
        <v>7</v>
      </c>
      <c r="BV148" s="455">
        <f>IF(ISNUMBER(SEARCH(BV$119,'Reference Score Calculation'!$P125)),10,IF(ISNUMBER(SEARCH(BV$119,'Reference Score Calculation'!$Q125)),7,IF(ISNUMBER(SEARCH(BV$119,'Reference Score Calculation'!$R125)),5,IF(ISNUMBER(SEARCH($BV$108,'Reference Score Calculation'!$P125)),10,IF(ISNUMBER(SEARCH($BV$108,'Reference Score Calculation'!$Q125)),7,5)))))</f>
        <v>7</v>
      </c>
      <c r="BW148" s="455">
        <f>IF(ISNUMBER(SEARCH(BW$119,'Reference Score Calculation'!$P125)),10,IF(ISNUMBER(SEARCH(BW$119,'Reference Score Calculation'!$Q125)),7,IF(ISNUMBER(SEARCH(BW$119,'Reference Score Calculation'!$R125)),5,IF(ISNUMBER(SEARCH($BV$108,'Reference Score Calculation'!$P125)),10,IF(ISNUMBER(SEARCH($BV$108,'Reference Score Calculation'!$Q125)),7,5)))))</f>
        <v>7</v>
      </c>
      <c r="BX148" s="455">
        <f>IF(ISNUMBER(SEARCH(BX$119,'Reference Score Calculation'!$P125)),10,IF(ISNUMBER(SEARCH(BX$119,'Reference Score Calculation'!$Q125)),7,IF(ISNUMBER(SEARCH(BX$119,'Reference Score Calculation'!$R125)),5,IF(ISNUMBER(SEARCH($BV$108,'Reference Score Calculation'!$P125)),10,IF(ISNUMBER(SEARCH($BV$108,'Reference Score Calculation'!$Q125)),7,5)))))</f>
        <v>7</v>
      </c>
      <c r="BY148" s="455">
        <f>IF(ISNUMBER(SEARCH(BY$119,'Reference Score Calculation'!$P125)),10,IF(ISNUMBER(SEARCH(BY$119,'Reference Score Calculation'!$Q125)),7,IF(ISNUMBER(SEARCH(BY$119,'Reference Score Calculation'!$R125)),5,IF(ISNUMBER(SEARCH($BV$108,'Reference Score Calculation'!$P125)),10,IF(ISNUMBER(SEARCH($BV$108,'Reference Score Calculation'!$Q125)),7,5)))))</f>
        <v>7</v>
      </c>
      <c r="BZ148" s="455">
        <f>IF(ISNUMBER(SEARCH(BZ$119,'Reference Score Calculation'!$P125)),10,IF(ISNUMBER(SEARCH(BZ$119,'Reference Score Calculation'!$Q125)),7,IF(ISNUMBER(SEARCH(BZ$119,'Reference Score Calculation'!$R125)),5,IF(ISNUMBER(SEARCH($BV$108,'Reference Score Calculation'!$P125)),10,IF(ISNUMBER(SEARCH($BV$108,'Reference Score Calculation'!$Q125)),7,5)))))</f>
        <v>7</v>
      </c>
      <c r="CA148" s="455">
        <f>IF(ISNUMBER(SEARCH(CA$119,'Reference Score Calculation'!$P125)),10,IF(ISNUMBER(SEARCH(CA$119,'Reference Score Calculation'!$Q125)),7,IF(ISNUMBER(SEARCH(CA$119,'Reference Score Calculation'!$R125)),5,IF(ISNUMBER(SEARCH($BV$108,'Reference Score Calculation'!$P125)),10,IF(ISNUMBER(SEARCH($BV$108,'Reference Score Calculation'!$Q125)),7,5)))))</f>
        <v>7</v>
      </c>
      <c r="CB148" s="455">
        <f>IF(ISNUMBER(SEARCH(CB$119,'Reference Score Calculation'!$P125)),10,IF(ISNUMBER(SEARCH(CB$119,'Reference Score Calculation'!$Q125)),7,IF(ISNUMBER(SEARCH(CB$119,'Reference Score Calculation'!$R125)),5,IF(ISNUMBER(SEARCH($BV$108,'Reference Score Calculation'!$P125)),10,IF(ISNUMBER(SEARCH($BV$108,'Reference Score Calculation'!$Q125)),7,5)))))</f>
        <v>7</v>
      </c>
      <c r="CC148" s="455">
        <f>IF(ISNUMBER(SEARCH(CC$119,'Reference Score Calculation'!$P125)),10,IF(ISNUMBER(SEARCH(CC$119,'Reference Score Calculation'!$Q125)),7,IF(ISNUMBER(SEARCH(CC$119,'Reference Score Calculation'!$R125)),5,IF(ISNUMBER(SEARCH($BV$108,'Reference Score Calculation'!$P125)),10,IF(ISNUMBER(SEARCH($BV$108,'Reference Score Calculation'!$Q125)),7,5)))))</f>
        <v>7</v>
      </c>
      <c r="CD148" s="455">
        <f>IF(ISNUMBER(SEARCH(CD$119,'Reference Score Calculation'!$P125)),10,IF(ISNUMBER(SEARCH(CD$119,'Reference Score Calculation'!$Q125)),7,IF(ISNUMBER(SEARCH(CD$119,'Reference Score Calculation'!$R125)),5,IF(ISNUMBER(SEARCH($BV$108,'Reference Score Calculation'!$P125)),10,IF(ISNUMBER(SEARCH($BV$108,'Reference Score Calculation'!$Q125)),7,5)))))</f>
        <v>7</v>
      </c>
      <c r="CE148" s="455">
        <f>IF(ISNUMBER(SEARCH(CE$119,'Reference Score Calculation'!$P125)),10,IF(ISNUMBER(SEARCH(CE$119,'Reference Score Calculation'!$Q125)),7,IF(ISNUMBER(SEARCH(CE$119,'Reference Score Calculation'!$R125)),5,IF(ISNUMBER(SEARCH($BV$108,'Reference Score Calculation'!$P125)),10,IF(ISNUMBER(SEARCH($BV$108,'Reference Score Calculation'!$Q125)),7,5)))))</f>
        <v>7</v>
      </c>
      <c r="CF148" s="455">
        <f>IF(ISNUMBER(SEARCH(CF$119,'Reference Score Calculation'!$P125)),10,IF(ISNUMBER(SEARCH(CF$119,'Reference Score Calculation'!$Q125)),7,IF(ISNUMBER(SEARCH(CF$119,'Reference Score Calculation'!$R125)),5,IF(ISNUMBER(SEARCH($BV$108,'Reference Score Calculation'!$P125)),10,IF(ISNUMBER(SEARCH($BV$108,'Reference Score Calculation'!$Q125)),7,5)))))</f>
        <v>7</v>
      </c>
      <c r="CG148" s="455">
        <f>IF(ISNUMBER(SEARCH(CG$119,'Reference Score Calculation'!$P125)),10,IF(ISNUMBER(SEARCH(CG$119,'Reference Score Calculation'!$Q125)),7,IF(ISNUMBER(SEARCH(CG$119,'Reference Score Calculation'!$R125)),5,IF(ISNUMBER(SEARCH($BV$108,'Reference Score Calculation'!$P125)),10,IF(ISNUMBER(SEARCH($BV$108,'Reference Score Calculation'!$Q125)),7,5)))))</f>
        <v>7</v>
      </c>
      <c r="CH148" s="455">
        <f>IF(ISNUMBER(SEARCH(CH$119,'Reference Score Calculation'!$P125)),10,IF(ISNUMBER(SEARCH(CH$119,'Reference Score Calculation'!$Q125)),7,IF(ISNUMBER(SEARCH(CH$119,'Reference Score Calculation'!$R125)),5,IF(ISNUMBER(SEARCH($BV$108,'Reference Score Calculation'!$P125)),10,IF(ISNUMBER(SEARCH($BV$108,'Reference Score Calculation'!$Q125)),7,5)))))</f>
        <v>7</v>
      </c>
      <c r="CI148" s="455">
        <f>IF(ISNUMBER(SEARCH(CI$119,'Reference Score Calculation'!$P125)),10,IF(ISNUMBER(SEARCH(CI$119,'Reference Score Calculation'!$Q125)),7,IF(ISNUMBER(SEARCH(CI$119,'Reference Score Calculation'!$R125)),5,IF(ISNUMBER(SEARCH($BV$108,'Reference Score Calculation'!$P125)),10,IF(ISNUMBER(SEARCH($BV$108,'Reference Score Calculation'!$Q125)),7,5)))))</f>
        <v>7</v>
      </c>
      <c r="CJ148" s="455">
        <f>IF(ISNUMBER(SEARCH(CJ$119,'Reference Score Calculation'!$P125)),10,IF(ISNUMBER(SEARCH(CJ$119,'Reference Score Calculation'!$Q125)),7,IF(ISNUMBER(SEARCH(CJ$119,'Reference Score Calculation'!$R125)),5,IF(ISNUMBER(SEARCH($BV$108,'Reference Score Calculation'!$P125)),10,IF(ISNUMBER(SEARCH($BV$108,'Reference Score Calculation'!$Q125)),7,5)))))</f>
        <v>7</v>
      </c>
      <c r="CK148" s="455">
        <f>IF(ISNUMBER(SEARCH(CK$119,'Reference Score Calculation'!$P125)),10,IF(ISNUMBER(SEARCH(CK$119,'Reference Score Calculation'!$Q125)),7,IF(ISNUMBER(SEARCH(CK$119,'Reference Score Calculation'!$R125)),5,IF(ISNUMBER(SEARCH($BV$108,'Reference Score Calculation'!$P125)),10,IF(ISNUMBER(SEARCH($BV$108,'Reference Score Calculation'!$Q125)),7,5)))))</f>
        <v>7</v>
      </c>
      <c r="CL148" s="455">
        <f>IF(ISNUMBER(SEARCH(CL$119,'Reference Score Calculation'!$P125)),10,IF(ISNUMBER(SEARCH(CL$119,'Reference Score Calculation'!$Q125)),7,IF(ISNUMBER(SEARCH(CL$119,'Reference Score Calculation'!$R125)),5,IF(ISNUMBER(SEARCH($BV$108,'Reference Score Calculation'!$P125)),10,IF(ISNUMBER(SEARCH($BV$108,'Reference Score Calculation'!$Q125)),7,5)))))</f>
        <v>7</v>
      </c>
      <c r="CM148" s="455">
        <f>IF(ISNUMBER(SEARCH(CM$119,'Reference Score Calculation'!$P125)),10,IF(ISNUMBER(SEARCH(CM$119,'Reference Score Calculation'!$Q125)),7,IF(ISNUMBER(SEARCH(CM$119,'Reference Score Calculation'!$R125)),5,IF(ISNUMBER(SEARCH($BV$108,'Reference Score Calculation'!$P125)),10,IF(ISNUMBER(SEARCH($BV$108,'Reference Score Calculation'!$Q125)),7,5)))))</f>
        <v>7</v>
      </c>
      <c r="CN148" s="455">
        <f>IF(ISNUMBER(SEARCH(CN$119,'Reference Score Calculation'!$P125)),10,IF(ISNUMBER(SEARCH(CN$119,'Reference Score Calculation'!$Q125)),7,IF(ISNUMBER(SEARCH(CN$119,'Reference Score Calculation'!$R125)),5,IF(ISNUMBER(SEARCH($BV$108,'Reference Score Calculation'!$P125)),10,IF(ISNUMBER(SEARCH($BV$108,'Reference Score Calculation'!$Q125)),7,5)))))</f>
        <v>7</v>
      </c>
      <c r="CO148" s="455">
        <f>IF(ISNUMBER(SEARCH(CO$119,'Reference Score Calculation'!$P125)),10,IF(ISNUMBER(SEARCH(CO$119,'Reference Score Calculation'!$Q125)),7,IF(ISNUMBER(SEARCH(CO$119,'Reference Score Calculation'!$R125)),5,IF(ISNUMBER(SEARCH($BV$108,'Reference Score Calculation'!$P125)),10,IF(ISNUMBER(SEARCH($BV$108,'Reference Score Calculation'!$Q125)),7,5)))))</f>
        <v>7</v>
      </c>
      <c r="CP148" s="455">
        <f>IF(ISNUMBER(SEARCH(CP$119,'Reference Score Calculation'!$P125)),10,IF(ISNUMBER(SEARCH(CP$119,'Reference Score Calculation'!$Q125)),7,IF(ISNUMBER(SEARCH(CP$119,'Reference Score Calculation'!$R125)),5,IF(ISNUMBER(SEARCH($BV$108,'Reference Score Calculation'!$P125)),10,IF(ISNUMBER(SEARCH($BV$108,'Reference Score Calculation'!$Q125)),7,5)))))</f>
        <v>7</v>
      </c>
      <c r="CQ148" s="455">
        <f>IF(ISNUMBER(SEARCH(CQ$119,'Reference Score Calculation'!$P125)),10,IF(ISNUMBER(SEARCH(CQ$119,'Reference Score Calculation'!$Q125)),7,IF(ISNUMBER(SEARCH(CQ$119,'Reference Score Calculation'!$R125)),5,IF(ISNUMBER(SEARCH($BV$108,'Reference Score Calculation'!$P125)),10,IF(ISNUMBER(SEARCH($BV$108,'Reference Score Calculation'!$Q125)),7,5)))))</f>
        <v>7</v>
      </c>
      <c r="CR148" s="455">
        <f>IF(ISNUMBER(SEARCH(CR$119,'Reference Score Calculation'!$P125)),10,IF(ISNUMBER(SEARCH(CR$119,'Reference Score Calculation'!$Q125)),7,IF(ISNUMBER(SEARCH(CR$119,'Reference Score Calculation'!$R125)),5,IF(ISNUMBER(SEARCH($BV$108,'Reference Score Calculation'!$P125)),10,IF(ISNUMBER(SEARCH($BV$108,'Reference Score Calculation'!$Q125)),7,5)))))</f>
        <v>7</v>
      </c>
      <c r="CS148" s="455">
        <f>IF(ISNUMBER(SEARCH(CS$119,'Reference Score Calculation'!$P125)),10,IF(ISNUMBER(SEARCH(CS$119,'Reference Score Calculation'!$Q125)),7,IF(ISNUMBER(SEARCH(CS$119,'Reference Score Calculation'!$R125)),5,IF(ISNUMBER(SEARCH($BV$108,'Reference Score Calculation'!$P125)),10,IF(ISNUMBER(SEARCH($BV$108,'Reference Score Calculation'!$Q125)),7,5)))))</f>
        <v>7</v>
      </c>
      <c r="CT148" s="455">
        <f>IF(ISNUMBER(SEARCH(CT$119,'Reference Score Calculation'!$P125)),10,IF(ISNUMBER(SEARCH(CT$119,'Reference Score Calculation'!$Q125)),7,IF(ISNUMBER(SEARCH(CT$119,'Reference Score Calculation'!$R125)),5,IF(ISNUMBER(SEARCH($BV$108,'Reference Score Calculation'!$P125)),10,IF(ISNUMBER(SEARCH($BV$108,'Reference Score Calculation'!$Q125)),7,5)))))</f>
        <v>7</v>
      </c>
      <c r="CU148" s="455">
        <f>IF(ISNUMBER(SEARCH(CU$119,'Reference Score Calculation'!$P125)),10,IF(ISNUMBER(SEARCH(CU$119,'Reference Score Calculation'!$Q125)),7,IF(ISNUMBER(SEARCH(CU$119,'Reference Score Calculation'!$R125)),5,IF(ISNUMBER(SEARCH($BV$108,'Reference Score Calculation'!$P125)),10,IF(ISNUMBER(SEARCH($BV$108,'Reference Score Calculation'!$Q125)),7,5)))))</f>
        <v>7</v>
      </c>
      <c r="CV148" s="455">
        <f>IF(ISNUMBER(SEARCH(CV$119,'Reference Score Calculation'!$P125)),10,IF(ISNUMBER(SEARCH(CV$119,'Reference Score Calculation'!$Q125)),7,IF(ISNUMBER(SEARCH(CV$119,'Reference Score Calculation'!$R125)),5,IF(ISNUMBER(SEARCH($BV$108,'Reference Score Calculation'!$P125)),10,IF(ISNUMBER(SEARCH($BV$108,'Reference Score Calculation'!$Q125)),7,5)))))</f>
        <v>7</v>
      </c>
      <c r="CW148" s="185"/>
      <c r="CX148" s="185"/>
      <c r="CY148" s="185"/>
    </row>
    <row r="149" spans="1:103">
      <c r="A149" s="117" t="s">
        <v>2762</v>
      </c>
      <c r="B149" s="459" t="str">
        <f>'Reference Score Calculation'!B126</f>
        <v>JS3255</v>
      </c>
      <c r="C149" s="117" t="str">
        <f>'Reference Score Calculation'!E126</f>
        <v>食品科學及營養學(榮譽)理學士組合課程 (食品科技與食物安全 / 人類營養學及健康)</v>
      </c>
      <c r="E149" s="131" t="str">
        <f>'Reference Score Calculation'!F126</f>
        <v>Best 5</v>
      </c>
      <c r="F149" s="131"/>
      <c r="G149" s="117" t="str">
        <f>入學要求!AB135</f>
        <v>v</v>
      </c>
      <c r="H149" s="117" t="str">
        <f>入學要求!AC135</f>
        <v>E</v>
      </c>
      <c r="I149" s="117" t="str">
        <f>入學要求!AD135</f>
        <v xml:space="preserve">v </v>
      </c>
      <c r="J149" s="117">
        <f t="shared" si="211"/>
        <v>9.1999999999999997E-9</v>
      </c>
      <c r="K149" s="117">
        <f t="shared" si="243"/>
        <v>7</v>
      </c>
      <c r="L149" s="117">
        <f t="shared" si="243"/>
        <v>10</v>
      </c>
      <c r="M149" s="117">
        <f t="shared" si="243"/>
        <v>10</v>
      </c>
      <c r="N149" s="117">
        <f t="shared" si="243"/>
        <v>0</v>
      </c>
      <c r="O149" s="117">
        <f t="shared" si="243"/>
        <v>7</v>
      </c>
      <c r="P149" s="117">
        <f t="shared" si="243"/>
        <v>0</v>
      </c>
      <c r="Q149" s="117">
        <f t="shared" si="243"/>
        <v>0</v>
      </c>
      <c r="R149" s="117">
        <f t="shared" si="243"/>
        <v>0</v>
      </c>
      <c r="S149" s="117">
        <f t="shared" si="243"/>
        <v>0</v>
      </c>
      <c r="T149" s="117">
        <v>5</v>
      </c>
      <c r="V149" s="117">
        <f t="shared" si="224"/>
        <v>7.0000000000000006E-10</v>
      </c>
      <c r="W149" s="117">
        <f t="shared" si="225"/>
        <v>2.0000000000000001E-9</v>
      </c>
      <c r="X149" s="117">
        <f t="shared" si="226"/>
        <v>3E-9</v>
      </c>
      <c r="Z149" s="117">
        <f t="shared" si="227"/>
        <v>3.5000000000000003E-9</v>
      </c>
      <c r="AA149" s="117">
        <f t="shared" si="228"/>
        <v>0</v>
      </c>
      <c r="AB149" s="117">
        <f t="shared" si="229"/>
        <v>0</v>
      </c>
      <c r="AC149" s="117">
        <f t="shared" si="230"/>
        <v>0</v>
      </c>
      <c r="AD149" s="117">
        <f t="shared" si="231"/>
        <v>0</v>
      </c>
      <c r="AE149" s="117">
        <f t="shared" si="232"/>
        <v>0</v>
      </c>
      <c r="AF149" s="117">
        <f t="shared" si="213"/>
        <v>7.0000000000000006E-10</v>
      </c>
      <c r="AG149" s="117">
        <f t="shared" si="214"/>
        <v>2.0000000000000001E-9</v>
      </c>
      <c r="AH149" s="117">
        <f t="shared" si="215"/>
        <v>3E-9</v>
      </c>
      <c r="AI149" s="117">
        <f t="shared" si="216"/>
        <v>0</v>
      </c>
      <c r="AJ149" s="117">
        <f t="shared" si="217"/>
        <v>3.5000000000000003E-9</v>
      </c>
      <c r="AK149" s="117">
        <f t="shared" si="218"/>
        <v>0</v>
      </c>
      <c r="AL149" s="117">
        <f t="shared" si="219"/>
        <v>0</v>
      </c>
      <c r="AM149" s="117">
        <f t="shared" si="220"/>
        <v>0</v>
      </c>
      <c r="AN149" s="117">
        <f t="shared" si="221"/>
        <v>0</v>
      </c>
      <c r="AO149" s="117">
        <f t="shared" si="222"/>
        <v>0</v>
      </c>
      <c r="AP149" s="117" t="b">
        <f t="shared" si="233"/>
        <v>1</v>
      </c>
      <c r="AQ149" s="117" t="b">
        <f t="shared" si="234"/>
        <v>1</v>
      </c>
      <c r="AR149" s="117" t="b">
        <f t="shared" si="235"/>
        <v>1</v>
      </c>
      <c r="AT149" s="117" t="b">
        <f t="shared" si="236"/>
        <v>1</v>
      </c>
      <c r="AU149" s="117" t="b">
        <f t="shared" si="237"/>
        <v>0</v>
      </c>
      <c r="AV149" s="117" t="b">
        <f t="shared" si="238"/>
        <v>0</v>
      </c>
      <c r="AW149" s="117" t="b">
        <f t="shared" si="239"/>
        <v>0</v>
      </c>
      <c r="AX149" s="117" t="b">
        <f t="shared" si="240"/>
        <v>0</v>
      </c>
      <c r="AY149" s="117" t="b">
        <f t="shared" si="241"/>
        <v>0</v>
      </c>
      <c r="BA149" s="2"/>
      <c r="BB149" s="2"/>
      <c r="BC149" s="2"/>
      <c r="BD149" s="2"/>
      <c r="BE149" s="2"/>
      <c r="BF149" s="2"/>
      <c r="BG149" s="2"/>
      <c r="BH149" s="2"/>
      <c r="BI149" s="2"/>
      <c r="BJ149" s="2"/>
      <c r="BK149" s="2"/>
      <c r="BL149" s="2"/>
      <c r="BM149" s="2"/>
      <c r="BN149" s="2"/>
      <c r="BO149" s="2"/>
      <c r="BP149" s="2"/>
      <c r="BQ149" s="2"/>
      <c r="BR149" s="2"/>
      <c r="BS149" s="185" t="str">
        <f>'Reference Score Calculation'!B126</f>
        <v>JS3255</v>
      </c>
      <c r="BT149" s="185"/>
      <c r="BU149" s="455">
        <f>IF(ISNUMBER(SEARCH(BU$119,'Reference Score Calculation'!$P126)),10,IF(ISNUMBER(SEARCH(BU$119,'Reference Score Calculation'!$Q126)),7,IF(ISNUMBER(SEARCH(BU$119,'Reference Score Calculation'!$R126)),5,IF(ISNUMBER(SEARCH($BV$108,'Reference Score Calculation'!$P126)),10,IF(ISNUMBER(SEARCH($BV$108,'Reference Score Calculation'!$Q126)),7,5)))))</f>
        <v>7</v>
      </c>
      <c r="BV149" s="455">
        <f>IF(ISNUMBER(SEARCH(BV$119,'Reference Score Calculation'!$P126)),10,IF(ISNUMBER(SEARCH(BV$119,'Reference Score Calculation'!$Q126)),7,IF(ISNUMBER(SEARCH(BV$119,'Reference Score Calculation'!$R126)),5,IF(ISNUMBER(SEARCH($BV$108,'Reference Score Calculation'!$P126)),10,IF(ISNUMBER(SEARCH($BV$108,'Reference Score Calculation'!$Q126)),7,5)))))</f>
        <v>10</v>
      </c>
      <c r="BW149" s="455">
        <f>IF(ISNUMBER(SEARCH(BW$119,'Reference Score Calculation'!$P126)),10,IF(ISNUMBER(SEARCH(BW$119,'Reference Score Calculation'!$Q126)),7,IF(ISNUMBER(SEARCH(BW$119,'Reference Score Calculation'!$R126)),5,IF(ISNUMBER(SEARCH($BV$108,'Reference Score Calculation'!$P126)),10,IF(ISNUMBER(SEARCH($BV$108,'Reference Score Calculation'!$Q126)),7,5)))))</f>
        <v>10</v>
      </c>
      <c r="BX149" s="455">
        <f>IF(ISNUMBER(SEARCH(BX$119,'Reference Score Calculation'!$P126)),10,IF(ISNUMBER(SEARCH(BX$119,'Reference Score Calculation'!$Q126)),7,IF(ISNUMBER(SEARCH(BX$119,'Reference Score Calculation'!$R126)),5,IF(ISNUMBER(SEARCH($BV$108,'Reference Score Calculation'!$P126)),10,IF(ISNUMBER(SEARCH($BV$108,'Reference Score Calculation'!$Q126)),7,5)))))</f>
        <v>5</v>
      </c>
      <c r="BY149" s="455">
        <f>IF(ISNUMBER(SEARCH(BY$119,'Reference Score Calculation'!$P126)),10,IF(ISNUMBER(SEARCH(BY$119,'Reference Score Calculation'!$Q126)),7,IF(ISNUMBER(SEARCH(BY$119,'Reference Score Calculation'!$R126)),5,IF(ISNUMBER(SEARCH($BV$108,'Reference Score Calculation'!$P126)),10,IF(ISNUMBER(SEARCH($BV$108,'Reference Score Calculation'!$Q126)),7,5)))))</f>
        <v>7</v>
      </c>
      <c r="BZ149" s="455">
        <f>IF(ISNUMBER(SEARCH(BZ$119,'Reference Score Calculation'!$P126)),10,IF(ISNUMBER(SEARCH(BZ$119,'Reference Score Calculation'!$Q126)),7,IF(ISNUMBER(SEARCH(BZ$119,'Reference Score Calculation'!$R126)),5,IF(ISNUMBER(SEARCH($BV$108,'Reference Score Calculation'!$P126)),10,IF(ISNUMBER(SEARCH($BV$108,'Reference Score Calculation'!$Q126)),7,5)))))</f>
        <v>7</v>
      </c>
      <c r="CA149" s="455">
        <f>IF(ISNUMBER(SEARCH(CA$119,'Reference Score Calculation'!$P126)),10,IF(ISNUMBER(SEARCH(CA$119,'Reference Score Calculation'!$Q126)),7,IF(ISNUMBER(SEARCH(CA$119,'Reference Score Calculation'!$R126)),5,IF(ISNUMBER(SEARCH($BV$108,'Reference Score Calculation'!$P126)),10,IF(ISNUMBER(SEARCH($BV$108,'Reference Score Calculation'!$Q126)),7,5)))))</f>
        <v>10</v>
      </c>
      <c r="CB149" s="455">
        <f>IF(ISNUMBER(SEARCH(CB$119,'Reference Score Calculation'!$P126)),10,IF(ISNUMBER(SEARCH(CB$119,'Reference Score Calculation'!$Q126)),7,IF(ISNUMBER(SEARCH(CB$119,'Reference Score Calculation'!$R126)),5,IF(ISNUMBER(SEARCH($BV$108,'Reference Score Calculation'!$P126)),10,IF(ISNUMBER(SEARCH($BV$108,'Reference Score Calculation'!$Q126)),7,5)))))</f>
        <v>10</v>
      </c>
      <c r="CC149" s="455">
        <f>IF(ISNUMBER(SEARCH(CC$119,'Reference Score Calculation'!$P126)),10,IF(ISNUMBER(SEARCH(CC$119,'Reference Score Calculation'!$Q126)),7,IF(ISNUMBER(SEARCH(CC$119,'Reference Score Calculation'!$R126)),5,IF(ISNUMBER(SEARCH($BV$108,'Reference Score Calculation'!$P126)),10,IF(ISNUMBER(SEARCH($BV$108,'Reference Score Calculation'!$Q126)),7,5)))))</f>
        <v>5</v>
      </c>
      <c r="CD149" s="455">
        <f>IF(ISNUMBER(SEARCH(CD$119,'Reference Score Calculation'!$P126)),10,IF(ISNUMBER(SEARCH(CD$119,'Reference Score Calculation'!$Q126)),7,IF(ISNUMBER(SEARCH(CD$119,'Reference Score Calculation'!$R126)),5,IF(ISNUMBER(SEARCH($BV$108,'Reference Score Calculation'!$P126)),10,IF(ISNUMBER(SEARCH($BV$108,'Reference Score Calculation'!$Q126)),7,5)))))</f>
        <v>5</v>
      </c>
      <c r="CE149" s="455">
        <f>IF(ISNUMBER(SEARCH(CE$119,'Reference Score Calculation'!$P126)),10,IF(ISNUMBER(SEARCH(CE$119,'Reference Score Calculation'!$Q126)),7,IF(ISNUMBER(SEARCH(CE$119,'Reference Score Calculation'!$R126)),5,IF(ISNUMBER(SEARCH($BV$108,'Reference Score Calculation'!$P126)),10,IF(ISNUMBER(SEARCH($BV$108,'Reference Score Calculation'!$Q126)),7,5)))))</f>
        <v>5</v>
      </c>
      <c r="CF149" s="455">
        <f>IF(ISNUMBER(SEARCH(CF$119,'Reference Score Calculation'!$P126)),10,IF(ISNUMBER(SEARCH(CF$119,'Reference Score Calculation'!$Q126)),7,IF(ISNUMBER(SEARCH(CF$119,'Reference Score Calculation'!$R126)),5,IF(ISNUMBER(SEARCH($BV$108,'Reference Score Calculation'!$P126)),10,IF(ISNUMBER(SEARCH($BV$108,'Reference Score Calculation'!$Q126)),7,5)))))</f>
        <v>5</v>
      </c>
      <c r="CG149" s="455">
        <f>IF(ISNUMBER(SEARCH(CG$119,'Reference Score Calculation'!$P126)),10,IF(ISNUMBER(SEARCH(CG$119,'Reference Score Calculation'!$Q126)),7,IF(ISNUMBER(SEARCH(CG$119,'Reference Score Calculation'!$R126)),5,IF(ISNUMBER(SEARCH($BV$108,'Reference Score Calculation'!$P126)),10,IF(ISNUMBER(SEARCH($BV$108,'Reference Score Calculation'!$Q126)),7,5)))))</f>
        <v>5</v>
      </c>
      <c r="CH149" s="455">
        <f>IF(ISNUMBER(SEARCH(CH$119,'Reference Score Calculation'!$P126)),10,IF(ISNUMBER(SEARCH(CH$119,'Reference Score Calculation'!$Q126)),7,IF(ISNUMBER(SEARCH(CH$119,'Reference Score Calculation'!$R126)),5,IF(ISNUMBER(SEARCH($BV$108,'Reference Score Calculation'!$P126)),10,IF(ISNUMBER(SEARCH($BV$108,'Reference Score Calculation'!$Q126)),7,5)))))</f>
        <v>5</v>
      </c>
      <c r="CI149" s="455">
        <f>IF(ISNUMBER(SEARCH(CI$119,'Reference Score Calculation'!$P126)),10,IF(ISNUMBER(SEARCH(CI$119,'Reference Score Calculation'!$Q126)),7,IF(ISNUMBER(SEARCH(CI$119,'Reference Score Calculation'!$R126)),5,IF(ISNUMBER(SEARCH($BV$108,'Reference Score Calculation'!$P126)),10,IF(ISNUMBER(SEARCH($BV$108,'Reference Score Calculation'!$Q126)),7,5)))))</f>
        <v>5</v>
      </c>
      <c r="CJ149" s="455">
        <f>IF(ISNUMBER(SEARCH(CJ$119,'Reference Score Calculation'!$P126)),10,IF(ISNUMBER(SEARCH(CJ$119,'Reference Score Calculation'!$Q126)),7,IF(ISNUMBER(SEARCH(CJ$119,'Reference Score Calculation'!$R126)),5,IF(ISNUMBER(SEARCH($BV$108,'Reference Score Calculation'!$P126)),10,IF(ISNUMBER(SEARCH($BV$108,'Reference Score Calculation'!$Q126)),7,5)))))</f>
        <v>7</v>
      </c>
      <c r="CK149" s="455">
        <f>IF(ISNUMBER(SEARCH(CK$119,'Reference Score Calculation'!$P126)),10,IF(ISNUMBER(SEARCH(CK$119,'Reference Score Calculation'!$Q126)),7,IF(ISNUMBER(SEARCH(CK$119,'Reference Score Calculation'!$R126)),5,IF(ISNUMBER(SEARCH($BV$108,'Reference Score Calculation'!$P126)),10,IF(ISNUMBER(SEARCH($BV$108,'Reference Score Calculation'!$Q126)),7,5)))))</f>
        <v>5</v>
      </c>
      <c r="CL149" s="455">
        <f>IF(ISNUMBER(SEARCH(CL$119,'Reference Score Calculation'!$P126)),10,IF(ISNUMBER(SEARCH(CL$119,'Reference Score Calculation'!$Q126)),7,IF(ISNUMBER(SEARCH(CL$119,'Reference Score Calculation'!$R126)),5,IF(ISNUMBER(SEARCH($BV$108,'Reference Score Calculation'!$P126)),10,IF(ISNUMBER(SEARCH($BV$108,'Reference Score Calculation'!$Q126)),7,5)))))</f>
        <v>5</v>
      </c>
      <c r="CM149" s="455">
        <f>IF(ISNUMBER(SEARCH(CM$119,'Reference Score Calculation'!$P126)),10,IF(ISNUMBER(SEARCH(CM$119,'Reference Score Calculation'!$Q126)),7,IF(ISNUMBER(SEARCH(CM$119,'Reference Score Calculation'!$R126)),5,IF(ISNUMBER(SEARCH($BV$108,'Reference Score Calculation'!$P126)),10,IF(ISNUMBER(SEARCH($BV$108,'Reference Score Calculation'!$Q126)),7,5)))))</f>
        <v>5</v>
      </c>
      <c r="CN149" s="455">
        <f>IF(ISNUMBER(SEARCH(CN$119,'Reference Score Calculation'!$P126)),10,IF(ISNUMBER(SEARCH(CN$119,'Reference Score Calculation'!$Q126)),7,IF(ISNUMBER(SEARCH(CN$119,'Reference Score Calculation'!$R126)),5,IF(ISNUMBER(SEARCH($BV$108,'Reference Score Calculation'!$P126)),10,IF(ISNUMBER(SEARCH($BV$108,'Reference Score Calculation'!$Q126)),7,5)))))</f>
        <v>5</v>
      </c>
      <c r="CO149" s="455">
        <f>IF(ISNUMBER(SEARCH(CO$119,'Reference Score Calculation'!$P126)),10,IF(ISNUMBER(SEARCH(CO$119,'Reference Score Calculation'!$Q126)),7,IF(ISNUMBER(SEARCH(CO$119,'Reference Score Calculation'!$R126)),5,IF(ISNUMBER(SEARCH($BV$108,'Reference Score Calculation'!$P126)),10,IF(ISNUMBER(SEARCH($BV$108,'Reference Score Calculation'!$Q126)),7,5)))))</f>
        <v>5</v>
      </c>
      <c r="CP149" s="455">
        <f>IF(ISNUMBER(SEARCH(CP$119,'Reference Score Calculation'!$P126)),10,IF(ISNUMBER(SEARCH(CP$119,'Reference Score Calculation'!$Q126)),7,IF(ISNUMBER(SEARCH(CP$119,'Reference Score Calculation'!$R126)),5,IF(ISNUMBER(SEARCH($BV$108,'Reference Score Calculation'!$P126)),10,IF(ISNUMBER(SEARCH($BV$108,'Reference Score Calculation'!$Q126)),7,5)))))</f>
        <v>5</v>
      </c>
      <c r="CQ149" s="455">
        <f>IF(ISNUMBER(SEARCH(CQ$119,'Reference Score Calculation'!$P126)),10,IF(ISNUMBER(SEARCH(CQ$119,'Reference Score Calculation'!$Q126)),7,IF(ISNUMBER(SEARCH(CQ$119,'Reference Score Calculation'!$R126)),5,IF(ISNUMBER(SEARCH($BV$108,'Reference Score Calculation'!$P126)),10,IF(ISNUMBER(SEARCH($BV$108,'Reference Score Calculation'!$Q126)),7,5)))))</f>
        <v>5</v>
      </c>
      <c r="CR149" s="455">
        <f>IF(ISNUMBER(SEARCH(CR$119,'Reference Score Calculation'!$P126)),10,IF(ISNUMBER(SEARCH(CR$119,'Reference Score Calculation'!$Q126)),7,IF(ISNUMBER(SEARCH(CR$119,'Reference Score Calculation'!$R126)),5,IF(ISNUMBER(SEARCH($BV$108,'Reference Score Calculation'!$P126)),10,IF(ISNUMBER(SEARCH($BV$108,'Reference Score Calculation'!$Q126)),7,5)))))</f>
        <v>5</v>
      </c>
      <c r="CS149" s="455">
        <f>IF(ISNUMBER(SEARCH(CS$119,'Reference Score Calculation'!$P126)),10,IF(ISNUMBER(SEARCH(CS$119,'Reference Score Calculation'!$Q126)),7,IF(ISNUMBER(SEARCH(CS$119,'Reference Score Calculation'!$R126)),5,IF(ISNUMBER(SEARCH($BV$108,'Reference Score Calculation'!$P126)),10,IF(ISNUMBER(SEARCH($BV$108,'Reference Score Calculation'!$Q126)),7,5)))))</f>
        <v>5</v>
      </c>
      <c r="CT149" s="455">
        <f>IF(ISNUMBER(SEARCH(CT$119,'Reference Score Calculation'!$P126)),10,IF(ISNUMBER(SEARCH(CT$119,'Reference Score Calculation'!$Q126)),7,IF(ISNUMBER(SEARCH(CT$119,'Reference Score Calculation'!$R126)),5,IF(ISNUMBER(SEARCH($BV$108,'Reference Score Calculation'!$P126)),10,IF(ISNUMBER(SEARCH($BV$108,'Reference Score Calculation'!$Q126)),7,5)))))</f>
        <v>5</v>
      </c>
      <c r="CU149" s="455">
        <f>IF(ISNUMBER(SEARCH(CU$119,'Reference Score Calculation'!$P126)),10,IF(ISNUMBER(SEARCH(CU$119,'Reference Score Calculation'!$Q126)),7,IF(ISNUMBER(SEARCH(CU$119,'Reference Score Calculation'!$R126)),5,IF(ISNUMBER(SEARCH($BV$108,'Reference Score Calculation'!$P126)),10,IF(ISNUMBER(SEARCH($BV$108,'Reference Score Calculation'!$Q126)),7,5)))))</f>
        <v>5</v>
      </c>
      <c r="CV149" s="455">
        <f>IF(ISNUMBER(SEARCH(CV$119,'Reference Score Calculation'!$P126)),10,IF(ISNUMBER(SEARCH(CV$119,'Reference Score Calculation'!$Q126)),7,IF(ISNUMBER(SEARCH(CV$119,'Reference Score Calculation'!$R126)),5,IF(ISNUMBER(SEARCH($BV$108,'Reference Score Calculation'!$P126)),10,IF(ISNUMBER(SEARCH($BV$108,'Reference Score Calculation'!$Q126)),7,5)))))</f>
        <v>5</v>
      </c>
      <c r="CW149" s="185"/>
      <c r="CX149" s="185"/>
      <c r="CY149" s="185"/>
    </row>
    <row r="150" spans="1:103">
      <c r="A150" s="117" t="s">
        <v>1101</v>
      </c>
      <c r="B150" s="459" t="str">
        <f>'Reference Score Calculation'!B127</f>
        <v>JS3290</v>
      </c>
      <c r="C150" s="117" t="str">
        <f>'Reference Score Calculation'!E127</f>
        <v>眼科視光學(榮譽)理學士</v>
      </c>
      <c r="D150" s="2" t="e">
        <f>'Reference Score Calculation'!#REF!</f>
        <v>#REF!</v>
      </c>
      <c r="E150" s="131" t="str">
        <f>'Reference Score Calculation'!F127</f>
        <v>Best 5</v>
      </c>
      <c r="F150" s="131"/>
      <c r="G150" s="117" t="str">
        <f>入學要求!AB136</f>
        <v>v</v>
      </c>
      <c r="H150" s="117" t="str">
        <f>入學要求!AC136</f>
        <v>E</v>
      </c>
      <c r="I150" s="117" t="str">
        <f>入學要求!AD136</f>
        <v>v</v>
      </c>
      <c r="J150" s="117">
        <f t="shared" si="211"/>
        <v>1.07E-8</v>
      </c>
      <c r="K150" s="117">
        <f t="shared" si="243"/>
        <v>7</v>
      </c>
      <c r="L150" s="117">
        <f t="shared" si="243"/>
        <v>10</v>
      </c>
      <c r="M150" s="117">
        <f t="shared" si="243"/>
        <v>10</v>
      </c>
      <c r="N150" s="117">
        <f t="shared" si="243"/>
        <v>0</v>
      </c>
      <c r="O150" s="117">
        <f t="shared" si="243"/>
        <v>10</v>
      </c>
      <c r="P150" s="117">
        <f t="shared" si="243"/>
        <v>0</v>
      </c>
      <c r="Q150" s="117">
        <f t="shared" si="243"/>
        <v>0</v>
      </c>
      <c r="R150" s="117">
        <f t="shared" si="243"/>
        <v>0</v>
      </c>
      <c r="S150" s="117">
        <f t="shared" si="243"/>
        <v>0</v>
      </c>
      <c r="T150" s="117">
        <v>5</v>
      </c>
      <c r="V150" s="117">
        <f t="shared" si="224"/>
        <v>7.0000000000000006E-10</v>
      </c>
      <c r="W150" s="117">
        <f t="shared" si="225"/>
        <v>2.0000000000000001E-9</v>
      </c>
      <c r="X150" s="117">
        <f t="shared" si="226"/>
        <v>3E-9</v>
      </c>
      <c r="Z150" s="117">
        <f t="shared" si="227"/>
        <v>5.0000000000000001E-9</v>
      </c>
      <c r="AA150" s="117">
        <f t="shared" si="228"/>
        <v>0</v>
      </c>
      <c r="AB150" s="117">
        <f t="shared" si="229"/>
        <v>0</v>
      </c>
      <c r="AC150" s="117">
        <f t="shared" si="230"/>
        <v>0</v>
      </c>
      <c r="AD150" s="117">
        <f t="shared" si="231"/>
        <v>0</v>
      </c>
      <c r="AE150" s="117">
        <f t="shared" si="232"/>
        <v>0</v>
      </c>
      <c r="AF150" s="117">
        <f t="shared" si="213"/>
        <v>7.0000000000000006E-10</v>
      </c>
      <c r="AG150" s="117">
        <f t="shared" si="214"/>
        <v>2.0000000000000001E-9</v>
      </c>
      <c r="AH150" s="117">
        <f t="shared" si="215"/>
        <v>3E-9</v>
      </c>
      <c r="AI150" s="117">
        <f t="shared" si="216"/>
        <v>0</v>
      </c>
      <c r="AJ150" s="117">
        <f t="shared" si="217"/>
        <v>5.0000000000000001E-9</v>
      </c>
      <c r="AK150" s="117">
        <f t="shared" si="218"/>
        <v>0</v>
      </c>
      <c r="AL150" s="117">
        <f t="shared" si="219"/>
        <v>0</v>
      </c>
      <c r="AM150" s="117">
        <f t="shared" si="220"/>
        <v>0</v>
      </c>
      <c r="AN150" s="117">
        <f t="shared" si="221"/>
        <v>0</v>
      </c>
      <c r="AO150" s="117">
        <f t="shared" si="222"/>
        <v>0</v>
      </c>
      <c r="AP150" s="117" t="b">
        <f t="shared" si="233"/>
        <v>1</v>
      </c>
      <c r="AQ150" s="117" t="b">
        <f t="shared" si="234"/>
        <v>1</v>
      </c>
      <c r="AR150" s="117" t="b">
        <f t="shared" si="235"/>
        <v>1</v>
      </c>
      <c r="AT150" s="117" t="b">
        <f t="shared" si="236"/>
        <v>1</v>
      </c>
      <c r="AU150" s="117" t="b">
        <f t="shared" si="237"/>
        <v>0</v>
      </c>
      <c r="AV150" s="117" t="b">
        <f t="shared" si="238"/>
        <v>0</v>
      </c>
      <c r="AW150" s="117" t="b">
        <f t="shared" si="239"/>
        <v>0</v>
      </c>
      <c r="AX150" s="117" t="b">
        <f t="shared" si="240"/>
        <v>0</v>
      </c>
      <c r="AY150" s="117" t="b">
        <f t="shared" si="241"/>
        <v>0</v>
      </c>
      <c r="BA150" s="2"/>
      <c r="BB150" s="2"/>
      <c r="BC150" s="2"/>
      <c r="BD150" s="2"/>
      <c r="BE150" s="2"/>
      <c r="BF150" s="2"/>
      <c r="BG150" s="2"/>
      <c r="BH150" s="2"/>
      <c r="BI150" s="2"/>
      <c r="BJ150" s="2"/>
      <c r="BK150" s="2"/>
      <c r="BL150" s="2"/>
      <c r="BM150" s="2"/>
      <c r="BN150" s="2"/>
      <c r="BO150" s="2"/>
      <c r="BP150" s="2"/>
      <c r="BQ150" s="2"/>
      <c r="BR150" s="2"/>
      <c r="BS150" s="185" t="str">
        <f>'Reference Score Calculation'!B127</f>
        <v>JS3290</v>
      </c>
      <c r="BT150" s="185"/>
      <c r="BU150" s="455">
        <f>IF(ISNUMBER(SEARCH(BU$119,'Reference Score Calculation'!$P127)),10,IF(ISNUMBER(SEARCH(BU$119,'Reference Score Calculation'!$Q127)),7,IF(ISNUMBER(SEARCH(BU$119,'Reference Score Calculation'!$R127)),5,IF(ISNUMBER(SEARCH($BV$108,'Reference Score Calculation'!$P127)),10,IF(ISNUMBER(SEARCH($BV$108,'Reference Score Calculation'!$Q127)),7,5)))))</f>
        <v>7</v>
      </c>
      <c r="BV150" s="455">
        <f>IF(ISNUMBER(SEARCH(BV$119,'Reference Score Calculation'!$P127)),10,IF(ISNUMBER(SEARCH(BV$119,'Reference Score Calculation'!$Q127)),7,IF(ISNUMBER(SEARCH(BV$119,'Reference Score Calculation'!$R127)),5,IF(ISNUMBER(SEARCH($BV$108,'Reference Score Calculation'!$P127)),10,IF(ISNUMBER(SEARCH($BV$108,'Reference Score Calculation'!$Q127)),7,5)))))</f>
        <v>10</v>
      </c>
      <c r="BW150" s="455">
        <f>IF(ISNUMBER(SEARCH(BW$119,'Reference Score Calculation'!$P127)),10,IF(ISNUMBER(SEARCH(BW$119,'Reference Score Calculation'!$Q127)),7,IF(ISNUMBER(SEARCH(BW$119,'Reference Score Calculation'!$R127)),5,IF(ISNUMBER(SEARCH($BV$108,'Reference Score Calculation'!$P127)),10,IF(ISNUMBER(SEARCH($BV$108,'Reference Score Calculation'!$Q127)),7,5)))))</f>
        <v>10</v>
      </c>
      <c r="BX150" s="455">
        <f>IF(ISNUMBER(SEARCH(BX$119,'Reference Score Calculation'!$P127)),10,IF(ISNUMBER(SEARCH(BX$119,'Reference Score Calculation'!$Q127)),7,IF(ISNUMBER(SEARCH(BX$119,'Reference Score Calculation'!$R127)),5,IF(ISNUMBER(SEARCH($BV$108,'Reference Score Calculation'!$P127)),10,IF(ISNUMBER(SEARCH($BV$108,'Reference Score Calculation'!$Q127)),7,5)))))</f>
        <v>5</v>
      </c>
      <c r="BY150" s="455">
        <f>IF(ISNUMBER(SEARCH(BY$119,'Reference Score Calculation'!$P127)),10,IF(ISNUMBER(SEARCH(BY$119,'Reference Score Calculation'!$Q127)),7,IF(ISNUMBER(SEARCH(BY$119,'Reference Score Calculation'!$R127)),5,IF(ISNUMBER(SEARCH($BV$108,'Reference Score Calculation'!$P127)),10,IF(ISNUMBER(SEARCH($BV$108,'Reference Score Calculation'!$Q127)),7,5)))))</f>
        <v>10</v>
      </c>
      <c r="BZ150" s="455">
        <f>IF(ISNUMBER(SEARCH(BZ$119,'Reference Score Calculation'!$P127)),10,IF(ISNUMBER(SEARCH(BZ$119,'Reference Score Calculation'!$Q127)),7,IF(ISNUMBER(SEARCH(BZ$119,'Reference Score Calculation'!$R127)),5,IF(ISNUMBER(SEARCH($BV$108,'Reference Score Calculation'!$P127)),10,IF(ISNUMBER(SEARCH($BV$108,'Reference Score Calculation'!$Q127)),7,5)))))</f>
        <v>10</v>
      </c>
      <c r="CA150" s="455">
        <f>IF(ISNUMBER(SEARCH(CA$119,'Reference Score Calculation'!$P127)),10,IF(ISNUMBER(SEARCH(CA$119,'Reference Score Calculation'!$Q127)),7,IF(ISNUMBER(SEARCH(CA$119,'Reference Score Calculation'!$R127)),5,IF(ISNUMBER(SEARCH($BV$108,'Reference Score Calculation'!$P127)),10,IF(ISNUMBER(SEARCH($BV$108,'Reference Score Calculation'!$Q127)),7,5)))))</f>
        <v>10</v>
      </c>
      <c r="CB150" s="455">
        <f>IF(ISNUMBER(SEARCH(CB$119,'Reference Score Calculation'!$P127)),10,IF(ISNUMBER(SEARCH(CB$119,'Reference Score Calculation'!$Q127)),7,IF(ISNUMBER(SEARCH(CB$119,'Reference Score Calculation'!$R127)),5,IF(ISNUMBER(SEARCH($BV$108,'Reference Score Calculation'!$P127)),10,IF(ISNUMBER(SEARCH($BV$108,'Reference Score Calculation'!$Q127)),7,5)))))</f>
        <v>10</v>
      </c>
      <c r="CC150" s="455">
        <f>IF(ISNUMBER(SEARCH(CC$119,'Reference Score Calculation'!$P127)),10,IF(ISNUMBER(SEARCH(CC$119,'Reference Score Calculation'!$Q127)),7,IF(ISNUMBER(SEARCH(CC$119,'Reference Score Calculation'!$R127)),5,IF(ISNUMBER(SEARCH($BV$108,'Reference Score Calculation'!$P127)),10,IF(ISNUMBER(SEARCH($BV$108,'Reference Score Calculation'!$Q127)),7,5)))))</f>
        <v>5</v>
      </c>
      <c r="CD150" s="455">
        <f>IF(ISNUMBER(SEARCH(CD$119,'Reference Score Calculation'!$P127)),10,IF(ISNUMBER(SEARCH(CD$119,'Reference Score Calculation'!$Q127)),7,IF(ISNUMBER(SEARCH(CD$119,'Reference Score Calculation'!$R127)),5,IF(ISNUMBER(SEARCH($BV$108,'Reference Score Calculation'!$P127)),10,IF(ISNUMBER(SEARCH($BV$108,'Reference Score Calculation'!$Q127)),7,5)))))</f>
        <v>5</v>
      </c>
      <c r="CE150" s="455">
        <f>IF(ISNUMBER(SEARCH(CE$119,'Reference Score Calculation'!$P127)),10,IF(ISNUMBER(SEARCH(CE$119,'Reference Score Calculation'!$Q127)),7,IF(ISNUMBER(SEARCH(CE$119,'Reference Score Calculation'!$R127)),5,IF(ISNUMBER(SEARCH($BV$108,'Reference Score Calculation'!$P127)),10,IF(ISNUMBER(SEARCH($BV$108,'Reference Score Calculation'!$Q127)),7,5)))))</f>
        <v>5</v>
      </c>
      <c r="CF150" s="455">
        <f>IF(ISNUMBER(SEARCH(CF$119,'Reference Score Calculation'!$P127)),10,IF(ISNUMBER(SEARCH(CF$119,'Reference Score Calculation'!$Q127)),7,IF(ISNUMBER(SEARCH(CF$119,'Reference Score Calculation'!$R127)),5,IF(ISNUMBER(SEARCH($BV$108,'Reference Score Calculation'!$P127)),10,IF(ISNUMBER(SEARCH($BV$108,'Reference Score Calculation'!$Q127)),7,5)))))</f>
        <v>5</v>
      </c>
      <c r="CG150" s="455">
        <f>IF(ISNUMBER(SEARCH(CG$119,'Reference Score Calculation'!$P127)),10,IF(ISNUMBER(SEARCH(CG$119,'Reference Score Calculation'!$Q127)),7,IF(ISNUMBER(SEARCH(CG$119,'Reference Score Calculation'!$R127)),5,IF(ISNUMBER(SEARCH($BV$108,'Reference Score Calculation'!$P127)),10,IF(ISNUMBER(SEARCH($BV$108,'Reference Score Calculation'!$Q127)),7,5)))))</f>
        <v>5</v>
      </c>
      <c r="CH150" s="455">
        <f>IF(ISNUMBER(SEARCH(CH$119,'Reference Score Calculation'!$P127)),10,IF(ISNUMBER(SEARCH(CH$119,'Reference Score Calculation'!$Q127)),7,IF(ISNUMBER(SEARCH(CH$119,'Reference Score Calculation'!$R127)),5,IF(ISNUMBER(SEARCH($BV$108,'Reference Score Calculation'!$P127)),10,IF(ISNUMBER(SEARCH($BV$108,'Reference Score Calculation'!$Q127)),7,5)))))</f>
        <v>5</v>
      </c>
      <c r="CI150" s="455">
        <f>IF(ISNUMBER(SEARCH(CI$119,'Reference Score Calculation'!$P127)),10,IF(ISNUMBER(SEARCH(CI$119,'Reference Score Calculation'!$Q127)),7,IF(ISNUMBER(SEARCH(CI$119,'Reference Score Calculation'!$R127)),5,IF(ISNUMBER(SEARCH($BV$108,'Reference Score Calculation'!$P127)),10,IF(ISNUMBER(SEARCH($BV$108,'Reference Score Calculation'!$Q127)),7,5)))))</f>
        <v>5</v>
      </c>
      <c r="CJ150" s="455">
        <f>IF(ISNUMBER(SEARCH(CJ$119,'Reference Score Calculation'!$P127)),10,IF(ISNUMBER(SEARCH(CJ$119,'Reference Score Calculation'!$Q127)),7,IF(ISNUMBER(SEARCH(CJ$119,'Reference Score Calculation'!$R127)),5,IF(ISNUMBER(SEARCH($BV$108,'Reference Score Calculation'!$P127)),10,IF(ISNUMBER(SEARCH($BV$108,'Reference Score Calculation'!$Q127)),7,5)))))</f>
        <v>5</v>
      </c>
      <c r="CK150" s="455">
        <f>IF(ISNUMBER(SEARCH(CK$119,'Reference Score Calculation'!$P127)),10,IF(ISNUMBER(SEARCH(CK$119,'Reference Score Calculation'!$Q127)),7,IF(ISNUMBER(SEARCH(CK$119,'Reference Score Calculation'!$R127)),5,IF(ISNUMBER(SEARCH($BV$108,'Reference Score Calculation'!$P127)),10,IF(ISNUMBER(SEARCH($BV$108,'Reference Score Calculation'!$Q127)),7,5)))))</f>
        <v>5</v>
      </c>
      <c r="CL150" s="455">
        <f>IF(ISNUMBER(SEARCH(CL$119,'Reference Score Calculation'!$P127)),10,IF(ISNUMBER(SEARCH(CL$119,'Reference Score Calculation'!$Q127)),7,IF(ISNUMBER(SEARCH(CL$119,'Reference Score Calculation'!$R127)),5,IF(ISNUMBER(SEARCH($BV$108,'Reference Score Calculation'!$P127)),10,IF(ISNUMBER(SEARCH($BV$108,'Reference Score Calculation'!$Q127)),7,5)))))</f>
        <v>5</v>
      </c>
      <c r="CM150" s="455">
        <f>IF(ISNUMBER(SEARCH(CM$119,'Reference Score Calculation'!$P127)),10,IF(ISNUMBER(SEARCH(CM$119,'Reference Score Calculation'!$Q127)),7,IF(ISNUMBER(SEARCH(CM$119,'Reference Score Calculation'!$R127)),5,IF(ISNUMBER(SEARCH($BV$108,'Reference Score Calculation'!$P127)),10,IF(ISNUMBER(SEARCH($BV$108,'Reference Score Calculation'!$Q127)),7,5)))))</f>
        <v>5</v>
      </c>
      <c r="CN150" s="455">
        <f>IF(ISNUMBER(SEARCH(CN$119,'Reference Score Calculation'!$P127)),10,IF(ISNUMBER(SEARCH(CN$119,'Reference Score Calculation'!$Q127)),7,IF(ISNUMBER(SEARCH(CN$119,'Reference Score Calculation'!$R127)),5,IF(ISNUMBER(SEARCH($BV$108,'Reference Score Calculation'!$P127)),10,IF(ISNUMBER(SEARCH($BV$108,'Reference Score Calculation'!$Q127)),7,5)))))</f>
        <v>5</v>
      </c>
      <c r="CO150" s="455">
        <f>IF(ISNUMBER(SEARCH(CO$119,'Reference Score Calculation'!$P127)),10,IF(ISNUMBER(SEARCH(CO$119,'Reference Score Calculation'!$Q127)),7,IF(ISNUMBER(SEARCH(CO$119,'Reference Score Calculation'!$R127)),5,IF(ISNUMBER(SEARCH($BV$108,'Reference Score Calculation'!$P127)),10,IF(ISNUMBER(SEARCH($BV$108,'Reference Score Calculation'!$Q127)),7,5)))))</f>
        <v>5</v>
      </c>
      <c r="CP150" s="455">
        <f>IF(ISNUMBER(SEARCH(CP$119,'Reference Score Calculation'!$P127)),10,IF(ISNUMBER(SEARCH(CP$119,'Reference Score Calculation'!$Q127)),7,IF(ISNUMBER(SEARCH(CP$119,'Reference Score Calculation'!$R127)),5,IF(ISNUMBER(SEARCH($BV$108,'Reference Score Calculation'!$P127)),10,IF(ISNUMBER(SEARCH($BV$108,'Reference Score Calculation'!$Q127)),7,5)))))</f>
        <v>5</v>
      </c>
      <c r="CQ150" s="455">
        <f>IF(ISNUMBER(SEARCH(CQ$119,'Reference Score Calculation'!$P127)),10,IF(ISNUMBER(SEARCH(CQ$119,'Reference Score Calculation'!$Q127)),7,IF(ISNUMBER(SEARCH(CQ$119,'Reference Score Calculation'!$R127)),5,IF(ISNUMBER(SEARCH($BV$108,'Reference Score Calculation'!$P127)),10,IF(ISNUMBER(SEARCH($BV$108,'Reference Score Calculation'!$Q127)),7,5)))))</f>
        <v>5</v>
      </c>
      <c r="CR150" s="455">
        <f>IF(ISNUMBER(SEARCH(CR$119,'Reference Score Calculation'!$P127)),10,IF(ISNUMBER(SEARCH(CR$119,'Reference Score Calculation'!$Q127)),7,IF(ISNUMBER(SEARCH(CR$119,'Reference Score Calculation'!$R127)),5,IF(ISNUMBER(SEARCH($BV$108,'Reference Score Calculation'!$P127)),10,IF(ISNUMBER(SEARCH($BV$108,'Reference Score Calculation'!$Q127)),7,5)))))</f>
        <v>5</v>
      </c>
      <c r="CS150" s="455">
        <f>IF(ISNUMBER(SEARCH(CS$119,'Reference Score Calculation'!$P127)),10,IF(ISNUMBER(SEARCH(CS$119,'Reference Score Calculation'!$Q127)),7,IF(ISNUMBER(SEARCH(CS$119,'Reference Score Calculation'!$R127)),5,IF(ISNUMBER(SEARCH($BV$108,'Reference Score Calculation'!$P127)),10,IF(ISNUMBER(SEARCH($BV$108,'Reference Score Calculation'!$Q127)),7,5)))))</f>
        <v>5</v>
      </c>
      <c r="CT150" s="455">
        <f>IF(ISNUMBER(SEARCH(CT$119,'Reference Score Calculation'!$P127)),10,IF(ISNUMBER(SEARCH(CT$119,'Reference Score Calculation'!$Q127)),7,IF(ISNUMBER(SEARCH(CT$119,'Reference Score Calculation'!$R127)),5,IF(ISNUMBER(SEARCH($BV$108,'Reference Score Calculation'!$P127)),10,IF(ISNUMBER(SEARCH($BV$108,'Reference Score Calculation'!$Q127)),7,5)))))</f>
        <v>5</v>
      </c>
      <c r="CU150" s="455">
        <f>IF(ISNUMBER(SEARCH(CU$119,'Reference Score Calculation'!$P127)),10,IF(ISNUMBER(SEARCH(CU$119,'Reference Score Calculation'!$Q127)),7,IF(ISNUMBER(SEARCH(CU$119,'Reference Score Calculation'!$R127)),5,IF(ISNUMBER(SEARCH($BV$108,'Reference Score Calculation'!$P127)),10,IF(ISNUMBER(SEARCH($BV$108,'Reference Score Calculation'!$Q127)),7,5)))))</f>
        <v>5</v>
      </c>
      <c r="CV150" s="455">
        <f>IF(ISNUMBER(SEARCH(CV$119,'Reference Score Calculation'!$P127)),10,IF(ISNUMBER(SEARCH(CV$119,'Reference Score Calculation'!$Q127)),7,IF(ISNUMBER(SEARCH(CV$119,'Reference Score Calculation'!$R127)),5,IF(ISNUMBER(SEARCH($BV$108,'Reference Score Calculation'!$P127)),10,IF(ISNUMBER(SEARCH($BV$108,'Reference Score Calculation'!$Q127)),7,5)))))</f>
        <v>5</v>
      </c>
      <c r="CW150" s="185"/>
      <c r="CX150" s="185"/>
      <c r="CY150" s="185"/>
    </row>
    <row r="151" spans="1:103">
      <c r="A151" s="117" t="s">
        <v>1104</v>
      </c>
      <c r="B151" s="459" t="str">
        <f>'Reference Score Calculation'!B128</f>
        <v>JS3310</v>
      </c>
      <c r="C151" s="117" t="str">
        <f>'Reference Score Calculation'!E128</f>
        <v>酒店及旅遊管理(榮譽)理學士組合課程 (酒店管理 / 智慧旅遊及酒店產業 / 會展及體驗管理)</v>
      </c>
      <c r="D151" s="2" t="e">
        <f>'Reference Score Calculation'!#REF!</f>
        <v>#REF!</v>
      </c>
      <c r="E151" s="131" t="str">
        <f>'Reference Score Calculation'!F128</f>
        <v>Best 5</v>
      </c>
      <c r="F151" s="131"/>
      <c r="G151" s="117" t="str">
        <f>入學要求!AB137</f>
        <v>v</v>
      </c>
      <c r="H151" s="117" t="str">
        <f>入學要求!AC137</f>
        <v>E</v>
      </c>
      <c r="I151" s="117" t="str">
        <f>入學要求!AD137</f>
        <v>v</v>
      </c>
      <c r="J151" s="117">
        <f t="shared" si="211"/>
        <v>8.2999999999999999E-9</v>
      </c>
      <c r="K151" s="117">
        <f t="shared" ref="K151:S165" si="244">IFERROR(INDEX($BU151:$CV151,MATCH(K$1,$BU$120:$CV$120,0)),0)</f>
        <v>7</v>
      </c>
      <c r="L151" s="117">
        <f t="shared" si="244"/>
        <v>10</v>
      </c>
      <c r="M151" s="117">
        <f t="shared" si="244"/>
        <v>7</v>
      </c>
      <c r="N151" s="117">
        <f t="shared" si="244"/>
        <v>0</v>
      </c>
      <c r="O151" s="117">
        <f t="shared" si="244"/>
        <v>7</v>
      </c>
      <c r="P151" s="117">
        <f t="shared" si="244"/>
        <v>0</v>
      </c>
      <c r="Q151" s="117">
        <f t="shared" si="244"/>
        <v>0</v>
      </c>
      <c r="R151" s="117">
        <f t="shared" si="244"/>
        <v>0</v>
      </c>
      <c r="S151" s="117">
        <f t="shared" si="244"/>
        <v>0</v>
      </c>
      <c r="T151" s="117">
        <v>5</v>
      </c>
      <c r="V151" s="117">
        <f t="shared" si="224"/>
        <v>7.0000000000000006E-10</v>
      </c>
      <c r="W151" s="117">
        <f t="shared" si="225"/>
        <v>2.0000000000000001E-9</v>
      </c>
      <c r="X151" s="117">
        <f t="shared" si="226"/>
        <v>2.0999999999999998E-9</v>
      </c>
      <c r="Z151" s="117">
        <f t="shared" si="227"/>
        <v>3.5000000000000003E-9</v>
      </c>
      <c r="AA151" s="117">
        <f t="shared" si="228"/>
        <v>0</v>
      </c>
      <c r="AB151" s="117">
        <f t="shared" si="229"/>
        <v>0</v>
      </c>
      <c r="AC151" s="117">
        <f t="shared" si="230"/>
        <v>0</v>
      </c>
      <c r="AD151" s="117">
        <f t="shared" si="231"/>
        <v>0</v>
      </c>
      <c r="AE151" s="117">
        <f t="shared" si="232"/>
        <v>0</v>
      </c>
      <c r="AF151" s="117">
        <f t="shared" si="213"/>
        <v>7.0000000000000006E-10</v>
      </c>
      <c r="AG151" s="117">
        <f t="shared" si="214"/>
        <v>2.0000000000000001E-9</v>
      </c>
      <c r="AH151" s="117">
        <f t="shared" si="215"/>
        <v>2.0999999999999998E-9</v>
      </c>
      <c r="AI151" s="117">
        <f t="shared" si="216"/>
        <v>0</v>
      </c>
      <c r="AJ151" s="117">
        <f t="shared" si="217"/>
        <v>3.5000000000000003E-9</v>
      </c>
      <c r="AK151" s="117">
        <f t="shared" si="218"/>
        <v>0</v>
      </c>
      <c r="AL151" s="117">
        <f t="shared" si="219"/>
        <v>0</v>
      </c>
      <c r="AM151" s="117">
        <f t="shared" si="220"/>
        <v>0</v>
      </c>
      <c r="AN151" s="117">
        <f t="shared" si="221"/>
        <v>0</v>
      </c>
      <c r="AO151" s="117">
        <f t="shared" si="222"/>
        <v>0</v>
      </c>
      <c r="AP151" s="117" t="b">
        <f t="shared" si="233"/>
        <v>1</v>
      </c>
      <c r="AQ151" s="117" t="b">
        <f t="shared" si="234"/>
        <v>1</v>
      </c>
      <c r="AR151" s="117" t="b">
        <f t="shared" si="235"/>
        <v>1</v>
      </c>
      <c r="AT151" s="117" t="b">
        <f t="shared" si="236"/>
        <v>1</v>
      </c>
      <c r="AU151" s="117" t="b">
        <f t="shared" si="237"/>
        <v>0</v>
      </c>
      <c r="AV151" s="117" t="b">
        <f t="shared" si="238"/>
        <v>0</v>
      </c>
      <c r="AW151" s="117" t="b">
        <f t="shared" si="239"/>
        <v>0</v>
      </c>
      <c r="AX151" s="117" t="b">
        <f t="shared" si="240"/>
        <v>0</v>
      </c>
      <c r="AY151" s="117" t="b">
        <f t="shared" si="241"/>
        <v>0</v>
      </c>
      <c r="BA151" s="2"/>
      <c r="BB151" s="2"/>
      <c r="BC151" s="2"/>
      <c r="BD151" s="2"/>
      <c r="BE151" s="2"/>
      <c r="BF151" s="2"/>
      <c r="BG151" s="2"/>
      <c r="BH151" s="2"/>
      <c r="BI151" s="2"/>
      <c r="BJ151" s="2"/>
      <c r="BK151" s="2"/>
      <c r="BL151" s="2"/>
      <c r="BM151" s="2"/>
      <c r="BN151" s="2"/>
      <c r="BO151" s="2"/>
      <c r="BP151" s="2"/>
      <c r="BQ151" s="2"/>
      <c r="BR151" s="2"/>
      <c r="BS151" s="185" t="str">
        <f>'Reference Score Calculation'!B128</f>
        <v>JS3310</v>
      </c>
      <c r="BT151" s="185"/>
      <c r="BU151" s="455">
        <f>IF(ISNUMBER(SEARCH(BU$119,'Reference Score Calculation'!$P128)),10,IF(ISNUMBER(SEARCH(BU$119,'Reference Score Calculation'!$Q128)),7,IF(ISNUMBER(SEARCH(BU$119,'Reference Score Calculation'!$R128)),5,IF(ISNUMBER(SEARCH($BV$108,'Reference Score Calculation'!$P128)),10,IF(ISNUMBER(SEARCH($BV$108,'Reference Score Calculation'!$Q128)),7,5)))))</f>
        <v>7</v>
      </c>
      <c r="BV151" s="455">
        <f>IF(ISNUMBER(SEARCH(BV$119,'Reference Score Calculation'!$P128)),10,IF(ISNUMBER(SEARCH(BV$119,'Reference Score Calculation'!$Q128)),7,IF(ISNUMBER(SEARCH(BV$119,'Reference Score Calculation'!$R128)),5,IF(ISNUMBER(SEARCH($BV$108,'Reference Score Calculation'!$P128)),10,IF(ISNUMBER(SEARCH($BV$108,'Reference Score Calculation'!$Q128)),7,5)))))</f>
        <v>10</v>
      </c>
      <c r="BW151" s="455">
        <f>IF(ISNUMBER(SEARCH(BW$119,'Reference Score Calculation'!$P128)),10,IF(ISNUMBER(SEARCH(BW$119,'Reference Score Calculation'!$Q128)),7,IF(ISNUMBER(SEARCH(BW$119,'Reference Score Calculation'!$R128)),5,IF(ISNUMBER(SEARCH($BV$108,'Reference Score Calculation'!$P128)),10,IF(ISNUMBER(SEARCH($BV$108,'Reference Score Calculation'!$Q128)),7,5)))))</f>
        <v>7</v>
      </c>
      <c r="BX151" s="455">
        <f>IF(ISNUMBER(SEARCH(BX$119,'Reference Score Calculation'!$P128)),10,IF(ISNUMBER(SEARCH(BX$119,'Reference Score Calculation'!$Q128)),7,IF(ISNUMBER(SEARCH(BX$119,'Reference Score Calculation'!$R128)),5,IF(ISNUMBER(SEARCH($BV$108,'Reference Score Calculation'!$P128)),10,IF(ISNUMBER(SEARCH($BV$108,'Reference Score Calculation'!$Q128)),7,5)))))</f>
        <v>7</v>
      </c>
      <c r="BY151" s="455">
        <f>IF(ISNUMBER(SEARCH(BY$119,'Reference Score Calculation'!$P128)),10,IF(ISNUMBER(SEARCH(BY$119,'Reference Score Calculation'!$Q128)),7,IF(ISNUMBER(SEARCH(BY$119,'Reference Score Calculation'!$R128)),5,IF(ISNUMBER(SEARCH($BV$108,'Reference Score Calculation'!$P128)),10,IF(ISNUMBER(SEARCH($BV$108,'Reference Score Calculation'!$Q128)),7,5)))))</f>
        <v>7</v>
      </c>
      <c r="BZ151" s="455">
        <f>IF(ISNUMBER(SEARCH(BZ$119,'Reference Score Calculation'!$P128)),10,IF(ISNUMBER(SEARCH(BZ$119,'Reference Score Calculation'!$Q128)),7,IF(ISNUMBER(SEARCH(BZ$119,'Reference Score Calculation'!$R128)),5,IF(ISNUMBER(SEARCH($BV$108,'Reference Score Calculation'!$P128)),10,IF(ISNUMBER(SEARCH($BV$108,'Reference Score Calculation'!$Q128)),7,5)))))</f>
        <v>7</v>
      </c>
      <c r="CA151" s="455">
        <f>IF(ISNUMBER(SEARCH(CA$119,'Reference Score Calculation'!$P128)),10,IF(ISNUMBER(SEARCH(CA$119,'Reference Score Calculation'!$Q128)),7,IF(ISNUMBER(SEARCH(CA$119,'Reference Score Calculation'!$R128)),5,IF(ISNUMBER(SEARCH($BV$108,'Reference Score Calculation'!$P128)),10,IF(ISNUMBER(SEARCH($BV$108,'Reference Score Calculation'!$Q128)),7,5)))))</f>
        <v>7</v>
      </c>
      <c r="CB151" s="455">
        <f>IF(ISNUMBER(SEARCH(CB$119,'Reference Score Calculation'!$P128)),10,IF(ISNUMBER(SEARCH(CB$119,'Reference Score Calculation'!$Q128)),7,IF(ISNUMBER(SEARCH(CB$119,'Reference Score Calculation'!$R128)),5,IF(ISNUMBER(SEARCH($BV$108,'Reference Score Calculation'!$P128)),10,IF(ISNUMBER(SEARCH($BV$108,'Reference Score Calculation'!$Q128)),7,5)))))</f>
        <v>7</v>
      </c>
      <c r="CC151" s="455">
        <f>IF(ISNUMBER(SEARCH(CC$119,'Reference Score Calculation'!$P128)),10,IF(ISNUMBER(SEARCH(CC$119,'Reference Score Calculation'!$Q128)),7,IF(ISNUMBER(SEARCH(CC$119,'Reference Score Calculation'!$R128)),5,IF(ISNUMBER(SEARCH($BV$108,'Reference Score Calculation'!$P128)),10,IF(ISNUMBER(SEARCH($BV$108,'Reference Score Calculation'!$Q128)),7,5)))))</f>
        <v>7</v>
      </c>
      <c r="CD151" s="455">
        <f>IF(ISNUMBER(SEARCH(CD$119,'Reference Score Calculation'!$P128)),10,IF(ISNUMBER(SEARCH(CD$119,'Reference Score Calculation'!$Q128)),7,IF(ISNUMBER(SEARCH(CD$119,'Reference Score Calculation'!$R128)),5,IF(ISNUMBER(SEARCH($BV$108,'Reference Score Calculation'!$P128)),10,IF(ISNUMBER(SEARCH($BV$108,'Reference Score Calculation'!$Q128)),7,5)))))</f>
        <v>7</v>
      </c>
      <c r="CE151" s="455">
        <f>IF(ISNUMBER(SEARCH(CE$119,'Reference Score Calculation'!$P128)),10,IF(ISNUMBER(SEARCH(CE$119,'Reference Score Calculation'!$Q128)),7,IF(ISNUMBER(SEARCH(CE$119,'Reference Score Calculation'!$R128)),5,IF(ISNUMBER(SEARCH($BV$108,'Reference Score Calculation'!$P128)),10,IF(ISNUMBER(SEARCH($BV$108,'Reference Score Calculation'!$Q128)),7,5)))))</f>
        <v>7</v>
      </c>
      <c r="CF151" s="455">
        <f>IF(ISNUMBER(SEARCH(CF$119,'Reference Score Calculation'!$P128)),10,IF(ISNUMBER(SEARCH(CF$119,'Reference Score Calculation'!$Q128)),7,IF(ISNUMBER(SEARCH(CF$119,'Reference Score Calculation'!$R128)),5,IF(ISNUMBER(SEARCH($BV$108,'Reference Score Calculation'!$P128)),10,IF(ISNUMBER(SEARCH($BV$108,'Reference Score Calculation'!$Q128)),7,5)))))</f>
        <v>7</v>
      </c>
      <c r="CG151" s="455">
        <f>IF(ISNUMBER(SEARCH(CG$119,'Reference Score Calculation'!$P128)),10,IF(ISNUMBER(SEARCH(CG$119,'Reference Score Calculation'!$Q128)),7,IF(ISNUMBER(SEARCH(CG$119,'Reference Score Calculation'!$R128)),5,IF(ISNUMBER(SEARCH($BV$108,'Reference Score Calculation'!$P128)),10,IF(ISNUMBER(SEARCH($BV$108,'Reference Score Calculation'!$Q128)),7,5)))))</f>
        <v>7</v>
      </c>
      <c r="CH151" s="455">
        <f>IF(ISNUMBER(SEARCH(CH$119,'Reference Score Calculation'!$P128)),10,IF(ISNUMBER(SEARCH(CH$119,'Reference Score Calculation'!$Q128)),7,IF(ISNUMBER(SEARCH(CH$119,'Reference Score Calculation'!$R128)),5,IF(ISNUMBER(SEARCH($BV$108,'Reference Score Calculation'!$P128)),10,IF(ISNUMBER(SEARCH($BV$108,'Reference Score Calculation'!$Q128)),7,5)))))</f>
        <v>7</v>
      </c>
      <c r="CI151" s="455">
        <f>IF(ISNUMBER(SEARCH(CI$119,'Reference Score Calculation'!$P128)),10,IF(ISNUMBER(SEARCH(CI$119,'Reference Score Calculation'!$Q128)),7,IF(ISNUMBER(SEARCH(CI$119,'Reference Score Calculation'!$R128)),5,IF(ISNUMBER(SEARCH($BV$108,'Reference Score Calculation'!$P128)),10,IF(ISNUMBER(SEARCH($BV$108,'Reference Score Calculation'!$Q128)),7,5)))))</f>
        <v>7</v>
      </c>
      <c r="CJ151" s="455">
        <f>IF(ISNUMBER(SEARCH(CJ$119,'Reference Score Calculation'!$P128)),10,IF(ISNUMBER(SEARCH(CJ$119,'Reference Score Calculation'!$Q128)),7,IF(ISNUMBER(SEARCH(CJ$119,'Reference Score Calculation'!$R128)),5,IF(ISNUMBER(SEARCH($BV$108,'Reference Score Calculation'!$P128)),10,IF(ISNUMBER(SEARCH($BV$108,'Reference Score Calculation'!$Q128)),7,5)))))</f>
        <v>7</v>
      </c>
      <c r="CK151" s="455">
        <f>IF(ISNUMBER(SEARCH(CK$119,'Reference Score Calculation'!$P128)),10,IF(ISNUMBER(SEARCH(CK$119,'Reference Score Calculation'!$Q128)),7,IF(ISNUMBER(SEARCH(CK$119,'Reference Score Calculation'!$R128)),5,IF(ISNUMBER(SEARCH($BV$108,'Reference Score Calculation'!$P128)),10,IF(ISNUMBER(SEARCH($BV$108,'Reference Score Calculation'!$Q128)),7,5)))))</f>
        <v>7</v>
      </c>
      <c r="CL151" s="455">
        <f>IF(ISNUMBER(SEARCH(CL$119,'Reference Score Calculation'!$P128)),10,IF(ISNUMBER(SEARCH(CL$119,'Reference Score Calculation'!$Q128)),7,IF(ISNUMBER(SEARCH(CL$119,'Reference Score Calculation'!$R128)),5,IF(ISNUMBER(SEARCH($BV$108,'Reference Score Calculation'!$P128)),10,IF(ISNUMBER(SEARCH($BV$108,'Reference Score Calculation'!$Q128)),7,5)))))</f>
        <v>7</v>
      </c>
      <c r="CM151" s="455">
        <f>IF(ISNUMBER(SEARCH(CM$119,'Reference Score Calculation'!$P128)),10,IF(ISNUMBER(SEARCH(CM$119,'Reference Score Calculation'!$Q128)),7,IF(ISNUMBER(SEARCH(CM$119,'Reference Score Calculation'!$R128)),5,IF(ISNUMBER(SEARCH($BV$108,'Reference Score Calculation'!$P128)),10,IF(ISNUMBER(SEARCH($BV$108,'Reference Score Calculation'!$Q128)),7,5)))))</f>
        <v>7</v>
      </c>
      <c r="CN151" s="455">
        <f>IF(ISNUMBER(SEARCH(CN$119,'Reference Score Calculation'!$P128)),10,IF(ISNUMBER(SEARCH(CN$119,'Reference Score Calculation'!$Q128)),7,IF(ISNUMBER(SEARCH(CN$119,'Reference Score Calculation'!$R128)),5,IF(ISNUMBER(SEARCH($BV$108,'Reference Score Calculation'!$P128)),10,IF(ISNUMBER(SEARCH($BV$108,'Reference Score Calculation'!$Q128)),7,5)))))</f>
        <v>7</v>
      </c>
      <c r="CO151" s="455">
        <f>IF(ISNUMBER(SEARCH(CO$119,'Reference Score Calculation'!$P128)),10,IF(ISNUMBER(SEARCH(CO$119,'Reference Score Calculation'!$Q128)),7,IF(ISNUMBER(SEARCH(CO$119,'Reference Score Calculation'!$R128)),5,IF(ISNUMBER(SEARCH($BV$108,'Reference Score Calculation'!$P128)),10,IF(ISNUMBER(SEARCH($BV$108,'Reference Score Calculation'!$Q128)),7,5)))))</f>
        <v>7</v>
      </c>
      <c r="CP151" s="455">
        <f>IF(ISNUMBER(SEARCH(CP$119,'Reference Score Calculation'!$P128)),10,IF(ISNUMBER(SEARCH(CP$119,'Reference Score Calculation'!$Q128)),7,IF(ISNUMBER(SEARCH(CP$119,'Reference Score Calculation'!$R128)),5,IF(ISNUMBER(SEARCH($BV$108,'Reference Score Calculation'!$P128)),10,IF(ISNUMBER(SEARCH($BV$108,'Reference Score Calculation'!$Q128)),7,5)))))</f>
        <v>7</v>
      </c>
      <c r="CQ151" s="455">
        <f>IF(ISNUMBER(SEARCH(CQ$119,'Reference Score Calculation'!$P128)),10,IF(ISNUMBER(SEARCH(CQ$119,'Reference Score Calculation'!$Q128)),7,IF(ISNUMBER(SEARCH(CQ$119,'Reference Score Calculation'!$R128)),5,IF(ISNUMBER(SEARCH($BV$108,'Reference Score Calculation'!$P128)),10,IF(ISNUMBER(SEARCH($BV$108,'Reference Score Calculation'!$Q128)),7,5)))))</f>
        <v>7</v>
      </c>
      <c r="CR151" s="455">
        <f>IF(ISNUMBER(SEARCH(CR$119,'Reference Score Calculation'!$P128)),10,IF(ISNUMBER(SEARCH(CR$119,'Reference Score Calculation'!$Q128)),7,IF(ISNUMBER(SEARCH(CR$119,'Reference Score Calculation'!$R128)),5,IF(ISNUMBER(SEARCH($BV$108,'Reference Score Calculation'!$P128)),10,IF(ISNUMBER(SEARCH($BV$108,'Reference Score Calculation'!$Q128)),7,5)))))</f>
        <v>7</v>
      </c>
      <c r="CS151" s="455">
        <f>IF(ISNUMBER(SEARCH(CS$119,'Reference Score Calculation'!$P128)),10,IF(ISNUMBER(SEARCH(CS$119,'Reference Score Calculation'!$Q128)),7,IF(ISNUMBER(SEARCH(CS$119,'Reference Score Calculation'!$R128)),5,IF(ISNUMBER(SEARCH($BV$108,'Reference Score Calculation'!$P128)),10,IF(ISNUMBER(SEARCH($BV$108,'Reference Score Calculation'!$Q128)),7,5)))))</f>
        <v>7</v>
      </c>
      <c r="CT151" s="455">
        <f>IF(ISNUMBER(SEARCH(CT$119,'Reference Score Calculation'!$P128)),10,IF(ISNUMBER(SEARCH(CT$119,'Reference Score Calculation'!$Q128)),7,IF(ISNUMBER(SEARCH(CT$119,'Reference Score Calculation'!$R128)),5,IF(ISNUMBER(SEARCH($BV$108,'Reference Score Calculation'!$P128)),10,IF(ISNUMBER(SEARCH($BV$108,'Reference Score Calculation'!$Q128)),7,5)))))</f>
        <v>7</v>
      </c>
      <c r="CU151" s="455">
        <f>IF(ISNUMBER(SEARCH(CU$119,'Reference Score Calculation'!$P128)),10,IF(ISNUMBER(SEARCH(CU$119,'Reference Score Calculation'!$Q128)),7,IF(ISNUMBER(SEARCH(CU$119,'Reference Score Calculation'!$R128)),5,IF(ISNUMBER(SEARCH($BV$108,'Reference Score Calculation'!$P128)),10,IF(ISNUMBER(SEARCH($BV$108,'Reference Score Calculation'!$Q128)),7,5)))))</f>
        <v>7</v>
      </c>
      <c r="CV151" s="455">
        <f>IF(ISNUMBER(SEARCH(CV$119,'Reference Score Calculation'!$P128)),10,IF(ISNUMBER(SEARCH(CV$119,'Reference Score Calculation'!$Q128)),7,IF(ISNUMBER(SEARCH(CV$119,'Reference Score Calculation'!$R128)),5,IF(ISNUMBER(SEARCH($BV$108,'Reference Score Calculation'!$P128)),10,IF(ISNUMBER(SEARCH($BV$108,'Reference Score Calculation'!$Q128)),7,5)))))</f>
        <v>7</v>
      </c>
      <c r="CW151" s="185"/>
      <c r="CX151" s="185"/>
      <c r="CY151" s="185"/>
    </row>
    <row r="152" spans="1:103">
      <c r="A152" s="117" t="s">
        <v>1110</v>
      </c>
      <c r="B152" s="459" t="str">
        <f>'Reference Score Calculation'!B129</f>
        <v>JS3320</v>
      </c>
      <c r="C152" s="117" t="str">
        <f>'Reference Score Calculation'!E129</f>
        <v>中國歷史及文化(榮譽)文學士</v>
      </c>
      <c r="D152" s="2" t="e">
        <f>'Reference Score Calculation'!#REF!</f>
        <v>#REF!</v>
      </c>
      <c r="E152" s="131" t="str">
        <f>'Reference Score Calculation'!F129</f>
        <v>中英Best3</v>
      </c>
      <c r="F152" s="131"/>
      <c r="G152" s="117" t="str">
        <f>入學要求!AB138</f>
        <v>v</v>
      </c>
      <c r="H152" s="117" t="str">
        <f>入學要求!AC138</f>
        <v>E</v>
      </c>
      <c r="I152" s="117" t="str">
        <f>入學要求!AD138</f>
        <v>NO</v>
      </c>
      <c r="J152" s="117">
        <f t="shared" si="211"/>
        <v>7.6000000000000002E-9</v>
      </c>
      <c r="K152" s="117">
        <f t="shared" si="244"/>
        <v>10</v>
      </c>
      <c r="L152" s="117">
        <f t="shared" si="244"/>
        <v>10</v>
      </c>
      <c r="M152" s="117">
        <f t="shared" si="244"/>
        <v>7</v>
      </c>
      <c r="N152" s="117">
        <f t="shared" si="244"/>
        <v>0</v>
      </c>
      <c r="O152" s="117">
        <f t="shared" si="244"/>
        <v>5</v>
      </c>
      <c r="P152" s="117">
        <f t="shared" si="244"/>
        <v>0</v>
      </c>
      <c r="Q152" s="117">
        <f t="shared" si="244"/>
        <v>0</v>
      </c>
      <c r="R152" s="117">
        <f t="shared" si="244"/>
        <v>0</v>
      </c>
      <c r="S152" s="117">
        <f t="shared" si="244"/>
        <v>0</v>
      </c>
      <c r="T152" s="117">
        <v>5</v>
      </c>
      <c r="V152" s="117">
        <f t="shared" si="224"/>
        <v>1.0000000000000001E-9</v>
      </c>
      <c r="W152" s="117">
        <f t="shared" si="225"/>
        <v>2.0000000000000001E-9</v>
      </c>
      <c r="X152" s="117">
        <f t="shared" si="226"/>
        <v>2.0999999999999998E-9</v>
      </c>
      <c r="Z152" s="117">
        <f t="shared" si="227"/>
        <v>2.5000000000000001E-9</v>
      </c>
      <c r="AA152" s="117">
        <f t="shared" si="228"/>
        <v>0</v>
      </c>
      <c r="AB152" s="117">
        <f t="shared" si="229"/>
        <v>0</v>
      </c>
      <c r="AC152" s="117">
        <f t="shared" si="230"/>
        <v>0</v>
      </c>
      <c r="AD152" s="117">
        <f t="shared" si="231"/>
        <v>0</v>
      </c>
      <c r="AE152" s="117">
        <f t="shared" si="232"/>
        <v>0</v>
      </c>
      <c r="AF152" s="117">
        <f t="shared" si="213"/>
        <v>99.000000001000004</v>
      </c>
      <c r="AG152" s="117">
        <f t="shared" si="214"/>
        <v>99.000000001999993</v>
      </c>
      <c r="AH152" s="117">
        <f t="shared" si="215"/>
        <v>2.0999999999999998E-9</v>
      </c>
      <c r="AI152" s="117">
        <f t="shared" si="216"/>
        <v>0</v>
      </c>
      <c r="AJ152" s="117">
        <f t="shared" si="217"/>
        <v>2.5000000000000001E-9</v>
      </c>
      <c r="AK152" s="117">
        <f t="shared" si="218"/>
        <v>0</v>
      </c>
      <c r="AL152" s="117">
        <f t="shared" si="219"/>
        <v>0</v>
      </c>
      <c r="AM152" s="117">
        <f t="shared" si="220"/>
        <v>0</v>
      </c>
      <c r="AN152" s="117">
        <f t="shared" si="221"/>
        <v>0</v>
      </c>
      <c r="AO152" s="117">
        <f t="shared" si="222"/>
        <v>0</v>
      </c>
      <c r="AP152" s="117" t="b">
        <f t="shared" si="233"/>
        <v>1</v>
      </c>
      <c r="AQ152" s="117" t="b">
        <f t="shared" si="234"/>
        <v>1</v>
      </c>
      <c r="AR152" s="117" t="b">
        <f t="shared" si="235"/>
        <v>1</v>
      </c>
      <c r="AT152" s="117" t="b">
        <f t="shared" si="236"/>
        <v>1</v>
      </c>
      <c r="AU152" s="117" t="b">
        <f t="shared" si="237"/>
        <v>0</v>
      </c>
      <c r="AV152" s="117" t="b">
        <f t="shared" si="238"/>
        <v>0</v>
      </c>
      <c r="AW152" s="117" t="b">
        <f t="shared" si="239"/>
        <v>0</v>
      </c>
      <c r="AX152" s="117" t="b">
        <f t="shared" si="240"/>
        <v>0</v>
      </c>
      <c r="AY152" s="117" t="b">
        <f t="shared" si="241"/>
        <v>0</v>
      </c>
      <c r="BA152" s="2"/>
      <c r="BB152" s="2"/>
      <c r="BC152" s="2"/>
      <c r="BD152" s="2"/>
      <c r="BE152" s="2"/>
      <c r="BF152" s="2"/>
      <c r="BG152" s="2"/>
      <c r="BH152" s="2" t="b">
        <v>1</v>
      </c>
      <c r="BI152" s="2" t="b">
        <v>1</v>
      </c>
      <c r="BJ152" s="2"/>
      <c r="BK152" s="2"/>
      <c r="BL152" s="2"/>
      <c r="BM152" s="2"/>
      <c r="BN152" s="2"/>
      <c r="BO152" s="2"/>
      <c r="BP152" s="2"/>
      <c r="BQ152" s="2"/>
      <c r="BR152" s="2"/>
      <c r="BS152" s="185" t="str">
        <f>'Reference Score Calculation'!B129</f>
        <v>JS3320</v>
      </c>
      <c r="BT152" s="185"/>
      <c r="BU152" s="455">
        <f>IF(ISNUMBER(SEARCH(BU$119,'Reference Score Calculation'!$P129)),10,IF(ISNUMBER(SEARCH(BU$119,'Reference Score Calculation'!$Q129)),7,IF(ISNUMBER(SEARCH(BU$119,'Reference Score Calculation'!$R129)),5,IF(ISNUMBER(SEARCH($BV$108,'Reference Score Calculation'!$P129)),10,IF(ISNUMBER(SEARCH($BV$108,'Reference Score Calculation'!$Q129)),7,5)))))</f>
        <v>10</v>
      </c>
      <c r="BV152" s="455">
        <f>IF(ISNUMBER(SEARCH(BV$119,'Reference Score Calculation'!$P129)),10,IF(ISNUMBER(SEARCH(BV$119,'Reference Score Calculation'!$Q129)),7,IF(ISNUMBER(SEARCH(BV$119,'Reference Score Calculation'!$R129)),5,IF(ISNUMBER(SEARCH($BV$108,'Reference Score Calculation'!$P129)),10,IF(ISNUMBER(SEARCH($BV$108,'Reference Score Calculation'!$Q129)),7,5)))))</f>
        <v>10</v>
      </c>
      <c r="BW152" s="455">
        <f>IF(ISNUMBER(SEARCH(BW$119,'Reference Score Calculation'!$P129)),10,IF(ISNUMBER(SEARCH(BW$119,'Reference Score Calculation'!$Q129)),7,IF(ISNUMBER(SEARCH(BW$119,'Reference Score Calculation'!$R129)),5,IF(ISNUMBER(SEARCH($BV$108,'Reference Score Calculation'!$P129)),10,IF(ISNUMBER(SEARCH($BV$108,'Reference Score Calculation'!$Q129)),7,5)))))</f>
        <v>7</v>
      </c>
      <c r="BX152" s="455">
        <f>IF(ISNUMBER(SEARCH(BX$119,'Reference Score Calculation'!$P129)),10,IF(ISNUMBER(SEARCH(BX$119,'Reference Score Calculation'!$Q129)),7,IF(ISNUMBER(SEARCH(BX$119,'Reference Score Calculation'!$R129)),5,IF(ISNUMBER(SEARCH($BV$108,'Reference Score Calculation'!$P129)),10,IF(ISNUMBER(SEARCH($BV$108,'Reference Score Calculation'!$Q129)),7,5)))))</f>
        <v>5</v>
      </c>
      <c r="BY152" s="455">
        <f>IF(ISNUMBER(SEARCH(BY$119,'Reference Score Calculation'!$P129)),10,IF(ISNUMBER(SEARCH(BY$119,'Reference Score Calculation'!$Q129)),7,IF(ISNUMBER(SEARCH(BY$119,'Reference Score Calculation'!$R129)),5,IF(ISNUMBER(SEARCH($BV$108,'Reference Score Calculation'!$P129)),10,IF(ISNUMBER(SEARCH($BV$108,'Reference Score Calculation'!$Q129)),7,5)))))</f>
        <v>5</v>
      </c>
      <c r="BZ152" s="455">
        <f>IF(ISNUMBER(SEARCH(BZ$119,'Reference Score Calculation'!$P129)),10,IF(ISNUMBER(SEARCH(BZ$119,'Reference Score Calculation'!$Q129)),7,IF(ISNUMBER(SEARCH(BZ$119,'Reference Score Calculation'!$R129)),5,IF(ISNUMBER(SEARCH($BV$108,'Reference Score Calculation'!$P129)),10,IF(ISNUMBER(SEARCH($BV$108,'Reference Score Calculation'!$Q129)),7,5)))))</f>
        <v>5</v>
      </c>
      <c r="CA152" s="455">
        <f>IF(ISNUMBER(SEARCH(CA$119,'Reference Score Calculation'!$P129)),10,IF(ISNUMBER(SEARCH(CA$119,'Reference Score Calculation'!$Q129)),7,IF(ISNUMBER(SEARCH(CA$119,'Reference Score Calculation'!$R129)),5,IF(ISNUMBER(SEARCH($BV$108,'Reference Score Calculation'!$P129)),10,IF(ISNUMBER(SEARCH($BV$108,'Reference Score Calculation'!$Q129)),7,5)))))</f>
        <v>5</v>
      </c>
      <c r="CB152" s="455">
        <f>IF(ISNUMBER(SEARCH(CB$119,'Reference Score Calculation'!$P129)),10,IF(ISNUMBER(SEARCH(CB$119,'Reference Score Calculation'!$Q129)),7,IF(ISNUMBER(SEARCH(CB$119,'Reference Score Calculation'!$R129)),5,IF(ISNUMBER(SEARCH($BV$108,'Reference Score Calculation'!$P129)),10,IF(ISNUMBER(SEARCH($BV$108,'Reference Score Calculation'!$Q129)),7,5)))))</f>
        <v>5</v>
      </c>
      <c r="CC152" s="455">
        <f>IF(ISNUMBER(SEARCH(CC$119,'Reference Score Calculation'!$P129)),10,IF(ISNUMBER(SEARCH(CC$119,'Reference Score Calculation'!$Q129)),7,IF(ISNUMBER(SEARCH(CC$119,'Reference Score Calculation'!$R129)),5,IF(ISNUMBER(SEARCH($BV$108,'Reference Score Calculation'!$P129)),10,IF(ISNUMBER(SEARCH($BV$108,'Reference Score Calculation'!$Q129)),7,5)))))</f>
        <v>5</v>
      </c>
      <c r="CD152" s="455">
        <f>IF(ISNUMBER(SEARCH(CD$119,'Reference Score Calculation'!$P129)),10,IF(ISNUMBER(SEARCH(CD$119,'Reference Score Calculation'!$Q129)),7,IF(ISNUMBER(SEARCH(CD$119,'Reference Score Calculation'!$R129)),5,IF(ISNUMBER(SEARCH($BV$108,'Reference Score Calculation'!$P129)),10,IF(ISNUMBER(SEARCH($BV$108,'Reference Score Calculation'!$Q129)),7,5)))))</f>
        <v>5</v>
      </c>
      <c r="CE152" s="455">
        <f>IF(ISNUMBER(SEARCH(CE$119,'Reference Score Calculation'!$P129)),10,IF(ISNUMBER(SEARCH(CE$119,'Reference Score Calculation'!$Q129)),7,IF(ISNUMBER(SEARCH(CE$119,'Reference Score Calculation'!$R129)),5,IF(ISNUMBER(SEARCH($BV$108,'Reference Score Calculation'!$P129)),10,IF(ISNUMBER(SEARCH($BV$108,'Reference Score Calculation'!$Q129)),7,5)))))</f>
        <v>5</v>
      </c>
      <c r="CF152" s="455">
        <f>IF(ISNUMBER(SEARCH(CF$119,'Reference Score Calculation'!$P129)),10,IF(ISNUMBER(SEARCH(CF$119,'Reference Score Calculation'!$Q129)),7,IF(ISNUMBER(SEARCH(CF$119,'Reference Score Calculation'!$R129)),5,IF(ISNUMBER(SEARCH($BV$108,'Reference Score Calculation'!$P129)),10,IF(ISNUMBER(SEARCH($BV$108,'Reference Score Calculation'!$Q129)),7,5)))))</f>
        <v>5</v>
      </c>
      <c r="CG152" s="455">
        <f>IF(ISNUMBER(SEARCH(CG$119,'Reference Score Calculation'!$P129)),10,IF(ISNUMBER(SEARCH(CG$119,'Reference Score Calculation'!$Q129)),7,IF(ISNUMBER(SEARCH(CG$119,'Reference Score Calculation'!$R129)),5,IF(ISNUMBER(SEARCH($BV$108,'Reference Score Calculation'!$P129)),10,IF(ISNUMBER(SEARCH($BV$108,'Reference Score Calculation'!$Q129)),7,5)))))</f>
        <v>10</v>
      </c>
      <c r="CH152" s="455">
        <f>IF(ISNUMBER(SEARCH(CH$119,'Reference Score Calculation'!$P129)),10,IF(ISNUMBER(SEARCH(CH$119,'Reference Score Calculation'!$Q129)),7,IF(ISNUMBER(SEARCH(CH$119,'Reference Score Calculation'!$R129)),5,IF(ISNUMBER(SEARCH($BV$108,'Reference Score Calculation'!$P129)),10,IF(ISNUMBER(SEARCH($BV$108,'Reference Score Calculation'!$Q129)),7,5)))))</f>
        <v>10</v>
      </c>
      <c r="CI152" s="455">
        <f>IF(ISNUMBER(SEARCH(CI$119,'Reference Score Calculation'!$P129)),10,IF(ISNUMBER(SEARCH(CI$119,'Reference Score Calculation'!$Q129)),7,IF(ISNUMBER(SEARCH(CI$119,'Reference Score Calculation'!$R129)),5,IF(ISNUMBER(SEARCH($BV$108,'Reference Score Calculation'!$P129)),10,IF(ISNUMBER(SEARCH($BV$108,'Reference Score Calculation'!$Q129)),7,5)))))</f>
        <v>5</v>
      </c>
      <c r="CJ152" s="455">
        <f>IF(ISNUMBER(SEARCH(CJ$119,'Reference Score Calculation'!$P129)),10,IF(ISNUMBER(SEARCH(CJ$119,'Reference Score Calculation'!$Q129)),7,IF(ISNUMBER(SEARCH(CJ$119,'Reference Score Calculation'!$R129)),5,IF(ISNUMBER(SEARCH($BV$108,'Reference Score Calculation'!$P129)),10,IF(ISNUMBER(SEARCH($BV$108,'Reference Score Calculation'!$Q129)),7,5)))))</f>
        <v>5</v>
      </c>
      <c r="CK152" s="455">
        <f>IF(ISNUMBER(SEARCH(CK$119,'Reference Score Calculation'!$P129)),10,IF(ISNUMBER(SEARCH(CK$119,'Reference Score Calculation'!$Q129)),7,IF(ISNUMBER(SEARCH(CK$119,'Reference Score Calculation'!$R129)),5,IF(ISNUMBER(SEARCH($BV$108,'Reference Score Calculation'!$P129)),10,IF(ISNUMBER(SEARCH($BV$108,'Reference Score Calculation'!$Q129)),7,5)))))</f>
        <v>5</v>
      </c>
      <c r="CL152" s="455">
        <f>IF(ISNUMBER(SEARCH(CL$119,'Reference Score Calculation'!$P129)),10,IF(ISNUMBER(SEARCH(CL$119,'Reference Score Calculation'!$Q129)),7,IF(ISNUMBER(SEARCH(CL$119,'Reference Score Calculation'!$R129)),5,IF(ISNUMBER(SEARCH($BV$108,'Reference Score Calculation'!$P129)),10,IF(ISNUMBER(SEARCH($BV$108,'Reference Score Calculation'!$Q129)),7,5)))))</f>
        <v>5</v>
      </c>
      <c r="CM152" s="455">
        <f>IF(ISNUMBER(SEARCH(CM$119,'Reference Score Calculation'!$P129)),10,IF(ISNUMBER(SEARCH(CM$119,'Reference Score Calculation'!$Q129)),7,IF(ISNUMBER(SEARCH(CM$119,'Reference Score Calculation'!$R129)),5,IF(ISNUMBER(SEARCH($BV$108,'Reference Score Calculation'!$P129)),10,IF(ISNUMBER(SEARCH($BV$108,'Reference Score Calculation'!$Q129)),7,5)))))</f>
        <v>5</v>
      </c>
      <c r="CN152" s="455">
        <f>IF(ISNUMBER(SEARCH(CN$119,'Reference Score Calculation'!$P129)),10,IF(ISNUMBER(SEARCH(CN$119,'Reference Score Calculation'!$Q129)),7,IF(ISNUMBER(SEARCH(CN$119,'Reference Score Calculation'!$R129)),5,IF(ISNUMBER(SEARCH($BV$108,'Reference Score Calculation'!$P129)),10,IF(ISNUMBER(SEARCH($BV$108,'Reference Score Calculation'!$Q129)),7,5)))))</f>
        <v>10</v>
      </c>
      <c r="CO152" s="455">
        <f>IF(ISNUMBER(SEARCH(CO$119,'Reference Score Calculation'!$P129)),10,IF(ISNUMBER(SEARCH(CO$119,'Reference Score Calculation'!$Q129)),7,IF(ISNUMBER(SEARCH(CO$119,'Reference Score Calculation'!$R129)),5,IF(ISNUMBER(SEARCH($BV$108,'Reference Score Calculation'!$P129)),10,IF(ISNUMBER(SEARCH($BV$108,'Reference Score Calculation'!$Q129)),7,5)))))</f>
        <v>5</v>
      </c>
      <c r="CP152" s="455">
        <f>IF(ISNUMBER(SEARCH(CP$119,'Reference Score Calculation'!$P129)),10,IF(ISNUMBER(SEARCH(CP$119,'Reference Score Calculation'!$Q129)),7,IF(ISNUMBER(SEARCH(CP$119,'Reference Score Calculation'!$R129)),5,IF(ISNUMBER(SEARCH($BV$108,'Reference Score Calculation'!$P129)),10,IF(ISNUMBER(SEARCH($BV$108,'Reference Score Calculation'!$Q129)),7,5)))))</f>
        <v>5</v>
      </c>
      <c r="CQ152" s="455">
        <f>IF(ISNUMBER(SEARCH(CQ$119,'Reference Score Calculation'!$P129)),10,IF(ISNUMBER(SEARCH(CQ$119,'Reference Score Calculation'!$Q129)),7,IF(ISNUMBER(SEARCH(CQ$119,'Reference Score Calculation'!$R129)),5,IF(ISNUMBER(SEARCH($BV$108,'Reference Score Calculation'!$P129)),10,IF(ISNUMBER(SEARCH($BV$108,'Reference Score Calculation'!$Q129)),7,5)))))</f>
        <v>5</v>
      </c>
      <c r="CR152" s="455">
        <f>IF(ISNUMBER(SEARCH(CR$119,'Reference Score Calculation'!$P129)),10,IF(ISNUMBER(SEARCH(CR$119,'Reference Score Calculation'!$Q129)),7,IF(ISNUMBER(SEARCH(CR$119,'Reference Score Calculation'!$R129)),5,IF(ISNUMBER(SEARCH($BV$108,'Reference Score Calculation'!$P129)),10,IF(ISNUMBER(SEARCH($BV$108,'Reference Score Calculation'!$Q129)),7,5)))))</f>
        <v>5</v>
      </c>
      <c r="CS152" s="455">
        <f>IF(ISNUMBER(SEARCH(CS$119,'Reference Score Calculation'!$P129)),10,IF(ISNUMBER(SEARCH(CS$119,'Reference Score Calculation'!$Q129)),7,IF(ISNUMBER(SEARCH(CS$119,'Reference Score Calculation'!$R129)),5,IF(ISNUMBER(SEARCH($BV$108,'Reference Score Calculation'!$P129)),10,IF(ISNUMBER(SEARCH($BV$108,'Reference Score Calculation'!$Q129)),7,5)))))</f>
        <v>5</v>
      </c>
      <c r="CT152" s="455">
        <f>IF(ISNUMBER(SEARCH(CT$119,'Reference Score Calculation'!$P129)),10,IF(ISNUMBER(SEARCH(CT$119,'Reference Score Calculation'!$Q129)),7,IF(ISNUMBER(SEARCH(CT$119,'Reference Score Calculation'!$R129)),5,IF(ISNUMBER(SEARCH($BV$108,'Reference Score Calculation'!$P129)),10,IF(ISNUMBER(SEARCH($BV$108,'Reference Score Calculation'!$Q129)),7,5)))))</f>
        <v>5</v>
      </c>
      <c r="CU152" s="455">
        <f>IF(ISNUMBER(SEARCH(CU$119,'Reference Score Calculation'!$P129)),10,IF(ISNUMBER(SEARCH(CU$119,'Reference Score Calculation'!$Q129)),7,IF(ISNUMBER(SEARCH(CU$119,'Reference Score Calculation'!$R129)),5,IF(ISNUMBER(SEARCH($BV$108,'Reference Score Calculation'!$P129)),10,IF(ISNUMBER(SEARCH($BV$108,'Reference Score Calculation'!$Q129)),7,5)))))</f>
        <v>5</v>
      </c>
      <c r="CV152" s="455">
        <f>IF(ISNUMBER(SEARCH(CV$119,'Reference Score Calculation'!$P129)),10,IF(ISNUMBER(SEARCH(CV$119,'Reference Score Calculation'!$Q129)),7,IF(ISNUMBER(SEARCH(CV$119,'Reference Score Calculation'!$R129)),5,IF(ISNUMBER(SEARCH($BV$108,'Reference Score Calculation'!$P129)),10,IF(ISNUMBER(SEARCH($BV$108,'Reference Score Calculation'!$Q129)),7,5)))))</f>
        <v>5</v>
      </c>
      <c r="CW152" s="185"/>
      <c r="CX152" s="185"/>
      <c r="CY152" s="185"/>
    </row>
    <row r="153" spans="1:103">
      <c r="A153" s="117" t="s">
        <v>1117</v>
      </c>
      <c r="B153" s="459" t="str">
        <f>'Reference Score Calculation'!B130</f>
        <v>JS3337</v>
      </c>
      <c r="C153" s="117" t="str">
        <f>'Reference Score Calculation'!E130</f>
        <v>精神健康護理學(榮譽)理學士</v>
      </c>
      <c r="D153" s="2" t="e">
        <f>'Reference Score Calculation'!#REF!</f>
        <v>#REF!</v>
      </c>
      <c r="E153" s="131" t="str">
        <f>'Reference Score Calculation'!F130</f>
        <v>Best 5</v>
      </c>
      <c r="F153" s="131"/>
      <c r="G153" s="117" t="str">
        <f>入學要求!AB139</f>
        <v>v</v>
      </c>
      <c r="H153" s="117" t="str">
        <f>入學要求!AC139</f>
        <v>NO</v>
      </c>
      <c r="I153" s="117" t="str">
        <f>入學要求!AD139</f>
        <v>NO</v>
      </c>
      <c r="J153" s="117">
        <f t="shared" si="211"/>
        <v>9.5000000000000007E-9</v>
      </c>
      <c r="K153" s="117">
        <f t="shared" si="244"/>
        <v>10</v>
      </c>
      <c r="L153" s="117">
        <f t="shared" si="244"/>
        <v>10</v>
      </c>
      <c r="M153" s="117">
        <f t="shared" si="244"/>
        <v>10</v>
      </c>
      <c r="N153" s="117">
        <f t="shared" si="244"/>
        <v>0</v>
      </c>
      <c r="O153" s="117">
        <f t="shared" si="244"/>
        <v>7</v>
      </c>
      <c r="P153" s="117">
        <f t="shared" si="244"/>
        <v>0</v>
      </c>
      <c r="Q153" s="117">
        <f t="shared" si="244"/>
        <v>0</v>
      </c>
      <c r="R153" s="117">
        <f t="shared" si="244"/>
        <v>0</v>
      </c>
      <c r="S153" s="117">
        <f t="shared" si="244"/>
        <v>0</v>
      </c>
      <c r="T153" s="117">
        <v>5</v>
      </c>
      <c r="V153" s="117">
        <f t="shared" si="224"/>
        <v>1.0000000000000001E-9</v>
      </c>
      <c r="W153" s="117">
        <f t="shared" si="225"/>
        <v>2.0000000000000001E-9</v>
      </c>
      <c r="X153" s="117">
        <f t="shared" si="226"/>
        <v>3E-9</v>
      </c>
      <c r="Z153" s="117">
        <f t="shared" si="227"/>
        <v>3.5000000000000003E-9</v>
      </c>
      <c r="AA153" s="117">
        <f t="shared" si="228"/>
        <v>0</v>
      </c>
      <c r="AB153" s="117">
        <f t="shared" si="229"/>
        <v>0</v>
      </c>
      <c r="AC153" s="117">
        <f t="shared" si="230"/>
        <v>0</v>
      </c>
      <c r="AD153" s="117">
        <f t="shared" si="231"/>
        <v>0</v>
      </c>
      <c r="AE153" s="117">
        <f t="shared" si="232"/>
        <v>0</v>
      </c>
      <c r="AF153" s="117">
        <f t="shared" si="213"/>
        <v>1.0000000000000001E-9</v>
      </c>
      <c r="AG153" s="117">
        <f t="shared" si="214"/>
        <v>2.0000000000000001E-9</v>
      </c>
      <c r="AH153" s="117">
        <f t="shared" si="215"/>
        <v>3E-9</v>
      </c>
      <c r="AI153" s="117">
        <f t="shared" si="216"/>
        <v>0</v>
      </c>
      <c r="AJ153" s="117">
        <f t="shared" si="217"/>
        <v>3.5000000000000003E-9</v>
      </c>
      <c r="AK153" s="117">
        <f t="shared" si="218"/>
        <v>0</v>
      </c>
      <c r="AL153" s="117">
        <f t="shared" si="219"/>
        <v>0</v>
      </c>
      <c r="AM153" s="117">
        <f t="shared" si="220"/>
        <v>0</v>
      </c>
      <c r="AN153" s="117">
        <f t="shared" si="221"/>
        <v>0</v>
      </c>
      <c r="AO153" s="117">
        <f t="shared" si="222"/>
        <v>0</v>
      </c>
      <c r="AP153" s="117" t="b">
        <f t="shared" si="233"/>
        <v>1</v>
      </c>
      <c r="AQ153" s="117" t="b">
        <f t="shared" si="234"/>
        <v>1</v>
      </c>
      <c r="AR153" s="117" t="b">
        <f t="shared" si="235"/>
        <v>1</v>
      </c>
      <c r="AT153" s="117" t="b">
        <f t="shared" si="236"/>
        <v>1</v>
      </c>
      <c r="AU153" s="117" t="b">
        <f t="shared" si="237"/>
        <v>0</v>
      </c>
      <c r="AV153" s="117" t="b">
        <f t="shared" si="238"/>
        <v>0</v>
      </c>
      <c r="AW153" s="117" t="b">
        <f t="shared" si="239"/>
        <v>0</v>
      </c>
      <c r="AX153" s="117" t="b">
        <f t="shared" si="240"/>
        <v>0</v>
      </c>
      <c r="AY153" s="117" t="b">
        <f t="shared" si="241"/>
        <v>0</v>
      </c>
      <c r="BA153" s="2"/>
      <c r="BB153" s="2"/>
      <c r="BC153" s="2"/>
      <c r="BD153" s="2"/>
      <c r="BE153" s="2"/>
      <c r="BF153" s="2"/>
      <c r="BG153" s="2"/>
      <c r="BH153" s="2"/>
      <c r="BI153" s="2"/>
      <c r="BJ153" s="2"/>
      <c r="BK153" s="2"/>
      <c r="BL153" s="2"/>
      <c r="BM153" s="2"/>
      <c r="BN153" s="2"/>
      <c r="BO153" s="2"/>
      <c r="BP153" s="2"/>
      <c r="BQ153" s="2"/>
      <c r="BR153" s="2"/>
      <c r="BS153" s="185" t="str">
        <f>'Reference Score Calculation'!B130</f>
        <v>JS3337</v>
      </c>
      <c r="BT153" s="185"/>
      <c r="BU153" s="455">
        <f>IF(ISNUMBER(SEARCH(BU$119,'Reference Score Calculation'!$P130)),10,IF(ISNUMBER(SEARCH(BU$119,'Reference Score Calculation'!$Q130)),7,IF(ISNUMBER(SEARCH(BU$119,'Reference Score Calculation'!$R130)),5,IF(ISNUMBER(SEARCH($BV$108,'Reference Score Calculation'!$P130)),10,IF(ISNUMBER(SEARCH($BV$108,'Reference Score Calculation'!$Q130)),7,5)))))</f>
        <v>10</v>
      </c>
      <c r="BV153" s="455">
        <f>IF(ISNUMBER(SEARCH(BV$119,'Reference Score Calculation'!$P130)),10,IF(ISNUMBER(SEARCH(BV$119,'Reference Score Calculation'!$Q130)),7,IF(ISNUMBER(SEARCH(BV$119,'Reference Score Calculation'!$R130)),5,IF(ISNUMBER(SEARCH($BV$108,'Reference Score Calculation'!$P130)),10,IF(ISNUMBER(SEARCH($BV$108,'Reference Score Calculation'!$Q130)),7,5)))))</f>
        <v>10</v>
      </c>
      <c r="BW153" s="455">
        <f>IF(ISNUMBER(SEARCH(BW$119,'Reference Score Calculation'!$P130)),10,IF(ISNUMBER(SEARCH(BW$119,'Reference Score Calculation'!$Q130)),7,IF(ISNUMBER(SEARCH(BW$119,'Reference Score Calculation'!$R130)),5,IF(ISNUMBER(SEARCH($BV$108,'Reference Score Calculation'!$P130)),10,IF(ISNUMBER(SEARCH($BV$108,'Reference Score Calculation'!$Q130)),7,5)))))</f>
        <v>10</v>
      </c>
      <c r="BX153" s="455">
        <f>IF(ISNUMBER(SEARCH(BX$119,'Reference Score Calculation'!$P130)),10,IF(ISNUMBER(SEARCH(BX$119,'Reference Score Calculation'!$Q130)),7,IF(ISNUMBER(SEARCH(BX$119,'Reference Score Calculation'!$R130)),5,IF(ISNUMBER(SEARCH($BV$108,'Reference Score Calculation'!$P130)),10,IF(ISNUMBER(SEARCH($BV$108,'Reference Score Calculation'!$Q130)),7,5)))))</f>
        <v>7</v>
      </c>
      <c r="BY153" s="455">
        <f>IF(ISNUMBER(SEARCH(BY$119,'Reference Score Calculation'!$P130)),10,IF(ISNUMBER(SEARCH(BY$119,'Reference Score Calculation'!$Q130)),7,IF(ISNUMBER(SEARCH(BY$119,'Reference Score Calculation'!$R130)),5,IF(ISNUMBER(SEARCH($BV$108,'Reference Score Calculation'!$P130)),10,IF(ISNUMBER(SEARCH($BV$108,'Reference Score Calculation'!$Q130)),7,5)))))</f>
        <v>7</v>
      </c>
      <c r="BZ153" s="455">
        <f>IF(ISNUMBER(SEARCH(BZ$119,'Reference Score Calculation'!$P130)),10,IF(ISNUMBER(SEARCH(BZ$119,'Reference Score Calculation'!$Q130)),7,IF(ISNUMBER(SEARCH(BZ$119,'Reference Score Calculation'!$R130)),5,IF(ISNUMBER(SEARCH($BV$108,'Reference Score Calculation'!$P130)),10,IF(ISNUMBER(SEARCH($BV$108,'Reference Score Calculation'!$Q130)),7,5)))))</f>
        <v>7</v>
      </c>
      <c r="CA153" s="455">
        <f>IF(ISNUMBER(SEARCH(CA$119,'Reference Score Calculation'!$P130)),10,IF(ISNUMBER(SEARCH(CA$119,'Reference Score Calculation'!$Q130)),7,IF(ISNUMBER(SEARCH(CA$119,'Reference Score Calculation'!$R130)),5,IF(ISNUMBER(SEARCH($BV$108,'Reference Score Calculation'!$P130)),10,IF(ISNUMBER(SEARCH($BV$108,'Reference Score Calculation'!$Q130)),7,5)))))</f>
        <v>7</v>
      </c>
      <c r="CB153" s="455">
        <f>IF(ISNUMBER(SEARCH(CB$119,'Reference Score Calculation'!$P130)),10,IF(ISNUMBER(SEARCH(CB$119,'Reference Score Calculation'!$Q130)),7,IF(ISNUMBER(SEARCH(CB$119,'Reference Score Calculation'!$R130)),5,IF(ISNUMBER(SEARCH($BV$108,'Reference Score Calculation'!$P130)),10,IF(ISNUMBER(SEARCH($BV$108,'Reference Score Calculation'!$Q130)),7,5)))))</f>
        <v>10</v>
      </c>
      <c r="CC153" s="455">
        <f>IF(ISNUMBER(SEARCH(CC$119,'Reference Score Calculation'!$P130)),10,IF(ISNUMBER(SEARCH(CC$119,'Reference Score Calculation'!$Q130)),7,IF(ISNUMBER(SEARCH(CC$119,'Reference Score Calculation'!$R130)),5,IF(ISNUMBER(SEARCH($BV$108,'Reference Score Calculation'!$P130)),10,IF(ISNUMBER(SEARCH($BV$108,'Reference Score Calculation'!$Q130)),7,5)))))</f>
        <v>7</v>
      </c>
      <c r="CD153" s="455">
        <f>IF(ISNUMBER(SEARCH(CD$119,'Reference Score Calculation'!$P130)),10,IF(ISNUMBER(SEARCH(CD$119,'Reference Score Calculation'!$Q130)),7,IF(ISNUMBER(SEARCH(CD$119,'Reference Score Calculation'!$R130)),5,IF(ISNUMBER(SEARCH($BV$108,'Reference Score Calculation'!$P130)),10,IF(ISNUMBER(SEARCH($BV$108,'Reference Score Calculation'!$Q130)),7,5)))))</f>
        <v>7</v>
      </c>
      <c r="CE153" s="455">
        <f>IF(ISNUMBER(SEARCH(CE$119,'Reference Score Calculation'!$P130)),10,IF(ISNUMBER(SEARCH(CE$119,'Reference Score Calculation'!$Q130)),7,IF(ISNUMBER(SEARCH(CE$119,'Reference Score Calculation'!$R130)),5,IF(ISNUMBER(SEARCH($BV$108,'Reference Score Calculation'!$P130)),10,IF(ISNUMBER(SEARCH($BV$108,'Reference Score Calculation'!$Q130)),7,5)))))</f>
        <v>7</v>
      </c>
      <c r="CF153" s="455">
        <f>IF(ISNUMBER(SEARCH(CF$119,'Reference Score Calculation'!$P130)),10,IF(ISNUMBER(SEARCH(CF$119,'Reference Score Calculation'!$Q130)),7,IF(ISNUMBER(SEARCH(CF$119,'Reference Score Calculation'!$R130)),5,IF(ISNUMBER(SEARCH($BV$108,'Reference Score Calculation'!$P130)),10,IF(ISNUMBER(SEARCH($BV$108,'Reference Score Calculation'!$Q130)),7,5)))))</f>
        <v>7</v>
      </c>
      <c r="CG153" s="455">
        <f>IF(ISNUMBER(SEARCH(CG$119,'Reference Score Calculation'!$P130)),10,IF(ISNUMBER(SEARCH(CG$119,'Reference Score Calculation'!$Q130)),7,IF(ISNUMBER(SEARCH(CG$119,'Reference Score Calculation'!$R130)),5,IF(ISNUMBER(SEARCH($BV$108,'Reference Score Calculation'!$P130)),10,IF(ISNUMBER(SEARCH($BV$108,'Reference Score Calculation'!$Q130)),7,5)))))</f>
        <v>7</v>
      </c>
      <c r="CH153" s="455">
        <f>IF(ISNUMBER(SEARCH(CH$119,'Reference Score Calculation'!$P130)),10,IF(ISNUMBER(SEARCH(CH$119,'Reference Score Calculation'!$Q130)),7,IF(ISNUMBER(SEARCH(CH$119,'Reference Score Calculation'!$R130)),5,IF(ISNUMBER(SEARCH($BV$108,'Reference Score Calculation'!$P130)),10,IF(ISNUMBER(SEARCH($BV$108,'Reference Score Calculation'!$Q130)),7,5)))))</f>
        <v>7</v>
      </c>
      <c r="CI153" s="455">
        <f>IF(ISNUMBER(SEARCH(CI$119,'Reference Score Calculation'!$P130)),10,IF(ISNUMBER(SEARCH(CI$119,'Reference Score Calculation'!$Q130)),7,IF(ISNUMBER(SEARCH(CI$119,'Reference Score Calculation'!$R130)),5,IF(ISNUMBER(SEARCH($BV$108,'Reference Score Calculation'!$P130)),10,IF(ISNUMBER(SEARCH($BV$108,'Reference Score Calculation'!$Q130)),7,5)))))</f>
        <v>7</v>
      </c>
      <c r="CJ153" s="455">
        <f>IF(ISNUMBER(SEARCH(CJ$119,'Reference Score Calculation'!$P130)),10,IF(ISNUMBER(SEARCH(CJ$119,'Reference Score Calculation'!$Q130)),7,IF(ISNUMBER(SEARCH(CJ$119,'Reference Score Calculation'!$R130)),5,IF(ISNUMBER(SEARCH($BV$108,'Reference Score Calculation'!$P130)),10,IF(ISNUMBER(SEARCH($BV$108,'Reference Score Calculation'!$Q130)),7,5)))))</f>
        <v>7</v>
      </c>
      <c r="CK153" s="455">
        <f>IF(ISNUMBER(SEARCH(CK$119,'Reference Score Calculation'!$P130)),10,IF(ISNUMBER(SEARCH(CK$119,'Reference Score Calculation'!$Q130)),7,IF(ISNUMBER(SEARCH(CK$119,'Reference Score Calculation'!$R130)),5,IF(ISNUMBER(SEARCH($BV$108,'Reference Score Calculation'!$P130)),10,IF(ISNUMBER(SEARCH($BV$108,'Reference Score Calculation'!$Q130)),7,5)))))</f>
        <v>7</v>
      </c>
      <c r="CL153" s="455">
        <f>IF(ISNUMBER(SEARCH(CL$119,'Reference Score Calculation'!$P130)),10,IF(ISNUMBER(SEARCH(CL$119,'Reference Score Calculation'!$Q130)),7,IF(ISNUMBER(SEARCH(CL$119,'Reference Score Calculation'!$R130)),5,IF(ISNUMBER(SEARCH($BV$108,'Reference Score Calculation'!$P130)),10,IF(ISNUMBER(SEARCH($BV$108,'Reference Score Calculation'!$Q130)),7,5)))))</f>
        <v>7</v>
      </c>
      <c r="CM153" s="455">
        <f>IF(ISNUMBER(SEARCH(CM$119,'Reference Score Calculation'!$P130)),10,IF(ISNUMBER(SEARCH(CM$119,'Reference Score Calculation'!$Q130)),7,IF(ISNUMBER(SEARCH(CM$119,'Reference Score Calculation'!$R130)),5,IF(ISNUMBER(SEARCH($BV$108,'Reference Score Calculation'!$P130)),10,IF(ISNUMBER(SEARCH($BV$108,'Reference Score Calculation'!$Q130)),7,5)))))</f>
        <v>7</v>
      </c>
      <c r="CN153" s="455">
        <f>IF(ISNUMBER(SEARCH(CN$119,'Reference Score Calculation'!$P130)),10,IF(ISNUMBER(SEARCH(CN$119,'Reference Score Calculation'!$Q130)),7,IF(ISNUMBER(SEARCH(CN$119,'Reference Score Calculation'!$R130)),5,IF(ISNUMBER(SEARCH($BV$108,'Reference Score Calculation'!$P130)),10,IF(ISNUMBER(SEARCH($BV$108,'Reference Score Calculation'!$Q130)),7,5)))))</f>
        <v>7</v>
      </c>
      <c r="CO153" s="455">
        <f>IF(ISNUMBER(SEARCH(CO$119,'Reference Score Calculation'!$P130)),10,IF(ISNUMBER(SEARCH(CO$119,'Reference Score Calculation'!$Q130)),7,IF(ISNUMBER(SEARCH(CO$119,'Reference Score Calculation'!$R130)),5,IF(ISNUMBER(SEARCH($BV$108,'Reference Score Calculation'!$P130)),10,IF(ISNUMBER(SEARCH($BV$108,'Reference Score Calculation'!$Q130)),7,5)))))</f>
        <v>7</v>
      </c>
      <c r="CP153" s="455">
        <f>IF(ISNUMBER(SEARCH(CP$119,'Reference Score Calculation'!$P130)),10,IF(ISNUMBER(SEARCH(CP$119,'Reference Score Calculation'!$Q130)),7,IF(ISNUMBER(SEARCH(CP$119,'Reference Score Calculation'!$R130)),5,IF(ISNUMBER(SEARCH($BV$108,'Reference Score Calculation'!$P130)),10,IF(ISNUMBER(SEARCH($BV$108,'Reference Score Calculation'!$Q130)),7,5)))))</f>
        <v>7</v>
      </c>
      <c r="CQ153" s="455">
        <f>IF(ISNUMBER(SEARCH(CQ$119,'Reference Score Calculation'!$P130)),10,IF(ISNUMBER(SEARCH(CQ$119,'Reference Score Calculation'!$Q130)),7,IF(ISNUMBER(SEARCH(CQ$119,'Reference Score Calculation'!$R130)),5,IF(ISNUMBER(SEARCH($BV$108,'Reference Score Calculation'!$P130)),10,IF(ISNUMBER(SEARCH($BV$108,'Reference Score Calculation'!$Q130)),7,5)))))</f>
        <v>7</v>
      </c>
      <c r="CR153" s="455">
        <f>IF(ISNUMBER(SEARCH(CR$119,'Reference Score Calculation'!$P130)),10,IF(ISNUMBER(SEARCH(CR$119,'Reference Score Calculation'!$Q130)),7,IF(ISNUMBER(SEARCH(CR$119,'Reference Score Calculation'!$R130)),5,IF(ISNUMBER(SEARCH($BV$108,'Reference Score Calculation'!$P130)),10,IF(ISNUMBER(SEARCH($BV$108,'Reference Score Calculation'!$Q130)),7,5)))))</f>
        <v>7</v>
      </c>
      <c r="CS153" s="455">
        <f>IF(ISNUMBER(SEARCH(CS$119,'Reference Score Calculation'!$P130)),10,IF(ISNUMBER(SEARCH(CS$119,'Reference Score Calculation'!$Q130)),7,IF(ISNUMBER(SEARCH(CS$119,'Reference Score Calculation'!$R130)),5,IF(ISNUMBER(SEARCH($BV$108,'Reference Score Calculation'!$P130)),10,IF(ISNUMBER(SEARCH($BV$108,'Reference Score Calculation'!$Q130)),7,5)))))</f>
        <v>7</v>
      </c>
      <c r="CT153" s="455">
        <f>IF(ISNUMBER(SEARCH(CT$119,'Reference Score Calculation'!$P130)),10,IF(ISNUMBER(SEARCH(CT$119,'Reference Score Calculation'!$Q130)),7,IF(ISNUMBER(SEARCH(CT$119,'Reference Score Calculation'!$R130)),5,IF(ISNUMBER(SEARCH($BV$108,'Reference Score Calculation'!$P130)),10,IF(ISNUMBER(SEARCH($BV$108,'Reference Score Calculation'!$Q130)),7,5)))))</f>
        <v>7</v>
      </c>
      <c r="CU153" s="455">
        <f>IF(ISNUMBER(SEARCH(CU$119,'Reference Score Calculation'!$P130)),10,IF(ISNUMBER(SEARCH(CU$119,'Reference Score Calculation'!$Q130)),7,IF(ISNUMBER(SEARCH(CU$119,'Reference Score Calculation'!$R130)),5,IF(ISNUMBER(SEARCH($BV$108,'Reference Score Calculation'!$P130)),10,IF(ISNUMBER(SEARCH($BV$108,'Reference Score Calculation'!$Q130)),7,5)))))</f>
        <v>7</v>
      </c>
      <c r="CV153" s="455">
        <f>IF(ISNUMBER(SEARCH(CV$119,'Reference Score Calculation'!$P130)),10,IF(ISNUMBER(SEARCH(CV$119,'Reference Score Calculation'!$Q130)),7,IF(ISNUMBER(SEARCH(CV$119,'Reference Score Calculation'!$R130)),5,IF(ISNUMBER(SEARCH($BV$108,'Reference Score Calculation'!$P130)),10,IF(ISNUMBER(SEARCH($BV$108,'Reference Score Calculation'!$Q130)),7,5)))))</f>
        <v>7</v>
      </c>
      <c r="CW153" s="185"/>
      <c r="CX153" s="185"/>
      <c r="CY153" s="185"/>
    </row>
    <row r="154" spans="1:103">
      <c r="A154" s="117" t="s">
        <v>1936</v>
      </c>
      <c r="B154" s="459" t="str">
        <f>'Reference Score Calculation'!B131</f>
        <v>JS3375</v>
      </c>
      <c r="C154" s="117" t="str">
        <f>'Reference Score Calculation'!E131</f>
        <v>環境工程及可持續發展學(榮譽)工學士</v>
      </c>
      <c r="D154" s="2" t="e">
        <f>'Reference Score Calculation'!#REF!</f>
        <v>#REF!</v>
      </c>
      <c r="E154" s="131" t="str">
        <f>'Reference Score Calculation'!F131</f>
        <v>Best 5</v>
      </c>
      <c r="F154" s="131"/>
      <c r="G154" s="117" t="str">
        <f>入學要求!AB140</f>
        <v>v</v>
      </c>
      <c r="H154" s="117" t="str">
        <f>入學要求!AC140</f>
        <v>E</v>
      </c>
      <c r="I154" s="117" t="str">
        <f>入學要求!AD140</f>
        <v>v</v>
      </c>
      <c r="J154" s="117">
        <f t="shared" si="211"/>
        <v>1.1000000000000001E-8</v>
      </c>
      <c r="K154" s="117">
        <f t="shared" si="244"/>
        <v>10</v>
      </c>
      <c r="L154" s="117">
        <f t="shared" si="244"/>
        <v>10</v>
      </c>
      <c r="M154" s="117">
        <f t="shared" si="244"/>
        <v>10</v>
      </c>
      <c r="N154" s="117">
        <f t="shared" si="244"/>
        <v>0</v>
      </c>
      <c r="O154" s="117">
        <f t="shared" si="244"/>
        <v>10</v>
      </c>
      <c r="P154" s="117">
        <f t="shared" si="244"/>
        <v>0</v>
      </c>
      <c r="Q154" s="117">
        <f t="shared" si="244"/>
        <v>0</v>
      </c>
      <c r="R154" s="117">
        <f t="shared" si="244"/>
        <v>0</v>
      </c>
      <c r="S154" s="117">
        <f t="shared" si="244"/>
        <v>0</v>
      </c>
      <c r="T154" s="117">
        <v>5</v>
      </c>
      <c r="V154" s="117">
        <f t="shared" si="224"/>
        <v>1.0000000000000001E-9</v>
      </c>
      <c r="W154" s="117">
        <f t="shared" si="225"/>
        <v>2.0000000000000001E-9</v>
      </c>
      <c r="X154" s="117">
        <f t="shared" si="226"/>
        <v>3E-9</v>
      </c>
      <c r="Z154" s="117">
        <f t="shared" si="227"/>
        <v>5.0000000000000001E-9</v>
      </c>
      <c r="AA154" s="117">
        <f t="shared" si="228"/>
        <v>0</v>
      </c>
      <c r="AB154" s="117">
        <f t="shared" si="229"/>
        <v>0</v>
      </c>
      <c r="AC154" s="117">
        <f t="shared" si="230"/>
        <v>0</v>
      </c>
      <c r="AD154" s="117">
        <f t="shared" si="231"/>
        <v>0</v>
      </c>
      <c r="AE154" s="117">
        <f t="shared" si="232"/>
        <v>0</v>
      </c>
      <c r="AF154" s="117">
        <f t="shared" si="213"/>
        <v>1.0000000000000001E-9</v>
      </c>
      <c r="AG154" s="117">
        <f t="shared" si="214"/>
        <v>2.0000000000000001E-9</v>
      </c>
      <c r="AH154" s="117">
        <f t="shared" si="215"/>
        <v>3E-9</v>
      </c>
      <c r="AI154" s="117">
        <f t="shared" si="216"/>
        <v>0</v>
      </c>
      <c r="AJ154" s="117">
        <f t="shared" si="217"/>
        <v>5.0000000000000001E-9</v>
      </c>
      <c r="AK154" s="117">
        <f t="shared" si="218"/>
        <v>0</v>
      </c>
      <c r="AL154" s="117">
        <f t="shared" si="219"/>
        <v>0</v>
      </c>
      <c r="AM154" s="117">
        <f t="shared" si="220"/>
        <v>0</v>
      </c>
      <c r="AN154" s="117">
        <f t="shared" si="221"/>
        <v>0</v>
      </c>
      <c r="AO154" s="117">
        <f t="shared" si="222"/>
        <v>0</v>
      </c>
      <c r="AP154" s="117" t="b">
        <f t="shared" si="233"/>
        <v>1</v>
      </c>
      <c r="AQ154" s="117" t="b">
        <f t="shared" si="234"/>
        <v>1</v>
      </c>
      <c r="AR154" s="117" t="b">
        <f t="shared" si="235"/>
        <v>1</v>
      </c>
      <c r="AT154" s="117" t="b">
        <f t="shared" si="236"/>
        <v>1</v>
      </c>
      <c r="AU154" s="117" t="b">
        <f t="shared" si="237"/>
        <v>0</v>
      </c>
      <c r="AV154" s="117" t="b">
        <f t="shared" si="238"/>
        <v>0</v>
      </c>
      <c r="AW154" s="117" t="b">
        <f t="shared" si="239"/>
        <v>0</v>
      </c>
      <c r="AX154" s="117" t="b">
        <f t="shared" si="240"/>
        <v>0</v>
      </c>
      <c r="AY154" s="117" t="b">
        <f t="shared" si="241"/>
        <v>0</v>
      </c>
      <c r="BA154" s="2"/>
      <c r="BB154" s="2"/>
      <c r="BC154" s="2"/>
      <c r="BD154" s="2"/>
      <c r="BE154" s="2"/>
      <c r="BF154" s="2"/>
      <c r="BG154" s="2"/>
      <c r="BH154" s="2"/>
      <c r="BI154" s="2"/>
      <c r="BJ154" s="2"/>
      <c r="BK154" s="2"/>
      <c r="BL154" s="2"/>
      <c r="BM154" s="2"/>
      <c r="BN154" s="2"/>
      <c r="BO154" s="2"/>
      <c r="BP154" s="2"/>
      <c r="BQ154" s="2"/>
      <c r="BR154" s="2"/>
      <c r="BS154" s="185" t="str">
        <f>'Reference Score Calculation'!B131</f>
        <v>JS3375</v>
      </c>
      <c r="BT154" s="185"/>
      <c r="BU154" s="455">
        <f>IF(ISNUMBER(SEARCH(BU$119,'Reference Score Calculation'!$P131)),10,IF(ISNUMBER(SEARCH(BU$119,'Reference Score Calculation'!$Q131)),7,IF(ISNUMBER(SEARCH(BU$119,'Reference Score Calculation'!$R131)),5,IF(ISNUMBER(SEARCH($BV$108,'Reference Score Calculation'!$P131)),10,IF(ISNUMBER(SEARCH($BV$108,'Reference Score Calculation'!$Q131)),7,5)))))</f>
        <v>10</v>
      </c>
      <c r="BV154" s="455">
        <f>IF(ISNUMBER(SEARCH(BV$119,'Reference Score Calculation'!$P131)),10,IF(ISNUMBER(SEARCH(BV$119,'Reference Score Calculation'!$Q131)),7,IF(ISNUMBER(SEARCH(BV$119,'Reference Score Calculation'!$R131)),5,IF(ISNUMBER(SEARCH($BV$108,'Reference Score Calculation'!$P131)),10,IF(ISNUMBER(SEARCH($BV$108,'Reference Score Calculation'!$Q131)),7,5)))))</f>
        <v>10</v>
      </c>
      <c r="BW154" s="455">
        <f>IF(ISNUMBER(SEARCH(BW$119,'Reference Score Calculation'!$P131)),10,IF(ISNUMBER(SEARCH(BW$119,'Reference Score Calculation'!$Q131)),7,IF(ISNUMBER(SEARCH(BW$119,'Reference Score Calculation'!$R131)),5,IF(ISNUMBER(SEARCH($BV$108,'Reference Score Calculation'!$P131)),10,IF(ISNUMBER(SEARCH($BV$108,'Reference Score Calculation'!$Q131)),7,5)))))</f>
        <v>10</v>
      </c>
      <c r="BX154" s="455">
        <f>IF(ISNUMBER(SEARCH(BX$119,'Reference Score Calculation'!$P131)),10,IF(ISNUMBER(SEARCH(BX$119,'Reference Score Calculation'!$Q131)),7,IF(ISNUMBER(SEARCH(BX$119,'Reference Score Calculation'!$R131)),5,IF(ISNUMBER(SEARCH($BV$108,'Reference Score Calculation'!$P131)),10,IF(ISNUMBER(SEARCH($BV$108,'Reference Score Calculation'!$Q131)),7,5)))))</f>
        <v>5</v>
      </c>
      <c r="BY154" s="455">
        <f>IF(ISNUMBER(SEARCH(BY$119,'Reference Score Calculation'!$P131)),10,IF(ISNUMBER(SEARCH(BY$119,'Reference Score Calculation'!$Q131)),7,IF(ISNUMBER(SEARCH(BY$119,'Reference Score Calculation'!$R131)),5,IF(ISNUMBER(SEARCH($BV$108,'Reference Score Calculation'!$P131)),10,IF(ISNUMBER(SEARCH($BV$108,'Reference Score Calculation'!$Q131)),7,5)))))</f>
        <v>10</v>
      </c>
      <c r="BZ154" s="455">
        <f>IF(ISNUMBER(SEARCH(BZ$119,'Reference Score Calculation'!$P131)),10,IF(ISNUMBER(SEARCH(BZ$119,'Reference Score Calculation'!$Q131)),7,IF(ISNUMBER(SEARCH(BZ$119,'Reference Score Calculation'!$R131)),5,IF(ISNUMBER(SEARCH($BV$108,'Reference Score Calculation'!$P131)),10,IF(ISNUMBER(SEARCH($BV$108,'Reference Score Calculation'!$Q131)),7,5)))))</f>
        <v>10</v>
      </c>
      <c r="CA154" s="455">
        <f>IF(ISNUMBER(SEARCH(CA$119,'Reference Score Calculation'!$P131)),10,IF(ISNUMBER(SEARCH(CA$119,'Reference Score Calculation'!$Q131)),7,IF(ISNUMBER(SEARCH(CA$119,'Reference Score Calculation'!$R131)),5,IF(ISNUMBER(SEARCH($BV$108,'Reference Score Calculation'!$P131)),10,IF(ISNUMBER(SEARCH($BV$108,'Reference Score Calculation'!$Q131)),7,5)))))</f>
        <v>10</v>
      </c>
      <c r="CB154" s="455">
        <f>IF(ISNUMBER(SEARCH(CB$119,'Reference Score Calculation'!$P131)),10,IF(ISNUMBER(SEARCH(CB$119,'Reference Score Calculation'!$Q131)),7,IF(ISNUMBER(SEARCH(CB$119,'Reference Score Calculation'!$R131)),5,IF(ISNUMBER(SEARCH($BV$108,'Reference Score Calculation'!$P131)),10,IF(ISNUMBER(SEARCH($BV$108,'Reference Score Calculation'!$Q131)),7,5)))))</f>
        <v>10</v>
      </c>
      <c r="CC154" s="455">
        <f>IF(ISNUMBER(SEARCH(CC$119,'Reference Score Calculation'!$P131)),10,IF(ISNUMBER(SEARCH(CC$119,'Reference Score Calculation'!$Q131)),7,IF(ISNUMBER(SEARCH(CC$119,'Reference Score Calculation'!$R131)),5,IF(ISNUMBER(SEARCH($BV$108,'Reference Score Calculation'!$P131)),10,IF(ISNUMBER(SEARCH($BV$108,'Reference Score Calculation'!$Q131)),7,5)))))</f>
        <v>10</v>
      </c>
      <c r="CD154" s="455">
        <f>IF(ISNUMBER(SEARCH(CD$119,'Reference Score Calculation'!$P131)),10,IF(ISNUMBER(SEARCH(CD$119,'Reference Score Calculation'!$Q131)),7,IF(ISNUMBER(SEARCH(CD$119,'Reference Score Calculation'!$R131)),5,IF(ISNUMBER(SEARCH($BV$108,'Reference Score Calculation'!$P131)),10,IF(ISNUMBER(SEARCH($BV$108,'Reference Score Calculation'!$Q131)),7,5)))))</f>
        <v>10</v>
      </c>
      <c r="CE154" s="455">
        <f>IF(ISNUMBER(SEARCH(CE$119,'Reference Score Calculation'!$P131)),10,IF(ISNUMBER(SEARCH(CE$119,'Reference Score Calculation'!$Q131)),7,IF(ISNUMBER(SEARCH(CE$119,'Reference Score Calculation'!$R131)),5,IF(ISNUMBER(SEARCH($BV$108,'Reference Score Calculation'!$P131)),10,IF(ISNUMBER(SEARCH($BV$108,'Reference Score Calculation'!$Q131)),7,5)))))</f>
        <v>5</v>
      </c>
      <c r="CF154" s="455">
        <f>IF(ISNUMBER(SEARCH(CF$119,'Reference Score Calculation'!$P131)),10,IF(ISNUMBER(SEARCH(CF$119,'Reference Score Calculation'!$Q131)),7,IF(ISNUMBER(SEARCH(CF$119,'Reference Score Calculation'!$R131)),5,IF(ISNUMBER(SEARCH($BV$108,'Reference Score Calculation'!$P131)),10,IF(ISNUMBER(SEARCH($BV$108,'Reference Score Calculation'!$Q131)),7,5)))))</f>
        <v>5</v>
      </c>
      <c r="CG154" s="455">
        <f>IF(ISNUMBER(SEARCH(CG$119,'Reference Score Calculation'!$P131)),10,IF(ISNUMBER(SEARCH(CG$119,'Reference Score Calculation'!$Q131)),7,IF(ISNUMBER(SEARCH(CG$119,'Reference Score Calculation'!$R131)),5,IF(ISNUMBER(SEARCH($BV$108,'Reference Score Calculation'!$P131)),10,IF(ISNUMBER(SEARCH($BV$108,'Reference Score Calculation'!$Q131)),7,5)))))</f>
        <v>5</v>
      </c>
      <c r="CH154" s="455">
        <f>IF(ISNUMBER(SEARCH(CH$119,'Reference Score Calculation'!$P131)),10,IF(ISNUMBER(SEARCH(CH$119,'Reference Score Calculation'!$Q131)),7,IF(ISNUMBER(SEARCH(CH$119,'Reference Score Calculation'!$R131)),5,IF(ISNUMBER(SEARCH($BV$108,'Reference Score Calculation'!$P131)),10,IF(ISNUMBER(SEARCH($BV$108,'Reference Score Calculation'!$Q131)),7,5)))))</f>
        <v>5</v>
      </c>
      <c r="CI154" s="455">
        <f>IF(ISNUMBER(SEARCH(CI$119,'Reference Score Calculation'!$P131)),10,IF(ISNUMBER(SEARCH(CI$119,'Reference Score Calculation'!$Q131)),7,IF(ISNUMBER(SEARCH(CI$119,'Reference Score Calculation'!$R131)),5,IF(ISNUMBER(SEARCH($BV$108,'Reference Score Calculation'!$P131)),10,IF(ISNUMBER(SEARCH($BV$108,'Reference Score Calculation'!$Q131)),7,5)))))</f>
        <v>5</v>
      </c>
      <c r="CJ154" s="455">
        <f>IF(ISNUMBER(SEARCH(CJ$119,'Reference Score Calculation'!$P131)),10,IF(ISNUMBER(SEARCH(CJ$119,'Reference Score Calculation'!$Q131)),7,IF(ISNUMBER(SEARCH(CJ$119,'Reference Score Calculation'!$R131)),5,IF(ISNUMBER(SEARCH($BV$108,'Reference Score Calculation'!$P131)),10,IF(ISNUMBER(SEARCH($BV$108,'Reference Score Calculation'!$Q131)),7,5)))))</f>
        <v>10</v>
      </c>
      <c r="CK154" s="455">
        <f>IF(ISNUMBER(SEARCH(CK$119,'Reference Score Calculation'!$P131)),10,IF(ISNUMBER(SEARCH(CK$119,'Reference Score Calculation'!$Q131)),7,IF(ISNUMBER(SEARCH(CK$119,'Reference Score Calculation'!$R131)),5,IF(ISNUMBER(SEARCH($BV$108,'Reference Score Calculation'!$P131)),10,IF(ISNUMBER(SEARCH($BV$108,'Reference Score Calculation'!$Q131)),7,5)))))</f>
        <v>5</v>
      </c>
      <c r="CL154" s="455">
        <f>IF(ISNUMBER(SEARCH(CL$119,'Reference Score Calculation'!$P131)),10,IF(ISNUMBER(SEARCH(CL$119,'Reference Score Calculation'!$Q131)),7,IF(ISNUMBER(SEARCH(CL$119,'Reference Score Calculation'!$R131)),5,IF(ISNUMBER(SEARCH($BV$108,'Reference Score Calculation'!$P131)),10,IF(ISNUMBER(SEARCH($BV$108,'Reference Score Calculation'!$Q131)),7,5)))))</f>
        <v>5</v>
      </c>
      <c r="CM154" s="455">
        <f>IF(ISNUMBER(SEARCH(CM$119,'Reference Score Calculation'!$P131)),10,IF(ISNUMBER(SEARCH(CM$119,'Reference Score Calculation'!$Q131)),7,IF(ISNUMBER(SEARCH(CM$119,'Reference Score Calculation'!$R131)),5,IF(ISNUMBER(SEARCH($BV$108,'Reference Score Calculation'!$P131)),10,IF(ISNUMBER(SEARCH($BV$108,'Reference Score Calculation'!$Q131)),7,5)))))</f>
        <v>5</v>
      </c>
      <c r="CN154" s="455">
        <f>IF(ISNUMBER(SEARCH(CN$119,'Reference Score Calculation'!$P131)),10,IF(ISNUMBER(SEARCH(CN$119,'Reference Score Calculation'!$Q131)),7,IF(ISNUMBER(SEARCH(CN$119,'Reference Score Calculation'!$R131)),5,IF(ISNUMBER(SEARCH($BV$108,'Reference Score Calculation'!$P131)),10,IF(ISNUMBER(SEARCH($BV$108,'Reference Score Calculation'!$Q131)),7,5)))))</f>
        <v>5</v>
      </c>
      <c r="CO154" s="455">
        <f>IF(ISNUMBER(SEARCH(CO$119,'Reference Score Calculation'!$P131)),10,IF(ISNUMBER(SEARCH(CO$119,'Reference Score Calculation'!$Q131)),7,IF(ISNUMBER(SEARCH(CO$119,'Reference Score Calculation'!$R131)),5,IF(ISNUMBER(SEARCH($BV$108,'Reference Score Calculation'!$P131)),10,IF(ISNUMBER(SEARCH($BV$108,'Reference Score Calculation'!$Q131)),7,5)))))</f>
        <v>5</v>
      </c>
      <c r="CP154" s="455">
        <f>IF(ISNUMBER(SEARCH(CP$119,'Reference Score Calculation'!$P131)),10,IF(ISNUMBER(SEARCH(CP$119,'Reference Score Calculation'!$Q131)),7,IF(ISNUMBER(SEARCH(CP$119,'Reference Score Calculation'!$R131)),5,IF(ISNUMBER(SEARCH($BV$108,'Reference Score Calculation'!$P131)),10,IF(ISNUMBER(SEARCH($BV$108,'Reference Score Calculation'!$Q131)),7,5)))))</f>
        <v>5</v>
      </c>
      <c r="CQ154" s="455">
        <f>IF(ISNUMBER(SEARCH(CQ$119,'Reference Score Calculation'!$P131)),10,IF(ISNUMBER(SEARCH(CQ$119,'Reference Score Calculation'!$Q131)),7,IF(ISNUMBER(SEARCH(CQ$119,'Reference Score Calculation'!$R131)),5,IF(ISNUMBER(SEARCH($BV$108,'Reference Score Calculation'!$P131)),10,IF(ISNUMBER(SEARCH($BV$108,'Reference Score Calculation'!$Q131)),7,5)))))</f>
        <v>5</v>
      </c>
      <c r="CR154" s="455">
        <f>IF(ISNUMBER(SEARCH(CR$119,'Reference Score Calculation'!$P131)),10,IF(ISNUMBER(SEARCH(CR$119,'Reference Score Calculation'!$Q131)),7,IF(ISNUMBER(SEARCH(CR$119,'Reference Score Calculation'!$R131)),5,IF(ISNUMBER(SEARCH($BV$108,'Reference Score Calculation'!$P131)),10,IF(ISNUMBER(SEARCH($BV$108,'Reference Score Calculation'!$Q131)),7,5)))))</f>
        <v>5</v>
      </c>
      <c r="CS154" s="455">
        <f>IF(ISNUMBER(SEARCH(CS$119,'Reference Score Calculation'!$P131)),10,IF(ISNUMBER(SEARCH(CS$119,'Reference Score Calculation'!$Q131)),7,IF(ISNUMBER(SEARCH(CS$119,'Reference Score Calculation'!$R131)),5,IF(ISNUMBER(SEARCH($BV$108,'Reference Score Calculation'!$P131)),10,IF(ISNUMBER(SEARCH($BV$108,'Reference Score Calculation'!$Q131)),7,5)))))</f>
        <v>7</v>
      </c>
      <c r="CT154" s="455">
        <f>IF(ISNUMBER(SEARCH(CT$119,'Reference Score Calculation'!$P131)),10,IF(ISNUMBER(SEARCH(CT$119,'Reference Score Calculation'!$Q131)),7,IF(ISNUMBER(SEARCH(CT$119,'Reference Score Calculation'!$R131)),5,IF(ISNUMBER(SEARCH($BV$108,'Reference Score Calculation'!$P131)),10,IF(ISNUMBER(SEARCH($BV$108,'Reference Score Calculation'!$Q131)),7,5)))))</f>
        <v>7</v>
      </c>
      <c r="CU154" s="455">
        <f>IF(ISNUMBER(SEARCH(CU$119,'Reference Score Calculation'!$P131)),10,IF(ISNUMBER(SEARCH(CU$119,'Reference Score Calculation'!$Q131)),7,IF(ISNUMBER(SEARCH(CU$119,'Reference Score Calculation'!$R131)),5,IF(ISNUMBER(SEARCH($BV$108,'Reference Score Calculation'!$P131)),10,IF(ISNUMBER(SEARCH($BV$108,'Reference Score Calculation'!$Q131)),7,5)))))</f>
        <v>5</v>
      </c>
      <c r="CV154" s="455">
        <f>IF(ISNUMBER(SEARCH(CV$119,'Reference Score Calculation'!$P131)),10,IF(ISNUMBER(SEARCH(CV$119,'Reference Score Calculation'!$Q131)),7,IF(ISNUMBER(SEARCH(CV$119,'Reference Score Calculation'!$R131)),5,IF(ISNUMBER(SEARCH($BV$108,'Reference Score Calculation'!$P131)),10,IF(ISNUMBER(SEARCH($BV$108,'Reference Score Calculation'!$Q131)),7,5)))))</f>
        <v>5</v>
      </c>
      <c r="CW154" s="185"/>
      <c r="CX154" s="185"/>
      <c r="CY154" s="185"/>
    </row>
    <row r="155" spans="1:103">
      <c r="A155" s="117" t="s">
        <v>1120</v>
      </c>
      <c r="B155" s="459" t="str">
        <f>'Reference Score Calculation'!B132</f>
        <v>JS3478</v>
      </c>
      <c r="C155" s="117" t="str">
        <f>'Reference Score Calculation'!E132</f>
        <v>醫療化驗科學(榮譽)理學士</v>
      </c>
      <c r="D155" s="2" t="e">
        <f>'Reference Score Calculation'!#REF!</f>
        <v>#REF!</v>
      </c>
      <c r="E155" s="131" t="str">
        <f>'Reference Score Calculation'!F132</f>
        <v>Best 5</v>
      </c>
      <c r="F155" s="131"/>
      <c r="G155" s="117" t="str">
        <f>入學要求!AB141</f>
        <v>v</v>
      </c>
      <c r="H155" s="117" t="str">
        <f>入學要求!AC141</f>
        <v>E</v>
      </c>
      <c r="I155" s="117" t="str">
        <f>入學要求!AD141</f>
        <v>NO</v>
      </c>
      <c r="J155" s="117">
        <f t="shared" si="211"/>
        <v>1.1000000000000001E-8</v>
      </c>
      <c r="K155" s="117">
        <f t="shared" si="244"/>
        <v>10</v>
      </c>
      <c r="L155" s="117">
        <f t="shared" si="244"/>
        <v>10</v>
      </c>
      <c r="M155" s="117">
        <f t="shared" si="244"/>
        <v>10</v>
      </c>
      <c r="N155" s="117">
        <f t="shared" si="244"/>
        <v>0</v>
      </c>
      <c r="O155" s="117">
        <f t="shared" si="244"/>
        <v>10</v>
      </c>
      <c r="P155" s="117">
        <f t="shared" si="244"/>
        <v>0</v>
      </c>
      <c r="Q155" s="117">
        <f t="shared" si="244"/>
        <v>0</v>
      </c>
      <c r="R155" s="117">
        <f t="shared" si="244"/>
        <v>0</v>
      </c>
      <c r="S155" s="117">
        <f t="shared" si="244"/>
        <v>0</v>
      </c>
      <c r="T155" s="117">
        <v>5</v>
      </c>
      <c r="V155" s="117">
        <f t="shared" si="224"/>
        <v>1.0000000000000001E-9</v>
      </c>
      <c r="W155" s="117">
        <f t="shared" si="225"/>
        <v>2.0000000000000001E-9</v>
      </c>
      <c r="X155" s="117">
        <f t="shared" si="226"/>
        <v>3E-9</v>
      </c>
      <c r="Z155" s="117">
        <f t="shared" si="227"/>
        <v>5.0000000000000001E-9</v>
      </c>
      <c r="AA155" s="117">
        <f t="shared" si="228"/>
        <v>0</v>
      </c>
      <c r="AB155" s="117">
        <f t="shared" si="229"/>
        <v>0</v>
      </c>
      <c r="AC155" s="117">
        <f t="shared" si="230"/>
        <v>0</v>
      </c>
      <c r="AD155" s="117">
        <f t="shared" si="231"/>
        <v>0</v>
      </c>
      <c r="AE155" s="117">
        <f t="shared" si="232"/>
        <v>0</v>
      </c>
      <c r="AF155" s="117">
        <f t="shared" si="213"/>
        <v>1.0000000000000001E-9</v>
      </c>
      <c r="AG155" s="117">
        <f t="shared" si="214"/>
        <v>2.0000000000000001E-9</v>
      </c>
      <c r="AH155" s="117">
        <f t="shared" si="215"/>
        <v>3E-9</v>
      </c>
      <c r="AI155" s="117">
        <f t="shared" si="216"/>
        <v>0</v>
      </c>
      <c r="AJ155" s="117">
        <f t="shared" si="217"/>
        <v>5.0000000000000001E-9</v>
      </c>
      <c r="AK155" s="117">
        <f t="shared" si="218"/>
        <v>0</v>
      </c>
      <c r="AL155" s="117">
        <f t="shared" si="219"/>
        <v>0</v>
      </c>
      <c r="AM155" s="117">
        <f t="shared" si="220"/>
        <v>0</v>
      </c>
      <c r="AN155" s="117">
        <f t="shared" si="221"/>
        <v>0</v>
      </c>
      <c r="AO155" s="117">
        <f t="shared" si="222"/>
        <v>0</v>
      </c>
      <c r="AP155" s="117" t="b">
        <f t="shared" si="233"/>
        <v>1</v>
      </c>
      <c r="AQ155" s="117" t="b">
        <f t="shared" si="234"/>
        <v>1</v>
      </c>
      <c r="AR155" s="117" t="b">
        <f t="shared" si="235"/>
        <v>1</v>
      </c>
      <c r="AT155" s="117" t="b">
        <f t="shared" si="236"/>
        <v>1</v>
      </c>
      <c r="AU155" s="117" t="b">
        <f t="shared" si="237"/>
        <v>0</v>
      </c>
      <c r="AV155" s="117" t="b">
        <f t="shared" si="238"/>
        <v>0</v>
      </c>
      <c r="AW155" s="117" t="b">
        <f t="shared" si="239"/>
        <v>0</v>
      </c>
      <c r="AX155" s="117" t="b">
        <f t="shared" si="240"/>
        <v>0</v>
      </c>
      <c r="AY155" s="117" t="b">
        <f t="shared" si="241"/>
        <v>0</v>
      </c>
      <c r="BA155" s="2"/>
      <c r="BB155" s="2"/>
      <c r="BC155" s="2"/>
      <c r="BD155" s="2"/>
      <c r="BE155" s="2"/>
      <c r="BF155" s="2"/>
      <c r="BG155" s="2"/>
      <c r="BH155" s="2"/>
      <c r="BI155" s="2"/>
      <c r="BJ155" s="2"/>
      <c r="BK155" s="2"/>
      <c r="BL155" s="2"/>
      <c r="BM155" s="2"/>
      <c r="BN155" s="2"/>
      <c r="BO155" s="2"/>
      <c r="BP155" s="2"/>
      <c r="BQ155" s="2"/>
      <c r="BR155" s="2"/>
      <c r="BS155" s="185" t="str">
        <f>'Reference Score Calculation'!B132</f>
        <v>JS3478</v>
      </c>
      <c r="BT155" s="185"/>
      <c r="BU155" s="455">
        <f>IF(ISNUMBER(SEARCH(BU$119,'Reference Score Calculation'!$P132)),10,IF(ISNUMBER(SEARCH(BU$119,'Reference Score Calculation'!$Q132)),7,IF(ISNUMBER(SEARCH(BU$119,'Reference Score Calculation'!$R132)),5,IF(ISNUMBER(SEARCH($BV$108,'Reference Score Calculation'!$P132)),10,IF(ISNUMBER(SEARCH($BV$108,'Reference Score Calculation'!$Q132)),7,5)))))</f>
        <v>10</v>
      </c>
      <c r="BV155" s="455">
        <f>IF(ISNUMBER(SEARCH(BV$119,'Reference Score Calculation'!$P132)),10,IF(ISNUMBER(SEARCH(BV$119,'Reference Score Calculation'!$Q132)),7,IF(ISNUMBER(SEARCH(BV$119,'Reference Score Calculation'!$R132)),5,IF(ISNUMBER(SEARCH($BV$108,'Reference Score Calculation'!$P132)),10,IF(ISNUMBER(SEARCH($BV$108,'Reference Score Calculation'!$Q132)),7,5)))))</f>
        <v>10</v>
      </c>
      <c r="BW155" s="455">
        <f>IF(ISNUMBER(SEARCH(BW$119,'Reference Score Calculation'!$P132)),10,IF(ISNUMBER(SEARCH(BW$119,'Reference Score Calculation'!$Q132)),7,IF(ISNUMBER(SEARCH(BW$119,'Reference Score Calculation'!$R132)),5,IF(ISNUMBER(SEARCH($BV$108,'Reference Score Calculation'!$P132)),10,IF(ISNUMBER(SEARCH($BV$108,'Reference Score Calculation'!$Q132)),7,5)))))</f>
        <v>10</v>
      </c>
      <c r="BX155" s="455">
        <f>IF(ISNUMBER(SEARCH(BX$119,'Reference Score Calculation'!$P132)),10,IF(ISNUMBER(SEARCH(BX$119,'Reference Score Calculation'!$Q132)),7,IF(ISNUMBER(SEARCH(BX$119,'Reference Score Calculation'!$R132)),5,IF(ISNUMBER(SEARCH($BV$108,'Reference Score Calculation'!$P132)),10,IF(ISNUMBER(SEARCH($BV$108,'Reference Score Calculation'!$Q132)),7,5)))))</f>
        <v>5</v>
      </c>
      <c r="BY155" s="455">
        <f>IF(ISNUMBER(SEARCH(BY$119,'Reference Score Calculation'!$P132)),10,IF(ISNUMBER(SEARCH(BY$119,'Reference Score Calculation'!$Q132)),7,IF(ISNUMBER(SEARCH(BY$119,'Reference Score Calculation'!$R132)),5,IF(ISNUMBER(SEARCH($BV$108,'Reference Score Calculation'!$P132)),10,IF(ISNUMBER(SEARCH($BV$108,'Reference Score Calculation'!$Q132)),7,5)))))</f>
        <v>10</v>
      </c>
      <c r="BZ155" s="455">
        <f>IF(ISNUMBER(SEARCH(BZ$119,'Reference Score Calculation'!$P132)),10,IF(ISNUMBER(SEARCH(BZ$119,'Reference Score Calculation'!$Q132)),7,IF(ISNUMBER(SEARCH(BZ$119,'Reference Score Calculation'!$R132)),5,IF(ISNUMBER(SEARCH($BV$108,'Reference Score Calculation'!$P132)),10,IF(ISNUMBER(SEARCH($BV$108,'Reference Score Calculation'!$Q132)),7,5)))))</f>
        <v>7</v>
      </c>
      <c r="CA155" s="455">
        <f>IF(ISNUMBER(SEARCH(CA$119,'Reference Score Calculation'!$P132)),10,IF(ISNUMBER(SEARCH(CA$119,'Reference Score Calculation'!$Q132)),7,IF(ISNUMBER(SEARCH(CA$119,'Reference Score Calculation'!$R132)),5,IF(ISNUMBER(SEARCH($BV$108,'Reference Score Calculation'!$P132)),10,IF(ISNUMBER(SEARCH($BV$108,'Reference Score Calculation'!$Q132)),7,5)))))</f>
        <v>10</v>
      </c>
      <c r="CB155" s="455">
        <f>IF(ISNUMBER(SEARCH(CB$119,'Reference Score Calculation'!$P132)),10,IF(ISNUMBER(SEARCH(CB$119,'Reference Score Calculation'!$Q132)),7,IF(ISNUMBER(SEARCH(CB$119,'Reference Score Calculation'!$R132)),5,IF(ISNUMBER(SEARCH($BV$108,'Reference Score Calculation'!$P132)),10,IF(ISNUMBER(SEARCH($BV$108,'Reference Score Calculation'!$Q132)),7,5)))))</f>
        <v>10</v>
      </c>
      <c r="CC155" s="455">
        <f>IF(ISNUMBER(SEARCH(CC$119,'Reference Score Calculation'!$P132)),10,IF(ISNUMBER(SEARCH(CC$119,'Reference Score Calculation'!$Q132)),7,IF(ISNUMBER(SEARCH(CC$119,'Reference Score Calculation'!$R132)),5,IF(ISNUMBER(SEARCH($BV$108,'Reference Score Calculation'!$P132)),10,IF(ISNUMBER(SEARCH($BV$108,'Reference Score Calculation'!$Q132)),7,5)))))</f>
        <v>5</v>
      </c>
      <c r="CD155" s="455">
        <f>IF(ISNUMBER(SEARCH(CD$119,'Reference Score Calculation'!$P132)),10,IF(ISNUMBER(SEARCH(CD$119,'Reference Score Calculation'!$Q132)),7,IF(ISNUMBER(SEARCH(CD$119,'Reference Score Calculation'!$R132)),5,IF(ISNUMBER(SEARCH($BV$108,'Reference Score Calculation'!$P132)),10,IF(ISNUMBER(SEARCH($BV$108,'Reference Score Calculation'!$Q132)),7,5)))))</f>
        <v>5</v>
      </c>
      <c r="CE155" s="455">
        <f>IF(ISNUMBER(SEARCH(CE$119,'Reference Score Calculation'!$P132)),10,IF(ISNUMBER(SEARCH(CE$119,'Reference Score Calculation'!$Q132)),7,IF(ISNUMBER(SEARCH(CE$119,'Reference Score Calculation'!$R132)),5,IF(ISNUMBER(SEARCH($BV$108,'Reference Score Calculation'!$P132)),10,IF(ISNUMBER(SEARCH($BV$108,'Reference Score Calculation'!$Q132)),7,5)))))</f>
        <v>5</v>
      </c>
      <c r="CF155" s="455">
        <f>IF(ISNUMBER(SEARCH(CF$119,'Reference Score Calculation'!$P132)),10,IF(ISNUMBER(SEARCH(CF$119,'Reference Score Calculation'!$Q132)),7,IF(ISNUMBER(SEARCH(CF$119,'Reference Score Calculation'!$R132)),5,IF(ISNUMBER(SEARCH($BV$108,'Reference Score Calculation'!$P132)),10,IF(ISNUMBER(SEARCH($BV$108,'Reference Score Calculation'!$Q132)),7,5)))))</f>
        <v>5</v>
      </c>
      <c r="CG155" s="455">
        <f>IF(ISNUMBER(SEARCH(CG$119,'Reference Score Calculation'!$P132)),10,IF(ISNUMBER(SEARCH(CG$119,'Reference Score Calculation'!$Q132)),7,IF(ISNUMBER(SEARCH(CG$119,'Reference Score Calculation'!$R132)),5,IF(ISNUMBER(SEARCH($BV$108,'Reference Score Calculation'!$P132)),10,IF(ISNUMBER(SEARCH($BV$108,'Reference Score Calculation'!$Q132)),7,5)))))</f>
        <v>5</v>
      </c>
      <c r="CH155" s="455">
        <f>IF(ISNUMBER(SEARCH(CH$119,'Reference Score Calculation'!$P132)),10,IF(ISNUMBER(SEARCH(CH$119,'Reference Score Calculation'!$Q132)),7,IF(ISNUMBER(SEARCH(CH$119,'Reference Score Calculation'!$R132)),5,IF(ISNUMBER(SEARCH($BV$108,'Reference Score Calculation'!$P132)),10,IF(ISNUMBER(SEARCH($BV$108,'Reference Score Calculation'!$Q132)),7,5)))))</f>
        <v>5</v>
      </c>
      <c r="CI155" s="455">
        <f>IF(ISNUMBER(SEARCH(CI$119,'Reference Score Calculation'!$P132)),10,IF(ISNUMBER(SEARCH(CI$119,'Reference Score Calculation'!$Q132)),7,IF(ISNUMBER(SEARCH(CI$119,'Reference Score Calculation'!$R132)),5,IF(ISNUMBER(SEARCH($BV$108,'Reference Score Calculation'!$P132)),10,IF(ISNUMBER(SEARCH($BV$108,'Reference Score Calculation'!$Q132)),7,5)))))</f>
        <v>5</v>
      </c>
      <c r="CJ155" s="455">
        <f>IF(ISNUMBER(SEARCH(CJ$119,'Reference Score Calculation'!$P132)),10,IF(ISNUMBER(SEARCH(CJ$119,'Reference Score Calculation'!$Q132)),7,IF(ISNUMBER(SEARCH(CJ$119,'Reference Score Calculation'!$R132)),5,IF(ISNUMBER(SEARCH($BV$108,'Reference Score Calculation'!$P132)),10,IF(ISNUMBER(SEARCH($BV$108,'Reference Score Calculation'!$Q132)),7,5)))))</f>
        <v>5</v>
      </c>
      <c r="CK155" s="455">
        <f>IF(ISNUMBER(SEARCH(CK$119,'Reference Score Calculation'!$P132)),10,IF(ISNUMBER(SEARCH(CK$119,'Reference Score Calculation'!$Q132)),7,IF(ISNUMBER(SEARCH(CK$119,'Reference Score Calculation'!$R132)),5,IF(ISNUMBER(SEARCH($BV$108,'Reference Score Calculation'!$P132)),10,IF(ISNUMBER(SEARCH($BV$108,'Reference Score Calculation'!$Q132)),7,5)))))</f>
        <v>5</v>
      </c>
      <c r="CL155" s="455">
        <f>IF(ISNUMBER(SEARCH(CL$119,'Reference Score Calculation'!$P132)),10,IF(ISNUMBER(SEARCH(CL$119,'Reference Score Calculation'!$Q132)),7,IF(ISNUMBER(SEARCH(CL$119,'Reference Score Calculation'!$R132)),5,IF(ISNUMBER(SEARCH($BV$108,'Reference Score Calculation'!$P132)),10,IF(ISNUMBER(SEARCH($BV$108,'Reference Score Calculation'!$Q132)),7,5)))))</f>
        <v>5</v>
      </c>
      <c r="CM155" s="455">
        <f>IF(ISNUMBER(SEARCH(CM$119,'Reference Score Calculation'!$P132)),10,IF(ISNUMBER(SEARCH(CM$119,'Reference Score Calculation'!$Q132)),7,IF(ISNUMBER(SEARCH(CM$119,'Reference Score Calculation'!$R132)),5,IF(ISNUMBER(SEARCH($BV$108,'Reference Score Calculation'!$P132)),10,IF(ISNUMBER(SEARCH($BV$108,'Reference Score Calculation'!$Q132)),7,5)))))</f>
        <v>5</v>
      </c>
      <c r="CN155" s="455">
        <f>IF(ISNUMBER(SEARCH(CN$119,'Reference Score Calculation'!$P132)),10,IF(ISNUMBER(SEARCH(CN$119,'Reference Score Calculation'!$Q132)),7,IF(ISNUMBER(SEARCH(CN$119,'Reference Score Calculation'!$R132)),5,IF(ISNUMBER(SEARCH($BV$108,'Reference Score Calculation'!$P132)),10,IF(ISNUMBER(SEARCH($BV$108,'Reference Score Calculation'!$Q132)),7,5)))))</f>
        <v>5</v>
      </c>
      <c r="CO155" s="455">
        <f>IF(ISNUMBER(SEARCH(CO$119,'Reference Score Calculation'!$P132)),10,IF(ISNUMBER(SEARCH(CO$119,'Reference Score Calculation'!$Q132)),7,IF(ISNUMBER(SEARCH(CO$119,'Reference Score Calculation'!$R132)),5,IF(ISNUMBER(SEARCH($BV$108,'Reference Score Calculation'!$P132)),10,IF(ISNUMBER(SEARCH($BV$108,'Reference Score Calculation'!$Q132)),7,5)))))</f>
        <v>5</v>
      </c>
      <c r="CP155" s="455">
        <f>IF(ISNUMBER(SEARCH(CP$119,'Reference Score Calculation'!$P132)),10,IF(ISNUMBER(SEARCH(CP$119,'Reference Score Calculation'!$Q132)),7,IF(ISNUMBER(SEARCH(CP$119,'Reference Score Calculation'!$R132)),5,IF(ISNUMBER(SEARCH($BV$108,'Reference Score Calculation'!$P132)),10,IF(ISNUMBER(SEARCH($BV$108,'Reference Score Calculation'!$Q132)),7,5)))))</f>
        <v>5</v>
      </c>
      <c r="CQ155" s="455">
        <f>IF(ISNUMBER(SEARCH(CQ$119,'Reference Score Calculation'!$P132)),10,IF(ISNUMBER(SEARCH(CQ$119,'Reference Score Calculation'!$Q132)),7,IF(ISNUMBER(SEARCH(CQ$119,'Reference Score Calculation'!$R132)),5,IF(ISNUMBER(SEARCH($BV$108,'Reference Score Calculation'!$P132)),10,IF(ISNUMBER(SEARCH($BV$108,'Reference Score Calculation'!$Q132)),7,5)))))</f>
        <v>5</v>
      </c>
      <c r="CR155" s="455">
        <f>IF(ISNUMBER(SEARCH(CR$119,'Reference Score Calculation'!$P132)),10,IF(ISNUMBER(SEARCH(CR$119,'Reference Score Calculation'!$Q132)),7,IF(ISNUMBER(SEARCH(CR$119,'Reference Score Calculation'!$R132)),5,IF(ISNUMBER(SEARCH($BV$108,'Reference Score Calculation'!$P132)),10,IF(ISNUMBER(SEARCH($BV$108,'Reference Score Calculation'!$Q132)),7,5)))))</f>
        <v>5</v>
      </c>
      <c r="CS155" s="455">
        <f>IF(ISNUMBER(SEARCH(CS$119,'Reference Score Calculation'!$P132)),10,IF(ISNUMBER(SEARCH(CS$119,'Reference Score Calculation'!$Q132)),7,IF(ISNUMBER(SEARCH(CS$119,'Reference Score Calculation'!$R132)),5,IF(ISNUMBER(SEARCH($BV$108,'Reference Score Calculation'!$P132)),10,IF(ISNUMBER(SEARCH($BV$108,'Reference Score Calculation'!$Q132)),7,5)))))</f>
        <v>5</v>
      </c>
      <c r="CT155" s="455">
        <f>IF(ISNUMBER(SEARCH(CT$119,'Reference Score Calculation'!$P132)),10,IF(ISNUMBER(SEARCH(CT$119,'Reference Score Calculation'!$Q132)),7,IF(ISNUMBER(SEARCH(CT$119,'Reference Score Calculation'!$R132)),5,IF(ISNUMBER(SEARCH($BV$108,'Reference Score Calculation'!$P132)),10,IF(ISNUMBER(SEARCH($BV$108,'Reference Score Calculation'!$Q132)),7,5)))))</f>
        <v>5</v>
      </c>
      <c r="CU155" s="455">
        <f>IF(ISNUMBER(SEARCH(CU$119,'Reference Score Calculation'!$P132)),10,IF(ISNUMBER(SEARCH(CU$119,'Reference Score Calculation'!$Q132)),7,IF(ISNUMBER(SEARCH(CU$119,'Reference Score Calculation'!$R132)),5,IF(ISNUMBER(SEARCH($BV$108,'Reference Score Calculation'!$P132)),10,IF(ISNUMBER(SEARCH($BV$108,'Reference Score Calculation'!$Q132)),7,5)))))</f>
        <v>5</v>
      </c>
      <c r="CV155" s="455">
        <f>IF(ISNUMBER(SEARCH(CV$119,'Reference Score Calculation'!$P132)),10,IF(ISNUMBER(SEARCH(CV$119,'Reference Score Calculation'!$Q132)),7,IF(ISNUMBER(SEARCH(CV$119,'Reference Score Calculation'!$R132)),5,IF(ISNUMBER(SEARCH($BV$108,'Reference Score Calculation'!$P132)),10,IF(ISNUMBER(SEARCH($BV$108,'Reference Score Calculation'!$Q132)),7,5)))))</f>
        <v>5</v>
      </c>
      <c r="CW155" s="185"/>
      <c r="CX155" s="185"/>
      <c r="CY155" s="185"/>
    </row>
    <row r="156" spans="1:103">
      <c r="A156" s="117" t="s">
        <v>1126</v>
      </c>
      <c r="B156" s="459" t="str">
        <f>'Reference Score Calculation'!B133</f>
        <v>JS3569</v>
      </c>
      <c r="C156" s="117" t="str">
        <f>'Reference Score Calculation'!E133</f>
        <v>設計學(榮譽)文學士組合課程 (廣告設計/環境設計/信息設計/交互設計/室内設計/媒體設計/產品設計/服務創新設計/社會創新設計)</v>
      </c>
      <c r="D156" s="2" t="e">
        <f>'Reference Score Calculation'!#REF!</f>
        <v>#REF!</v>
      </c>
      <c r="E156" s="131" t="str">
        <f>'Reference Score Calculation'!F133</f>
        <v>Best 5</v>
      </c>
      <c r="F156" s="131"/>
      <c r="G156" s="117" t="str">
        <f>入學要求!AB142</f>
        <v>v</v>
      </c>
      <c r="H156" s="117" t="str">
        <f>入學要求!AC142</f>
        <v>E</v>
      </c>
      <c r="I156" s="117" t="str">
        <f>入學要求!AD142</f>
        <v>v</v>
      </c>
      <c r="J156" s="117">
        <f t="shared" si="211"/>
        <v>8.5E-9</v>
      </c>
      <c r="K156" s="117">
        <f t="shared" si="244"/>
        <v>10</v>
      </c>
      <c r="L156" s="117">
        <f t="shared" si="244"/>
        <v>10</v>
      </c>
      <c r="M156" s="117">
        <f t="shared" si="244"/>
        <v>10</v>
      </c>
      <c r="N156" s="117">
        <f t="shared" si="244"/>
        <v>0</v>
      </c>
      <c r="O156" s="117">
        <f t="shared" si="244"/>
        <v>5</v>
      </c>
      <c r="P156" s="117">
        <f t="shared" si="244"/>
        <v>0</v>
      </c>
      <c r="Q156" s="117">
        <f t="shared" si="244"/>
        <v>0</v>
      </c>
      <c r="R156" s="117">
        <f t="shared" si="244"/>
        <v>0</v>
      </c>
      <c r="S156" s="117">
        <f t="shared" si="244"/>
        <v>0</v>
      </c>
      <c r="T156" s="117">
        <v>5</v>
      </c>
      <c r="V156" s="117">
        <f t="shared" si="224"/>
        <v>1.0000000000000001E-9</v>
      </c>
      <c r="W156" s="117">
        <f t="shared" si="225"/>
        <v>2.0000000000000001E-9</v>
      </c>
      <c r="X156" s="117">
        <f t="shared" si="226"/>
        <v>3E-9</v>
      </c>
      <c r="Z156" s="117">
        <f t="shared" si="227"/>
        <v>2.5000000000000001E-9</v>
      </c>
      <c r="AA156" s="117">
        <f t="shared" si="228"/>
        <v>0</v>
      </c>
      <c r="AB156" s="117">
        <f t="shared" si="229"/>
        <v>0</v>
      </c>
      <c r="AC156" s="117">
        <f t="shared" si="230"/>
        <v>0</v>
      </c>
      <c r="AD156" s="117">
        <f t="shared" si="231"/>
        <v>0</v>
      </c>
      <c r="AE156" s="117">
        <f t="shared" si="232"/>
        <v>0</v>
      </c>
      <c r="AF156" s="117">
        <f t="shared" si="213"/>
        <v>1.0000000000000001E-9</v>
      </c>
      <c r="AG156" s="117">
        <f t="shared" si="214"/>
        <v>2.0000000000000001E-9</v>
      </c>
      <c r="AH156" s="117">
        <f t="shared" si="215"/>
        <v>3E-9</v>
      </c>
      <c r="AI156" s="117">
        <f t="shared" si="216"/>
        <v>0</v>
      </c>
      <c r="AJ156" s="117">
        <f t="shared" si="217"/>
        <v>2.5000000000000001E-9</v>
      </c>
      <c r="AK156" s="117">
        <f t="shared" si="218"/>
        <v>0</v>
      </c>
      <c r="AL156" s="117">
        <f t="shared" si="219"/>
        <v>0</v>
      </c>
      <c r="AM156" s="117">
        <f t="shared" si="220"/>
        <v>0</v>
      </c>
      <c r="AN156" s="117">
        <f t="shared" si="221"/>
        <v>0</v>
      </c>
      <c r="AO156" s="117">
        <f t="shared" si="222"/>
        <v>0</v>
      </c>
      <c r="AP156" s="117" t="b">
        <f t="shared" si="233"/>
        <v>1</v>
      </c>
      <c r="AQ156" s="117" t="b">
        <f t="shared" si="234"/>
        <v>1</v>
      </c>
      <c r="AR156" s="117" t="b">
        <f t="shared" si="235"/>
        <v>1</v>
      </c>
      <c r="AT156" s="117" t="b">
        <f t="shared" si="236"/>
        <v>1</v>
      </c>
      <c r="AU156" s="117" t="b">
        <f t="shared" si="237"/>
        <v>0</v>
      </c>
      <c r="AV156" s="117" t="b">
        <f t="shared" si="238"/>
        <v>0</v>
      </c>
      <c r="AW156" s="117" t="b">
        <f t="shared" si="239"/>
        <v>0</v>
      </c>
      <c r="AX156" s="117" t="b">
        <f t="shared" si="240"/>
        <v>0</v>
      </c>
      <c r="AY156" s="117" t="b">
        <f t="shared" si="241"/>
        <v>0</v>
      </c>
      <c r="BA156" s="2"/>
      <c r="BB156" s="2"/>
      <c r="BC156" s="2"/>
      <c r="BD156" s="2"/>
      <c r="BE156" s="2"/>
      <c r="BF156" s="2"/>
      <c r="BG156" s="2"/>
      <c r="BH156" s="2"/>
      <c r="BI156" s="2"/>
      <c r="BJ156" s="2"/>
      <c r="BK156" s="2"/>
      <c r="BL156" s="2"/>
      <c r="BM156" s="2"/>
      <c r="BN156" s="2"/>
      <c r="BO156" s="2"/>
      <c r="BP156" s="2"/>
      <c r="BQ156" s="2"/>
      <c r="BR156" s="2"/>
      <c r="BS156" s="185" t="str">
        <f>'Reference Score Calculation'!B133</f>
        <v>JS3569</v>
      </c>
      <c r="BT156" s="185"/>
      <c r="BU156" s="455">
        <f>IF(ISNUMBER(SEARCH(BU$119,'Reference Score Calculation'!$P133)),10,IF(ISNUMBER(SEARCH(BU$119,'Reference Score Calculation'!$Q133)),7,IF(ISNUMBER(SEARCH(BU$119,'Reference Score Calculation'!$R133)),5,IF(ISNUMBER(SEARCH($BV$108,'Reference Score Calculation'!$P133)),10,IF(ISNUMBER(SEARCH($BV$108,'Reference Score Calculation'!$Q133)),7,5)))))</f>
        <v>10</v>
      </c>
      <c r="BV156" s="455">
        <f>IF(ISNUMBER(SEARCH(BV$119,'Reference Score Calculation'!$P133)),10,IF(ISNUMBER(SEARCH(BV$119,'Reference Score Calculation'!$Q133)),7,IF(ISNUMBER(SEARCH(BV$119,'Reference Score Calculation'!$R133)),5,IF(ISNUMBER(SEARCH($BV$108,'Reference Score Calculation'!$P133)),10,IF(ISNUMBER(SEARCH($BV$108,'Reference Score Calculation'!$Q133)),7,5)))))</f>
        <v>10</v>
      </c>
      <c r="BW156" s="455">
        <f>IF(ISNUMBER(SEARCH(BW$119,'Reference Score Calculation'!$P133)),10,IF(ISNUMBER(SEARCH(BW$119,'Reference Score Calculation'!$Q133)),7,IF(ISNUMBER(SEARCH(BW$119,'Reference Score Calculation'!$R133)),5,IF(ISNUMBER(SEARCH($BV$108,'Reference Score Calculation'!$P133)),10,IF(ISNUMBER(SEARCH($BV$108,'Reference Score Calculation'!$Q133)),7,5)))))</f>
        <v>10</v>
      </c>
      <c r="BX156" s="455">
        <f>IF(ISNUMBER(SEARCH(BX$119,'Reference Score Calculation'!$P133)),10,IF(ISNUMBER(SEARCH(BX$119,'Reference Score Calculation'!$Q133)),7,IF(ISNUMBER(SEARCH(BX$119,'Reference Score Calculation'!$R133)),5,IF(ISNUMBER(SEARCH($BV$108,'Reference Score Calculation'!$P133)),10,IF(ISNUMBER(SEARCH($BV$108,'Reference Score Calculation'!$Q133)),7,5)))))</f>
        <v>5</v>
      </c>
      <c r="BY156" s="455">
        <f>IF(ISNUMBER(SEARCH(BY$119,'Reference Score Calculation'!$P133)),10,IF(ISNUMBER(SEARCH(BY$119,'Reference Score Calculation'!$Q133)),7,IF(ISNUMBER(SEARCH(BY$119,'Reference Score Calculation'!$R133)),5,IF(ISNUMBER(SEARCH($BV$108,'Reference Score Calculation'!$P133)),10,IF(ISNUMBER(SEARCH($BV$108,'Reference Score Calculation'!$Q133)),7,5)))))</f>
        <v>5</v>
      </c>
      <c r="BZ156" s="455">
        <f>IF(ISNUMBER(SEARCH(BZ$119,'Reference Score Calculation'!$P133)),10,IF(ISNUMBER(SEARCH(BZ$119,'Reference Score Calculation'!$Q133)),7,IF(ISNUMBER(SEARCH(BZ$119,'Reference Score Calculation'!$R133)),5,IF(ISNUMBER(SEARCH($BV$108,'Reference Score Calculation'!$P133)),10,IF(ISNUMBER(SEARCH($BV$108,'Reference Score Calculation'!$Q133)),7,5)))))</f>
        <v>5</v>
      </c>
      <c r="CA156" s="455">
        <f>IF(ISNUMBER(SEARCH(CA$119,'Reference Score Calculation'!$P133)),10,IF(ISNUMBER(SEARCH(CA$119,'Reference Score Calculation'!$Q133)),7,IF(ISNUMBER(SEARCH(CA$119,'Reference Score Calculation'!$R133)),5,IF(ISNUMBER(SEARCH($BV$108,'Reference Score Calculation'!$P133)),10,IF(ISNUMBER(SEARCH($BV$108,'Reference Score Calculation'!$Q133)),7,5)))))</f>
        <v>5</v>
      </c>
      <c r="CB156" s="455">
        <f>IF(ISNUMBER(SEARCH(CB$119,'Reference Score Calculation'!$P133)),10,IF(ISNUMBER(SEARCH(CB$119,'Reference Score Calculation'!$Q133)),7,IF(ISNUMBER(SEARCH(CB$119,'Reference Score Calculation'!$R133)),5,IF(ISNUMBER(SEARCH($BV$108,'Reference Score Calculation'!$P133)),10,IF(ISNUMBER(SEARCH($BV$108,'Reference Score Calculation'!$Q133)),7,5)))))</f>
        <v>5</v>
      </c>
      <c r="CC156" s="455">
        <f>IF(ISNUMBER(SEARCH(CC$119,'Reference Score Calculation'!$P133)),10,IF(ISNUMBER(SEARCH(CC$119,'Reference Score Calculation'!$Q133)),7,IF(ISNUMBER(SEARCH(CC$119,'Reference Score Calculation'!$R133)),5,IF(ISNUMBER(SEARCH($BV$108,'Reference Score Calculation'!$P133)),10,IF(ISNUMBER(SEARCH($BV$108,'Reference Score Calculation'!$Q133)),7,5)))))</f>
        <v>7</v>
      </c>
      <c r="CD156" s="455">
        <f>IF(ISNUMBER(SEARCH(CD$119,'Reference Score Calculation'!$P133)),10,IF(ISNUMBER(SEARCH(CD$119,'Reference Score Calculation'!$Q133)),7,IF(ISNUMBER(SEARCH(CD$119,'Reference Score Calculation'!$R133)),5,IF(ISNUMBER(SEARCH($BV$108,'Reference Score Calculation'!$P133)),10,IF(ISNUMBER(SEARCH($BV$108,'Reference Score Calculation'!$Q133)),7,5)))))</f>
        <v>5</v>
      </c>
      <c r="CE156" s="455">
        <f>IF(ISNUMBER(SEARCH(CE$119,'Reference Score Calculation'!$P133)),10,IF(ISNUMBER(SEARCH(CE$119,'Reference Score Calculation'!$Q133)),7,IF(ISNUMBER(SEARCH(CE$119,'Reference Score Calculation'!$R133)),5,IF(ISNUMBER(SEARCH($BV$108,'Reference Score Calculation'!$P133)),10,IF(ISNUMBER(SEARCH($BV$108,'Reference Score Calculation'!$Q133)),7,5)))))</f>
        <v>7</v>
      </c>
      <c r="CF156" s="455">
        <f>IF(ISNUMBER(SEARCH(CF$119,'Reference Score Calculation'!$P133)),10,IF(ISNUMBER(SEARCH(CF$119,'Reference Score Calculation'!$Q133)),7,IF(ISNUMBER(SEARCH(CF$119,'Reference Score Calculation'!$R133)),5,IF(ISNUMBER(SEARCH($BV$108,'Reference Score Calculation'!$P133)),10,IF(ISNUMBER(SEARCH($BV$108,'Reference Score Calculation'!$Q133)),7,5)))))</f>
        <v>5</v>
      </c>
      <c r="CG156" s="455">
        <f>IF(ISNUMBER(SEARCH(CG$119,'Reference Score Calculation'!$P133)),10,IF(ISNUMBER(SEARCH(CG$119,'Reference Score Calculation'!$Q133)),7,IF(ISNUMBER(SEARCH(CG$119,'Reference Score Calculation'!$R133)),5,IF(ISNUMBER(SEARCH($BV$108,'Reference Score Calculation'!$P133)),10,IF(ISNUMBER(SEARCH($BV$108,'Reference Score Calculation'!$Q133)),7,5)))))</f>
        <v>7</v>
      </c>
      <c r="CH156" s="455">
        <f>IF(ISNUMBER(SEARCH(CH$119,'Reference Score Calculation'!$P133)),10,IF(ISNUMBER(SEARCH(CH$119,'Reference Score Calculation'!$Q133)),7,IF(ISNUMBER(SEARCH(CH$119,'Reference Score Calculation'!$R133)),5,IF(ISNUMBER(SEARCH($BV$108,'Reference Score Calculation'!$P133)),10,IF(ISNUMBER(SEARCH($BV$108,'Reference Score Calculation'!$Q133)),7,5)))))</f>
        <v>5</v>
      </c>
      <c r="CI156" s="455">
        <f>IF(ISNUMBER(SEARCH(CI$119,'Reference Score Calculation'!$P133)),10,IF(ISNUMBER(SEARCH(CI$119,'Reference Score Calculation'!$Q133)),7,IF(ISNUMBER(SEARCH(CI$119,'Reference Score Calculation'!$R133)),5,IF(ISNUMBER(SEARCH($BV$108,'Reference Score Calculation'!$P133)),10,IF(ISNUMBER(SEARCH($BV$108,'Reference Score Calculation'!$Q133)),7,5)))))</f>
        <v>10</v>
      </c>
      <c r="CJ156" s="455">
        <f>IF(ISNUMBER(SEARCH(CJ$119,'Reference Score Calculation'!$P133)),10,IF(ISNUMBER(SEARCH(CJ$119,'Reference Score Calculation'!$Q133)),7,IF(ISNUMBER(SEARCH(CJ$119,'Reference Score Calculation'!$R133)),5,IF(ISNUMBER(SEARCH($BV$108,'Reference Score Calculation'!$P133)),10,IF(ISNUMBER(SEARCH($BV$108,'Reference Score Calculation'!$Q133)),7,5)))))</f>
        <v>5</v>
      </c>
      <c r="CK156" s="455">
        <f>IF(ISNUMBER(SEARCH(CK$119,'Reference Score Calculation'!$P133)),10,IF(ISNUMBER(SEARCH(CK$119,'Reference Score Calculation'!$Q133)),7,IF(ISNUMBER(SEARCH(CK$119,'Reference Score Calculation'!$R133)),5,IF(ISNUMBER(SEARCH($BV$108,'Reference Score Calculation'!$P133)),10,IF(ISNUMBER(SEARCH($BV$108,'Reference Score Calculation'!$Q133)),7,5)))))</f>
        <v>5</v>
      </c>
      <c r="CL156" s="455">
        <f>IF(ISNUMBER(SEARCH(CL$119,'Reference Score Calculation'!$P133)),10,IF(ISNUMBER(SEARCH(CL$119,'Reference Score Calculation'!$Q133)),7,IF(ISNUMBER(SEARCH(CL$119,'Reference Score Calculation'!$R133)),5,IF(ISNUMBER(SEARCH($BV$108,'Reference Score Calculation'!$P133)),10,IF(ISNUMBER(SEARCH($BV$108,'Reference Score Calculation'!$Q133)),7,5)))))</f>
        <v>5</v>
      </c>
      <c r="CM156" s="455">
        <f>IF(ISNUMBER(SEARCH(CM$119,'Reference Score Calculation'!$P133)),10,IF(ISNUMBER(SEARCH(CM$119,'Reference Score Calculation'!$Q133)),7,IF(ISNUMBER(SEARCH(CM$119,'Reference Score Calculation'!$R133)),5,IF(ISNUMBER(SEARCH($BV$108,'Reference Score Calculation'!$P133)),10,IF(ISNUMBER(SEARCH($BV$108,'Reference Score Calculation'!$Q133)),7,5)))))</f>
        <v>5</v>
      </c>
      <c r="CN156" s="455">
        <f>IF(ISNUMBER(SEARCH(CN$119,'Reference Score Calculation'!$P133)),10,IF(ISNUMBER(SEARCH(CN$119,'Reference Score Calculation'!$Q133)),7,IF(ISNUMBER(SEARCH(CN$119,'Reference Score Calculation'!$R133)),5,IF(ISNUMBER(SEARCH($BV$108,'Reference Score Calculation'!$P133)),10,IF(ISNUMBER(SEARCH($BV$108,'Reference Score Calculation'!$Q133)),7,5)))))</f>
        <v>5</v>
      </c>
      <c r="CO156" s="455">
        <f>IF(ISNUMBER(SEARCH(CO$119,'Reference Score Calculation'!$P133)),10,IF(ISNUMBER(SEARCH(CO$119,'Reference Score Calculation'!$Q133)),7,IF(ISNUMBER(SEARCH(CO$119,'Reference Score Calculation'!$R133)),5,IF(ISNUMBER(SEARCH($BV$108,'Reference Score Calculation'!$P133)),10,IF(ISNUMBER(SEARCH($BV$108,'Reference Score Calculation'!$Q133)),7,5)))))</f>
        <v>5</v>
      </c>
      <c r="CP156" s="455">
        <f>IF(ISNUMBER(SEARCH(CP$119,'Reference Score Calculation'!$P133)),10,IF(ISNUMBER(SEARCH(CP$119,'Reference Score Calculation'!$Q133)),7,IF(ISNUMBER(SEARCH(CP$119,'Reference Score Calculation'!$R133)),5,IF(ISNUMBER(SEARCH($BV$108,'Reference Score Calculation'!$P133)),10,IF(ISNUMBER(SEARCH($BV$108,'Reference Score Calculation'!$Q133)),7,5)))))</f>
        <v>7</v>
      </c>
      <c r="CQ156" s="455">
        <f>IF(ISNUMBER(SEARCH(CQ$119,'Reference Score Calculation'!$P133)),10,IF(ISNUMBER(SEARCH(CQ$119,'Reference Score Calculation'!$Q133)),7,IF(ISNUMBER(SEARCH(CQ$119,'Reference Score Calculation'!$R133)),5,IF(ISNUMBER(SEARCH($BV$108,'Reference Score Calculation'!$P133)),10,IF(ISNUMBER(SEARCH($BV$108,'Reference Score Calculation'!$Q133)),7,5)))))</f>
        <v>5</v>
      </c>
      <c r="CR156" s="455">
        <f>IF(ISNUMBER(SEARCH(CR$119,'Reference Score Calculation'!$P133)),10,IF(ISNUMBER(SEARCH(CR$119,'Reference Score Calculation'!$Q133)),7,IF(ISNUMBER(SEARCH(CR$119,'Reference Score Calculation'!$R133)),5,IF(ISNUMBER(SEARCH($BV$108,'Reference Score Calculation'!$P133)),10,IF(ISNUMBER(SEARCH($BV$108,'Reference Score Calculation'!$Q133)),7,5)))))</f>
        <v>7</v>
      </c>
      <c r="CS156" s="455">
        <f>IF(ISNUMBER(SEARCH(CS$119,'Reference Score Calculation'!$P133)),10,IF(ISNUMBER(SEARCH(CS$119,'Reference Score Calculation'!$Q133)),7,IF(ISNUMBER(SEARCH(CS$119,'Reference Score Calculation'!$R133)),5,IF(ISNUMBER(SEARCH($BV$108,'Reference Score Calculation'!$P133)),10,IF(ISNUMBER(SEARCH($BV$108,'Reference Score Calculation'!$Q133)),7,5)))))</f>
        <v>10</v>
      </c>
      <c r="CT156" s="455">
        <f>IF(ISNUMBER(SEARCH(CT$119,'Reference Score Calculation'!$P133)),10,IF(ISNUMBER(SEARCH(CT$119,'Reference Score Calculation'!$Q133)),7,IF(ISNUMBER(SEARCH(CT$119,'Reference Score Calculation'!$R133)),5,IF(ISNUMBER(SEARCH($BV$108,'Reference Score Calculation'!$P133)),10,IF(ISNUMBER(SEARCH($BV$108,'Reference Score Calculation'!$Q133)),7,5)))))</f>
        <v>10</v>
      </c>
      <c r="CU156" s="455">
        <f>IF(ISNUMBER(SEARCH(CU$119,'Reference Score Calculation'!$P133)),10,IF(ISNUMBER(SEARCH(CU$119,'Reference Score Calculation'!$Q133)),7,IF(ISNUMBER(SEARCH(CU$119,'Reference Score Calculation'!$R133)),5,IF(ISNUMBER(SEARCH($BV$108,'Reference Score Calculation'!$P133)),10,IF(ISNUMBER(SEARCH($BV$108,'Reference Score Calculation'!$Q133)),7,5)))))</f>
        <v>5</v>
      </c>
      <c r="CV156" s="455">
        <f>IF(ISNUMBER(SEARCH(CV$119,'Reference Score Calculation'!$P133)),10,IF(ISNUMBER(SEARCH(CV$119,'Reference Score Calculation'!$Q133)),7,IF(ISNUMBER(SEARCH(CV$119,'Reference Score Calculation'!$R133)),5,IF(ISNUMBER(SEARCH($BV$108,'Reference Score Calculation'!$P133)),10,IF(ISNUMBER(SEARCH($BV$108,'Reference Score Calculation'!$Q133)),7,5)))))</f>
        <v>7</v>
      </c>
      <c r="CW156" s="185"/>
      <c r="CX156" s="185"/>
      <c r="CY156" s="185"/>
    </row>
    <row r="157" spans="1:103">
      <c r="A157" s="117" t="s">
        <v>1134</v>
      </c>
      <c r="B157" s="459" t="str">
        <f>'Reference Score Calculation'!B134</f>
        <v>JS3612</v>
      </c>
      <c r="C157" s="117" t="str">
        <f>'Reference Score Calculation'!E134</f>
        <v>放射學(榮譽)理學士</v>
      </c>
      <c r="D157" s="2" t="e">
        <f>'Reference Score Calculation'!#REF!</f>
        <v>#REF!</v>
      </c>
      <c r="E157" s="131" t="str">
        <f>'Reference Score Calculation'!F134</f>
        <v>Best 5</v>
      </c>
      <c r="F157" s="131"/>
      <c r="G157" s="117" t="str">
        <f>入學要求!AB143</f>
        <v>v</v>
      </c>
      <c r="H157" s="117" t="str">
        <f>入學要求!AC143</f>
        <v>E</v>
      </c>
      <c r="I157" s="117" t="str">
        <f>入學要求!AD143</f>
        <v>NO</v>
      </c>
      <c r="J157" s="117">
        <f t="shared" si="211"/>
        <v>9.5000000000000007E-9</v>
      </c>
      <c r="K157" s="117">
        <f t="shared" si="244"/>
        <v>10</v>
      </c>
      <c r="L157" s="117">
        <f t="shared" si="244"/>
        <v>10</v>
      </c>
      <c r="M157" s="117">
        <f t="shared" si="244"/>
        <v>10</v>
      </c>
      <c r="N157" s="117">
        <f t="shared" si="244"/>
        <v>0</v>
      </c>
      <c r="O157" s="117">
        <f t="shared" si="244"/>
        <v>7</v>
      </c>
      <c r="P157" s="117">
        <f t="shared" si="244"/>
        <v>0</v>
      </c>
      <c r="Q157" s="117">
        <f t="shared" si="244"/>
        <v>0</v>
      </c>
      <c r="R157" s="117">
        <f t="shared" si="244"/>
        <v>0</v>
      </c>
      <c r="S157" s="117">
        <f t="shared" si="244"/>
        <v>0</v>
      </c>
      <c r="T157" s="117">
        <v>5</v>
      </c>
      <c r="V157" s="117">
        <f t="shared" si="224"/>
        <v>1.0000000000000001E-9</v>
      </c>
      <c r="W157" s="117">
        <f t="shared" si="225"/>
        <v>2.0000000000000001E-9</v>
      </c>
      <c r="X157" s="117">
        <f t="shared" si="226"/>
        <v>3E-9</v>
      </c>
      <c r="Z157" s="117">
        <f t="shared" si="227"/>
        <v>3.5000000000000003E-9</v>
      </c>
      <c r="AA157" s="117">
        <f t="shared" si="228"/>
        <v>0</v>
      </c>
      <c r="AB157" s="117">
        <f t="shared" si="229"/>
        <v>0</v>
      </c>
      <c r="AC157" s="117">
        <f t="shared" si="230"/>
        <v>0</v>
      </c>
      <c r="AD157" s="117">
        <f t="shared" si="231"/>
        <v>0</v>
      </c>
      <c r="AE157" s="117">
        <f t="shared" si="232"/>
        <v>0</v>
      </c>
      <c r="AF157" s="117">
        <f t="shared" si="213"/>
        <v>1.0000000000000001E-9</v>
      </c>
      <c r="AG157" s="117">
        <f t="shared" si="214"/>
        <v>2.0000000000000001E-9</v>
      </c>
      <c r="AH157" s="117">
        <f t="shared" si="215"/>
        <v>3E-9</v>
      </c>
      <c r="AI157" s="117">
        <f t="shared" si="216"/>
        <v>0</v>
      </c>
      <c r="AJ157" s="117">
        <f t="shared" si="217"/>
        <v>3.5000000000000003E-9</v>
      </c>
      <c r="AK157" s="117">
        <f t="shared" si="218"/>
        <v>0</v>
      </c>
      <c r="AL157" s="117">
        <f t="shared" si="219"/>
        <v>0</v>
      </c>
      <c r="AM157" s="117">
        <f t="shared" si="220"/>
        <v>0</v>
      </c>
      <c r="AN157" s="117">
        <f t="shared" si="221"/>
        <v>0</v>
      </c>
      <c r="AO157" s="117">
        <f t="shared" si="222"/>
        <v>0</v>
      </c>
      <c r="AP157" s="117" t="b">
        <f t="shared" si="233"/>
        <v>1</v>
      </c>
      <c r="AQ157" s="117" t="b">
        <f t="shared" si="234"/>
        <v>1</v>
      </c>
      <c r="AR157" s="117" t="b">
        <f t="shared" si="235"/>
        <v>1</v>
      </c>
      <c r="AT157" s="117" t="b">
        <f t="shared" si="236"/>
        <v>1</v>
      </c>
      <c r="AU157" s="117" t="b">
        <f t="shared" si="237"/>
        <v>0</v>
      </c>
      <c r="AV157" s="117" t="b">
        <f t="shared" si="238"/>
        <v>0</v>
      </c>
      <c r="AW157" s="117" t="b">
        <f t="shared" si="239"/>
        <v>0</v>
      </c>
      <c r="AX157" s="117" t="b">
        <f t="shared" si="240"/>
        <v>0</v>
      </c>
      <c r="AY157" s="117" t="b">
        <f t="shared" si="241"/>
        <v>0</v>
      </c>
      <c r="BA157" s="2"/>
      <c r="BB157" s="2"/>
      <c r="BC157" s="2"/>
      <c r="BD157" s="2"/>
      <c r="BE157" s="2"/>
      <c r="BF157" s="2"/>
      <c r="BG157" s="2"/>
      <c r="BH157" s="2"/>
      <c r="BI157" s="2"/>
      <c r="BJ157" s="2"/>
      <c r="BK157" s="2"/>
      <c r="BL157" s="2"/>
      <c r="BM157" s="2"/>
      <c r="BN157" s="2"/>
      <c r="BO157" s="2"/>
      <c r="BP157" s="2"/>
      <c r="BQ157" s="2"/>
      <c r="BR157" s="2"/>
      <c r="BS157" s="185" t="str">
        <f>'Reference Score Calculation'!B134</f>
        <v>JS3612</v>
      </c>
      <c r="BT157" s="185"/>
      <c r="BU157" s="455">
        <f>IF(ISNUMBER(SEARCH(BU$119,'Reference Score Calculation'!$P134)),10,IF(ISNUMBER(SEARCH(BU$119,'Reference Score Calculation'!$Q134)),7,IF(ISNUMBER(SEARCH(BU$119,'Reference Score Calculation'!$R134)),5,IF(ISNUMBER(SEARCH($BV$108,'Reference Score Calculation'!$P134)),10,IF(ISNUMBER(SEARCH($BV$108,'Reference Score Calculation'!$Q134)),7,5)))))</f>
        <v>10</v>
      </c>
      <c r="BV157" s="455">
        <f>IF(ISNUMBER(SEARCH(BV$119,'Reference Score Calculation'!$P134)),10,IF(ISNUMBER(SEARCH(BV$119,'Reference Score Calculation'!$Q134)),7,IF(ISNUMBER(SEARCH(BV$119,'Reference Score Calculation'!$R134)),5,IF(ISNUMBER(SEARCH($BV$108,'Reference Score Calculation'!$P134)),10,IF(ISNUMBER(SEARCH($BV$108,'Reference Score Calculation'!$Q134)),7,5)))))</f>
        <v>10</v>
      </c>
      <c r="BW157" s="455">
        <f>IF(ISNUMBER(SEARCH(BW$119,'Reference Score Calculation'!$P134)),10,IF(ISNUMBER(SEARCH(BW$119,'Reference Score Calculation'!$Q134)),7,IF(ISNUMBER(SEARCH(BW$119,'Reference Score Calculation'!$R134)),5,IF(ISNUMBER(SEARCH($BV$108,'Reference Score Calculation'!$P134)),10,IF(ISNUMBER(SEARCH($BV$108,'Reference Score Calculation'!$Q134)),7,5)))))</f>
        <v>10</v>
      </c>
      <c r="BX157" s="455">
        <f>IF(ISNUMBER(SEARCH(BX$119,'Reference Score Calculation'!$P134)),10,IF(ISNUMBER(SEARCH(BX$119,'Reference Score Calculation'!$Q134)),7,IF(ISNUMBER(SEARCH(BX$119,'Reference Score Calculation'!$R134)),5,IF(ISNUMBER(SEARCH($BV$108,'Reference Score Calculation'!$P134)),10,IF(ISNUMBER(SEARCH($BV$108,'Reference Score Calculation'!$Q134)),7,5)))))</f>
        <v>5</v>
      </c>
      <c r="BY157" s="455">
        <f>IF(ISNUMBER(SEARCH(BY$119,'Reference Score Calculation'!$P134)),10,IF(ISNUMBER(SEARCH(BY$119,'Reference Score Calculation'!$Q134)),7,IF(ISNUMBER(SEARCH(BY$119,'Reference Score Calculation'!$R134)),5,IF(ISNUMBER(SEARCH($BV$108,'Reference Score Calculation'!$P134)),10,IF(ISNUMBER(SEARCH($BV$108,'Reference Score Calculation'!$Q134)),7,5)))))</f>
        <v>7</v>
      </c>
      <c r="BZ157" s="455">
        <f>IF(ISNUMBER(SEARCH(BZ$119,'Reference Score Calculation'!$P134)),10,IF(ISNUMBER(SEARCH(BZ$119,'Reference Score Calculation'!$Q134)),7,IF(ISNUMBER(SEARCH(BZ$119,'Reference Score Calculation'!$R134)),5,IF(ISNUMBER(SEARCH($BV$108,'Reference Score Calculation'!$P134)),10,IF(ISNUMBER(SEARCH($BV$108,'Reference Score Calculation'!$Q134)),7,5)))))</f>
        <v>10</v>
      </c>
      <c r="CA157" s="455">
        <f>IF(ISNUMBER(SEARCH(CA$119,'Reference Score Calculation'!$P134)),10,IF(ISNUMBER(SEARCH(CA$119,'Reference Score Calculation'!$Q134)),7,IF(ISNUMBER(SEARCH(CA$119,'Reference Score Calculation'!$R134)),5,IF(ISNUMBER(SEARCH($BV$108,'Reference Score Calculation'!$P134)),10,IF(ISNUMBER(SEARCH($BV$108,'Reference Score Calculation'!$Q134)),7,5)))))</f>
        <v>10</v>
      </c>
      <c r="CB157" s="455">
        <f>IF(ISNUMBER(SEARCH(CB$119,'Reference Score Calculation'!$P134)),10,IF(ISNUMBER(SEARCH(CB$119,'Reference Score Calculation'!$Q134)),7,IF(ISNUMBER(SEARCH(CB$119,'Reference Score Calculation'!$R134)),5,IF(ISNUMBER(SEARCH($BV$108,'Reference Score Calculation'!$P134)),10,IF(ISNUMBER(SEARCH($BV$108,'Reference Score Calculation'!$Q134)),7,5)))))</f>
        <v>10</v>
      </c>
      <c r="CC157" s="455">
        <f>IF(ISNUMBER(SEARCH(CC$119,'Reference Score Calculation'!$P134)),10,IF(ISNUMBER(SEARCH(CC$119,'Reference Score Calculation'!$Q134)),7,IF(ISNUMBER(SEARCH(CC$119,'Reference Score Calculation'!$R134)),5,IF(ISNUMBER(SEARCH($BV$108,'Reference Score Calculation'!$P134)),10,IF(ISNUMBER(SEARCH($BV$108,'Reference Score Calculation'!$Q134)),7,5)))))</f>
        <v>5</v>
      </c>
      <c r="CD157" s="455">
        <f>IF(ISNUMBER(SEARCH(CD$119,'Reference Score Calculation'!$P134)),10,IF(ISNUMBER(SEARCH(CD$119,'Reference Score Calculation'!$Q134)),7,IF(ISNUMBER(SEARCH(CD$119,'Reference Score Calculation'!$R134)),5,IF(ISNUMBER(SEARCH($BV$108,'Reference Score Calculation'!$P134)),10,IF(ISNUMBER(SEARCH($BV$108,'Reference Score Calculation'!$Q134)),7,5)))))</f>
        <v>5</v>
      </c>
      <c r="CE157" s="455">
        <f>IF(ISNUMBER(SEARCH(CE$119,'Reference Score Calculation'!$P134)),10,IF(ISNUMBER(SEARCH(CE$119,'Reference Score Calculation'!$Q134)),7,IF(ISNUMBER(SEARCH(CE$119,'Reference Score Calculation'!$R134)),5,IF(ISNUMBER(SEARCH($BV$108,'Reference Score Calculation'!$P134)),10,IF(ISNUMBER(SEARCH($BV$108,'Reference Score Calculation'!$Q134)),7,5)))))</f>
        <v>5</v>
      </c>
      <c r="CF157" s="455">
        <f>IF(ISNUMBER(SEARCH(CF$119,'Reference Score Calculation'!$P134)),10,IF(ISNUMBER(SEARCH(CF$119,'Reference Score Calculation'!$Q134)),7,IF(ISNUMBER(SEARCH(CF$119,'Reference Score Calculation'!$R134)),5,IF(ISNUMBER(SEARCH($BV$108,'Reference Score Calculation'!$P134)),10,IF(ISNUMBER(SEARCH($BV$108,'Reference Score Calculation'!$Q134)),7,5)))))</f>
        <v>5</v>
      </c>
      <c r="CG157" s="455">
        <f>IF(ISNUMBER(SEARCH(CG$119,'Reference Score Calculation'!$P134)),10,IF(ISNUMBER(SEARCH(CG$119,'Reference Score Calculation'!$Q134)),7,IF(ISNUMBER(SEARCH(CG$119,'Reference Score Calculation'!$R134)),5,IF(ISNUMBER(SEARCH($BV$108,'Reference Score Calculation'!$P134)),10,IF(ISNUMBER(SEARCH($BV$108,'Reference Score Calculation'!$Q134)),7,5)))))</f>
        <v>5</v>
      </c>
      <c r="CH157" s="455">
        <f>IF(ISNUMBER(SEARCH(CH$119,'Reference Score Calculation'!$P134)),10,IF(ISNUMBER(SEARCH(CH$119,'Reference Score Calculation'!$Q134)),7,IF(ISNUMBER(SEARCH(CH$119,'Reference Score Calculation'!$R134)),5,IF(ISNUMBER(SEARCH($BV$108,'Reference Score Calculation'!$P134)),10,IF(ISNUMBER(SEARCH($BV$108,'Reference Score Calculation'!$Q134)),7,5)))))</f>
        <v>5</v>
      </c>
      <c r="CI157" s="455">
        <f>IF(ISNUMBER(SEARCH(CI$119,'Reference Score Calculation'!$P134)),10,IF(ISNUMBER(SEARCH(CI$119,'Reference Score Calculation'!$Q134)),7,IF(ISNUMBER(SEARCH(CI$119,'Reference Score Calculation'!$R134)),5,IF(ISNUMBER(SEARCH($BV$108,'Reference Score Calculation'!$P134)),10,IF(ISNUMBER(SEARCH($BV$108,'Reference Score Calculation'!$Q134)),7,5)))))</f>
        <v>5</v>
      </c>
      <c r="CJ157" s="455">
        <f>IF(ISNUMBER(SEARCH(CJ$119,'Reference Score Calculation'!$P134)),10,IF(ISNUMBER(SEARCH(CJ$119,'Reference Score Calculation'!$Q134)),7,IF(ISNUMBER(SEARCH(CJ$119,'Reference Score Calculation'!$R134)),5,IF(ISNUMBER(SEARCH($BV$108,'Reference Score Calculation'!$P134)),10,IF(ISNUMBER(SEARCH($BV$108,'Reference Score Calculation'!$Q134)),7,5)))))</f>
        <v>5</v>
      </c>
      <c r="CK157" s="455">
        <f>IF(ISNUMBER(SEARCH(CK$119,'Reference Score Calculation'!$P134)),10,IF(ISNUMBER(SEARCH(CK$119,'Reference Score Calculation'!$Q134)),7,IF(ISNUMBER(SEARCH(CK$119,'Reference Score Calculation'!$R134)),5,IF(ISNUMBER(SEARCH($BV$108,'Reference Score Calculation'!$P134)),10,IF(ISNUMBER(SEARCH($BV$108,'Reference Score Calculation'!$Q134)),7,5)))))</f>
        <v>5</v>
      </c>
      <c r="CL157" s="455">
        <f>IF(ISNUMBER(SEARCH(CL$119,'Reference Score Calculation'!$P134)),10,IF(ISNUMBER(SEARCH(CL$119,'Reference Score Calculation'!$Q134)),7,IF(ISNUMBER(SEARCH(CL$119,'Reference Score Calculation'!$R134)),5,IF(ISNUMBER(SEARCH($BV$108,'Reference Score Calculation'!$P134)),10,IF(ISNUMBER(SEARCH($BV$108,'Reference Score Calculation'!$Q134)),7,5)))))</f>
        <v>5</v>
      </c>
      <c r="CM157" s="455">
        <f>IF(ISNUMBER(SEARCH(CM$119,'Reference Score Calculation'!$P134)),10,IF(ISNUMBER(SEARCH(CM$119,'Reference Score Calculation'!$Q134)),7,IF(ISNUMBER(SEARCH(CM$119,'Reference Score Calculation'!$R134)),5,IF(ISNUMBER(SEARCH($BV$108,'Reference Score Calculation'!$P134)),10,IF(ISNUMBER(SEARCH($BV$108,'Reference Score Calculation'!$Q134)),7,5)))))</f>
        <v>5</v>
      </c>
      <c r="CN157" s="455">
        <f>IF(ISNUMBER(SEARCH(CN$119,'Reference Score Calculation'!$P134)),10,IF(ISNUMBER(SEARCH(CN$119,'Reference Score Calculation'!$Q134)),7,IF(ISNUMBER(SEARCH(CN$119,'Reference Score Calculation'!$R134)),5,IF(ISNUMBER(SEARCH($BV$108,'Reference Score Calculation'!$P134)),10,IF(ISNUMBER(SEARCH($BV$108,'Reference Score Calculation'!$Q134)),7,5)))))</f>
        <v>5</v>
      </c>
      <c r="CO157" s="455">
        <f>IF(ISNUMBER(SEARCH(CO$119,'Reference Score Calculation'!$P134)),10,IF(ISNUMBER(SEARCH(CO$119,'Reference Score Calculation'!$Q134)),7,IF(ISNUMBER(SEARCH(CO$119,'Reference Score Calculation'!$R134)),5,IF(ISNUMBER(SEARCH($BV$108,'Reference Score Calculation'!$P134)),10,IF(ISNUMBER(SEARCH($BV$108,'Reference Score Calculation'!$Q134)),7,5)))))</f>
        <v>5</v>
      </c>
      <c r="CP157" s="455">
        <f>IF(ISNUMBER(SEARCH(CP$119,'Reference Score Calculation'!$P134)),10,IF(ISNUMBER(SEARCH(CP$119,'Reference Score Calculation'!$Q134)),7,IF(ISNUMBER(SEARCH(CP$119,'Reference Score Calculation'!$R134)),5,IF(ISNUMBER(SEARCH($BV$108,'Reference Score Calculation'!$P134)),10,IF(ISNUMBER(SEARCH($BV$108,'Reference Score Calculation'!$Q134)),7,5)))))</f>
        <v>5</v>
      </c>
      <c r="CQ157" s="455">
        <f>IF(ISNUMBER(SEARCH(CQ$119,'Reference Score Calculation'!$P134)),10,IF(ISNUMBER(SEARCH(CQ$119,'Reference Score Calculation'!$Q134)),7,IF(ISNUMBER(SEARCH(CQ$119,'Reference Score Calculation'!$R134)),5,IF(ISNUMBER(SEARCH($BV$108,'Reference Score Calculation'!$P134)),10,IF(ISNUMBER(SEARCH($BV$108,'Reference Score Calculation'!$Q134)),7,5)))))</f>
        <v>5</v>
      </c>
      <c r="CR157" s="455">
        <f>IF(ISNUMBER(SEARCH(CR$119,'Reference Score Calculation'!$P134)),10,IF(ISNUMBER(SEARCH(CR$119,'Reference Score Calculation'!$Q134)),7,IF(ISNUMBER(SEARCH(CR$119,'Reference Score Calculation'!$R134)),5,IF(ISNUMBER(SEARCH($BV$108,'Reference Score Calculation'!$P134)),10,IF(ISNUMBER(SEARCH($BV$108,'Reference Score Calculation'!$Q134)),7,5)))))</f>
        <v>5</v>
      </c>
      <c r="CS157" s="455">
        <f>IF(ISNUMBER(SEARCH(CS$119,'Reference Score Calculation'!$P134)),10,IF(ISNUMBER(SEARCH(CS$119,'Reference Score Calculation'!$Q134)),7,IF(ISNUMBER(SEARCH(CS$119,'Reference Score Calculation'!$R134)),5,IF(ISNUMBER(SEARCH($BV$108,'Reference Score Calculation'!$P134)),10,IF(ISNUMBER(SEARCH($BV$108,'Reference Score Calculation'!$Q134)),7,5)))))</f>
        <v>5</v>
      </c>
      <c r="CT157" s="455">
        <f>IF(ISNUMBER(SEARCH(CT$119,'Reference Score Calculation'!$P134)),10,IF(ISNUMBER(SEARCH(CT$119,'Reference Score Calculation'!$Q134)),7,IF(ISNUMBER(SEARCH(CT$119,'Reference Score Calculation'!$R134)),5,IF(ISNUMBER(SEARCH($BV$108,'Reference Score Calculation'!$P134)),10,IF(ISNUMBER(SEARCH($BV$108,'Reference Score Calculation'!$Q134)),7,5)))))</f>
        <v>5</v>
      </c>
      <c r="CU157" s="455">
        <f>IF(ISNUMBER(SEARCH(CU$119,'Reference Score Calculation'!$P134)),10,IF(ISNUMBER(SEARCH(CU$119,'Reference Score Calculation'!$Q134)),7,IF(ISNUMBER(SEARCH(CU$119,'Reference Score Calculation'!$R134)),5,IF(ISNUMBER(SEARCH($BV$108,'Reference Score Calculation'!$P134)),10,IF(ISNUMBER(SEARCH($BV$108,'Reference Score Calculation'!$Q134)),7,5)))))</f>
        <v>5</v>
      </c>
      <c r="CV157" s="455">
        <f>IF(ISNUMBER(SEARCH(CV$119,'Reference Score Calculation'!$P134)),10,IF(ISNUMBER(SEARCH(CV$119,'Reference Score Calculation'!$Q134)),7,IF(ISNUMBER(SEARCH(CV$119,'Reference Score Calculation'!$R134)),5,IF(ISNUMBER(SEARCH($BV$108,'Reference Score Calculation'!$P134)),10,IF(ISNUMBER(SEARCH($BV$108,'Reference Score Calculation'!$Q134)),7,5)))))</f>
        <v>5</v>
      </c>
      <c r="CW157" s="185"/>
      <c r="CX157" s="185"/>
      <c r="CY157" s="185"/>
    </row>
    <row r="158" spans="1:103">
      <c r="A158" s="117" t="s">
        <v>1137</v>
      </c>
      <c r="B158" s="459" t="str">
        <f>'Reference Score Calculation'!B135</f>
        <v>JS3624</v>
      </c>
      <c r="C158" s="117" t="str">
        <f>'Reference Score Calculation'!E135</f>
        <v>職業治療學(榮譽)理學士</v>
      </c>
      <c r="D158" s="2" t="e">
        <f>'Reference Score Calculation'!#REF!</f>
        <v>#REF!</v>
      </c>
      <c r="E158" s="131" t="str">
        <f>'Reference Score Calculation'!F135</f>
        <v>Best 5</v>
      </c>
      <c r="F158" s="131"/>
      <c r="G158" s="117" t="str">
        <f>入學要求!AB144</f>
        <v>v</v>
      </c>
      <c r="H158" s="117" t="str">
        <f>入學要求!AC144</f>
        <v>E</v>
      </c>
      <c r="I158" s="117" t="str">
        <f>入學要求!AD144</f>
        <v>NO</v>
      </c>
      <c r="J158" s="117">
        <f t="shared" si="211"/>
        <v>8.6000000000000009E-9</v>
      </c>
      <c r="K158" s="117">
        <f t="shared" si="244"/>
        <v>10</v>
      </c>
      <c r="L158" s="117">
        <f t="shared" si="244"/>
        <v>10</v>
      </c>
      <c r="M158" s="117">
        <f t="shared" si="244"/>
        <v>7</v>
      </c>
      <c r="N158" s="117">
        <f t="shared" si="244"/>
        <v>0</v>
      </c>
      <c r="O158" s="117">
        <f t="shared" si="244"/>
        <v>7</v>
      </c>
      <c r="P158" s="117">
        <f t="shared" si="244"/>
        <v>0</v>
      </c>
      <c r="Q158" s="117">
        <f t="shared" si="244"/>
        <v>0</v>
      </c>
      <c r="R158" s="117">
        <f t="shared" si="244"/>
        <v>0</v>
      </c>
      <c r="S158" s="117">
        <f t="shared" si="244"/>
        <v>0</v>
      </c>
      <c r="T158" s="117">
        <v>5</v>
      </c>
      <c r="V158" s="117">
        <f t="shared" si="224"/>
        <v>1.0000000000000001E-9</v>
      </c>
      <c r="W158" s="117">
        <f t="shared" si="225"/>
        <v>2.0000000000000001E-9</v>
      </c>
      <c r="X158" s="117">
        <f t="shared" si="226"/>
        <v>2.0999999999999998E-9</v>
      </c>
      <c r="Z158" s="117">
        <f t="shared" si="227"/>
        <v>3.5000000000000003E-9</v>
      </c>
      <c r="AA158" s="117">
        <f t="shared" si="228"/>
        <v>0</v>
      </c>
      <c r="AB158" s="117">
        <f t="shared" si="229"/>
        <v>0</v>
      </c>
      <c r="AC158" s="117">
        <f t="shared" si="230"/>
        <v>0</v>
      </c>
      <c r="AD158" s="117">
        <f t="shared" si="231"/>
        <v>0</v>
      </c>
      <c r="AE158" s="117">
        <f t="shared" si="232"/>
        <v>0</v>
      </c>
      <c r="AF158" s="117">
        <f t="shared" si="213"/>
        <v>1.0000000000000001E-9</v>
      </c>
      <c r="AG158" s="117">
        <f t="shared" si="214"/>
        <v>2.0000000000000001E-9</v>
      </c>
      <c r="AH158" s="117">
        <f t="shared" si="215"/>
        <v>2.0999999999999998E-9</v>
      </c>
      <c r="AI158" s="117">
        <f t="shared" si="216"/>
        <v>0</v>
      </c>
      <c r="AJ158" s="117">
        <f t="shared" si="217"/>
        <v>3.5000000000000003E-9</v>
      </c>
      <c r="AK158" s="117">
        <f t="shared" si="218"/>
        <v>0</v>
      </c>
      <c r="AL158" s="117">
        <f t="shared" si="219"/>
        <v>0</v>
      </c>
      <c r="AM158" s="117">
        <f t="shared" si="220"/>
        <v>0</v>
      </c>
      <c r="AN158" s="117">
        <f t="shared" si="221"/>
        <v>0</v>
      </c>
      <c r="AO158" s="117">
        <f t="shared" si="222"/>
        <v>0</v>
      </c>
      <c r="AP158" s="117" t="b">
        <f t="shared" si="233"/>
        <v>1</v>
      </c>
      <c r="AQ158" s="117" t="b">
        <f t="shared" si="234"/>
        <v>1</v>
      </c>
      <c r="AR158" s="117" t="b">
        <f t="shared" si="235"/>
        <v>1</v>
      </c>
      <c r="AT158" s="117" t="b">
        <f t="shared" si="236"/>
        <v>1</v>
      </c>
      <c r="AU158" s="117" t="b">
        <f t="shared" si="237"/>
        <v>0</v>
      </c>
      <c r="AV158" s="117" t="b">
        <f t="shared" si="238"/>
        <v>0</v>
      </c>
      <c r="AW158" s="117" t="b">
        <f t="shared" si="239"/>
        <v>0</v>
      </c>
      <c r="AX158" s="117" t="b">
        <f t="shared" si="240"/>
        <v>0</v>
      </c>
      <c r="AY158" s="117" t="b">
        <f t="shared" si="241"/>
        <v>0</v>
      </c>
      <c r="BA158" s="2"/>
      <c r="BB158" s="2"/>
      <c r="BC158" s="2"/>
      <c r="BD158" s="2"/>
      <c r="BE158" s="2"/>
      <c r="BF158" s="2"/>
      <c r="BG158" s="2"/>
      <c r="BH158" s="2"/>
      <c r="BI158" s="2"/>
      <c r="BJ158" s="2"/>
      <c r="BK158" s="2"/>
      <c r="BL158" s="2"/>
      <c r="BM158" s="2"/>
      <c r="BN158" s="2"/>
      <c r="BO158" s="2"/>
      <c r="BP158" s="2"/>
      <c r="BQ158" s="2"/>
      <c r="BR158" s="2"/>
      <c r="BS158" s="185" t="str">
        <f>'Reference Score Calculation'!B135</f>
        <v>JS3624</v>
      </c>
      <c r="BT158" s="185"/>
      <c r="BU158" s="455">
        <f>IF(ISNUMBER(SEARCH(BU$119,'Reference Score Calculation'!$P135)),10,IF(ISNUMBER(SEARCH(BU$119,'Reference Score Calculation'!$Q135)),7,IF(ISNUMBER(SEARCH(BU$119,'Reference Score Calculation'!$R135)),5,IF(ISNUMBER(SEARCH($BV$108,'Reference Score Calculation'!$P135)),10,IF(ISNUMBER(SEARCH($BV$108,'Reference Score Calculation'!$Q135)),7,5)))))</f>
        <v>10</v>
      </c>
      <c r="BV158" s="455">
        <f>IF(ISNUMBER(SEARCH(BV$119,'Reference Score Calculation'!$P135)),10,IF(ISNUMBER(SEARCH(BV$119,'Reference Score Calculation'!$Q135)),7,IF(ISNUMBER(SEARCH(BV$119,'Reference Score Calculation'!$R135)),5,IF(ISNUMBER(SEARCH($BV$108,'Reference Score Calculation'!$P135)),10,IF(ISNUMBER(SEARCH($BV$108,'Reference Score Calculation'!$Q135)),7,5)))))</f>
        <v>10</v>
      </c>
      <c r="BW158" s="455">
        <f>IF(ISNUMBER(SEARCH(BW$119,'Reference Score Calculation'!$P135)),10,IF(ISNUMBER(SEARCH(BW$119,'Reference Score Calculation'!$Q135)),7,IF(ISNUMBER(SEARCH(BW$119,'Reference Score Calculation'!$R135)),5,IF(ISNUMBER(SEARCH($BV$108,'Reference Score Calculation'!$P135)),10,IF(ISNUMBER(SEARCH($BV$108,'Reference Score Calculation'!$Q135)),7,5)))))</f>
        <v>7</v>
      </c>
      <c r="BX158" s="455">
        <f>IF(ISNUMBER(SEARCH(BX$119,'Reference Score Calculation'!$P135)),10,IF(ISNUMBER(SEARCH(BX$119,'Reference Score Calculation'!$Q135)),7,IF(ISNUMBER(SEARCH(BX$119,'Reference Score Calculation'!$R135)),5,IF(ISNUMBER(SEARCH($BV$108,'Reference Score Calculation'!$P135)),10,IF(ISNUMBER(SEARCH($BV$108,'Reference Score Calculation'!$Q135)),7,5)))))</f>
        <v>7</v>
      </c>
      <c r="BY158" s="455">
        <f>IF(ISNUMBER(SEARCH(BY$119,'Reference Score Calculation'!$P135)),10,IF(ISNUMBER(SEARCH(BY$119,'Reference Score Calculation'!$Q135)),7,IF(ISNUMBER(SEARCH(BY$119,'Reference Score Calculation'!$R135)),5,IF(ISNUMBER(SEARCH($BV$108,'Reference Score Calculation'!$P135)),10,IF(ISNUMBER(SEARCH($BV$108,'Reference Score Calculation'!$Q135)),7,5)))))</f>
        <v>7</v>
      </c>
      <c r="BZ158" s="455">
        <f>IF(ISNUMBER(SEARCH(BZ$119,'Reference Score Calculation'!$P135)),10,IF(ISNUMBER(SEARCH(BZ$119,'Reference Score Calculation'!$Q135)),7,IF(ISNUMBER(SEARCH(BZ$119,'Reference Score Calculation'!$R135)),5,IF(ISNUMBER(SEARCH($BV$108,'Reference Score Calculation'!$P135)),10,IF(ISNUMBER(SEARCH($BV$108,'Reference Score Calculation'!$Q135)),7,5)))))</f>
        <v>10</v>
      </c>
      <c r="CA158" s="455">
        <f>IF(ISNUMBER(SEARCH(CA$119,'Reference Score Calculation'!$P135)),10,IF(ISNUMBER(SEARCH(CA$119,'Reference Score Calculation'!$Q135)),7,IF(ISNUMBER(SEARCH(CA$119,'Reference Score Calculation'!$R135)),5,IF(ISNUMBER(SEARCH($BV$108,'Reference Score Calculation'!$P135)),10,IF(ISNUMBER(SEARCH($BV$108,'Reference Score Calculation'!$Q135)),7,5)))))</f>
        <v>7</v>
      </c>
      <c r="CB158" s="455">
        <f>IF(ISNUMBER(SEARCH(CB$119,'Reference Score Calculation'!$P135)),10,IF(ISNUMBER(SEARCH(CB$119,'Reference Score Calculation'!$Q135)),7,IF(ISNUMBER(SEARCH(CB$119,'Reference Score Calculation'!$R135)),5,IF(ISNUMBER(SEARCH($BV$108,'Reference Score Calculation'!$P135)),10,IF(ISNUMBER(SEARCH($BV$108,'Reference Score Calculation'!$Q135)),7,5)))))</f>
        <v>10</v>
      </c>
      <c r="CC158" s="455">
        <f>IF(ISNUMBER(SEARCH(CC$119,'Reference Score Calculation'!$P135)),10,IF(ISNUMBER(SEARCH(CC$119,'Reference Score Calculation'!$Q135)),7,IF(ISNUMBER(SEARCH(CC$119,'Reference Score Calculation'!$R135)),5,IF(ISNUMBER(SEARCH($BV$108,'Reference Score Calculation'!$P135)),10,IF(ISNUMBER(SEARCH($BV$108,'Reference Score Calculation'!$Q135)),7,5)))))</f>
        <v>7</v>
      </c>
      <c r="CD158" s="455">
        <f>IF(ISNUMBER(SEARCH(CD$119,'Reference Score Calculation'!$P135)),10,IF(ISNUMBER(SEARCH(CD$119,'Reference Score Calculation'!$Q135)),7,IF(ISNUMBER(SEARCH(CD$119,'Reference Score Calculation'!$R135)),5,IF(ISNUMBER(SEARCH($BV$108,'Reference Score Calculation'!$P135)),10,IF(ISNUMBER(SEARCH($BV$108,'Reference Score Calculation'!$Q135)),7,5)))))</f>
        <v>7</v>
      </c>
      <c r="CE158" s="455">
        <f>IF(ISNUMBER(SEARCH(CE$119,'Reference Score Calculation'!$P135)),10,IF(ISNUMBER(SEARCH(CE$119,'Reference Score Calculation'!$Q135)),7,IF(ISNUMBER(SEARCH(CE$119,'Reference Score Calculation'!$R135)),5,IF(ISNUMBER(SEARCH($BV$108,'Reference Score Calculation'!$P135)),10,IF(ISNUMBER(SEARCH($BV$108,'Reference Score Calculation'!$Q135)),7,5)))))</f>
        <v>5</v>
      </c>
      <c r="CF158" s="455">
        <f>IF(ISNUMBER(SEARCH(CF$119,'Reference Score Calculation'!$P135)),10,IF(ISNUMBER(SEARCH(CF$119,'Reference Score Calculation'!$Q135)),7,IF(ISNUMBER(SEARCH(CF$119,'Reference Score Calculation'!$R135)),5,IF(ISNUMBER(SEARCH($BV$108,'Reference Score Calculation'!$P135)),10,IF(ISNUMBER(SEARCH($BV$108,'Reference Score Calculation'!$Q135)),7,5)))))</f>
        <v>5</v>
      </c>
      <c r="CG158" s="455">
        <f>IF(ISNUMBER(SEARCH(CG$119,'Reference Score Calculation'!$P135)),10,IF(ISNUMBER(SEARCH(CG$119,'Reference Score Calculation'!$Q135)),7,IF(ISNUMBER(SEARCH(CG$119,'Reference Score Calculation'!$R135)),5,IF(ISNUMBER(SEARCH($BV$108,'Reference Score Calculation'!$P135)),10,IF(ISNUMBER(SEARCH($BV$108,'Reference Score Calculation'!$Q135)),7,5)))))</f>
        <v>7</v>
      </c>
      <c r="CH158" s="455">
        <f>IF(ISNUMBER(SEARCH(CH$119,'Reference Score Calculation'!$P135)),10,IF(ISNUMBER(SEARCH(CH$119,'Reference Score Calculation'!$Q135)),7,IF(ISNUMBER(SEARCH(CH$119,'Reference Score Calculation'!$R135)),5,IF(ISNUMBER(SEARCH($BV$108,'Reference Score Calculation'!$P135)),10,IF(ISNUMBER(SEARCH($BV$108,'Reference Score Calculation'!$Q135)),7,5)))))</f>
        <v>7</v>
      </c>
      <c r="CI158" s="455">
        <f>IF(ISNUMBER(SEARCH(CI$119,'Reference Score Calculation'!$P135)),10,IF(ISNUMBER(SEARCH(CI$119,'Reference Score Calculation'!$Q135)),7,IF(ISNUMBER(SEARCH(CI$119,'Reference Score Calculation'!$R135)),5,IF(ISNUMBER(SEARCH($BV$108,'Reference Score Calculation'!$P135)),10,IF(ISNUMBER(SEARCH($BV$108,'Reference Score Calculation'!$Q135)),7,5)))))</f>
        <v>5</v>
      </c>
      <c r="CJ158" s="455">
        <f>IF(ISNUMBER(SEARCH(CJ$119,'Reference Score Calculation'!$P135)),10,IF(ISNUMBER(SEARCH(CJ$119,'Reference Score Calculation'!$Q135)),7,IF(ISNUMBER(SEARCH(CJ$119,'Reference Score Calculation'!$R135)),5,IF(ISNUMBER(SEARCH($BV$108,'Reference Score Calculation'!$P135)),10,IF(ISNUMBER(SEARCH($BV$108,'Reference Score Calculation'!$Q135)),7,5)))))</f>
        <v>7</v>
      </c>
      <c r="CK158" s="455">
        <f>IF(ISNUMBER(SEARCH(CK$119,'Reference Score Calculation'!$P135)),10,IF(ISNUMBER(SEARCH(CK$119,'Reference Score Calculation'!$Q135)),7,IF(ISNUMBER(SEARCH(CK$119,'Reference Score Calculation'!$R135)),5,IF(ISNUMBER(SEARCH($BV$108,'Reference Score Calculation'!$P135)),10,IF(ISNUMBER(SEARCH($BV$108,'Reference Score Calculation'!$Q135)),7,5)))))</f>
        <v>7</v>
      </c>
      <c r="CL158" s="455">
        <f>IF(ISNUMBER(SEARCH(CL$119,'Reference Score Calculation'!$P135)),10,IF(ISNUMBER(SEARCH(CL$119,'Reference Score Calculation'!$Q135)),7,IF(ISNUMBER(SEARCH(CL$119,'Reference Score Calculation'!$R135)),5,IF(ISNUMBER(SEARCH($BV$108,'Reference Score Calculation'!$P135)),10,IF(ISNUMBER(SEARCH($BV$108,'Reference Score Calculation'!$Q135)),7,5)))))</f>
        <v>7</v>
      </c>
      <c r="CM158" s="455">
        <f>IF(ISNUMBER(SEARCH(CM$119,'Reference Score Calculation'!$P135)),10,IF(ISNUMBER(SEARCH(CM$119,'Reference Score Calculation'!$Q135)),7,IF(ISNUMBER(SEARCH(CM$119,'Reference Score Calculation'!$R135)),5,IF(ISNUMBER(SEARCH($BV$108,'Reference Score Calculation'!$P135)),10,IF(ISNUMBER(SEARCH($BV$108,'Reference Score Calculation'!$Q135)),7,5)))))</f>
        <v>7</v>
      </c>
      <c r="CN158" s="455">
        <f>IF(ISNUMBER(SEARCH(CN$119,'Reference Score Calculation'!$P135)),10,IF(ISNUMBER(SEARCH(CN$119,'Reference Score Calculation'!$Q135)),7,IF(ISNUMBER(SEARCH(CN$119,'Reference Score Calculation'!$R135)),5,IF(ISNUMBER(SEARCH($BV$108,'Reference Score Calculation'!$P135)),10,IF(ISNUMBER(SEARCH($BV$108,'Reference Score Calculation'!$Q135)),7,5)))))</f>
        <v>7</v>
      </c>
      <c r="CO158" s="455">
        <f>IF(ISNUMBER(SEARCH(CO$119,'Reference Score Calculation'!$P135)),10,IF(ISNUMBER(SEARCH(CO$119,'Reference Score Calculation'!$Q135)),7,IF(ISNUMBER(SEARCH(CO$119,'Reference Score Calculation'!$R135)),5,IF(ISNUMBER(SEARCH($BV$108,'Reference Score Calculation'!$P135)),10,IF(ISNUMBER(SEARCH($BV$108,'Reference Score Calculation'!$Q135)),7,5)))))</f>
        <v>7</v>
      </c>
      <c r="CP158" s="455">
        <f>IF(ISNUMBER(SEARCH(CP$119,'Reference Score Calculation'!$P135)),10,IF(ISNUMBER(SEARCH(CP$119,'Reference Score Calculation'!$Q135)),7,IF(ISNUMBER(SEARCH(CP$119,'Reference Score Calculation'!$R135)),5,IF(ISNUMBER(SEARCH($BV$108,'Reference Score Calculation'!$P135)),10,IF(ISNUMBER(SEARCH($BV$108,'Reference Score Calculation'!$Q135)),7,5)))))</f>
        <v>7</v>
      </c>
      <c r="CQ158" s="455">
        <f>IF(ISNUMBER(SEARCH(CQ$119,'Reference Score Calculation'!$P135)),10,IF(ISNUMBER(SEARCH(CQ$119,'Reference Score Calculation'!$Q135)),7,IF(ISNUMBER(SEARCH(CQ$119,'Reference Score Calculation'!$R135)),5,IF(ISNUMBER(SEARCH($BV$108,'Reference Score Calculation'!$P135)),10,IF(ISNUMBER(SEARCH($BV$108,'Reference Score Calculation'!$Q135)),7,5)))))</f>
        <v>7</v>
      </c>
      <c r="CR158" s="455">
        <f>IF(ISNUMBER(SEARCH(CR$119,'Reference Score Calculation'!$P135)),10,IF(ISNUMBER(SEARCH(CR$119,'Reference Score Calculation'!$Q135)),7,IF(ISNUMBER(SEARCH(CR$119,'Reference Score Calculation'!$R135)),5,IF(ISNUMBER(SEARCH($BV$108,'Reference Score Calculation'!$P135)),10,IF(ISNUMBER(SEARCH($BV$108,'Reference Score Calculation'!$Q135)),7,5)))))</f>
        <v>5</v>
      </c>
      <c r="CS158" s="455">
        <f>IF(ISNUMBER(SEARCH(CS$119,'Reference Score Calculation'!$P135)),10,IF(ISNUMBER(SEARCH(CS$119,'Reference Score Calculation'!$Q135)),7,IF(ISNUMBER(SEARCH(CS$119,'Reference Score Calculation'!$R135)),5,IF(ISNUMBER(SEARCH($BV$108,'Reference Score Calculation'!$P135)),10,IF(ISNUMBER(SEARCH($BV$108,'Reference Score Calculation'!$Q135)),7,5)))))</f>
        <v>7</v>
      </c>
      <c r="CT158" s="455">
        <f>IF(ISNUMBER(SEARCH(CT$119,'Reference Score Calculation'!$P135)),10,IF(ISNUMBER(SEARCH(CT$119,'Reference Score Calculation'!$Q135)),7,IF(ISNUMBER(SEARCH(CT$119,'Reference Score Calculation'!$R135)),5,IF(ISNUMBER(SEARCH($BV$108,'Reference Score Calculation'!$P135)),10,IF(ISNUMBER(SEARCH($BV$108,'Reference Score Calculation'!$Q135)),7,5)))))</f>
        <v>5</v>
      </c>
      <c r="CU158" s="455">
        <f>IF(ISNUMBER(SEARCH(CU$119,'Reference Score Calculation'!$P135)),10,IF(ISNUMBER(SEARCH(CU$119,'Reference Score Calculation'!$Q135)),7,IF(ISNUMBER(SEARCH(CU$119,'Reference Score Calculation'!$R135)),5,IF(ISNUMBER(SEARCH($BV$108,'Reference Score Calculation'!$P135)),10,IF(ISNUMBER(SEARCH($BV$108,'Reference Score Calculation'!$Q135)),7,5)))))</f>
        <v>7</v>
      </c>
      <c r="CV158" s="455">
        <f>IF(ISNUMBER(SEARCH(CV$119,'Reference Score Calculation'!$P135)),10,IF(ISNUMBER(SEARCH(CV$119,'Reference Score Calculation'!$Q135)),7,IF(ISNUMBER(SEARCH(CV$119,'Reference Score Calculation'!$R135)),5,IF(ISNUMBER(SEARCH($BV$108,'Reference Score Calculation'!$P135)),10,IF(ISNUMBER(SEARCH($BV$108,'Reference Score Calculation'!$Q135)),7,5)))))</f>
        <v>7</v>
      </c>
      <c r="CW158" s="185"/>
      <c r="CX158" s="185"/>
      <c r="CY158" s="185"/>
    </row>
    <row r="159" spans="1:103">
      <c r="A159" s="117" t="s">
        <v>1140</v>
      </c>
      <c r="B159" s="459" t="str">
        <f>'Reference Score Calculation'!B136</f>
        <v>JS3636</v>
      </c>
      <c r="C159" s="117" t="str">
        <f>'Reference Score Calculation'!E136</f>
        <v>物理治療學(榮譽)理學士</v>
      </c>
      <c r="D159" s="2" t="e">
        <f>'Reference Score Calculation'!#REF!</f>
        <v>#REF!</v>
      </c>
      <c r="E159" s="131" t="str">
        <f>'Reference Score Calculation'!F136</f>
        <v>Best 5</v>
      </c>
      <c r="F159" s="131"/>
      <c r="G159" s="117" t="str">
        <f>入學要求!AB145</f>
        <v>v</v>
      </c>
      <c r="H159" s="117" t="str">
        <f>入學要求!AC145</f>
        <v>E</v>
      </c>
      <c r="I159" s="117" t="str">
        <f>入學要求!AD145</f>
        <v>NO</v>
      </c>
      <c r="J159" s="117">
        <f t="shared" si="211"/>
        <v>7.6000000000000002E-9</v>
      </c>
      <c r="K159" s="117">
        <f t="shared" si="244"/>
        <v>10</v>
      </c>
      <c r="L159" s="117">
        <f t="shared" si="244"/>
        <v>10</v>
      </c>
      <c r="M159" s="117">
        <f t="shared" si="244"/>
        <v>7</v>
      </c>
      <c r="N159" s="117">
        <f t="shared" si="244"/>
        <v>0</v>
      </c>
      <c r="O159" s="117">
        <f t="shared" si="244"/>
        <v>5</v>
      </c>
      <c r="P159" s="117">
        <f t="shared" si="244"/>
        <v>0</v>
      </c>
      <c r="Q159" s="117">
        <f t="shared" si="244"/>
        <v>0</v>
      </c>
      <c r="R159" s="117">
        <f t="shared" si="244"/>
        <v>0</v>
      </c>
      <c r="S159" s="117">
        <f t="shared" si="244"/>
        <v>0</v>
      </c>
      <c r="T159" s="117">
        <v>5</v>
      </c>
      <c r="V159" s="117">
        <f t="shared" si="224"/>
        <v>1.0000000000000001E-9</v>
      </c>
      <c r="W159" s="117">
        <f t="shared" si="225"/>
        <v>2.0000000000000001E-9</v>
      </c>
      <c r="X159" s="117">
        <f t="shared" si="226"/>
        <v>2.0999999999999998E-9</v>
      </c>
      <c r="Z159" s="117">
        <f t="shared" si="227"/>
        <v>2.5000000000000001E-9</v>
      </c>
      <c r="AA159" s="117">
        <f t="shared" si="228"/>
        <v>0</v>
      </c>
      <c r="AB159" s="117">
        <f t="shared" si="229"/>
        <v>0</v>
      </c>
      <c r="AC159" s="117">
        <f t="shared" si="230"/>
        <v>0</v>
      </c>
      <c r="AD159" s="117">
        <f t="shared" si="231"/>
        <v>0</v>
      </c>
      <c r="AE159" s="117">
        <f t="shared" si="232"/>
        <v>0</v>
      </c>
      <c r="AF159" s="117">
        <f t="shared" si="213"/>
        <v>1.0000000000000001E-9</v>
      </c>
      <c r="AG159" s="117">
        <f t="shared" si="214"/>
        <v>2.0000000000000001E-9</v>
      </c>
      <c r="AH159" s="117">
        <f t="shared" si="215"/>
        <v>2.0999999999999998E-9</v>
      </c>
      <c r="AI159" s="117">
        <f t="shared" si="216"/>
        <v>0</v>
      </c>
      <c r="AJ159" s="117">
        <f t="shared" si="217"/>
        <v>2.5000000000000001E-9</v>
      </c>
      <c r="AK159" s="117">
        <f t="shared" si="218"/>
        <v>0</v>
      </c>
      <c r="AL159" s="117">
        <f t="shared" si="219"/>
        <v>0</v>
      </c>
      <c r="AM159" s="117">
        <f t="shared" si="220"/>
        <v>0</v>
      </c>
      <c r="AN159" s="117">
        <f t="shared" si="221"/>
        <v>0</v>
      </c>
      <c r="AO159" s="117">
        <f t="shared" si="222"/>
        <v>0</v>
      </c>
      <c r="AP159" s="117" t="b">
        <f t="shared" si="233"/>
        <v>1</v>
      </c>
      <c r="AQ159" s="117" t="b">
        <f t="shared" si="234"/>
        <v>1</v>
      </c>
      <c r="AR159" s="117" t="b">
        <f t="shared" si="235"/>
        <v>1</v>
      </c>
      <c r="AT159" s="117" t="b">
        <f t="shared" si="236"/>
        <v>1</v>
      </c>
      <c r="AU159" s="117" t="b">
        <f t="shared" si="237"/>
        <v>0</v>
      </c>
      <c r="AV159" s="117" t="b">
        <f t="shared" si="238"/>
        <v>0</v>
      </c>
      <c r="AW159" s="117" t="b">
        <f t="shared" si="239"/>
        <v>0</v>
      </c>
      <c r="AX159" s="117" t="b">
        <f t="shared" si="240"/>
        <v>0</v>
      </c>
      <c r="AY159" s="117" t="b">
        <f t="shared" si="241"/>
        <v>0</v>
      </c>
      <c r="BA159" s="2"/>
      <c r="BB159" s="2"/>
      <c r="BC159" s="2"/>
      <c r="BD159" s="2"/>
      <c r="BE159" s="2"/>
      <c r="BF159" s="2"/>
      <c r="BG159" s="2"/>
      <c r="BH159" s="2"/>
      <c r="BI159" s="2"/>
      <c r="BJ159" s="2"/>
      <c r="BK159" s="2"/>
      <c r="BL159" s="2"/>
      <c r="BM159" s="2"/>
      <c r="BN159" s="2"/>
      <c r="BO159" s="2"/>
      <c r="BP159" s="2"/>
      <c r="BQ159" s="2"/>
      <c r="BR159" s="2"/>
      <c r="BS159" s="185" t="str">
        <f>'Reference Score Calculation'!B136</f>
        <v>JS3636</v>
      </c>
      <c r="BT159" s="185"/>
      <c r="BU159" s="455">
        <f>IF(ISNUMBER(SEARCH(BU$119,'Reference Score Calculation'!$P136)),10,IF(ISNUMBER(SEARCH(BU$119,'Reference Score Calculation'!$Q136)),7,IF(ISNUMBER(SEARCH(BU$119,'Reference Score Calculation'!$R136)),5,IF(ISNUMBER(SEARCH($BV$108,'Reference Score Calculation'!$P136)),10,IF(ISNUMBER(SEARCH($BV$108,'Reference Score Calculation'!$Q136)),7,5)))))</f>
        <v>10</v>
      </c>
      <c r="BV159" s="455">
        <f>IF(ISNUMBER(SEARCH(BV$119,'Reference Score Calculation'!$P136)),10,IF(ISNUMBER(SEARCH(BV$119,'Reference Score Calculation'!$Q136)),7,IF(ISNUMBER(SEARCH(BV$119,'Reference Score Calculation'!$R136)),5,IF(ISNUMBER(SEARCH($BV$108,'Reference Score Calculation'!$P136)),10,IF(ISNUMBER(SEARCH($BV$108,'Reference Score Calculation'!$Q136)),7,5)))))</f>
        <v>10</v>
      </c>
      <c r="BW159" s="455">
        <f>IF(ISNUMBER(SEARCH(BW$119,'Reference Score Calculation'!$P136)),10,IF(ISNUMBER(SEARCH(BW$119,'Reference Score Calculation'!$Q136)),7,IF(ISNUMBER(SEARCH(BW$119,'Reference Score Calculation'!$R136)),5,IF(ISNUMBER(SEARCH($BV$108,'Reference Score Calculation'!$P136)),10,IF(ISNUMBER(SEARCH($BV$108,'Reference Score Calculation'!$Q136)),7,5)))))</f>
        <v>7</v>
      </c>
      <c r="BX159" s="455">
        <f>IF(ISNUMBER(SEARCH(BX$119,'Reference Score Calculation'!$P136)),10,IF(ISNUMBER(SEARCH(BX$119,'Reference Score Calculation'!$Q136)),7,IF(ISNUMBER(SEARCH(BX$119,'Reference Score Calculation'!$R136)),5,IF(ISNUMBER(SEARCH($BV$108,'Reference Score Calculation'!$P136)),10,IF(ISNUMBER(SEARCH($BV$108,'Reference Score Calculation'!$Q136)),7,5)))))</f>
        <v>5</v>
      </c>
      <c r="BY159" s="455">
        <f>IF(ISNUMBER(SEARCH(BY$119,'Reference Score Calculation'!$P136)),10,IF(ISNUMBER(SEARCH(BY$119,'Reference Score Calculation'!$Q136)),7,IF(ISNUMBER(SEARCH(BY$119,'Reference Score Calculation'!$R136)),5,IF(ISNUMBER(SEARCH($BV$108,'Reference Score Calculation'!$P136)),10,IF(ISNUMBER(SEARCH($BV$108,'Reference Score Calculation'!$Q136)),7,5)))))</f>
        <v>5</v>
      </c>
      <c r="BZ159" s="455">
        <f>IF(ISNUMBER(SEARCH(BZ$119,'Reference Score Calculation'!$P136)),10,IF(ISNUMBER(SEARCH(BZ$119,'Reference Score Calculation'!$Q136)),7,IF(ISNUMBER(SEARCH(BZ$119,'Reference Score Calculation'!$R136)),5,IF(ISNUMBER(SEARCH($BV$108,'Reference Score Calculation'!$P136)),10,IF(ISNUMBER(SEARCH($BV$108,'Reference Score Calculation'!$Q136)),7,5)))))</f>
        <v>10</v>
      </c>
      <c r="CA159" s="455">
        <f>IF(ISNUMBER(SEARCH(CA$119,'Reference Score Calculation'!$P136)),10,IF(ISNUMBER(SEARCH(CA$119,'Reference Score Calculation'!$Q136)),7,IF(ISNUMBER(SEARCH(CA$119,'Reference Score Calculation'!$R136)),5,IF(ISNUMBER(SEARCH($BV$108,'Reference Score Calculation'!$P136)),10,IF(ISNUMBER(SEARCH($BV$108,'Reference Score Calculation'!$Q136)),7,5)))))</f>
        <v>7</v>
      </c>
      <c r="CB159" s="455">
        <f>IF(ISNUMBER(SEARCH(CB$119,'Reference Score Calculation'!$P136)),10,IF(ISNUMBER(SEARCH(CB$119,'Reference Score Calculation'!$Q136)),7,IF(ISNUMBER(SEARCH(CB$119,'Reference Score Calculation'!$R136)),5,IF(ISNUMBER(SEARCH($BV$108,'Reference Score Calculation'!$P136)),10,IF(ISNUMBER(SEARCH($BV$108,'Reference Score Calculation'!$Q136)),7,5)))))</f>
        <v>10</v>
      </c>
      <c r="CC159" s="455">
        <f>IF(ISNUMBER(SEARCH(CC$119,'Reference Score Calculation'!$P136)),10,IF(ISNUMBER(SEARCH(CC$119,'Reference Score Calculation'!$Q136)),7,IF(ISNUMBER(SEARCH(CC$119,'Reference Score Calculation'!$R136)),5,IF(ISNUMBER(SEARCH($BV$108,'Reference Score Calculation'!$P136)),10,IF(ISNUMBER(SEARCH($BV$108,'Reference Score Calculation'!$Q136)),7,5)))))</f>
        <v>5</v>
      </c>
      <c r="CD159" s="455">
        <f>IF(ISNUMBER(SEARCH(CD$119,'Reference Score Calculation'!$P136)),10,IF(ISNUMBER(SEARCH(CD$119,'Reference Score Calculation'!$Q136)),7,IF(ISNUMBER(SEARCH(CD$119,'Reference Score Calculation'!$R136)),5,IF(ISNUMBER(SEARCH($BV$108,'Reference Score Calculation'!$P136)),10,IF(ISNUMBER(SEARCH($BV$108,'Reference Score Calculation'!$Q136)),7,5)))))</f>
        <v>5</v>
      </c>
      <c r="CE159" s="455">
        <f>IF(ISNUMBER(SEARCH(CE$119,'Reference Score Calculation'!$P136)),10,IF(ISNUMBER(SEARCH(CE$119,'Reference Score Calculation'!$Q136)),7,IF(ISNUMBER(SEARCH(CE$119,'Reference Score Calculation'!$R136)),5,IF(ISNUMBER(SEARCH($BV$108,'Reference Score Calculation'!$P136)),10,IF(ISNUMBER(SEARCH($BV$108,'Reference Score Calculation'!$Q136)),7,5)))))</f>
        <v>5</v>
      </c>
      <c r="CF159" s="455">
        <f>IF(ISNUMBER(SEARCH(CF$119,'Reference Score Calculation'!$P136)),10,IF(ISNUMBER(SEARCH(CF$119,'Reference Score Calculation'!$Q136)),7,IF(ISNUMBER(SEARCH(CF$119,'Reference Score Calculation'!$R136)),5,IF(ISNUMBER(SEARCH($BV$108,'Reference Score Calculation'!$P136)),10,IF(ISNUMBER(SEARCH($BV$108,'Reference Score Calculation'!$Q136)),7,5)))))</f>
        <v>7</v>
      </c>
      <c r="CG159" s="455">
        <f>IF(ISNUMBER(SEARCH(CG$119,'Reference Score Calculation'!$P136)),10,IF(ISNUMBER(SEARCH(CG$119,'Reference Score Calculation'!$Q136)),7,IF(ISNUMBER(SEARCH(CG$119,'Reference Score Calculation'!$R136)),5,IF(ISNUMBER(SEARCH($BV$108,'Reference Score Calculation'!$P136)),10,IF(ISNUMBER(SEARCH($BV$108,'Reference Score Calculation'!$Q136)),7,5)))))</f>
        <v>5</v>
      </c>
      <c r="CH159" s="455">
        <f>IF(ISNUMBER(SEARCH(CH$119,'Reference Score Calculation'!$P136)),10,IF(ISNUMBER(SEARCH(CH$119,'Reference Score Calculation'!$Q136)),7,IF(ISNUMBER(SEARCH(CH$119,'Reference Score Calculation'!$R136)),5,IF(ISNUMBER(SEARCH($BV$108,'Reference Score Calculation'!$P136)),10,IF(ISNUMBER(SEARCH($BV$108,'Reference Score Calculation'!$Q136)),7,5)))))</f>
        <v>5</v>
      </c>
      <c r="CI159" s="455">
        <f>IF(ISNUMBER(SEARCH(CI$119,'Reference Score Calculation'!$P136)),10,IF(ISNUMBER(SEARCH(CI$119,'Reference Score Calculation'!$Q136)),7,IF(ISNUMBER(SEARCH(CI$119,'Reference Score Calculation'!$R136)),5,IF(ISNUMBER(SEARCH($BV$108,'Reference Score Calculation'!$P136)),10,IF(ISNUMBER(SEARCH($BV$108,'Reference Score Calculation'!$Q136)),7,5)))))</f>
        <v>5</v>
      </c>
      <c r="CJ159" s="455">
        <f>IF(ISNUMBER(SEARCH(CJ$119,'Reference Score Calculation'!$P136)),10,IF(ISNUMBER(SEARCH(CJ$119,'Reference Score Calculation'!$Q136)),7,IF(ISNUMBER(SEARCH(CJ$119,'Reference Score Calculation'!$R136)),5,IF(ISNUMBER(SEARCH($BV$108,'Reference Score Calculation'!$P136)),10,IF(ISNUMBER(SEARCH($BV$108,'Reference Score Calculation'!$Q136)),7,5)))))</f>
        <v>7</v>
      </c>
      <c r="CK159" s="455">
        <f>IF(ISNUMBER(SEARCH(CK$119,'Reference Score Calculation'!$P136)),10,IF(ISNUMBER(SEARCH(CK$119,'Reference Score Calculation'!$Q136)),7,IF(ISNUMBER(SEARCH(CK$119,'Reference Score Calculation'!$R136)),5,IF(ISNUMBER(SEARCH($BV$108,'Reference Score Calculation'!$P136)),10,IF(ISNUMBER(SEARCH($BV$108,'Reference Score Calculation'!$Q136)),7,5)))))</f>
        <v>5</v>
      </c>
      <c r="CL159" s="455">
        <f>IF(ISNUMBER(SEARCH(CL$119,'Reference Score Calculation'!$P136)),10,IF(ISNUMBER(SEARCH(CL$119,'Reference Score Calculation'!$Q136)),7,IF(ISNUMBER(SEARCH(CL$119,'Reference Score Calculation'!$R136)),5,IF(ISNUMBER(SEARCH($BV$108,'Reference Score Calculation'!$P136)),10,IF(ISNUMBER(SEARCH($BV$108,'Reference Score Calculation'!$Q136)),7,5)))))</f>
        <v>5</v>
      </c>
      <c r="CM159" s="455">
        <f>IF(ISNUMBER(SEARCH(CM$119,'Reference Score Calculation'!$P136)),10,IF(ISNUMBER(SEARCH(CM$119,'Reference Score Calculation'!$Q136)),7,IF(ISNUMBER(SEARCH(CM$119,'Reference Score Calculation'!$R136)),5,IF(ISNUMBER(SEARCH($BV$108,'Reference Score Calculation'!$P136)),10,IF(ISNUMBER(SEARCH($BV$108,'Reference Score Calculation'!$Q136)),7,5)))))</f>
        <v>5</v>
      </c>
      <c r="CN159" s="455">
        <f>IF(ISNUMBER(SEARCH(CN$119,'Reference Score Calculation'!$P136)),10,IF(ISNUMBER(SEARCH(CN$119,'Reference Score Calculation'!$Q136)),7,IF(ISNUMBER(SEARCH(CN$119,'Reference Score Calculation'!$R136)),5,IF(ISNUMBER(SEARCH($BV$108,'Reference Score Calculation'!$P136)),10,IF(ISNUMBER(SEARCH($BV$108,'Reference Score Calculation'!$Q136)),7,5)))))</f>
        <v>5</v>
      </c>
      <c r="CO159" s="455">
        <f>IF(ISNUMBER(SEARCH(CO$119,'Reference Score Calculation'!$P136)),10,IF(ISNUMBER(SEARCH(CO$119,'Reference Score Calculation'!$Q136)),7,IF(ISNUMBER(SEARCH(CO$119,'Reference Score Calculation'!$R136)),5,IF(ISNUMBER(SEARCH($BV$108,'Reference Score Calculation'!$P136)),10,IF(ISNUMBER(SEARCH($BV$108,'Reference Score Calculation'!$Q136)),7,5)))))</f>
        <v>5</v>
      </c>
      <c r="CP159" s="455">
        <f>IF(ISNUMBER(SEARCH(CP$119,'Reference Score Calculation'!$P136)),10,IF(ISNUMBER(SEARCH(CP$119,'Reference Score Calculation'!$Q136)),7,IF(ISNUMBER(SEARCH(CP$119,'Reference Score Calculation'!$R136)),5,IF(ISNUMBER(SEARCH($BV$108,'Reference Score Calculation'!$P136)),10,IF(ISNUMBER(SEARCH($BV$108,'Reference Score Calculation'!$Q136)),7,5)))))</f>
        <v>5</v>
      </c>
      <c r="CQ159" s="455">
        <f>IF(ISNUMBER(SEARCH(CQ$119,'Reference Score Calculation'!$P136)),10,IF(ISNUMBER(SEARCH(CQ$119,'Reference Score Calculation'!$Q136)),7,IF(ISNUMBER(SEARCH(CQ$119,'Reference Score Calculation'!$R136)),5,IF(ISNUMBER(SEARCH($BV$108,'Reference Score Calculation'!$P136)),10,IF(ISNUMBER(SEARCH($BV$108,'Reference Score Calculation'!$Q136)),7,5)))))</f>
        <v>5</v>
      </c>
      <c r="CR159" s="455">
        <f>IF(ISNUMBER(SEARCH(CR$119,'Reference Score Calculation'!$P136)),10,IF(ISNUMBER(SEARCH(CR$119,'Reference Score Calculation'!$Q136)),7,IF(ISNUMBER(SEARCH(CR$119,'Reference Score Calculation'!$R136)),5,IF(ISNUMBER(SEARCH($BV$108,'Reference Score Calculation'!$P136)),10,IF(ISNUMBER(SEARCH($BV$108,'Reference Score Calculation'!$Q136)),7,5)))))</f>
        <v>5</v>
      </c>
      <c r="CS159" s="455">
        <f>IF(ISNUMBER(SEARCH(CS$119,'Reference Score Calculation'!$P136)),10,IF(ISNUMBER(SEARCH(CS$119,'Reference Score Calculation'!$Q136)),7,IF(ISNUMBER(SEARCH(CS$119,'Reference Score Calculation'!$R136)),5,IF(ISNUMBER(SEARCH($BV$108,'Reference Score Calculation'!$P136)),10,IF(ISNUMBER(SEARCH($BV$108,'Reference Score Calculation'!$Q136)),7,5)))))</f>
        <v>5</v>
      </c>
      <c r="CT159" s="455">
        <f>IF(ISNUMBER(SEARCH(CT$119,'Reference Score Calculation'!$P136)),10,IF(ISNUMBER(SEARCH(CT$119,'Reference Score Calculation'!$Q136)),7,IF(ISNUMBER(SEARCH(CT$119,'Reference Score Calculation'!$R136)),5,IF(ISNUMBER(SEARCH($BV$108,'Reference Score Calculation'!$P136)),10,IF(ISNUMBER(SEARCH($BV$108,'Reference Score Calculation'!$Q136)),7,5)))))</f>
        <v>5</v>
      </c>
      <c r="CU159" s="455">
        <f>IF(ISNUMBER(SEARCH(CU$119,'Reference Score Calculation'!$P136)),10,IF(ISNUMBER(SEARCH(CU$119,'Reference Score Calculation'!$Q136)),7,IF(ISNUMBER(SEARCH(CU$119,'Reference Score Calculation'!$R136)),5,IF(ISNUMBER(SEARCH($BV$108,'Reference Score Calculation'!$P136)),10,IF(ISNUMBER(SEARCH($BV$108,'Reference Score Calculation'!$Q136)),7,5)))))</f>
        <v>7</v>
      </c>
      <c r="CV159" s="455">
        <f>IF(ISNUMBER(SEARCH(CV$119,'Reference Score Calculation'!$P136)),10,IF(ISNUMBER(SEARCH(CV$119,'Reference Score Calculation'!$Q136)),7,IF(ISNUMBER(SEARCH(CV$119,'Reference Score Calculation'!$R136)),5,IF(ISNUMBER(SEARCH($BV$108,'Reference Score Calculation'!$P136)),10,IF(ISNUMBER(SEARCH($BV$108,'Reference Score Calculation'!$Q136)),7,5)))))</f>
        <v>5</v>
      </c>
      <c r="CW159" s="185"/>
      <c r="CX159" s="185"/>
      <c r="CY159" s="185"/>
    </row>
    <row r="160" spans="1:103">
      <c r="A160" s="117" t="s">
        <v>1143</v>
      </c>
      <c r="B160" s="459" t="str">
        <f>'Reference Score Calculation'!B137</f>
        <v>JS3648</v>
      </c>
      <c r="C160" s="117" t="str">
        <f>'Reference Score Calculation'!E137</f>
        <v>護理學(榮譽)理學士</v>
      </c>
      <c r="E160" s="131" t="str">
        <f>'Reference Score Calculation'!F137</f>
        <v>Best 5</v>
      </c>
      <c r="F160" s="131"/>
      <c r="G160" s="117" t="str">
        <f>入學要求!AB146</f>
        <v>v</v>
      </c>
      <c r="H160" s="117" t="str">
        <f>入學要求!AC146</f>
        <v>NO</v>
      </c>
      <c r="I160" s="117" t="str">
        <f>入學要求!AD146</f>
        <v>NO</v>
      </c>
      <c r="J160" s="117">
        <f t="shared" si="211"/>
        <v>9.5000000000000007E-9</v>
      </c>
      <c r="K160" s="117">
        <f t="shared" si="244"/>
        <v>10</v>
      </c>
      <c r="L160" s="117">
        <f t="shared" si="244"/>
        <v>10</v>
      </c>
      <c r="M160" s="117">
        <f t="shared" si="244"/>
        <v>10</v>
      </c>
      <c r="N160" s="117">
        <f t="shared" si="244"/>
        <v>0</v>
      </c>
      <c r="O160" s="117">
        <f t="shared" si="244"/>
        <v>7</v>
      </c>
      <c r="P160" s="117">
        <f t="shared" si="244"/>
        <v>0</v>
      </c>
      <c r="Q160" s="117">
        <f t="shared" si="244"/>
        <v>0</v>
      </c>
      <c r="R160" s="117">
        <f t="shared" si="244"/>
        <v>0</v>
      </c>
      <c r="S160" s="117">
        <f t="shared" si="244"/>
        <v>0</v>
      </c>
      <c r="T160" s="117">
        <v>5</v>
      </c>
      <c r="V160" s="117">
        <f t="shared" si="224"/>
        <v>1.0000000000000001E-9</v>
      </c>
      <c r="W160" s="117">
        <f t="shared" si="225"/>
        <v>2.0000000000000001E-9</v>
      </c>
      <c r="X160" s="117">
        <f t="shared" si="226"/>
        <v>3E-9</v>
      </c>
      <c r="Z160" s="117">
        <f t="shared" si="227"/>
        <v>3.5000000000000003E-9</v>
      </c>
      <c r="AA160" s="117">
        <f t="shared" si="228"/>
        <v>0</v>
      </c>
      <c r="AB160" s="117">
        <f t="shared" si="229"/>
        <v>0</v>
      </c>
      <c r="AC160" s="117">
        <f t="shared" si="230"/>
        <v>0</v>
      </c>
      <c r="AD160" s="117">
        <f t="shared" si="231"/>
        <v>0</v>
      </c>
      <c r="AE160" s="117">
        <f t="shared" si="232"/>
        <v>0</v>
      </c>
      <c r="AF160" s="117">
        <f t="shared" si="213"/>
        <v>1.0000000000000001E-9</v>
      </c>
      <c r="AG160" s="117">
        <f t="shared" si="214"/>
        <v>2.0000000000000001E-9</v>
      </c>
      <c r="AH160" s="117">
        <f t="shared" si="215"/>
        <v>3E-9</v>
      </c>
      <c r="AI160" s="117">
        <f t="shared" si="216"/>
        <v>0</v>
      </c>
      <c r="AJ160" s="117">
        <f t="shared" si="217"/>
        <v>3.5000000000000003E-9</v>
      </c>
      <c r="AK160" s="117">
        <f t="shared" si="218"/>
        <v>0</v>
      </c>
      <c r="AL160" s="117">
        <f t="shared" si="219"/>
        <v>0</v>
      </c>
      <c r="AM160" s="117">
        <f t="shared" si="220"/>
        <v>0</v>
      </c>
      <c r="AN160" s="117">
        <f t="shared" si="221"/>
        <v>0</v>
      </c>
      <c r="AO160" s="117">
        <f t="shared" si="222"/>
        <v>0</v>
      </c>
      <c r="AP160" s="117" t="b">
        <f t="shared" si="233"/>
        <v>1</v>
      </c>
      <c r="AQ160" s="117" t="b">
        <f t="shared" si="234"/>
        <v>1</v>
      </c>
      <c r="AR160" s="117" t="b">
        <f t="shared" si="235"/>
        <v>1</v>
      </c>
      <c r="AT160" s="117" t="b">
        <f t="shared" si="236"/>
        <v>1</v>
      </c>
      <c r="AU160" s="117" t="b">
        <f t="shared" si="237"/>
        <v>0</v>
      </c>
      <c r="AV160" s="117" t="b">
        <f t="shared" si="238"/>
        <v>0</v>
      </c>
      <c r="AW160" s="117" t="b">
        <f t="shared" si="239"/>
        <v>0</v>
      </c>
      <c r="AX160" s="117" t="b">
        <f t="shared" si="240"/>
        <v>0</v>
      </c>
      <c r="AY160" s="117" t="b">
        <f t="shared" si="241"/>
        <v>0</v>
      </c>
      <c r="BA160" s="2"/>
      <c r="BB160" s="2"/>
      <c r="BC160" s="2"/>
      <c r="BD160" s="2"/>
      <c r="BE160" s="2"/>
      <c r="BF160" s="2"/>
      <c r="BG160" s="2"/>
      <c r="BH160" s="2"/>
      <c r="BI160" s="2"/>
      <c r="BJ160" s="2"/>
      <c r="BK160" s="2"/>
      <c r="BL160" s="2"/>
      <c r="BM160" s="2"/>
      <c r="BN160" s="2"/>
      <c r="BO160" s="2"/>
      <c r="BP160" s="2"/>
      <c r="BQ160" s="2"/>
      <c r="BR160" s="2"/>
      <c r="BS160" s="185" t="str">
        <f>'Reference Score Calculation'!B137</f>
        <v>JS3648</v>
      </c>
      <c r="BT160" s="185"/>
      <c r="BU160" s="455">
        <f>IF(ISNUMBER(SEARCH(BU$119,'Reference Score Calculation'!$P137)),10,IF(ISNUMBER(SEARCH(BU$119,'Reference Score Calculation'!$Q137)),7,IF(ISNUMBER(SEARCH(BU$119,'Reference Score Calculation'!$R137)),5,IF(ISNUMBER(SEARCH($BV$108,'Reference Score Calculation'!$P137)),10,IF(ISNUMBER(SEARCH($BV$108,'Reference Score Calculation'!$Q137)),7,5)))))</f>
        <v>10</v>
      </c>
      <c r="BV160" s="455">
        <f>IF(ISNUMBER(SEARCH(BV$119,'Reference Score Calculation'!$P137)),10,IF(ISNUMBER(SEARCH(BV$119,'Reference Score Calculation'!$Q137)),7,IF(ISNUMBER(SEARCH(BV$119,'Reference Score Calculation'!$R137)),5,IF(ISNUMBER(SEARCH($BV$108,'Reference Score Calculation'!$P137)),10,IF(ISNUMBER(SEARCH($BV$108,'Reference Score Calculation'!$Q137)),7,5)))))</f>
        <v>10</v>
      </c>
      <c r="BW160" s="455">
        <f>IF(ISNUMBER(SEARCH(BW$119,'Reference Score Calculation'!$P137)),10,IF(ISNUMBER(SEARCH(BW$119,'Reference Score Calculation'!$Q137)),7,IF(ISNUMBER(SEARCH(BW$119,'Reference Score Calculation'!$R137)),5,IF(ISNUMBER(SEARCH($BV$108,'Reference Score Calculation'!$P137)),10,IF(ISNUMBER(SEARCH($BV$108,'Reference Score Calculation'!$Q137)),7,5)))))</f>
        <v>10</v>
      </c>
      <c r="BX160" s="455">
        <f>IF(ISNUMBER(SEARCH(BX$119,'Reference Score Calculation'!$P137)),10,IF(ISNUMBER(SEARCH(BX$119,'Reference Score Calculation'!$Q137)),7,IF(ISNUMBER(SEARCH(BX$119,'Reference Score Calculation'!$R137)),5,IF(ISNUMBER(SEARCH($BV$108,'Reference Score Calculation'!$P137)),10,IF(ISNUMBER(SEARCH($BV$108,'Reference Score Calculation'!$Q137)),7,5)))))</f>
        <v>7</v>
      </c>
      <c r="BY160" s="455">
        <f>IF(ISNUMBER(SEARCH(BY$119,'Reference Score Calculation'!$P137)),10,IF(ISNUMBER(SEARCH(BY$119,'Reference Score Calculation'!$Q137)),7,IF(ISNUMBER(SEARCH(BY$119,'Reference Score Calculation'!$R137)),5,IF(ISNUMBER(SEARCH($BV$108,'Reference Score Calculation'!$P137)),10,IF(ISNUMBER(SEARCH($BV$108,'Reference Score Calculation'!$Q137)),7,5)))))</f>
        <v>7</v>
      </c>
      <c r="BZ160" s="455">
        <f>IF(ISNUMBER(SEARCH(BZ$119,'Reference Score Calculation'!$P137)),10,IF(ISNUMBER(SEARCH(BZ$119,'Reference Score Calculation'!$Q137)),7,IF(ISNUMBER(SEARCH(BZ$119,'Reference Score Calculation'!$R137)),5,IF(ISNUMBER(SEARCH($BV$108,'Reference Score Calculation'!$P137)),10,IF(ISNUMBER(SEARCH($BV$108,'Reference Score Calculation'!$Q137)),7,5)))))</f>
        <v>7</v>
      </c>
      <c r="CA160" s="455">
        <f>IF(ISNUMBER(SEARCH(CA$119,'Reference Score Calculation'!$P137)),10,IF(ISNUMBER(SEARCH(CA$119,'Reference Score Calculation'!$Q137)),7,IF(ISNUMBER(SEARCH(CA$119,'Reference Score Calculation'!$R137)),5,IF(ISNUMBER(SEARCH($BV$108,'Reference Score Calculation'!$P137)),10,IF(ISNUMBER(SEARCH($BV$108,'Reference Score Calculation'!$Q137)),7,5)))))</f>
        <v>7</v>
      </c>
      <c r="CB160" s="455">
        <f>IF(ISNUMBER(SEARCH(CB$119,'Reference Score Calculation'!$P137)),10,IF(ISNUMBER(SEARCH(CB$119,'Reference Score Calculation'!$Q137)),7,IF(ISNUMBER(SEARCH(CB$119,'Reference Score Calculation'!$R137)),5,IF(ISNUMBER(SEARCH($BV$108,'Reference Score Calculation'!$P137)),10,IF(ISNUMBER(SEARCH($BV$108,'Reference Score Calculation'!$Q137)),7,5)))))</f>
        <v>10</v>
      </c>
      <c r="CC160" s="455">
        <f>IF(ISNUMBER(SEARCH(CC$119,'Reference Score Calculation'!$P137)),10,IF(ISNUMBER(SEARCH(CC$119,'Reference Score Calculation'!$Q137)),7,IF(ISNUMBER(SEARCH(CC$119,'Reference Score Calculation'!$R137)),5,IF(ISNUMBER(SEARCH($BV$108,'Reference Score Calculation'!$P137)),10,IF(ISNUMBER(SEARCH($BV$108,'Reference Score Calculation'!$Q137)),7,5)))))</f>
        <v>7</v>
      </c>
      <c r="CD160" s="455">
        <f>IF(ISNUMBER(SEARCH(CD$119,'Reference Score Calculation'!$P137)),10,IF(ISNUMBER(SEARCH(CD$119,'Reference Score Calculation'!$Q137)),7,IF(ISNUMBER(SEARCH(CD$119,'Reference Score Calculation'!$R137)),5,IF(ISNUMBER(SEARCH($BV$108,'Reference Score Calculation'!$P137)),10,IF(ISNUMBER(SEARCH($BV$108,'Reference Score Calculation'!$Q137)),7,5)))))</f>
        <v>7</v>
      </c>
      <c r="CE160" s="455">
        <f>IF(ISNUMBER(SEARCH(CE$119,'Reference Score Calculation'!$P137)),10,IF(ISNUMBER(SEARCH(CE$119,'Reference Score Calculation'!$Q137)),7,IF(ISNUMBER(SEARCH(CE$119,'Reference Score Calculation'!$R137)),5,IF(ISNUMBER(SEARCH($BV$108,'Reference Score Calculation'!$P137)),10,IF(ISNUMBER(SEARCH($BV$108,'Reference Score Calculation'!$Q137)),7,5)))))</f>
        <v>7</v>
      </c>
      <c r="CF160" s="455">
        <f>IF(ISNUMBER(SEARCH(CF$119,'Reference Score Calculation'!$P137)),10,IF(ISNUMBER(SEARCH(CF$119,'Reference Score Calculation'!$Q137)),7,IF(ISNUMBER(SEARCH(CF$119,'Reference Score Calculation'!$R137)),5,IF(ISNUMBER(SEARCH($BV$108,'Reference Score Calculation'!$P137)),10,IF(ISNUMBER(SEARCH($BV$108,'Reference Score Calculation'!$Q137)),7,5)))))</f>
        <v>7</v>
      </c>
      <c r="CG160" s="455">
        <f>IF(ISNUMBER(SEARCH(CG$119,'Reference Score Calculation'!$P137)),10,IF(ISNUMBER(SEARCH(CG$119,'Reference Score Calculation'!$Q137)),7,IF(ISNUMBER(SEARCH(CG$119,'Reference Score Calculation'!$R137)),5,IF(ISNUMBER(SEARCH($BV$108,'Reference Score Calculation'!$P137)),10,IF(ISNUMBER(SEARCH($BV$108,'Reference Score Calculation'!$Q137)),7,5)))))</f>
        <v>7</v>
      </c>
      <c r="CH160" s="455">
        <f>IF(ISNUMBER(SEARCH(CH$119,'Reference Score Calculation'!$P137)),10,IF(ISNUMBER(SEARCH(CH$119,'Reference Score Calculation'!$Q137)),7,IF(ISNUMBER(SEARCH(CH$119,'Reference Score Calculation'!$R137)),5,IF(ISNUMBER(SEARCH($BV$108,'Reference Score Calculation'!$P137)),10,IF(ISNUMBER(SEARCH($BV$108,'Reference Score Calculation'!$Q137)),7,5)))))</f>
        <v>7</v>
      </c>
      <c r="CI160" s="455">
        <f>IF(ISNUMBER(SEARCH(CI$119,'Reference Score Calculation'!$P137)),10,IF(ISNUMBER(SEARCH(CI$119,'Reference Score Calculation'!$Q137)),7,IF(ISNUMBER(SEARCH(CI$119,'Reference Score Calculation'!$R137)),5,IF(ISNUMBER(SEARCH($BV$108,'Reference Score Calculation'!$P137)),10,IF(ISNUMBER(SEARCH($BV$108,'Reference Score Calculation'!$Q137)),7,5)))))</f>
        <v>7</v>
      </c>
      <c r="CJ160" s="455">
        <f>IF(ISNUMBER(SEARCH(CJ$119,'Reference Score Calculation'!$P137)),10,IF(ISNUMBER(SEARCH(CJ$119,'Reference Score Calculation'!$Q137)),7,IF(ISNUMBER(SEARCH(CJ$119,'Reference Score Calculation'!$R137)),5,IF(ISNUMBER(SEARCH($BV$108,'Reference Score Calculation'!$P137)),10,IF(ISNUMBER(SEARCH($BV$108,'Reference Score Calculation'!$Q137)),7,5)))))</f>
        <v>7</v>
      </c>
      <c r="CK160" s="455">
        <f>IF(ISNUMBER(SEARCH(CK$119,'Reference Score Calculation'!$P137)),10,IF(ISNUMBER(SEARCH(CK$119,'Reference Score Calculation'!$Q137)),7,IF(ISNUMBER(SEARCH(CK$119,'Reference Score Calculation'!$R137)),5,IF(ISNUMBER(SEARCH($BV$108,'Reference Score Calculation'!$P137)),10,IF(ISNUMBER(SEARCH($BV$108,'Reference Score Calculation'!$Q137)),7,5)))))</f>
        <v>7</v>
      </c>
      <c r="CL160" s="455">
        <f>IF(ISNUMBER(SEARCH(CL$119,'Reference Score Calculation'!$P137)),10,IF(ISNUMBER(SEARCH(CL$119,'Reference Score Calculation'!$Q137)),7,IF(ISNUMBER(SEARCH(CL$119,'Reference Score Calculation'!$R137)),5,IF(ISNUMBER(SEARCH($BV$108,'Reference Score Calculation'!$P137)),10,IF(ISNUMBER(SEARCH($BV$108,'Reference Score Calculation'!$Q137)),7,5)))))</f>
        <v>7</v>
      </c>
      <c r="CM160" s="455">
        <f>IF(ISNUMBER(SEARCH(CM$119,'Reference Score Calculation'!$P137)),10,IF(ISNUMBER(SEARCH(CM$119,'Reference Score Calculation'!$Q137)),7,IF(ISNUMBER(SEARCH(CM$119,'Reference Score Calculation'!$R137)),5,IF(ISNUMBER(SEARCH($BV$108,'Reference Score Calculation'!$P137)),10,IF(ISNUMBER(SEARCH($BV$108,'Reference Score Calculation'!$Q137)),7,5)))))</f>
        <v>7</v>
      </c>
      <c r="CN160" s="455">
        <f>IF(ISNUMBER(SEARCH(CN$119,'Reference Score Calculation'!$P137)),10,IF(ISNUMBER(SEARCH(CN$119,'Reference Score Calculation'!$Q137)),7,IF(ISNUMBER(SEARCH(CN$119,'Reference Score Calculation'!$R137)),5,IF(ISNUMBER(SEARCH($BV$108,'Reference Score Calculation'!$P137)),10,IF(ISNUMBER(SEARCH($BV$108,'Reference Score Calculation'!$Q137)),7,5)))))</f>
        <v>7</v>
      </c>
      <c r="CO160" s="455">
        <f>IF(ISNUMBER(SEARCH(CO$119,'Reference Score Calculation'!$P137)),10,IF(ISNUMBER(SEARCH(CO$119,'Reference Score Calculation'!$Q137)),7,IF(ISNUMBER(SEARCH(CO$119,'Reference Score Calculation'!$R137)),5,IF(ISNUMBER(SEARCH($BV$108,'Reference Score Calculation'!$P137)),10,IF(ISNUMBER(SEARCH($BV$108,'Reference Score Calculation'!$Q137)),7,5)))))</f>
        <v>7</v>
      </c>
      <c r="CP160" s="455">
        <f>IF(ISNUMBER(SEARCH(CP$119,'Reference Score Calculation'!$P137)),10,IF(ISNUMBER(SEARCH(CP$119,'Reference Score Calculation'!$Q137)),7,IF(ISNUMBER(SEARCH(CP$119,'Reference Score Calculation'!$R137)),5,IF(ISNUMBER(SEARCH($BV$108,'Reference Score Calculation'!$P137)),10,IF(ISNUMBER(SEARCH($BV$108,'Reference Score Calculation'!$Q137)),7,5)))))</f>
        <v>7</v>
      </c>
      <c r="CQ160" s="455">
        <f>IF(ISNUMBER(SEARCH(CQ$119,'Reference Score Calculation'!$P137)),10,IF(ISNUMBER(SEARCH(CQ$119,'Reference Score Calculation'!$Q137)),7,IF(ISNUMBER(SEARCH(CQ$119,'Reference Score Calculation'!$R137)),5,IF(ISNUMBER(SEARCH($BV$108,'Reference Score Calculation'!$P137)),10,IF(ISNUMBER(SEARCH($BV$108,'Reference Score Calculation'!$Q137)),7,5)))))</f>
        <v>7</v>
      </c>
      <c r="CR160" s="455">
        <f>IF(ISNUMBER(SEARCH(CR$119,'Reference Score Calculation'!$P137)),10,IF(ISNUMBER(SEARCH(CR$119,'Reference Score Calculation'!$Q137)),7,IF(ISNUMBER(SEARCH(CR$119,'Reference Score Calculation'!$R137)),5,IF(ISNUMBER(SEARCH($BV$108,'Reference Score Calculation'!$P137)),10,IF(ISNUMBER(SEARCH($BV$108,'Reference Score Calculation'!$Q137)),7,5)))))</f>
        <v>7</v>
      </c>
      <c r="CS160" s="455">
        <f>IF(ISNUMBER(SEARCH(CS$119,'Reference Score Calculation'!$P137)),10,IF(ISNUMBER(SEARCH(CS$119,'Reference Score Calculation'!$Q137)),7,IF(ISNUMBER(SEARCH(CS$119,'Reference Score Calculation'!$R137)),5,IF(ISNUMBER(SEARCH($BV$108,'Reference Score Calculation'!$P137)),10,IF(ISNUMBER(SEARCH($BV$108,'Reference Score Calculation'!$Q137)),7,5)))))</f>
        <v>7</v>
      </c>
      <c r="CT160" s="455">
        <f>IF(ISNUMBER(SEARCH(CT$119,'Reference Score Calculation'!$P137)),10,IF(ISNUMBER(SEARCH(CT$119,'Reference Score Calculation'!$Q137)),7,IF(ISNUMBER(SEARCH(CT$119,'Reference Score Calculation'!$R137)),5,IF(ISNUMBER(SEARCH($BV$108,'Reference Score Calculation'!$P137)),10,IF(ISNUMBER(SEARCH($BV$108,'Reference Score Calculation'!$Q137)),7,5)))))</f>
        <v>7</v>
      </c>
      <c r="CU160" s="455">
        <f>IF(ISNUMBER(SEARCH(CU$119,'Reference Score Calculation'!$P137)),10,IF(ISNUMBER(SEARCH(CU$119,'Reference Score Calculation'!$Q137)),7,IF(ISNUMBER(SEARCH(CU$119,'Reference Score Calculation'!$R137)),5,IF(ISNUMBER(SEARCH($BV$108,'Reference Score Calculation'!$P137)),10,IF(ISNUMBER(SEARCH($BV$108,'Reference Score Calculation'!$Q137)),7,5)))))</f>
        <v>7</v>
      </c>
      <c r="CV160" s="455">
        <f>IF(ISNUMBER(SEARCH(CV$119,'Reference Score Calculation'!$P137)),10,IF(ISNUMBER(SEARCH(CV$119,'Reference Score Calculation'!$Q137)),7,IF(ISNUMBER(SEARCH(CV$119,'Reference Score Calculation'!$R137)),5,IF(ISNUMBER(SEARCH($BV$108,'Reference Score Calculation'!$P137)),10,IF(ISNUMBER(SEARCH($BV$108,'Reference Score Calculation'!$Q137)),7,5)))))</f>
        <v>7</v>
      </c>
      <c r="CW160" s="185"/>
      <c r="CX160" s="185"/>
      <c r="CY160" s="185"/>
    </row>
    <row r="161" spans="1:103">
      <c r="A161" s="117" t="s">
        <v>1937</v>
      </c>
      <c r="B161" s="459" t="str">
        <f>'Reference Score Calculation'!B138</f>
        <v>JS3739</v>
      </c>
      <c r="C161" s="117" t="str">
        <f>'Reference Score Calculation'!E138</f>
        <v>土木工程學(榮譽)工學士</v>
      </c>
      <c r="E161" s="131" t="str">
        <f>'Reference Score Calculation'!F138</f>
        <v>Best 5</v>
      </c>
      <c r="F161" s="131"/>
      <c r="G161" s="117" t="str">
        <f>入學要求!AB147</f>
        <v>v</v>
      </c>
      <c r="H161" s="117" t="str">
        <f>入學要求!AC147</f>
        <v>E</v>
      </c>
      <c r="I161" s="117" t="str">
        <f>入學要求!AD147</f>
        <v>v</v>
      </c>
      <c r="J161" s="117">
        <f t="shared" si="211"/>
        <v>1.1000000000000001E-8</v>
      </c>
      <c r="K161" s="117">
        <f t="shared" si="244"/>
        <v>10</v>
      </c>
      <c r="L161" s="117">
        <f t="shared" si="244"/>
        <v>10</v>
      </c>
      <c r="M161" s="117">
        <f t="shared" si="244"/>
        <v>10</v>
      </c>
      <c r="N161" s="117">
        <f t="shared" si="244"/>
        <v>0</v>
      </c>
      <c r="O161" s="117">
        <f t="shared" si="244"/>
        <v>10</v>
      </c>
      <c r="P161" s="117">
        <f t="shared" si="244"/>
        <v>0</v>
      </c>
      <c r="Q161" s="117">
        <f t="shared" si="244"/>
        <v>0</v>
      </c>
      <c r="R161" s="117">
        <f t="shared" si="244"/>
        <v>0</v>
      </c>
      <c r="S161" s="117">
        <f t="shared" si="244"/>
        <v>0</v>
      </c>
      <c r="T161" s="117">
        <v>5</v>
      </c>
      <c r="V161" s="117">
        <f t="shared" si="224"/>
        <v>1.0000000000000001E-9</v>
      </c>
      <c r="W161" s="117">
        <f t="shared" si="225"/>
        <v>2.0000000000000001E-9</v>
      </c>
      <c r="X161" s="117">
        <f t="shared" si="226"/>
        <v>3E-9</v>
      </c>
      <c r="Z161" s="117">
        <f t="shared" si="227"/>
        <v>5.0000000000000001E-9</v>
      </c>
      <c r="AA161" s="117">
        <f t="shared" si="228"/>
        <v>0</v>
      </c>
      <c r="AB161" s="117">
        <f t="shared" si="229"/>
        <v>0</v>
      </c>
      <c r="AC161" s="117">
        <f t="shared" si="230"/>
        <v>0</v>
      </c>
      <c r="AD161" s="117">
        <f t="shared" si="231"/>
        <v>0</v>
      </c>
      <c r="AE161" s="117">
        <f t="shared" si="232"/>
        <v>0</v>
      </c>
      <c r="AF161" s="117">
        <f t="shared" si="213"/>
        <v>1.0000000000000001E-9</v>
      </c>
      <c r="AG161" s="117">
        <f t="shared" si="214"/>
        <v>2.0000000000000001E-9</v>
      </c>
      <c r="AH161" s="117">
        <f t="shared" si="215"/>
        <v>3E-9</v>
      </c>
      <c r="AI161" s="117">
        <f t="shared" si="216"/>
        <v>0</v>
      </c>
      <c r="AJ161" s="117">
        <f t="shared" si="217"/>
        <v>5.0000000000000001E-9</v>
      </c>
      <c r="AK161" s="117">
        <f t="shared" si="218"/>
        <v>0</v>
      </c>
      <c r="AL161" s="117">
        <f t="shared" si="219"/>
        <v>0</v>
      </c>
      <c r="AM161" s="117">
        <f t="shared" si="220"/>
        <v>0</v>
      </c>
      <c r="AN161" s="117">
        <f t="shared" si="221"/>
        <v>0</v>
      </c>
      <c r="AO161" s="117">
        <f t="shared" si="222"/>
        <v>0</v>
      </c>
      <c r="AP161" s="117" t="b">
        <f t="shared" si="233"/>
        <v>1</v>
      </c>
      <c r="AQ161" s="117" t="b">
        <f t="shared" si="234"/>
        <v>1</v>
      </c>
      <c r="AR161" s="117" t="b">
        <f t="shared" si="235"/>
        <v>1</v>
      </c>
      <c r="AT161" s="117" t="b">
        <f t="shared" si="236"/>
        <v>1</v>
      </c>
      <c r="AU161" s="117" t="b">
        <f t="shared" si="237"/>
        <v>0</v>
      </c>
      <c r="AV161" s="117" t="b">
        <f t="shared" si="238"/>
        <v>0</v>
      </c>
      <c r="AW161" s="117" t="b">
        <f t="shared" si="239"/>
        <v>0</v>
      </c>
      <c r="AX161" s="117" t="b">
        <f t="shared" si="240"/>
        <v>0</v>
      </c>
      <c r="AY161" s="117" t="b">
        <f t="shared" si="241"/>
        <v>0</v>
      </c>
      <c r="BA161" s="2"/>
      <c r="BB161" s="2"/>
      <c r="BC161" s="2"/>
      <c r="BD161" s="2"/>
      <c r="BE161" s="2"/>
      <c r="BF161" s="2"/>
      <c r="BG161" s="2"/>
      <c r="BH161" s="2"/>
      <c r="BI161" s="2"/>
      <c r="BJ161" s="2"/>
      <c r="BK161" s="2"/>
      <c r="BL161" s="2"/>
      <c r="BM161" s="2"/>
      <c r="BN161" s="2"/>
      <c r="BO161" s="2"/>
      <c r="BP161" s="2"/>
      <c r="BQ161" s="2"/>
      <c r="BR161" s="2"/>
      <c r="BS161" s="185" t="str">
        <f>'Reference Score Calculation'!B138</f>
        <v>JS3739</v>
      </c>
      <c r="BT161" s="185"/>
      <c r="BU161" s="455">
        <f>IF(ISNUMBER(SEARCH(BU$119,'Reference Score Calculation'!$P138)),10,IF(ISNUMBER(SEARCH(BU$119,'Reference Score Calculation'!$Q138)),7,IF(ISNUMBER(SEARCH(BU$119,'Reference Score Calculation'!$R138)),5,IF(ISNUMBER(SEARCH($BV$108,'Reference Score Calculation'!$P138)),10,IF(ISNUMBER(SEARCH($BV$108,'Reference Score Calculation'!$Q138)),7,5)))))</f>
        <v>10</v>
      </c>
      <c r="BV161" s="455">
        <f>IF(ISNUMBER(SEARCH(BV$119,'Reference Score Calculation'!$P138)),10,IF(ISNUMBER(SEARCH(BV$119,'Reference Score Calculation'!$Q138)),7,IF(ISNUMBER(SEARCH(BV$119,'Reference Score Calculation'!$R138)),5,IF(ISNUMBER(SEARCH($BV$108,'Reference Score Calculation'!$P138)),10,IF(ISNUMBER(SEARCH($BV$108,'Reference Score Calculation'!$Q138)),7,5)))))</f>
        <v>10</v>
      </c>
      <c r="BW161" s="455">
        <f>IF(ISNUMBER(SEARCH(BW$119,'Reference Score Calculation'!$P138)),10,IF(ISNUMBER(SEARCH(BW$119,'Reference Score Calculation'!$Q138)),7,IF(ISNUMBER(SEARCH(BW$119,'Reference Score Calculation'!$R138)),5,IF(ISNUMBER(SEARCH($BV$108,'Reference Score Calculation'!$P138)),10,IF(ISNUMBER(SEARCH($BV$108,'Reference Score Calculation'!$Q138)),7,5)))))</f>
        <v>10</v>
      </c>
      <c r="BX161" s="455">
        <f>IF(ISNUMBER(SEARCH(BX$119,'Reference Score Calculation'!$P138)),10,IF(ISNUMBER(SEARCH(BX$119,'Reference Score Calculation'!$Q138)),7,IF(ISNUMBER(SEARCH(BX$119,'Reference Score Calculation'!$R138)),5,IF(ISNUMBER(SEARCH($BV$108,'Reference Score Calculation'!$P138)),10,IF(ISNUMBER(SEARCH($BV$108,'Reference Score Calculation'!$Q138)),7,5)))))</f>
        <v>5</v>
      </c>
      <c r="BY161" s="455">
        <f>IF(ISNUMBER(SEARCH(BY$119,'Reference Score Calculation'!$P138)),10,IF(ISNUMBER(SEARCH(BY$119,'Reference Score Calculation'!$Q138)),7,IF(ISNUMBER(SEARCH(BY$119,'Reference Score Calculation'!$R138)),5,IF(ISNUMBER(SEARCH($BV$108,'Reference Score Calculation'!$P138)),10,IF(ISNUMBER(SEARCH($BV$108,'Reference Score Calculation'!$Q138)),7,5)))))</f>
        <v>10</v>
      </c>
      <c r="BZ161" s="455">
        <f>IF(ISNUMBER(SEARCH(BZ$119,'Reference Score Calculation'!$P138)),10,IF(ISNUMBER(SEARCH(BZ$119,'Reference Score Calculation'!$Q138)),7,IF(ISNUMBER(SEARCH(BZ$119,'Reference Score Calculation'!$R138)),5,IF(ISNUMBER(SEARCH($BV$108,'Reference Score Calculation'!$P138)),10,IF(ISNUMBER(SEARCH($BV$108,'Reference Score Calculation'!$Q138)),7,5)))))</f>
        <v>10</v>
      </c>
      <c r="CA161" s="455">
        <f>IF(ISNUMBER(SEARCH(CA$119,'Reference Score Calculation'!$P138)),10,IF(ISNUMBER(SEARCH(CA$119,'Reference Score Calculation'!$Q138)),7,IF(ISNUMBER(SEARCH(CA$119,'Reference Score Calculation'!$R138)),5,IF(ISNUMBER(SEARCH($BV$108,'Reference Score Calculation'!$P138)),10,IF(ISNUMBER(SEARCH($BV$108,'Reference Score Calculation'!$Q138)),7,5)))))</f>
        <v>10</v>
      </c>
      <c r="CB161" s="455">
        <f>IF(ISNUMBER(SEARCH(CB$119,'Reference Score Calculation'!$P138)),10,IF(ISNUMBER(SEARCH(CB$119,'Reference Score Calculation'!$Q138)),7,IF(ISNUMBER(SEARCH(CB$119,'Reference Score Calculation'!$R138)),5,IF(ISNUMBER(SEARCH($BV$108,'Reference Score Calculation'!$P138)),10,IF(ISNUMBER(SEARCH($BV$108,'Reference Score Calculation'!$Q138)),7,5)))))</f>
        <v>10</v>
      </c>
      <c r="CC161" s="455">
        <f>IF(ISNUMBER(SEARCH(CC$119,'Reference Score Calculation'!$P138)),10,IF(ISNUMBER(SEARCH(CC$119,'Reference Score Calculation'!$Q138)),7,IF(ISNUMBER(SEARCH(CC$119,'Reference Score Calculation'!$R138)),5,IF(ISNUMBER(SEARCH($BV$108,'Reference Score Calculation'!$P138)),10,IF(ISNUMBER(SEARCH($BV$108,'Reference Score Calculation'!$Q138)),7,5)))))</f>
        <v>10</v>
      </c>
      <c r="CD161" s="455">
        <f>IF(ISNUMBER(SEARCH(CD$119,'Reference Score Calculation'!$P138)),10,IF(ISNUMBER(SEARCH(CD$119,'Reference Score Calculation'!$Q138)),7,IF(ISNUMBER(SEARCH(CD$119,'Reference Score Calculation'!$R138)),5,IF(ISNUMBER(SEARCH($BV$108,'Reference Score Calculation'!$P138)),10,IF(ISNUMBER(SEARCH($BV$108,'Reference Score Calculation'!$Q138)),7,5)))))</f>
        <v>10</v>
      </c>
      <c r="CE161" s="455">
        <f>IF(ISNUMBER(SEARCH(CE$119,'Reference Score Calculation'!$P138)),10,IF(ISNUMBER(SEARCH(CE$119,'Reference Score Calculation'!$Q138)),7,IF(ISNUMBER(SEARCH(CE$119,'Reference Score Calculation'!$R138)),5,IF(ISNUMBER(SEARCH($BV$108,'Reference Score Calculation'!$P138)),10,IF(ISNUMBER(SEARCH($BV$108,'Reference Score Calculation'!$Q138)),7,5)))))</f>
        <v>5</v>
      </c>
      <c r="CF161" s="455">
        <f>IF(ISNUMBER(SEARCH(CF$119,'Reference Score Calculation'!$P138)),10,IF(ISNUMBER(SEARCH(CF$119,'Reference Score Calculation'!$Q138)),7,IF(ISNUMBER(SEARCH(CF$119,'Reference Score Calculation'!$R138)),5,IF(ISNUMBER(SEARCH($BV$108,'Reference Score Calculation'!$P138)),10,IF(ISNUMBER(SEARCH($BV$108,'Reference Score Calculation'!$Q138)),7,5)))))</f>
        <v>5</v>
      </c>
      <c r="CG161" s="455">
        <f>IF(ISNUMBER(SEARCH(CG$119,'Reference Score Calculation'!$P138)),10,IF(ISNUMBER(SEARCH(CG$119,'Reference Score Calculation'!$Q138)),7,IF(ISNUMBER(SEARCH(CG$119,'Reference Score Calculation'!$R138)),5,IF(ISNUMBER(SEARCH($BV$108,'Reference Score Calculation'!$P138)),10,IF(ISNUMBER(SEARCH($BV$108,'Reference Score Calculation'!$Q138)),7,5)))))</f>
        <v>5</v>
      </c>
      <c r="CH161" s="455">
        <f>IF(ISNUMBER(SEARCH(CH$119,'Reference Score Calculation'!$P138)),10,IF(ISNUMBER(SEARCH(CH$119,'Reference Score Calculation'!$Q138)),7,IF(ISNUMBER(SEARCH(CH$119,'Reference Score Calculation'!$R138)),5,IF(ISNUMBER(SEARCH($BV$108,'Reference Score Calculation'!$P138)),10,IF(ISNUMBER(SEARCH($BV$108,'Reference Score Calculation'!$Q138)),7,5)))))</f>
        <v>5</v>
      </c>
      <c r="CI161" s="455">
        <f>IF(ISNUMBER(SEARCH(CI$119,'Reference Score Calculation'!$P138)),10,IF(ISNUMBER(SEARCH(CI$119,'Reference Score Calculation'!$Q138)),7,IF(ISNUMBER(SEARCH(CI$119,'Reference Score Calculation'!$R138)),5,IF(ISNUMBER(SEARCH($BV$108,'Reference Score Calculation'!$P138)),10,IF(ISNUMBER(SEARCH($BV$108,'Reference Score Calculation'!$Q138)),7,5)))))</f>
        <v>5</v>
      </c>
      <c r="CJ161" s="455">
        <f>IF(ISNUMBER(SEARCH(CJ$119,'Reference Score Calculation'!$P138)),10,IF(ISNUMBER(SEARCH(CJ$119,'Reference Score Calculation'!$Q138)),7,IF(ISNUMBER(SEARCH(CJ$119,'Reference Score Calculation'!$R138)),5,IF(ISNUMBER(SEARCH($BV$108,'Reference Score Calculation'!$P138)),10,IF(ISNUMBER(SEARCH($BV$108,'Reference Score Calculation'!$Q138)),7,5)))))</f>
        <v>10</v>
      </c>
      <c r="CK161" s="455">
        <f>IF(ISNUMBER(SEARCH(CK$119,'Reference Score Calculation'!$P138)),10,IF(ISNUMBER(SEARCH(CK$119,'Reference Score Calculation'!$Q138)),7,IF(ISNUMBER(SEARCH(CK$119,'Reference Score Calculation'!$R138)),5,IF(ISNUMBER(SEARCH($BV$108,'Reference Score Calculation'!$P138)),10,IF(ISNUMBER(SEARCH($BV$108,'Reference Score Calculation'!$Q138)),7,5)))))</f>
        <v>5</v>
      </c>
      <c r="CL161" s="455">
        <f>IF(ISNUMBER(SEARCH(CL$119,'Reference Score Calculation'!$P138)),10,IF(ISNUMBER(SEARCH(CL$119,'Reference Score Calculation'!$Q138)),7,IF(ISNUMBER(SEARCH(CL$119,'Reference Score Calculation'!$R138)),5,IF(ISNUMBER(SEARCH($BV$108,'Reference Score Calculation'!$P138)),10,IF(ISNUMBER(SEARCH($BV$108,'Reference Score Calculation'!$Q138)),7,5)))))</f>
        <v>5</v>
      </c>
      <c r="CM161" s="455">
        <f>IF(ISNUMBER(SEARCH(CM$119,'Reference Score Calculation'!$P138)),10,IF(ISNUMBER(SEARCH(CM$119,'Reference Score Calculation'!$Q138)),7,IF(ISNUMBER(SEARCH(CM$119,'Reference Score Calculation'!$R138)),5,IF(ISNUMBER(SEARCH($BV$108,'Reference Score Calculation'!$P138)),10,IF(ISNUMBER(SEARCH($BV$108,'Reference Score Calculation'!$Q138)),7,5)))))</f>
        <v>5</v>
      </c>
      <c r="CN161" s="455">
        <f>IF(ISNUMBER(SEARCH(CN$119,'Reference Score Calculation'!$P138)),10,IF(ISNUMBER(SEARCH(CN$119,'Reference Score Calculation'!$Q138)),7,IF(ISNUMBER(SEARCH(CN$119,'Reference Score Calculation'!$R138)),5,IF(ISNUMBER(SEARCH($BV$108,'Reference Score Calculation'!$P138)),10,IF(ISNUMBER(SEARCH($BV$108,'Reference Score Calculation'!$Q138)),7,5)))))</f>
        <v>5</v>
      </c>
      <c r="CO161" s="455">
        <f>IF(ISNUMBER(SEARCH(CO$119,'Reference Score Calculation'!$P138)),10,IF(ISNUMBER(SEARCH(CO$119,'Reference Score Calculation'!$Q138)),7,IF(ISNUMBER(SEARCH(CO$119,'Reference Score Calculation'!$R138)),5,IF(ISNUMBER(SEARCH($BV$108,'Reference Score Calculation'!$P138)),10,IF(ISNUMBER(SEARCH($BV$108,'Reference Score Calculation'!$Q138)),7,5)))))</f>
        <v>5</v>
      </c>
      <c r="CP161" s="455">
        <f>IF(ISNUMBER(SEARCH(CP$119,'Reference Score Calculation'!$P138)),10,IF(ISNUMBER(SEARCH(CP$119,'Reference Score Calculation'!$Q138)),7,IF(ISNUMBER(SEARCH(CP$119,'Reference Score Calculation'!$R138)),5,IF(ISNUMBER(SEARCH($BV$108,'Reference Score Calculation'!$P138)),10,IF(ISNUMBER(SEARCH($BV$108,'Reference Score Calculation'!$Q138)),7,5)))))</f>
        <v>5</v>
      </c>
      <c r="CQ161" s="455">
        <f>IF(ISNUMBER(SEARCH(CQ$119,'Reference Score Calculation'!$P138)),10,IF(ISNUMBER(SEARCH(CQ$119,'Reference Score Calculation'!$Q138)),7,IF(ISNUMBER(SEARCH(CQ$119,'Reference Score Calculation'!$R138)),5,IF(ISNUMBER(SEARCH($BV$108,'Reference Score Calculation'!$P138)),10,IF(ISNUMBER(SEARCH($BV$108,'Reference Score Calculation'!$Q138)),7,5)))))</f>
        <v>5</v>
      </c>
      <c r="CR161" s="455">
        <f>IF(ISNUMBER(SEARCH(CR$119,'Reference Score Calculation'!$P138)),10,IF(ISNUMBER(SEARCH(CR$119,'Reference Score Calculation'!$Q138)),7,IF(ISNUMBER(SEARCH(CR$119,'Reference Score Calculation'!$R138)),5,IF(ISNUMBER(SEARCH($BV$108,'Reference Score Calculation'!$P138)),10,IF(ISNUMBER(SEARCH($BV$108,'Reference Score Calculation'!$Q138)),7,5)))))</f>
        <v>5</v>
      </c>
      <c r="CS161" s="455">
        <f>IF(ISNUMBER(SEARCH(CS$119,'Reference Score Calculation'!$P138)),10,IF(ISNUMBER(SEARCH(CS$119,'Reference Score Calculation'!$Q138)),7,IF(ISNUMBER(SEARCH(CS$119,'Reference Score Calculation'!$R138)),5,IF(ISNUMBER(SEARCH($BV$108,'Reference Score Calculation'!$P138)),10,IF(ISNUMBER(SEARCH($BV$108,'Reference Score Calculation'!$Q138)),7,5)))))</f>
        <v>7</v>
      </c>
      <c r="CT161" s="455">
        <f>IF(ISNUMBER(SEARCH(CT$119,'Reference Score Calculation'!$P138)),10,IF(ISNUMBER(SEARCH(CT$119,'Reference Score Calculation'!$Q138)),7,IF(ISNUMBER(SEARCH(CT$119,'Reference Score Calculation'!$R138)),5,IF(ISNUMBER(SEARCH($BV$108,'Reference Score Calculation'!$P138)),10,IF(ISNUMBER(SEARCH($BV$108,'Reference Score Calculation'!$Q138)),7,5)))))</f>
        <v>7</v>
      </c>
      <c r="CU161" s="455">
        <f>IF(ISNUMBER(SEARCH(CU$119,'Reference Score Calculation'!$P138)),10,IF(ISNUMBER(SEARCH(CU$119,'Reference Score Calculation'!$Q138)),7,IF(ISNUMBER(SEARCH(CU$119,'Reference Score Calculation'!$R138)),5,IF(ISNUMBER(SEARCH($BV$108,'Reference Score Calculation'!$P138)),10,IF(ISNUMBER(SEARCH($BV$108,'Reference Score Calculation'!$Q138)),7,5)))))</f>
        <v>5</v>
      </c>
      <c r="CV161" s="455">
        <f>IF(ISNUMBER(SEARCH(CV$119,'Reference Score Calculation'!$P138)),10,IF(ISNUMBER(SEARCH(CV$119,'Reference Score Calculation'!$Q138)),7,IF(ISNUMBER(SEARCH(CV$119,'Reference Score Calculation'!$R138)),5,IF(ISNUMBER(SEARCH($BV$108,'Reference Score Calculation'!$P138)),10,IF(ISNUMBER(SEARCH($BV$108,'Reference Score Calculation'!$Q138)),7,5)))))</f>
        <v>5</v>
      </c>
      <c r="CW161" s="185"/>
      <c r="CX161" s="185"/>
      <c r="CY161" s="185"/>
    </row>
    <row r="162" spans="1:103">
      <c r="A162" s="117" t="s">
        <v>1146</v>
      </c>
      <c r="B162" s="459" t="str">
        <f>'Reference Score Calculation'!B139</f>
        <v>JS3741</v>
      </c>
      <c r="C162" s="117" t="str">
        <f>'Reference Score Calculation'!E139</f>
        <v>機械工程學(榮譽)工學士組合課程 (智能機械人工程學 / 機械工程學)</v>
      </c>
      <c r="D162" s="2" t="e">
        <f>'Reference Score Calculation'!#REF!</f>
        <v>#REF!</v>
      </c>
      <c r="E162" s="131" t="str">
        <f>'Reference Score Calculation'!F139</f>
        <v>Best 5</v>
      </c>
      <c r="F162" s="131"/>
      <c r="G162" s="117" t="str">
        <f>入學要求!AB148</f>
        <v>v</v>
      </c>
      <c r="H162" s="117" t="str">
        <f>入學要求!AC148</f>
        <v>E</v>
      </c>
      <c r="I162" s="117" t="str">
        <f>入學要求!AD148</f>
        <v>NO</v>
      </c>
      <c r="J162" s="117">
        <f t="shared" si="211"/>
        <v>1.07E-8</v>
      </c>
      <c r="K162" s="117">
        <f t="shared" si="244"/>
        <v>7</v>
      </c>
      <c r="L162" s="117">
        <f t="shared" si="244"/>
        <v>10</v>
      </c>
      <c r="M162" s="117">
        <f t="shared" si="244"/>
        <v>10</v>
      </c>
      <c r="N162" s="117">
        <f t="shared" si="244"/>
        <v>0</v>
      </c>
      <c r="O162" s="117">
        <f t="shared" si="244"/>
        <v>10</v>
      </c>
      <c r="P162" s="117">
        <f t="shared" si="244"/>
        <v>0</v>
      </c>
      <c r="Q162" s="117">
        <f t="shared" si="244"/>
        <v>0</v>
      </c>
      <c r="R162" s="117">
        <f t="shared" si="244"/>
        <v>0</v>
      </c>
      <c r="S162" s="117">
        <f t="shared" si="244"/>
        <v>0</v>
      </c>
      <c r="T162" s="117">
        <v>5</v>
      </c>
      <c r="V162" s="117">
        <f t="shared" si="224"/>
        <v>7.0000000000000006E-10</v>
      </c>
      <c r="W162" s="117">
        <f t="shared" si="225"/>
        <v>2.0000000000000001E-9</v>
      </c>
      <c r="X162" s="117">
        <f t="shared" si="226"/>
        <v>3E-9</v>
      </c>
      <c r="Z162" s="117">
        <f t="shared" si="227"/>
        <v>5.0000000000000001E-9</v>
      </c>
      <c r="AA162" s="117">
        <f t="shared" si="228"/>
        <v>0</v>
      </c>
      <c r="AB162" s="117">
        <f t="shared" si="229"/>
        <v>0</v>
      </c>
      <c r="AC162" s="117">
        <f t="shared" si="230"/>
        <v>0</v>
      </c>
      <c r="AD162" s="117">
        <f t="shared" si="231"/>
        <v>0</v>
      </c>
      <c r="AE162" s="117">
        <f t="shared" si="232"/>
        <v>0</v>
      </c>
      <c r="AF162" s="117">
        <f t="shared" si="213"/>
        <v>7.0000000000000006E-10</v>
      </c>
      <c r="AG162" s="117">
        <f t="shared" si="214"/>
        <v>2.0000000000000001E-9</v>
      </c>
      <c r="AH162" s="117">
        <f t="shared" si="215"/>
        <v>3E-9</v>
      </c>
      <c r="AI162" s="117">
        <f t="shared" si="216"/>
        <v>0</v>
      </c>
      <c r="AJ162" s="117">
        <f t="shared" si="217"/>
        <v>5.0000000000000001E-9</v>
      </c>
      <c r="AK162" s="117">
        <f t="shared" si="218"/>
        <v>0</v>
      </c>
      <c r="AL162" s="117">
        <f t="shared" si="219"/>
        <v>0</v>
      </c>
      <c r="AM162" s="117">
        <f t="shared" si="220"/>
        <v>0</v>
      </c>
      <c r="AN162" s="117">
        <f t="shared" si="221"/>
        <v>0</v>
      </c>
      <c r="AO162" s="117">
        <f t="shared" si="222"/>
        <v>0</v>
      </c>
      <c r="AP162" s="117" t="b">
        <f t="shared" si="233"/>
        <v>1</v>
      </c>
      <c r="AQ162" s="117" t="b">
        <f t="shared" si="234"/>
        <v>1</v>
      </c>
      <c r="AR162" s="117" t="b">
        <f t="shared" si="235"/>
        <v>1</v>
      </c>
      <c r="AT162" s="117" t="b">
        <f t="shared" si="236"/>
        <v>1</v>
      </c>
      <c r="AU162" s="117" t="b">
        <f t="shared" si="237"/>
        <v>0</v>
      </c>
      <c r="AV162" s="117" t="b">
        <f t="shared" si="238"/>
        <v>0</v>
      </c>
      <c r="AW162" s="117" t="b">
        <f t="shared" si="239"/>
        <v>0</v>
      </c>
      <c r="AX162" s="117" t="b">
        <f t="shared" si="240"/>
        <v>0</v>
      </c>
      <c r="AY162" s="117" t="b">
        <f t="shared" si="241"/>
        <v>0</v>
      </c>
      <c r="BA162" s="2"/>
      <c r="BB162" s="2"/>
      <c r="BC162" s="2"/>
      <c r="BD162" s="2"/>
      <c r="BE162" s="2"/>
      <c r="BF162" s="2"/>
      <c r="BG162" s="2"/>
      <c r="BH162" s="2"/>
      <c r="BI162" s="2"/>
      <c r="BJ162" s="2"/>
      <c r="BK162" s="2"/>
      <c r="BL162" s="2"/>
      <c r="BM162" s="2"/>
      <c r="BN162" s="2"/>
      <c r="BO162" s="2"/>
      <c r="BP162" s="2"/>
      <c r="BQ162" s="2"/>
      <c r="BR162" s="2"/>
      <c r="BS162" s="185" t="str">
        <f>'Reference Score Calculation'!B139</f>
        <v>JS3741</v>
      </c>
      <c r="BT162" s="185"/>
      <c r="BU162" s="455">
        <f>IF(ISNUMBER(SEARCH(BU$119,'Reference Score Calculation'!$P139)),10,IF(ISNUMBER(SEARCH(BU$119,'Reference Score Calculation'!$Q139)),7,IF(ISNUMBER(SEARCH(BU$119,'Reference Score Calculation'!$R139)),5,IF(ISNUMBER(SEARCH($BV$108,'Reference Score Calculation'!$P139)),10,IF(ISNUMBER(SEARCH($BV$108,'Reference Score Calculation'!$Q139)),7,5)))))</f>
        <v>7</v>
      </c>
      <c r="BV162" s="455">
        <f>IF(ISNUMBER(SEARCH(BV$119,'Reference Score Calculation'!$P139)),10,IF(ISNUMBER(SEARCH(BV$119,'Reference Score Calculation'!$Q139)),7,IF(ISNUMBER(SEARCH(BV$119,'Reference Score Calculation'!$R139)),5,IF(ISNUMBER(SEARCH($BV$108,'Reference Score Calculation'!$P139)),10,IF(ISNUMBER(SEARCH($BV$108,'Reference Score Calculation'!$Q139)),7,5)))))</f>
        <v>10</v>
      </c>
      <c r="BW162" s="455">
        <f>IF(ISNUMBER(SEARCH(BW$119,'Reference Score Calculation'!$P139)),10,IF(ISNUMBER(SEARCH(BW$119,'Reference Score Calculation'!$Q139)),7,IF(ISNUMBER(SEARCH(BW$119,'Reference Score Calculation'!$R139)),5,IF(ISNUMBER(SEARCH($BV$108,'Reference Score Calculation'!$P139)),10,IF(ISNUMBER(SEARCH($BV$108,'Reference Score Calculation'!$Q139)),7,5)))))</f>
        <v>10</v>
      </c>
      <c r="BX162" s="455">
        <f>IF(ISNUMBER(SEARCH(BX$119,'Reference Score Calculation'!$P139)),10,IF(ISNUMBER(SEARCH(BX$119,'Reference Score Calculation'!$Q139)),7,IF(ISNUMBER(SEARCH(BX$119,'Reference Score Calculation'!$R139)),5,IF(ISNUMBER(SEARCH($BV$108,'Reference Score Calculation'!$P139)),10,IF(ISNUMBER(SEARCH($BV$108,'Reference Score Calculation'!$Q139)),7,5)))))</f>
        <v>5</v>
      </c>
      <c r="BY162" s="455">
        <f>IF(ISNUMBER(SEARCH(BY$119,'Reference Score Calculation'!$P139)),10,IF(ISNUMBER(SEARCH(BY$119,'Reference Score Calculation'!$Q139)),7,IF(ISNUMBER(SEARCH(BY$119,'Reference Score Calculation'!$R139)),5,IF(ISNUMBER(SEARCH($BV$108,'Reference Score Calculation'!$P139)),10,IF(ISNUMBER(SEARCH($BV$108,'Reference Score Calculation'!$Q139)),7,5)))))</f>
        <v>10</v>
      </c>
      <c r="BZ162" s="455">
        <f>IF(ISNUMBER(SEARCH(BZ$119,'Reference Score Calculation'!$P139)),10,IF(ISNUMBER(SEARCH(BZ$119,'Reference Score Calculation'!$Q139)),7,IF(ISNUMBER(SEARCH(BZ$119,'Reference Score Calculation'!$R139)),5,IF(ISNUMBER(SEARCH($BV$108,'Reference Score Calculation'!$P139)),10,IF(ISNUMBER(SEARCH($BV$108,'Reference Score Calculation'!$Q139)),7,5)))))</f>
        <v>10</v>
      </c>
      <c r="CA162" s="455">
        <f>IF(ISNUMBER(SEARCH(CA$119,'Reference Score Calculation'!$P139)),10,IF(ISNUMBER(SEARCH(CA$119,'Reference Score Calculation'!$Q139)),7,IF(ISNUMBER(SEARCH(CA$119,'Reference Score Calculation'!$R139)),5,IF(ISNUMBER(SEARCH($BV$108,'Reference Score Calculation'!$P139)),10,IF(ISNUMBER(SEARCH($BV$108,'Reference Score Calculation'!$Q139)),7,5)))))</f>
        <v>10</v>
      </c>
      <c r="CB162" s="455">
        <f>IF(ISNUMBER(SEARCH(CB$119,'Reference Score Calculation'!$P139)),10,IF(ISNUMBER(SEARCH(CB$119,'Reference Score Calculation'!$Q139)),7,IF(ISNUMBER(SEARCH(CB$119,'Reference Score Calculation'!$R139)),5,IF(ISNUMBER(SEARCH($BV$108,'Reference Score Calculation'!$P139)),10,IF(ISNUMBER(SEARCH($BV$108,'Reference Score Calculation'!$Q139)),7,5)))))</f>
        <v>10</v>
      </c>
      <c r="CC162" s="455">
        <f>IF(ISNUMBER(SEARCH(CC$119,'Reference Score Calculation'!$P139)),10,IF(ISNUMBER(SEARCH(CC$119,'Reference Score Calculation'!$Q139)),7,IF(ISNUMBER(SEARCH(CC$119,'Reference Score Calculation'!$R139)),5,IF(ISNUMBER(SEARCH($BV$108,'Reference Score Calculation'!$P139)),10,IF(ISNUMBER(SEARCH($BV$108,'Reference Score Calculation'!$Q139)),7,5)))))</f>
        <v>5</v>
      </c>
      <c r="CD162" s="455">
        <f>IF(ISNUMBER(SEARCH(CD$119,'Reference Score Calculation'!$P139)),10,IF(ISNUMBER(SEARCH(CD$119,'Reference Score Calculation'!$Q139)),7,IF(ISNUMBER(SEARCH(CD$119,'Reference Score Calculation'!$R139)),5,IF(ISNUMBER(SEARCH($BV$108,'Reference Score Calculation'!$P139)),10,IF(ISNUMBER(SEARCH($BV$108,'Reference Score Calculation'!$Q139)),7,5)))))</f>
        <v>5</v>
      </c>
      <c r="CE162" s="455">
        <f>IF(ISNUMBER(SEARCH(CE$119,'Reference Score Calculation'!$P139)),10,IF(ISNUMBER(SEARCH(CE$119,'Reference Score Calculation'!$Q139)),7,IF(ISNUMBER(SEARCH(CE$119,'Reference Score Calculation'!$R139)),5,IF(ISNUMBER(SEARCH($BV$108,'Reference Score Calculation'!$P139)),10,IF(ISNUMBER(SEARCH($BV$108,'Reference Score Calculation'!$Q139)),7,5)))))</f>
        <v>5</v>
      </c>
      <c r="CF162" s="455">
        <f>IF(ISNUMBER(SEARCH(CF$119,'Reference Score Calculation'!$P139)),10,IF(ISNUMBER(SEARCH(CF$119,'Reference Score Calculation'!$Q139)),7,IF(ISNUMBER(SEARCH(CF$119,'Reference Score Calculation'!$R139)),5,IF(ISNUMBER(SEARCH($BV$108,'Reference Score Calculation'!$P139)),10,IF(ISNUMBER(SEARCH($BV$108,'Reference Score Calculation'!$Q139)),7,5)))))</f>
        <v>5</v>
      </c>
      <c r="CG162" s="455">
        <f>IF(ISNUMBER(SEARCH(CG$119,'Reference Score Calculation'!$P139)),10,IF(ISNUMBER(SEARCH(CG$119,'Reference Score Calculation'!$Q139)),7,IF(ISNUMBER(SEARCH(CG$119,'Reference Score Calculation'!$R139)),5,IF(ISNUMBER(SEARCH($BV$108,'Reference Score Calculation'!$P139)),10,IF(ISNUMBER(SEARCH($BV$108,'Reference Score Calculation'!$Q139)),7,5)))))</f>
        <v>5</v>
      </c>
      <c r="CH162" s="455">
        <f>IF(ISNUMBER(SEARCH(CH$119,'Reference Score Calculation'!$P139)),10,IF(ISNUMBER(SEARCH(CH$119,'Reference Score Calculation'!$Q139)),7,IF(ISNUMBER(SEARCH(CH$119,'Reference Score Calculation'!$R139)),5,IF(ISNUMBER(SEARCH($BV$108,'Reference Score Calculation'!$P139)),10,IF(ISNUMBER(SEARCH($BV$108,'Reference Score Calculation'!$Q139)),7,5)))))</f>
        <v>5</v>
      </c>
      <c r="CI162" s="455">
        <f>IF(ISNUMBER(SEARCH(CI$119,'Reference Score Calculation'!$P139)),10,IF(ISNUMBER(SEARCH(CI$119,'Reference Score Calculation'!$Q139)),7,IF(ISNUMBER(SEARCH(CI$119,'Reference Score Calculation'!$R139)),5,IF(ISNUMBER(SEARCH($BV$108,'Reference Score Calculation'!$P139)),10,IF(ISNUMBER(SEARCH($BV$108,'Reference Score Calculation'!$Q139)),7,5)))))</f>
        <v>5</v>
      </c>
      <c r="CJ162" s="455">
        <f>IF(ISNUMBER(SEARCH(CJ$119,'Reference Score Calculation'!$P139)),10,IF(ISNUMBER(SEARCH(CJ$119,'Reference Score Calculation'!$Q139)),7,IF(ISNUMBER(SEARCH(CJ$119,'Reference Score Calculation'!$R139)),5,IF(ISNUMBER(SEARCH($BV$108,'Reference Score Calculation'!$P139)),10,IF(ISNUMBER(SEARCH($BV$108,'Reference Score Calculation'!$Q139)),7,5)))))</f>
        <v>5</v>
      </c>
      <c r="CK162" s="455">
        <f>IF(ISNUMBER(SEARCH(CK$119,'Reference Score Calculation'!$P139)),10,IF(ISNUMBER(SEARCH(CK$119,'Reference Score Calculation'!$Q139)),7,IF(ISNUMBER(SEARCH(CK$119,'Reference Score Calculation'!$R139)),5,IF(ISNUMBER(SEARCH($BV$108,'Reference Score Calculation'!$P139)),10,IF(ISNUMBER(SEARCH($BV$108,'Reference Score Calculation'!$Q139)),7,5)))))</f>
        <v>5</v>
      </c>
      <c r="CL162" s="455">
        <f>IF(ISNUMBER(SEARCH(CL$119,'Reference Score Calculation'!$P139)),10,IF(ISNUMBER(SEARCH(CL$119,'Reference Score Calculation'!$Q139)),7,IF(ISNUMBER(SEARCH(CL$119,'Reference Score Calculation'!$R139)),5,IF(ISNUMBER(SEARCH($BV$108,'Reference Score Calculation'!$P139)),10,IF(ISNUMBER(SEARCH($BV$108,'Reference Score Calculation'!$Q139)),7,5)))))</f>
        <v>5</v>
      </c>
      <c r="CM162" s="455">
        <f>IF(ISNUMBER(SEARCH(CM$119,'Reference Score Calculation'!$P139)),10,IF(ISNUMBER(SEARCH(CM$119,'Reference Score Calculation'!$Q139)),7,IF(ISNUMBER(SEARCH(CM$119,'Reference Score Calculation'!$R139)),5,IF(ISNUMBER(SEARCH($BV$108,'Reference Score Calculation'!$P139)),10,IF(ISNUMBER(SEARCH($BV$108,'Reference Score Calculation'!$Q139)),7,5)))))</f>
        <v>5</v>
      </c>
      <c r="CN162" s="455">
        <f>IF(ISNUMBER(SEARCH(CN$119,'Reference Score Calculation'!$P139)),10,IF(ISNUMBER(SEARCH(CN$119,'Reference Score Calculation'!$Q139)),7,IF(ISNUMBER(SEARCH(CN$119,'Reference Score Calculation'!$R139)),5,IF(ISNUMBER(SEARCH($BV$108,'Reference Score Calculation'!$P139)),10,IF(ISNUMBER(SEARCH($BV$108,'Reference Score Calculation'!$Q139)),7,5)))))</f>
        <v>5</v>
      </c>
      <c r="CO162" s="455">
        <f>IF(ISNUMBER(SEARCH(CO$119,'Reference Score Calculation'!$P139)),10,IF(ISNUMBER(SEARCH(CO$119,'Reference Score Calculation'!$Q139)),7,IF(ISNUMBER(SEARCH(CO$119,'Reference Score Calculation'!$R139)),5,IF(ISNUMBER(SEARCH($BV$108,'Reference Score Calculation'!$P139)),10,IF(ISNUMBER(SEARCH($BV$108,'Reference Score Calculation'!$Q139)),7,5)))))</f>
        <v>5</v>
      </c>
      <c r="CP162" s="455">
        <f>IF(ISNUMBER(SEARCH(CP$119,'Reference Score Calculation'!$P139)),10,IF(ISNUMBER(SEARCH(CP$119,'Reference Score Calculation'!$Q139)),7,IF(ISNUMBER(SEARCH(CP$119,'Reference Score Calculation'!$R139)),5,IF(ISNUMBER(SEARCH($BV$108,'Reference Score Calculation'!$P139)),10,IF(ISNUMBER(SEARCH($BV$108,'Reference Score Calculation'!$Q139)),7,5)))))</f>
        <v>5</v>
      </c>
      <c r="CQ162" s="455">
        <f>IF(ISNUMBER(SEARCH(CQ$119,'Reference Score Calculation'!$P139)),10,IF(ISNUMBER(SEARCH(CQ$119,'Reference Score Calculation'!$Q139)),7,IF(ISNUMBER(SEARCH(CQ$119,'Reference Score Calculation'!$R139)),5,IF(ISNUMBER(SEARCH($BV$108,'Reference Score Calculation'!$P139)),10,IF(ISNUMBER(SEARCH($BV$108,'Reference Score Calculation'!$Q139)),7,5)))))</f>
        <v>5</v>
      </c>
      <c r="CR162" s="455">
        <f>IF(ISNUMBER(SEARCH(CR$119,'Reference Score Calculation'!$P139)),10,IF(ISNUMBER(SEARCH(CR$119,'Reference Score Calculation'!$Q139)),7,IF(ISNUMBER(SEARCH(CR$119,'Reference Score Calculation'!$R139)),5,IF(ISNUMBER(SEARCH($BV$108,'Reference Score Calculation'!$P139)),10,IF(ISNUMBER(SEARCH($BV$108,'Reference Score Calculation'!$Q139)),7,5)))))</f>
        <v>5</v>
      </c>
      <c r="CS162" s="455">
        <f>IF(ISNUMBER(SEARCH(CS$119,'Reference Score Calculation'!$P139)),10,IF(ISNUMBER(SEARCH(CS$119,'Reference Score Calculation'!$Q139)),7,IF(ISNUMBER(SEARCH(CS$119,'Reference Score Calculation'!$R139)),5,IF(ISNUMBER(SEARCH($BV$108,'Reference Score Calculation'!$P139)),10,IF(ISNUMBER(SEARCH($BV$108,'Reference Score Calculation'!$Q139)),7,5)))))</f>
        <v>10</v>
      </c>
      <c r="CT162" s="455">
        <f>IF(ISNUMBER(SEARCH(CT$119,'Reference Score Calculation'!$P139)),10,IF(ISNUMBER(SEARCH(CT$119,'Reference Score Calculation'!$Q139)),7,IF(ISNUMBER(SEARCH(CT$119,'Reference Score Calculation'!$R139)),5,IF(ISNUMBER(SEARCH($BV$108,'Reference Score Calculation'!$P139)),10,IF(ISNUMBER(SEARCH($BV$108,'Reference Score Calculation'!$Q139)),7,5)))))</f>
        <v>10</v>
      </c>
      <c r="CU162" s="455">
        <f>IF(ISNUMBER(SEARCH(CU$119,'Reference Score Calculation'!$P139)),10,IF(ISNUMBER(SEARCH(CU$119,'Reference Score Calculation'!$Q139)),7,IF(ISNUMBER(SEARCH(CU$119,'Reference Score Calculation'!$R139)),5,IF(ISNUMBER(SEARCH($BV$108,'Reference Score Calculation'!$P139)),10,IF(ISNUMBER(SEARCH($BV$108,'Reference Score Calculation'!$Q139)),7,5)))))</f>
        <v>5</v>
      </c>
      <c r="CV162" s="455">
        <f>IF(ISNUMBER(SEARCH(CV$119,'Reference Score Calculation'!$P139)),10,IF(ISNUMBER(SEARCH(CV$119,'Reference Score Calculation'!$Q139)),7,IF(ISNUMBER(SEARCH(CV$119,'Reference Score Calculation'!$R139)),5,IF(ISNUMBER(SEARCH($BV$108,'Reference Score Calculation'!$P139)),10,IF(ISNUMBER(SEARCH($BV$108,'Reference Score Calculation'!$Q139)),7,5)))))</f>
        <v>5</v>
      </c>
      <c r="CW162" s="185"/>
      <c r="CX162" s="185"/>
      <c r="CY162" s="185"/>
    </row>
    <row r="163" spans="1:103">
      <c r="A163" s="117" t="s">
        <v>1933</v>
      </c>
      <c r="B163" s="459" t="str">
        <f>'Reference Score Calculation'!B140</f>
        <v>JS3789</v>
      </c>
      <c r="C163" s="117" t="str">
        <f>'Reference Score Calculation'!E140</f>
        <v>地產及建設測量學(榮譽)理學士</v>
      </c>
      <c r="D163" s="2" t="e">
        <f>'Reference Score Calculation'!#REF!</f>
        <v>#REF!</v>
      </c>
      <c r="E163" s="131" t="str">
        <f>'Reference Score Calculation'!F140</f>
        <v>Best 5</v>
      </c>
      <c r="F163" s="131"/>
      <c r="G163" s="117" t="str">
        <f>入學要求!AB149</f>
        <v>v</v>
      </c>
      <c r="H163" s="117" t="str">
        <f>入學要求!AC149</f>
        <v>E</v>
      </c>
      <c r="I163" s="117" t="str">
        <f>入學要求!AD149</f>
        <v>NO</v>
      </c>
      <c r="J163" s="117">
        <f t="shared" si="211"/>
        <v>8.2999999999999999E-9</v>
      </c>
      <c r="K163" s="117">
        <f t="shared" si="244"/>
        <v>7</v>
      </c>
      <c r="L163" s="117">
        <f t="shared" si="244"/>
        <v>10</v>
      </c>
      <c r="M163" s="117">
        <f t="shared" si="244"/>
        <v>7</v>
      </c>
      <c r="N163" s="117">
        <f t="shared" si="244"/>
        <v>0</v>
      </c>
      <c r="O163" s="117">
        <f t="shared" si="244"/>
        <v>7</v>
      </c>
      <c r="P163" s="117">
        <f t="shared" si="244"/>
        <v>0</v>
      </c>
      <c r="Q163" s="117">
        <f t="shared" si="244"/>
        <v>0</v>
      </c>
      <c r="R163" s="117">
        <f t="shared" si="244"/>
        <v>0</v>
      </c>
      <c r="S163" s="117">
        <f t="shared" si="244"/>
        <v>0</v>
      </c>
      <c r="T163" s="117">
        <v>5</v>
      </c>
      <c r="V163" s="117">
        <f t="shared" si="224"/>
        <v>7.0000000000000006E-10</v>
      </c>
      <c r="W163" s="117">
        <f t="shared" si="225"/>
        <v>2.0000000000000001E-9</v>
      </c>
      <c r="X163" s="117">
        <f t="shared" si="226"/>
        <v>2.0999999999999998E-9</v>
      </c>
      <c r="Z163" s="117">
        <f t="shared" si="227"/>
        <v>3.5000000000000003E-9</v>
      </c>
      <c r="AA163" s="117">
        <f t="shared" si="228"/>
        <v>0</v>
      </c>
      <c r="AB163" s="117">
        <f t="shared" si="229"/>
        <v>0</v>
      </c>
      <c r="AC163" s="117">
        <f t="shared" si="230"/>
        <v>0</v>
      </c>
      <c r="AD163" s="117">
        <f t="shared" si="231"/>
        <v>0</v>
      </c>
      <c r="AE163" s="117">
        <f t="shared" si="232"/>
        <v>0</v>
      </c>
      <c r="AF163" s="117">
        <f t="shared" si="213"/>
        <v>7.0000000000000006E-10</v>
      </c>
      <c r="AG163" s="117">
        <f t="shared" si="214"/>
        <v>2.0000000000000001E-9</v>
      </c>
      <c r="AH163" s="117">
        <f t="shared" si="215"/>
        <v>2.0999999999999998E-9</v>
      </c>
      <c r="AI163" s="117">
        <f t="shared" si="216"/>
        <v>0</v>
      </c>
      <c r="AJ163" s="117">
        <f t="shared" si="217"/>
        <v>3.5000000000000003E-9</v>
      </c>
      <c r="AK163" s="117">
        <f t="shared" si="218"/>
        <v>0</v>
      </c>
      <c r="AL163" s="117">
        <f t="shared" si="219"/>
        <v>0</v>
      </c>
      <c r="AM163" s="117">
        <f t="shared" si="220"/>
        <v>0</v>
      </c>
      <c r="AN163" s="117">
        <f t="shared" si="221"/>
        <v>0</v>
      </c>
      <c r="AO163" s="117">
        <f t="shared" si="222"/>
        <v>0</v>
      </c>
      <c r="AP163" s="117" t="b">
        <f t="shared" si="233"/>
        <v>1</v>
      </c>
      <c r="AQ163" s="117" t="b">
        <f t="shared" si="234"/>
        <v>1</v>
      </c>
      <c r="AR163" s="117" t="b">
        <f t="shared" si="235"/>
        <v>1</v>
      </c>
      <c r="AT163" s="117" t="b">
        <f t="shared" si="236"/>
        <v>1</v>
      </c>
      <c r="AU163" s="117" t="b">
        <f t="shared" si="237"/>
        <v>0</v>
      </c>
      <c r="AV163" s="117" t="b">
        <f t="shared" si="238"/>
        <v>0</v>
      </c>
      <c r="AW163" s="117" t="b">
        <f t="shared" si="239"/>
        <v>0</v>
      </c>
      <c r="AX163" s="117" t="b">
        <f t="shared" si="240"/>
        <v>0</v>
      </c>
      <c r="AY163" s="117" t="b">
        <f t="shared" si="241"/>
        <v>0</v>
      </c>
      <c r="BA163" s="2"/>
      <c r="BB163" s="2"/>
      <c r="BC163" s="2"/>
      <c r="BD163" s="2"/>
      <c r="BE163" s="2"/>
      <c r="BF163" s="2"/>
      <c r="BG163" s="2"/>
      <c r="BH163" s="2"/>
      <c r="BI163" s="2"/>
      <c r="BJ163" s="2"/>
      <c r="BK163" s="2"/>
      <c r="BL163" s="2"/>
      <c r="BM163" s="2"/>
      <c r="BN163" s="2"/>
      <c r="BO163" s="2"/>
      <c r="BP163" s="2"/>
      <c r="BQ163" s="2"/>
      <c r="BR163" s="2"/>
      <c r="BS163" s="185" t="str">
        <f>'Reference Score Calculation'!B140</f>
        <v>JS3789</v>
      </c>
      <c r="BT163" s="185"/>
      <c r="BU163" s="455">
        <f>IF(ISNUMBER(SEARCH(BU$119,'Reference Score Calculation'!$P140)),10,IF(ISNUMBER(SEARCH(BU$119,'Reference Score Calculation'!$Q140)),7,IF(ISNUMBER(SEARCH(BU$119,'Reference Score Calculation'!$R140)),5,IF(ISNUMBER(SEARCH($BV$108,'Reference Score Calculation'!$P140)),10,IF(ISNUMBER(SEARCH($BV$108,'Reference Score Calculation'!$Q140)),7,5)))))</f>
        <v>7</v>
      </c>
      <c r="BV163" s="455">
        <f>IF(ISNUMBER(SEARCH(BV$119,'Reference Score Calculation'!$P140)),10,IF(ISNUMBER(SEARCH(BV$119,'Reference Score Calculation'!$Q140)),7,IF(ISNUMBER(SEARCH(BV$119,'Reference Score Calculation'!$R140)),5,IF(ISNUMBER(SEARCH($BV$108,'Reference Score Calculation'!$P140)),10,IF(ISNUMBER(SEARCH($BV$108,'Reference Score Calculation'!$Q140)),7,5)))))</f>
        <v>10</v>
      </c>
      <c r="BW163" s="455">
        <f>IF(ISNUMBER(SEARCH(BW$119,'Reference Score Calculation'!$P140)),10,IF(ISNUMBER(SEARCH(BW$119,'Reference Score Calculation'!$Q140)),7,IF(ISNUMBER(SEARCH(BW$119,'Reference Score Calculation'!$R140)),5,IF(ISNUMBER(SEARCH($BV$108,'Reference Score Calculation'!$P140)),10,IF(ISNUMBER(SEARCH($BV$108,'Reference Score Calculation'!$Q140)),7,5)))))</f>
        <v>7</v>
      </c>
      <c r="BX163" s="455">
        <f>IF(ISNUMBER(SEARCH(BX$119,'Reference Score Calculation'!$P140)),10,IF(ISNUMBER(SEARCH(BX$119,'Reference Score Calculation'!$Q140)),7,IF(ISNUMBER(SEARCH(BX$119,'Reference Score Calculation'!$R140)),5,IF(ISNUMBER(SEARCH($BV$108,'Reference Score Calculation'!$P140)),10,IF(ISNUMBER(SEARCH($BV$108,'Reference Score Calculation'!$Q140)),7,5)))))</f>
        <v>7</v>
      </c>
      <c r="BY163" s="455">
        <f>IF(ISNUMBER(SEARCH(BY$119,'Reference Score Calculation'!$P140)),10,IF(ISNUMBER(SEARCH(BY$119,'Reference Score Calculation'!$Q140)),7,IF(ISNUMBER(SEARCH(BY$119,'Reference Score Calculation'!$R140)),5,IF(ISNUMBER(SEARCH($BV$108,'Reference Score Calculation'!$P140)),10,IF(ISNUMBER(SEARCH($BV$108,'Reference Score Calculation'!$Q140)),7,5)))))</f>
        <v>7</v>
      </c>
      <c r="BZ163" s="455">
        <f>IF(ISNUMBER(SEARCH(BZ$119,'Reference Score Calculation'!$P140)),10,IF(ISNUMBER(SEARCH(BZ$119,'Reference Score Calculation'!$Q140)),7,IF(ISNUMBER(SEARCH(BZ$119,'Reference Score Calculation'!$R140)),5,IF(ISNUMBER(SEARCH($BV$108,'Reference Score Calculation'!$P140)),10,IF(ISNUMBER(SEARCH($BV$108,'Reference Score Calculation'!$Q140)),7,5)))))</f>
        <v>7</v>
      </c>
      <c r="CA163" s="455">
        <f>IF(ISNUMBER(SEARCH(CA$119,'Reference Score Calculation'!$P140)),10,IF(ISNUMBER(SEARCH(CA$119,'Reference Score Calculation'!$Q140)),7,IF(ISNUMBER(SEARCH(CA$119,'Reference Score Calculation'!$R140)),5,IF(ISNUMBER(SEARCH($BV$108,'Reference Score Calculation'!$P140)),10,IF(ISNUMBER(SEARCH($BV$108,'Reference Score Calculation'!$Q140)),7,5)))))</f>
        <v>7</v>
      </c>
      <c r="CB163" s="455">
        <f>IF(ISNUMBER(SEARCH(CB$119,'Reference Score Calculation'!$P140)),10,IF(ISNUMBER(SEARCH(CB$119,'Reference Score Calculation'!$Q140)),7,IF(ISNUMBER(SEARCH(CB$119,'Reference Score Calculation'!$R140)),5,IF(ISNUMBER(SEARCH($BV$108,'Reference Score Calculation'!$P140)),10,IF(ISNUMBER(SEARCH($BV$108,'Reference Score Calculation'!$Q140)),7,5)))))</f>
        <v>7</v>
      </c>
      <c r="CC163" s="455">
        <f>IF(ISNUMBER(SEARCH(CC$119,'Reference Score Calculation'!$P140)),10,IF(ISNUMBER(SEARCH(CC$119,'Reference Score Calculation'!$Q140)),7,IF(ISNUMBER(SEARCH(CC$119,'Reference Score Calculation'!$R140)),5,IF(ISNUMBER(SEARCH($BV$108,'Reference Score Calculation'!$P140)),10,IF(ISNUMBER(SEARCH($BV$108,'Reference Score Calculation'!$Q140)),7,5)))))</f>
        <v>7</v>
      </c>
      <c r="CD163" s="455">
        <f>IF(ISNUMBER(SEARCH(CD$119,'Reference Score Calculation'!$P140)),10,IF(ISNUMBER(SEARCH(CD$119,'Reference Score Calculation'!$Q140)),7,IF(ISNUMBER(SEARCH(CD$119,'Reference Score Calculation'!$R140)),5,IF(ISNUMBER(SEARCH($BV$108,'Reference Score Calculation'!$P140)),10,IF(ISNUMBER(SEARCH($BV$108,'Reference Score Calculation'!$Q140)),7,5)))))</f>
        <v>7</v>
      </c>
      <c r="CE163" s="455">
        <f>IF(ISNUMBER(SEARCH(CE$119,'Reference Score Calculation'!$P140)),10,IF(ISNUMBER(SEARCH(CE$119,'Reference Score Calculation'!$Q140)),7,IF(ISNUMBER(SEARCH(CE$119,'Reference Score Calculation'!$R140)),5,IF(ISNUMBER(SEARCH($BV$108,'Reference Score Calculation'!$P140)),10,IF(ISNUMBER(SEARCH($BV$108,'Reference Score Calculation'!$Q140)),7,5)))))</f>
        <v>5</v>
      </c>
      <c r="CF163" s="455">
        <f>IF(ISNUMBER(SEARCH(CF$119,'Reference Score Calculation'!$P140)),10,IF(ISNUMBER(SEARCH(CF$119,'Reference Score Calculation'!$Q140)),7,IF(ISNUMBER(SEARCH(CF$119,'Reference Score Calculation'!$R140)),5,IF(ISNUMBER(SEARCH($BV$108,'Reference Score Calculation'!$P140)),10,IF(ISNUMBER(SEARCH($BV$108,'Reference Score Calculation'!$Q140)),7,5)))))</f>
        <v>5</v>
      </c>
      <c r="CG163" s="455">
        <f>IF(ISNUMBER(SEARCH(CG$119,'Reference Score Calculation'!$P140)),10,IF(ISNUMBER(SEARCH(CG$119,'Reference Score Calculation'!$Q140)),7,IF(ISNUMBER(SEARCH(CG$119,'Reference Score Calculation'!$R140)),5,IF(ISNUMBER(SEARCH($BV$108,'Reference Score Calculation'!$P140)),10,IF(ISNUMBER(SEARCH($BV$108,'Reference Score Calculation'!$Q140)),7,5)))))</f>
        <v>7</v>
      </c>
      <c r="CH163" s="455">
        <f>IF(ISNUMBER(SEARCH(CH$119,'Reference Score Calculation'!$P140)),10,IF(ISNUMBER(SEARCH(CH$119,'Reference Score Calculation'!$Q140)),7,IF(ISNUMBER(SEARCH(CH$119,'Reference Score Calculation'!$R140)),5,IF(ISNUMBER(SEARCH($BV$108,'Reference Score Calculation'!$P140)),10,IF(ISNUMBER(SEARCH($BV$108,'Reference Score Calculation'!$Q140)),7,5)))))</f>
        <v>7</v>
      </c>
      <c r="CI163" s="455">
        <f>IF(ISNUMBER(SEARCH(CI$119,'Reference Score Calculation'!$P140)),10,IF(ISNUMBER(SEARCH(CI$119,'Reference Score Calculation'!$Q140)),7,IF(ISNUMBER(SEARCH(CI$119,'Reference Score Calculation'!$R140)),5,IF(ISNUMBER(SEARCH($BV$108,'Reference Score Calculation'!$P140)),10,IF(ISNUMBER(SEARCH($BV$108,'Reference Score Calculation'!$Q140)),7,5)))))</f>
        <v>5</v>
      </c>
      <c r="CJ163" s="455">
        <f>IF(ISNUMBER(SEARCH(CJ$119,'Reference Score Calculation'!$P140)),10,IF(ISNUMBER(SEARCH(CJ$119,'Reference Score Calculation'!$Q140)),7,IF(ISNUMBER(SEARCH(CJ$119,'Reference Score Calculation'!$R140)),5,IF(ISNUMBER(SEARCH($BV$108,'Reference Score Calculation'!$P140)),10,IF(ISNUMBER(SEARCH($BV$108,'Reference Score Calculation'!$Q140)),7,5)))))</f>
        <v>7</v>
      </c>
      <c r="CK163" s="455">
        <f>IF(ISNUMBER(SEARCH(CK$119,'Reference Score Calculation'!$P140)),10,IF(ISNUMBER(SEARCH(CK$119,'Reference Score Calculation'!$Q140)),7,IF(ISNUMBER(SEARCH(CK$119,'Reference Score Calculation'!$R140)),5,IF(ISNUMBER(SEARCH($BV$108,'Reference Score Calculation'!$P140)),10,IF(ISNUMBER(SEARCH($BV$108,'Reference Score Calculation'!$Q140)),7,5)))))</f>
        <v>7</v>
      </c>
      <c r="CL163" s="455">
        <f>IF(ISNUMBER(SEARCH(CL$119,'Reference Score Calculation'!$P140)),10,IF(ISNUMBER(SEARCH(CL$119,'Reference Score Calculation'!$Q140)),7,IF(ISNUMBER(SEARCH(CL$119,'Reference Score Calculation'!$R140)),5,IF(ISNUMBER(SEARCH($BV$108,'Reference Score Calculation'!$P140)),10,IF(ISNUMBER(SEARCH($BV$108,'Reference Score Calculation'!$Q140)),7,5)))))</f>
        <v>7</v>
      </c>
      <c r="CM163" s="455">
        <f>IF(ISNUMBER(SEARCH(CM$119,'Reference Score Calculation'!$P140)),10,IF(ISNUMBER(SEARCH(CM$119,'Reference Score Calculation'!$Q140)),7,IF(ISNUMBER(SEARCH(CM$119,'Reference Score Calculation'!$R140)),5,IF(ISNUMBER(SEARCH($BV$108,'Reference Score Calculation'!$P140)),10,IF(ISNUMBER(SEARCH($BV$108,'Reference Score Calculation'!$Q140)),7,5)))))</f>
        <v>7</v>
      </c>
      <c r="CN163" s="455">
        <f>IF(ISNUMBER(SEARCH(CN$119,'Reference Score Calculation'!$P140)),10,IF(ISNUMBER(SEARCH(CN$119,'Reference Score Calculation'!$Q140)),7,IF(ISNUMBER(SEARCH(CN$119,'Reference Score Calculation'!$R140)),5,IF(ISNUMBER(SEARCH($BV$108,'Reference Score Calculation'!$P140)),10,IF(ISNUMBER(SEARCH($BV$108,'Reference Score Calculation'!$Q140)),7,5)))))</f>
        <v>7</v>
      </c>
      <c r="CO163" s="455">
        <f>IF(ISNUMBER(SEARCH(CO$119,'Reference Score Calculation'!$P140)),10,IF(ISNUMBER(SEARCH(CO$119,'Reference Score Calculation'!$Q140)),7,IF(ISNUMBER(SEARCH(CO$119,'Reference Score Calculation'!$R140)),5,IF(ISNUMBER(SEARCH($BV$108,'Reference Score Calculation'!$P140)),10,IF(ISNUMBER(SEARCH($BV$108,'Reference Score Calculation'!$Q140)),7,5)))))</f>
        <v>7</v>
      </c>
      <c r="CP163" s="455">
        <f>IF(ISNUMBER(SEARCH(CP$119,'Reference Score Calculation'!$P140)),10,IF(ISNUMBER(SEARCH(CP$119,'Reference Score Calculation'!$Q140)),7,IF(ISNUMBER(SEARCH(CP$119,'Reference Score Calculation'!$R140)),5,IF(ISNUMBER(SEARCH($BV$108,'Reference Score Calculation'!$P140)),10,IF(ISNUMBER(SEARCH($BV$108,'Reference Score Calculation'!$Q140)),7,5)))))</f>
        <v>7</v>
      </c>
      <c r="CQ163" s="455">
        <f>IF(ISNUMBER(SEARCH(CQ$119,'Reference Score Calculation'!$P140)),10,IF(ISNUMBER(SEARCH(CQ$119,'Reference Score Calculation'!$Q140)),7,IF(ISNUMBER(SEARCH(CQ$119,'Reference Score Calculation'!$R140)),5,IF(ISNUMBER(SEARCH($BV$108,'Reference Score Calculation'!$P140)),10,IF(ISNUMBER(SEARCH($BV$108,'Reference Score Calculation'!$Q140)),7,5)))))</f>
        <v>7</v>
      </c>
      <c r="CR163" s="455">
        <f>IF(ISNUMBER(SEARCH(CR$119,'Reference Score Calculation'!$P140)),10,IF(ISNUMBER(SEARCH(CR$119,'Reference Score Calculation'!$Q140)),7,IF(ISNUMBER(SEARCH(CR$119,'Reference Score Calculation'!$R140)),5,IF(ISNUMBER(SEARCH($BV$108,'Reference Score Calculation'!$P140)),10,IF(ISNUMBER(SEARCH($BV$108,'Reference Score Calculation'!$Q140)),7,5)))))</f>
        <v>5</v>
      </c>
      <c r="CS163" s="455">
        <f>IF(ISNUMBER(SEARCH(CS$119,'Reference Score Calculation'!$P140)),10,IF(ISNUMBER(SEARCH(CS$119,'Reference Score Calculation'!$Q140)),7,IF(ISNUMBER(SEARCH(CS$119,'Reference Score Calculation'!$R140)),5,IF(ISNUMBER(SEARCH($BV$108,'Reference Score Calculation'!$P140)),10,IF(ISNUMBER(SEARCH($BV$108,'Reference Score Calculation'!$Q140)),7,5)))))</f>
        <v>7</v>
      </c>
      <c r="CT163" s="455">
        <f>IF(ISNUMBER(SEARCH(CT$119,'Reference Score Calculation'!$P140)),10,IF(ISNUMBER(SEARCH(CT$119,'Reference Score Calculation'!$Q140)),7,IF(ISNUMBER(SEARCH(CT$119,'Reference Score Calculation'!$R140)),5,IF(ISNUMBER(SEARCH($BV$108,'Reference Score Calculation'!$P140)),10,IF(ISNUMBER(SEARCH($BV$108,'Reference Score Calculation'!$Q140)),7,5)))))</f>
        <v>7</v>
      </c>
      <c r="CU163" s="455">
        <f>IF(ISNUMBER(SEARCH(CU$119,'Reference Score Calculation'!$P140)),10,IF(ISNUMBER(SEARCH(CU$119,'Reference Score Calculation'!$Q140)),7,IF(ISNUMBER(SEARCH(CU$119,'Reference Score Calculation'!$R140)),5,IF(ISNUMBER(SEARCH($BV$108,'Reference Score Calculation'!$P140)),10,IF(ISNUMBER(SEARCH($BV$108,'Reference Score Calculation'!$Q140)),7,5)))))</f>
        <v>7</v>
      </c>
      <c r="CV163" s="455">
        <f>IF(ISNUMBER(SEARCH(CV$119,'Reference Score Calculation'!$P140)),10,IF(ISNUMBER(SEARCH(CV$119,'Reference Score Calculation'!$Q140)),7,IF(ISNUMBER(SEARCH(CV$119,'Reference Score Calculation'!$R140)),5,IF(ISNUMBER(SEARCH($BV$108,'Reference Score Calculation'!$P140)),10,IF(ISNUMBER(SEARCH($BV$108,'Reference Score Calculation'!$Q140)),7,5)))))</f>
        <v>7</v>
      </c>
      <c r="CW163" s="185"/>
      <c r="CX163" s="185"/>
      <c r="CY163" s="185"/>
    </row>
    <row r="164" spans="1:103">
      <c r="A164" s="117" t="s">
        <v>1934</v>
      </c>
      <c r="B164" s="459" t="str">
        <f>'Reference Score Calculation'!B141</f>
        <v>JS3791</v>
      </c>
      <c r="C164" s="117" t="str">
        <f>'Reference Score Calculation'!E141</f>
        <v>建築工程及管理學(榮譽)理學士</v>
      </c>
      <c r="D164" s="2" t="e">
        <f>'Reference Score Calculation'!#REF!</f>
        <v>#REF!</v>
      </c>
      <c r="E164" s="131" t="str">
        <f>'Reference Score Calculation'!F141</f>
        <v>Best 5</v>
      </c>
      <c r="F164" s="131"/>
      <c r="G164" s="117" t="str">
        <f>入學要求!AB150</f>
        <v>v</v>
      </c>
      <c r="H164" s="117" t="str">
        <f>入學要求!AC150</f>
        <v>E</v>
      </c>
      <c r="I164" s="117" t="str">
        <f>入學要求!AD150</f>
        <v>NO</v>
      </c>
      <c r="J164" s="117">
        <f t="shared" si="211"/>
        <v>8.2999999999999999E-9</v>
      </c>
      <c r="K164" s="117">
        <f t="shared" si="244"/>
        <v>7</v>
      </c>
      <c r="L164" s="117">
        <f t="shared" si="244"/>
        <v>10</v>
      </c>
      <c r="M164" s="117">
        <f t="shared" si="244"/>
        <v>7</v>
      </c>
      <c r="N164" s="117">
        <f t="shared" si="244"/>
        <v>0</v>
      </c>
      <c r="O164" s="117">
        <f t="shared" si="244"/>
        <v>7</v>
      </c>
      <c r="P164" s="117">
        <f t="shared" si="244"/>
        <v>0</v>
      </c>
      <c r="Q164" s="117">
        <f t="shared" si="244"/>
        <v>0</v>
      </c>
      <c r="R164" s="117">
        <f t="shared" si="244"/>
        <v>0</v>
      </c>
      <c r="S164" s="117">
        <f t="shared" si="244"/>
        <v>0</v>
      </c>
      <c r="T164" s="117">
        <v>5</v>
      </c>
      <c r="V164" s="117">
        <f t="shared" si="224"/>
        <v>7.0000000000000006E-10</v>
      </c>
      <c r="W164" s="117">
        <f t="shared" si="225"/>
        <v>2.0000000000000001E-9</v>
      </c>
      <c r="X164" s="117">
        <f t="shared" si="226"/>
        <v>2.0999999999999998E-9</v>
      </c>
      <c r="Z164" s="117">
        <f t="shared" si="227"/>
        <v>3.5000000000000003E-9</v>
      </c>
      <c r="AA164" s="117">
        <f t="shared" si="228"/>
        <v>0</v>
      </c>
      <c r="AB164" s="117">
        <f t="shared" si="229"/>
        <v>0</v>
      </c>
      <c r="AC164" s="117">
        <f t="shared" si="230"/>
        <v>0</v>
      </c>
      <c r="AD164" s="117">
        <f t="shared" si="231"/>
        <v>0</v>
      </c>
      <c r="AE164" s="117">
        <f t="shared" si="232"/>
        <v>0</v>
      </c>
      <c r="AF164" s="117">
        <f t="shared" si="213"/>
        <v>7.0000000000000006E-10</v>
      </c>
      <c r="AG164" s="117">
        <f t="shared" si="214"/>
        <v>2.0000000000000001E-9</v>
      </c>
      <c r="AH164" s="117">
        <f t="shared" si="215"/>
        <v>2.0999999999999998E-9</v>
      </c>
      <c r="AI164" s="117">
        <f t="shared" si="216"/>
        <v>0</v>
      </c>
      <c r="AJ164" s="117">
        <f t="shared" si="217"/>
        <v>3.5000000000000003E-9</v>
      </c>
      <c r="AK164" s="117">
        <f t="shared" si="218"/>
        <v>0</v>
      </c>
      <c r="AL164" s="117">
        <f t="shared" si="219"/>
        <v>0</v>
      </c>
      <c r="AM164" s="117">
        <f t="shared" si="220"/>
        <v>0</v>
      </c>
      <c r="AN164" s="117">
        <f t="shared" si="221"/>
        <v>0</v>
      </c>
      <c r="AO164" s="117">
        <f t="shared" si="222"/>
        <v>0</v>
      </c>
      <c r="AP164" s="117" t="b">
        <f t="shared" si="233"/>
        <v>1</v>
      </c>
      <c r="AQ164" s="117" t="b">
        <f t="shared" si="234"/>
        <v>1</v>
      </c>
      <c r="AR164" s="117" t="b">
        <f t="shared" si="235"/>
        <v>1</v>
      </c>
      <c r="AT164" s="117" t="b">
        <f t="shared" si="236"/>
        <v>1</v>
      </c>
      <c r="AU164" s="117" t="b">
        <f t="shared" si="237"/>
        <v>0</v>
      </c>
      <c r="AV164" s="117" t="b">
        <f t="shared" si="238"/>
        <v>0</v>
      </c>
      <c r="AW164" s="117" t="b">
        <f t="shared" si="239"/>
        <v>0</v>
      </c>
      <c r="AX164" s="117" t="b">
        <f t="shared" si="240"/>
        <v>0</v>
      </c>
      <c r="AY164" s="117" t="b">
        <f t="shared" si="241"/>
        <v>0</v>
      </c>
      <c r="BA164" s="2"/>
      <c r="BB164" s="2"/>
      <c r="BC164" s="2"/>
      <c r="BD164" s="2"/>
      <c r="BE164" s="2"/>
      <c r="BF164" s="2"/>
      <c r="BG164" s="2"/>
      <c r="BH164" s="2"/>
      <c r="BI164" s="2"/>
      <c r="BJ164" s="2"/>
      <c r="BK164" s="2"/>
      <c r="BL164" s="2"/>
      <c r="BM164" s="2"/>
      <c r="BN164" s="2"/>
      <c r="BO164" s="2"/>
      <c r="BP164" s="2"/>
      <c r="BQ164" s="2"/>
      <c r="BR164" s="2"/>
      <c r="BS164" s="185" t="str">
        <f>'Reference Score Calculation'!B141</f>
        <v>JS3791</v>
      </c>
      <c r="BT164" s="185"/>
      <c r="BU164" s="455">
        <f>IF(ISNUMBER(SEARCH(BU$119,'Reference Score Calculation'!$P141)),10,IF(ISNUMBER(SEARCH(BU$119,'Reference Score Calculation'!$Q141)),7,IF(ISNUMBER(SEARCH(BU$119,'Reference Score Calculation'!$R141)),5,IF(ISNUMBER(SEARCH($BV$108,'Reference Score Calculation'!$P141)),10,IF(ISNUMBER(SEARCH($BV$108,'Reference Score Calculation'!$Q141)),7,5)))))</f>
        <v>7</v>
      </c>
      <c r="BV164" s="455">
        <f>IF(ISNUMBER(SEARCH(BV$119,'Reference Score Calculation'!$P141)),10,IF(ISNUMBER(SEARCH(BV$119,'Reference Score Calculation'!$Q141)),7,IF(ISNUMBER(SEARCH(BV$119,'Reference Score Calculation'!$R141)),5,IF(ISNUMBER(SEARCH($BV$108,'Reference Score Calculation'!$P141)),10,IF(ISNUMBER(SEARCH($BV$108,'Reference Score Calculation'!$Q141)),7,5)))))</f>
        <v>10</v>
      </c>
      <c r="BW164" s="455">
        <f>IF(ISNUMBER(SEARCH(BW$119,'Reference Score Calculation'!$P141)),10,IF(ISNUMBER(SEARCH(BW$119,'Reference Score Calculation'!$Q141)),7,IF(ISNUMBER(SEARCH(BW$119,'Reference Score Calculation'!$R141)),5,IF(ISNUMBER(SEARCH($BV$108,'Reference Score Calculation'!$P141)),10,IF(ISNUMBER(SEARCH($BV$108,'Reference Score Calculation'!$Q141)),7,5)))))</f>
        <v>7</v>
      </c>
      <c r="BX164" s="455">
        <f>IF(ISNUMBER(SEARCH(BX$119,'Reference Score Calculation'!$P141)),10,IF(ISNUMBER(SEARCH(BX$119,'Reference Score Calculation'!$Q141)),7,IF(ISNUMBER(SEARCH(BX$119,'Reference Score Calculation'!$R141)),5,IF(ISNUMBER(SEARCH($BV$108,'Reference Score Calculation'!$P141)),10,IF(ISNUMBER(SEARCH($BV$108,'Reference Score Calculation'!$Q141)),7,5)))))</f>
        <v>7</v>
      </c>
      <c r="BY164" s="455">
        <f>IF(ISNUMBER(SEARCH(BY$119,'Reference Score Calculation'!$P141)),10,IF(ISNUMBER(SEARCH(BY$119,'Reference Score Calculation'!$Q141)),7,IF(ISNUMBER(SEARCH(BY$119,'Reference Score Calculation'!$R141)),5,IF(ISNUMBER(SEARCH($BV$108,'Reference Score Calculation'!$P141)),10,IF(ISNUMBER(SEARCH($BV$108,'Reference Score Calculation'!$Q141)),7,5)))))</f>
        <v>7</v>
      </c>
      <c r="BZ164" s="455">
        <f>IF(ISNUMBER(SEARCH(BZ$119,'Reference Score Calculation'!$P141)),10,IF(ISNUMBER(SEARCH(BZ$119,'Reference Score Calculation'!$Q141)),7,IF(ISNUMBER(SEARCH(BZ$119,'Reference Score Calculation'!$R141)),5,IF(ISNUMBER(SEARCH($BV$108,'Reference Score Calculation'!$P141)),10,IF(ISNUMBER(SEARCH($BV$108,'Reference Score Calculation'!$Q141)),7,5)))))</f>
        <v>7</v>
      </c>
      <c r="CA164" s="455">
        <f>IF(ISNUMBER(SEARCH(CA$119,'Reference Score Calculation'!$P141)),10,IF(ISNUMBER(SEARCH(CA$119,'Reference Score Calculation'!$Q141)),7,IF(ISNUMBER(SEARCH(CA$119,'Reference Score Calculation'!$R141)),5,IF(ISNUMBER(SEARCH($BV$108,'Reference Score Calculation'!$P141)),10,IF(ISNUMBER(SEARCH($BV$108,'Reference Score Calculation'!$Q141)),7,5)))))</f>
        <v>7</v>
      </c>
      <c r="CB164" s="455">
        <f>IF(ISNUMBER(SEARCH(CB$119,'Reference Score Calculation'!$P141)),10,IF(ISNUMBER(SEARCH(CB$119,'Reference Score Calculation'!$Q141)),7,IF(ISNUMBER(SEARCH(CB$119,'Reference Score Calculation'!$R141)),5,IF(ISNUMBER(SEARCH($BV$108,'Reference Score Calculation'!$P141)),10,IF(ISNUMBER(SEARCH($BV$108,'Reference Score Calculation'!$Q141)),7,5)))))</f>
        <v>7</v>
      </c>
      <c r="CC164" s="455">
        <f>IF(ISNUMBER(SEARCH(CC$119,'Reference Score Calculation'!$P141)),10,IF(ISNUMBER(SEARCH(CC$119,'Reference Score Calculation'!$Q141)),7,IF(ISNUMBER(SEARCH(CC$119,'Reference Score Calculation'!$R141)),5,IF(ISNUMBER(SEARCH($BV$108,'Reference Score Calculation'!$P141)),10,IF(ISNUMBER(SEARCH($BV$108,'Reference Score Calculation'!$Q141)),7,5)))))</f>
        <v>7</v>
      </c>
      <c r="CD164" s="455">
        <f>IF(ISNUMBER(SEARCH(CD$119,'Reference Score Calculation'!$P141)),10,IF(ISNUMBER(SEARCH(CD$119,'Reference Score Calculation'!$Q141)),7,IF(ISNUMBER(SEARCH(CD$119,'Reference Score Calculation'!$R141)),5,IF(ISNUMBER(SEARCH($BV$108,'Reference Score Calculation'!$P141)),10,IF(ISNUMBER(SEARCH($BV$108,'Reference Score Calculation'!$Q141)),7,5)))))</f>
        <v>7</v>
      </c>
      <c r="CE164" s="455">
        <f>IF(ISNUMBER(SEARCH(CE$119,'Reference Score Calculation'!$P141)),10,IF(ISNUMBER(SEARCH(CE$119,'Reference Score Calculation'!$Q141)),7,IF(ISNUMBER(SEARCH(CE$119,'Reference Score Calculation'!$R141)),5,IF(ISNUMBER(SEARCH($BV$108,'Reference Score Calculation'!$P141)),10,IF(ISNUMBER(SEARCH($BV$108,'Reference Score Calculation'!$Q141)),7,5)))))</f>
        <v>5</v>
      </c>
      <c r="CF164" s="455">
        <f>IF(ISNUMBER(SEARCH(CF$119,'Reference Score Calculation'!$P141)),10,IF(ISNUMBER(SEARCH(CF$119,'Reference Score Calculation'!$Q141)),7,IF(ISNUMBER(SEARCH(CF$119,'Reference Score Calculation'!$R141)),5,IF(ISNUMBER(SEARCH($BV$108,'Reference Score Calculation'!$P141)),10,IF(ISNUMBER(SEARCH($BV$108,'Reference Score Calculation'!$Q141)),7,5)))))</f>
        <v>5</v>
      </c>
      <c r="CG164" s="455">
        <f>IF(ISNUMBER(SEARCH(CG$119,'Reference Score Calculation'!$P141)),10,IF(ISNUMBER(SEARCH(CG$119,'Reference Score Calculation'!$Q141)),7,IF(ISNUMBER(SEARCH(CG$119,'Reference Score Calculation'!$R141)),5,IF(ISNUMBER(SEARCH($BV$108,'Reference Score Calculation'!$P141)),10,IF(ISNUMBER(SEARCH($BV$108,'Reference Score Calculation'!$Q141)),7,5)))))</f>
        <v>7</v>
      </c>
      <c r="CH164" s="455">
        <f>IF(ISNUMBER(SEARCH(CH$119,'Reference Score Calculation'!$P141)),10,IF(ISNUMBER(SEARCH(CH$119,'Reference Score Calculation'!$Q141)),7,IF(ISNUMBER(SEARCH(CH$119,'Reference Score Calculation'!$R141)),5,IF(ISNUMBER(SEARCH($BV$108,'Reference Score Calculation'!$P141)),10,IF(ISNUMBER(SEARCH($BV$108,'Reference Score Calculation'!$Q141)),7,5)))))</f>
        <v>7</v>
      </c>
      <c r="CI164" s="455">
        <f>IF(ISNUMBER(SEARCH(CI$119,'Reference Score Calculation'!$P141)),10,IF(ISNUMBER(SEARCH(CI$119,'Reference Score Calculation'!$Q141)),7,IF(ISNUMBER(SEARCH(CI$119,'Reference Score Calculation'!$R141)),5,IF(ISNUMBER(SEARCH($BV$108,'Reference Score Calculation'!$P141)),10,IF(ISNUMBER(SEARCH($BV$108,'Reference Score Calculation'!$Q141)),7,5)))))</f>
        <v>5</v>
      </c>
      <c r="CJ164" s="455">
        <f>IF(ISNUMBER(SEARCH(CJ$119,'Reference Score Calculation'!$P141)),10,IF(ISNUMBER(SEARCH(CJ$119,'Reference Score Calculation'!$Q141)),7,IF(ISNUMBER(SEARCH(CJ$119,'Reference Score Calculation'!$R141)),5,IF(ISNUMBER(SEARCH($BV$108,'Reference Score Calculation'!$P141)),10,IF(ISNUMBER(SEARCH($BV$108,'Reference Score Calculation'!$Q141)),7,5)))))</f>
        <v>7</v>
      </c>
      <c r="CK164" s="455">
        <f>IF(ISNUMBER(SEARCH(CK$119,'Reference Score Calculation'!$P141)),10,IF(ISNUMBER(SEARCH(CK$119,'Reference Score Calculation'!$Q141)),7,IF(ISNUMBER(SEARCH(CK$119,'Reference Score Calculation'!$R141)),5,IF(ISNUMBER(SEARCH($BV$108,'Reference Score Calculation'!$P141)),10,IF(ISNUMBER(SEARCH($BV$108,'Reference Score Calculation'!$Q141)),7,5)))))</f>
        <v>7</v>
      </c>
      <c r="CL164" s="455">
        <f>IF(ISNUMBER(SEARCH(CL$119,'Reference Score Calculation'!$P141)),10,IF(ISNUMBER(SEARCH(CL$119,'Reference Score Calculation'!$Q141)),7,IF(ISNUMBER(SEARCH(CL$119,'Reference Score Calculation'!$R141)),5,IF(ISNUMBER(SEARCH($BV$108,'Reference Score Calculation'!$P141)),10,IF(ISNUMBER(SEARCH($BV$108,'Reference Score Calculation'!$Q141)),7,5)))))</f>
        <v>7</v>
      </c>
      <c r="CM164" s="455">
        <f>IF(ISNUMBER(SEARCH(CM$119,'Reference Score Calculation'!$P141)),10,IF(ISNUMBER(SEARCH(CM$119,'Reference Score Calculation'!$Q141)),7,IF(ISNUMBER(SEARCH(CM$119,'Reference Score Calculation'!$R141)),5,IF(ISNUMBER(SEARCH($BV$108,'Reference Score Calculation'!$P141)),10,IF(ISNUMBER(SEARCH($BV$108,'Reference Score Calculation'!$Q141)),7,5)))))</f>
        <v>7</v>
      </c>
      <c r="CN164" s="455">
        <f>IF(ISNUMBER(SEARCH(CN$119,'Reference Score Calculation'!$P141)),10,IF(ISNUMBER(SEARCH(CN$119,'Reference Score Calculation'!$Q141)),7,IF(ISNUMBER(SEARCH(CN$119,'Reference Score Calculation'!$R141)),5,IF(ISNUMBER(SEARCH($BV$108,'Reference Score Calculation'!$P141)),10,IF(ISNUMBER(SEARCH($BV$108,'Reference Score Calculation'!$Q141)),7,5)))))</f>
        <v>7</v>
      </c>
      <c r="CO164" s="455">
        <f>IF(ISNUMBER(SEARCH(CO$119,'Reference Score Calculation'!$P141)),10,IF(ISNUMBER(SEARCH(CO$119,'Reference Score Calculation'!$Q141)),7,IF(ISNUMBER(SEARCH(CO$119,'Reference Score Calculation'!$R141)),5,IF(ISNUMBER(SEARCH($BV$108,'Reference Score Calculation'!$P141)),10,IF(ISNUMBER(SEARCH($BV$108,'Reference Score Calculation'!$Q141)),7,5)))))</f>
        <v>7</v>
      </c>
      <c r="CP164" s="455">
        <f>IF(ISNUMBER(SEARCH(CP$119,'Reference Score Calculation'!$P141)),10,IF(ISNUMBER(SEARCH(CP$119,'Reference Score Calculation'!$Q141)),7,IF(ISNUMBER(SEARCH(CP$119,'Reference Score Calculation'!$R141)),5,IF(ISNUMBER(SEARCH($BV$108,'Reference Score Calculation'!$P141)),10,IF(ISNUMBER(SEARCH($BV$108,'Reference Score Calculation'!$Q141)),7,5)))))</f>
        <v>7</v>
      </c>
      <c r="CQ164" s="455">
        <f>IF(ISNUMBER(SEARCH(CQ$119,'Reference Score Calculation'!$P141)),10,IF(ISNUMBER(SEARCH(CQ$119,'Reference Score Calculation'!$Q141)),7,IF(ISNUMBER(SEARCH(CQ$119,'Reference Score Calculation'!$R141)),5,IF(ISNUMBER(SEARCH($BV$108,'Reference Score Calculation'!$P141)),10,IF(ISNUMBER(SEARCH($BV$108,'Reference Score Calculation'!$Q141)),7,5)))))</f>
        <v>7</v>
      </c>
      <c r="CR164" s="455">
        <f>IF(ISNUMBER(SEARCH(CR$119,'Reference Score Calculation'!$P141)),10,IF(ISNUMBER(SEARCH(CR$119,'Reference Score Calculation'!$Q141)),7,IF(ISNUMBER(SEARCH(CR$119,'Reference Score Calculation'!$R141)),5,IF(ISNUMBER(SEARCH($BV$108,'Reference Score Calculation'!$P141)),10,IF(ISNUMBER(SEARCH($BV$108,'Reference Score Calculation'!$Q141)),7,5)))))</f>
        <v>5</v>
      </c>
      <c r="CS164" s="455">
        <f>IF(ISNUMBER(SEARCH(CS$119,'Reference Score Calculation'!$P141)),10,IF(ISNUMBER(SEARCH(CS$119,'Reference Score Calculation'!$Q141)),7,IF(ISNUMBER(SEARCH(CS$119,'Reference Score Calculation'!$R141)),5,IF(ISNUMBER(SEARCH($BV$108,'Reference Score Calculation'!$P141)),10,IF(ISNUMBER(SEARCH($BV$108,'Reference Score Calculation'!$Q141)),7,5)))))</f>
        <v>7</v>
      </c>
      <c r="CT164" s="455">
        <f>IF(ISNUMBER(SEARCH(CT$119,'Reference Score Calculation'!$P141)),10,IF(ISNUMBER(SEARCH(CT$119,'Reference Score Calculation'!$Q141)),7,IF(ISNUMBER(SEARCH(CT$119,'Reference Score Calculation'!$R141)),5,IF(ISNUMBER(SEARCH($BV$108,'Reference Score Calculation'!$P141)),10,IF(ISNUMBER(SEARCH($BV$108,'Reference Score Calculation'!$Q141)),7,5)))))</f>
        <v>7</v>
      </c>
      <c r="CU164" s="455">
        <f>IF(ISNUMBER(SEARCH(CU$119,'Reference Score Calculation'!$P141)),10,IF(ISNUMBER(SEARCH(CU$119,'Reference Score Calculation'!$Q141)),7,IF(ISNUMBER(SEARCH(CU$119,'Reference Score Calculation'!$R141)),5,IF(ISNUMBER(SEARCH($BV$108,'Reference Score Calculation'!$P141)),10,IF(ISNUMBER(SEARCH($BV$108,'Reference Score Calculation'!$Q141)),7,5)))))</f>
        <v>7</v>
      </c>
      <c r="CV164" s="455">
        <f>IF(ISNUMBER(SEARCH(CV$119,'Reference Score Calculation'!$P141)),10,IF(ISNUMBER(SEARCH(CV$119,'Reference Score Calculation'!$Q141)),7,IF(ISNUMBER(SEARCH(CV$119,'Reference Score Calculation'!$R141)),5,IF(ISNUMBER(SEARCH($BV$108,'Reference Score Calculation'!$P141)),10,IF(ISNUMBER(SEARCH($BV$108,'Reference Score Calculation'!$Q141)),7,5)))))</f>
        <v>7</v>
      </c>
      <c r="CW164" s="185"/>
      <c r="CX164" s="185"/>
      <c r="CY164" s="185"/>
    </row>
    <row r="165" spans="1:103">
      <c r="A165" s="117" t="s">
        <v>1149</v>
      </c>
      <c r="B165" s="459" t="str">
        <f>'Reference Score Calculation'!B142</f>
        <v>JS3868</v>
      </c>
      <c r="C165" s="117" t="str">
        <f>'Reference Score Calculation'!E142</f>
        <v>電子計算及人工智能(榮譽)理學士組合課程 (計算機科學 / 企業信息管理)</v>
      </c>
      <c r="E165" s="131" t="str">
        <f>'Reference Score Calculation'!F142</f>
        <v>Best 5</v>
      </c>
      <c r="F165" s="131"/>
      <c r="G165" s="117" t="str">
        <f>入學要求!AB151</f>
        <v>v</v>
      </c>
      <c r="H165" s="117" t="str">
        <f>入學要求!AC151</f>
        <v>E</v>
      </c>
      <c r="I165" s="117" t="str">
        <f>入學要求!AD151</f>
        <v>NO</v>
      </c>
      <c r="J165" s="117">
        <f t="shared" si="211"/>
        <v>1.07E-8</v>
      </c>
      <c r="K165" s="117">
        <f t="shared" si="244"/>
        <v>7</v>
      </c>
      <c r="L165" s="117">
        <f t="shared" si="244"/>
        <v>10</v>
      </c>
      <c r="M165" s="117">
        <f t="shared" si="244"/>
        <v>10</v>
      </c>
      <c r="N165" s="117">
        <f t="shared" si="244"/>
        <v>0</v>
      </c>
      <c r="O165" s="117">
        <f t="shared" si="244"/>
        <v>10</v>
      </c>
      <c r="P165" s="117">
        <f t="shared" si="244"/>
        <v>0</v>
      </c>
      <c r="Q165" s="117">
        <f t="shared" si="244"/>
        <v>0</v>
      </c>
      <c r="R165" s="117">
        <f t="shared" si="244"/>
        <v>0</v>
      </c>
      <c r="S165" s="117">
        <f t="shared" si="244"/>
        <v>0</v>
      </c>
      <c r="T165" s="117">
        <v>5</v>
      </c>
      <c r="V165" s="117">
        <f t="shared" si="224"/>
        <v>7.0000000000000006E-10</v>
      </c>
      <c r="W165" s="117">
        <f t="shared" si="225"/>
        <v>2.0000000000000001E-9</v>
      </c>
      <c r="X165" s="117">
        <f t="shared" si="226"/>
        <v>3E-9</v>
      </c>
      <c r="Z165" s="117">
        <f t="shared" si="227"/>
        <v>5.0000000000000001E-9</v>
      </c>
      <c r="AA165" s="117">
        <f t="shared" si="228"/>
        <v>0</v>
      </c>
      <c r="AB165" s="117">
        <f t="shared" si="229"/>
        <v>0</v>
      </c>
      <c r="AC165" s="117">
        <f t="shared" si="230"/>
        <v>0</v>
      </c>
      <c r="AD165" s="117">
        <f t="shared" si="231"/>
        <v>0</v>
      </c>
      <c r="AE165" s="117">
        <f t="shared" si="232"/>
        <v>0</v>
      </c>
      <c r="AF165" s="117">
        <f t="shared" si="213"/>
        <v>7.0000000000000006E-10</v>
      </c>
      <c r="AG165" s="117">
        <f t="shared" si="214"/>
        <v>2.0000000000000001E-9</v>
      </c>
      <c r="AH165" s="117">
        <f t="shared" si="215"/>
        <v>3E-9</v>
      </c>
      <c r="AI165" s="117">
        <f t="shared" si="216"/>
        <v>0</v>
      </c>
      <c r="AJ165" s="117">
        <f t="shared" si="217"/>
        <v>5.0000000000000001E-9</v>
      </c>
      <c r="AK165" s="117">
        <f t="shared" si="218"/>
        <v>0</v>
      </c>
      <c r="AL165" s="117">
        <f t="shared" si="219"/>
        <v>0</v>
      </c>
      <c r="AM165" s="117">
        <f t="shared" si="220"/>
        <v>0</v>
      </c>
      <c r="AN165" s="117">
        <f t="shared" si="221"/>
        <v>0</v>
      </c>
      <c r="AO165" s="117">
        <f t="shared" si="222"/>
        <v>0</v>
      </c>
      <c r="AP165" s="117" t="b">
        <f t="shared" si="233"/>
        <v>1</v>
      </c>
      <c r="AQ165" s="117" t="b">
        <f t="shared" si="234"/>
        <v>1</v>
      </c>
      <c r="AR165" s="117" t="b">
        <f t="shared" si="235"/>
        <v>1</v>
      </c>
      <c r="AT165" s="117" t="b">
        <f t="shared" si="236"/>
        <v>1</v>
      </c>
      <c r="AU165" s="117" t="b">
        <f t="shared" si="237"/>
        <v>0</v>
      </c>
      <c r="AV165" s="117" t="b">
        <f t="shared" si="238"/>
        <v>0</v>
      </c>
      <c r="AW165" s="117" t="b">
        <f t="shared" si="239"/>
        <v>0</v>
      </c>
      <c r="AX165" s="117" t="b">
        <f t="shared" si="240"/>
        <v>0</v>
      </c>
      <c r="AY165" s="117" t="b">
        <f t="shared" si="241"/>
        <v>0</v>
      </c>
      <c r="BA165" s="2"/>
      <c r="BB165" s="2"/>
      <c r="BC165" s="2"/>
      <c r="BD165" s="2"/>
      <c r="BE165" s="2"/>
      <c r="BF165" s="2"/>
      <c r="BG165" s="2"/>
      <c r="BH165" s="2"/>
      <c r="BI165" s="2"/>
      <c r="BJ165" s="2"/>
      <c r="BK165" s="2"/>
      <c r="BL165" s="2"/>
      <c r="BM165" s="2"/>
      <c r="BN165" s="2"/>
      <c r="BO165" s="2"/>
      <c r="BP165" s="2"/>
      <c r="BQ165" s="2"/>
      <c r="BR165" s="2"/>
      <c r="BS165" s="185" t="str">
        <f>'Reference Score Calculation'!B142</f>
        <v>JS3868</v>
      </c>
      <c r="BT165" s="185"/>
      <c r="BU165" s="455">
        <f>IF(ISNUMBER(SEARCH(BU$119,'Reference Score Calculation'!$P142)),10,IF(ISNUMBER(SEARCH(BU$119,'Reference Score Calculation'!$Q142)),7,IF(ISNUMBER(SEARCH(BU$119,'Reference Score Calculation'!$R142)),5,IF(ISNUMBER(SEARCH($BV$108,'Reference Score Calculation'!$P142)),10,IF(ISNUMBER(SEARCH($BV$108,'Reference Score Calculation'!$Q142)),7,5)))))</f>
        <v>7</v>
      </c>
      <c r="BV165" s="455">
        <f>IF(ISNUMBER(SEARCH(BV$119,'Reference Score Calculation'!$P142)),10,IF(ISNUMBER(SEARCH(BV$119,'Reference Score Calculation'!$Q142)),7,IF(ISNUMBER(SEARCH(BV$119,'Reference Score Calculation'!$R142)),5,IF(ISNUMBER(SEARCH($BV$108,'Reference Score Calculation'!$P142)),10,IF(ISNUMBER(SEARCH($BV$108,'Reference Score Calculation'!$Q142)),7,5)))))</f>
        <v>10</v>
      </c>
      <c r="BW165" s="455">
        <f>IF(ISNUMBER(SEARCH(BW$119,'Reference Score Calculation'!$P142)),10,IF(ISNUMBER(SEARCH(BW$119,'Reference Score Calculation'!$Q142)),7,IF(ISNUMBER(SEARCH(BW$119,'Reference Score Calculation'!$R142)),5,IF(ISNUMBER(SEARCH($BV$108,'Reference Score Calculation'!$P142)),10,IF(ISNUMBER(SEARCH($BV$108,'Reference Score Calculation'!$Q142)),7,5)))))</f>
        <v>10</v>
      </c>
      <c r="BX165" s="455">
        <f>IF(ISNUMBER(SEARCH(BX$119,'Reference Score Calculation'!$P142)),10,IF(ISNUMBER(SEARCH(BX$119,'Reference Score Calculation'!$Q142)),7,IF(ISNUMBER(SEARCH(BX$119,'Reference Score Calculation'!$R142)),5,IF(ISNUMBER(SEARCH($BV$108,'Reference Score Calculation'!$P142)),10,IF(ISNUMBER(SEARCH($BV$108,'Reference Score Calculation'!$Q142)),7,5)))))</f>
        <v>7</v>
      </c>
      <c r="BY165" s="455">
        <f>IF(ISNUMBER(SEARCH(BY$119,'Reference Score Calculation'!$P142)),10,IF(ISNUMBER(SEARCH(BY$119,'Reference Score Calculation'!$Q142)),7,IF(ISNUMBER(SEARCH(BY$119,'Reference Score Calculation'!$R142)),5,IF(ISNUMBER(SEARCH($BV$108,'Reference Score Calculation'!$P142)),10,IF(ISNUMBER(SEARCH($BV$108,'Reference Score Calculation'!$Q142)),7,5)))))</f>
        <v>10</v>
      </c>
      <c r="BZ165" s="455">
        <f>IF(ISNUMBER(SEARCH(BZ$119,'Reference Score Calculation'!$P142)),10,IF(ISNUMBER(SEARCH(BZ$119,'Reference Score Calculation'!$Q142)),7,IF(ISNUMBER(SEARCH(BZ$119,'Reference Score Calculation'!$R142)),5,IF(ISNUMBER(SEARCH($BV$108,'Reference Score Calculation'!$P142)),10,IF(ISNUMBER(SEARCH($BV$108,'Reference Score Calculation'!$Q142)),7,5)))))</f>
        <v>10</v>
      </c>
      <c r="CA165" s="455">
        <f>IF(ISNUMBER(SEARCH(CA$119,'Reference Score Calculation'!$P142)),10,IF(ISNUMBER(SEARCH(CA$119,'Reference Score Calculation'!$Q142)),7,IF(ISNUMBER(SEARCH(CA$119,'Reference Score Calculation'!$R142)),5,IF(ISNUMBER(SEARCH($BV$108,'Reference Score Calculation'!$P142)),10,IF(ISNUMBER(SEARCH($BV$108,'Reference Score Calculation'!$Q142)),7,5)))))</f>
        <v>10</v>
      </c>
      <c r="CB165" s="455">
        <f>IF(ISNUMBER(SEARCH(CB$119,'Reference Score Calculation'!$P142)),10,IF(ISNUMBER(SEARCH(CB$119,'Reference Score Calculation'!$Q142)),7,IF(ISNUMBER(SEARCH(CB$119,'Reference Score Calculation'!$R142)),5,IF(ISNUMBER(SEARCH($BV$108,'Reference Score Calculation'!$P142)),10,IF(ISNUMBER(SEARCH($BV$108,'Reference Score Calculation'!$Q142)),7,5)))))</f>
        <v>10</v>
      </c>
      <c r="CC165" s="455">
        <f>IF(ISNUMBER(SEARCH(CC$119,'Reference Score Calculation'!$P142)),10,IF(ISNUMBER(SEARCH(CC$119,'Reference Score Calculation'!$Q142)),7,IF(ISNUMBER(SEARCH(CC$119,'Reference Score Calculation'!$R142)),5,IF(ISNUMBER(SEARCH($BV$108,'Reference Score Calculation'!$P142)),10,IF(ISNUMBER(SEARCH($BV$108,'Reference Score Calculation'!$Q142)),7,5)))))</f>
        <v>10</v>
      </c>
      <c r="CD165" s="455">
        <f>IF(ISNUMBER(SEARCH(CD$119,'Reference Score Calculation'!$P142)),10,IF(ISNUMBER(SEARCH(CD$119,'Reference Score Calculation'!$Q142)),7,IF(ISNUMBER(SEARCH(CD$119,'Reference Score Calculation'!$R142)),5,IF(ISNUMBER(SEARCH($BV$108,'Reference Score Calculation'!$P142)),10,IF(ISNUMBER(SEARCH($BV$108,'Reference Score Calculation'!$Q142)),7,5)))))</f>
        <v>7</v>
      </c>
      <c r="CE165" s="455">
        <f>IF(ISNUMBER(SEARCH(CE$119,'Reference Score Calculation'!$P142)),10,IF(ISNUMBER(SEARCH(CE$119,'Reference Score Calculation'!$Q142)),7,IF(ISNUMBER(SEARCH(CE$119,'Reference Score Calculation'!$R142)),5,IF(ISNUMBER(SEARCH($BV$108,'Reference Score Calculation'!$P142)),10,IF(ISNUMBER(SEARCH($BV$108,'Reference Score Calculation'!$Q142)),7,5)))))</f>
        <v>7</v>
      </c>
      <c r="CF165" s="455">
        <f>IF(ISNUMBER(SEARCH(CF$119,'Reference Score Calculation'!$P142)),10,IF(ISNUMBER(SEARCH(CF$119,'Reference Score Calculation'!$Q142)),7,IF(ISNUMBER(SEARCH(CF$119,'Reference Score Calculation'!$R142)),5,IF(ISNUMBER(SEARCH($BV$108,'Reference Score Calculation'!$P142)),10,IF(ISNUMBER(SEARCH($BV$108,'Reference Score Calculation'!$Q142)),7,5)))))</f>
        <v>7</v>
      </c>
      <c r="CG165" s="455">
        <f>IF(ISNUMBER(SEARCH(CG$119,'Reference Score Calculation'!$P142)),10,IF(ISNUMBER(SEARCH(CG$119,'Reference Score Calculation'!$Q142)),7,IF(ISNUMBER(SEARCH(CG$119,'Reference Score Calculation'!$R142)),5,IF(ISNUMBER(SEARCH($BV$108,'Reference Score Calculation'!$P142)),10,IF(ISNUMBER(SEARCH($BV$108,'Reference Score Calculation'!$Q142)),7,5)))))</f>
        <v>7</v>
      </c>
      <c r="CH165" s="455">
        <f>IF(ISNUMBER(SEARCH(CH$119,'Reference Score Calculation'!$P142)),10,IF(ISNUMBER(SEARCH(CH$119,'Reference Score Calculation'!$Q142)),7,IF(ISNUMBER(SEARCH(CH$119,'Reference Score Calculation'!$R142)),5,IF(ISNUMBER(SEARCH($BV$108,'Reference Score Calculation'!$P142)),10,IF(ISNUMBER(SEARCH($BV$108,'Reference Score Calculation'!$Q142)),7,5)))))</f>
        <v>7</v>
      </c>
      <c r="CI165" s="455">
        <f>IF(ISNUMBER(SEARCH(CI$119,'Reference Score Calculation'!$P142)),10,IF(ISNUMBER(SEARCH(CI$119,'Reference Score Calculation'!$Q142)),7,IF(ISNUMBER(SEARCH(CI$119,'Reference Score Calculation'!$R142)),5,IF(ISNUMBER(SEARCH($BV$108,'Reference Score Calculation'!$P142)),10,IF(ISNUMBER(SEARCH($BV$108,'Reference Score Calculation'!$Q142)),7,5)))))</f>
        <v>7</v>
      </c>
      <c r="CJ165" s="455">
        <f>IF(ISNUMBER(SEARCH(CJ$119,'Reference Score Calculation'!$P142)),10,IF(ISNUMBER(SEARCH(CJ$119,'Reference Score Calculation'!$Q142)),7,IF(ISNUMBER(SEARCH(CJ$119,'Reference Score Calculation'!$R142)),5,IF(ISNUMBER(SEARCH($BV$108,'Reference Score Calculation'!$P142)),10,IF(ISNUMBER(SEARCH($BV$108,'Reference Score Calculation'!$Q142)),7,5)))))</f>
        <v>7</v>
      </c>
      <c r="CK165" s="455">
        <f>IF(ISNUMBER(SEARCH(CK$119,'Reference Score Calculation'!$P142)),10,IF(ISNUMBER(SEARCH(CK$119,'Reference Score Calculation'!$Q142)),7,IF(ISNUMBER(SEARCH(CK$119,'Reference Score Calculation'!$R142)),5,IF(ISNUMBER(SEARCH($BV$108,'Reference Score Calculation'!$P142)),10,IF(ISNUMBER(SEARCH($BV$108,'Reference Score Calculation'!$Q142)),7,5)))))</f>
        <v>7</v>
      </c>
      <c r="CL165" s="455">
        <f>IF(ISNUMBER(SEARCH(CL$119,'Reference Score Calculation'!$P142)),10,IF(ISNUMBER(SEARCH(CL$119,'Reference Score Calculation'!$Q142)),7,IF(ISNUMBER(SEARCH(CL$119,'Reference Score Calculation'!$R142)),5,IF(ISNUMBER(SEARCH($BV$108,'Reference Score Calculation'!$P142)),10,IF(ISNUMBER(SEARCH($BV$108,'Reference Score Calculation'!$Q142)),7,5)))))</f>
        <v>7</v>
      </c>
      <c r="CM165" s="455">
        <f>IF(ISNUMBER(SEARCH(CM$119,'Reference Score Calculation'!$P142)),10,IF(ISNUMBER(SEARCH(CM$119,'Reference Score Calculation'!$Q142)),7,IF(ISNUMBER(SEARCH(CM$119,'Reference Score Calculation'!$R142)),5,IF(ISNUMBER(SEARCH($BV$108,'Reference Score Calculation'!$P142)),10,IF(ISNUMBER(SEARCH($BV$108,'Reference Score Calculation'!$Q142)),7,5)))))</f>
        <v>7</v>
      </c>
      <c r="CN165" s="455">
        <f>IF(ISNUMBER(SEARCH(CN$119,'Reference Score Calculation'!$P142)),10,IF(ISNUMBER(SEARCH(CN$119,'Reference Score Calculation'!$Q142)),7,IF(ISNUMBER(SEARCH(CN$119,'Reference Score Calculation'!$R142)),5,IF(ISNUMBER(SEARCH($BV$108,'Reference Score Calculation'!$P142)),10,IF(ISNUMBER(SEARCH($BV$108,'Reference Score Calculation'!$Q142)),7,5)))))</f>
        <v>7</v>
      </c>
      <c r="CO165" s="455">
        <f>IF(ISNUMBER(SEARCH(CO$119,'Reference Score Calculation'!$P142)),10,IF(ISNUMBER(SEARCH(CO$119,'Reference Score Calculation'!$Q142)),7,IF(ISNUMBER(SEARCH(CO$119,'Reference Score Calculation'!$R142)),5,IF(ISNUMBER(SEARCH($BV$108,'Reference Score Calculation'!$P142)),10,IF(ISNUMBER(SEARCH($BV$108,'Reference Score Calculation'!$Q142)),7,5)))))</f>
        <v>7</v>
      </c>
      <c r="CP165" s="455">
        <f>IF(ISNUMBER(SEARCH(CP$119,'Reference Score Calculation'!$P142)),10,IF(ISNUMBER(SEARCH(CP$119,'Reference Score Calculation'!$Q142)),7,IF(ISNUMBER(SEARCH(CP$119,'Reference Score Calculation'!$R142)),5,IF(ISNUMBER(SEARCH($BV$108,'Reference Score Calculation'!$P142)),10,IF(ISNUMBER(SEARCH($BV$108,'Reference Score Calculation'!$Q142)),7,5)))))</f>
        <v>7</v>
      </c>
      <c r="CQ165" s="455">
        <f>IF(ISNUMBER(SEARCH(CQ$119,'Reference Score Calculation'!$P142)),10,IF(ISNUMBER(SEARCH(CQ$119,'Reference Score Calculation'!$Q142)),7,IF(ISNUMBER(SEARCH(CQ$119,'Reference Score Calculation'!$R142)),5,IF(ISNUMBER(SEARCH($BV$108,'Reference Score Calculation'!$P142)),10,IF(ISNUMBER(SEARCH($BV$108,'Reference Score Calculation'!$Q142)),7,5)))))</f>
        <v>7</v>
      </c>
      <c r="CR165" s="455">
        <f>IF(ISNUMBER(SEARCH(CR$119,'Reference Score Calculation'!$P142)),10,IF(ISNUMBER(SEARCH(CR$119,'Reference Score Calculation'!$Q142)),7,IF(ISNUMBER(SEARCH(CR$119,'Reference Score Calculation'!$R142)),5,IF(ISNUMBER(SEARCH($BV$108,'Reference Score Calculation'!$P142)),10,IF(ISNUMBER(SEARCH($BV$108,'Reference Score Calculation'!$Q142)),7,5)))))</f>
        <v>7</v>
      </c>
      <c r="CS165" s="455">
        <f>IF(ISNUMBER(SEARCH(CS$119,'Reference Score Calculation'!$P142)),10,IF(ISNUMBER(SEARCH(CS$119,'Reference Score Calculation'!$Q142)),7,IF(ISNUMBER(SEARCH(CS$119,'Reference Score Calculation'!$R142)),5,IF(ISNUMBER(SEARCH($BV$108,'Reference Score Calculation'!$P142)),10,IF(ISNUMBER(SEARCH($BV$108,'Reference Score Calculation'!$Q142)),7,5)))))</f>
        <v>10</v>
      </c>
      <c r="CT165" s="455">
        <f>IF(ISNUMBER(SEARCH(CT$119,'Reference Score Calculation'!$P142)),10,IF(ISNUMBER(SEARCH(CT$119,'Reference Score Calculation'!$Q142)),7,IF(ISNUMBER(SEARCH(CT$119,'Reference Score Calculation'!$R142)),5,IF(ISNUMBER(SEARCH($BV$108,'Reference Score Calculation'!$P142)),10,IF(ISNUMBER(SEARCH($BV$108,'Reference Score Calculation'!$Q142)),7,5)))))</f>
        <v>7</v>
      </c>
      <c r="CU165" s="455">
        <f>IF(ISNUMBER(SEARCH(CU$119,'Reference Score Calculation'!$P142)),10,IF(ISNUMBER(SEARCH(CU$119,'Reference Score Calculation'!$Q142)),7,IF(ISNUMBER(SEARCH(CU$119,'Reference Score Calculation'!$R142)),5,IF(ISNUMBER(SEARCH($BV$108,'Reference Score Calculation'!$P142)),10,IF(ISNUMBER(SEARCH($BV$108,'Reference Score Calculation'!$Q142)),7,5)))))</f>
        <v>7</v>
      </c>
      <c r="CV165" s="455">
        <f>IF(ISNUMBER(SEARCH(CV$119,'Reference Score Calculation'!$P142)),10,IF(ISNUMBER(SEARCH(CV$119,'Reference Score Calculation'!$Q142)),7,IF(ISNUMBER(SEARCH(CV$119,'Reference Score Calculation'!$R142)),5,IF(ISNUMBER(SEARCH($BV$108,'Reference Score Calculation'!$P142)),10,IF(ISNUMBER(SEARCH($BV$108,'Reference Score Calculation'!$Q142)),7,5)))))</f>
        <v>10</v>
      </c>
      <c r="CW165" s="185"/>
      <c r="CX165" s="185"/>
      <c r="CY165" s="185"/>
    </row>
    <row r="166" spans="1:103">
      <c r="C166" s="367" t="s">
        <v>3030</v>
      </c>
      <c r="BH166" s="117" t="s">
        <v>2959</v>
      </c>
      <c r="BS166" s="185"/>
      <c r="BT166" s="185"/>
      <c r="BU166" s="185"/>
      <c r="BV166" s="185"/>
      <c r="BW166" s="185"/>
      <c r="BX166" s="185"/>
      <c r="BY166" s="185"/>
      <c r="BZ166" s="185"/>
      <c r="CA166" s="185"/>
      <c r="CB166" s="185"/>
      <c r="CC166" s="185"/>
      <c r="CD166" s="185"/>
      <c r="CE166" s="185"/>
      <c r="CF166" s="185"/>
      <c r="CG166" s="185"/>
      <c r="CH166" s="185"/>
      <c r="CI166" s="185"/>
      <c r="CJ166" s="185"/>
      <c r="CK166" s="185"/>
      <c r="CL166" s="185"/>
      <c r="CM166" s="185"/>
      <c r="CN166" s="185"/>
      <c r="CO166" s="185"/>
      <c r="CP166" s="185"/>
      <c r="CQ166" s="185"/>
      <c r="CR166" s="185"/>
      <c r="CS166" s="185"/>
      <c r="CT166" s="185"/>
      <c r="CU166" s="185"/>
      <c r="CV166" s="185"/>
      <c r="CW166" s="185"/>
      <c r="CX166" s="185"/>
      <c r="CY166" s="185"/>
    </row>
    <row r="167" spans="1:103">
      <c r="A167" s="139"/>
      <c r="B167" s="234" t="s">
        <v>227</v>
      </c>
      <c r="C167" s="142"/>
      <c r="D167" s="183"/>
      <c r="E167" s="235"/>
      <c r="F167" s="401"/>
      <c r="G167" s="92" t="s">
        <v>267</v>
      </c>
      <c r="H167" s="92" t="s">
        <v>268</v>
      </c>
      <c r="I167" s="92" t="s">
        <v>269</v>
      </c>
      <c r="J167" s="149" t="s">
        <v>217</v>
      </c>
      <c r="K167" s="149" t="s">
        <v>246</v>
      </c>
      <c r="L167" s="149" t="s">
        <v>247</v>
      </c>
      <c r="M167" s="149" t="s">
        <v>248</v>
      </c>
      <c r="N167" s="149"/>
      <c r="O167" s="149" t="s">
        <v>250</v>
      </c>
      <c r="P167" s="149" t="s">
        <v>251</v>
      </c>
      <c r="Q167" s="149" t="s">
        <v>252</v>
      </c>
      <c r="R167" s="149" t="s">
        <v>253</v>
      </c>
      <c r="S167" s="149" t="s">
        <v>254</v>
      </c>
      <c r="T167" s="149" t="s">
        <v>288</v>
      </c>
      <c r="U167" s="149"/>
      <c r="V167" s="149" t="str">
        <f>K1</f>
        <v>中國語文</v>
      </c>
      <c r="W167" s="149" t="str">
        <f>L1</f>
        <v>英國語文</v>
      </c>
      <c r="X167" s="149" t="str">
        <f>M1</f>
        <v>數學</v>
      </c>
      <c r="Y167" s="149"/>
      <c r="Z167" s="149" t="str">
        <f t="shared" ref="Z167:AE167" si="245">O1</f>
        <v>數學延伸</v>
      </c>
      <c r="AA167" s="149" t="str">
        <f t="shared" si="245"/>
        <v>請選擇第一選修科</v>
      </c>
      <c r="AB167" s="149" t="str">
        <f t="shared" si="245"/>
        <v>請選擇第二選修科</v>
      </c>
      <c r="AC167" s="149" t="str">
        <f t="shared" si="245"/>
        <v>請選擇第三選修科</v>
      </c>
      <c r="AD167" s="149" t="str">
        <f t="shared" si="245"/>
        <v>請選擇第四選修科</v>
      </c>
      <c r="AE167" s="149" t="str">
        <f t="shared" si="245"/>
        <v>請選擇語言科目</v>
      </c>
      <c r="AF167" s="117" t="str">
        <f>V167</f>
        <v>中國語文</v>
      </c>
      <c r="AG167" s="117" t="str">
        <f>W167</f>
        <v>英國語文</v>
      </c>
      <c r="AH167" s="117" t="str">
        <f>X167</f>
        <v>數學</v>
      </c>
      <c r="AJ167" s="117" t="str">
        <f t="shared" ref="AJ167:AO167" si="246">Z167</f>
        <v>數學延伸</v>
      </c>
      <c r="AK167" s="117" t="str">
        <f t="shared" si="246"/>
        <v>請選擇第一選修科</v>
      </c>
      <c r="AL167" s="117" t="str">
        <f t="shared" si="246"/>
        <v>請選擇第二選修科</v>
      </c>
      <c r="AM167" s="117" t="str">
        <f t="shared" si="246"/>
        <v>請選擇第三選修科</v>
      </c>
      <c r="AN167" s="117" t="str">
        <f t="shared" si="246"/>
        <v>請選擇第四選修科</v>
      </c>
      <c r="AO167" s="117" t="str">
        <f t="shared" si="246"/>
        <v>請選擇語言科目</v>
      </c>
      <c r="AP167" s="149" t="s">
        <v>256</v>
      </c>
      <c r="AQ167" s="149" t="s">
        <v>257</v>
      </c>
      <c r="AR167" s="149" t="s">
        <v>258</v>
      </c>
      <c r="AS167" s="149"/>
      <c r="AT167" s="149" t="s">
        <v>259</v>
      </c>
      <c r="AU167" s="149" t="s">
        <v>260</v>
      </c>
      <c r="AV167" s="149" t="s">
        <v>261</v>
      </c>
      <c r="AW167" s="149" t="s">
        <v>262</v>
      </c>
      <c r="AX167" s="149" t="s">
        <v>263</v>
      </c>
      <c r="AY167" s="149" t="s">
        <v>289</v>
      </c>
      <c r="AZ167" s="139"/>
      <c r="BA167" s="139"/>
      <c r="BB167" s="139"/>
      <c r="BC167" s="139"/>
      <c r="BD167" s="139"/>
      <c r="BE167" s="139"/>
      <c r="BF167" s="139"/>
      <c r="BG167" s="139"/>
      <c r="BH167" s="139" t="str">
        <f t="shared" ref="BH167:BQ167" si="247">K1</f>
        <v>中國語文</v>
      </c>
      <c r="BI167" s="139" t="str">
        <f t="shared" si="247"/>
        <v>英國語文</v>
      </c>
      <c r="BJ167" s="139" t="str">
        <f t="shared" si="247"/>
        <v>數學</v>
      </c>
      <c r="BK167" s="139" t="str">
        <f t="shared" si="247"/>
        <v>公社科</v>
      </c>
      <c r="BL167" s="139" t="str">
        <f t="shared" si="247"/>
        <v>數學延伸</v>
      </c>
      <c r="BM167" s="139" t="str">
        <f t="shared" si="247"/>
        <v>請選擇第一選修科</v>
      </c>
      <c r="BN167" s="139" t="str">
        <f t="shared" si="247"/>
        <v>請選擇第二選修科</v>
      </c>
      <c r="BO167" s="139" t="str">
        <f t="shared" si="247"/>
        <v>請選擇第三選修科</v>
      </c>
      <c r="BP167" s="139" t="str">
        <f t="shared" si="247"/>
        <v>請選擇第四選修科</v>
      </c>
      <c r="BQ167" s="139" t="str">
        <f t="shared" si="247"/>
        <v>請選擇語言科目</v>
      </c>
      <c r="BR167" s="139"/>
    </row>
    <row r="168" spans="1:103" s="142" customFormat="1">
      <c r="A168" s="139" t="s">
        <v>1152</v>
      </c>
      <c r="B168" s="183" t="str">
        <f>'Reference Score Calculation'!B145</f>
        <v>JS4006</v>
      </c>
      <c r="C168" s="183" t="str">
        <f>'Reference Score Calculation'!E145</f>
        <v>人類學</v>
      </c>
      <c r="D168" s="183"/>
      <c r="E168" s="183" t="str">
        <f>'Reference Score Calculation'!F145</f>
        <v>Best 5</v>
      </c>
      <c r="F168" s="93"/>
      <c r="G168" s="93" t="str">
        <f>入學要求!AB154</f>
        <v>v</v>
      </c>
      <c r="H168" s="93" t="str">
        <f>入學要求!AC154</f>
        <v>E</v>
      </c>
      <c r="I168" s="93" t="str">
        <f>入學要求!AD154</f>
        <v>NO</v>
      </c>
      <c r="J168" s="183">
        <f t="shared" ref="J168:J178" si="248">SUMIF(AP168:AY168,TRUE,V168:AE168)</f>
        <v>3.4999999999999999E-9</v>
      </c>
      <c r="K168" s="475">
        <v>1</v>
      </c>
      <c r="L168" s="475">
        <v>1</v>
      </c>
      <c r="M168" s="475">
        <v>1</v>
      </c>
      <c r="N168" s="475"/>
      <c r="O168" s="475">
        <v>1</v>
      </c>
      <c r="P168" s="475">
        <v>1</v>
      </c>
      <c r="Q168" s="475">
        <v>1</v>
      </c>
      <c r="R168" s="475">
        <v>1</v>
      </c>
      <c r="S168" s="475">
        <v>1</v>
      </c>
      <c r="T168" s="475">
        <v>1</v>
      </c>
      <c r="U168" s="435"/>
      <c r="V168" s="139">
        <f t="shared" ref="V168:V177" si="249">K$6*K168</f>
        <v>1E-10</v>
      </c>
      <c r="W168" s="139">
        <f t="shared" ref="W168:W177" si="250">L$6*L168</f>
        <v>2.0000000000000001E-10</v>
      </c>
      <c r="X168" s="139">
        <f t="shared" ref="X168:X177" si="251">M$6*M168</f>
        <v>3E-10</v>
      </c>
      <c r="Y168" s="139"/>
      <c r="Z168" s="139">
        <f t="shared" ref="Z168:Z177" si="252">IF(G168="v",O$6*O168,0)</f>
        <v>5.0000000000000003E-10</v>
      </c>
      <c r="AA168" s="139">
        <f t="shared" ref="AA168:AA177" si="253">P$6*P168</f>
        <v>6E-10</v>
      </c>
      <c r="AB168" s="139">
        <f t="shared" ref="AB168:AB177" si="254">Q$6*Q168</f>
        <v>6.9999999999999996E-10</v>
      </c>
      <c r="AC168" s="139">
        <f t="shared" ref="AC168:AC177" si="255">R$6*R168</f>
        <v>8.0000000000000003E-10</v>
      </c>
      <c r="AD168" s="139">
        <f t="shared" ref="AD168:AD177" si="256">S$6*S168</f>
        <v>8.9999999999999999E-10</v>
      </c>
      <c r="AE168" s="139">
        <f t="shared" ref="AE168:AE177" si="257">IF(H168="E",T$6*T168,0)</f>
        <v>0</v>
      </c>
      <c r="AF168" s="117">
        <f t="shared" ref="AF168:AF199" si="258">IF(BH168=TRUE,V168+99,V168)</f>
        <v>1E-10</v>
      </c>
      <c r="AG168" s="117">
        <f t="shared" ref="AG168:AG199" si="259">IF(BI168=TRUE,W168+99,W168)</f>
        <v>2.0000000000000001E-10</v>
      </c>
      <c r="AH168" s="117">
        <f t="shared" ref="AH168:AH199" si="260">IF(BJ168=TRUE,X168+99,X168)</f>
        <v>3E-10</v>
      </c>
      <c r="AI168" s="117">
        <f t="shared" ref="AI168:AI199" si="261">IF(BK168=TRUE,Y168+99,Y168)</f>
        <v>0</v>
      </c>
      <c r="AJ168" s="117">
        <f t="shared" ref="AJ168:AJ199" si="262">IF(BL168=TRUE,Z168+99,Z168)</f>
        <v>5.0000000000000003E-10</v>
      </c>
      <c r="AK168" s="117">
        <f t="shared" ref="AK168:AK199" si="263">IF(BM168=TRUE,AA168+99,AA168)</f>
        <v>6E-10</v>
      </c>
      <c r="AL168" s="117">
        <f t="shared" ref="AL168:AL199" si="264">IF(BN168=TRUE,AB168+99,AB168)</f>
        <v>6.9999999999999996E-10</v>
      </c>
      <c r="AM168" s="117">
        <f t="shared" ref="AM168:AM199" si="265">IF(BO168=TRUE,AC168+99,AC168)</f>
        <v>8.0000000000000003E-10</v>
      </c>
      <c r="AN168" s="117">
        <f t="shared" ref="AN168:AN199" si="266">IF(BP168=TRUE,AD168+99,AD168)</f>
        <v>8.9999999999999999E-10</v>
      </c>
      <c r="AO168" s="117">
        <f t="shared" ref="AO168:AO199" si="267">IF(BQ168=TRUE,AE168+99,AE168)</f>
        <v>0</v>
      </c>
      <c r="AP168" s="139" t="b">
        <f t="shared" ref="AP168:AW168" si="268">IF(AF168&gt;LARGE($AF168:$AO168,6),TRUE)</f>
        <v>0</v>
      </c>
      <c r="AQ168" s="139" t="b">
        <f t="shared" si="268"/>
        <v>0</v>
      </c>
      <c r="AR168" s="139" t="b">
        <f t="shared" si="268"/>
        <v>0</v>
      </c>
      <c r="AS168" s="139"/>
      <c r="AT168" s="139" t="b">
        <f t="shared" si="268"/>
        <v>1</v>
      </c>
      <c r="AU168" s="139" t="b">
        <f t="shared" si="268"/>
        <v>1</v>
      </c>
      <c r="AV168" s="139" t="b">
        <f t="shared" si="268"/>
        <v>1</v>
      </c>
      <c r="AW168" s="139" t="b">
        <f t="shared" si="268"/>
        <v>1</v>
      </c>
      <c r="AX168" s="139" t="b">
        <f t="shared" ref="AX168:AX214" si="269">IF(AN168&gt;LARGE($AF168:$AO168,6),TRUE)</f>
        <v>1</v>
      </c>
      <c r="AY168" s="139" t="b">
        <f t="shared" ref="AY168:AY214" si="270">IF(AO168&gt;LARGE($AF168:$AO168,6),TRUE)</f>
        <v>0</v>
      </c>
      <c r="AZ168" s="139" t="str">
        <f>'Reference Score Calculation'!AV145</f>
        <v>無</v>
      </c>
      <c r="BA168" s="93" t="str">
        <f>'Reference Score Calculation'!N145</f>
        <v>/</v>
      </c>
      <c r="BB168" s="93" t="str">
        <f>'Reference Score Calculation'!O145</f>
        <v>/</v>
      </c>
      <c r="BC168" s="93"/>
      <c r="BD168" s="93"/>
      <c r="BE168" s="93"/>
      <c r="BF168" s="93"/>
      <c r="BG168" s="93" t="s">
        <v>64</v>
      </c>
      <c r="BH168" s="93"/>
      <c r="BI168" s="93"/>
      <c r="BJ168" s="93"/>
      <c r="BK168" s="93"/>
      <c r="BL168" s="93"/>
      <c r="BM168" s="93"/>
      <c r="BN168" s="93"/>
      <c r="BO168" s="93"/>
      <c r="BP168" s="93"/>
      <c r="BQ168" s="93"/>
      <c r="BR168" s="93"/>
    </row>
    <row r="169" spans="1:103">
      <c r="A169" s="139" t="s">
        <v>1155</v>
      </c>
      <c r="B169" s="183" t="str">
        <f>'Reference Score Calculation'!B146</f>
        <v>JS4018</v>
      </c>
      <c r="C169" s="183" t="str">
        <f>'Reference Score Calculation'!E146</f>
        <v>中國語言及文學</v>
      </c>
      <c r="D169" s="183"/>
      <c r="E169" s="183" t="str">
        <f>'Reference Score Calculation'!F146</f>
        <v>Best 5</v>
      </c>
      <c r="F169" s="93"/>
      <c r="G169" s="93" t="str">
        <f>入學要求!AB155</f>
        <v>v</v>
      </c>
      <c r="H169" s="93" t="str">
        <f>入學要求!AC155</f>
        <v>E</v>
      </c>
      <c r="I169" s="93" t="str">
        <f>入學要求!AD155</f>
        <v>NO</v>
      </c>
      <c r="J169" s="183">
        <f t="shared" si="248"/>
        <v>3.4999999999999999E-9</v>
      </c>
      <c r="K169" s="475">
        <v>1.2</v>
      </c>
      <c r="L169" s="475">
        <v>1</v>
      </c>
      <c r="M169" s="475">
        <v>1</v>
      </c>
      <c r="N169" s="475"/>
      <c r="O169" s="475">
        <v>1</v>
      </c>
      <c r="P169" s="475">
        <v>1</v>
      </c>
      <c r="Q169" s="475">
        <v>1</v>
      </c>
      <c r="R169" s="475">
        <v>1</v>
      </c>
      <c r="S169" s="475">
        <v>1</v>
      </c>
      <c r="T169" s="475">
        <v>1</v>
      </c>
      <c r="U169" s="435"/>
      <c r="V169" s="139">
        <f t="shared" si="249"/>
        <v>1.2E-10</v>
      </c>
      <c r="W169" s="139">
        <f t="shared" si="250"/>
        <v>2.0000000000000001E-10</v>
      </c>
      <c r="X169" s="139">
        <f t="shared" si="251"/>
        <v>3E-10</v>
      </c>
      <c r="Y169" s="139"/>
      <c r="Z169" s="139">
        <f t="shared" si="252"/>
        <v>5.0000000000000003E-10</v>
      </c>
      <c r="AA169" s="139">
        <f t="shared" si="253"/>
        <v>6E-10</v>
      </c>
      <c r="AB169" s="139">
        <f t="shared" si="254"/>
        <v>6.9999999999999996E-10</v>
      </c>
      <c r="AC169" s="139">
        <f t="shared" si="255"/>
        <v>8.0000000000000003E-10</v>
      </c>
      <c r="AD169" s="139">
        <f t="shared" si="256"/>
        <v>8.9999999999999999E-10</v>
      </c>
      <c r="AE169" s="139">
        <f t="shared" si="257"/>
        <v>0</v>
      </c>
      <c r="AF169" s="117">
        <f t="shared" si="258"/>
        <v>1.2E-10</v>
      </c>
      <c r="AG169" s="117">
        <f t="shared" si="259"/>
        <v>2.0000000000000001E-10</v>
      </c>
      <c r="AH169" s="117">
        <f t="shared" si="260"/>
        <v>3E-10</v>
      </c>
      <c r="AI169" s="117">
        <f t="shared" si="261"/>
        <v>0</v>
      </c>
      <c r="AJ169" s="117">
        <f t="shared" si="262"/>
        <v>5.0000000000000003E-10</v>
      </c>
      <c r="AK169" s="117">
        <f t="shared" si="263"/>
        <v>6E-10</v>
      </c>
      <c r="AL169" s="117">
        <f t="shared" si="264"/>
        <v>6.9999999999999996E-10</v>
      </c>
      <c r="AM169" s="117">
        <f t="shared" si="265"/>
        <v>8.0000000000000003E-10</v>
      </c>
      <c r="AN169" s="117">
        <f t="shared" si="266"/>
        <v>8.9999999999999999E-10</v>
      </c>
      <c r="AO169" s="117">
        <f t="shared" si="267"/>
        <v>0</v>
      </c>
      <c r="AP169" s="139" t="b">
        <f t="shared" ref="AP169:AP214" si="271">IF(AF169&gt;LARGE($AF169:$AO169,6),TRUE)</f>
        <v>0</v>
      </c>
      <c r="AQ169" s="139" t="b">
        <f t="shared" ref="AQ169:AQ214" si="272">IF(AG169&gt;LARGE($AF169:$AO169,6),TRUE)</f>
        <v>0</v>
      </c>
      <c r="AR169" s="139" t="b">
        <f t="shared" ref="AR169:AR214" si="273">IF(AH169&gt;LARGE($AF169:$AO169,6),TRUE)</f>
        <v>0</v>
      </c>
      <c r="AS169" s="139"/>
      <c r="AT169" s="139" t="b">
        <f t="shared" ref="AT169:AT214" si="274">IF(AJ169&gt;LARGE($AF169:$AO169,6),TRUE)</f>
        <v>1</v>
      </c>
      <c r="AU169" s="139" t="b">
        <f t="shared" ref="AU169:AU214" si="275">IF(AK169&gt;LARGE($AF169:$AO169,6),TRUE)</f>
        <v>1</v>
      </c>
      <c r="AV169" s="139" t="b">
        <f t="shared" ref="AV169:AV214" si="276">IF(AL169&gt;LARGE($AF169:$AO169,6),TRUE)</f>
        <v>1</v>
      </c>
      <c r="AW169" s="139" t="b">
        <f t="shared" ref="AW169:AW214" si="277">IF(AM169&gt;LARGE($AF169:$AO169,6),TRUE)</f>
        <v>1</v>
      </c>
      <c r="AX169" s="139" t="b">
        <f t="shared" si="269"/>
        <v>1</v>
      </c>
      <c r="AY169" s="139" t="b">
        <f t="shared" si="270"/>
        <v>0</v>
      </c>
      <c r="AZ169" s="139" t="str">
        <f>'Reference Score Calculation'!AV146</f>
        <v>無</v>
      </c>
      <c r="BA169" s="93" t="str">
        <f>'Reference Score Calculation'!N146</f>
        <v>/</v>
      </c>
      <c r="BB169" s="93" t="str">
        <f>'Reference Score Calculation'!O146</f>
        <v>/</v>
      </c>
      <c r="BC169" s="93"/>
      <c r="BD169" s="93"/>
      <c r="BE169" s="93"/>
      <c r="BF169" s="93"/>
      <c r="BG169" s="93" t="s">
        <v>64</v>
      </c>
      <c r="BH169" s="93"/>
      <c r="BI169" s="93"/>
      <c r="BJ169" s="93"/>
      <c r="BK169" s="93"/>
      <c r="BL169" s="93"/>
      <c r="BM169" s="93"/>
      <c r="BN169" s="93"/>
      <c r="BO169" s="93"/>
      <c r="BP169" s="93"/>
      <c r="BQ169" s="93"/>
      <c r="BR169" s="93"/>
      <c r="BS169" s="115" t="s">
        <v>227</v>
      </c>
      <c r="BT169" s="101" t="s">
        <v>270</v>
      </c>
      <c r="BU169" s="102"/>
      <c r="BV169" s="115"/>
      <c r="BW169" s="115"/>
      <c r="BX169" s="115"/>
      <c r="BY169" s="115"/>
      <c r="BZ169" s="115"/>
      <c r="CA169" s="115"/>
      <c r="CB169" s="115"/>
      <c r="CC169" s="115"/>
      <c r="CD169" s="115"/>
      <c r="CE169" s="115"/>
      <c r="CF169" s="115"/>
      <c r="CG169" s="115"/>
      <c r="CH169" s="115"/>
      <c r="CI169" s="115"/>
      <c r="CJ169" s="115"/>
      <c r="CK169" s="115"/>
      <c r="CL169" s="115"/>
      <c r="CM169" s="115"/>
      <c r="CN169" s="115"/>
      <c r="CO169" s="115"/>
      <c r="CP169" s="115"/>
      <c r="CQ169" s="115"/>
      <c r="CR169" s="115"/>
      <c r="CS169" s="115"/>
    </row>
    <row r="170" spans="1:103">
      <c r="A170" s="139" t="s">
        <v>1165</v>
      </c>
      <c r="B170" s="183" t="str">
        <f>'Reference Score Calculation'!B147</f>
        <v>JS4032</v>
      </c>
      <c r="C170" s="183" t="str">
        <f>'Reference Score Calculation'!E147</f>
        <v>英文</v>
      </c>
      <c r="D170" s="183"/>
      <c r="E170" s="183" t="str">
        <f>'Reference Score Calculation'!F147</f>
        <v>Best 5</v>
      </c>
      <c r="F170" s="93"/>
      <c r="G170" s="93" t="str">
        <f>入學要求!AB156</f>
        <v>v</v>
      </c>
      <c r="H170" s="93" t="str">
        <f>入學要求!AC156</f>
        <v>E</v>
      </c>
      <c r="I170" s="93" t="str">
        <f>入學要求!AD156</f>
        <v>NO</v>
      </c>
      <c r="J170" s="183">
        <f t="shared" si="248"/>
        <v>3.4999999999999999E-9</v>
      </c>
      <c r="K170" s="475">
        <v>1</v>
      </c>
      <c r="L170" s="475">
        <v>1.5</v>
      </c>
      <c r="M170" s="475">
        <v>1</v>
      </c>
      <c r="N170" s="475"/>
      <c r="O170" s="475">
        <v>1</v>
      </c>
      <c r="P170" s="475">
        <v>1</v>
      </c>
      <c r="Q170" s="475">
        <v>1</v>
      </c>
      <c r="R170" s="475">
        <v>1</v>
      </c>
      <c r="S170" s="475">
        <v>1</v>
      </c>
      <c r="T170" s="475">
        <v>1</v>
      </c>
      <c r="U170" s="435"/>
      <c r="V170" s="139">
        <f t="shared" si="249"/>
        <v>1E-10</v>
      </c>
      <c r="W170" s="139">
        <f t="shared" si="250"/>
        <v>3E-10</v>
      </c>
      <c r="X170" s="139">
        <f t="shared" si="251"/>
        <v>3E-10</v>
      </c>
      <c r="Y170" s="139"/>
      <c r="Z170" s="139">
        <f t="shared" si="252"/>
        <v>5.0000000000000003E-10</v>
      </c>
      <c r="AA170" s="139">
        <f t="shared" si="253"/>
        <v>6E-10</v>
      </c>
      <c r="AB170" s="139">
        <f t="shared" si="254"/>
        <v>6.9999999999999996E-10</v>
      </c>
      <c r="AC170" s="139">
        <f t="shared" si="255"/>
        <v>8.0000000000000003E-10</v>
      </c>
      <c r="AD170" s="139">
        <f t="shared" si="256"/>
        <v>8.9999999999999999E-10</v>
      </c>
      <c r="AE170" s="139">
        <f t="shared" si="257"/>
        <v>0</v>
      </c>
      <c r="AF170" s="117">
        <f t="shared" si="258"/>
        <v>1E-10</v>
      </c>
      <c r="AG170" s="117">
        <f t="shared" si="259"/>
        <v>3E-10</v>
      </c>
      <c r="AH170" s="117">
        <f t="shared" si="260"/>
        <v>3E-10</v>
      </c>
      <c r="AI170" s="117">
        <f t="shared" si="261"/>
        <v>0</v>
      </c>
      <c r="AJ170" s="117">
        <f t="shared" si="262"/>
        <v>5.0000000000000003E-10</v>
      </c>
      <c r="AK170" s="117">
        <f t="shared" si="263"/>
        <v>6E-10</v>
      </c>
      <c r="AL170" s="117">
        <f t="shared" si="264"/>
        <v>6.9999999999999996E-10</v>
      </c>
      <c r="AM170" s="117">
        <f t="shared" si="265"/>
        <v>8.0000000000000003E-10</v>
      </c>
      <c r="AN170" s="117">
        <f t="shared" si="266"/>
        <v>8.9999999999999999E-10</v>
      </c>
      <c r="AO170" s="117">
        <f t="shared" si="267"/>
        <v>0</v>
      </c>
      <c r="AP170" s="139" t="b">
        <f t="shared" si="271"/>
        <v>0</v>
      </c>
      <c r="AQ170" s="139" t="b">
        <f t="shared" si="272"/>
        <v>0</v>
      </c>
      <c r="AR170" s="139" t="b">
        <f t="shared" si="273"/>
        <v>0</v>
      </c>
      <c r="AS170" s="139"/>
      <c r="AT170" s="139" t="b">
        <f t="shared" si="274"/>
        <v>1</v>
      </c>
      <c r="AU170" s="139" t="b">
        <f t="shared" si="275"/>
        <v>1</v>
      </c>
      <c r="AV170" s="139" t="b">
        <f t="shared" si="276"/>
        <v>1</v>
      </c>
      <c r="AW170" s="139" t="b">
        <f t="shared" si="277"/>
        <v>1</v>
      </c>
      <c r="AX170" s="139" t="b">
        <f t="shared" si="269"/>
        <v>1</v>
      </c>
      <c r="AY170" s="139" t="b">
        <f t="shared" si="270"/>
        <v>0</v>
      </c>
      <c r="AZ170" s="139" t="str">
        <f>'Reference Score Calculation'!AV147</f>
        <v>無</v>
      </c>
      <c r="BA170" s="93" t="str">
        <f>'Reference Score Calculation'!N147</f>
        <v>優先考慮修讀 英語文學 者</v>
      </c>
      <c r="BB170" s="93" t="str">
        <f>'Reference Score Calculation'!O147</f>
        <v>/</v>
      </c>
      <c r="BC170" s="93"/>
      <c r="BD170" s="93"/>
      <c r="BE170" s="93"/>
      <c r="BF170" s="93"/>
      <c r="BG170" s="93" t="s">
        <v>64</v>
      </c>
      <c r="BH170" s="93"/>
      <c r="BI170" s="93"/>
      <c r="BJ170" s="93"/>
      <c r="BK170" s="93"/>
      <c r="BL170" s="93"/>
      <c r="BM170" s="93"/>
      <c r="BN170" s="93"/>
      <c r="BO170" s="93"/>
      <c r="BP170" s="93"/>
      <c r="BQ170" s="93"/>
      <c r="BR170" s="93"/>
      <c r="BS170" s="186"/>
      <c r="BT170" s="184"/>
      <c r="BU170" s="188"/>
      <c r="BV170" s="186"/>
      <c r="BW170" s="186"/>
      <c r="BX170" s="186"/>
      <c r="BY170" s="186"/>
      <c r="BZ170" s="186"/>
      <c r="CA170" s="186"/>
      <c r="CB170" s="186"/>
      <c r="CC170" s="186"/>
      <c r="CD170" s="186"/>
      <c r="CE170" s="186"/>
      <c r="CF170" s="186"/>
      <c r="CG170" s="186"/>
      <c r="CH170" s="186"/>
      <c r="CI170" s="186"/>
      <c r="CJ170" s="186"/>
      <c r="CK170" s="186"/>
      <c r="CL170" s="186"/>
      <c r="CM170" s="186"/>
      <c r="CN170" s="186"/>
      <c r="CO170" s="186"/>
      <c r="CP170" s="186"/>
      <c r="CQ170" s="186"/>
      <c r="CR170" s="186"/>
      <c r="CS170" s="186"/>
    </row>
    <row r="171" spans="1:103">
      <c r="A171" s="139" t="s">
        <v>1168</v>
      </c>
      <c r="B171" s="183" t="str">
        <f>'Reference Score Calculation'!B148</f>
        <v>JS4044</v>
      </c>
      <c r="C171" s="183" t="str">
        <f>'Reference Score Calculation'!E148</f>
        <v>藝術</v>
      </c>
      <c r="D171" s="183"/>
      <c r="E171" s="183" t="str">
        <f>'Reference Score Calculation'!F148</f>
        <v>Best 5</v>
      </c>
      <c r="F171" s="93"/>
      <c r="G171" s="93" t="str">
        <f>入學要求!AB157</f>
        <v>v</v>
      </c>
      <c r="H171" s="93" t="str">
        <f>入學要求!AC157</f>
        <v>E</v>
      </c>
      <c r="I171" s="93" t="str">
        <f>入學要求!AD157</f>
        <v>NO</v>
      </c>
      <c r="J171" s="183">
        <f t="shared" si="248"/>
        <v>3.4999999999999999E-9</v>
      </c>
      <c r="K171" s="475">
        <v>1</v>
      </c>
      <c r="L171" s="475">
        <v>1</v>
      </c>
      <c r="M171" s="475">
        <v>1</v>
      </c>
      <c r="N171" s="475"/>
      <c r="O171" s="475">
        <v>1</v>
      </c>
      <c r="P171" s="475">
        <v>1</v>
      </c>
      <c r="Q171" s="475">
        <v>1</v>
      </c>
      <c r="R171" s="475">
        <v>1</v>
      </c>
      <c r="S171" s="475">
        <v>1</v>
      </c>
      <c r="T171" s="475">
        <v>1</v>
      </c>
      <c r="U171" s="435"/>
      <c r="V171" s="139">
        <f t="shared" si="249"/>
        <v>1E-10</v>
      </c>
      <c r="W171" s="139">
        <f t="shared" si="250"/>
        <v>2.0000000000000001E-10</v>
      </c>
      <c r="X171" s="139">
        <f t="shared" si="251"/>
        <v>3E-10</v>
      </c>
      <c r="Y171" s="139"/>
      <c r="Z171" s="139">
        <f t="shared" si="252"/>
        <v>5.0000000000000003E-10</v>
      </c>
      <c r="AA171" s="139">
        <f t="shared" si="253"/>
        <v>6E-10</v>
      </c>
      <c r="AB171" s="139">
        <f t="shared" si="254"/>
        <v>6.9999999999999996E-10</v>
      </c>
      <c r="AC171" s="139">
        <f t="shared" si="255"/>
        <v>8.0000000000000003E-10</v>
      </c>
      <c r="AD171" s="139">
        <f t="shared" si="256"/>
        <v>8.9999999999999999E-10</v>
      </c>
      <c r="AE171" s="139">
        <f t="shared" si="257"/>
        <v>0</v>
      </c>
      <c r="AF171" s="117">
        <f t="shared" si="258"/>
        <v>1E-10</v>
      </c>
      <c r="AG171" s="117">
        <f t="shared" si="259"/>
        <v>2.0000000000000001E-10</v>
      </c>
      <c r="AH171" s="117">
        <f t="shared" si="260"/>
        <v>3E-10</v>
      </c>
      <c r="AI171" s="117">
        <f t="shared" si="261"/>
        <v>0</v>
      </c>
      <c r="AJ171" s="117">
        <f t="shared" si="262"/>
        <v>5.0000000000000003E-10</v>
      </c>
      <c r="AK171" s="117">
        <f t="shared" si="263"/>
        <v>6E-10</v>
      </c>
      <c r="AL171" s="117">
        <f t="shared" si="264"/>
        <v>6.9999999999999996E-10</v>
      </c>
      <c r="AM171" s="117">
        <f t="shared" si="265"/>
        <v>8.0000000000000003E-10</v>
      </c>
      <c r="AN171" s="117">
        <f t="shared" si="266"/>
        <v>8.9999999999999999E-10</v>
      </c>
      <c r="AO171" s="117">
        <f t="shared" si="267"/>
        <v>0</v>
      </c>
      <c r="AP171" s="139" t="b">
        <f t="shared" si="271"/>
        <v>0</v>
      </c>
      <c r="AQ171" s="139" t="b">
        <f t="shared" si="272"/>
        <v>0</v>
      </c>
      <c r="AR171" s="139" t="b">
        <f t="shared" si="273"/>
        <v>0</v>
      </c>
      <c r="AS171" s="139"/>
      <c r="AT171" s="139" t="b">
        <f t="shared" si="274"/>
        <v>1</v>
      </c>
      <c r="AU171" s="139" t="b">
        <f t="shared" si="275"/>
        <v>1</v>
      </c>
      <c r="AV171" s="139" t="b">
        <f t="shared" si="276"/>
        <v>1</v>
      </c>
      <c r="AW171" s="139" t="b">
        <f t="shared" si="277"/>
        <v>1</v>
      </c>
      <c r="AX171" s="139" t="b">
        <f t="shared" si="269"/>
        <v>1</v>
      </c>
      <c r="AY171" s="139" t="b">
        <f t="shared" si="270"/>
        <v>0</v>
      </c>
      <c r="AZ171" s="139" t="str">
        <f>'Reference Score Calculation'!AV148</f>
        <v>無</v>
      </c>
      <c r="BA171" s="93" t="str">
        <f>'Reference Score Calculation'!N148</f>
        <v>優先考慮修讀 視覺藝術 者</v>
      </c>
      <c r="BB171" s="93" t="str">
        <f>'Reference Score Calculation'!O148</f>
        <v>/</v>
      </c>
      <c r="BC171" s="93"/>
      <c r="BD171" s="93"/>
      <c r="BE171" s="93"/>
      <c r="BF171" s="93"/>
      <c r="BG171" s="93" t="s">
        <v>64</v>
      </c>
      <c r="BH171" s="93"/>
      <c r="BI171" s="93"/>
      <c r="BJ171" s="93"/>
      <c r="BK171" s="93"/>
      <c r="BL171" s="93"/>
      <c r="BM171" s="93"/>
      <c r="BN171" s="93"/>
      <c r="BO171" s="93"/>
      <c r="BP171" s="93"/>
      <c r="BQ171" s="93"/>
      <c r="BR171" s="93"/>
      <c r="BS171" s="187" t="s">
        <v>317</v>
      </c>
      <c r="BT171" s="185" t="s">
        <v>281</v>
      </c>
      <c r="BU171" s="185"/>
      <c r="BV171" s="185"/>
      <c r="BW171" s="185"/>
      <c r="BX171" s="185"/>
      <c r="BY171" s="185"/>
      <c r="BZ171" s="185"/>
      <c r="CA171" s="185"/>
      <c r="CB171" s="185"/>
      <c r="CC171" s="185"/>
      <c r="CD171" s="185"/>
      <c r="CE171" s="185"/>
      <c r="CF171" s="185"/>
      <c r="CG171" s="185"/>
      <c r="CH171" s="185"/>
      <c r="CI171" s="185"/>
      <c r="CJ171" s="185"/>
      <c r="CK171" s="185"/>
      <c r="CL171" s="185"/>
      <c r="CM171" s="185"/>
      <c r="CN171" s="185"/>
      <c r="CO171" s="185"/>
      <c r="CP171" s="185"/>
      <c r="CQ171" s="185"/>
      <c r="CR171" s="185"/>
      <c r="CS171" s="185"/>
    </row>
    <row r="172" spans="1:103">
      <c r="A172" s="139" t="s">
        <v>1172</v>
      </c>
      <c r="B172" s="183" t="str">
        <f>'Reference Score Calculation'!B149</f>
        <v>JS4056</v>
      </c>
      <c r="C172" s="183" t="str">
        <f>'Reference Score Calculation'!E149</f>
        <v>歷史</v>
      </c>
      <c r="D172" s="183"/>
      <c r="E172" s="183" t="str">
        <f>'Reference Score Calculation'!F149</f>
        <v>Best 5</v>
      </c>
      <c r="F172" s="93"/>
      <c r="G172" s="93" t="str">
        <f>入學要求!AB158</f>
        <v>v</v>
      </c>
      <c r="H172" s="93" t="str">
        <f>入學要求!AC158</f>
        <v>E</v>
      </c>
      <c r="I172" s="93" t="str">
        <f>入學要求!AD158</f>
        <v>NO</v>
      </c>
      <c r="J172" s="183">
        <f t="shared" si="248"/>
        <v>3.4999999999999999E-9</v>
      </c>
      <c r="K172" s="475">
        <v>1</v>
      </c>
      <c r="L172" s="475">
        <v>1</v>
      </c>
      <c r="M172" s="475">
        <v>1</v>
      </c>
      <c r="N172" s="475"/>
      <c r="O172" s="475">
        <v>1</v>
      </c>
      <c r="P172" s="475">
        <v>1</v>
      </c>
      <c r="Q172" s="475">
        <v>1</v>
      </c>
      <c r="R172" s="475">
        <v>1</v>
      </c>
      <c r="S172" s="475">
        <v>1</v>
      </c>
      <c r="T172" s="475">
        <v>1</v>
      </c>
      <c r="U172" s="435"/>
      <c r="V172" s="139">
        <f t="shared" si="249"/>
        <v>1E-10</v>
      </c>
      <c r="W172" s="139">
        <f t="shared" si="250"/>
        <v>2.0000000000000001E-10</v>
      </c>
      <c r="X172" s="139">
        <f t="shared" si="251"/>
        <v>3E-10</v>
      </c>
      <c r="Y172" s="139"/>
      <c r="Z172" s="139">
        <f t="shared" si="252"/>
        <v>5.0000000000000003E-10</v>
      </c>
      <c r="AA172" s="139">
        <f t="shared" si="253"/>
        <v>6E-10</v>
      </c>
      <c r="AB172" s="139">
        <f t="shared" si="254"/>
        <v>6.9999999999999996E-10</v>
      </c>
      <c r="AC172" s="139">
        <f t="shared" si="255"/>
        <v>8.0000000000000003E-10</v>
      </c>
      <c r="AD172" s="139">
        <f t="shared" si="256"/>
        <v>8.9999999999999999E-10</v>
      </c>
      <c r="AE172" s="139">
        <f t="shared" si="257"/>
        <v>0</v>
      </c>
      <c r="AF172" s="117">
        <f t="shared" si="258"/>
        <v>1E-10</v>
      </c>
      <c r="AG172" s="117">
        <f t="shared" si="259"/>
        <v>2.0000000000000001E-10</v>
      </c>
      <c r="AH172" s="117">
        <f t="shared" si="260"/>
        <v>3E-10</v>
      </c>
      <c r="AI172" s="117">
        <f t="shared" si="261"/>
        <v>0</v>
      </c>
      <c r="AJ172" s="117">
        <f t="shared" si="262"/>
        <v>5.0000000000000003E-10</v>
      </c>
      <c r="AK172" s="117">
        <f t="shared" si="263"/>
        <v>6E-10</v>
      </c>
      <c r="AL172" s="117">
        <f t="shared" si="264"/>
        <v>6.9999999999999996E-10</v>
      </c>
      <c r="AM172" s="117">
        <f t="shared" si="265"/>
        <v>8.0000000000000003E-10</v>
      </c>
      <c r="AN172" s="117">
        <f t="shared" si="266"/>
        <v>8.9999999999999999E-10</v>
      </c>
      <c r="AO172" s="117">
        <f t="shared" si="267"/>
        <v>0</v>
      </c>
      <c r="AP172" s="139" t="b">
        <f t="shared" si="271"/>
        <v>0</v>
      </c>
      <c r="AQ172" s="139" t="b">
        <f t="shared" si="272"/>
        <v>0</v>
      </c>
      <c r="AR172" s="139" t="b">
        <f t="shared" si="273"/>
        <v>0</v>
      </c>
      <c r="AS172" s="139"/>
      <c r="AT172" s="139" t="b">
        <f t="shared" si="274"/>
        <v>1</v>
      </c>
      <c r="AU172" s="139" t="b">
        <f t="shared" si="275"/>
        <v>1</v>
      </c>
      <c r="AV172" s="139" t="b">
        <f t="shared" si="276"/>
        <v>1</v>
      </c>
      <c r="AW172" s="139" t="b">
        <f t="shared" si="277"/>
        <v>1</v>
      </c>
      <c r="AX172" s="139" t="b">
        <f t="shared" si="269"/>
        <v>1</v>
      </c>
      <c r="AY172" s="139" t="b">
        <f t="shared" si="270"/>
        <v>0</v>
      </c>
      <c r="AZ172" s="139" t="str">
        <f>'Reference Score Calculation'!AV149</f>
        <v>無</v>
      </c>
      <c r="BA172" s="93" t="str">
        <f>'Reference Score Calculation'!N149</f>
        <v>/</v>
      </c>
      <c r="BB172" s="93" t="str">
        <f>'Reference Score Calculation'!O149</f>
        <v>/</v>
      </c>
      <c r="BC172" s="93"/>
      <c r="BD172" s="93"/>
      <c r="BE172" s="93"/>
      <c r="BF172" s="93"/>
      <c r="BG172" s="93" t="s">
        <v>64</v>
      </c>
      <c r="BH172" s="93"/>
      <c r="BI172" s="93"/>
      <c r="BJ172" s="93"/>
      <c r="BK172" s="93"/>
      <c r="BL172" s="93"/>
      <c r="BM172" s="93"/>
      <c r="BN172" s="93"/>
      <c r="BO172" s="93"/>
      <c r="BP172" s="93"/>
      <c r="BQ172" s="93"/>
      <c r="BR172" s="93"/>
      <c r="BS172" s="187" t="s">
        <v>318</v>
      </c>
      <c r="BT172" s="139" t="str">
        <f>IF(M6&gt;O6,M1,O1)</f>
        <v>數學延伸</v>
      </c>
      <c r="BU172" s="139">
        <f>IF(M6&gt;O6,M6,O6)</f>
        <v>5.0000000000000003E-10</v>
      </c>
      <c r="BV172" s="185"/>
      <c r="BW172" s="185"/>
      <c r="BX172" s="185"/>
      <c r="BY172" s="185"/>
      <c r="BZ172" s="185"/>
      <c r="CA172" s="185"/>
      <c r="CB172" s="185"/>
      <c r="CC172" s="185"/>
      <c r="CD172" s="185"/>
      <c r="CE172" s="185"/>
      <c r="CF172" s="185"/>
      <c r="CG172" s="185"/>
      <c r="CH172" s="185"/>
      <c r="CI172" s="185"/>
      <c r="CJ172" s="185"/>
      <c r="CK172" s="185"/>
      <c r="CL172" s="185"/>
      <c r="CM172" s="185"/>
      <c r="CN172" s="185"/>
      <c r="CO172" s="185"/>
      <c r="CP172" s="185"/>
      <c r="CQ172" s="185"/>
      <c r="CR172" s="185"/>
      <c r="CS172" s="185"/>
    </row>
    <row r="173" spans="1:103">
      <c r="A173" s="139" t="s">
        <v>1174</v>
      </c>
      <c r="B173" s="183" t="str">
        <f>'Reference Score Calculation'!B150</f>
        <v>JS4068</v>
      </c>
      <c r="C173" s="183" t="str">
        <f>'Reference Score Calculation'!E150</f>
        <v>日本研究</v>
      </c>
      <c r="D173" s="183"/>
      <c r="E173" s="183" t="str">
        <f>'Reference Score Calculation'!F150</f>
        <v>Best 5</v>
      </c>
      <c r="F173" s="93"/>
      <c r="G173" s="93" t="str">
        <f>入學要求!AB159</f>
        <v>v</v>
      </c>
      <c r="H173" s="93" t="str">
        <f>入學要求!AC159</f>
        <v>E</v>
      </c>
      <c r="I173" s="93" t="str">
        <f>入學要求!AD159</f>
        <v>NO</v>
      </c>
      <c r="J173" s="183">
        <f t="shared" si="248"/>
        <v>3.4999999999999999E-9</v>
      </c>
      <c r="K173" s="475">
        <v>1</v>
      </c>
      <c r="L173" s="475">
        <v>1</v>
      </c>
      <c r="M173" s="475">
        <v>1</v>
      </c>
      <c r="N173" s="475"/>
      <c r="O173" s="475">
        <v>1</v>
      </c>
      <c r="P173" s="475">
        <v>1</v>
      </c>
      <c r="Q173" s="475">
        <v>1</v>
      </c>
      <c r="R173" s="475">
        <v>1</v>
      </c>
      <c r="S173" s="475">
        <v>1</v>
      </c>
      <c r="T173" s="475">
        <v>1</v>
      </c>
      <c r="U173" s="435"/>
      <c r="V173" s="139">
        <f t="shared" si="249"/>
        <v>1E-10</v>
      </c>
      <c r="W173" s="139">
        <f t="shared" si="250"/>
        <v>2.0000000000000001E-10</v>
      </c>
      <c r="X173" s="139">
        <f t="shared" si="251"/>
        <v>3E-10</v>
      </c>
      <c r="Y173" s="139"/>
      <c r="Z173" s="139">
        <f t="shared" si="252"/>
        <v>5.0000000000000003E-10</v>
      </c>
      <c r="AA173" s="139">
        <f t="shared" si="253"/>
        <v>6E-10</v>
      </c>
      <c r="AB173" s="139">
        <f t="shared" si="254"/>
        <v>6.9999999999999996E-10</v>
      </c>
      <c r="AC173" s="139">
        <f t="shared" si="255"/>
        <v>8.0000000000000003E-10</v>
      </c>
      <c r="AD173" s="139">
        <f t="shared" si="256"/>
        <v>8.9999999999999999E-10</v>
      </c>
      <c r="AE173" s="139">
        <f t="shared" si="257"/>
        <v>0</v>
      </c>
      <c r="AF173" s="117">
        <f t="shared" si="258"/>
        <v>1E-10</v>
      </c>
      <c r="AG173" s="117">
        <f t="shared" si="259"/>
        <v>2.0000000000000001E-10</v>
      </c>
      <c r="AH173" s="117">
        <f t="shared" si="260"/>
        <v>3E-10</v>
      </c>
      <c r="AI173" s="117">
        <f t="shared" si="261"/>
        <v>0</v>
      </c>
      <c r="AJ173" s="117">
        <f t="shared" si="262"/>
        <v>5.0000000000000003E-10</v>
      </c>
      <c r="AK173" s="117">
        <f t="shared" si="263"/>
        <v>6E-10</v>
      </c>
      <c r="AL173" s="117">
        <f t="shared" si="264"/>
        <v>6.9999999999999996E-10</v>
      </c>
      <c r="AM173" s="117">
        <f t="shared" si="265"/>
        <v>8.0000000000000003E-10</v>
      </c>
      <c r="AN173" s="117">
        <f t="shared" si="266"/>
        <v>8.9999999999999999E-10</v>
      </c>
      <c r="AO173" s="117">
        <f t="shared" si="267"/>
        <v>0</v>
      </c>
      <c r="AP173" s="139" t="b">
        <f t="shared" si="271"/>
        <v>0</v>
      </c>
      <c r="AQ173" s="139" t="b">
        <f t="shared" si="272"/>
        <v>0</v>
      </c>
      <c r="AR173" s="139" t="b">
        <f t="shared" si="273"/>
        <v>0</v>
      </c>
      <c r="AS173" s="139"/>
      <c r="AT173" s="139" t="b">
        <f t="shared" si="274"/>
        <v>1</v>
      </c>
      <c r="AU173" s="139" t="b">
        <f t="shared" si="275"/>
        <v>1</v>
      </c>
      <c r="AV173" s="139" t="b">
        <f t="shared" si="276"/>
        <v>1</v>
      </c>
      <c r="AW173" s="139" t="b">
        <f t="shared" si="277"/>
        <v>1</v>
      </c>
      <c r="AX173" s="139" t="b">
        <f t="shared" si="269"/>
        <v>1</v>
      </c>
      <c r="AY173" s="139" t="b">
        <f t="shared" si="270"/>
        <v>0</v>
      </c>
      <c r="AZ173" s="139" t="str">
        <f>'Reference Score Calculation'!AV150</f>
        <v>無</v>
      </c>
      <c r="BA173" s="93" t="str">
        <f>'Reference Score Calculation'!N150</f>
        <v>/</v>
      </c>
      <c r="BB173" s="93" t="str">
        <f>'Reference Score Calculation'!O150</f>
        <v>/</v>
      </c>
      <c r="BC173" s="93"/>
      <c r="BD173" s="93"/>
      <c r="BE173" s="93"/>
      <c r="BF173" s="93"/>
      <c r="BG173" s="93" t="s">
        <v>64</v>
      </c>
      <c r="BH173" s="93"/>
      <c r="BI173" s="93"/>
      <c r="BJ173" s="93"/>
      <c r="BK173" s="93"/>
      <c r="BL173" s="93"/>
      <c r="BM173" s="93"/>
      <c r="BN173" s="93"/>
      <c r="BO173" s="93"/>
      <c r="BP173" s="93"/>
      <c r="BQ173" s="93"/>
      <c r="BR173" s="93"/>
      <c r="BS173" s="187"/>
      <c r="BT173" s="189"/>
      <c r="BU173" s="185"/>
      <c r="BV173" s="185"/>
      <c r="BW173" s="185"/>
      <c r="BX173" s="185"/>
      <c r="BY173" s="185"/>
      <c r="BZ173" s="186"/>
      <c r="CA173" s="185"/>
      <c r="CB173" s="185"/>
      <c r="CC173" s="185"/>
      <c r="CD173" s="185"/>
      <c r="CE173" s="185"/>
      <c r="CF173" s="185"/>
      <c r="CG173" s="185"/>
      <c r="CH173" s="185"/>
      <c r="CI173" s="185"/>
      <c r="CJ173" s="185"/>
      <c r="CK173" s="185"/>
      <c r="CL173" s="185"/>
      <c r="CM173" s="185"/>
      <c r="CN173" s="185"/>
      <c r="CO173" s="185"/>
      <c r="CP173" s="185"/>
      <c r="CQ173" s="185"/>
      <c r="CR173" s="185"/>
      <c r="CS173" s="185"/>
    </row>
    <row r="174" spans="1:103">
      <c r="A174" s="139" t="s">
        <v>1177</v>
      </c>
      <c r="B174" s="183" t="str">
        <f>'Reference Score Calculation'!B151</f>
        <v>JS4070</v>
      </c>
      <c r="C174" s="183" t="str">
        <f>'Reference Score Calculation'!E151</f>
        <v>語言學</v>
      </c>
      <c r="D174" s="183"/>
      <c r="E174" s="183" t="str">
        <f>'Reference Score Calculation'!F151</f>
        <v>Best 5</v>
      </c>
      <c r="F174" s="93"/>
      <c r="G174" s="93" t="str">
        <f>入學要求!AB160</f>
        <v>v</v>
      </c>
      <c r="H174" s="93" t="str">
        <f>入學要求!AC160</f>
        <v>E</v>
      </c>
      <c r="I174" s="93" t="str">
        <f>入學要求!AD160</f>
        <v>NO</v>
      </c>
      <c r="J174" s="183">
        <f t="shared" si="248"/>
        <v>3.4999999999999999E-9</v>
      </c>
      <c r="K174" s="475">
        <v>1</v>
      </c>
      <c r="L174" s="475">
        <v>1</v>
      </c>
      <c r="M174" s="475">
        <v>1</v>
      </c>
      <c r="N174" s="475"/>
      <c r="O174" s="475">
        <v>1</v>
      </c>
      <c r="P174" s="475">
        <v>1</v>
      </c>
      <c r="Q174" s="475">
        <v>1</v>
      </c>
      <c r="R174" s="475">
        <v>1</v>
      </c>
      <c r="S174" s="475">
        <v>1</v>
      </c>
      <c r="T174" s="475">
        <v>1</v>
      </c>
      <c r="U174" s="435"/>
      <c r="V174" s="139">
        <f t="shared" si="249"/>
        <v>1E-10</v>
      </c>
      <c r="W174" s="139">
        <f t="shared" si="250"/>
        <v>2.0000000000000001E-10</v>
      </c>
      <c r="X174" s="139">
        <f t="shared" si="251"/>
        <v>3E-10</v>
      </c>
      <c r="Y174" s="139"/>
      <c r="Z174" s="139">
        <f t="shared" si="252"/>
        <v>5.0000000000000003E-10</v>
      </c>
      <c r="AA174" s="139">
        <f t="shared" si="253"/>
        <v>6E-10</v>
      </c>
      <c r="AB174" s="139">
        <f t="shared" si="254"/>
        <v>6.9999999999999996E-10</v>
      </c>
      <c r="AC174" s="139">
        <f t="shared" si="255"/>
        <v>8.0000000000000003E-10</v>
      </c>
      <c r="AD174" s="139">
        <f t="shared" si="256"/>
        <v>8.9999999999999999E-10</v>
      </c>
      <c r="AE174" s="139">
        <f t="shared" si="257"/>
        <v>0</v>
      </c>
      <c r="AF174" s="117">
        <f t="shared" si="258"/>
        <v>1E-10</v>
      </c>
      <c r="AG174" s="117">
        <f t="shared" si="259"/>
        <v>2.0000000000000001E-10</v>
      </c>
      <c r="AH174" s="117">
        <f t="shared" si="260"/>
        <v>3E-10</v>
      </c>
      <c r="AI174" s="117">
        <f t="shared" si="261"/>
        <v>0</v>
      </c>
      <c r="AJ174" s="117">
        <f t="shared" si="262"/>
        <v>5.0000000000000003E-10</v>
      </c>
      <c r="AK174" s="117">
        <f t="shared" si="263"/>
        <v>6E-10</v>
      </c>
      <c r="AL174" s="117">
        <f t="shared" si="264"/>
        <v>6.9999999999999996E-10</v>
      </c>
      <c r="AM174" s="117">
        <f t="shared" si="265"/>
        <v>8.0000000000000003E-10</v>
      </c>
      <c r="AN174" s="117">
        <f t="shared" si="266"/>
        <v>8.9999999999999999E-10</v>
      </c>
      <c r="AO174" s="117">
        <f t="shared" si="267"/>
        <v>0</v>
      </c>
      <c r="AP174" s="139" t="b">
        <f t="shared" si="271"/>
        <v>0</v>
      </c>
      <c r="AQ174" s="139" t="b">
        <f t="shared" si="272"/>
        <v>0</v>
      </c>
      <c r="AR174" s="139" t="b">
        <f t="shared" si="273"/>
        <v>0</v>
      </c>
      <c r="AS174" s="139"/>
      <c r="AT174" s="139" t="b">
        <f t="shared" si="274"/>
        <v>1</v>
      </c>
      <c r="AU174" s="139" t="b">
        <f t="shared" si="275"/>
        <v>1</v>
      </c>
      <c r="AV174" s="139" t="b">
        <f t="shared" si="276"/>
        <v>1</v>
      </c>
      <c r="AW174" s="139" t="b">
        <f t="shared" si="277"/>
        <v>1</v>
      </c>
      <c r="AX174" s="139" t="b">
        <f t="shared" si="269"/>
        <v>1</v>
      </c>
      <c r="AY174" s="139" t="b">
        <f t="shared" si="270"/>
        <v>0</v>
      </c>
      <c r="AZ174" s="139" t="str">
        <f>'Reference Score Calculation'!AV151</f>
        <v>無</v>
      </c>
      <c r="BA174" s="93" t="str">
        <f>'Reference Score Calculation'!N151</f>
        <v>/</v>
      </c>
      <c r="BB174" s="93" t="str">
        <f>'Reference Score Calculation'!O151</f>
        <v>/</v>
      </c>
      <c r="BC174" s="93"/>
      <c r="BD174" s="93"/>
      <c r="BE174" s="93"/>
      <c r="BF174" s="93"/>
      <c r="BG174" s="93" t="s">
        <v>64</v>
      </c>
      <c r="BH174" s="93"/>
      <c r="BI174" s="93"/>
      <c r="BJ174" s="93"/>
      <c r="BK174" s="93"/>
      <c r="BL174" s="93"/>
      <c r="BM174" s="93"/>
      <c r="BN174" s="93"/>
      <c r="BO174" s="93"/>
      <c r="BP174" s="93"/>
      <c r="BQ174" s="93"/>
      <c r="BR174" s="93"/>
      <c r="BS174" s="187"/>
      <c r="BT174" s="185" t="str">
        <f t="shared" ref="BT174:CC174" si="278">K1</f>
        <v>中國語文</v>
      </c>
      <c r="BU174" s="185" t="str">
        <f t="shared" si="278"/>
        <v>英國語文</v>
      </c>
      <c r="BV174" s="185" t="str">
        <f t="shared" si="278"/>
        <v>數學</v>
      </c>
      <c r="BW174" s="185" t="str">
        <f t="shared" si="278"/>
        <v>公社科</v>
      </c>
      <c r="BX174" s="185" t="str">
        <f t="shared" si="278"/>
        <v>數學延伸</v>
      </c>
      <c r="BY174" s="185" t="str">
        <f t="shared" si="278"/>
        <v>請選擇第一選修科</v>
      </c>
      <c r="BZ174" s="185" t="str">
        <f t="shared" si="278"/>
        <v>請選擇第二選修科</v>
      </c>
      <c r="CA174" s="185" t="str">
        <f t="shared" si="278"/>
        <v>請選擇第三選修科</v>
      </c>
      <c r="CB174" s="185" t="str">
        <f t="shared" si="278"/>
        <v>請選擇第四選修科</v>
      </c>
      <c r="CC174" s="185" t="str">
        <f t="shared" si="278"/>
        <v>請選擇語言科目</v>
      </c>
      <c r="CD174" s="185"/>
      <c r="CE174" s="185"/>
      <c r="CF174" s="185"/>
      <c r="CG174" s="185"/>
      <c r="CH174" s="185"/>
      <c r="CI174" s="185"/>
      <c r="CJ174" s="185"/>
      <c r="CK174" s="185"/>
      <c r="CL174" s="185"/>
      <c r="CM174" s="185"/>
      <c r="CN174" s="185"/>
      <c r="CO174" s="185"/>
      <c r="CP174" s="185"/>
      <c r="CQ174" s="185"/>
      <c r="CR174" s="185"/>
      <c r="CS174" s="185"/>
    </row>
    <row r="175" spans="1:103">
      <c r="A175" s="139" t="s">
        <v>1180</v>
      </c>
      <c r="B175" s="183" t="str">
        <f>'Reference Score Calculation'!B152</f>
        <v>JS4082</v>
      </c>
      <c r="C175" s="183" t="str">
        <f>'Reference Score Calculation'!E152</f>
        <v>音樂</v>
      </c>
      <c r="D175" s="183"/>
      <c r="E175" s="183" t="str">
        <f>'Reference Score Calculation'!F152</f>
        <v>Best 5</v>
      </c>
      <c r="F175" s="93"/>
      <c r="G175" s="93" t="str">
        <f>入學要求!AB161</f>
        <v>v</v>
      </c>
      <c r="H175" s="93" t="str">
        <f>入學要求!AC161</f>
        <v>E</v>
      </c>
      <c r="I175" s="93" t="str">
        <f>入學要求!AD161</f>
        <v>NO</v>
      </c>
      <c r="J175" s="183">
        <f t="shared" si="248"/>
        <v>3.4999999999999999E-9</v>
      </c>
      <c r="K175" s="475">
        <v>1</v>
      </c>
      <c r="L175" s="475">
        <v>1</v>
      </c>
      <c r="M175" s="475">
        <v>1</v>
      </c>
      <c r="N175" s="475"/>
      <c r="O175" s="475">
        <v>1</v>
      </c>
      <c r="P175" s="475">
        <v>1</v>
      </c>
      <c r="Q175" s="475">
        <v>1</v>
      </c>
      <c r="R175" s="475">
        <v>1</v>
      </c>
      <c r="S175" s="475">
        <v>1</v>
      </c>
      <c r="T175" s="475">
        <v>1</v>
      </c>
      <c r="U175" s="435"/>
      <c r="V175" s="139">
        <f t="shared" si="249"/>
        <v>1E-10</v>
      </c>
      <c r="W175" s="139">
        <f t="shared" si="250"/>
        <v>2.0000000000000001E-10</v>
      </c>
      <c r="X175" s="139">
        <f t="shared" si="251"/>
        <v>3E-10</v>
      </c>
      <c r="Y175" s="139"/>
      <c r="Z175" s="139">
        <f t="shared" si="252"/>
        <v>5.0000000000000003E-10</v>
      </c>
      <c r="AA175" s="139">
        <f t="shared" si="253"/>
        <v>6E-10</v>
      </c>
      <c r="AB175" s="139">
        <f t="shared" si="254"/>
        <v>6.9999999999999996E-10</v>
      </c>
      <c r="AC175" s="139">
        <f t="shared" si="255"/>
        <v>8.0000000000000003E-10</v>
      </c>
      <c r="AD175" s="139">
        <f t="shared" si="256"/>
        <v>8.9999999999999999E-10</v>
      </c>
      <c r="AE175" s="139">
        <f t="shared" si="257"/>
        <v>0</v>
      </c>
      <c r="AF175" s="117">
        <f t="shared" si="258"/>
        <v>1E-10</v>
      </c>
      <c r="AG175" s="117">
        <f t="shared" si="259"/>
        <v>2.0000000000000001E-10</v>
      </c>
      <c r="AH175" s="117">
        <f t="shared" si="260"/>
        <v>3E-10</v>
      </c>
      <c r="AI175" s="117">
        <f t="shared" si="261"/>
        <v>0</v>
      </c>
      <c r="AJ175" s="117">
        <f t="shared" si="262"/>
        <v>5.0000000000000003E-10</v>
      </c>
      <c r="AK175" s="117">
        <f t="shared" si="263"/>
        <v>6E-10</v>
      </c>
      <c r="AL175" s="117">
        <f t="shared" si="264"/>
        <v>6.9999999999999996E-10</v>
      </c>
      <c r="AM175" s="117">
        <f t="shared" si="265"/>
        <v>8.0000000000000003E-10</v>
      </c>
      <c r="AN175" s="117">
        <f t="shared" si="266"/>
        <v>8.9999999999999999E-10</v>
      </c>
      <c r="AO175" s="117">
        <f t="shared" si="267"/>
        <v>0</v>
      </c>
      <c r="AP175" s="139" t="b">
        <f t="shared" si="271"/>
        <v>0</v>
      </c>
      <c r="AQ175" s="139" t="b">
        <f t="shared" si="272"/>
        <v>0</v>
      </c>
      <c r="AR175" s="139" t="b">
        <f t="shared" si="273"/>
        <v>0</v>
      </c>
      <c r="AS175" s="139"/>
      <c r="AT175" s="139" t="b">
        <f t="shared" si="274"/>
        <v>1</v>
      </c>
      <c r="AU175" s="139" t="b">
        <f t="shared" si="275"/>
        <v>1</v>
      </c>
      <c r="AV175" s="139" t="b">
        <f t="shared" si="276"/>
        <v>1</v>
      </c>
      <c r="AW175" s="139" t="b">
        <f t="shared" si="277"/>
        <v>1</v>
      </c>
      <c r="AX175" s="139" t="b">
        <f t="shared" si="269"/>
        <v>1</v>
      </c>
      <c r="AY175" s="139" t="b">
        <f t="shared" si="270"/>
        <v>0</v>
      </c>
      <c r="AZ175" s="139" t="str">
        <f>'Reference Score Calculation'!AV152</f>
        <v>無</v>
      </c>
      <c r="BA175" s="93" t="str">
        <f>'Reference Score Calculation'!N152</f>
        <v>優先考慮修讀 音樂 者</v>
      </c>
      <c r="BB175" s="93" t="str">
        <f>'Reference Score Calculation'!O152</f>
        <v>/</v>
      </c>
      <c r="BC175" s="93"/>
      <c r="BD175" s="93"/>
      <c r="BE175" s="93"/>
      <c r="BF175" s="93"/>
      <c r="BG175" s="93" t="s">
        <v>64</v>
      </c>
      <c r="BH175" s="93"/>
      <c r="BI175" s="93"/>
      <c r="BJ175" s="93"/>
      <c r="BK175" s="93"/>
      <c r="BL175" s="93"/>
      <c r="BM175" s="93"/>
      <c r="BN175" s="93"/>
      <c r="BO175" s="93"/>
      <c r="BP175" s="93"/>
      <c r="BQ175" s="93"/>
      <c r="BR175" s="93"/>
      <c r="BS175" s="187"/>
      <c r="BT175" s="139">
        <f>K6</f>
        <v>1E-10</v>
      </c>
      <c r="BU175" s="139">
        <f>0</f>
        <v>0</v>
      </c>
      <c r="BV175" s="139">
        <f>IF(BV174=BT172,0,M6)</f>
        <v>3E-10</v>
      </c>
      <c r="BW175" s="139">
        <f>N6</f>
        <v>0</v>
      </c>
      <c r="BX175" s="139">
        <f>IF(BX174=BT172,0,O6)</f>
        <v>0</v>
      </c>
      <c r="BY175" s="139">
        <f>P6</f>
        <v>6E-10</v>
      </c>
      <c r="BZ175" s="139">
        <f>Q6</f>
        <v>6.9999999999999996E-10</v>
      </c>
      <c r="CA175" s="139">
        <f>R6</f>
        <v>8.0000000000000003E-10</v>
      </c>
      <c r="CB175" s="139">
        <f>S6</f>
        <v>8.9999999999999999E-10</v>
      </c>
      <c r="CC175" s="139">
        <f>T6</f>
        <v>0</v>
      </c>
      <c r="CD175" s="185"/>
      <c r="CE175" s="185"/>
      <c r="CF175" s="185"/>
      <c r="CG175" s="185"/>
      <c r="CH175" s="185"/>
      <c r="CI175" s="185"/>
      <c r="CJ175" s="185"/>
      <c r="CK175" s="185"/>
      <c r="CL175" s="185"/>
      <c r="CM175" s="185"/>
      <c r="CN175" s="185"/>
      <c r="CO175" s="185"/>
      <c r="CP175" s="185"/>
      <c r="CQ175" s="185"/>
      <c r="CR175" s="185"/>
      <c r="CS175" s="185"/>
    </row>
    <row r="176" spans="1:103">
      <c r="A176" s="139" t="s">
        <v>1183</v>
      </c>
      <c r="B176" s="183" t="str">
        <f>'Reference Score Calculation'!B153</f>
        <v>JS4094</v>
      </c>
      <c r="C176" s="183" t="str">
        <f>'Reference Score Calculation'!E153</f>
        <v>哲學</v>
      </c>
      <c r="D176" s="183"/>
      <c r="E176" s="183" t="str">
        <f>'Reference Score Calculation'!F153</f>
        <v>Best 5</v>
      </c>
      <c r="F176" s="93"/>
      <c r="G176" s="93" t="str">
        <f>入學要求!AB162</f>
        <v>v</v>
      </c>
      <c r="H176" s="93" t="str">
        <f>入學要求!AC162</f>
        <v>E</v>
      </c>
      <c r="I176" s="93" t="str">
        <f>入學要求!AD162</f>
        <v>NO</v>
      </c>
      <c r="J176" s="183">
        <f t="shared" si="248"/>
        <v>2.7000000000000002E-9</v>
      </c>
      <c r="K176" s="475">
        <v>1</v>
      </c>
      <c r="L176" s="475">
        <v>1</v>
      </c>
      <c r="M176" s="475">
        <v>1</v>
      </c>
      <c r="N176" s="475"/>
      <c r="O176" s="475">
        <v>1</v>
      </c>
      <c r="P176" s="475">
        <v>1</v>
      </c>
      <c r="Q176" s="475">
        <v>1</v>
      </c>
      <c r="R176" s="475">
        <v>1</v>
      </c>
      <c r="S176" s="475">
        <v>1</v>
      </c>
      <c r="T176" s="475">
        <v>1</v>
      </c>
      <c r="U176" s="435"/>
      <c r="V176" s="139">
        <f t="shared" si="249"/>
        <v>1E-10</v>
      </c>
      <c r="W176" s="139">
        <f t="shared" si="250"/>
        <v>2.0000000000000001E-10</v>
      </c>
      <c r="X176" s="139">
        <f t="shared" si="251"/>
        <v>3E-10</v>
      </c>
      <c r="Y176" s="139"/>
      <c r="Z176" s="139">
        <f t="shared" si="252"/>
        <v>5.0000000000000003E-10</v>
      </c>
      <c r="AA176" s="139">
        <f t="shared" si="253"/>
        <v>6E-10</v>
      </c>
      <c r="AB176" s="139">
        <f t="shared" si="254"/>
        <v>6.9999999999999996E-10</v>
      </c>
      <c r="AC176" s="139">
        <f t="shared" si="255"/>
        <v>8.0000000000000003E-10</v>
      </c>
      <c r="AD176" s="139">
        <f t="shared" si="256"/>
        <v>8.9999999999999999E-10</v>
      </c>
      <c r="AE176" s="139">
        <f t="shared" si="257"/>
        <v>0</v>
      </c>
      <c r="AF176" s="117">
        <f t="shared" si="258"/>
        <v>99.000000000100002</v>
      </c>
      <c r="AG176" s="117">
        <f t="shared" si="259"/>
        <v>99.000000000200004</v>
      </c>
      <c r="AH176" s="117">
        <f t="shared" si="260"/>
        <v>3E-10</v>
      </c>
      <c r="AI176" s="117">
        <f t="shared" si="261"/>
        <v>0</v>
      </c>
      <c r="AJ176" s="117">
        <f t="shared" si="262"/>
        <v>5.0000000000000003E-10</v>
      </c>
      <c r="AK176" s="117">
        <f t="shared" si="263"/>
        <v>6E-10</v>
      </c>
      <c r="AL176" s="117">
        <f t="shared" si="264"/>
        <v>6.9999999999999996E-10</v>
      </c>
      <c r="AM176" s="117">
        <f t="shared" si="265"/>
        <v>8.0000000000000003E-10</v>
      </c>
      <c r="AN176" s="117">
        <f t="shared" si="266"/>
        <v>8.9999999999999999E-10</v>
      </c>
      <c r="AO176" s="117">
        <f t="shared" si="267"/>
        <v>0</v>
      </c>
      <c r="AP176" s="139" t="b">
        <f t="shared" si="271"/>
        <v>1</v>
      </c>
      <c r="AQ176" s="139" t="b">
        <f t="shared" si="272"/>
        <v>1</v>
      </c>
      <c r="AR176" s="139" t="b">
        <f t="shared" si="273"/>
        <v>0</v>
      </c>
      <c r="AS176" s="139"/>
      <c r="AT176" s="139" t="b">
        <f t="shared" si="274"/>
        <v>0</v>
      </c>
      <c r="AU176" s="139" t="b">
        <f t="shared" si="275"/>
        <v>0</v>
      </c>
      <c r="AV176" s="139" t="b">
        <f t="shared" si="276"/>
        <v>1</v>
      </c>
      <c r="AW176" s="139" t="b">
        <f t="shared" si="277"/>
        <v>1</v>
      </c>
      <c r="AX176" s="139" t="b">
        <f t="shared" si="269"/>
        <v>1</v>
      </c>
      <c r="AY176" s="139" t="b">
        <f t="shared" si="270"/>
        <v>0</v>
      </c>
      <c r="AZ176" s="139" t="str">
        <f>'Reference Score Calculation'!AV153</f>
        <v>無</v>
      </c>
      <c r="BA176" s="93" t="str">
        <f>'Reference Score Calculation'!N153</f>
        <v>最佳五科必須包括︰中文、英文</v>
      </c>
      <c r="BB176" s="93" t="str">
        <f>'Reference Score Calculation'!O153</f>
        <v>/</v>
      </c>
      <c r="BC176" s="93"/>
      <c r="BD176" s="93"/>
      <c r="BE176" s="93"/>
      <c r="BF176" s="93"/>
      <c r="BG176" s="93" t="s">
        <v>64</v>
      </c>
      <c r="BH176" s="93" t="b">
        <v>1</v>
      </c>
      <c r="BI176" s="93" t="b">
        <v>1</v>
      </c>
      <c r="BJ176" s="93"/>
      <c r="BK176" s="93"/>
      <c r="BL176" s="93"/>
      <c r="BM176" s="93"/>
      <c r="BN176" s="93"/>
      <c r="BO176" s="93"/>
      <c r="BP176" s="93"/>
      <c r="BQ176" s="93"/>
      <c r="BR176" s="93"/>
      <c r="BS176" s="184"/>
      <c r="BT176" s="188" t="b">
        <f>IF(BT175&gt;LARGE($BT175:$CC175,4),TRUE)</f>
        <v>0</v>
      </c>
      <c r="BU176" s="188" t="b">
        <v>1</v>
      </c>
      <c r="BV176" s="188" t="b">
        <f>IF(BV174=BT172,TRUE,IF(BV175&gt;LARGE($BT175:$CC175,4),TRUE))</f>
        <v>0</v>
      </c>
      <c r="BW176" s="188" t="b">
        <f>IF(BW175&gt;LARGE($BT175:$CC175,4),TRUE)</f>
        <v>0</v>
      </c>
      <c r="BX176" s="188" t="b">
        <f>IF(BX174=BT172,TRUE,IF(BX175&gt;LARGE($BT175:$CC175,4),TRUE))</f>
        <v>1</v>
      </c>
      <c r="BY176" s="188" t="b">
        <f>IF(BY175&gt;LARGE($BT175:$CC175,4),TRUE)</f>
        <v>0</v>
      </c>
      <c r="BZ176" s="188" t="b">
        <f>IF(BZ175&gt;LARGE($BT175:$CC175,4),TRUE)</f>
        <v>1</v>
      </c>
      <c r="CA176" s="188" t="b">
        <f>IF(CA175&gt;LARGE($BT175:$CC175,4),TRUE)</f>
        <v>1</v>
      </c>
      <c r="CB176" s="188" t="b">
        <f>IF(CB175&gt;LARGE($BT175:$CC175,4),TRUE)</f>
        <v>1</v>
      </c>
      <c r="CC176" s="188" t="b">
        <f>IF(CC175&gt;LARGE($BT175:$CC175,4),TRUE)</f>
        <v>0</v>
      </c>
      <c r="CD176" s="185"/>
      <c r="CE176" s="185"/>
      <c r="CF176" s="185"/>
      <c r="CG176" s="185"/>
      <c r="CH176" s="185"/>
      <c r="CI176" s="185"/>
      <c r="CJ176" s="185"/>
      <c r="CK176" s="185"/>
      <c r="CL176" s="185"/>
      <c r="CM176" s="185"/>
      <c r="CN176" s="185"/>
      <c r="CO176" s="185"/>
      <c r="CP176" s="185"/>
      <c r="CQ176" s="185"/>
      <c r="CR176" s="185"/>
      <c r="CS176" s="185"/>
    </row>
    <row r="177" spans="1:97">
      <c r="A177" s="139" t="s">
        <v>2647</v>
      </c>
      <c r="B177" s="183" t="str">
        <f>'Reference Score Calculation'!B154</f>
        <v>JS4100</v>
      </c>
      <c r="C177" s="183" t="str">
        <f>'Reference Score Calculation'!E154</f>
        <v>公共人文學</v>
      </c>
      <c r="D177" s="183"/>
      <c r="E177" s="183" t="str">
        <f>'Reference Score Calculation'!F154</f>
        <v>Best 5</v>
      </c>
      <c r="F177" s="93"/>
      <c r="G177" s="93" t="str">
        <f>入學要求!AB163</f>
        <v>v</v>
      </c>
      <c r="H177" s="93" t="str">
        <f>入學要求!AC163</f>
        <v>E</v>
      </c>
      <c r="I177" s="93" t="str">
        <f>入學要求!AD163</f>
        <v>NO</v>
      </c>
      <c r="J177" s="183">
        <f t="shared" si="248"/>
        <v>3.4999999999999999E-9</v>
      </c>
      <c r="K177" s="475">
        <v>1</v>
      </c>
      <c r="L177" s="475">
        <v>1</v>
      </c>
      <c r="M177" s="475">
        <v>1</v>
      </c>
      <c r="N177" s="475"/>
      <c r="O177" s="475">
        <v>1</v>
      </c>
      <c r="P177" s="475">
        <v>1</v>
      </c>
      <c r="Q177" s="475">
        <v>1</v>
      </c>
      <c r="R177" s="475">
        <v>1</v>
      </c>
      <c r="S177" s="475">
        <v>1</v>
      </c>
      <c r="T177" s="475">
        <v>1</v>
      </c>
      <c r="U177" s="435"/>
      <c r="V177" s="139">
        <f t="shared" si="249"/>
        <v>1E-10</v>
      </c>
      <c r="W177" s="139">
        <f t="shared" si="250"/>
        <v>2.0000000000000001E-10</v>
      </c>
      <c r="X177" s="139">
        <f t="shared" si="251"/>
        <v>3E-10</v>
      </c>
      <c r="Y177" s="139"/>
      <c r="Z177" s="139">
        <f t="shared" si="252"/>
        <v>5.0000000000000003E-10</v>
      </c>
      <c r="AA177" s="139">
        <f t="shared" si="253"/>
        <v>6E-10</v>
      </c>
      <c r="AB177" s="139">
        <f t="shared" si="254"/>
        <v>6.9999999999999996E-10</v>
      </c>
      <c r="AC177" s="139">
        <f t="shared" si="255"/>
        <v>8.0000000000000003E-10</v>
      </c>
      <c r="AD177" s="139">
        <f t="shared" si="256"/>
        <v>8.9999999999999999E-10</v>
      </c>
      <c r="AE177" s="139">
        <f t="shared" si="257"/>
        <v>0</v>
      </c>
      <c r="AF177" s="117">
        <f t="shared" si="258"/>
        <v>1E-10</v>
      </c>
      <c r="AG177" s="117">
        <f t="shared" si="259"/>
        <v>2.0000000000000001E-10</v>
      </c>
      <c r="AH177" s="117">
        <f t="shared" si="260"/>
        <v>3E-10</v>
      </c>
      <c r="AI177" s="117">
        <f t="shared" si="261"/>
        <v>0</v>
      </c>
      <c r="AJ177" s="117">
        <f t="shared" si="262"/>
        <v>5.0000000000000003E-10</v>
      </c>
      <c r="AK177" s="117">
        <f t="shared" si="263"/>
        <v>6E-10</v>
      </c>
      <c r="AL177" s="117">
        <f t="shared" si="264"/>
        <v>6.9999999999999996E-10</v>
      </c>
      <c r="AM177" s="117">
        <f t="shared" si="265"/>
        <v>8.0000000000000003E-10</v>
      </c>
      <c r="AN177" s="117">
        <f t="shared" si="266"/>
        <v>8.9999999999999999E-10</v>
      </c>
      <c r="AO177" s="117">
        <f t="shared" si="267"/>
        <v>0</v>
      </c>
      <c r="AP177" s="139" t="b">
        <f t="shared" si="271"/>
        <v>0</v>
      </c>
      <c r="AQ177" s="139" t="b">
        <f t="shared" si="272"/>
        <v>0</v>
      </c>
      <c r="AR177" s="139" t="b">
        <f t="shared" si="273"/>
        <v>0</v>
      </c>
      <c r="AS177" s="139"/>
      <c r="AT177" s="139" t="b">
        <f t="shared" si="274"/>
        <v>1</v>
      </c>
      <c r="AU177" s="139" t="b">
        <f t="shared" si="275"/>
        <v>1</v>
      </c>
      <c r="AV177" s="139" t="b">
        <f t="shared" si="276"/>
        <v>1</v>
      </c>
      <c r="AW177" s="139" t="b">
        <f t="shared" si="277"/>
        <v>1</v>
      </c>
      <c r="AX177" s="139" t="b">
        <f t="shared" si="269"/>
        <v>1</v>
      </c>
      <c r="AY177" s="139" t="b">
        <f t="shared" si="270"/>
        <v>0</v>
      </c>
      <c r="AZ177" s="139"/>
      <c r="BA177" s="93" t="str">
        <f>'Reference Score Calculation'!N154</f>
        <v>此分數為 2024年 JS4020 文化研究 的收生分數。</v>
      </c>
      <c r="BB177" s="93" t="str">
        <f>'Reference Score Calculation'!O154</f>
        <v>/</v>
      </c>
      <c r="BC177" s="93"/>
      <c r="BD177" s="93"/>
      <c r="BE177" s="93"/>
      <c r="BF177" s="93"/>
      <c r="BG177" s="93" t="s">
        <v>64</v>
      </c>
      <c r="BH177" s="93"/>
      <c r="BI177" s="93"/>
      <c r="BJ177" s="93"/>
      <c r="BK177" s="93"/>
      <c r="BL177" s="93"/>
      <c r="BM177" s="93"/>
      <c r="BN177" s="93"/>
      <c r="BO177" s="93"/>
      <c r="BP177" s="93"/>
      <c r="BQ177" s="93"/>
      <c r="BR177" s="93"/>
      <c r="BS177" s="184"/>
      <c r="BT177" s="188"/>
      <c r="BU177" s="188"/>
      <c r="BV177" s="188"/>
      <c r="BW177" s="188"/>
      <c r="BX177" s="188"/>
      <c r="BY177" s="188"/>
      <c r="BZ177" s="188"/>
      <c r="CA177" s="188"/>
      <c r="CB177" s="188"/>
      <c r="CC177" s="188"/>
      <c r="CD177" s="185"/>
      <c r="CE177" s="185"/>
      <c r="CF177" s="185"/>
      <c r="CG177" s="185"/>
      <c r="CH177" s="185"/>
      <c r="CI177" s="185"/>
      <c r="CJ177" s="185"/>
      <c r="CK177" s="185"/>
      <c r="CL177" s="185"/>
      <c r="CM177" s="185"/>
      <c r="CN177" s="185"/>
      <c r="CO177" s="185"/>
      <c r="CP177" s="185"/>
      <c r="CQ177" s="185"/>
      <c r="CR177" s="185"/>
      <c r="CS177" s="185"/>
    </row>
    <row r="178" spans="1:97">
      <c r="A178" s="139" t="s">
        <v>1186</v>
      </c>
      <c r="B178" s="183" t="str">
        <f>'Reference Score Calculation'!B155</f>
        <v>JS4109</v>
      </c>
      <c r="C178" s="183" t="str">
        <f>'Reference Score Calculation'!E155</f>
        <v>宗教研究</v>
      </c>
      <c r="D178" s="183"/>
      <c r="E178" s="183" t="str">
        <f>'Reference Score Calculation'!F155</f>
        <v>Best 5</v>
      </c>
      <c r="F178" s="93"/>
      <c r="G178" s="93" t="str">
        <f>入學要求!AB164</f>
        <v>v</v>
      </c>
      <c r="H178" s="93" t="str">
        <f>入學要求!AC164</f>
        <v>E</v>
      </c>
      <c r="I178" s="93" t="str">
        <f>入學要求!AD164</f>
        <v>NO</v>
      </c>
      <c r="J178" s="183">
        <f t="shared" si="248"/>
        <v>3.4999999999999999E-9</v>
      </c>
      <c r="K178" s="475">
        <v>1</v>
      </c>
      <c r="L178" s="475">
        <v>1</v>
      </c>
      <c r="M178" s="475">
        <v>1</v>
      </c>
      <c r="N178" s="475"/>
      <c r="O178" s="475">
        <v>1</v>
      </c>
      <c r="P178" s="475">
        <v>1</v>
      </c>
      <c r="Q178" s="475">
        <v>1</v>
      </c>
      <c r="R178" s="475">
        <v>1</v>
      </c>
      <c r="S178" s="475">
        <v>1</v>
      </c>
      <c r="T178" s="475">
        <v>1</v>
      </c>
      <c r="U178" s="435"/>
      <c r="V178" s="139">
        <f t="shared" ref="V178:V191" si="279">K$6*K178</f>
        <v>1E-10</v>
      </c>
      <c r="W178" s="139">
        <f t="shared" ref="W178:W191" si="280">L$6*L178</f>
        <v>2.0000000000000001E-10</v>
      </c>
      <c r="X178" s="139">
        <f t="shared" ref="X178:X191" si="281">M$6*M178</f>
        <v>3E-10</v>
      </c>
      <c r="Y178" s="139"/>
      <c r="Z178" s="139">
        <f t="shared" ref="Z178:Z191" si="282">IF(G178="v",O$6*O178,0)</f>
        <v>5.0000000000000003E-10</v>
      </c>
      <c r="AA178" s="139">
        <f t="shared" ref="AA178:AA191" si="283">P$6*P178</f>
        <v>6E-10</v>
      </c>
      <c r="AB178" s="139">
        <f t="shared" ref="AB178:AB191" si="284">Q$6*Q178</f>
        <v>6.9999999999999996E-10</v>
      </c>
      <c r="AC178" s="139">
        <f t="shared" ref="AC178:AC191" si="285">R$6*R178</f>
        <v>8.0000000000000003E-10</v>
      </c>
      <c r="AD178" s="139">
        <f t="shared" ref="AD178:AD191" si="286">S$6*S178</f>
        <v>8.9999999999999999E-10</v>
      </c>
      <c r="AE178" s="139">
        <f t="shared" ref="AE178:AE191" si="287">IF(H178="E",T$6*T178,0)</f>
        <v>0</v>
      </c>
      <c r="AF178" s="117">
        <f t="shared" si="258"/>
        <v>1E-10</v>
      </c>
      <c r="AG178" s="117">
        <f t="shared" si="259"/>
        <v>2.0000000000000001E-10</v>
      </c>
      <c r="AH178" s="117">
        <f t="shared" si="260"/>
        <v>3E-10</v>
      </c>
      <c r="AI178" s="117">
        <f t="shared" si="261"/>
        <v>0</v>
      </c>
      <c r="AJ178" s="117">
        <f t="shared" si="262"/>
        <v>5.0000000000000003E-10</v>
      </c>
      <c r="AK178" s="117">
        <f t="shared" si="263"/>
        <v>6E-10</v>
      </c>
      <c r="AL178" s="117">
        <f t="shared" si="264"/>
        <v>6.9999999999999996E-10</v>
      </c>
      <c r="AM178" s="117">
        <f t="shared" si="265"/>
        <v>8.0000000000000003E-10</v>
      </c>
      <c r="AN178" s="117">
        <f t="shared" si="266"/>
        <v>8.9999999999999999E-10</v>
      </c>
      <c r="AO178" s="117">
        <f t="shared" si="267"/>
        <v>0</v>
      </c>
      <c r="AP178" s="139" t="b">
        <f t="shared" si="271"/>
        <v>0</v>
      </c>
      <c r="AQ178" s="139" t="b">
        <f t="shared" si="272"/>
        <v>0</v>
      </c>
      <c r="AR178" s="139" t="b">
        <f t="shared" si="273"/>
        <v>0</v>
      </c>
      <c r="AS178" s="139"/>
      <c r="AT178" s="139" t="b">
        <f t="shared" si="274"/>
        <v>1</v>
      </c>
      <c r="AU178" s="139" t="b">
        <f t="shared" si="275"/>
        <v>1</v>
      </c>
      <c r="AV178" s="139" t="b">
        <f t="shared" si="276"/>
        <v>1</v>
      </c>
      <c r="AW178" s="139" t="b">
        <f t="shared" si="277"/>
        <v>1</v>
      </c>
      <c r="AX178" s="139" t="b">
        <f t="shared" si="269"/>
        <v>1</v>
      </c>
      <c r="AY178" s="139" t="b">
        <f t="shared" si="270"/>
        <v>0</v>
      </c>
      <c r="AZ178" s="139" t="str">
        <f>'Reference Score Calculation'!AV155</f>
        <v>無</v>
      </c>
      <c r="BA178" s="93" t="str">
        <f>'Reference Score Calculation'!N155</f>
        <v>/</v>
      </c>
      <c r="BB178" s="93" t="str">
        <f>'Reference Score Calculation'!O155</f>
        <v>/</v>
      </c>
      <c r="BC178" s="93"/>
      <c r="BD178" s="93"/>
      <c r="BE178" s="93"/>
      <c r="BF178" s="93"/>
      <c r="BG178" s="93" t="s">
        <v>64</v>
      </c>
      <c r="BH178" s="93"/>
      <c r="BI178" s="93"/>
      <c r="BJ178" s="93"/>
      <c r="BK178" s="93"/>
      <c r="BL178" s="93"/>
      <c r="BM178" s="93"/>
      <c r="BN178" s="93"/>
      <c r="BO178" s="93"/>
      <c r="BP178" s="93"/>
      <c r="BQ178" s="93"/>
      <c r="BR178" s="93"/>
      <c r="BS178" s="187"/>
      <c r="BT178" s="185"/>
      <c r="BU178" s="185"/>
      <c r="BV178" s="185"/>
      <c r="BW178" s="185"/>
      <c r="BX178" s="185"/>
      <c r="BY178" s="185"/>
      <c r="BZ178" s="185"/>
      <c r="CA178" s="185"/>
      <c r="CB178" s="185"/>
      <c r="CC178" s="185"/>
      <c r="CD178" s="185"/>
      <c r="CE178" s="185"/>
      <c r="CF178" s="185"/>
      <c r="CG178" s="185"/>
      <c r="CH178" s="185"/>
      <c r="CI178" s="185"/>
      <c r="CJ178" s="185"/>
      <c r="CK178" s="185"/>
      <c r="CL178" s="185"/>
      <c r="CM178" s="185"/>
      <c r="CN178" s="185"/>
      <c r="CO178" s="185"/>
      <c r="CP178" s="185"/>
      <c r="CQ178" s="185"/>
      <c r="CR178" s="185"/>
      <c r="CS178" s="185"/>
    </row>
    <row r="179" spans="1:97">
      <c r="A179" s="139" t="s">
        <v>1189</v>
      </c>
      <c r="B179" s="183" t="str">
        <f>'Reference Score Calculation'!B156</f>
        <v>JS4111</v>
      </c>
      <c r="C179" s="183" t="str">
        <f>'Reference Score Calculation'!E156</f>
        <v>神學</v>
      </c>
      <c r="D179" s="183"/>
      <c r="E179" s="183" t="str">
        <f>'Reference Score Calculation'!F156</f>
        <v>Best 5</v>
      </c>
      <c r="F179" s="93"/>
      <c r="G179" s="93" t="str">
        <f>入學要求!AB165</f>
        <v>v</v>
      </c>
      <c r="H179" s="93" t="str">
        <f>入學要求!AC165</f>
        <v>E</v>
      </c>
      <c r="I179" s="93" t="str">
        <f>入學要求!AD165</f>
        <v>NO</v>
      </c>
      <c r="J179" s="183" t="s">
        <v>324</v>
      </c>
      <c r="K179" s="475" t="s">
        <v>324</v>
      </c>
      <c r="L179" s="475" t="s">
        <v>324</v>
      </c>
      <c r="M179" s="475" t="s">
        <v>324</v>
      </c>
      <c r="N179" s="475"/>
      <c r="O179" s="475" t="s">
        <v>324</v>
      </c>
      <c r="P179" s="475" t="s">
        <v>324</v>
      </c>
      <c r="Q179" s="475" t="s">
        <v>324</v>
      </c>
      <c r="R179" s="475" t="s">
        <v>324</v>
      </c>
      <c r="S179" s="475" t="s">
        <v>324</v>
      </c>
      <c r="T179" s="475" t="s">
        <v>324</v>
      </c>
      <c r="U179" s="435"/>
      <c r="V179" s="139" t="e">
        <f t="shared" si="279"/>
        <v>#VALUE!</v>
      </c>
      <c r="W179" s="139" t="e">
        <f t="shared" si="280"/>
        <v>#VALUE!</v>
      </c>
      <c r="X179" s="139" t="e">
        <f t="shared" si="281"/>
        <v>#VALUE!</v>
      </c>
      <c r="Y179" s="139"/>
      <c r="Z179" s="139" t="e">
        <f t="shared" si="282"/>
        <v>#VALUE!</v>
      </c>
      <c r="AA179" s="139" t="e">
        <f t="shared" si="283"/>
        <v>#VALUE!</v>
      </c>
      <c r="AB179" s="139" t="e">
        <f t="shared" si="284"/>
        <v>#VALUE!</v>
      </c>
      <c r="AC179" s="139" t="e">
        <f t="shared" si="285"/>
        <v>#VALUE!</v>
      </c>
      <c r="AD179" s="139" t="e">
        <f t="shared" si="286"/>
        <v>#VALUE!</v>
      </c>
      <c r="AE179" s="139" t="e">
        <f t="shared" si="287"/>
        <v>#VALUE!</v>
      </c>
      <c r="AF179" s="117" t="e">
        <f t="shared" si="258"/>
        <v>#VALUE!</v>
      </c>
      <c r="AG179" s="117" t="e">
        <f t="shared" si="259"/>
        <v>#VALUE!</v>
      </c>
      <c r="AH179" s="117" t="e">
        <f t="shared" si="260"/>
        <v>#VALUE!</v>
      </c>
      <c r="AI179" s="117">
        <f t="shared" si="261"/>
        <v>0</v>
      </c>
      <c r="AJ179" s="117" t="e">
        <f t="shared" si="262"/>
        <v>#VALUE!</v>
      </c>
      <c r="AK179" s="117" t="e">
        <f t="shared" si="263"/>
        <v>#VALUE!</v>
      </c>
      <c r="AL179" s="117" t="e">
        <f t="shared" si="264"/>
        <v>#VALUE!</v>
      </c>
      <c r="AM179" s="117" t="e">
        <f t="shared" si="265"/>
        <v>#VALUE!</v>
      </c>
      <c r="AN179" s="117" t="e">
        <f t="shared" si="266"/>
        <v>#VALUE!</v>
      </c>
      <c r="AO179" s="117" t="e">
        <f t="shared" si="267"/>
        <v>#VALUE!</v>
      </c>
      <c r="AP179" s="139" t="e">
        <f t="shared" si="271"/>
        <v>#VALUE!</v>
      </c>
      <c r="AQ179" s="139" t="e">
        <f t="shared" si="272"/>
        <v>#VALUE!</v>
      </c>
      <c r="AR179" s="139" t="e">
        <f t="shared" si="273"/>
        <v>#VALUE!</v>
      </c>
      <c r="AS179" s="139"/>
      <c r="AT179" s="139" t="e">
        <f t="shared" si="274"/>
        <v>#VALUE!</v>
      </c>
      <c r="AU179" s="139" t="e">
        <f t="shared" si="275"/>
        <v>#VALUE!</v>
      </c>
      <c r="AV179" s="139" t="e">
        <f t="shared" si="276"/>
        <v>#VALUE!</v>
      </c>
      <c r="AW179" s="139" t="e">
        <f t="shared" si="277"/>
        <v>#VALUE!</v>
      </c>
      <c r="AX179" s="139" t="e">
        <f t="shared" si="269"/>
        <v>#VALUE!</v>
      </c>
      <c r="AY179" s="139" t="e">
        <f t="shared" si="270"/>
        <v>#VALUE!</v>
      </c>
      <c r="AZ179" s="139" t="str">
        <f>'Reference Score Calculation'!AV156</f>
        <v>無</v>
      </c>
      <c r="BA179" s="93" t="str">
        <f>'Reference Score Calculation'!N156</f>
        <v>/</v>
      </c>
      <c r="BB179" s="93" t="str">
        <f>'Reference Score Calculation'!O156</f>
        <v>/</v>
      </c>
      <c r="BC179" s="93"/>
      <c r="BD179" s="93"/>
      <c r="BE179" s="93"/>
      <c r="BF179" s="93"/>
      <c r="BG179" s="93" t="s">
        <v>64</v>
      </c>
      <c r="BH179" s="93"/>
      <c r="BI179" s="93"/>
      <c r="BJ179" s="93"/>
      <c r="BK179" s="93"/>
      <c r="BL179" s="93"/>
      <c r="BM179" s="93"/>
      <c r="BN179" s="93"/>
      <c r="BO179" s="93"/>
      <c r="BP179" s="93"/>
      <c r="BQ179" s="93"/>
      <c r="BR179" s="93"/>
      <c r="BS179" s="187" t="s">
        <v>319</v>
      </c>
      <c r="BT179" s="185" t="s">
        <v>320</v>
      </c>
      <c r="BU179" s="185"/>
      <c r="BV179" s="185"/>
      <c r="BW179" s="185"/>
      <c r="BX179" s="185"/>
      <c r="BY179" s="185"/>
      <c r="BZ179" s="185"/>
      <c r="CA179" s="185"/>
      <c r="CB179" s="185"/>
      <c r="CC179" s="185"/>
      <c r="CD179" s="185"/>
      <c r="CE179" s="185"/>
      <c r="CF179" s="185"/>
      <c r="CG179" s="185"/>
      <c r="CH179" s="185"/>
      <c r="CI179" s="185"/>
      <c r="CJ179" s="185"/>
      <c r="CK179" s="185"/>
      <c r="CL179" s="185"/>
      <c r="CM179" s="185"/>
      <c r="CN179" s="185"/>
      <c r="CO179" s="185"/>
      <c r="CP179" s="185"/>
      <c r="CQ179" s="185"/>
      <c r="CR179" s="185"/>
      <c r="CS179" s="185"/>
    </row>
    <row r="180" spans="1:97">
      <c r="A180" s="139" t="s">
        <v>1193</v>
      </c>
      <c r="B180" s="183" t="str">
        <f>'Reference Score Calculation'!B157</f>
        <v>JS4123</v>
      </c>
      <c r="C180" s="183" t="str">
        <f>'Reference Score Calculation'!E157</f>
        <v>翻譯</v>
      </c>
      <c r="D180" s="183"/>
      <c r="E180" s="183" t="str">
        <f>'Reference Score Calculation'!F157</f>
        <v>Best 5</v>
      </c>
      <c r="F180" s="93"/>
      <c r="G180" s="93" t="str">
        <f>入學要求!AB166</f>
        <v>v</v>
      </c>
      <c r="H180" s="93" t="str">
        <f>入學要求!AC166</f>
        <v>E</v>
      </c>
      <c r="I180" s="93" t="str">
        <f>入學要求!AD166</f>
        <v>NO</v>
      </c>
      <c r="J180" s="183">
        <f>IF($W$15=TRUE,SUMIF(AP180:AY180,TRUE,V180:AE180)*0.95,SUMIF(AP180:AY180,TRUE,V180:AE180))</f>
        <v>3.4999999999999999E-9</v>
      </c>
      <c r="K180" s="475">
        <v>1</v>
      </c>
      <c r="L180" s="475">
        <v>1</v>
      </c>
      <c r="M180" s="475">
        <v>1</v>
      </c>
      <c r="N180" s="475"/>
      <c r="O180" s="475">
        <v>1</v>
      </c>
      <c r="P180" s="475">
        <v>1</v>
      </c>
      <c r="Q180" s="475">
        <v>1</v>
      </c>
      <c r="R180" s="475">
        <v>1</v>
      </c>
      <c r="S180" s="475">
        <v>1</v>
      </c>
      <c r="T180" s="475">
        <v>1</v>
      </c>
      <c r="U180" s="435"/>
      <c r="V180" s="139">
        <f t="shared" si="279"/>
        <v>1E-10</v>
      </c>
      <c r="W180" s="139">
        <f t="shared" si="280"/>
        <v>2.0000000000000001E-10</v>
      </c>
      <c r="X180" s="139">
        <f t="shared" si="281"/>
        <v>3E-10</v>
      </c>
      <c r="Y180" s="139"/>
      <c r="Z180" s="139">
        <f t="shared" si="282"/>
        <v>5.0000000000000003E-10</v>
      </c>
      <c r="AA180" s="139">
        <f t="shared" si="283"/>
        <v>6E-10</v>
      </c>
      <c r="AB180" s="139">
        <f t="shared" si="284"/>
        <v>6.9999999999999996E-10</v>
      </c>
      <c r="AC180" s="139">
        <f t="shared" si="285"/>
        <v>8.0000000000000003E-10</v>
      </c>
      <c r="AD180" s="139">
        <f t="shared" si="286"/>
        <v>8.9999999999999999E-10</v>
      </c>
      <c r="AE180" s="139">
        <f t="shared" si="287"/>
        <v>0</v>
      </c>
      <c r="AF180" s="117">
        <f t="shared" si="258"/>
        <v>1E-10</v>
      </c>
      <c r="AG180" s="117">
        <f t="shared" si="259"/>
        <v>2.0000000000000001E-10</v>
      </c>
      <c r="AH180" s="117">
        <f t="shared" si="260"/>
        <v>3E-10</v>
      </c>
      <c r="AI180" s="117">
        <f t="shared" si="261"/>
        <v>0</v>
      </c>
      <c r="AJ180" s="117">
        <f t="shared" si="262"/>
        <v>5.0000000000000003E-10</v>
      </c>
      <c r="AK180" s="117">
        <f t="shared" si="263"/>
        <v>6E-10</v>
      </c>
      <c r="AL180" s="117">
        <f t="shared" si="264"/>
        <v>6.9999999999999996E-10</v>
      </c>
      <c r="AM180" s="117">
        <f t="shared" si="265"/>
        <v>8.0000000000000003E-10</v>
      </c>
      <c r="AN180" s="117">
        <f t="shared" si="266"/>
        <v>8.9999999999999999E-10</v>
      </c>
      <c r="AO180" s="117">
        <f t="shared" si="267"/>
        <v>0</v>
      </c>
      <c r="AP180" s="139" t="b">
        <f t="shared" si="271"/>
        <v>0</v>
      </c>
      <c r="AQ180" s="139" t="b">
        <f t="shared" si="272"/>
        <v>0</v>
      </c>
      <c r="AR180" s="139" t="b">
        <f t="shared" si="273"/>
        <v>0</v>
      </c>
      <c r="AS180" s="139"/>
      <c r="AT180" s="139" t="b">
        <f t="shared" si="274"/>
        <v>1</v>
      </c>
      <c r="AU180" s="139" t="b">
        <f t="shared" si="275"/>
        <v>1</v>
      </c>
      <c r="AV180" s="139" t="b">
        <f t="shared" si="276"/>
        <v>1</v>
      </c>
      <c r="AW180" s="139" t="b">
        <f t="shared" si="277"/>
        <v>1</v>
      </c>
      <c r="AX180" s="139" t="b">
        <f t="shared" si="269"/>
        <v>1</v>
      </c>
      <c r="AY180" s="139" t="b">
        <f t="shared" si="270"/>
        <v>0</v>
      </c>
      <c r="AZ180" s="139" t="str">
        <f>'Reference Score Calculation'!AV157</f>
        <v>5%或更少(全Cert)</v>
      </c>
      <c r="BA180" s="93" t="str">
        <f>'Reference Score Calculation'!N157</f>
        <v>/</v>
      </c>
      <c r="BB180" s="93" t="str">
        <f>'Reference Score Calculation'!O157</f>
        <v>/</v>
      </c>
      <c r="BC180" s="93"/>
      <c r="BD180" s="93"/>
      <c r="BE180" s="93"/>
      <c r="BF180" s="93"/>
      <c r="BG180" s="93" t="s">
        <v>64</v>
      </c>
      <c r="BH180" s="93"/>
      <c r="BI180" s="93"/>
      <c r="BJ180" s="93"/>
      <c r="BK180" s="93"/>
      <c r="BL180" s="93"/>
      <c r="BM180" s="93"/>
      <c r="BN180" s="93"/>
      <c r="BO180" s="93"/>
      <c r="BP180" s="93"/>
      <c r="BQ180" s="93"/>
      <c r="BR180" s="93"/>
      <c r="BS180" s="187" t="s">
        <v>321</v>
      </c>
      <c r="BT180" s="185" t="str">
        <f>P1</f>
        <v>請選擇第一選修科</v>
      </c>
      <c r="BU180" s="185" t="str">
        <f>Q1</f>
        <v>請選擇第二選修科</v>
      </c>
      <c r="BV180" s="185" t="str">
        <f>R1</f>
        <v>請選擇第三選修科</v>
      </c>
      <c r="BW180" s="185" t="str">
        <f>S1</f>
        <v>請選擇第四選修科</v>
      </c>
      <c r="BX180" s="185" t="str">
        <f>O1</f>
        <v>數學延伸</v>
      </c>
      <c r="BY180" s="185"/>
      <c r="BZ180" s="185"/>
      <c r="CA180" s="185" t="s">
        <v>322</v>
      </c>
      <c r="CB180" s="185"/>
      <c r="CC180" s="185"/>
      <c r="CD180" s="185"/>
      <c r="CE180" s="185"/>
      <c r="CF180" s="185"/>
      <c r="CG180" s="185"/>
      <c r="CH180" s="185"/>
      <c r="CI180" s="185"/>
      <c r="CJ180" s="185"/>
      <c r="CK180" s="185"/>
      <c r="CL180" s="185"/>
      <c r="CM180" s="185"/>
      <c r="CN180" s="185"/>
      <c r="CO180" s="185"/>
      <c r="CP180" s="185"/>
      <c r="CQ180" s="185"/>
      <c r="CR180" s="185"/>
      <c r="CS180" s="185"/>
    </row>
    <row r="181" spans="1:97">
      <c r="A181" s="139" t="s">
        <v>1197</v>
      </c>
      <c r="B181" s="183" t="str">
        <f>'Reference Score Calculation'!B158</f>
        <v>JS4136</v>
      </c>
      <c r="C181" s="183" t="str">
        <f>'Reference Score Calculation'!E158</f>
        <v>中國研究</v>
      </c>
      <c r="D181" s="183"/>
      <c r="E181" s="183" t="str">
        <f>'Reference Score Calculation'!F158</f>
        <v>Best 5</v>
      </c>
      <c r="F181" s="93"/>
      <c r="G181" s="93" t="str">
        <f>入學要求!AB167</f>
        <v>v</v>
      </c>
      <c r="H181" s="93" t="str">
        <f>入學要求!AC167</f>
        <v>E</v>
      </c>
      <c r="I181" s="93" t="str">
        <f>入學要求!AD167</f>
        <v>NO</v>
      </c>
      <c r="J181" s="183">
        <f t="shared" ref="J181:J238" si="288">IF($W$15=TRUE,SUMIF(AP181:AY181,TRUE,V181:AE181)*0.95,SUMIF(AP181:AY181,TRUE,V181:AE181))</f>
        <v>3.4999999999999999E-9</v>
      </c>
      <c r="K181" s="475">
        <v>1</v>
      </c>
      <c r="L181" s="475">
        <v>1.25</v>
      </c>
      <c r="M181" s="475">
        <v>1</v>
      </c>
      <c r="N181" s="475"/>
      <c r="O181" s="475">
        <v>1</v>
      </c>
      <c r="P181" s="475">
        <v>1</v>
      </c>
      <c r="Q181" s="475">
        <v>1</v>
      </c>
      <c r="R181" s="475">
        <v>1</v>
      </c>
      <c r="S181" s="475">
        <v>1</v>
      </c>
      <c r="T181" s="475">
        <v>1</v>
      </c>
      <c r="U181" s="435"/>
      <c r="V181" s="139">
        <f t="shared" si="279"/>
        <v>1E-10</v>
      </c>
      <c r="W181" s="139">
        <f t="shared" si="280"/>
        <v>2.5000000000000002E-10</v>
      </c>
      <c r="X181" s="139">
        <f t="shared" si="281"/>
        <v>3E-10</v>
      </c>
      <c r="Y181" s="139"/>
      <c r="Z181" s="139">
        <f t="shared" si="282"/>
        <v>5.0000000000000003E-10</v>
      </c>
      <c r="AA181" s="139">
        <f t="shared" si="283"/>
        <v>6E-10</v>
      </c>
      <c r="AB181" s="139">
        <f t="shared" si="284"/>
        <v>6.9999999999999996E-10</v>
      </c>
      <c r="AC181" s="139">
        <f t="shared" si="285"/>
        <v>8.0000000000000003E-10</v>
      </c>
      <c r="AD181" s="139">
        <f t="shared" si="286"/>
        <v>8.9999999999999999E-10</v>
      </c>
      <c r="AE181" s="139">
        <f t="shared" si="287"/>
        <v>0</v>
      </c>
      <c r="AF181" s="117">
        <f t="shared" si="258"/>
        <v>1E-10</v>
      </c>
      <c r="AG181" s="117">
        <f t="shared" si="259"/>
        <v>2.5000000000000002E-10</v>
      </c>
      <c r="AH181" s="117">
        <f t="shared" si="260"/>
        <v>3E-10</v>
      </c>
      <c r="AI181" s="117">
        <f t="shared" si="261"/>
        <v>0</v>
      </c>
      <c r="AJ181" s="117">
        <f t="shared" si="262"/>
        <v>5.0000000000000003E-10</v>
      </c>
      <c r="AK181" s="117">
        <f t="shared" si="263"/>
        <v>6E-10</v>
      </c>
      <c r="AL181" s="117">
        <f t="shared" si="264"/>
        <v>6.9999999999999996E-10</v>
      </c>
      <c r="AM181" s="117">
        <f t="shared" si="265"/>
        <v>8.0000000000000003E-10</v>
      </c>
      <c r="AN181" s="117">
        <f t="shared" si="266"/>
        <v>8.9999999999999999E-10</v>
      </c>
      <c r="AO181" s="117">
        <f t="shared" si="267"/>
        <v>0</v>
      </c>
      <c r="AP181" s="139" t="b">
        <f t="shared" si="271"/>
        <v>0</v>
      </c>
      <c r="AQ181" s="139" t="b">
        <f t="shared" si="272"/>
        <v>0</v>
      </c>
      <c r="AR181" s="139" t="b">
        <f t="shared" si="273"/>
        <v>0</v>
      </c>
      <c r="AS181" s="139"/>
      <c r="AT181" s="139" t="b">
        <f t="shared" si="274"/>
        <v>1</v>
      </c>
      <c r="AU181" s="139" t="b">
        <f t="shared" si="275"/>
        <v>1</v>
      </c>
      <c r="AV181" s="139" t="b">
        <f t="shared" si="276"/>
        <v>1</v>
      </c>
      <c r="AW181" s="139" t="b">
        <f t="shared" si="277"/>
        <v>1</v>
      </c>
      <c r="AX181" s="139" t="b">
        <f t="shared" si="269"/>
        <v>1</v>
      </c>
      <c r="AY181" s="139" t="b">
        <f t="shared" si="270"/>
        <v>0</v>
      </c>
      <c r="AZ181" s="139" t="str">
        <f>'Reference Score Calculation'!AV158</f>
        <v>無</v>
      </c>
      <c r="BA181" s="93" t="str">
        <f>'Reference Score Calculation'!N158</f>
        <v>/</v>
      </c>
      <c r="BB181" s="93" t="str">
        <f>'Reference Score Calculation'!O158</f>
        <v>/</v>
      </c>
      <c r="BC181" s="93"/>
      <c r="BD181" s="93"/>
      <c r="BE181" s="93"/>
      <c r="BF181" s="93"/>
      <c r="BG181" s="93" t="s">
        <v>64</v>
      </c>
      <c r="BH181" s="93"/>
      <c r="BI181" s="93"/>
      <c r="BJ181" s="93"/>
      <c r="BK181" s="93"/>
      <c r="BL181" s="93"/>
      <c r="BM181" s="93"/>
      <c r="BN181" s="93"/>
      <c r="BO181" s="93"/>
      <c r="BP181" s="93"/>
      <c r="BQ181" s="93"/>
      <c r="BR181" s="93"/>
      <c r="BS181" s="184" t="s">
        <v>323</v>
      </c>
      <c r="BT181" s="139">
        <f>IF(OR(P1="化學",P1="物理",P1="經濟"),P6,0)</f>
        <v>0</v>
      </c>
      <c r="BU181" s="139">
        <f>IF(OR(Q1="化學",Q1="物理",Q1="經濟"),Q6,0)</f>
        <v>0</v>
      </c>
      <c r="BV181" s="139">
        <f>IF(OR(R1="化學",R1="物理",R1="經濟"),R6,0)</f>
        <v>0</v>
      </c>
      <c r="BW181" s="139">
        <f>IF(OR(S1="化學",S1="物理",S1="經濟"),S6,0)</f>
        <v>0</v>
      </c>
      <c r="BX181" s="139">
        <f>O6</f>
        <v>5.0000000000000003E-10</v>
      </c>
      <c r="BY181" s="185"/>
      <c r="BZ181" s="185"/>
      <c r="CA181" s="139" t="str">
        <f>IF(CB181&gt;0,INDEX(BT180:BX180,MATCH(LARGE(BT181:BX181,1),BT181:BX181,0)),"無")</f>
        <v>數學延伸</v>
      </c>
      <c r="CB181" s="139">
        <f>LARGE(BT181:BX181,1)</f>
        <v>5.0000000000000003E-10</v>
      </c>
      <c r="CC181" s="186"/>
      <c r="CD181" s="186"/>
      <c r="CE181" s="186"/>
      <c r="CF181" s="186"/>
      <c r="CG181" s="186"/>
      <c r="CH181" s="186"/>
      <c r="CI181" s="186"/>
      <c r="CJ181" s="186"/>
      <c r="CK181" s="186"/>
      <c r="CL181" s="186"/>
      <c r="CM181" s="186"/>
      <c r="CN181" s="186"/>
      <c r="CO181" s="186"/>
      <c r="CP181" s="186"/>
      <c r="CQ181" s="186"/>
      <c r="CR181" s="186"/>
      <c r="CS181" s="186"/>
    </row>
    <row r="182" spans="1:97">
      <c r="A182" s="139" t="s">
        <v>1201</v>
      </c>
      <c r="B182" s="183" t="str">
        <f>'Reference Score Calculation'!B159</f>
        <v>JS4202</v>
      </c>
      <c r="C182" s="183" t="str">
        <f>'Reference Score Calculation'!E159</f>
        <v>工商管理學士綜合課程</v>
      </c>
      <c r="D182" s="183"/>
      <c r="E182" s="183" t="str">
        <f>'Reference Score Calculation'!F159</f>
        <v>Best 5</v>
      </c>
      <c r="F182" s="93"/>
      <c r="G182" s="93" t="str">
        <f>入學要求!AB168</f>
        <v>v</v>
      </c>
      <c r="H182" s="93" t="str">
        <f>入學要求!AC168</f>
        <v>E</v>
      </c>
      <c r="I182" s="93" t="str">
        <f>入學要求!AD168</f>
        <v>NO</v>
      </c>
      <c r="J182" s="183">
        <f t="shared" si="288"/>
        <v>3.4999999999999999E-9</v>
      </c>
      <c r="K182" s="475">
        <v>1</v>
      </c>
      <c r="L182" s="475">
        <v>1</v>
      </c>
      <c r="M182" s="475">
        <v>1</v>
      </c>
      <c r="N182" s="475"/>
      <c r="O182" s="475">
        <v>1</v>
      </c>
      <c r="P182" s="475">
        <v>1</v>
      </c>
      <c r="Q182" s="475">
        <v>1</v>
      </c>
      <c r="R182" s="475">
        <v>1</v>
      </c>
      <c r="S182" s="475">
        <v>1</v>
      </c>
      <c r="T182" s="475">
        <v>1</v>
      </c>
      <c r="U182" s="435"/>
      <c r="V182" s="139">
        <f t="shared" si="279"/>
        <v>1E-10</v>
      </c>
      <c r="W182" s="139">
        <f t="shared" si="280"/>
        <v>2.0000000000000001E-10</v>
      </c>
      <c r="X182" s="139">
        <f t="shared" si="281"/>
        <v>3E-10</v>
      </c>
      <c r="Y182" s="139"/>
      <c r="Z182" s="139">
        <f t="shared" si="282"/>
        <v>5.0000000000000003E-10</v>
      </c>
      <c r="AA182" s="139">
        <f t="shared" si="283"/>
        <v>6E-10</v>
      </c>
      <c r="AB182" s="139">
        <f t="shared" si="284"/>
        <v>6.9999999999999996E-10</v>
      </c>
      <c r="AC182" s="139">
        <f t="shared" si="285"/>
        <v>8.0000000000000003E-10</v>
      </c>
      <c r="AD182" s="139">
        <f t="shared" si="286"/>
        <v>8.9999999999999999E-10</v>
      </c>
      <c r="AE182" s="139">
        <f t="shared" si="287"/>
        <v>0</v>
      </c>
      <c r="AF182" s="117">
        <f t="shared" si="258"/>
        <v>1E-10</v>
      </c>
      <c r="AG182" s="117">
        <f t="shared" si="259"/>
        <v>2.0000000000000001E-10</v>
      </c>
      <c r="AH182" s="117">
        <f t="shared" si="260"/>
        <v>3E-10</v>
      </c>
      <c r="AI182" s="117">
        <f t="shared" si="261"/>
        <v>0</v>
      </c>
      <c r="AJ182" s="117">
        <f t="shared" si="262"/>
        <v>5.0000000000000003E-10</v>
      </c>
      <c r="AK182" s="117">
        <f t="shared" si="263"/>
        <v>6E-10</v>
      </c>
      <c r="AL182" s="117">
        <f t="shared" si="264"/>
        <v>6.9999999999999996E-10</v>
      </c>
      <c r="AM182" s="117">
        <f t="shared" si="265"/>
        <v>8.0000000000000003E-10</v>
      </c>
      <c r="AN182" s="117">
        <f t="shared" si="266"/>
        <v>8.9999999999999999E-10</v>
      </c>
      <c r="AO182" s="117">
        <f t="shared" si="267"/>
        <v>0</v>
      </c>
      <c r="AP182" s="139" t="b">
        <f t="shared" si="271"/>
        <v>0</v>
      </c>
      <c r="AQ182" s="139" t="b">
        <f t="shared" si="272"/>
        <v>0</v>
      </c>
      <c r="AR182" s="139" t="b">
        <f t="shared" si="273"/>
        <v>0</v>
      </c>
      <c r="AS182" s="139"/>
      <c r="AT182" s="139" t="b">
        <f t="shared" si="274"/>
        <v>1</v>
      </c>
      <c r="AU182" s="139" t="b">
        <f t="shared" si="275"/>
        <v>1</v>
      </c>
      <c r="AV182" s="139" t="b">
        <f t="shared" si="276"/>
        <v>1</v>
      </c>
      <c r="AW182" s="139" t="b">
        <f t="shared" si="277"/>
        <v>1</v>
      </c>
      <c r="AX182" s="139" t="b">
        <f t="shared" si="269"/>
        <v>1</v>
      </c>
      <c r="AY182" s="139" t="b">
        <f t="shared" si="270"/>
        <v>0</v>
      </c>
      <c r="AZ182" s="139" t="str">
        <f>'Reference Score Calculation'!AV159</f>
        <v>5%或更少(全Cert)</v>
      </c>
      <c r="BA182" s="93" t="str">
        <f>'Reference Score Calculation'!N159</f>
        <v>/</v>
      </c>
      <c r="BB182" s="93" t="str">
        <f>'Reference Score Calculation'!O159</f>
        <v>/</v>
      </c>
      <c r="BC182" s="93"/>
      <c r="BD182" s="93"/>
      <c r="BE182" s="93"/>
      <c r="BF182" s="93"/>
      <c r="BG182" s="93" t="s">
        <v>64</v>
      </c>
      <c r="BH182" s="93"/>
      <c r="BI182" s="93"/>
      <c r="BJ182" s="93"/>
      <c r="BK182" s="93"/>
      <c r="BL182" s="93"/>
      <c r="BM182" s="93"/>
      <c r="BN182" s="93"/>
      <c r="BO182" s="93"/>
      <c r="BP182" s="93"/>
      <c r="BQ182" s="93"/>
      <c r="BR182" s="93"/>
      <c r="BS182" s="184"/>
      <c r="BT182" s="185"/>
      <c r="BU182" s="185"/>
      <c r="BV182" s="185"/>
      <c r="BW182" s="185"/>
      <c r="BX182" s="185"/>
      <c r="BY182" s="185"/>
      <c r="BZ182" s="185"/>
      <c r="CA182" s="185"/>
      <c r="CB182" s="186"/>
      <c r="CC182" s="186"/>
      <c r="CD182" s="186"/>
      <c r="CE182" s="186"/>
      <c r="CF182" s="186"/>
      <c r="CG182" s="186"/>
      <c r="CH182" s="186"/>
      <c r="CI182" s="186"/>
      <c r="CJ182" s="186"/>
      <c r="CK182" s="186"/>
      <c r="CL182" s="186"/>
      <c r="CM182" s="186"/>
      <c r="CN182" s="186"/>
      <c r="CO182" s="186"/>
      <c r="CP182" s="186"/>
      <c r="CQ182" s="186"/>
      <c r="CR182" s="186"/>
      <c r="CS182" s="186"/>
    </row>
    <row r="183" spans="1:97" s="142" customFormat="1">
      <c r="A183" s="139" t="s">
        <v>1204</v>
      </c>
      <c r="B183" s="183" t="str">
        <f>'Reference Score Calculation'!B160</f>
        <v>JS4214</v>
      </c>
      <c r="C183" s="183" t="str">
        <f>'Reference Score Calculation'!E160</f>
        <v>環球商業學</v>
      </c>
      <c r="D183" s="183"/>
      <c r="E183" s="183" t="str">
        <f>'Reference Score Calculation'!F160</f>
        <v>Best 5</v>
      </c>
      <c r="F183" s="93"/>
      <c r="G183" s="93" t="str">
        <f>入學要求!AB169</f>
        <v>v</v>
      </c>
      <c r="H183" s="93" t="str">
        <f>入學要求!AC169</f>
        <v>E</v>
      </c>
      <c r="I183" s="93" t="str">
        <f>入學要求!AD169</f>
        <v>NO</v>
      </c>
      <c r="J183" s="183">
        <f t="shared" si="288"/>
        <v>3.4999999999999999E-9</v>
      </c>
      <c r="K183" s="475">
        <v>1</v>
      </c>
      <c r="L183" s="475">
        <v>1</v>
      </c>
      <c r="M183" s="475">
        <v>1</v>
      </c>
      <c r="N183" s="475"/>
      <c r="O183" s="475">
        <v>1</v>
      </c>
      <c r="P183" s="475">
        <v>1</v>
      </c>
      <c r="Q183" s="475">
        <v>1</v>
      </c>
      <c r="R183" s="475">
        <v>1</v>
      </c>
      <c r="S183" s="475">
        <v>1</v>
      </c>
      <c r="T183" s="475">
        <v>1</v>
      </c>
      <c r="U183" s="435"/>
      <c r="V183" s="139">
        <f t="shared" si="279"/>
        <v>1E-10</v>
      </c>
      <c r="W183" s="139">
        <f t="shared" si="280"/>
        <v>2.0000000000000001E-10</v>
      </c>
      <c r="X183" s="139">
        <f t="shared" si="281"/>
        <v>3E-10</v>
      </c>
      <c r="Y183" s="139"/>
      <c r="Z183" s="139">
        <f t="shared" si="282"/>
        <v>5.0000000000000003E-10</v>
      </c>
      <c r="AA183" s="139">
        <f t="shared" si="283"/>
        <v>6E-10</v>
      </c>
      <c r="AB183" s="139">
        <f t="shared" si="284"/>
        <v>6.9999999999999996E-10</v>
      </c>
      <c r="AC183" s="139">
        <f t="shared" si="285"/>
        <v>8.0000000000000003E-10</v>
      </c>
      <c r="AD183" s="139">
        <f t="shared" si="286"/>
        <v>8.9999999999999999E-10</v>
      </c>
      <c r="AE183" s="139">
        <f t="shared" si="287"/>
        <v>0</v>
      </c>
      <c r="AF183" s="117">
        <f t="shared" si="258"/>
        <v>1E-10</v>
      </c>
      <c r="AG183" s="117">
        <f t="shared" si="259"/>
        <v>2.0000000000000001E-10</v>
      </c>
      <c r="AH183" s="117">
        <f t="shared" si="260"/>
        <v>3E-10</v>
      </c>
      <c r="AI183" s="117">
        <f t="shared" si="261"/>
        <v>0</v>
      </c>
      <c r="AJ183" s="117">
        <f t="shared" si="262"/>
        <v>5.0000000000000003E-10</v>
      </c>
      <c r="AK183" s="117">
        <f t="shared" si="263"/>
        <v>6E-10</v>
      </c>
      <c r="AL183" s="117">
        <f t="shared" si="264"/>
        <v>6.9999999999999996E-10</v>
      </c>
      <c r="AM183" s="117">
        <f t="shared" si="265"/>
        <v>8.0000000000000003E-10</v>
      </c>
      <c r="AN183" s="117">
        <f t="shared" si="266"/>
        <v>8.9999999999999999E-10</v>
      </c>
      <c r="AO183" s="117">
        <f t="shared" si="267"/>
        <v>0</v>
      </c>
      <c r="AP183" s="139" t="b">
        <f t="shared" si="271"/>
        <v>0</v>
      </c>
      <c r="AQ183" s="139" t="b">
        <f t="shared" si="272"/>
        <v>0</v>
      </c>
      <c r="AR183" s="139" t="b">
        <f t="shared" si="273"/>
        <v>0</v>
      </c>
      <c r="AS183" s="139"/>
      <c r="AT183" s="139" t="b">
        <f t="shared" si="274"/>
        <v>1</v>
      </c>
      <c r="AU183" s="139" t="b">
        <f t="shared" si="275"/>
        <v>1</v>
      </c>
      <c r="AV183" s="139" t="b">
        <f t="shared" si="276"/>
        <v>1</v>
      </c>
      <c r="AW183" s="139" t="b">
        <f t="shared" si="277"/>
        <v>1</v>
      </c>
      <c r="AX183" s="139" t="b">
        <f t="shared" si="269"/>
        <v>1</v>
      </c>
      <c r="AY183" s="139" t="b">
        <f t="shared" si="270"/>
        <v>0</v>
      </c>
      <c r="AZ183" s="139" t="str">
        <f>'Reference Score Calculation'!AV160</f>
        <v>5%或更少(全Cert)</v>
      </c>
      <c r="BA183" s="93" t="str">
        <f>'Reference Score Calculation'!N160</f>
        <v>/</v>
      </c>
      <c r="BB183" s="93" t="str">
        <f>'Reference Score Calculation'!O160</f>
        <v>/</v>
      </c>
      <c r="BC183" s="93"/>
      <c r="BD183" s="93"/>
      <c r="BE183" s="93"/>
      <c r="BF183" s="93"/>
      <c r="BG183" s="93" t="s">
        <v>64</v>
      </c>
      <c r="BH183" s="93"/>
      <c r="BI183" s="93"/>
      <c r="BJ183" s="93"/>
      <c r="BK183" s="93"/>
      <c r="BL183" s="93"/>
      <c r="BM183" s="93"/>
      <c r="BN183" s="93"/>
      <c r="BO183" s="93"/>
      <c r="BP183" s="93"/>
      <c r="BQ183" s="93"/>
      <c r="BR183" s="93"/>
      <c r="BS183" s="187"/>
      <c r="BT183" s="185" t="s">
        <v>2409</v>
      </c>
      <c r="BU183" s="185"/>
      <c r="BV183" s="185"/>
      <c r="BW183" s="185"/>
      <c r="BX183" s="185"/>
      <c r="BY183" s="185"/>
      <c r="BZ183" s="185"/>
      <c r="CA183" s="185"/>
      <c r="CB183" s="185"/>
      <c r="CC183" s="186"/>
      <c r="CD183" s="186"/>
      <c r="CE183" s="187"/>
      <c r="CF183" s="185" t="s">
        <v>3089</v>
      </c>
      <c r="CG183" s="185"/>
      <c r="CH183" s="185"/>
      <c r="CI183" s="185"/>
      <c r="CJ183" s="185"/>
      <c r="CK183" s="185"/>
      <c r="CL183" s="185"/>
      <c r="CM183" s="185"/>
      <c r="CN183" s="185"/>
      <c r="CO183" s="186"/>
      <c r="CP183" s="186"/>
      <c r="CQ183" s="186"/>
      <c r="CR183" s="186"/>
      <c r="CS183" s="186"/>
    </row>
    <row r="184" spans="1:97">
      <c r="A184" s="139" t="s">
        <v>1207</v>
      </c>
      <c r="B184" s="183" t="str">
        <f>'Reference Score Calculation'!B161</f>
        <v>JS4226</v>
      </c>
      <c r="C184" s="183" t="str">
        <f>'Reference Score Calculation'!E161</f>
        <v>酒店旅遊及房地產</v>
      </c>
      <c r="D184" s="183"/>
      <c r="E184" s="183" t="str">
        <f>'Reference Score Calculation'!F161</f>
        <v>Best 5</v>
      </c>
      <c r="F184" s="93"/>
      <c r="G184" s="93" t="str">
        <f>入學要求!AB170</f>
        <v>v</v>
      </c>
      <c r="H184" s="93" t="str">
        <f>入學要求!AC170</f>
        <v>E</v>
      </c>
      <c r="I184" s="93" t="str">
        <f>入學要求!AD170</f>
        <v>NO</v>
      </c>
      <c r="J184" s="183">
        <f t="shared" si="288"/>
        <v>3.4999999999999999E-9</v>
      </c>
      <c r="K184" s="475">
        <v>1</v>
      </c>
      <c r="L184" s="475">
        <v>1</v>
      </c>
      <c r="M184" s="475">
        <v>1</v>
      </c>
      <c r="N184" s="475"/>
      <c r="O184" s="475">
        <v>1</v>
      </c>
      <c r="P184" s="475">
        <v>1</v>
      </c>
      <c r="Q184" s="475">
        <v>1</v>
      </c>
      <c r="R184" s="475">
        <v>1</v>
      </c>
      <c r="S184" s="475">
        <v>1</v>
      </c>
      <c r="T184" s="475">
        <v>1</v>
      </c>
      <c r="U184" s="435"/>
      <c r="V184" s="139">
        <f t="shared" si="279"/>
        <v>1E-10</v>
      </c>
      <c r="W184" s="139">
        <f t="shared" si="280"/>
        <v>2.0000000000000001E-10</v>
      </c>
      <c r="X184" s="139">
        <f t="shared" si="281"/>
        <v>3E-10</v>
      </c>
      <c r="Y184" s="139"/>
      <c r="Z184" s="139">
        <f t="shared" si="282"/>
        <v>5.0000000000000003E-10</v>
      </c>
      <c r="AA184" s="139">
        <f t="shared" si="283"/>
        <v>6E-10</v>
      </c>
      <c r="AB184" s="139">
        <f t="shared" si="284"/>
        <v>6.9999999999999996E-10</v>
      </c>
      <c r="AC184" s="139">
        <f t="shared" si="285"/>
        <v>8.0000000000000003E-10</v>
      </c>
      <c r="AD184" s="139">
        <f t="shared" si="286"/>
        <v>8.9999999999999999E-10</v>
      </c>
      <c r="AE184" s="139">
        <f t="shared" si="287"/>
        <v>0</v>
      </c>
      <c r="AF184" s="117">
        <f t="shared" si="258"/>
        <v>1E-10</v>
      </c>
      <c r="AG184" s="117">
        <f t="shared" si="259"/>
        <v>2.0000000000000001E-10</v>
      </c>
      <c r="AH184" s="117">
        <f t="shared" si="260"/>
        <v>3E-10</v>
      </c>
      <c r="AI184" s="117">
        <f t="shared" si="261"/>
        <v>0</v>
      </c>
      <c r="AJ184" s="117">
        <f t="shared" si="262"/>
        <v>5.0000000000000003E-10</v>
      </c>
      <c r="AK184" s="117">
        <f t="shared" si="263"/>
        <v>6E-10</v>
      </c>
      <c r="AL184" s="117">
        <f t="shared" si="264"/>
        <v>6.9999999999999996E-10</v>
      </c>
      <c r="AM184" s="117">
        <f t="shared" si="265"/>
        <v>8.0000000000000003E-10</v>
      </c>
      <c r="AN184" s="117">
        <f t="shared" si="266"/>
        <v>8.9999999999999999E-10</v>
      </c>
      <c r="AO184" s="117">
        <f t="shared" si="267"/>
        <v>0</v>
      </c>
      <c r="AP184" s="139" t="b">
        <f t="shared" si="271"/>
        <v>0</v>
      </c>
      <c r="AQ184" s="139" t="b">
        <f t="shared" si="272"/>
        <v>0</v>
      </c>
      <c r="AR184" s="139" t="b">
        <f t="shared" si="273"/>
        <v>0</v>
      </c>
      <c r="AS184" s="139"/>
      <c r="AT184" s="139" t="b">
        <f t="shared" si="274"/>
        <v>1</v>
      </c>
      <c r="AU184" s="139" t="b">
        <f t="shared" si="275"/>
        <v>1</v>
      </c>
      <c r="AV184" s="139" t="b">
        <f t="shared" si="276"/>
        <v>1</v>
      </c>
      <c r="AW184" s="139" t="b">
        <f t="shared" si="277"/>
        <v>1</v>
      </c>
      <c r="AX184" s="139" t="b">
        <f t="shared" si="269"/>
        <v>1</v>
      </c>
      <c r="AY184" s="139" t="b">
        <f t="shared" si="270"/>
        <v>0</v>
      </c>
      <c r="AZ184" s="139" t="str">
        <f>'Reference Score Calculation'!AV161</f>
        <v>5%或更少(全Cert)</v>
      </c>
      <c r="BA184" s="93" t="str">
        <f>'Reference Score Calculation'!N161</f>
        <v>/</v>
      </c>
      <c r="BB184" s="93" t="str">
        <f>'Reference Score Calculation'!O161</f>
        <v>/</v>
      </c>
      <c r="BC184" s="93"/>
      <c r="BD184" s="93"/>
      <c r="BE184" s="93"/>
      <c r="BF184" s="93"/>
      <c r="BG184" s="93" t="s">
        <v>64</v>
      </c>
      <c r="BH184" s="93"/>
      <c r="BI184" s="93"/>
      <c r="BJ184" s="93"/>
      <c r="BK184" s="93"/>
      <c r="BL184" s="93"/>
      <c r="BM184" s="93"/>
      <c r="BN184" s="93"/>
      <c r="BO184" s="93"/>
      <c r="BP184" s="93"/>
      <c r="BQ184" s="93"/>
      <c r="BR184" s="93"/>
      <c r="BS184" s="187" t="s">
        <v>330</v>
      </c>
      <c r="BT184" s="185" t="str">
        <f>P1</f>
        <v>請選擇第一選修科</v>
      </c>
      <c r="BU184" s="185" t="str">
        <f>Q1</f>
        <v>請選擇第二選修科</v>
      </c>
      <c r="BV184" s="185" t="str">
        <f>R1</f>
        <v>請選擇第三選修科</v>
      </c>
      <c r="BW184" s="185" t="str">
        <f>S1</f>
        <v>請選擇第四選修科</v>
      </c>
      <c r="BX184" s="185"/>
      <c r="BY184" s="185"/>
      <c r="BZ184" s="185"/>
      <c r="CA184" s="185" t="s">
        <v>322</v>
      </c>
      <c r="CB184" s="185"/>
      <c r="CC184" s="186"/>
      <c r="CD184" s="186"/>
      <c r="CE184" s="187" t="s">
        <v>2064</v>
      </c>
      <c r="CF184" s="185" t="str">
        <f>P1</f>
        <v>請選擇第一選修科</v>
      </c>
      <c r="CG184" s="185" t="str">
        <f>Q1</f>
        <v>請選擇第二選修科</v>
      </c>
      <c r="CH184" s="185" t="str">
        <f>R1</f>
        <v>請選擇第三選修科</v>
      </c>
      <c r="CI184" s="185" t="str">
        <f>S1</f>
        <v>請選擇第四選修科</v>
      </c>
      <c r="CJ184" s="185"/>
      <c r="CK184" s="185"/>
      <c r="CL184" s="185"/>
      <c r="CM184" s="185" t="s">
        <v>322</v>
      </c>
      <c r="CN184" s="185"/>
      <c r="CO184" s="186"/>
      <c r="CP184" s="186"/>
      <c r="CQ184" s="186"/>
      <c r="CR184" s="186"/>
      <c r="CS184" s="186"/>
    </row>
    <row r="185" spans="1:97" s="142" customFormat="1">
      <c r="A185" s="139" t="s">
        <v>1210</v>
      </c>
      <c r="B185" s="183" t="str">
        <f>'Reference Score Calculation'!B162</f>
        <v>JS4238</v>
      </c>
      <c r="C185" s="183" t="str">
        <f>'Reference Score Calculation'!E162</f>
        <v>保險、金融與精算學</v>
      </c>
      <c r="D185" s="183"/>
      <c r="E185" s="183" t="str">
        <f>'Reference Score Calculation'!F162</f>
        <v>Best 5</v>
      </c>
      <c r="F185" s="93"/>
      <c r="G185" s="93" t="str">
        <f>入學要求!AB171</f>
        <v>v</v>
      </c>
      <c r="H185" s="93" t="str">
        <f>入學要求!AC171</f>
        <v>E</v>
      </c>
      <c r="I185" s="93" t="str">
        <f>入學要求!AD171</f>
        <v>NO</v>
      </c>
      <c r="J185" s="183">
        <f t="shared" si="288"/>
        <v>3.1000000000000005E-9</v>
      </c>
      <c r="K185" s="475">
        <v>1</v>
      </c>
      <c r="L185" s="475">
        <v>1</v>
      </c>
      <c r="M185" s="475">
        <v>1</v>
      </c>
      <c r="N185" s="475"/>
      <c r="O185" s="475">
        <v>1</v>
      </c>
      <c r="P185" s="475">
        <v>1</v>
      </c>
      <c r="Q185" s="475">
        <v>1</v>
      </c>
      <c r="R185" s="475">
        <v>1</v>
      </c>
      <c r="S185" s="475">
        <v>1</v>
      </c>
      <c r="T185" s="475">
        <v>1</v>
      </c>
      <c r="U185" s="435"/>
      <c r="V185" s="139">
        <f t="shared" si="279"/>
        <v>1E-10</v>
      </c>
      <c r="W185" s="139">
        <f t="shared" si="280"/>
        <v>2.0000000000000001E-10</v>
      </c>
      <c r="X185" s="139">
        <f t="shared" si="281"/>
        <v>3E-10</v>
      </c>
      <c r="Y185" s="139"/>
      <c r="Z185" s="139">
        <f t="shared" si="282"/>
        <v>5.0000000000000003E-10</v>
      </c>
      <c r="AA185" s="139">
        <f t="shared" si="283"/>
        <v>6E-10</v>
      </c>
      <c r="AB185" s="139">
        <f t="shared" si="284"/>
        <v>6.9999999999999996E-10</v>
      </c>
      <c r="AC185" s="139">
        <f t="shared" si="285"/>
        <v>8.0000000000000003E-10</v>
      </c>
      <c r="AD185" s="139">
        <f t="shared" si="286"/>
        <v>8.9999999999999999E-10</v>
      </c>
      <c r="AE185" s="139">
        <f t="shared" si="287"/>
        <v>0</v>
      </c>
      <c r="AF185" s="117">
        <f t="shared" si="258"/>
        <v>1E-10</v>
      </c>
      <c r="AG185" s="117">
        <f t="shared" si="259"/>
        <v>99.000000000200004</v>
      </c>
      <c r="AH185" s="117">
        <f t="shared" si="260"/>
        <v>3E-10</v>
      </c>
      <c r="AI185" s="117">
        <f t="shared" si="261"/>
        <v>0</v>
      </c>
      <c r="AJ185" s="117">
        <f t="shared" si="262"/>
        <v>99.000000000499995</v>
      </c>
      <c r="AK185" s="117">
        <f t="shared" si="263"/>
        <v>6E-10</v>
      </c>
      <c r="AL185" s="117">
        <f t="shared" si="264"/>
        <v>99.000000000699998</v>
      </c>
      <c r="AM185" s="117">
        <f t="shared" si="265"/>
        <v>99.0000000008</v>
      </c>
      <c r="AN185" s="117">
        <f t="shared" si="266"/>
        <v>99.000000000900002</v>
      </c>
      <c r="AO185" s="117">
        <f t="shared" si="267"/>
        <v>0</v>
      </c>
      <c r="AP185" s="139" t="b">
        <f t="shared" si="271"/>
        <v>0</v>
      </c>
      <c r="AQ185" s="139" t="b">
        <f t="shared" si="272"/>
        <v>1</v>
      </c>
      <c r="AR185" s="139" t="b">
        <f t="shared" si="273"/>
        <v>0</v>
      </c>
      <c r="AS185" s="139"/>
      <c r="AT185" s="139" t="b">
        <f t="shared" si="274"/>
        <v>1</v>
      </c>
      <c r="AU185" s="139" t="b">
        <f t="shared" si="275"/>
        <v>0</v>
      </c>
      <c r="AV185" s="139" t="b">
        <f t="shared" si="276"/>
        <v>1</v>
      </c>
      <c r="AW185" s="139" t="b">
        <f t="shared" si="277"/>
        <v>1</v>
      </c>
      <c r="AX185" s="139" t="b">
        <f t="shared" si="269"/>
        <v>1</v>
      </c>
      <c r="AY185" s="139" t="b">
        <f t="shared" si="270"/>
        <v>0</v>
      </c>
      <c r="AZ185" s="139" t="str">
        <f>'Reference Score Calculation'!AV162</f>
        <v>6%-10%(全Cert)</v>
      </c>
      <c r="BA185" s="93" t="str">
        <f>'Reference Score Calculation'!N162</f>
        <v>最佳五科必須包括︰英文 及 [數學 和 M1/2] 其中最佳一科</v>
      </c>
      <c r="BB185" s="93" t="str">
        <f>'Reference Score Calculation'!O162</f>
        <v>若數學科只考獲Lv.4或以下，M1/2需考獲Lv.5</v>
      </c>
      <c r="BC185" s="93"/>
      <c r="BD185" s="93"/>
      <c r="BE185" s="93"/>
      <c r="BF185" s="93"/>
      <c r="BG185" s="93" t="s">
        <v>64</v>
      </c>
      <c r="BH185" s="93" t="b">
        <f>BT176</f>
        <v>0</v>
      </c>
      <c r="BI185" s="93" t="b">
        <f t="shared" ref="BI185:BQ185" si="289">BU176</f>
        <v>1</v>
      </c>
      <c r="BJ185" s="93" t="b">
        <f t="shared" si="289"/>
        <v>0</v>
      </c>
      <c r="BK185" s="93" t="b">
        <f t="shared" si="289"/>
        <v>0</v>
      </c>
      <c r="BL185" s="93" t="b">
        <f t="shared" si="289"/>
        <v>1</v>
      </c>
      <c r="BM185" s="93" t="b">
        <f t="shared" si="289"/>
        <v>0</v>
      </c>
      <c r="BN185" s="93" t="b">
        <f t="shared" si="289"/>
        <v>1</v>
      </c>
      <c r="BO185" s="93" t="b">
        <f t="shared" si="289"/>
        <v>1</v>
      </c>
      <c r="BP185" s="93" t="b">
        <f t="shared" si="289"/>
        <v>1</v>
      </c>
      <c r="BQ185" s="93" t="b">
        <f t="shared" si="289"/>
        <v>0</v>
      </c>
      <c r="BR185" s="93"/>
      <c r="BS185" s="184"/>
      <c r="BT185" s="139">
        <f>IF(OR(P1="資訊及通訊科技",P1="物理",P1="經濟"),P6,0)</f>
        <v>0</v>
      </c>
      <c r="BU185" s="139">
        <f>IF(OR(Q1="資訊及通訊科技",Q1="物理",Q1="經濟"),Q6,0)</f>
        <v>0</v>
      </c>
      <c r="BV185" s="139">
        <f>IF(OR(R1="資訊及通訊科技",R1="物理",R1="經濟"),R6,0)</f>
        <v>0</v>
      </c>
      <c r="BW185" s="139">
        <f>IF(OR(S1="資訊及通訊科技",S1="物理",S1="經濟"),S6,0)</f>
        <v>0</v>
      </c>
      <c r="BX185" s="185"/>
      <c r="BY185" s="185"/>
      <c r="BZ185" s="185"/>
      <c r="CA185" s="139" t="str">
        <f>IF(CB185&gt;0,INDEX(BT184:BW184,MATCH(LARGE(BT185:BW185,1),BT185:BW185,0)),"無")</f>
        <v>無</v>
      </c>
      <c r="CB185" s="139">
        <f>LARGE(BT185:BW185,1)</f>
        <v>0</v>
      </c>
      <c r="CC185" s="186"/>
      <c r="CD185" s="186"/>
      <c r="CE185" s="184"/>
      <c r="CF185" s="139">
        <f>IF(OR(P1="資訊及通訊科技",P1="物理",P1="經濟",P1="企業、會計與財務概論"),P6,0)</f>
        <v>0</v>
      </c>
      <c r="CG185" s="139">
        <f>IF(OR(Q1="資訊及通訊科技",Q1="物理",Q1="經濟",Q1="企業、會計與財務概論"),Q6,0)</f>
        <v>0</v>
      </c>
      <c r="CH185" s="139">
        <f>IF(OR(R1="資訊及通訊科技",R1="物理",R1="經濟",R1="企業、會計與財務概論"),R6,0)</f>
        <v>0</v>
      </c>
      <c r="CI185" s="139">
        <f>IF(OR(S1="資訊及通訊科技",S1="物理",S1="經濟",S1="企業、會計與財務概論"),S6,0)</f>
        <v>0</v>
      </c>
      <c r="CJ185" s="185"/>
      <c r="CK185" s="185"/>
      <c r="CL185" s="185"/>
      <c r="CM185" s="139" t="str">
        <f>IF(CN185&gt;0,INDEX(CF184:CI184,MATCH(LARGE(CF185:CI185,1),CF185:CI185,0)),"無")</f>
        <v>無</v>
      </c>
      <c r="CN185" s="139">
        <f>LARGE(CF185:CI185,1)</f>
        <v>0</v>
      </c>
      <c r="CO185" s="186"/>
      <c r="CP185" s="186"/>
      <c r="CQ185" s="186"/>
      <c r="CR185" s="186"/>
      <c r="CS185" s="186"/>
    </row>
    <row r="186" spans="1:97" s="142" customFormat="1">
      <c r="A186" s="139" t="s">
        <v>1215</v>
      </c>
      <c r="B186" s="183" t="str">
        <f>'Reference Score Calculation'!B163</f>
        <v>JS4240</v>
      </c>
      <c r="C186" s="183" t="str">
        <f>'Reference Score Calculation'!E163</f>
        <v>專業會計學</v>
      </c>
      <c r="D186" s="183"/>
      <c r="E186" s="183" t="str">
        <f>'Reference Score Calculation'!F163</f>
        <v>Best 5</v>
      </c>
      <c r="F186" s="93"/>
      <c r="G186" s="93" t="str">
        <f>入學要求!AB172</f>
        <v>v</v>
      </c>
      <c r="H186" s="93" t="str">
        <f>入學要求!AC172</f>
        <v>E</v>
      </c>
      <c r="I186" s="93" t="str">
        <f>入學要求!AD172</f>
        <v>NO</v>
      </c>
      <c r="J186" s="183">
        <f t="shared" si="288"/>
        <v>3.4999999999999999E-9</v>
      </c>
      <c r="K186" s="475">
        <v>1</v>
      </c>
      <c r="L186" s="475">
        <v>1</v>
      </c>
      <c r="M186" s="475">
        <v>1</v>
      </c>
      <c r="N186" s="475"/>
      <c r="O186" s="475">
        <v>1</v>
      </c>
      <c r="P186" s="475">
        <v>1</v>
      </c>
      <c r="Q186" s="475">
        <v>1</v>
      </c>
      <c r="R186" s="475">
        <v>1</v>
      </c>
      <c r="S186" s="475">
        <v>1</v>
      </c>
      <c r="T186" s="475">
        <v>1</v>
      </c>
      <c r="U186" s="435"/>
      <c r="V186" s="139">
        <f t="shared" si="279"/>
        <v>1E-10</v>
      </c>
      <c r="W186" s="139">
        <f t="shared" si="280"/>
        <v>2.0000000000000001E-10</v>
      </c>
      <c r="X186" s="139">
        <f t="shared" si="281"/>
        <v>3E-10</v>
      </c>
      <c r="Y186" s="139"/>
      <c r="Z186" s="139">
        <f t="shared" si="282"/>
        <v>5.0000000000000003E-10</v>
      </c>
      <c r="AA186" s="139">
        <f t="shared" si="283"/>
        <v>6E-10</v>
      </c>
      <c r="AB186" s="139">
        <f t="shared" si="284"/>
        <v>6.9999999999999996E-10</v>
      </c>
      <c r="AC186" s="139">
        <f t="shared" si="285"/>
        <v>8.0000000000000003E-10</v>
      </c>
      <c r="AD186" s="139">
        <f t="shared" si="286"/>
        <v>8.9999999999999999E-10</v>
      </c>
      <c r="AE186" s="139">
        <f t="shared" si="287"/>
        <v>0</v>
      </c>
      <c r="AF186" s="117">
        <f t="shared" si="258"/>
        <v>1E-10</v>
      </c>
      <c r="AG186" s="117">
        <f t="shared" si="259"/>
        <v>2.0000000000000001E-10</v>
      </c>
      <c r="AH186" s="117">
        <f t="shared" si="260"/>
        <v>3E-10</v>
      </c>
      <c r="AI186" s="117">
        <f t="shared" si="261"/>
        <v>0</v>
      </c>
      <c r="AJ186" s="117">
        <f t="shared" si="262"/>
        <v>5.0000000000000003E-10</v>
      </c>
      <c r="AK186" s="117">
        <f t="shared" si="263"/>
        <v>6E-10</v>
      </c>
      <c r="AL186" s="117">
        <f t="shared" si="264"/>
        <v>6.9999999999999996E-10</v>
      </c>
      <c r="AM186" s="117">
        <f t="shared" si="265"/>
        <v>8.0000000000000003E-10</v>
      </c>
      <c r="AN186" s="117">
        <f t="shared" si="266"/>
        <v>8.9999999999999999E-10</v>
      </c>
      <c r="AO186" s="117">
        <f t="shared" si="267"/>
        <v>0</v>
      </c>
      <c r="AP186" s="139" t="b">
        <f t="shared" si="271"/>
        <v>0</v>
      </c>
      <c r="AQ186" s="139" t="b">
        <f t="shared" si="272"/>
        <v>0</v>
      </c>
      <c r="AR186" s="139" t="b">
        <f t="shared" si="273"/>
        <v>0</v>
      </c>
      <c r="AS186" s="139"/>
      <c r="AT186" s="139" t="b">
        <f t="shared" si="274"/>
        <v>1</v>
      </c>
      <c r="AU186" s="139" t="b">
        <f t="shared" si="275"/>
        <v>1</v>
      </c>
      <c r="AV186" s="139" t="b">
        <f t="shared" si="276"/>
        <v>1</v>
      </c>
      <c r="AW186" s="139" t="b">
        <f t="shared" si="277"/>
        <v>1</v>
      </c>
      <c r="AX186" s="139" t="b">
        <f t="shared" si="269"/>
        <v>1</v>
      </c>
      <c r="AY186" s="139" t="b">
        <f t="shared" si="270"/>
        <v>0</v>
      </c>
      <c r="AZ186" s="139" t="str">
        <f>'Reference Score Calculation'!AV163</f>
        <v>5%或更少(全Cert)</v>
      </c>
      <c r="BA186" s="93" t="str">
        <f>'Reference Score Calculation'!N163</f>
        <v>/</v>
      </c>
      <c r="BB186" s="93" t="str">
        <f>'Reference Score Calculation'!O163</f>
        <v>/</v>
      </c>
      <c r="BC186" s="93"/>
      <c r="BD186" s="93"/>
      <c r="BE186" s="93"/>
      <c r="BF186" s="93"/>
      <c r="BG186" s="93" t="s">
        <v>64</v>
      </c>
      <c r="BH186" s="93"/>
      <c r="BI186" s="93"/>
      <c r="BJ186" s="93"/>
      <c r="BK186" s="93"/>
      <c r="BL186" s="93"/>
      <c r="BM186" s="93"/>
      <c r="BN186" s="93"/>
      <c r="BO186" s="93"/>
      <c r="BP186" s="93"/>
      <c r="BQ186" s="93"/>
      <c r="BR186" s="93"/>
      <c r="BS186" s="184"/>
      <c r="BT186" s="185"/>
      <c r="BU186" s="185"/>
      <c r="BV186" s="185"/>
      <c r="BW186" s="185"/>
      <c r="BX186" s="185"/>
      <c r="BY186" s="185"/>
      <c r="BZ186" s="185"/>
      <c r="CA186" s="185"/>
      <c r="CB186" s="186"/>
      <c r="CC186" s="186"/>
      <c r="CD186" s="186"/>
      <c r="CE186" s="184"/>
      <c r="CF186" s="185"/>
      <c r="CG186" s="185"/>
      <c r="CH186" s="185"/>
      <c r="CI186" s="185"/>
      <c r="CJ186" s="185"/>
      <c r="CK186" s="185"/>
      <c r="CL186" s="185"/>
      <c r="CM186" s="185"/>
      <c r="CN186" s="186"/>
      <c r="CO186" s="186"/>
      <c r="CP186" s="186"/>
      <c r="CQ186" s="186"/>
      <c r="CR186" s="186"/>
      <c r="CS186" s="186"/>
    </row>
    <row r="187" spans="1:97" s="142" customFormat="1">
      <c r="A187" s="139" t="s">
        <v>1218</v>
      </c>
      <c r="B187" s="183" t="str">
        <f>'Reference Score Calculation'!B164</f>
        <v>JS4252</v>
      </c>
      <c r="C187" s="183" t="str">
        <f>'Reference Score Calculation'!E164</f>
        <v>計量金融學</v>
      </c>
      <c r="D187" s="183"/>
      <c r="E187" s="183" t="str">
        <f>'Reference Score Calculation'!F164</f>
        <v>Best 5</v>
      </c>
      <c r="F187" s="93"/>
      <c r="G187" s="93" t="str">
        <f>入學要求!AB173</f>
        <v>v</v>
      </c>
      <c r="H187" s="93" t="str">
        <f>入學要求!AC173</f>
        <v>E</v>
      </c>
      <c r="I187" s="93" t="str">
        <f>入學要求!AD173</f>
        <v>NO</v>
      </c>
      <c r="J187" s="183">
        <f t="shared" si="288"/>
        <v>3.1500000000000001E-9</v>
      </c>
      <c r="K187" s="475">
        <v>1</v>
      </c>
      <c r="L187" s="475">
        <v>2</v>
      </c>
      <c r="M187" s="475">
        <v>2</v>
      </c>
      <c r="N187" s="475"/>
      <c r="O187" s="475">
        <f>IF(O$1=$CA$181,1.5,1)</f>
        <v>1.5</v>
      </c>
      <c r="P187" s="475">
        <f>IF(P$1=$CA$181,1.5,1)</f>
        <v>1</v>
      </c>
      <c r="Q187" s="475">
        <f>IF(Q$1=$CA$181,1.5,1)</f>
        <v>1</v>
      </c>
      <c r="R187" s="475">
        <f>IF(R$1=$CA$181,1.5,1)</f>
        <v>1</v>
      </c>
      <c r="S187" s="475">
        <f>IF(S$1=$CA$181,1.5,1)</f>
        <v>1</v>
      </c>
      <c r="T187" s="475">
        <v>1</v>
      </c>
      <c r="U187" s="93"/>
      <c r="V187" s="139">
        <f t="shared" si="279"/>
        <v>1E-10</v>
      </c>
      <c r="W187" s="139">
        <f t="shared" si="280"/>
        <v>4.0000000000000001E-10</v>
      </c>
      <c r="X187" s="139">
        <f t="shared" si="281"/>
        <v>6E-10</v>
      </c>
      <c r="Y187" s="139"/>
      <c r="Z187" s="139">
        <f t="shared" si="282"/>
        <v>7.500000000000001E-10</v>
      </c>
      <c r="AA187" s="139">
        <f t="shared" si="283"/>
        <v>6E-10</v>
      </c>
      <c r="AB187" s="139">
        <f t="shared" si="284"/>
        <v>6.9999999999999996E-10</v>
      </c>
      <c r="AC187" s="139">
        <f t="shared" si="285"/>
        <v>8.0000000000000003E-10</v>
      </c>
      <c r="AD187" s="139">
        <f t="shared" si="286"/>
        <v>8.9999999999999999E-10</v>
      </c>
      <c r="AE187" s="139">
        <f t="shared" si="287"/>
        <v>0</v>
      </c>
      <c r="AF187" s="117">
        <f t="shared" si="258"/>
        <v>1E-10</v>
      </c>
      <c r="AG187" s="117">
        <f t="shared" si="259"/>
        <v>4.0000000000000001E-10</v>
      </c>
      <c r="AH187" s="117">
        <f t="shared" si="260"/>
        <v>6E-10</v>
      </c>
      <c r="AI187" s="117">
        <f t="shared" si="261"/>
        <v>0</v>
      </c>
      <c r="AJ187" s="117">
        <f t="shared" si="262"/>
        <v>7.500000000000001E-10</v>
      </c>
      <c r="AK187" s="117">
        <f t="shared" si="263"/>
        <v>6E-10</v>
      </c>
      <c r="AL187" s="117">
        <f t="shared" si="264"/>
        <v>6.9999999999999996E-10</v>
      </c>
      <c r="AM187" s="117">
        <f t="shared" si="265"/>
        <v>8.0000000000000003E-10</v>
      </c>
      <c r="AN187" s="117">
        <f t="shared" si="266"/>
        <v>8.9999999999999999E-10</v>
      </c>
      <c r="AO187" s="117">
        <f t="shared" si="267"/>
        <v>0</v>
      </c>
      <c r="AP187" s="139" t="b">
        <f t="shared" si="271"/>
        <v>0</v>
      </c>
      <c r="AQ187" s="139" t="b">
        <f t="shared" si="272"/>
        <v>0</v>
      </c>
      <c r="AR187" s="139" t="b">
        <f t="shared" si="273"/>
        <v>0</v>
      </c>
      <c r="AS187" s="139"/>
      <c r="AT187" s="139" t="b">
        <f t="shared" si="274"/>
        <v>1</v>
      </c>
      <c r="AU187" s="139" t="b">
        <f t="shared" si="275"/>
        <v>0</v>
      </c>
      <c r="AV187" s="139" t="b">
        <f t="shared" si="276"/>
        <v>1</v>
      </c>
      <c r="AW187" s="139" t="b">
        <f t="shared" si="277"/>
        <v>1</v>
      </c>
      <c r="AX187" s="139" t="b">
        <f t="shared" si="269"/>
        <v>1</v>
      </c>
      <c r="AY187" s="139" t="b">
        <f t="shared" si="270"/>
        <v>0</v>
      </c>
      <c r="AZ187" s="139" t="str">
        <f>'Reference Score Calculation'!AV164</f>
        <v>5%或更少(全Cert)</v>
      </c>
      <c r="BA187" s="93" t="str">
        <f>'Reference Score Calculation'!N164</f>
        <v>/</v>
      </c>
      <c r="BB187" s="93" t="str">
        <f>'Reference Score Calculation'!O164</f>
        <v>/</v>
      </c>
      <c r="BC187" s="93"/>
      <c r="BD187" s="93"/>
      <c r="BE187" s="93"/>
      <c r="BF187" s="93"/>
      <c r="BG187" s="93" t="s">
        <v>64</v>
      </c>
      <c r="BH187" s="93"/>
      <c r="BI187" s="93"/>
      <c r="BJ187" s="93"/>
      <c r="BK187" s="93"/>
      <c r="BL187" s="93"/>
      <c r="BM187" s="93"/>
      <c r="BN187" s="93"/>
      <c r="BO187" s="93"/>
      <c r="BP187" s="93"/>
      <c r="BQ187" s="93"/>
      <c r="BR187" s="93"/>
      <c r="BS187" s="184"/>
      <c r="BT187" s="185"/>
      <c r="BU187" s="185"/>
      <c r="BV187" s="185"/>
      <c r="BW187" s="185"/>
      <c r="BX187" s="185"/>
      <c r="BY187" s="185"/>
      <c r="BZ187" s="185"/>
      <c r="CA187" s="185"/>
      <c r="CB187" s="186"/>
      <c r="CC187" s="186"/>
      <c r="CD187" s="186"/>
      <c r="CE187" s="186"/>
      <c r="CF187" s="186"/>
      <c r="CG187" s="186"/>
      <c r="CH187" s="186"/>
      <c r="CI187" s="186"/>
      <c r="CJ187" s="186"/>
      <c r="CK187" s="186"/>
      <c r="CL187" s="186"/>
      <c r="CM187" s="186"/>
      <c r="CN187" s="186"/>
      <c r="CO187" s="186"/>
      <c r="CP187" s="186"/>
      <c r="CQ187" s="186"/>
      <c r="CR187" s="186"/>
      <c r="CS187" s="186"/>
    </row>
    <row r="188" spans="1:97">
      <c r="A188" s="139" t="s">
        <v>1221</v>
      </c>
      <c r="B188" s="183" t="str">
        <f>'Reference Score Calculation'!B165</f>
        <v>JS4254</v>
      </c>
      <c r="C188" s="183" t="str">
        <f>'Reference Score Calculation'!E165</f>
        <v>環球經濟與金融跨學科主修課程</v>
      </c>
      <c r="D188" s="183"/>
      <c r="E188" s="183" t="str">
        <f>'Reference Score Calculation'!F165</f>
        <v>Best 5</v>
      </c>
      <c r="F188" s="93"/>
      <c r="G188" s="93" t="str">
        <f>入學要求!AB174</f>
        <v>v</v>
      </c>
      <c r="H188" s="93" t="str">
        <f>入學要求!AC174</f>
        <v>E</v>
      </c>
      <c r="I188" s="93" t="str">
        <f>入學要求!AD174</f>
        <v>NO</v>
      </c>
      <c r="J188" s="183">
        <f t="shared" si="288"/>
        <v>3.1999999999999997E-9</v>
      </c>
      <c r="K188" s="475">
        <v>1</v>
      </c>
      <c r="L188" s="475">
        <v>1</v>
      </c>
      <c r="M188" s="475">
        <v>1</v>
      </c>
      <c r="N188" s="475"/>
      <c r="O188" s="475">
        <v>1</v>
      </c>
      <c r="P188" s="475">
        <v>1</v>
      </c>
      <c r="Q188" s="475">
        <v>1</v>
      </c>
      <c r="R188" s="475">
        <v>1</v>
      </c>
      <c r="S188" s="475">
        <v>1</v>
      </c>
      <c r="T188" s="475">
        <v>1</v>
      </c>
      <c r="U188" s="93"/>
      <c r="V188" s="139">
        <f t="shared" si="279"/>
        <v>1E-10</v>
      </c>
      <c r="W188" s="139">
        <f t="shared" si="280"/>
        <v>2.0000000000000001E-10</v>
      </c>
      <c r="X188" s="139">
        <f t="shared" si="281"/>
        <v>3E-10</v>
      </c>
      <c r="Y188" s="139"/>
      <c r="Z188" s="139">
        <f t="shared" si="282"/>
        <v>5.0000000000000003E-10</v>
      </c>
      <c r="AA188" s="139">
        <f t="shared" si="283"/>
        <v>6E-10</v>
      </c>
      <c r="AB188" s="139">
        <f t="shared" si="284"/>
        <v>6.9999999999999996E-10</v>
      </c>
      <c r="AC188" s="139">
        <f t="shared" si="285"/>
        <v>8.0000000000000003E-10</v>
      </c>
      <c r="AD188" s="139">
        <f t="shared" si="286"/>
        <v>8.9999999999999999E-10</v>
      </c>
      <c r="AE188" s="139">
        <f t="shared" si="287"/>
        <v>0</v>
      </c>
      <c r="AF188" s="117">
        <f t="shared" si="258"/>
        <v>1E-10</v>
      </c>
      <c r="AG188" s="117">
        <f t="shared" si="259"/>
        <v>99.000000000200004</v>
      </c>
      <c r="AH188" s="117">
        <f t="shared" si="260"/>
        <v>3E-10</v>
      </c>
      <c r="AI188" s="117">
        <f t="shared" si="261"/>
        <v>0</v>
      </c>
      <c r="AJ188" s="117">
        <f t="shared" si="262"/>
        <v>5.0000000000000003E-10</v>
      </c>
      <c r="AK188" s="117">
        <f t="shared" si="263"/>
        <v>6E-10</v>
      </c>
      <c r="AL188" s="117">
        <f t="shared" si="264"/>
        <v>6.9999999999999996E-10</v>
      </c>
      <c r="AM188" s="117">
        <f t="shared" si="265"/>
        <v>8.0000000000000003E-10</v>
      </c>
      <c r="AN188" s="117">
        <f t="shared" si="266"/>
        <v>8.9999999999999999E-10</v>
      </c>
      <c r="AO188" s="117">
        <f t="shared" si="267"/>
        <v>0</v>
      </c>
      <c r="AP188" s="139" t="b">
        <f t="shared" si="271"/>
        <v>0</v>
      </c>
      <c r="AQ188" s="139" t="b">
        <f t="shared" si="272"/>
        <v>1</v>
      </c>
      <c r="AR188" s="139" t="b">
        <f t="shared" si="273"/>
        <v>0</v>
      </c>
      <c r="AS188" s="139"/>
      <c r="AT188" s="139" t="b">
        <f t="shared" si="274"/>
        <v>0</v>
      </c>
      <c r="AU188" s="139" t="b">
        <f t="shared" si="275"/>
        <v>1</v>
      </c>
      <c r="AV188" s="139" t="b">
        <f t="shared" si="276"/>
        <v>1</v>
      </c>
      <c r="AW188" s="139" t="b">
        <f t="shared" si="277"/>
        <v>1</v>
      </c>
      <c r="AX188" s="139" t="b">
        <f t="shared" si="269"/>
        <v>1</v>
      </c>
      <c r="AY188" s="139" t="b">
        <f t="shared" si="270"/>
        <v>0</v>
      </c>
      <c r="AZ188" s="139" t="str">
        <f>'Reference Score Calculation'!AV165</f>
        <v>無</v>
      </c>
      <c r="BA188" s="93" t="str">
        <f>'Reference Score Calculation'!N165</f>
        <v>最佳五科必須包括︰英文</v>
      </c>
      <c r="BB188" s="93" t="str">
        <f>'Reference Score Calculation'!O165</f>
        <v>優先考慮 數學 考獲Lv.4或以上者</v>
      </c>
      <c r="BC188" s="93"/>
      <c r="BD188" s="93"/>
      <c r="BE188" s="93"/>
      <c r="BF188" s="93"/>
      <c r="BG188" s="93" t="s">
        <v>64</v>
      </c>
      <c r="BH188" s="93"/>
      <c r="BI188" s="93" t="b">
        <v>1</v>
      </c>
      <c r="BJ188" s="93"/>
      <c r="BK188" s="93"/>
      <c r="BL188" s="93"/>
      <c r="BM188" s="93"/>
      <c r="BN188" s="93"/>
      <c r="BO188" s="93"/>
      <c r="BP188" s="93"/>
      <c r="BQ188" s="93"/>
      <c r="BR188" s="93"/>
      <c r="BS188" s="184" t="s">
        <v>1292</v>
      </c>
      <c r="BT188" s="184" t="s">
        <v>3085</v>
      </c>
      <c r="BU188" s="184"/>
      <c r="BV188" s="184"/>
      <c r="BW188" s="184"/>
      <c r="BX188" s="184"/>
      <c r="BY188" s="184"/>
      <c r="BZ188" s="184"/>
      <c r="CA188" s="184"/>
      <c r="CB188" s="184"/>
      <c r="CC188" s="184"/>
      <c r="CD188" s="186"/>
      <c r="CE188" s="186"/>
      <c r="CF188" s="186"/>
      <c r="CG188" s="186"/>
      <c r="CH188" s="186"/>
      <c r="CI188" s="186"/>
      <c r="CJ188" s="186"/>
      <c r="CK188" s="186"/>
      <c r="CL188" s="186"/>
      <c r="CM188" s="186"/>
      <c r="CN188" s="186"/>
      <c r="CO188" s="186"/>
      <c r="CP188" s="186"/>
      <c r="CQ188" s="186"/>
      <c r="CR188" s="186"/>
      <c r="CS188" s="186"/>
    </row>
    <row r="189" spans="1:97">
      <c r="A189" s="139" t="s">
        <v>1225</v>
      </c>
      <c r="B189" s="183" t="str">
        <f>'Reference Score Calculation'!B166</f>
        <v>JS4264</v>
      </c>
      <c r="C189" s="183" t="str">
        <f>'Reference Score Calculation'!E166</f>
        <v>工商管理學士（工商管理學士綜合課程）及法律博士雙學位課程</v>
      </c>
      <c r="D189" s="183"/>
      <c r="E189" s="183" t="str">
        <f>'Reference Score Calculation'!F166</f>
        <v>3C2X</v>
      </c>
      <c r="F189" s="93"/>
      <c r="G189" s="93" t="str">
        <f>入學要求!AB175</f>
        <v>v</v>
      </c>
      <c r="H189" s="93" t="str">
        <f>入學要求!AC175</f>
        <v>E</v>
      </c>
      <c r="I189" s="93" t="str">
        <f>入學要求!AD175</f>
        <v>NO</v>
      </c>
      <c r="J189" s="183">
        <f t="shared" si="288"/>
        <v>2.5499999999999997E-9</v>
      </c>
      <c r="K189" s="475">
        <v>1.5</v>
      </c>
      <c r="L189" s="475">
        <v>2</v>
      </c>
      <c r="M189" s="475">
        <v>1</v>
      </c>
      <c r="N189" s="475"/>
      <c r="O189" s="475">
        <v>1</v>
      </c>
      <c r="P189" s="475">
        <v>1</v>
      </c>
      <c r="Q189" s="475">
        <v>1</v>
      </c>
      <c r="R189" s="475">
        <v>1</v>
      </c>
      <c r="S189" s="475">
        <v>1</v>
      </c>
      <c r="T189" s="475">
        <v>1</v>
      </c>
      <c r="U189" s="93"/>
      <c r="V189" s="139">
        <f t="shared" si="279"/>
        <v>1.5E-10</v>
      </c>
      <c r="W189" s="139">
        <f t="shared" si="280"/>
        <v>4.0000000000000001E-10</v>
      </c>
      <c r="X189" s="139">
        <f t="shared" si="281"/>
        <v>3E-10</v>
      </c>
      <c r="Y189" s="139"/>
      <c r="Z189" s="139">
        <f t="shared" si="282"/>
        <v>5.0000000000000003E-10</v>
      </c>
      <c r="AA189" s="139">
        <f t="shared" si="283"/>
        <v>6E-10</v>
      </c>
      <c r="AB189" s="139">
        <f t="shared" si="284"/>
        <v>6.9999999999999996E-10</v>
      </c>
      <c r="AC189" s="139">
        <f t="shared" si="285"/>
        <v>8.0000000000000003E-10</v>
      </c>
      <c r="AD189" s="139">
        <f t="shared" si="286"/>
        <v>8.9999999999999999E-10</v>
      </c>
      <c r="AE189" s="139">
        <f t="shared" si="287"/>
        <v>0</v>
      </c>
      <c r="AF189" s="117">
        <f t="shared" si="258"/>
        <v>99.000000000149996</v>
      </c>
      <c r="AG189" s="117">
        <f t="shared" si="259"/>
        <v>99.000000000399993</v>
      </c>
      <c r="AH189" s="117">
        <f t="shared" si="260"/>
        <v>99.000000000300005</v>
      </c>
      <c r="AI189" s="117">
        <f t="shared" si="261"/>
        <v>0</v>
      </c>
      <c r="AJ189" s="117">
        <f t="shared" si="262"/>
        <v>5.0000000000000003E-10</v>
      </c>
      <c r="AK189" s="117">
        <f t="shared" si="263"/>
        <v>6E-10</v>
      </c>
      <c r="AL189" s="117">
        <f t="shared" si="264"/>
        <v>6.9999999999999996E-10</v>
      </c>
      <c r="AM189" s="117">
        <f t="shared" si="265"/>
        <v>8.0000000000000003E-10</v>
      </c>
      <c r="AN189" s="117">
        <f t="shared" si="266"/>
        <v>8.9999999999999999E-10</v>
      </c>
      <c r="AO189" s="117">
        <f t="shared" si="267"/>
        <v>0</v>
      </c>
      <c r="AP189" s="139" t="b">
        <f t="shared" si="271"/>
        <v>1</v>
      </c>
      <c r="AQ189" s="139" t="b">
        <f t="shared" si="272"/>
        <v>1</v>
      </c>
      <c r="AR189" s="139" t="b">
        <f t="shared" si="273"/>
        <v>1</v>
      </c>
      <c r="AS189" s="139"/>
      <c r="AT189" s="139" t="b">
        <f t="shared" si="274"/>
        <v>0</v>
      </c>
      <c r="AU189" s="139" t="b">
        <f t="shared" si="275"/>
        <v>0</v>
      </c>
      <c r="AV189" s="139" t="b">
        <f t="shared" si="276"/>
        <v>0</v>
      </c>
      <c r="AW189" s="139" t="b">
        <f t="shared" si="277"/>
        <v>1</v>
      </c>
      <c r="AX189" s="139" t="b">
        <f t="shared" si="269"/>
        <v>1</v>
      </c>
      <c r="AY189" s="139" t="b">
        <f t="shared" si="270"/>
        <v>0</v>
      </c>
      <c r="AZ189" s="139" t="str">
        <f>'Reference Score Calculation'!AV166</f>
        <v>5%或更少(全Cert)</v>
      </c>
      <c r="BA189" s="93" t="str">
        <f>'Reference Score Calculation'!N166</f>
        <v>最佳五科必須包括︰中文、英文、數學</v>
      </c>
      <c r="BB189" s="93" t="str">
        <f>'Reference Score Calculation'!O166</f>
        <v>/</v>
      </c>
      <c r="BC189" s="93"/>
      <c r="BD189" s="93"/>
      <c r="BE189" s="93"/>
      <c r="BF189" s="93"/>
      <c r="BG189" s="93" t="s">
        <v>64</v>
      </c>
      <c r="BH189" s="93" t="b">
        <v>1</v>
      </c>
      <c r="BI189" s="93" t="b">
        <v>1</v>
      </c>
      <c r="BJ189" s="93" t="b">
        <v>1</v>
      </c>
      <c r="BK189" s="93"/>
      <c r="BL189" s="93"/>
      <c r="BM189" s="93"/>
      <c r="BN189" s="93"/>
      <c r="BO189" s="93"/>
      <c r="BP189" s="93"/>
      <c r="BQ189" s="93"/>
      <c r="BR189" s="93"/>
      <c r="BS189" s="184" t="s">
        <v>439</v>
      </c>
      <c r="BT189" s="184" t="str">
        <f>K1</f>
        <v>中國語文</v>
      </c>
      <c r="BU189" s="184" t="str">
        <f>L1</f>
        <v>英國語文</v>
      </c>
      <c r="BV189" s="184" t="str">
        <f>M1</f>
        <v>數學</v>
      </c>
      <c r="BW189" s="184"/>
      <c r="BX189" s="184"/>
      <c r="BY189" s="184" t="str">
        <f>P1</f>
        <v>請選擇第一選修科</v>
      </c>
      <c r="BZ189" s="184" t="str">
        <f>Q1</f>
        <v>請選擇第二選修科</v>
      </c>
      <c r="CA189" s="184" t="str">
        <f>R1</f>
        <v>請選擇第三選修科</v>
      </c>
      <c r="CB189" s="184" t="str">
        <f>S1</f>
        <v>請選擇第四選修科</v>
      </c>
      <c r="CC189" s="184" t="str">
        <f>T1</f>
        <v>請選擇語言科目</v>
      </c>
      <c r="CD189" s="186"/>
      <c r="CE189" s="186"/>
      <c r="CF189" s="186"/>
      <c r="CG189" s="186"/>
      <c r="CH189" s="186"/>
      <c r="CI189" s="186"/>
      <c r="CJ189" s="186"/>
      <c r="CK189" s="186"/>
      <c r="CL189" s="186"/>
      <c r="CM189" s="186"/>
      <c r="CN189" s="186"/>
      <c r="CO189" s="186"/>
      <c r="CP189" s="186"/>
      <c r="CQ189" s="186"/>
      <c r="CR189" s="186"/>
      <c r="CS189" s="186"/>
    </row>
    <row r="190" spans="1:97" s="142" customFormat="1">
      <c r="A190" s="139" t="s">
        <v>1229</v>
      </c>
      <c r="B190" s="183" t="str">
        <f>'Reference Score Calculation'!B167</f>
        <v>JS4276</v>
      </c>
      <c r="C190" s="183" t="str">
        <f>'Reference Score Calculation'!E167</f>
        <v>計量金融學及風險管理科學</v>
      </c>
      <c r="D190" s="183"/>
      <c r="E190" s="183" t="str">
        <f>'Reference Score Calculation'!F167</f>
        <v>Best 5</v>
      </c>
      <c r="F190" s="93"/>
      <c r="G190" s="93" t="str">
        <f>入學要求!AB176</f>
        <v>v</v>
      </c>
      <c r="H190" s="93" t="str">
        <f>入學要求!AC176</f>
        <v>E</v>
      </c>
      <c r="I190" s="93" t="str">
        <f>入學要求!AD176</f>
        <v>NO</v>
      </c>
      <c r="J190" s="183">
        <f t="shared" si="288"/>
        <v>3.1500000000000001E-9</v>
      </c>
      <c r="K190" s="475">
        <v>1</v>
      </c>
      <c r="L190" s="475">
        <v>2</v>
      </c>
      <c r="M190" s="475">
        <v>2</v>
      </c>
      <c r="N190" s="475"/>
      <c r="O190" s="475">
        <f>IF(O$1=$CA$181,1.5,1)</f>
        <v>1.5</v>
      </c>
      <c r="P190" s="475">
        <f>IF(P$1=$CA$181,1.5,1)</f>
        <v>1</v>
      </c>
      <c r="Q190" s="475">
        <f>IF(Q$1=$CA$181,1.5,1)</f>
        <v>1</v>
      </c>
      <c r="R190" s="475">
        <f>IF(R$1=$CA$181,1.5,1)</f>
        <v>1</v>
      </c>
      <c r="S190" s="475">
        <f>IF(S$1=$CA$181,1.5,1)</f>
        <v>1</v>
      </c>
      <c r="T190" s="475">
        <v>1</v>
      </c>
      <c r="U190" s="93"/>
      <c r="V190" s="139">
        <f t="shared" si="279"/>
        <v>1E-10</v>
      </c>
      <c r="W190" s="139">
        <f t="shared" si="280"/>
        <v>4.0000000000000001E-10</v>
      </c>
      <c r="X190" s="139">
        <f t="shared" si="281"/>
        <v>6E-10</v>
      </c>
      <c r="Y190" s="139"/>
      <c r="Z190" s="139">
        <f t="shared" si="282"/>
        <v>7.500000000000001E-10</v>
      </c>
      <c r="AA190" s="139">
        <f t="shared" si="283"/>
        <v>6E-10</v>
      </c>
      <c r="AB190" s="139">
        <f t="shared" si="284"/>
        <v>6.9999999999999996E-10</v>
      </c>
      <c r="AC190" s="139">
        <f t="shared" si="285"/>
        <v>8.0000000000000003E-10</v>
      </c>
      <c r="AD190" s="139">
        <f t="shared" si="286"/>
        <v>8.9999999999999999E-10</v>
      </c>
      <c r="AE190" s="139">
        <f t="shared" si="287"/>
        <v>0</v>
      </c>
      <c r="AF190" s="117">
        <f t="shared" si="258"/>
        <v>1E-10</v>
      </c>
      <c r="AG190" s="117">
        <f t="shared" si="259"/>
        <v>4.0000000000000001E-10</v>
      </c>
      <c r="AH190" s="117">
        <f t="shared" si="260"/>
        <v>6E-10</v>
      </c>
      <c r="AI190" s="117">
        <f t="shared" si="261"/>
        <v>0</v>
      </c>
      <c r="AJ190" s="117">
        <f t="shared" si="262"/>
        <v>7.500000000000001E-10</v>
      </c>
      <c r="AK190" s="117">
        <f t="shared" si="263"/>
        <v>6E-10</v>
      </c>
      <c r="AL190" s="117">
        <f t="shared" si="264"/>
        <v>6.9999999999999996E-10</v>
      </c>
      <c r="AM190" s="117">
        <f t="shared" si="265"/>
        <v>8.0000000000000003E-10</v>
      </c>
      <c r="AN190" s="117">
        <f t="shared" si="266"/>
        <v>8.9999999999999999E-10</v>
      </c>
      <c r="AO190" s="117">
        <f t="shared" si="267"/>
        <v>0</v>
      </c>
      <c r="AP190" s="139" t="b">
        <f t="shared" si="271"/>
        <v>0</v>
      </c>
      <c r="AQ190" s="139" t="b">
        <f t="shared" si="272"/>
        <v>0</v>
      </c>
      <c r="AR190" s="139" t="b">
        <f t="shared" si="273"/>
        <v>0</v>
      </c>
      <c r="AS190" s="139"/>
      <c r="AT190" s="139" t="b">
        <f t="shared" si="274"/>
        <v>1</v>
      </c>
      <c r="AU190" s="139" t="b">
        <f t="shared" si="275"/>
        <v>0</v>
      </c>
      <c r="AV190" s="139" t="b">
        <f t="shared" si="276"/>
        <v>1</v>
      </c>
      <c r="AW190" s="139" t="b">
        <f t="shared" si="277"/>
        <v>1</v>
      </c>
      <c r="AX190" s="139" t="b">
        <f t="shared" si="269"/>
        <v>1</v>
      </c>
      <c r="AY190" s="139" t="b">
        <f t="shared" si="270"/>
        <v>0</v>
      </c>
      <c r="AZ190" s="139" t="str">
        <f>'Reference Score Calculation'!AV167</f>
        <v>無</v>
      </c>
      <c r="BA190" s="93" t="str">
        <f>'Reference Score Calculation'!N167</f>
        <v>/</v>
      </c>
      <c r="BB190" s="93" t="str">
        <f>'Reference Score Calculation'!O167</f>
        <v>/</v>
      </c>
      <c r="BC190" s="93"/>
      <c r="BD190" s="93"/>
      <c r="BE190" s="93"/>
      <c r="BF190" s="93"/>
      <c r="BG190" s="93" t="s">
        <v>64</v>
      </c>
      <c r="BH190" s="93"/>
      <c r="BI190" s="93"/>
      <c r="BJ190" s="93"/>
      <c r="BK190" s="93"/>
      <c r="BL190" s="93"/>
      <c r="BM190" s="93"/>
      <c r="BN190" s="93"/>
      <c r="BO190" s="93"/>
      <c r="BP190" s="93"/>
      <c r="BQ190" s="93"/>
      <c r="BR190" s="93"/>
      <c r="BS190" s="184"/>
      <c r="BT190" s="139">
        <f>K13</f>
        <v>1E-10</v>
      </c>
      <c r="BU190" s="139">
        <f>L13</f>
        <v>2.0000000000000001E-10</v>
      </c>
      <c r="BV190" s="139">
        <f>M13</f>
        <v>3E-10</v>
      </c>
      <c r="BW190" s="185"/>
      <c r="BX190" s="185"/>
      <c r="BY190" s="139">
        <f>IF(BY193=$BT$208,99,P13)</f>
        <v>99</v>
      </c>
      <c r="BZ190" s="139">
        <f>IF(BZ193=$BT$208,99,Q13)</f>
        <v>6.9999999999999996E-10</v>
      </c>
      <c r="CA190" s="139">
        <f>IF(CA193=$BT$208,99,R13)</f>
        <v>8.0000000000000003E-10</v>
      </c>
      <c r="CB190" s="139">
        <f>IF(CB193=$BT$208,99,S13)</f>
        <v>8.9999999999999999E-10</v>
      </c>
      <c r="CC190" s="139">
        <f>IF(CC193=$BT$208,99,T13)</f>
        <v>0</v>
      </c>
      <c r="CD190" s="186"/>
      <c r="CE190" s="186"/>
      <c r="CF190" s="186"/>
      <c r="CG190" s="186"/>
      <c r="CH190" s="186"/>
      <c r="CI190" s="186"/>
      <c r="CJ190" s="186"/>
      <c r="CK190" s="186"/>
      <c r="CL190" s="186"/>
      <c r="CM190" s="186"/>
      <c r="CN190" s="186"/>
      <c r="CO190" s="186"/>
      <c r="CP190" s="186"/>
      <c r="CQ190" s="186"/>
      <c r="CR190" s="186"/>
      <c r="CS190" s="186"/>
    </row>
    <row r="191" spans="1:97" s="142" customFormat="1">
      <c r="A191" s="139" t="s">
        <v>2650</v>
      </c>
      <c r="B191" s="183" t="str">
        <f>'Reference Score Calculation'!B168</f>
        <v>JS4320</v>
      </c>
      <c r="C191" s="183" t="str">
        <f>'Reference Score Calculation'!E168</f>
        <v>人體運動科學與健康研究</v>
      </c>
      <c r="D191" s="183"/>
      <c r="E191" s="183" t="str">
        <f>'Reference Score Calculation'!F168</f>
        <v>25年新科目</v>
      </c>
      <c r="F191" s="93"/>
      <c r="G191" s="93" t="str">
        <f>入學要求!AB177</f>
        <v>v</v>
      </c>
      <c r="H191" s="93" t="str">
        <f>入學要求!AC177</f>
        <v>E</v>
      </c>
      <c r="I191" s="93" t="str">
        <f>入學要求!AD177</f>
        <v>NO</v>
      </c>
      <c r="J191" s="472" t="s">
        <v>324</v>
      </c>
      <c r="K191" s="475" t="s">
        <v>324</v>
      </c>
      <c r="L191" s="475" t="s">
        <v>324</v>
      </c>
      <c r="M191" s="475" t="s">
        <v>324</v>
      </c>
      <c r="N191" s="475" t="s">
        <v>324</v>
      </c>
      <c r="O191" s="475" t="s">
        <v>324</v>
      </c>
      <c r="P191" s="475" t="s">
        <v>324</v>
      </c>
      <c r="Q191" s="475" t="s">
        <v>324</v>
      </c>
      <c r="R191" s="475" t="s">
        <v>324</v>
      </c>
      <c r="S191" s="475" t="s">
        <v>324</v>
      </c>
      <c r="T191" s="475" t="s">
        <v>324</v>
      </c>
      <c r="U191" s="93"/>
      <c r="V191" s="139" t="e">
        <f t="shared" si="279"/>
        <v>#VALUE!</v>
      </c>
      <c r="W191" s="139" t="e">
        <f t="shared" si="280"/>
        <v>#VALUE!</v>
      </c>
      <c r="X191" s="139" t="e">
        <f t="shared" si="281"/>
        <v>#VALUE!</v>
      </c>
      <c r="Y191" s="139"/>
      <c r="Z191" s="139" t="e">
        <f t="shared" si="282"/>
        <v>#VALUE!</v>
      </c>
      <c r="AA191" s="139" t="e">
        <f t="shared" si="283"/>
        <v>#VALUE!</v>
      </c>
      <c r="AB191" s="139" t="e">
        <f t="shared" si="284"/>
        <v>#VALUE!</v>
      </c>
      <c r="AC191" s="139" t="e">
        <f t="shared" si="285"/>
        <v>#VALUE!</v>
      </c>
      <c r="AD191" s="139" t="e">
        <f t="shared" si="286"/>
        <v>#VALUE!</v>
      </c>
      <c r="AE191" s="139" t="e">
        <f t="shared" si="287"/>
        <v>#VALUE!</v>
      </c>
      <c r="AF191" s="117" t="e">
        <f t="shared" si="258"/>
        <v>#VALUE!</v>
      </c>
      <c r="AG191" s="117" t="e">
        <f t="shared" si="259"/>
        <v>#VALUE!</v>
      </c>
      <c r="AH191" s="117" t="e">
        <f t="shared" si="260"/>
        <v>#VALUE!</v>
      </c>
      <c r="AI191" s="117">
        <f t="shared" si="261"/>
        <v>0</v>
      </c>
      <c r="AJ191" s="117" t="e">
        <f t="shared" si="262"/>
        <v>#VALUE!</v>
      </c>
      <c r="AK191" s="117" t="e">
        <f t="shared" si="263"/>
        <v>#VALUE!</v>
      </c>
      <c r="AL191" s="117" t="e">
        <f t="shared" si="264"/>
        <v>#VALUE!</v>
      </c>
      <c r="AM191" s="117" t="e">
        <f t="shared" si="265"/>
        <v>#VALUE!</v>
      </c>
      <c r="AN191" s="117" t="e">
        <f t="shared" si="266"/>
        <v>#VALUE!</v>
      </c>
      <c r="AO191" s="117" t="e">
        <f t="shared" si="267"/>
        <v>#VALUE!</v>
      </c>
      <c r="AP191" s="139" t="e">
        <f t="shared" si="271"/>
        <v>#VALUE!</v>
      </c>
      <c r="AQ191" s="139" t="e">
        <f t="shared" si="272"/>
        <v>#VALUE!</v>
      </c>
      <c r="AR191" s="139" t="e">
        <f t="shared" si="273"/>
        <v>#VALUE!</v>
      </c>
      <c r="AS191" s="139"/>
      <c r="AT191" s="139" t="e">
        <f t="shared" si="274"/>
        <v>#VALUE!</v>
      </c>
      <c r="AU191" s="139" t="e">
        <f t="shared" si="275"/>
        <v>#VALUE!</v>
      </c>
      <c r="AV191" s="139" t="e">
        <f t="shared" si="276"/>
        <v>#VALUE!</v>
      </c>
      <c r="AW191" s="139" t="e">
        <f t="shared" si="277"/>
        <v>#VALUE!</v>
      </c>
      <c r="AX191" s="139" t="e">
        <f t="shared" si="269"/>
        <v>#VALUE!</v>
      </c>
      <c r="AY191" s="139" t="e">
        <f t="shared" si="270"/>
        <v>#VALUE!</v>
      </c>
      <c r="AZ191" s="139"/>
      <c r="BA191" s="93" t="str">
        <f>'Reference Score Calculation'!N168</f>
        <v>/</v>
      </c>
      <c r="BB191" s="93" t="str">
        <f>'Reference Score Calculation'!O168</f>
        <v>/</v>
      </c>
      <c r="BC191" s="93"/>
      <c r="BD191" s="93"/>
      <c r="BE191" s="93"/>
      <c r="BF191" s="93"/>
      <c r="BG191" s="93" t="s">
        <v>64</v>
      </c>
      <c r="BH191" s="93"/>
      <c r="BI191" s="93"/>
      <c r="BJ191" s="93"/>
      <c r="BK191" s="93"/>
      <c r="BL191" s="93"/>
      <c r="BM191" s="93"/>
      <c r="BN191" s="93"/>
      <c r="BO191" s="93"/>
      <c r="BP191" s="93"/>
      <c r="BQ191" s="93"/>
      <c r="BR191" s="93"/>
      <c r="BS191" s="184"/>
      <c r="BT191" s="185" t="b">
        <v>1</v>
      </c>
      <c r="BU191" s="185" t="b">
        <v>1</v>
      </c>
      <c r="BV191" s="185" t="b">
        <v>1</v>
      </c>
      <c r="BW191" s="185"/>
      <c r="BX191" s="185"/>
      <c r="BY191" s="185" t="b">
        <f>IF(BY190&gt;LARGE($BY$190:$CC$190,4),TRUE)</f>
        <v>1</v>
      </c>
      <c r="BZ191" s="185" t="b">
        <f>IF(BZ190&gt;LARGE($BY$190:$CC$190,4),TRUE)</f>
        <v>0</v>
      </c>
      <c r="CA191" s="185" t="b">
        <f>IF(CA190&gt;LARGE($BY$190:$CC$190,4),TRUE)</f>
        <v>1</v>
      </c>
      <c r="CB191" s="185" t="b">
        <f>IF(CB190&gt;LARGE($BY$190:$CC$190,4),TRUE)</f>
        <v>1</v>
      </c>
      <c r="CC191" s="185" t="b">
        <f>IF(CC190&gt;LARGE($BY$190:$CC$190,4),TRUE)</f>
        <v>0</v>
      </c>
      <c r="CD191" s="186"/>
      <c r="CE191" s="186"/>
      <c r="CF191" s="186"/>
      <c r="CG191" s="186"/>
      <c r="CH191" s="186"/>
      <c r="CI191" s="186"/>
      <c r="CJ191" s="186"/>
      <c r="CK191" s="186"/>
      <c r="CL191" s="186"/>
      <c r="CM191" s="186"/>
      <c r="CN191" s="186"/>
      <c r="CO191" s="186"/>
      <c r="CP191" s="186"/>
      <c r="CQ191" s="186"/>
      <c r="CR191" s="186"/>
      <c r="CS191" s="186"/>
    </row>
    <row r="192" spans="1:97" s="139" customFormat="1">
      <c r="A192" s="139" t="s">
        <v>1233</v>
      </c>
      <c r="B192" s="183" t="str">
        <f>'Reference Score Calculation'!B169</f>
        <v>JS4329</v>
      </c>
      <c r="C192" s="183" t="str">
        <f>'Reference Score Calculation'!E169</f>
        <v>健康與體育運動科學</v>
      </c>
      <c r="D192" s="183"/>
      <c r="E192" s="183" t="str">
        <f>'Reference Score Calculation'!F169</f>
        <v>Best 5</v>
      </c>
      <c r="F192" s="93"/>
      <c r="G192" s="93" t="str">
        <f>入學要求!AB178</f>
        <v>v</v>
      </c>
      <c r="H192" s="93" t="str">
        <f>入學要求!AC178</f>
        <v>E</v>
      </c>
      <c r="I192" s="93" t="str">
        <f>入學要求!AD178</f>
        <v>NO</v>
      </c>
      <c r="J192" s="183">
        <f t="shared" si="288"/>
        <v>3.4999999999999999E-9</v>
      </c>
      <c r="K192" s="475">
        <v>1</v>
      </c>
      <c r="L192" s="475">
        <v>1</v>
      </c>
      <c r="M192" s="475">
        <v>1</v>
      </c>
      <c r="N192" s="475"/>
      <c r="O192" s="475">
        <v>1</v>
      </c>
      <c r="P192" s="475">
        <v>1</v>
      </c>
      <c r="Q192" s="475">
        <v>1</v>
      </c>
      <c r="R192" s="475">
        <v>1</v>
      </c>
      <c r="S192" s="475">
        <v>1</v>
      </c>
      <c r="T192" s="475">
        <v>1</v>
      </c>
      <c r="U192" s="93"/>
      <c r="V192" s="139">
        <f t="shared" ref="V192:V207" si="290">K$6*K192</f>
        <v>1E-10</v>
      </c>
      <c r="W192" s="139">
        <f t="shared" ref="W192:W207" si="291">L$6*L192</f>
        <v>2.0000000000000001E-10</v>
      </c>
      <c r="X192" s="139">
        <f t="shared" ref="X192:X207" si="292">M$6*M192</f>
        <v>3E-10</v>
      </c>
      <c r="Z192" s="139">
        <f t="shared" ref="Z192:Z207" si="293">IF(G192="v",O$6*O192,0)</f>
        <v>5.0000000000000003E-10</v>
      </c>
      <c r="AA192" s="139">
        <f t="shared" ref="AA192:AA207" si="294">P$6*P192</f>
        <v>6E-10</v>
      </c>
      <c r="AB192" s="139">
        <f t="shared" ref="AB192:AB207" si="295">Q$6*Q192</f>
        <v>6.9999999999999996E-10</v>
      </c>
      <c r="AC192" s="139">
        <f t="shared" ref="AC192:AC207" si="296">R$6*R192</f>
        <v>8.0000000000000003E-10</v>
      </c>
      <c r="AD192" s="139">
        <f t="shared" ref="AD192:AD207" si="297">S$6*S192</f>
        <v>8.9999999999999999E-10</v>
      </c>
      <c r="AE192" s="139">
        <f t="shared" ref="AE192:AE207" si="298">IF(H192="E",T$6*T192,0)</f>
        <v>0</v>
      </c>
      <c r="AF192" s="117">
        <f t="shared" si="258"/>
        <v>1E-10</v>
      </c>
      <c r="AG192" s="117">
        <f t="shared" si="259"/>
        <v>2.0000000000000001E-10</v>
      </c>
      <c r="AH192" s="117">
        <f t="shared" si="260"/>
        <v>3E-10</v>
      </c>
      <c r="AI192" s="117">
        <f t="shared" si="261"/>
        <v>0</v>
      </c>
      <c r="AJ192" s="117">
        <f t="shared" si="262"/>
        <v>5.0000000000000003E-10</v>
      </c>
      <c r="AK192" s="117">
        <f t="shared" si="263"/>
        <v>6E-10</v>
      </c>
      <c r="AL192" s="117">
        <f t="shared" si="264"/>
        <v>6.9999999999999996E-10</v>
      </c>
      <c r="AM192" s="117">
        <f t="shared" si="265"/>
        <v>8.0000000000000003E-10</v>
      </c>
      <c r="AN192" s="117">
        <f t="shared" si="266"/>
        <v>8.9999999999999999E-10</v>
      </c>
      <c r="AO192" s="117">
        <f t="shared" si="267"/>
        <v>0</v>
      </c>
      <c r="AP192" s="139" t="b">
        <f t="shared" si="271"/>
        <v>0</v>
      </c>
      <c r="AQ192" s="139" t="b">
        <f t="shared" si="272"/>
        <v>0</v>
      </c>
      <c r="AR192" s="139" t="b">
        <f t="shared" si="273"/>
        <v>0</v>
      </c>
      <c r="AT192" s="139" t="b">
        <f t="shared" si="274"/>
        <v>1</v>
      </c>
      <c r="AU192" s="139" t="b">
        <f t="shared" si="275"/>
        <v>1</v>
      </c>
      <c r="AV192" s="139" t="b">
        <f t="shared" si="276"/>
        <v>1</v>
      </c>
      <c r="AW192" s="139" t="b">
        <f t="shared" si="277"/>
        <v>1</v>
      </c>
      <c r="AX192" s="139" t="b">
        <f t="shared" si="269"/>
        <v>1</v>
      </c>
      <c r="AY192" s="139" t="b">
        <f t="shared" si="270"/>
        <v>0</v>
      </c>
      <c r="AZ192" s="139" t="str">
        <f>'Reference Score Calculation'!AV169</f>
        <v>5%或更少(全Cert)</v>
      </c>
      <c r="BA192" s="93" t="str">
        <f>'Reference Score Calculation'!N169</f>
        <v>/</v>
      </c>
      <c r="BB192" s="93" t="str">
        <f>'Reference Score Calculation'!O169</f>
        <v>/</v>
      </c>
      <c r="BC192" s="93"/>
      <c r="BD192" s="93"/>
      <c r="BE192" s="93"/>
      <c r="BF192" s="93"/>
      <c r="BG192" s="93" t="s">
        <v>64</v>
      </c>
      <c r="BH192" s="93"/>
      <c r="BI192" s="93"/>
      <c r="BJ192" s="93"/>
      <c r="BK192" s="93"/>
      <c r="BL192" s="93"/>
      <c r="BM192" s="93"/>
      <c r="BN192" s="93"/>
      <c r="BO192" s="93"/>
      <c r="BP192" s="93"/>
      <c r="BQ192" s="93"/>
      <c r="BR192" s="93"/>
      <c r="BS192" s="184"/>
      <c r="BT192" s="186"/>
      <c r="BU192" s="186"/>
      <c r="BV192" s="186"/>
      <c r="BW192" s="186"/>
      <c r="BX192" s="186"/>
      <c r="BY192" s="186"/>
      <c r="BZ192" s="186"/>
      <c r="CA192" s="186"/>
      <c r="CB192" s="186"/>
      <c r="CC192" s="186"/>
      <c r="CD192" s="186"/>
      <c r="CE192" s="186"/>
      <c r="CF192" s="186"/>
      <c r="CG192" s="186"/>
      <c r="CH192" s="186"/>
      <c r="CI192" s="186"/>
      <c r="CJ192" s="186"/>
      <c r="CK192" s="186"/>
      <c r="CL192" s="186"/>
      <c r="CM192" s="186"/>
      <c r="CN192" s="186"/>
      <c r="CO192" s="186"/>
      <c r="CP192" s="186"/>
      <c r="CQ192" s="186"/>
      <c r="CR192" s="186"/>
      <c r="CS192" s="186"/>
    </row>
    <row r="193" spans="1:97" s="142" customFormat="1">
      <c r="A193" s="139" t="s">
        <v>1237</v>
      </c>
      <c r="B193" s="183" t="str">
        <f>'Reference Score Calculation'!B170</f>
        <v>JS4331</v>
      </c>
      <c r="C193" s="183" t="str">
        <f>'Reference Score Calculation'!E170</f>
        <v>文學士 (中國語文研究) 及教育學士 (中國語文教育)</v>
      </c>
      <c r="D193" s="183"/>
      <c r="E193" s="183" t="str">
        <f>'Reference Score Calculation'!F170</f>
        <v>Best 5</v>
      </c>
      <c r="F193" s="93"/>
      <c r="G193" s="93" t="str">
        <f>入學要求!AB179</f>
        <v>v</v>
      </c>
      <c r="H193" s="93" t="str">
        <f>入學要求!AC179</f>
        <v>E</v>
      </c>
      <c r="I193" s="93" t="str">
        <f>入學要求!AD179</f>
        <v>NO</v>
      </c>
      <c r="J193" s="183">
        <f t="shared" si="288"/>
        <v>3.1999999999999997E-9</v>
      </c>
      <c r="K193" s="475">
        <v>2</v>
      </c>
      <c r="L193" s="475">
        <v>1</v>
      </c>
      <c r="M193" s="475">
        <v>1</v>
      </c>
      <c r="N193" s="475"/>
      <c r="O193" s="475">
        <v>1</v>
      </c>
      <c r="P193" s="475">
        <v>1</v>
      </c>
      <c r="Q193" s="475">
        <v>1</v>
      </c>
      <c r="R193" s="475">
        <v>1</v>
      </c>
      <c r="S193" s="475">
        <v>1</v>
      </c>
      <c r="T193" s="475">
        <v>1</v>
      </c>
      <c r="U193" s="93"/>
      <c r="V193" s="139">
        <f t="shared" si="290"/>
        <v>2.0000000000000001E-10</v>
      </c>
      <c r="W193" s="139">
        <f t="shared" si="291"/>
        <v>2.0000000000000001E-10</v>
      </c>
      <c r="X193" s="139">
        <f t="shared" si="292"/>
        <v>3E-10</v>
      </c>
      <c r="Y193" s="139"/>
      <c r="Z193" s="139">
        <f t="shared" si="293"/>
        <v>5.0000000000000003E-10</v>
      </c>
      <c r="AA193" s="139">
        <f t="shared" si="294"/>
        <v>6E-10</v>
      </c>
      <c r="AB193" s="139">
        <f t="shared" si="295"/>
        <v>6.9999999999999996E-10</v>
      </c>
      <c r="AC193" s="139">
        <f t="shared" si="296"/>
        <v>8.0000000000000003E-10</v>
      </c>
      <c r="AD193" s="139">
        <f t="shared" si="297"/>
        <v>8.9999999999999999E-10</v>
      </c>
      <c r="AE193" s="139">
        <f t="shared" si="298"/>
        <v>0</v>
      </c>
      <c r="AF193" s="117">
        <f t="shared" si="258"/>
        <v>99.000000000200004</v>
      </c>
      <c r="AG193" s="117">
        <f t="shared" si="259"/>
        <v>2.0000000000000001E-10</v>
      </c>
      <c r="AH193" s="117">
        <f t="shared" si="260"/>
        <v>3E-10</v>
      </c>
      <c r="AI193" s="117">
        <f t="shared" si="261"/>
        <v>0</v>
      </c>
      <c r="AJ193" s="117">
        <f t="shared" si="262"/>
        <v>5.0000000000000003E-10</v>
      </c>
      <c r="AK193" s="117">
        <f t="shared" si="263"/>
        <v>6E-10</v>
      </c>
      <c r="AL193" s="117">
        <f t="shared" si="264"/>
        <v>6.9999999999999996E-10</v>
      </c>
      <c r="AM193" s="117">
        <f t="shared" si="265"/>
        <v>8.0000000000000003E-10</v>
      </c>
      <c r="AN193" s="117">
        <f t="shared" si="266"/>
        <v>8.9999999999999999E-10</v>
      </c>
      <c r="AO193" s="117">
        <f t="shared" si="267"/>
        <v>0</v>
      </c>
      <c r="AP193" s="139" t="b">
        <f t="shared" si="271"/>
        <v>1</v>
      </c>
      <c r="AQ193" s="139" t="b">
        <f t="shared" si="272"/>
        <v>0</v>
      </c>
      <c r="AR193" s="139" t="b">
        <f t="shared" si="273"/>
        <v>0</v>
      </c>
      <c r="AS193" s="139"/>
      <c r="AT193" s="139" t="b">
        <f t="shared" si="274"/>
        <v>0</v>
      </c>
      <c r="AU193" s="139" t="b">
        <f t="shared" si="275"/>
        <v>1</v>
      </c>
      <c r="AV193" s="139" t="b">
        <f t="shared" si="276"/>
        <v>1</v>
      </c>
      <c r="AW193" s="139" t="b">
        <f t="shared" si="277"/>
        <v>1</v>
      </c>
      <c r="AX193" s="139" t="b">
        <f t="shared" si="269"/>
        <v>1</v>
      </c>
      <c r="AY193" s="139" t="b">
        <f t="shared" si="270"/>
        <v>0</v>
      </c>
      <c r="AZ193" s="139" t="str">
        <f>'Reference Score Calculation'!AV170</f>
        <v>5%或更少(全Cert)</v>
      </c>
      <c r="BA193" s="93" t="str">
        <f>'Reference Score Calculation'!N170</f>
        <v>最佳五科必須包括︰中文</v>
      </c>
      <c r="BB193" s="93" t="str">
        <f>'Reference Score Calculation'!O170</f>
        <v>/</v>
      </c>
      <c r="BC193" s="93"/>
      <c r="BD193" s="93"/>
      <c r="BE193" s="93"/>
      <c r="BF193" s="93"/>
      <c r="BG193" s="93" t="s">
        <v>64</v>
      </c>
      <c r="BH193" s="93" t="b">
        <v>1</v>
      </c>
      <c r="BI193" s="93"/>
      <c r="BJ193" s="93"/>
      <c r="BK193" s="93"/>
      <c r="BL193" s="93"/>
      <c r="BM193" s="93"/>
      <c r="BN193" s="93"/>
      <c r="BO193" s="93"/>
      <c r="BP193" s="93"/>
      <c r="BQ193" s="93"/>
      <c r="BR193" s="93"/>
      <c r="BS193" s="184"/>
      <c r="BT193" s="184" t="str">
        <f>K1</f>
        <v>中國語文</v>
      </c>
      <c r="BU193" s="184" t="str">
        <f>L1</f>
        <v>英國語文</v>
      </c>
      <c r="BV193" s="184" t="str">
        <f>M1</f>
        <v>數學</v>
      </c>
      <c r="BW193" s="184"/>
      <c r="BX193" s="184"/>
      <c r="BY193" s="184" t="str">
        <f>P1</f>
        <v>請選擇第一選修科</v>
      </c>
      <c r="BZ193" s="184" t="str">
        <f>Q1</f>
        <v>請選擇第二選修科</v>
      </c>
      <c r="CA193" s="184" t="str">
        <f>R1</f>
        <v>請選擇第三選修科</v>
      </c>
      <c r="CB193" s="184" t="str">
        <f>S1</f>
        <v>請選擇第四選修科</v>
      </c>
      <c r="CC193" s="184" t="str">
        <f>T1</f>
        <v>請選擇語言科目</v>
      </c>
      <c r="CD193" s="184"/>
      <c r="CE193" s="184"/>
      <c r="CF193" s="184"/>
      <c r="CG193" s="184"/>
      <c r="CH193" s="184"/>
      <c r="CI193" s="184"/>
      <c r="CJ193" s="184"/>
      <c r="CK193" s="184"/>
      <c r="CL193" s="184"/>
      <c r="CM193" s="184"/>
      <c r="CN193" s="184"/>
      <c r="CO193" s="184"/>
      <c r="CP193" s="184"/>
      <c r="CQ193" s="184"/>
      <c r="CR193" s="184"/>
      <c r="CS193" s="184"/>
    </row>
    <row r="194" spans="1:97" s="139" customFormat="1">
      <c r="A194" s="139" t="s">
        <v>1241</v>
      </c>
      <c r="B194" s="183" t="str">
        <f>'Reference Score Calculation'!B171</f>
        <v>JS4343</v>
      </c>
      <c r="C194" s="183" t="str">
        <f>'Reference Score Calculation'!E171</f>
        <v>文學士(英國語文研究)及教育學士(英國語文教育)</v>
      </c>
      <c r="D194" s="183"/>
      <c r="E194" s="183" t="str">
        <f>'Reference Score Calculation'!F171</f>
        <v>Best 5</v>
      </c>
      <c r="F194" s="93"/>
      <c r="G194" s="93" t="str">
        <f>入學要求!AB180</f>
        <v>v</v>
      </c>
      <c r="H194" s="93" t="str">
        <f>入學要求!AC180</f>
        <v>E</v>
      </c>
      <c r="I194" s="93" t="str">
        <f>入學要求!AD180</f>
        <v>NO</v>
      </c>
      <c r="J194" s="183">
        <f t="shared" si="288"/>
        <v>3.3999999999999998E-9</v>
      </c>
      <c r="K194" s="475">
        <v>1</v>
      </c>
      <c r="L194" s="475">
        <v>2</v>
      </c>
      <c r="M194" s="475">
        <v>1</v>
      </c>
      <c r="N194" s="475"/>
      <c r="O194" s="475">
        <v>1</v>
      </c>
      <c r="P194" s="475">
        <v>1</v>
      </c>
      <c r="Q194" s="475">
        <v>1</v>
      </c>
      <c r="R194" s="475">
        <v>1</v>
      </c>
      <c r="S194" s="475">
        <v>1</v>
      </c>
      <c r="T194" s="475">
        <v>1</v>
      </c>
      <c r="U194" s="93"/>
      <c r="V194" s="139">
        <f t="shared" si="290"/>
        <v>1E-10</v>
      </c>
      <c r="W194" s="139">
        <f t="shared" si="291"/>
        <v>4.0000000000000001E-10</v>
      </c>
      <c r="X194" s="139">
        <f t="shared" si="292"/>
        <v>3E-10</v>
      </c>
      <c r="Z194" s="139">
        <f t="shared" si="293"/>
        <v>5.0000000000000003E-10</v>
      </c>
      <c r="AA194" s="139">
        <f t="shared" si="294"/>
        <v>6E-10</v>
      </c>
      <c r="AB194" s="139">
        <f t="shared" si="295"/>
        <v>6.9999999999999996E-10</v>
      </c>
      <c r="AC194" s="139">
        <f t="shared" si="296"/>
        <v>8.0000000000000003E-10</v>
      </c>
      <c r="AD194" s="139">
        <f t="shared" si="297"/>
        <v>8.9999999999999999E-10</v>
      </c>
      <c r="AE194" s="139">
        <f t="shared" si="298"/>
        <v>0</v>
      </c>
      <c r="AF194" s="117">
        <f t="shared" si="258"/>
        <v>1E-10</v>
      </c>
      <c r="AG194" s="117">
        <f t="shared" si="259"/>
        <v>99.000000000399993</v>
      </c>
      <c r="AH194" s="117">
        <f t="shared" si="260"/>
        <v>3E-10</v>
      </c>
      <c r="AI194" s="117">
        <f t="shared" si="261"/>
        <v>0</v>
      </c>
      <c r="AJ194" s="117">
        <f t="shared" si="262"/>
        <v>5.0000000000000003E-10</v>
      </c>
      <c r="AK194" s="117">
        <f t="shared" si="263"/>
        <v>6E-10</v>
      </c>
      <c r="AL194" s="117">
        <f t="shared" si="264"/>
        <v>6.9999999999999996E-10</v>
      </c>
      <c r="AM194" s="117">
        <f t="shared" si="265"/>
        <v>8.0000000000000003E-10</v>
      </c>
      <c r="AN194" s="117">
        <f t="shared" si="266"/>
        <v>8.9999999999999999E-10</v>
      </c>
      <c r="AO194" s="117">
        <f t="shared" si="267"/>
        <v>0</v>
      </c>
      <c r="AP194" s="139" t="b">
        <f t="shared" si="271"/>
        <v>0</v>
      </c>
      <c r="AQ194" s="139" t="b">
        <f t="shared" si="272"/>
        <v>1</v>
      </c>
      <c r="AR194" s="139" t="b">
        <f t="shared" si="273"/>
        <v>0</v>
      </c>
      <c r="AT194" s="139" t="b">
        <f t="shared" si="274"/>
        <v>0</v>
      </c>
      <c r="AU194" s="139" t="b">
        <f t="shared" si="275"/>
        <v>1</v>
      </c>
      <c r="AV194" s="139" t="b">
        <f t="shared" si="276"/>
        <v>1</v>
      </c>
      <c r="AW194" s="139" t="b">
        <f t="shared" si="277"/>
        <v>1</v>
      </c>
      <c r="AX194" s="139" t="b">
        <f t="shared" si="269"/>
        <v>1</v>
      </c>
      <c r="AY194" s="139" t="b">
        <f t="shared" si="270"/>
        <v>0</v>
      </c>
      <c r="AZ194" s="139" t="str">
        <f>'Reference Score Calculation'!AV171</f>
        <v>無</v>
      </c>
      <c r="BA194" s="93" t="str">
        <f>'Reference Score Calculation'!N171</f>
        <v>最佳五科必須包括︰英文</v>
      </c>
      <c r="BB194" s="93" t="str">
        <f>'Reference Score Calculation'!O171</f>
        <v>/</v>
      </c>
      <c r="BC194" s="93"/>
      <c r="BD194" s="93"/>
      <c r="BE194" s="93"/>
      <c r="BF194" s="93"/>
      <c r="BG194" s="93" t="s">
        <v>64</v>
      </c>
      <c r="BH194" s="93"/>
      <c r="BI194" s="93" t="b">
        <v>1</v>
      </c>
      <c r="BJ194" s="93"/>
      <c r="BK194" s="93"/>
      <c r="BL194" s="93"/>
      <c r="BM194" s="93"/>
      <c r="BN194" s="93"/>
      <c r="BO194" s="93"/>
      <c r="BP194" s="93"/>
      <c r="BQ194" s="93"/>
      <c r="BR194" s="93"/>
      <c r="BS194" s="184"/>
      <c r="BT194" s="383">
        <f>IF(BT191,K13,0)</f>
        <v>1E-10</v>
      </c>
      <c r="BU194" s="383">
        <f>IF(BU191,L13,0)</f>
        <v>2.0000000000000001E-10</v>
      </c>
      <c r="BV194" s="383">
        <f>IF(BV191,M13,0)</f>
        <v>3E-10</v>
      </c>
      <c r="BW194" s="184"/>
      <c r="BX194" s="184"/>
      <c r="BY194" s="383">
        <f>IF(BY191,P13,0)</f>
        <v>6E-10</v>
      </c>
      <c r="BZ194" s="383">
        <f>IF(BZ191,Q13,0)</f>
        <v>0</v>
      </c>
      <c r="CA194" s="383">
        <f>IF(CA191,R13,0)</f>
        <v>8.0000000000000003E-10</v>
      </c>
      <c r="CB194" s="383">
        <f>IF(CB191,S13,0)</f>
        <v>8.9999999999999999E-10</v>
      </c>
      <c r="CC194" s="383">
        <f>IF(CC191,T13,0)</f>
        <v>0</v>
      </c>
      <c r="CD194" s="184"/>
      <c r="CE194" s="184"/>
      <c r="CF194" s="184"/>
      <c r="CG194" s="184"/>
      <c r="CH194" s="184"/>
      <c r="CI194" s="184"/>
      <c r="CJ194" s="184"/>
      <c r="CK194" s="184"/>
      <c r="CL194" s="184"/>
      <c r="CM194" s="184"/>
      <c r="CN194" s="184"/>
      <c r="CO194" s="184"/>
      <c r="CP194" s="184"/>
      <c r="CQ194" s="184"/>
      <c r="CR194" s="184"/>
      <c r="CS194" s="184"/>
    </row>
    <row r="195" spans="1:97" s="142" customFormat="1">
      <c r="A195" s="139" t="s">
        <v>330</v>
      </c>
      <c r="B195" s="183" t="str">
        <f>'Reference Score Calculation'!B172</f>
        <v>JS4361</v>
      </c>
      <c r="C195" s="183" t="str">
        <f>'Reference Score Calculation'!E172</f>
        <v>教育學士(數學及數學教育)</v>
      </c>
      <c r="D195" s="183"/>
      <c r="E195" s="183" t="str">
        <f>'Reference Score Calculation'!F172</f>
        <v>Best 5</v>
      </c>
      <c r="F195" s="93"/>
      <c r="G195" s="93" t="str">
        <f>入學要求!AB181</f>
        <v>v</v>
      </c>
      <c r="H195" s="93" t="str">
        <f>入學要求!AC181</f>
        <v>E</v>
      </c>
      <c r="I195" s="93" t="str">
        <f>入學要求!AD181</f>
        <v>NO</v>
      </c>
      <c r="J195" s="183">
        <f t="shared" si="288"/>
        <v>4.0000000000000002E-9</v>
      </c>
      <c r="K195" s="475">
        <f>IF($K$1=$BT$230, 1.5,1)</f>
        <v>1</v>
      </c>
      <c r="L195" s="475">
        <f>IF($L$1=$BT$230, 1.5,1)</f>
        <v>1.5</v>
      </c>
      <c r="M195" s="475">
        <v>2</v>
      </c>
      <c r="N195" s="475"/>
      <c r="O195" s="475">
        <v>2</v>
      </c>
      <c r="P195" s="475">
        <f>IF(P$1=$CA$185,1.5,1)</f>
        <v>1</v>
      </c>
      <c r="Q195" s="475">
        <f>IF(Q$1=$CA$185,1.5,1)</f>
        <v>1</v>
      </c>
      <c r="R195" s="475">
        <f>IF(R$1=$CA$185,1.5,1)</f>
        <v>1</v>
      </c>
      <c r="S195" s="475">
        <f>IF(S$1=$CA$185,1.5,1)</f>
        <v>1</v>
      </c>
      <c r="T195" s="475">
        <v>1</v>
      </c>
      <c r="U195" s="93"/>
      <c r="V195" s="139">
        <f t="shared" si="290"/>
        <v>1E-10</v>
      </c>
      <c r="W195" s="139">
        <f t="shared" si="291"/>
        <v>3E-10</v>
      </c>
      <c r="X195" s="139">
        <f t="shared" si="292"/>
        <v>6E-10</v>
      </c>
      <c r="Y195" s="139"/>
      <c r="Z195" s="139">
        <f t="shared" si="293"/>
        <v>1.0000000000000001E-9</v>
      </c>
      <c r="AA195" s="139">
        <f t="shared" si="294"/>
        <v>6E-10</v>
      </c>
      <c r="AB195" s="139">
        <f t="shared" si="295"/>
        <v>6.9999999999999996E-10</v>
      </c>
      <c r="AC195" s="139">
        <f t="shared" si="296"/>
        <v>8.0000000000000003E-10</v>
      </c>
      <c r="AD195" s="139">
        <f t="shared" si="297"/>
        <v>8.9999999999999999E-10</v>
      </c>
      <c r="AE195" s="139">
        <f t="shared" si="298"/>
        <v>0</v>
      </c>
      <c r="AF195" s="117">
        <f t="shared" si="258"/>
        <v>1E-10</v>
      </c>
      <c r="AG195" s="117">
        <f t="shared" si="259"/>
        <v>3E-10</v>
      </c>
      <c r="AH195" s="117">
        <f t="shared" si="260"/>
        <v>99.000000000599996</v>
      </c>
      <c r="AI195" s="117">
        <f t="shared" si="261"/>
        <v>0</v>
      </c>
      <c r="AJ195" s="117">
        <f t="shared" si="262"/>
        <v>99.000000001000004</v>
      </c>
      <c r="AK195" s="117">
        <f t="shared" si="263"/>
        <v>6E-10</v>
      </c>
      <c r="AL195" s="117">
        <f t="shared" si="264"/>
        <v>6.9999999999999996E-10</v>
      </c>
      <c r="AM195" s="117">
        <f t="shared" si="265"/>
        <v>8.0000000000000003E-10</v>
      </c>
      <c r="AN195" s="117">
        <f t="shared" si="266"/>
        <v>8.9999999999999999E-10</v>
      </c>
      <c r="AO195" s="117">
        <f t="shared" si="267"/>
        <v>0</v>
      </c>
      <c r="AP195" s="139" t="b">
        <f t="shared" si="271"/>
        <v>0</v>
      </c>
      <c r="AQ195" s="139" t="b">
        <f t="shared" si="272"/>
        <v>0</v>
      </c>
      <c r="AR195" s="139" t="b">
        <f t="shared" si="273"/>
        <v>1</v>
      </c>
      <c r="AS195" s="139"/>
      <c r="AT195" s="139" t="b">
        <f t="shared" si="274"/>
        <v>1</v>
      </c>
      <c r="AU195" s="139" t="b">
        <f t="shared" si="275"/>
        <v>0</v>
      </c>
      <c r="AV195" s="139" t="b">
        <f t="shared" si="276"/>
        <v>1</v>
      </c>
      <c r="AW195" s="139" t="b">
        <f t="shared" si="277"/>
        <v>1</v>
      </c>
      <c r="AX195" s="139" t="b">
        <f t="shared" si="269"/>
        <v>1</v>
      </c>
      <c r="AY195" s="139" t="b">
        <f t="shared" si="270"/>
        <v>0</v>
      </c>
      <c r="AZ195" s="139" t="str">
        <f>'Reference Score Calculation'!AV172</f>
        <v>5%或更少(全Cert)</v>
      </c>
      <c r="BA195" s="93" t="str">
        <f>'Reference Score Calculation'!N172</f>
        <v>最佳五科必須包括︰數學、M1/2</v>
      </c>
      <c r="BB195" s="93" t="str">
        <f>'Reference Score Calculation'!O172</f>
        <v>/</v>
      </c>
      <c r="BC195" s="93"/>
      <c r="BD195" s="93"/>
      <c r="BE195" s="93"/>
      <c r="BF195" s="93"/>
      <c r="BG195" s="93" t="s">
        <v>64</v>
      </c>
      <c r="BH195" s="93"/>
      <c r="BI195" s="93"/>
      <c r="BJ195" s="93" t="b">
        <v>1</v>
      </c>
      <c r="BK195" s="93"/>
      <c r="BL195" s="93" t="b">
        <v>1</v>
      </c>
      <c r="BM195" s="93"/>
      <c r="BN195" s="93"/>
      <c r="BO195" s="93"/>
      <c r="BP195" s="93"/>
      <c r="BQ195" s="93"/>
      <c r="BR195" s="93"/>
      <c r="BS195" s="184"/>
      <c r="BT195" s="186"/>
      <c r="BU195" s="186"/>
      <c r="BV195" s="186"/>
      <c r="BW195" s="186"/>
      <c r="BX195" s="186"/>
      <c r="BY195" s="186"/>
      <c r="BZ195" s="186"/>
      <c r="CA195" s="186"/>
      <c r="CB195" s="186"/>
      <c r="CC195" s="186"/>
      <c r="CD195" s="186"/>
      <c r="CE195" s="186"/>
      <c r="CF195" s="186"/>
      <c r="CG195" s="186"/>
      <c r="CH195" s="186"/>
      <c r="CI195" s="186"/>
      <c r="CJ195" s="186"/>
      <c r="CK195" s="186"/>
      <c r="CL195" s="186"/>
      <c r="CM195" s="186"/>
      <c r="CN195" s="186"/>
      <c r="CO195" s="186"/>
      <c r="CP195" s="186"/>
      <c r="CQ195" s="186"/>
      <c r="CR195" s="186"/>
      <c r="CS195" s="186"/>
    </row>
    <row r="196" spans="1:97" s="142" customFormat="1">
      <c r="A196" s="139" t="s">
        <v>1250</v>
      </c>
      <c r="B196" s="183" t="str">
        <f>'Reference Score Calculation'!B173</f>
        <v>JS4372</v>
      </c>
      <c r="C196" s="183" t="str">
        <f>'Reference Score Calculation'!E173</f>
        <v>教育學士(幼兒教育)</v>
      </c>
      <c r="D196" s="183"/>
      <c r="E196" s="183" t="str">
        <f>'Reference Score Calculation'!F173</f>
        <v>Best 5</v>
      </c>
      <c r="F196" s="93"/>
      <c r="G196" s="93" t="str">
        <f>入學要求!AB182</f>
        <v>v</v>
      </c>
      <c r="H196" s="93" t="str">
        <f>入學要求!AC182</f>
        <v>E</v>
      </c>
      <c r="I196" s="93" t="str">
        <f>入學要求!AD182</f>
        <v>NO</v>
      </c>
      <c r="J196" s="183">
        <f t="shared" si="288"/>
        <v>3.4999999999999999E-9</v>
      </c>
      <c r="K196" s="475">
        <v>1</v>
      </c>
      <c r="L196" s="475">
        <v>1</v>
      </c>
      <c r="M196" s="475">
        <v>1</v>
      </c>
      <c r="N196" s="475"/>
      <c r="O196" s="475">
        <v>1</v>
      </c>
      <c r="P196" s="475">
        <v>1</v>
      </c>
      <c r="Q196" s="475">
        <v>1</v>
      </c>
      <c r="R196" s="475">
        <v>1</v>
      </c>
      <c r="S196" s="475">
        <v>1</v>
      </c>
      <c r="T196" s="475">
        <v>1</v>
      </c>
      <c r="U196" s="93"/>
      <c r="V196" s="139">
        <f t="shared" si="290"/>
        <v>1E-10</v>
      </c>
      <c r="W196" s="139">
        <f t="shared" si="291"/>
        <v>2.0000000000000001E-10</v>
      </c>
      <c r="X196" s="139">
        <f t="shared" si="292"/>
        <v>3E-10</v>
      </c>
      <c r="Y196" s="139"/>
      <c r="Z196" s="139">
        <f t="shared" si="293"/>
        <v>5.0000000000000003E-10</v>
      </c>
      <c r="AA196" s="139">
        <f t="shared" si="294"/>
        <v>6E-10</v>
      </c>
      <c r="AB196" s="139">
        <f t="shared" si="295"/>
        <v>6.9999999999999996E-10</v>
      </c>
      <c r="AC196" s="139">
        <f t="shared" si="296"/>
        <v>8.0000000000000003E-10</v>
      </c>
      <c r="AD196" s="139">
        <f t="shared" si="297"/>
        <v>8.9999999999999999E-10</v>
      </c>
      <c r="AE196" s="139">
        <f t="shared" si="298"/>
        <v>0</v>
      </c>
      <c r="AF196" s="117">
        <f t="shared" si="258"/>
        <v>1E-10</v>
      </c>
      <c r="AG196" s="117">
        <f t="shared" si="259"/>
        <v>2.0000000000000001E-10</v>
      </c>
      <c r="AH196" s="117">
        <f t="shared" si="260"/>
        <v>3E-10</v>
      </c>
      <c r="AI196" s="117">
        <f t="shared" si="261"/>
        <v>0</v>
      </c>
      <c r="AJ196" s="117">
        <f t="shared" si="262"/>
        <v>5.0000000000000003E-10</v>
      </c>
      <c r="AK196" s="117">
        <f t="shared" si="263"/>
        <v>6E-10</v>
      </c>
      <c r="AL196" s="117">
        <f t="shared" si="264"/>
        <v>6.9999999999999996E-10</v>
      </c>
      <c r="AM196" s="117">
        <f t="shared" si="265"/>
        <v>8.0000000000000003E-10</v>
      </c>
      <c r="AN196" s="117">
        <f t="shared" si="266"/>
        <v>8.9999999999999999E-10</v>
      </c>
      <c r="AO196" s="117">
        <f t="shared" si="267"/>
        <v>0</v>
      </c>
      <c r="AP196" s="139" t="b">
        <f t="shared" si="271"/>
        <v>0</v>
      </c>
      <c r="AQ196" s="139" t="b">
        <f t="shared" si="272"/>
        <v>0</v>
      </c>
      <c r="AR196" s="139" t="b">
        <f t="shared" si="273"/>
        <v>0</v>
      </c>
      <c r="AS196" s="139"/>
      <c r="AT196" s="139" t="b">
        <f t="shared" si="274"/>
        <v>1</v>
      </c>
      <c r="AU196" s="139" t="b">
        <f t="shared" si="275"/>
        <v>1</v>
      </c>
      <c r="AV196" s="139" t="b">
        <f t="shared" si="276"/>
        <v>1</v>
      </c>
      <c r="AW196" s="139" t="b">
        <f t="shared" si="277"/>
        <v>1</v>
      </c>
      <c r="AX196" s="139" t="b">
        <f t="shared" si="269"/>
        <v>1</v>
      </c>
      <c r="AY196" s="139" t="b">
        <f t="shared" si="270"/>
        <v>0</v>
      </c>
      <c r="AZ196" s="139" t="str">
        <f>'Reference Score Calculation'!AV173</f>
        <v>無</v>
      </c>
      <c r="BA196" s="93" t="str">
        <f>'Reference Score Calculation'!N173</f>
        <v>/</v>
      </c>
      <c r="BB196" s="93" t="str">
        <f>'Reference Score Calculation'!O173</f>
        <v>/</v>
      </c>
      <c r="BC196" s="93"/>
      <c r="BD196" s="93"/>
      <c r="BE196" s="93"/>
      <c r="BF196" s="93"/>
      <c r="BG196" s="93" t="s">
        <v>64</v>
      </c>
      <c r="BH196" s="93"/>
      <c r="BI196" s="93"/>
      <c r="BJ196" s="93"/>
      <c r="BK196" s="93"/>
      <c r="BL196" s="93"/>
      <c r="BM196" s="93"/>
      <c r="BN196" s="93"/>
      <c r="BO196" s="93"/>
      <c r="BP196" s="93"/>
      <c r="BQ196" s="93"/>
      <c r="BR196" s="93"/>
      <c r="BS196" s="184"/>
      <c r="BT196" s="185" t="s">
        <v>2410</v>
      </c>
      <c r="BU196" s="185"/>
      <c r="BV196" s="185"/>
      <c r="BW196" s="185"/>
      <c r="BX196" s="185" t="s">
        <v>2411</v>
      </c>
      <c r="BY196" s="185"/>
      <c r="BZ196" s="185"/>
      <c r="CA196" s="185" t="s">
        <v>2412</v>
      </c>
      <c r="CB196" s="186"/>
      <c r="CC196" s="184"/>
      <c r="CD196" s="186"/>
      <c r="CE196" s="186"/>
      <c r="CF196" s="186"/>
      <c r="CG196" s="186"/>
      <c r="CH196" s="186"/>
      <c r="CI196" s="186"/>
      <c r="CJ196" s="186"/>
      <c r="CK196" s="186"/>
      <c r="CL196" s="186"/>
      <c r="CM196" s="186"/>
      <c r="CN196" s="186"/>
      <c r="CO196" s="186"/>
      <c r="CP196" s="186"/>
      <c r="CQ196" s="186"/>
      <c r="CR196" s="186"/>
      <c r="CS196" s="186"/>
    </row>
    <row r="197" spans="1:97" s="142" customFormat="1">
      <c r="A197" s="139" t="s">
        <v>426</v>
      </c>
      <c r="B197" s="183" t="str">
        <f>'Reference Score Calculation'!B174</f>
        <v>JS4386</v>
      </c>
      <c r="C197" s="183" t="str">
        <f>'Reference Score Calculation'!E174</f>
        <v>理學士（學習設計與科技）</v>
      </c>
      <c r="D197" s="183"/>
      <c r="E197" s="183" t="str">
        <f>'Reference Score Calculation'!F174</f>
        <v>Best 5</v>
      </c>
      <c r="F197" s="93"/>
      <c r="G197" s="93" t="str">
        <f>入學要求!AB183</f>
        <v>v</v>
      </c>
      <c r="H197" s="93" t="str">
        <f>入學要求!AC183</f>
        <v>E</v>
      </c>
      <c r="I197" s="93" t="str">
        <f>入學要求!AD183</f>
        <v>NO</v>
      </c>
      <c r="J197" s="183">
        <f t="shared" si="288"/>
        <v>3.7500000000000005E-9</v>
      </c>
      <c r="K197" s="475">
        <v>1</v>
      </c>
      <c r="L197" s="475">
        <v>1</v>
      </c>
      <c r="M197" s="475">
        <v>1.5</v>
      </c>
      <c r="N197" s="475"/>
      <c r="O197" s="475">
        <v>1.5</v>
      </c>
      <c r="P197" s="475">
        <f>IF(OR(P1="物理",P1="生物",P1="化學",P1="資訊及通訊科技",P1="設計與應用科技",P1="企業、會計與財務概論",P1="經濟",P1="地理",P1="科技與生活"),1.5,1)</f>
        <v>1</v>
      </c>
      <c r="Q197" s="475">
        <f>IF(OR(Q1="物理",Q1="生物",Q1="化學",Q1="資訊及通訊科技",Q1="設計與應用科技",Q1="企業、會計與財務概論",Q1="經濟",Q1="地理",Q1="科技與生活"),1.5,1)</f>
        <v>1</v>
      </c>
      <c r="R197" s="475">
        <f>IF(OR(R1="物理",R1="生物",R1="化學",R1="資訊及通訊科技",R1="設計與應用科技",R1="企業、會計與財務概論",R1="經濟",R1="地理",R1="科技與生活"),1.5,1)</f>
        <v>1</v>
      </c>
      <c r="S197" s="475">
        <f>IF(OR(S1="物理",S1="生物",S1="化學",S1="資訊及通訊科技",S1="設計與應用科技",S1="企業、會計與財務概論",S1="經濟",S1="地理",S1="科技與生活"),1.5,1)</f>
        <v>1</v>
      </c>
      <c r="T197" s="475">
        <v>1</v>
      </c>
      <c r="U197" s="93"/>
      <c r="V197" s="139">
        <f t="shared" si="290"/>
        <v>1E-10</v>
      </c>
      <c r="W197" s="139">
        <f t="shared" si="291"/>
        <v>2.0000000000000001E-10</v>
      </c>
      <c r="X197" s="139">
        <f t="shared" si="292"/>
        <v>4.5E-10</v>
      </c>
      <c r="Y197" s="139"/>
      <c r="Z197" s="139">
        <f t="shared" si="293"/>
        <v>7.500000000000001E-10</v>
      </c>
      <c r="AA197" s="139">
        <f t="shared" si="294"/>
        <v>6E-10</v>
      </c>
      <c r="AB197" s="139">
        <f t="shared" si="295"/>
        <v>6.9999999999999996E-10</v>
      </c>
      <c r="AC197" s="139">
        <f t="shared" si="296"/>
        <v>8.0000000000000003E-10</v>
      </c>
      <c r="AD197" s="139">
        <f t="shared" si="297"/>
        <v>8.9999999999999999E-10</v>
      </c>
      <c r="AE197" s="139">
        <f t="shared" si="298"/>
        <v>0</v>
      </c>
      <c r="AF197" s="117">
        <f t="shared" si="258"/>
        <v>1E-10</v>
      </c>
      <c r="AG197" s="117">
        <f t="shared" si="259"/>
        <v>2.0000000000000001E-10</v>
      </c>
      <c r="AH197" s="117">
        <f t="shared" si="260"/>
        <v>4.5E-10</v>
      </c>
      <c r="AI197" s="117">
        <f t="shared" si="261"/>
        <v>0</v>
      </c>
      <c r="AJ197" s="117">
        <f t="shared" si="262"/>
        <v>7.500000000000001E-10</v>
      </c>
      <c r="AK197" s="117">
        <f t="shared" si="263"/>
        <v>6E-10</v>
      </c>
      <c r="AL197" s="117">
        <f t="shared" si="264"/>
        <v>6.9999999999999996E-10</v>
      </c>
      <c r="AM197" s="117">
        <f t="shared" si="265"/>
        <v>8.0000000000000003E-10</v>
      </c>
      <c r="AN197" s="117">
        <f t="shared" si="266"/>
        <v>8.9999999999999999E-10</v>
      </c>
      <c r="AO197" s="117">
        <f t="shared" si="267"/>
        <v>0</v>
      </c>
      <c r="AP197" s="139" t="b">
        <f t="shared" si="271"/>
        <v>0</v>
      </c>
      <c r="AQ197" s="139" t="b">
        <f t="shared" si="272"/>
        <v>0</v>
      </c>
      <c r="AR197" s="139" t="b">
        <f t="shared" si="273"/>
        <v>0</v>
      </c>
      <c r="AS197" s="139"/>
      <c r="AT197" s="139" t="b">
        <f t="shared" si="274"/>
        <v>1</v>
      </c>
      <c r="AU197" s="139" t="b">
        <f t="shared" si="275"/>
        <v>1</v>
      </c>
      <c r="AV197" s="139" t="b">
        <f t="shared" si="276"/>
        <v>1</v>
      </c>
      <c r="AW197" s="139" t="b">
        <f t="shared" si="277"/>
        <v>1</v>
      </c>
      <c r="AX197" s="139" t="b">
        <f t="shared" si="269"/>
        <v>1</v>
      </c>
      <c r="AY197" s="139" t="b">
        <f t="shared" si="270"/>
        <v>0</v>
      </c>
      <c r="AZ197" s="139" t="str">
        <f>'Reference Score Calculation'!AV174</f>
        <v>無</v>
      </c>
      <c r="BA197" s="93" t="str">
        <f>'Reference Score Calculation'!N174</f>
        <v>優先考慮修讀以下科目者︰</v>
      </c>
      <c r="BB197" s="93" t="str">
        <f>'Reference Score Calculation'!O174</f>
        <v>M1/2、生物、化學、物理、DAT、ICT、BAFS、經濟、地理、科技與生活</v>
      </c>
      <c r="BC197" s="93"/>
      <c r="BD197" s="93"/>
      <c r="BE197" s="93"/>
      <c r="BF197" s="93"/>
      <c r="BG197" s="93" t="s">
        <v>64</v>
      </c>
      <c r="BH197" s="93"/>
      <c r="BI197" s="93"/>
      <c r="BJ197" s="93"/>
      <c r="BK197" s="93"/>
      <c r="BL197" s="93"/>
      <c r="BM197" s="93"/>
      <c r="BN197" s="93"/>
      <c r="BO197" s="93"/>
      <c r="BP197" s="93"/>
      <c r="BQ197" s="93"/>
      <c r="BR197" s="93"/>
      <c r="BS197" s="184"/>
      <c r="BT197" s="188" t="b">
        <f>IF(O13&gt;LARGE(BT194:CC194,6),TRUE,FALSE)</f>
        <v>1</v>
      </c>
      <c r="BU197" s="185"/>
      <c r="BV197" s="185"/>
      <c r="BW197" s="185"/>
      <c r="BX197" s="139" t="str">
        <f>IF(BY197&gt;0,INDEX(BT193:CC193,MATCH(BY197,BT194:CC194,0)),"無")</f>
        <v>中國語文</v>
      </c>
      <c r="BY197" s="139">
        <f>LARGE(BT194:CC194,6)</f>
        <v>1E-10</v>
      </c>
      <c r="BZ197" s="185"/>
      <c r="CA197" s="139">
        <f>(BY197+O13)/(O13+O13)</f>
        <v>0.6</v>
      </c>
      <c r="CB197" s="185"/>
      <c r="CC197" s="184"/>
      <c r="CD197" s="186"/>
      <c r="CE197" s="186"/>
      <c r="CF197" s="186"/>
      <c r="CG197" s="186"/>
      <c r="CH197" s="186"/>
      <c r="CI197" s="186"/>
      <c r="CJ197" s="186"/>
      <c r="CK197" s="186"/>
      <c r="CL197" s="186"/>
      <c r="CM197" s="186"/>
      <c r="CN197" s="186"/>
      <c r="CO197" s="186"/>
      <c r="CP197" s="186"/>
      <c r="CQ197" s="186"/>
      <c r="CR197" s="186"/>
      <c r="CS197" s="186"/>
    </row>
    <row r="198" spans="1:97" s="142" customFormat="1">
      <c r="A198" s="139" t="s">
        <v>1258</v>
      </c>
      <c r="B198" s="183" t="str">
        <f>'Reference Score Calculation'!B175</f>
        <v>JS4408</v>
      </c>
      <c r="C198" s="183" t="str">
        <f>'Reference Score Calculation'!E175</f>
        <v>機械與自動化工程學</v>
      </c>
      <c r="D198" s="183"/>
      <c r="E198" s="183" t="str">
        <f>'Reference Score Calculation'!F175</f>
        <v>Best 5</v>
      </c>
      <c r="F198" s="93"/>
      <c r="G198" s="93" t="str">
        <f>入學要求!AB184</f>
        <v>v</v>
      </c>
      <c r="H198" s="93" t="str">
        <f>入學要求!AC184</f>
        <v>E</v>
      </c>
      <c r="I198" s="93" t="str">
        <f>入學要求!AD184</f>
        <v>NO</v>
      </c>
      <c r="J198" s="183">
        <f t="shared" si="288"/>
        <v>3.7500000000000005E-9</v>
      </c>
      <c r="K198" s="475">
        <v>1</v>
      </c>
      <c r="L198" s="475">
        <v>1</v>
      </c>
      <c r="M198" s="475">
        <v>1.5</v>
      </c>
      <c r="N198" s="475"/>
      <c r="O198" s="475">
        <v>1.5</v>
      </c>
      <c r="P198" s="475">
        <f>IF(P1="物理",1.5,IF(OR(P1="生物",P1="化學",P1="資訊及通訊科技",P1="設計與應用科技"),1.25,1))</f>
        <v>1</v>
      </c>
      <c r="Q198" s="475">
        <f>IF(Q1="物理",1.5,IF(OR(Q1="生物",Q1="化學",Q1="資訊及通訊科技",Q1="設計與應用科技"),1.25,1))</f>
        <v>1</v>
      </c>
      <c r="R198" s="475">
        <f>IF(R1="物理",1.5,IF(OR(R1="生物",R1="化學",R1="資訊及通訊科技",R1="設計與應用科技"),1.25,1))</f>
        <v>1</v>
      </c>
      <c r="S198" s="475">
        <f>IF(S1="物理",1.5,IF(OR(S1="生物",S1="化學",S1="資訊及通訊科技",S1="設計與應用科技"),1.25,1))</f>
        <v>1</v>
      </c>
      <c r="T198" s="475">
        <v>1</v>
      </c>
      <c r="U198" s="93"/>
      <c r="V198" s="139">
        <f t="shared" si="290"/>
        <v>1E-10</v>
      </c>
      <c r="W198" s="139">
        <f t="shared" si="291"/>
        <v>2.0000000000000001E-10</v>
      </c>
      <c r="X198" s="139">
        <f t="shared" si="292"/>
        <v>4.5E-10</v>
      </c>
      <c r="Y198" s="139"/>
      <c r="Z198" s="139">
        <f t="shared" si="293"/>
        <v>7.500000000000001E-10</v>
      </c>
      <c r="AA198" s="139">
        <f t="shared" si="294"/>
        <v>6E-10</v>
      </c>
      <c r="AB198" s="139">
        <f t="shared" si="295"/>
        <v>6.9999999999999996E-10</v>
      </c>
      <c r="AC198" s="139">
        <f t="shared" si="296"/>
        <v>8.0000000000000003E-10</v>
      </c>
      <c r="AD198" s="139">
        <f t="shared" si="297"/>
        <v>8.9999999999999999E-10</v>
      </c>
      <c r="AE198" s="139">
        <f t="shared" si="298"/>
        <v>0</v>
      </c>
      <c r="AF198" s="117">
        <f t="shared" si="258"/>
        <v>1E-10</v>
      </c>
      <c r="AG198" s="117">
        <f t="shared" si="259"/>
        <v>2.0000000000000001E-10</v>
      </c>
      <c r="AH198" s="117">
        <f t="shared" si="260"/>
        <v>4.5E-10</v>
      </c>
      <c r="AI198" s="117">
        <f t="shared" si="261"/>
        <v>0</v>
      </c>
      <c r="AJ198" s="117">
        <f t="shared" si="262"/>
        <v>7.500000000000001E-10</v>
      </c>
      <c r="AK198" s="117">
        <f t="shared" si="263"/>
        <v>6E-10</v>
      </c>
      <c r="AL198" s="117">
        <f t="shared" si="264"/>
        <v>6.9999999999999996E-10</v>
      </c>
      <c r="AM198" s="117">
        <f t="shared" si="265"/>
        <v>8.0000000000000003E-10</v>
      </c>
      <c r="AN198" s="117">
        <f t="shared" si="266"/>
        <v>8.9999999999999999E-10</v>
      </c>
      <c r="AO198" s="117">
        <f t="shared" si="267"/>
        <v>0</v>
      </c>
      <c r="AP198" s="139" t="b">
        <f t="shared" si="271"/>
        <v>0</v>
      </c>
      <c r="AQ198" s="139" t="b">
        <f t="shared" si="272"/>
        <v>0</v>
      </c>
      <c r="AR198" s="139" t="b">
        <f t="shared" si="273"/>
        <v>0</v>
      </c>
      <c r="AS198" s="139"/>
      <c r="AT198" s="139" t="b">
        <f t="shared" si="274"/>
        <v>1</v>
      </c>
      <c r="AU198" s="139" t="b">
        <f t="shared" si="275"/>
        <v>1</v>
      </c>
      <c r="AV198" s="139" t="b">
        <f t="shared" si="276"/>
        <v>1</v>
      </c>
      <c r="AW198" s="139" t="b">
        <f t="shared" si="277"/>
        <v>1</v>
      </c>
      <c r="AX198" s="139" t="b">
        <f t="shared" si="269"/>
        <v>1</v>
      </c>
      <c r="AY198" s="139" t="b">
        <f t="shared" si="270"/>
        <v>0</v>
      </c>
      <c r="AZ198" s="139" t="str">
        <f>'Reference Score Calculation'!AV175</f>
        <v>無</v>
      </c>
      <c r="BA198" s="93" t="str">
        <f>'Reference Score Calculation'!N175</f>
        <v>/</v>
      </c>
      <c r="BB198" s="93" t="str">
        <f>'Reference Score Calculation'!O175</f>
        <v>/</v>
      </c>
      <c r="BC198" s="93"/>
      <c r="BD198" s="93"/>
      <c r="BE198" s="93"/>
      <c r="BF198" s="93"/>
      <c r="BG198" s="93" t="s">
        <v>64</v>
      </c>
      <c r="BH198" s="93"/>
      <c r="BI198" s="93"/>
      <c r="BJ198" s="93"/>
      <c r="BK198" s="93"/>
      <c r="BL198" s="93"/>
      <c r="BM198" s="93"/>
      <c r="BN198" s="93"/>
      <c r="BO198" s="93"/>
      <c r="BP198" s="93"/>
      <c r="BQ198" s="93"/>
      <c r="BR198" s="93"/>
      <c r="BS198" s="184"/>
      <c r="BT198" s="184"/>
      <c r="BU198" s="184"/>
      <c r="BV198" s="184"/>
      <c r="BW198" s="184"/>
      <c r="BX198" s="184"/>
      <c r="BY198" s="184"/>
      <c r="BZ198" s="184"/>
      <c r="CA198" s="184"/>
      <c r="CB198" s="184"/>
      <c r="CC198" s="184"/>
      <c r="CD198" s="186"/>
      <c r="CE198" s="186"/>
      <c r="CF198" s="186"/>
      <c r="CG198" s="186"/>
      <c r="CH198" s="186"/>
      <c r="CI198" s="186"/>
      <c r="CJ198" s="186"/>
      <c r="CK198" s="186"/>
      <c r="CL198" s="186"/>
      <c r="CM198" s="186"/>
      <c r="CN198" s="186"/>
      <c r="CO198" s="186"/>
      <c r="CP198" s="186"/>
      <c r="CQ198" s="186"/>
      <c r="CR198" s="186"/>
      <c r="CS198" s="186"/>
    </row>
    <row r="199" spans="1:97" s="139" customFormat="1">
      <c r="A199" s="139" t="s">
        <v>428</v>
      </c>
      <c r="B199" s="183" t="str">
        <f>'Reference Score Calculation'!B176</f>
        <v>JS4412</v>
      </c>
      <c r="C199" s="183" t="str">
        <f>'Reference Score Calculation'!E176</f>
        <v>計算機科學與工程</v>
      </c>
      <c r="D199" s="183"/>
      <c r="E199" s="183" t="str">
        <f>'Reference Score Calculation'!F176</f>
        <v>Best 5</v>
      </c>
      <c r="F199" s="93"/>
      <c r="G199" s="93" t="str">
        <f>入學要求!AB185</f>
        <v>v</v>
      </c>
      <c r="H199" s="93" t="str">
        <f>入學要求!AC185</f>
        <v>E</v>
      </c>
      <c r="I199" s="93" t="str">
        <f>入學要求!AD185</f>
        <v>NO</v>
      </c>
      <c r="J199" s="183">
        <f t="shared" si="288"/>
        <v>3.875E-9</v>
      </c>
      <c r="K199" s="475">
        <v>1</v>
      </c>
      <c r="L199" s="475">
        <v>1</v>
      </c>
      <c r="M199" s="475">
        <v>1.5</v>
      </c>
      <c r="N199" s="475"/>
      <c r="O199" s="475">
        <v>1.75</v>
      </c>
      <c r="P199" s="475">
        <f>IF(OR(P1="物理",P1="生物",P1="化學",P1="資訊及通訊科技",P1="設計與應用科技"),1.5,1)</f>
        <v>1</v>
      </c>
      <c r="Q199" s="475">
        <f>IF(OR(Q1="物理",Q1="生物",Q1="化學",Q1="資訊及通訊科技",Q1="設計與應用科技"),1.5,1)</f>
        <v>1</v>
      </c>
      <c r="R199" s="475">
        <f>IF(OR(R1="物理",R1="生物",R1="化學",R1="資訊及通訊科技",R1="設計與應用科技"),1.5,1)</f>
        <v>1</v>
      </c>
      <c r="S199" s="475">
        <f>IF(OR(S1="物理",S1="生物",S1="化學",S1="資訊及通訊科技",S1="設計與應用科技"),1.5,1)</f>
        <v>1</v>
      </c>
      <c r="T199" s="475">
        <v>1</v>
      </c>
      <c r="U199" s="93"/>
      <c r="V199" s="139">
        <f t="shared" si="290"/>
        <v>1E-10</v>
      </c>
      <c r="W199" s="139">
        <f t="shared" si="291"/>
        <v>2.0000000000000001E-10</v>
      </c>
      <c r="X199" s="139">
        <f t="shared" si="292"/>
        <v>4.5E-10</v>
      </c>
      <c r="Z199" s="139">
        <f t="shared" si="293"/>
        <v>8.7500000000000008E-10</v>
      </c>
      <c r="AA199" s="139">
        <f t="shared" si="294"/>
        <v>6E-10</v>
      </c>
      <c r="AB199" s="139">
        <f t="shared" si="295"/>
        <v>6.9999999999999996E-10</v>
      </c>
      <c r="AC199" s="139">
        <f t="shared" si="296"/>
        <v>8.0000000000000003E-10</v>
      </c>
      <c r="AD199" s="139">
        <f t="shared" si="297"/>
        <v>8.9999999999999999E-10</v>
      </c>
      <c r="AE199" s="139">
        <f t="shared" si="298"/>
        <v>0</v>
      </c>
      <c r="AF199" s="117">
        <f t="shared" si="258"/>
        <v>1E-10</v>
      </c>
      <c r="AG199" s="117">
        <f t="shared" si="259"/>
        <v>2.0000000000000001E-10</v>
      </c>
      <c r="AH199" s="117">
        <f t="shared" si="260"/>
        <v>4.5E-10</v>
      </c>
      <c r="AI199" s="117">
        <f t="shared" si="261"/>
        <v>0</v>
      </c>
      <c r="AJ199" s="117">
        <f t="shared" si="262"/>
        <v>8.7500000000000008E-10</v>
      </c>
      <c r="AK199" s="117">
        <f t="shared" si="263"/>
        <v>6E-10</v>
      </c>
      <c r="AL199" s="117">
        <f t="shared" si="264"/>
        <v>6.9999999999999996E-10</v>
      </c>
      <c r="AM199" s="117">
        <f t="shared" si="265"/>
        <v>8.0000000000000003E-10</v>
      </c>
      <c r="AN199" s="117">
        <f t="shared" si="266"/>
        <v>8.9999999999999999E-10</v>
      </c>
      <c r="AO199" s="117">
        <f t="shared" si="267"/>
        <v>0</v>
      </c>
      <c r="AP199" s="139" t="b">
        <f t="shared" si="271"/>
        <v>0</v>
      </c>
      <c r="AQ199" s="139" t="b">
        <f t="shared" si="272"/>
        <v>0</v>
      </c>
      <c r="AR199" s="139" t="b">
        <f t="shared" si="273"/>
        <v>0</v>
      </c>
      <c r="AT199" s="139" t="b">
        <f t="shared" si="274"/>
        <v>1</v>
      </c>
      <c r="AU199" s="139" t="b">
        <f t="shared" si="275"/>
        <v>1</v>
      </c>
      <c r="AV199" s="139" t="b">
        <f t="shared" si="276"/>
        <v>1</v>
      </c>
      <c r="AW199" s="139" t="b">
        <f t="shared" si="277"/>
        <v>1</v>
      </c>
      <c r="AX199" s="139" t="b">
        <f t="shared" si="269"/>
        <v>1</v>
      </c>
      <c r="AY199" s="139" t="b">
        <f t="shared" si="270"/>
        <v>0</v>
      </c>
      <c r="AZ199" s="139" t="str">
        <f>'Reference Score Calculation'!AV176</f>
        <v>無</v>
      </c>
      <c r="BA199" s="93" t="str">
        <f>'Reference Score Calculation'!N176</f>
        <v>優先考慮修讀以下科目者︰</v>
      </c>
      <c r="BB199" s="93" t="str">
        <f>'Reference Score Calculation'!O176</f>
        <v>M1/2、生物、化學、DAT、ICT、物理</v>
      </c>
      <c r="BC199" s="93"/>
      <c r="BD199" s="93"/>
      <c r="BE199" s="93"/>
      <c r="BF199" s="93"/>
      <c r="BG199" s="93" t="s">
        <v>64</v>
      </c>
      <c r="BH199" s="93"/>
      <c r="BI199" s="93"/>
      <c r="BJ199" s="93"/>
      <c r="BK199" s="93"/>
      <c r="BL199" s="93"/>
      <c r="BM199" s="93"/>
      <c r="BN199" s="93"/>
      <c r="BO199" s="93"/>
      <c r="BP199" s="93"/>
      <c r="BQ199" s="93"/>
      <c r="BR199" s="93"/>
      <c r="BS199" s="184"/>
      <c r="BT199" s="184" t="s">
        <v>3086</v>
      </c>
      <c r="BU199" s="184"/>
      <c r="BV199" s="184"/>
      <c r="BW199" s="184"/>
      <c r="BX199" s="184"/>
      <c r="BY199" s="184"/>
      <c r="BZ199" s="184"/>
      <c r="CA199" s="184"/>
      <c r="CB199" s="184"/>
      <c r="CC199" s="184"/>
      <c r="CD199" s="186"/>
      <c r="CE199" s="186"/>
      <c r="CF199" s="186"/>
      <c r="CG199" s="186"/>
      <c r="CH199" s="186"/>
      <c r="CI199" s="186"/>
      <c r="CJ199" s="186"/>
      <c r="CK199" s="186"/>
      <c r="CL199" s="186"/>
      <c r="CM199" s="186"/>
      <c r="CN199" s="186"/>
      <c r="CO199" s="186"/>
      <c r="CP199" s="186"/>
      <c r="CQ199" s="186"/>
      <c r="CR199" s="186"/>
      <c r="CS199" s="186"/>
    </row>
    <row r="200" spans="1:97" s="139" customFormat="1">
      <c r="A200" s="139" t="s">
        <v>1264</v>
      </c>
      <c r="B200" s="183" t="str">
        <f>'Reference Score Calculation'!B177</f>
        <v>JS4416</v>
      </c>
      <c r="C200" s="183" t="str">
        <f>'Reference Score Calculation'!E177</f>
        <v>計算數據科學</v>
      </c>
      <c r="D200" s="183"/>
      <c r="E200" s="183" t="str">
        <f>'Reference Score Calculation'!F177</f>
        <v>Best 5</v>
      </c>
      <c r="F200" s="93"/>
      <c r="G200" s="93" t="str">
        <f>入學要求!AB186</f>
        <v>v</v>
      </c>
      <c r="H200" s="93" t="str">
        <f>入學要求!AC186</f>
        <v>E</v>
      </c>
      <c r="I200" s="93" t="str">
        <f>入學要求!AD186</f>
        <v>NO</v>
      </c>
      <c r="J200" s="183">
        <f t="shared" si="288"/>
        <v>3.3999999999999998E-9</v>
      </c>
      <c r="K200" s="475">
        <v>1</v>
      </c>
      <c r="L200" s="475">
        <v>1.5</v>
      </c>
      <c r="M200" s="475">
        <v>2</v>
      </c>
      <c r="N200" s="475"/>
      <c r="O200" s="475">
        <v>2</v>
      </c>
      <c r="P200" s="475">
        <f>IF(OR(P1="物理",P1="生物",P1="化學",P1="資訊及通訊科技",P1="經濟"),1.5,1)</f>
        <v>1</v>
      </c>
      <c r="Q200" s="475">
        <f>IF(OR(Q1="物理",Q1="生物",Q1="化學",Q1="資訊及通訊科技",Q1="經濟"),1.5,1)</f>
        <v>1</v>
      </c>
      <c r="R200" s="475">
        <f>IF(OR(R1="物理",R1="生物",R1="化學",R1="資訊及通訊科技",R1="經濟"),1.5,1)</f>
        <v>1</v>
      </c>
      <c r="S200" s="475">
        <f>IF(OR(S1="物理",S1="生物",S1="化學",S1="資訊及通訊科技",S1="經濟"),1.5,1)</f>
        <v>1</v>
      </c>
      <c r="T200" s="475">
        <v>1</v>
      </c>
      <c r="U200" s="93"/>
      <c r="V200" s="139">
        <f t="shared" si="290"/>
        <v>1E-10</v>
      </c>
      <c r="W200" s="139">
        <f t="shared" si="291"/>
        <v>3E-10</v>
      </c>
      <c r="X200" s="139">
        <f t="shared" si="292"/>
        <v>6E-10</v>
      </c>
      <c r="Z200" s="139">
        <f t="shared" si="293"/>
        <v>1.0000000000000001E-9</v>
      </c>
      <c r="AA200" s="139">
        <f t="shared" si="294"/>
        <v>6E-10</v>
      </c>
      <c r="AB200" s="139">
        <f t="shared" si="295"/>
        <v>6.9999999999999996E-10</v>
      </c>
      <c r="AC200" s="139">
        <f t="shared" si="296"/>
        <v>8.0000000000000003E-10</v>
      </c>
      <c r="AD200" s="139">
        <f t="shared" si="297"/>
        <v>8.9999999999999999E-10</v>
      </c>
      <c r="AE200" s="139">
        <f t="shared" si="298"/>
        <v>0</v>
      </c>
      <c r="AF200" s="117">
        <f t="shared" ref="AF200:AF231" si="299">IF(BH200=TRUE,V200+99,V200)</f>
        <v>1E-10</v>
      </c>
      <c r="AG200" s="117">
        <f t="shared" ref="AG200:AG231" si="300">IF(BI200=TRUE,W200+99,W200)</f>
        <v>3E-10</v>
      </c>
      <c r="AH200" s="117">
        <f t="shared" ref="AH200:AH231" si="301">IF(BJ200=TRUE,X200+99,X200)</f>
        <v>6E-10</v>
      </c>
      <c r="AI200" s="117">
        <f t="shared" ref="AI200:AI231" si="302">IF(BK200=TRUE,Y200+99,Y200)</f>
        <v>0</v>
      </c>
      <c r="AJ200" s="117">
        <f t="shared" ref="AJ200:AJ231" si="303">IF(BL200=TRUE,Z200+99,Z200)</f>
        <v>1.0000000000000001E-9</v>
      </c>
      <c r="AK200" s="117">
        <f t="shared" ref="AK200:AK231" si="304">IF(BM200=TRUE,AA200+99,AA200)</f>
        <v>6E-10</v>
      </c>
      <c r="AL200" s="117">
        <f t="shared" ref="AL200:AL231" si="305">IF(BN200=TRUE,AB200+99,AB200)</f>
        <v>6.9999999999999996E-10</v>
      </c>
      <c r="AM200" s="117">
        <f t="shared" ref="AM200:AM231" si="306">IF(BO200=TRUE,AC200+99,AC200)</f>
        <v>8.0000000000000003E-10</v>
      </c>
      <c r="AN200" s="117">
        <f t="shared" ref="AN200:AN231" si="307">IF(BP200=TRUE,AD200+99,AD200)</f>
        <v>8.9999999999999999E-10</v>
      </c>
      <c r="AO200" s="117">
        <f t="shared" ref="AO200:AO231" si="308">IF(BQ200=TRUE,AE200+99,AE200)</f>
        <v>0</v>
      </c>
      <c r="AP200" s="139" t="b">
        <f t="shared" si="271"/>
        <v>0</v>
      </c>
      <c r="AQ200" s="139" t="b">
        <f t="shared" si="272"/>
        <v>0</v>
      </c>
      <c r="AR200" s="139" t="b">
        <f t="shared" si="273"/>
        <v>0</v>
      </c>
      <c r="AT200" s="139" t="b">
        <f t="shared" si="274"/>
        <v>1</v>
      </c>
      <c r="AU200" s="139" t="b">
        <f t="shared" si="275"/>
        <v>0</v>
      </c>
      <c r="AV200" s="139" t="b">
        <f t="shared" si="276"/>
        <v>1</v>
      </c>
      <c r="AW200" s="139" t="b">
        <f t="shared" si="277"/>
        <v>1</v>
      </c>
      <c r="AX200" s="139" t="b">
        <f t="shared" si="269"/>
        <v>1</v>
      </c>
      <c r="AY200" s="139" t="b">
        <f t="shared" si="270"/>
        <v>0</v>
      </c>
      <c r="AZ200" s="139" t="str">
        <f>'Reference Score Calculation'!AV177</f>
        <v>無</v>
      </c>
      <c r="BA200" s="93" t="str">
        <f>'Reference Score Calculation'!N177</f>
        <v>優先考慮修讀以下科目者︰</v>
      </c>
      <c r="BB200" s="93" t="str">
        <f>'Reference Score Calculation'!O177</f>
        <v>M1/2、生物、化學、經濟、ICT、物理</v>
      </c>
      <c r="BC200" s="93"/>
      <c r="BD200" s="93"/>
      <c r="BE200" s="93"/>
      <c r="BF200" s="93"/>
      <c r="BG200" s="93" t="s">
        <v>64</v>
      </c>
      <c r="BH200" s="93"/>
      <c r="BI200" s="93"/>
      <c r="BJ200" s="93"/>
      <c r="BK200" s="93"/>
      <c r="BL200" s="93"/>
      <c r="BM200" s="93"/>
      <c r="BN200" s="93"/>
      <c r="BO200" s="93"/>
      <c r="BP200" s="93"/>
      <c r="BQ200" s="93"/>
      <c r="BR200" s="93"/>
      <c r="BS200" s="184"/>
      <c r="BT200" s="184" t="str">
        <f>K1</f>
        <v>中國語文</v>
      </c>
      <c r="BU200" s="184" t="str">
        <f>L1</f>
        <v>英國語文</v>
      </c>
      <c r="BV200" s="184" t="str">
        <f>M1</f>
        <v>數學</v>
      </c>
      <c r="BW200" s="184"/>
      <c r="BX200" s="184" t="str">
        <f t="shared" ref="BX200:CC200" si="309">O1</f>
        <v>數學延伸</v>
      </c>
      <c r="BY200" s="184" t="str">
        <f t="shared" si="309"/>
        <v>請選擇第一選修科</v>
      </c>
      <c r="BZ200" s="184" t="str">
        <f t="shared" si="309"/>
        <v>請選擇第二選修科</v>
      </c>
      <c r="CA200" s="184" t="str">
        <f t="shared" si="309"/>
        <v>請選擇第三選修科</v>
      </c>
      <c r="CB200" s="184" t="str">
        <f t="shared" si="309"/>
        <v>請選擇第四選修科</v>
      </c>
      <c r="CC200" s="184" t="str">
        <f t="shared" si="309"/>
        <v>請選擇語言科目</v>
      </c>
      <c r="CD200" s="186"/>
      <c r="CE200" s="186"/>
      <c r="CF200" s="186"/>
      <c r="CG200" s="186"/>
      <c r="CH200" s="186"/>
      <c r="CI200" s="186"/>
      <c r="CJ200" s="186"/>
      <c r="CK200" s="186"/>
      <c r="CL200" s="186"/>
      <c r="CM200" s="186"/>
      <c r="CN200" s="186"/>
      <c r="CO200" s="186"/>
      <c r="CP200" s="186"/>
      <c r="CQ200" s="186"/>
      <c r="CR200" s="186"/>
      <c r="CS200" s="186"/>
    </row>
    <row r="201" spans="1:97" s="139" customFormat="1">
      <c r="A201" s="139" t="s">
        <v>1268</v>
      </c>
      <c r="B201" s="183" t="str">
        <f>'Reference Score Calculation'!B178</f>
        <v>JS4428</v>
      </c>
      <c r="C201" s="183" t="str">
        <f>'Reference Score Calculation'!E178</f>
        <v>金融科技學</v>
      </c>
      <c r="D201" s="183"/>
      <c r="E201" s="183" t="str">
        <f>'Reference Score Calculation'!F178</f>
        <v>Best 5</v>
      </c>
      <c r="F201" s="93"/>
      <c r="G201" s="93" t="str">
        <f>入學要求!AB187</f>
        <v>v</v>
      </c>
      <c r="H201" s="93" t="str">
        <f>入學要求!AC187</f>
        <v>E</v>
      </c>
      <c r="I201" s="93" t="str">
        <f>入學要求!AD187</f>
        <v>NO</v>
      </c>
      <c r="J201" s="183">
        <f t="shared" si="288"/>
        <v>3.875E-9</v>
      </c>
      <c r="K201" s="475">
        <v>1.25</v>
      </c>
      <c r="L201" s="475">
        <v>1.25</v>
      </c>
      <c r="M201" s="475">
        <v>1.75</v>
      </c>
      <c r="N201" s="475"/>
      <c r="O201" s="475">
        <v>1.75</v>
      </c>
      <c r="P201" s="475">
        <f>IF(OR(P1="物理",P1="生物",P1="化學",P1="資訊及通訊科技",P1="經濟",P1="企業、會計與財務概論"),1.5,1)</f>
        <v>1</v>
      </c>
      <c r="Q201" s="475">
        <f>IF(OR(Q1="物理",Q1="生物",Q1="化學",Q1="資訊及通訊科技",Q1="經濟",Q1="企業、會計與財務概論"),1.5,1)</f>
        <v>1</v>
      </c>
      <c r="R201" s="475">
        <f>IF(OR(R1="物理",R1="生物",R1="化學",R1="資訊及通訊科技",R1="經濟",R1="企業、會計與財務概論"),1.5,1)</f>
        <v>1</v>
      </c>
      <c r="S201" s="475">
        <f>IF(OR(S1="物理",S1="生物",S1="化學",S1="資訊及通訊科技",S1="經濟",S1="企業、會計與財務概論"),1.5,1)</f>
        <v>1</v>
      </c>
      <c r="T201" s="475">
        <v>1</v>
      </c>
      <c r="U201" s="93"/>
      <c r="V201" s="139">
        <f t="shared" si="290"/>
        <v>1.2500000000000001E-10</v>
      </c>
      <c r="W201" s="139">
        <f t="shared" si="291"/>
        <v>2.5000000000000002E-10</v>
      </c>
      <c r="X201" s="139">
        <f t="shared" si="292"/>
        <v>5.2499999999999994E-10</v>
      </c>
      <c r="Z201" s="139">
        <f t="shared" si="293"/>
        <v>8.7500000000000008E-10</v>
      </c>
      <c r="AA201" s="139">
        <f t="shared" si="294"/>
        <v>6E-10</v>
      </c>
      <c r="AB201" s="139">
        <f t="shared" si="295"/>
        <v>6.9999999999999996E-10</v>
      </c>
      <c r="AC201" s="139">
        <f t="shared" si="296"/>
        <v>8.0000000000000003E-10</v>
      </c>
      <c r="AD201" s="139">
        <f t="shared" si="297"/>
        <v>8.9999999999999999E-10</v>
      </c>
      <c r="AE201" s="139">
        <f t="shared" si="298"/>
        <v>0</v>
      </c>
      <c r="AF201" s="117">
        <f t="shared" si="299"/>
        <v>1.2500000000000001E-10</v>
      </c>
      <c r="AG201" s="117">
        <f t="shared" si="300"/>
        <v>2.5000000000000002E-10</v>
      </c>
      <c r="AH201" s="117">
        <f t="shared" si="301"/>
        <v>5.2499999999999994E-10</v>
      </c>
      <c r="AI201" s="117">
        <f t="shared" si="302"/>
        <v>0</v>
      </c>
      <c r="AJ201" s="117">
        <f t="shared" si="303"/>
        <v>8.7500000000000008E-10</v>
      </c>
      <c r="AK201" s="117">
        <f t="shared" si="304"/>
        <v>6E-10</v>
      </c>
      <c r="AL201" s="117">
        <f t="shared" si="305"/>
        <v>6.9999999999999996E-10</v>
      </c>
      <c r="AM201" s="117">
        <f t="shared" si="306"/>
        <v>8.0000000000000003E-10</v>
      </c>
      <c r="AN201" s="117">
        <f t="shared" si="307"/>
        <v>8.9999999999999999E-10</v>
      </c>
      <c r="AO201" s="117">
        <f t="shared" si="308"/>
        <v>0</v>
      </c>
      <c r="AP201" s="139" t="b">
        <f t="shared" si="271"/>
        <v>0</v>
      </c>
      <c r="AQ201" s="139" t="b">
        <f t="shared" si="272"/>
        <v>0</v>
      </c>
      <c r="AR201" s="139" t="b">
        <f t="shared" si="273"/>
        <v>0</v>
      </c>
      <c r="AT201" s="139" t="b">
        <f t="shared" si="274"/>
        <v>1</v>
      </c>
      <c r="AU201" s="139" t="b">
        <f t="shared" si="275"/>
        <v>1</v>
      </c>
      <c r="AV201" s="139" t="b">
        <f t="shared" si="276"/>
        <v>1</v>
      </c>
      <c r="AW201" s="139" t="b">
        <f t="shared" si="277"/>
        <v>1</v>
      </c>
      <c r="AX201" s="139" t="b">
        <f t="shared" si="269"/>
        <v>1</v>
      </c>
      <c r="AY201" s="139" t="b">
        <f t="shared" si="270"/>
        <v>0</v>
      </c>
      <c r="AZ201" s="139" t="str">
        <f>'Reference Score Calculation'!AV178</f>
        <v>無</v>
      </c>
      <c r="BA201" s="93" t="str">
        <f>'Reference Score Calculation'!N178</f>
        <v>優先考慮修讀以下科目者︰</v>
      </c>
      <c r="BB201" s="93" t="str">
        <f>'Reference Score Calculation'!O178</f>
        <v>M1/2、生物、BAFS、化學、經濟、ICT、物理</v>
      </c>
      <c r="BC201" s="93"/>
      <c r="BD201" s="93"/>
      <c r="BE201" s="93"/>
      <c r="BF201" s="93"/>
      <c r="BG201" s="93" t="s">
        <v>64</v>
      </c>
      <c r="BH201" s="93"/>
      <c r="BI201" s="93"/>
      <c r="BJ201" s="93"/>
      <c r="BK201" s="93"/>
      <c r="BL201" s="93"/>
      <c r="BM201" s="93"/>
      <c r="BN201" s="93"/>
      <c r="BO201" s="93"/>
      <c r="BP201" s="93"/>
      <c r="BQ201" s="93"/>
      <c r="BR201" s="93"/>
      <c r="BS201" s="184"/>
      <c r="BT201" s="473">
        <f>IF(AND($BT$197,$BX$197=K$1),0,1)</f>
        <v>0</v>
      </c>
      <c r="BU201" s="473">
        <f>IF(AND($BT$197,$BX$197=L$1),0,1)</f>
        <v>1</v>
      </c>
      <c r="BV201" s="473">
        <f>IF(AND($BT$197,$BX$197=M$1),0,1)</f>
        <v>1</v>
      </c>
      <c r="BW201" s="473"/>
      <c r="BX201" s="473">
        <f>CA197</f>
        <v>0.6</v>
      </c>
      <c r="BY201" s="473">
        <f>IF(AND($BT$197,$BX$197=P$1),0,1)</f>
        <v>1</v>
      </c>
      <c r="BZ201" s="473">
        <f>IF(AND($BT$197,$BX$197=Q$1),0,1)</f>
        <v>1</v>
      </c>
      <c r="CA201" s="473">
        <f>IF(AND($BT$197,$BX$197=R$1),0,1)</f>
        <v>1</v>
      </c>
      <c r="CB201" s="473">
        <f>IF(AND($BT$197,$BX$197=S$1),0,1)</f>
        <v>1</v>
      </c>
      <c r="CC201" s="473">
        <f>IF(AND($BT$197,$BX$197=T$1),0,1)</f>
        <v>1</v>
      </c>
      <c r="CD201" s="186"/>
      <c r="CE201" s="186"/>
      <c r="CF201" s="186"/>
      <c r="CG201" s="186"/>
      <c r="CH201" s="186"/>
      <c r="CI201" s="186"/>
      <c r="CJ201" s="186"/>
      <c r="CK201" s="186"/>
      <c r="CL201" s="186"/>
      <c r="CM201" s="186"/>
      <c r="CN201" s="186"/>
      <c r="CO201" s="186"/>
      <c r="CP201" s="186"/>
      <c r="CQ201" s="186"/>
      <c r="CR201" s="186"/>
      <c r="CS201" s="186"/>
    </row>
    <row r="202" spans="1:97" s="139" customFormat="1">
      <c r="A202" s="139" t="s">
        <v>1272</v>
      </c>
      <c r="B202" s="183" t="str">
        <f>'Reference Score Calculation'!B179</f>
        <v>JS4434</v>
      </c>
      <c r="C202" s="183" t="str">
        <f>'Reference Score Calculation'!E179</f>
        <v>電子工程學</v>
      </c>
      <c r="D202" s="183"/>
      <c r="E202" s="183" t="str">
        <f>'Reference Score Calculation'!F179</f>
        <v>Best 5</v>
      </c>
      <c r="F202" s="93"/>
      <c r="G202" s="93" t="str">
        <f>入學要求!AB188</f>
        <v>v</v>
      </c>
      <c r="H202" s="93" t="str">
        <f>入學要求!AC188</f>
        <v>E</v>
      </c>
      <c r="I202" s="93" t="str">
        <f>入學要求!AD188</f>
        <v>NO</v>
      </c>
      <c r="J202" s="183">
        <f t="shared" si="288"/>
        <v>3.7500000000000005E-9</v>
      </c>
      <c r="K202" s="475">
        <v>1</v>
      </c>
      <c r="L202" s="475">
        <v>1</v>
      </c>
      <c r="M202" s="475">
        <v>1.5</v>
      </c>
      <c r="N202" s="475"/>
      <c r="O202" s="475">
        <v>1.5</v>
      </c>
      <c r="P202" s="475">
        <f>IF(P1="物理",1.5,1)</f>
        <v>1</v>
      </c>
      <c r="Q202" s="475">
        <f>IF(Q1="物理",1.5,1)</f>
        <v>1</v>
      </c>
      <c r="R202" s="475">
        <f>IF(R1="物理",1.5,1)</f>
        <v>1</v>
      </c>
      <c r="S202" s="475">
        <f>IF(S1="物理",1.5,1)</f>
        <v>1</v>
      </c>
      <c r="T202" s="475">
        <v>1</v>
      </c>
      <c r="U202" s="93"/>
      <c r="V202" s="139">
        <f t="shared" si="290"/>
        <v>1E-10</v>
      </c>
      <c r="W202" s="139">
        <f t="shared" si="291"/>
        <v>2.0000000000000001E-10</v>
      </c>
      <c r="X202" s="139">
        <f t="shared" si="292"/>
        <v>4.5E-10</v>
      </c>
      <c r="Z202" s="139">
        <f t="shared" si="293"/>
        <v>7.500000000000001E-10</v>
      </c>
      <c r="AA202" s="139">
        <f t="shared" si="294"/>
        <v>6E-10</v>
      </c>
      <c r="AB202" s="139">
        <f t="shared" si="295"/>
        <v>6.9999999999999996E-10</v>
      </c>
      <c r="AC202" s="139">
        <f t="shared" si="296"/>
        <v>8.0000000000000003E-10</v>
      </c>
      <c r="AD202" s="139">
        <f t="shared" si="297"/>
        <v>8.9999999999999999E-10</v>
      </c>
      <c r="AE202" s="139">
        <f t="shared" si="298"/>
        <v>0</v>
      </c>
      <c r="AF202" s="117">
        <f t="shared" si="299"/>
        <v>1E-10</v>
      </c>
      <c r="AG202" s="117">
        <f t="shared" si="300"/>
        <v>2.0000000000000001E-10</v>
      </c>
      <c r="AH202" s="117">
        <f t="shared" si="301"/>
        <v>4.5E-10</v>
      </c>
      <c r="AI202" s="117">
        <f t="shared" si="302"/>
        <v>0</v>
      </c>
      <c r="AJ202" s="117">
        <f t="shared" si="303"/>
        <v>7.500000000000001E-10</v>
      </c>
      <c r="AK202" s="117">
        <f t="shared" si="304"/>
        <v>6E-10</v>
      </c>
      <c r="AL202" s="117">
        <f t="shared" si="305"/>
        <v>6.9999999999999996E-10</v>
      </c>
      <c r="AM202" s="117">
        <f t="shared" si="306"/>
        <v>8.0000000000000003E-10</v>
      </c>
      <c r="AN202" s="117">
        <f t="shared" si="307"/>
        <v>8.9999999999999999E-10</v>
      </c>
      <c r="AO202" s="117">
        <f t="shared" si="308"/>
        <v>0</v>
      </c>
      <c r="AP202" s="139" t="b">
        <f t="shared" si="271"/>
        <v>0</v>
      </c>
      <c r="AQ202" s="139" t="b">
        <f t="shared" si="272"/>
        <v>0</v>
      </c>
      <c r="AR202" s="139" t="b">
        <f t="shared" si="273"/>
        <v>0</v>
      </c>
      <c r="AT202" s="139" t="b">
        <f t="shared" si="274"/>
        <v>1</v>
      </c>
      <c r="AU202" s="139" t="b">
        <f t="shared" si="275"/>
        <v>1</v>
      </c>
      <c r="AV202" s="139" t="b">
        <f t="shared" si="276"/>
        <v>1</v>
      </c>
      <c r="AW202" s="139" t="b">
        <f t="shared" si="277"/>
        <v>1</v>
      </c>
      <c r="AX202" s="139" t="b">
        <f t="shared" si="269"/>
        <v>1</v>
      </c>
      <c r="AY202" s="139" t="b">
        <f t="shared" si="270"/>
        <v>0</v>
      </c>
      <c r="AZ202" s="139" t="str">
        <f>'Reference Score Calculation'!AV179</f>
        <v>5%或更少(全Cert)</v>
      </c>
      <c r="BA202" s="93" t="str">
        <f>'Reference Score Calculation'!N179</f>
        <v>/</v>
      </c>
      <c r="BB202" s="93" t="str">
        <f>'Reference Score Calculation'!O179</f>
        <v>/</v>
      </c>
      <c r="BC202" s="93"/>
      <c r="BD202" s="93"/>
      <c r="BE202" s="93"/>
      <c r="BF202" s="93"/>
      <c r="BG202" s="93" t="s">
        <v>64</v>
      </c>
      <c r="BH202" s="93"/>
      <c r="BI202" s="93"/>
      <c r="BJ202" s="93"/>
      <c r="BK202" s="93"/>
      <c r="BL202" s="93"/>
      <c r="BM202" s="93"/>
      <c r="BN202" s="93"/>
      <c r="BO202" s="93"/>
      <c r="BP202" s="93"/>
      <c r="BQ202" s="93"/>
      <c r="BR202" s="93"/>
      <c r="BS202" s="184"/>
      <c r="BT202" s="139">
        <f>BT194*BT201</f>
        <v>0</v>
      </c>
      <c r="BU202" s="139">
        <f t="shared" ref="BU202:CC202" si="310">BU194*BU201</f>
        <v>2.0000000000000001E-10</v>
      </c>
      <c r="BV202" s="139">
        <f t="shared" si="310"/>
        <v>3E-10</v>
      </c>
      <c r="BX202" s="139">
        <f>BX201*O13</f>
        <v>3E-10</v>
      </c>
      <c r="BY202" s="139">
        <f t="shared" si="310"/>
        <v>6E-10</v>
      </c>
      <c r="BZ202" s="139">
        <f t="shared" si="310"/>
        <v>0</v>
      </c>
      <c r="CA202" s="139">
        <f t="shared" si="310"/>
        <v>8.0000000000000003E-10</v>
      </c>
      <c r="CB202" s="139">
        <f t="shared" si="310"/>
        <v>8.9999999999999999E-10</v>
      </c>
      <c r="CC202" s="139">
        <f t="shared" si="310"/>
        <v>0</v>
      </c>
      <c r="CD202" s="186"/>
      <c r="CE202" s="186"/>
      <c r="CF202" s="186"/>
      <c r="CG202" s="186"/>
      <c r="CH202" s="186"/>
      <c r="CI202" s="186"/>
      <c r="CJ202" s="186"/>
      <c r="CK202" s="186"/>
      <c r="CL202" s="186"/>
      <c r="CM202" s="186"/>
      <c r="CN202" s="186"/>
      <c r="CO202" s="186"/>
      <c r="CP202" s="186"/>
      <c r="CQ202" s="186"/>
      <c r="CR202" s="186"/>
      <c r="CS202" s="186"/>
    </row>
    <row r="203" spans="1:97" s="139" customFormat="1">
      <c r="A203" s="139" t="s">
        <v>429</v>
      </c>
      <c r="B203" s="183" t="str">
        <f>'Reference Score Calculation'!B180</f>
        <v>JS4446</v>
      </c>
      <c r="C203" s="183" t="str">
        <f>'Reference Score Calculation'!E180</f>
        <v>信息工程學</v>
      </c>
      <c r="D203" s="183"/>
      <c r="E203" s="183" t="str">
        <f>'Reference Score Calculation'!F180</f>
        <v>Best 5</v>
      </c>
      <c r="F203" s="93"/>
      <c r="G203" s="93" t="str">
        <f>入學要求!AB189</f>
        <v>v</v>
      </c>
      <c r="H203" s="93" t="str">
        <f>入學要求!AC189</f>
        <v>E</v>
      </c>
      <c r="I203" s="93" t="str">
        <f>入學要求!AD189</f>
        <v>NO</v>
      </c>
      <c r="J203" s="183">
        <f t="shared" si="288"/>
        <v>3.2750000000000004E-9</v>
      </c>
      <c r="K203" s="475">
        <v>1</v>
      </c>
      <c r="L203" s="475">
        <v>1</v>
      </c>
      <c r="M203" s="475">
        <v>2</v>
      </c>
      <c r="N203" s="475"/>
      <c r="O203" s="475">
        <v>1.75</v>
      </c>
      <c r="P203" s="475">
        <f>IF(OR(P1="物理",P1="生物",P1="化學",P1="資訊及通訊科技",P1="設計與應用科技"),1.5,1)</f>
        <v>1</v>
      </c>
      <c r="Q203" s="475">
        <f>IF(OR(Q1="物理",Q1="生物",Q1="化學",Q1="資訊及通訊科技",Q1="設計與應用科技"),1.5,1)</f>
        <v>1</v>
      </c>
      <c r="R203" s="475">
        <f>IF(OR(R1="物理",R1="生物",R1="化學",R1="資訊及通訊科技",R1="設計與應用科技"),1.5,1)</f>
        <v>1</v>
      </c>
      <c r="S203" s="475">
        <f>IF(OR(S1="物理",S1="生物",S1="化學",S1="資訊及通訊科技",S1="設計與應用科技"),1.5,1)</f>
        <v>1</v>
      </c>
      <c r="T203" s="475">
        <v>1</v>
      </c>
      <c r="U203" s="93"/>
      <c r="V203" s="139">
        <f t="shared" si="290"/>
        <v>1E-10</v>
      </c>
      <c r="W203" s="139">
        <f t="shared" si="291"/>
        <v>2.0000000000000001E-10</v>
      </c>
      <c r="X203" s="139">
        <f t="shared" si="292"/>
        <v>6E-10</v>
      </c>
      <c r="Z203" s="139">
        <f t="shared" si="293"/>
        <v>8.7500000000000008E-10</v>
      </c>
      <c r="AA203" s="139">
        <f t="shared" si="294"/>
        <v>6E-10</v>
      </c>
      <c r="AB203" s="139">
        <f t="shared" si="295"/>
        <v>6.9999999999999996E-10</v>
      </c>
      <c r="AC203" s="139">
        <f t="shared" si="296"/>
        <v>8.0000000000000003E-10</v>
      </c>
      <c r="AD203" s="139">
        <f t="shared" si="297"/>
        <v>8.9999999999999999E-10</v>
      </c>
      <c r="AE203" s="139">
        <f t="shared" si="298"/>
        <v>0</v>
      </c>
      <c r="AF203" s="117">
        <f t="shared" si="299"/>
        <v>1E-10</v>
      </c>
      <c r="AG203" s="117">
        <f t="shared" si="300"/>
        <v>2.0000000000000001E-10</v>
      </c>
      <c r="AH203" s="117">
        <f t="shared" si="301"/>
        <v>6E-10</v>
      </c>
      <c r="AI203" s="117">
        <f t="shared" si="302"/>
        <v>0</v>
      </c>
      <c r="AJ203" s="117">
        <f t="shared" si="303"/>
        <v>8.7500000000000008E-10</v>
      </c>
      <c r="AK203" s="117">
        <f t="shared" si="304"/>
        <v>6E-10</v>
      </c>
      <c r="AL203" s="117">
        <f t="shared" si="305"/>
        <v>6.9999999999999996E-10</v>
      </c>
      <c r="AM203" s="117">
        <f t="shared" si="306"/>
        <v>8.0000000000000003E-10</v>
      </c>
      <c r="AN203" s="117">
        <f t="shared" si="307"/>
        <v>8.9999999999999999E-10</v>
      </c>
      <c r="AO203" s="117">
        <f t="shared" si="308"/>
        <v>0</v>
      </c>
      <c r="AP203" s="139" t="b">
        <f t="shared" si="271"/>
        <v>0</v>
      </c>
      <c r="AQ203" s="139" t="b">
        <f t="shared" si="272"/>
        <v>0</v>
      </c>
      <c r="AR203" s="139" t="b">
        <f t="shared" si="273"/>
        <v>0</v>
      </c>
      <c r="AT203" s="139" t="b">
        <f t="shared" si="274"/>
        <v>1</v>
      </c>
      <c r="AU203" s="139" t="b">
        <f t="shared" si="275"/>
        <v>0</v>
      </c>
      <c r="AV203" s="139" t="b">
        <f t="shared" si="276"/>
        <v>1</v>
      </c>
      <c r="AW203" s="139" t="b">
        <f t="shared" si="277"/>
        <v>1</v>
      </c>
      <c r="AX203" s="139" t="b">
        <f t="shared" si="269"/>
        <v>1</v>
      </c>
      <c r="AY203" s="139" t="b">
        <f t="shared" si="270"/>
        <v>0</v>
      </c>
      <c r="AZ203" s="139" t="str">
        <f>'Reference Score Calculation'!AV180</f>
        <v>無</v>
      </c>
      <c r="BA203" s="93" t="str">
        <f>'Reference Score Calculation'!N180</f>
        <v>優先考慮修讀以下科目者︰</v>
      </c>
      <c r="BB203" s="93" t="str">
        <f>'Reference Score Calculation'!O180</f>
        <v>M1/2、生物、化學、DAT、ICT、物理</v>
      </c>
      <c r="BC203" s="93"/>
      <c r="BD203" s="93"/>
      <c r="BE203" s="93"/>
      <c r="BF203" s="93"/>
      <c r="BG203" s="93" t="s">
        <v>64</v>
      </c>
      <c r="BH203" s="93"/>
      <c r="BI203" s="93"/>
      <c r="BJ203" s="93"/>
      <c r="BK203" s="93"/>
      <c r="BL203" s="93"/>
      <c r="BM203" s="93"/>
      <c r="BN203" s="93"/>
      <c r="BO203" s="93"/>
      <c r="BP203" s="93"/>
      <c r="BQ203" s="93"/>
      <c r="BR203" s="93"/>
      <c r="BS203" s="184"/>
      <c r="BT203" s="185" t="b">
        <f>IF(BT202&gt;LARGE($BT$202:$CC$202,7),TRUE)</f>
        <v>0</v>
      </c>
      <c r="BU203" s="185" t="b">
        <f>IF(BU202&gt;LARGE($BT$202:$CC$202,7),TRUE)</f>
        <v>1</v>
      </c>
      <c r="BV203" s="185" t="b">
        <f>IF(BV202&gt;LARGE($BT$202:$CC$202,7),TRUE)</f>
        <v>1</v>
      </c>
      <c r="BW203" s="185"/>
      <c r="BX203" s="185" t="b">
        <f t="shared" ref="BX203:CC203" si="311">IF(BX202&gt;LARGE($BT$202:$CC$202,7),TRUE)</f>
        <v>1</v>
      </c>
      <c r="BY203" s="185" t="b">
        <f t="shared" si="311"/>
        <v>1</v>
      </c>
      <c r="BZ203" s="185" t="b">
        <f t="shared" si="311"/>
        <v>0</v>
      </c>
      <c r="CA203" s="185" t="b">
        <f t="shared" si="311"/>
        <v>1</v>
      </c>
      <c r="CB203" s="185" t="b">
        <f t="shared" si="311"/>
        <v>1</v>
      </c>
      <c r="CC203" s="185" t="b">
        <f t="shared" si="311"/>
        <v>0</v>
      </c>
      <c r="CD203" s="186"/>
      <c r="CE203" s="186"/>
      <c r="CF203" s="186"/>
      <c r="CG203" s="186"/>
      <c r="CH203" s="186"/>
      <c r="CI203" s="186"/>
      <c r="CJ203" s="186"/>
      <c r="CK203" s="186"/>
      <c r="CL203" s="186"/>
      <c r="CM203" s="186"/>
      <c r="CN203" s="186"/>
      <c r="CO203" s="186"/>
      <c r="CP203" s="186"/>
      <c r="CQ203" s="186"/>
      <c r="CR203" s="186"/>
      <c r="CS203" s="186"/>
    </row>
    <row r="204" spans="1:97" s="139" customFormat="1">
      <c r="A204" s="139" t="s">
        <v>1279</v>
      </c>
      <c r="B204" s="183" t="str">
        <f>'Reference Score Calculation'!B181</f>
        <v>JS4458</v>
      </c>
      <c r="C204" s="183" t="str">
        <f>'Reference Score Calculation'!E181</f>
        <v>系統工程與工程管理</v>
      </c>
      <c r="D204" s="183"/>
      <c r="E204" s="183" t="str">
        <f>'Reference Score Calculation'!F181</f>
        <v>Best 5</v>
      </c>
      <c r="F204" s="93"/>
      <c r="G204" s="93" t="str">
        <f>入學要求!AB190</f>
        <v>v</v>
      </c>
      <c r="H204" s="93" t="str">
        <f>入學要求!AC190</f>
        <v>E</v>
      </c>
      <c r="I204" s="93" t="str">
        <f>入學要求!AD190</f>
        <v>NO</v>
      </c>
      <c r="J204" s="183">
        <f t="shared" si="288"/>
        <v>3.7500000000000005E-9</v>
      </c>
      <c r="K204" s="475">
        <v>1</v>
      </c>
      <c r="L204" s="475">
        <v>1</v>
      </c>
      <c r="M204" s="475">
        <v>1.5</v>
      </c>
      <c r="N204" s="475"/>
      <c r="O204" s="475">
        <v>1.5</v>
      </c>
      <c r="P204" s="475">
        <f>IF(OR(P1="物理",P1="生物",P1="化學",P1="資訊及通訊科技",P1="經濟",P1="企業、會計與財務概論"),1.5,1)</f>
        <v>1</v>
      </c>
      <c r="Q204" s="475">
        <f>IF(OR(Q1="物理",Q1="生物",Q1="化學",Q1="資訊及通訊科技",Q1="經濟",Q1="企業、會計與財務概論"),1.5,1)</f>
        <v>1</v>
      </c>
      <c r="R204" s="475">
        <f>IF(OR(R1="物理",R1="生物",R1="化學",R1="資訊及通訊科技",R1="經濟",R1="企業、會計與財務概論"),1.5,1)</f>
        <v>1</v>
      </c>
      <c r="S204" s="475">
        <f>IF(OR(S1="物理",S1="生物",S1="化學",S1="資訊及通訊科技",S1="經濟",S1="企業、會計與財務概論"),1.5,1)</f>
        <v>1</v>
      </c>
      <c r="T204" s="475">
        <v>1</v>
      </c>
      <c r="U204" s="93"/>
      <c r="V204" s="139">
        <f t="shared" si="290"/>
        <v>1E-10</v>
      </c>
      <c r="W204" s="139">
        <f t="shared" si="291"/>
        <v>2.0000000000000001E-10</v>
      </c>
      <c r="X204" s="139">
        <f t="shared" si="292"/>
        <v>4.5E-10</v>
      </c>
      <c r="Z204" s="139">
        <f t="shared" si="293"/>
        <v>7.500000000000001E-10</v>
      </c>
      <c r="AA204" s="139">
        <f t="shared" si="294"/>
        <v>6E-10</v>
      </c>
      <c r="AB204" s="139">
        <f t="shared" si="295"/>
        <v>6.9999999999999996E-10</v>
      </c>
      <c r="AC204" s="139">
        <f t="shared" si="296"/>
        <v>8.0000000000000003E-10</v>
      </c>
      <c r="AD204" s="139">
        <f t="shared" si="297"/>
        <v>8.9999999999999999E-10</v>
      </c>
      <c r="AE204" s="139">
        <f t="shared" si="298"/>
        <v>0</v>
      </c>
      <c r="AF204" s="117">
        <f t="shared" si="299"/>
        <v>1E-10</v>
      </c>
      <c r="AG204" s="117">
        <f t="shared" si="300"/>
        <v>2.0000000000000001E-10</v>
      </c>
      <c r="AH204" s="117">
        <f t="shared" si="301"/>
        <v>4.5E-10</v>
      </c>
      <c r="AI204" s="117">
        <f t="shared" si="302"/>
        <v>0</v>
      </c>
      <c r="AJ204" s="117">
        <f t="shared" si="303"/>
        <v>7.500000000000001E-10</v>
      </c>
      <c r="AK204" s="117">
        <f t="shared" si="304"/>
        <v>6E-10</v>
      </c>
      <c r="AL204" s="117">
        <f t="shared" si="305"/>
        <v>6.9999999999999996E-10</v>
      </c>
      <c r="AM204" s="117">
        <f t="shared" si="306"/>
        <v>8.0000000000000003E-10</v>
      </c>
      <c r="AN204" s="117">
        <f t="shared" si="307"/>
        <v>8.9999999999999999E-10</v>
      </c>
      <c r="AO204" s="117">
        <f t="shared" si="308"/>
        <v>0</v>
      </c>
      <c r="AP204" s="139" t="b">
        <f t="shared" si="271"/>
        <v>0</v>
      </c>
      <c r="AQ204" s="139" t="b">
        <f t="shared" si="272"/>
        <v>0</v>
      </c>
      <c r="AR204" s="139" t="b">
        <f t="shared" si="273"/>
        <v>0</v>
      </c>
      <c r="AT204" s="139" t="b">
        <f t="shared" si="274"/>
        <v>1</v>
      </c>
      <c r="AU204" s="139" t="b">
        <f t="shared" si="275"/>
        <v>1</v>
      </c>
      <c r="AV204" s="139" t="b">
        <f t="shared" si="276"/>
        <v>1</v>
      </c>
      <c r="AW204" s="139" t="b">
        <f t="shared" si="277"/>
        <v>1</v>
      </c>
      <c r="AX204" s="139" t="b">
        <f t="shared" si="269"/>
        <v>1</v>
      </c>
      <c r="AY204" s="139" t="b">
        <f t="shared" si="270"/>
        <v>0</v>
      </c>
      <c r="AZ204" s="139" t="str">
        <f>'Reference Score Calculation'!AV181</f>
        <v>無</v>
      </c>
      <c r="BA204" s="93" t="str">
        <f>'Reference Score Calculation'!N181</f>
        <v>優先考慮修讀以下科目者︰</v>
      </c>
      <c r="BB204" s="93" t="str">
        <f>'Reference Score Calculation'!O181</f>
        <v>M1/2、生物、BAFS、化學、經濟、ICT、物理</v>
      </c>
      <c r="BC204" s="93"/>
      <c r="BD204" s="93"/>
      <c r="BE204" s="93"/>
      <c r="BF204" s="93"/>
      <c r="BG204" s="93" t="s">
        <v>64</v>
      </c>
      <c r="BH204" s="93"/>
      <c r="BI204" s="93"/>
      <c r="BJ204" s="93"/>
      <c r="BK204" s="93"/>
      <c r="BL204" s="93"/>
      <c r="BM204" s="93"/>
      <c r="BN204" s="93"/>
      <c r="BO204" s="93"/>
      <c r="BP204" s="93"/>
      <c r="BQ204" s="93"/>
      <c r="BR204" s="93"/>
      <c r="BS204" s="184"/>
      <c r="BT204" s="184"/>
      <c r="BU204" s="184"/>
      <c r="BV204" s="184"/>
      <c r="BW204" s="184"/>
      <c r="BX204" s="184"/>
      <c r="BY204" s="184"/>
      <c r="BZ204" s="184"/>
      <c r="CA204" s="184"/>
      <c r="CB204" s="184"/>
      <c r="CC204" s="184"/>
      <c r="CD204" s="186"/>
      <c r="CE204" s="186"/>
      <c r="CF204" s="186"/>
      <c r="CG204" s="186"/>
      <c r="CH204" s="186"/>
      <c r="CI204" s="186"/>
      <c r="CJ204" s="186"/>
      <c r="CK204" s="186"/>
      <c r="CL204" s="186"/>
      <c r="CM204" s="186"/>
      <c r="CN204" s="186"/>
      <c r="CO204" s="186"/>
      <c r="CP204" s="186"/>
      <c r="CQ204" s="186"/>
      <c r="CR204" s="186"/>
      <c r="CS204" s="186"/>
    </row>
    <row r="205" spans="1:97" s="139" customFormat="1">
      <c r="A205" s="139" t="s">
        <v>430</v>
      </c>
      <c r="B205" s="183" t="str">
        <f>'Reference Score Calculation'!B182</f>
        <v>JS4460</v>
      </c>
      <c r="C205" s="183" t="str">
        <f>'Reference Score Calculation'!E182</f>
        <v>生物醫學工程學</v>
      </c>
      <c r="D205" s="183"/>
      <c r="E205" s="183" t="str">
        <f>'Reference Score Calculation'!F182</f>
        <v>Best 5</v>
      </c>
      <c r="F205" s="93"/>
      <c r="G205" s="93" t="str">
        <f>入學要求!AB191</f>
        <v>v</v>
      </c>
      <c r="H205" s="93" t="str">
        <f>入學要求!AC191</f>
        <v>E</v>
      </c>
      <c r="I205" s="93" t="str">
        <f>入學要求!AD191</f>
        <v>NO</v>
      </c>
      <c r="J205" s="183">
        <f t="shared" si="288"/>
        <v>3.7500000000000005E-9</v>
      </c>
      <c r="K205" s="475">
        <v>1</v>
      </c>
      <c r="L205" s="475">
        <v>1.5</v>
      </c>
      <c r="M205" s="475">
        <f>IF(M1=$BT$172,1.5,1)</f>
        <v>1</v>
      </c>
      <c r="N205" s="475"/>
      <c r="O205" s="475">
        <f>IF(O1=$BT$172,1.5,1)</f>
        <v>1.5</v>
      </c>
      <c r="P205" s="475">
        <f>IF(OR(P1="物理",P1="生物",P1="化學"),1.5,1)</f>
        <v>1</v>
      </c>
      <c r="Q205" s="475">
        <f>IF(OR(Q1="物理",Q1="生物",Q1="化學"),1.5,1)</f>
        <v>1</v>
      </c>
      <c r="R205" s="475">
        <f>IF(OR(R1="物理",R1="生物",R1="化學"),1.5,1)</f>
        <v>1</v>
      </c>
      <c r="S205" s="475">
        <f>IF(OR(S1="物理",S1="生物",S1="化學"),1.5,1)</f>
        <v>1</v>
      </c>
      <c r="T205" s="475">
        <v>1</v>
      </c>
      <c r="U205" s="93"/>
      <c r="V205" s="139">
        <f t="shared" si="290"/>
        <v>1E-10</v>
      </c>
      <c r="W205" s="139">
        <f t="shared" si="291"/>
        <v>3E-10</v>
      </c>
      <c r="X205" s="139">
        <f t="shared" si="292"/>
        <v>3E-10</v>
      </c>
      <c r="Z205" s="139">
        <f t="shared" si="293"/>
        <v>7.500000000000001E-10</v>
      </c>
      <c r="AA205" s="139">
        <f t="shared" si="294"/>
        <v>6E-10</v>
      </c>
      <c r="AB205" s="139">
        <f t="shared" si="295"/>
        <v>6.9999999999999996E-10</v>
      </c>
      <c r="AC205" s="139">
        <f t="shared" si="296"/>
        <v>8.0000000000000003E-10</v>
      </c>
      <c r="AD205" s="139">
        <f t="shared" si="297"/>
        <v>8.9999999999999999E-10</v>
      </c>
      <c r="AE205" s="139">
        <f t="shared" si="298"/>
        <v>0</v>
      </c>
      <c r="AF205" s="117">
        <f t="shared" si="299"/>
        <v>1E-10</v>
      </c>
      <c r="AG205" s="117">
        <f t="shared" si="300"/>
        <v>3E-10</v>
      </c>
      <c r="AH205" s="117">
        <f t="shared" si="301"/>
        <v>3E-10</v>
      </c>
      <c r="AI205" s="117">
        <f t="shared" si="302"/>
        <v>0</v>
      </c>
      <c r="AJ205" s="117">
        <f t="shared" si="303"/>
        <v>7.500000000000001E-10</v>
      </c>
      <c r="AK205" s="117">
        <f t="shared" si="304"/>
        <v>6E-10</v>
      </c>
      <c r="AL205" s="117">
        <f t="shared" si="305"/>
        <v>6.9999999999999996E-10</v>
      </c>
      <c r="AM205" s="117">
        <f t="shared" si="306"/>
        <v>8.0000000000000003E-10</v>
      </c>
      <c r="AN205" s="117">
        <f t="shared" si="307"/>
        <v>8.9999999999999999E-10</v>
      </c>
      <c r="AO205" s="117">
        <f t="shared" si="308"/>
        <v>0</v>
      </c>
      <c r="AP205" s="139" t="b">
        <f t="shared" si="271"/>
        <v>0</v>
      </c>
      <c r="AQ205" s="139" t="b">
        <f t="shared" si="272"/>
        <v>0</v>
      </c>
      <c r="AR205" s="139" t="b">
        <f t="shared" si="273"/>
        <v>0</v>
      </c>
      <c r="AT205" s="139" t="b">
        <f t="shared" si="274"/>
        <v>1</v>
      </c>
      <c r="AU205" s="139" t="b">
        <f t="shared" si="275"/>
        <v>1</v>
      </c>
      <c r="AV205" s="139" t="b">
        <f t="shared" si="276"/>
        <v>1</v>
      </c>
      <c r="AW205" s="139" t="b">
        <f t="shared" si="277"/>
        <v>1</v>
      </c>
      <c r="AX205" s="139" t="b">
        <f t="shared" si="269"/>
        <v>1</v>
      </c>
      <c r="AY205" s="139" t="b">
        <f t="shared" si="270"/>
        <v>0</v>
      </c>
      <c r="AZ205" s="139" t="str">
        <f>'Reference Score Calculation'!AV182</f>
        <v>無</v>
      </c>
      <c r="BA205" s="93" t="str">
        <f>'Reference Score Calculation'!N182</f>
        <v>/</v>
      </c>
      <c r="BB205" s="93" t="str">
        <f>'Reference Score Calculation'!O182</f>
        <v>/</v>
      </c>
      <c r="BC205" s="93"/>
      <c r="BD205" s="93"/>
      <c r="BE205" s="93"/>
      <c r="BF205" s="93"/>
      <c r="BG205" s="93" t="s">
        <v>64</v>
      </c>
      <c r="BH205" s="93"/>
      <c r="BI205" s="93"/>
      <c r="BJ205" s="93"/>
      <c r="BK205" s="93"/>
      <c r="BL205" s="93"/>
      <c r="BM205" s="93"/>
      <c r="BN205" s="93"/>
      <c r="BO205" s="93"/>
      <c r="BP205" s="93"/>
      <c r="BQ205" s="93"/>
      <c r="BR205" s="93"/>
      <c r="BS205" s="184"/>
      <c r="BT205" s="185"/>
      <c r="BU205" s="185"/>
      <c r="BV205" s="185"/>
      <c r="BW205" s="185"/>
      <c r="BX205" s="185"/>
      <c r="BY205" s="185"/>
      <c r="BZ205" s="185"/>
      <c r="CA205" s="185"/>
      <c r="CB205" s="185"/>
      <c r="CC205" s="185"/>
      <c r="CD205" s="186"/>
      <c r="CE205" s="186"/>
      <c r="CF205" s="186"/>
      <c r="CG205" s="186"/>
      <c r="CH205" s="186"/>
      <c r="CI205" s="186"/>
      <c r="CJ205" s="186"/>
      <c r="CK205" s="186"/>
      <c r="CL205" s="186"/>
      <c r="CM205" s="186"/>
      <c r="CN205" s="186"/>
      <c r="CO205" s="186"/>
      <c r="CP205" s="186"/>
      <c r="CQ205" s="186"/>
      <c r="CR205" s="186"/>
      <c r="CS205" s="186"/>
    </row>
    <row r="206" spans="1:97" s="139" customFormat="1">
      <c r="A206" s="139" t="s">
        <v>1285</v>
      </c>
      <c r="B206" s="183" t="str">
        <f>'Reference Score Calculation'!B183</f>
        <v>JS4462</v>
      </c>
      <c r="C206" s="183" t="str">
        <f>'Reference Score Calculation'!E183</f>
        <v>能源與環境工程學</v>
      </c>
      <c r="D206" s="183"/>
      <c r="E206" s="183" t="str">
        <f>'Reference Score Calculation'!F183</f>
        <v>Best 5</v>
      </c>
      <c r="F206" s="93"/>
      <c r="G206" s="93" t="str">
        <f>入學要求!AB192</f>
        <v>v</v>
      </c>
      <c r="H206" s="93" t="str">
        <f>入學要求!AC192</f>
        <v>E</v>
      </c>
      <c r="I206" s="93" t="str">
        <f>入學要求!AD192</f>
        <v>NO</v>
      </c>
      <c r="J206" s="183">
        <f t="shared" si="288"/>
        <v>3.7500000000000005E-9</v>
      </c>
      <c r="K206" s="475">
        <v>1</v>
      </c>
      <c r="L206" s="475">
        <v>1</v>
      </c>
      <c r="M206" s="475">
        <v>1.5</v>
      </c>
      <c r="N206" s="475"/>
      <c r="O206" s="475">
        <v>1.5</v>
      </c>
      <c r="P206" s="475">
        <f>IF(OR(P1="物理",P1="生物",P1="化學",P1="資訊及通訊科技",P1="設計與應用科技"),1.5,IF(OR(P1="經濟",P1="地理"),1.2,1))</f>
        <v>1</v>
      </c>
      <c r="Q206" s="475">
        <f>IF(OR(Q1="物理",Q1="生物",Q1="化學",Q1="資訊及通訊科技",Q1="設計與應用科技"),1.5,IF(OR(Q1="經濟",Q1="地理"),1.2,1))</f>
        <v>1</v>
      </c>
      <c r="R206" s="475">
        <f>IF(OR(R1="物理",R1="生物",R1="化學",R1="資訊及通訊科技",R1="設計與應用科技"),1.5,IF(OR(R1="經濟",R1="地理"),1.2,1))</f>
        <v>1</v>
      </c>
      <c r="S206" s="475">
        <f>IF(OR(S1="物理",S1="生物",S1="化學",S1="資訊及通訊科技",S1="設計與應用科技"),1.5,IF(OR(S1="經濟",S1="地理"),1.2,1))</f>
        <v>1</v>
      </c>
      <c r="T206" s="475">
        <v>1</v>
      </c>
      <c r="U206" s="93"/>
      <c r="V206" s="139">
        <f t="shared" si="290"/>
        <v>1E-10</v>
      </c>
      <c r="W206" s="139">
        <f t="shared" si="291"/>
        <v>2.0000000000000001E-10</v>
      </c>
      <c r="X206" s="139">
        <f t="shared" si="292"/>
        <v>4.5E-10</v>
      </c>
      <c r="Z206" s="139">
        <f t="shared" si="293"/>
        <v>7.500000000000001E-10</v>
      </c>
      <c r="AA206" s="139">
        <f t="shared" si="294"/>
        <v>6E-10</v>
      </c>
      <c r="AB206" s="139">
        <f t="shared" si="295"/>
        <v>6.9999999999999996E-10</v>
      </c>
      <c r="AC206" s="139">
        <f t="shared" si="296"/>
        <v>8.0000000000000003E-10</v>
      </c>
      <c r="AD206" s="139">
        <f t="shared" si="297"/>
        <v>8.9999999999999999E-10</v>
      </c>
      <c r="AE206" s="139">
        <f t="shared" si="298"/>
        <v>0</v>
      </c>
      <c r="AF206" s="117">
        <f t="shared" si="299"/>
        <v>1E-10</v>
      </c>
      <c r="AG206" s="117">
        <f t="shared" si="300"/>
        <v>2.0000000000000001E-10</v>
      </c>
      <c r="AH206" s="117">
        <f t="shared" si="301"/>
        <v>4.5E-10</v>
      </c>
      <c r="AI206" s="117">
        <f t="shared" si="302"/>
        <v>0</v>
      </c>
      <c r="AJ206" s="117">
        <f t="shared" si="303"/>
        <v>7.500000000000001E-10</v>
      </c>
      <c r="AK206" s="117">
        <f t="shared" si="304"/>
        <v>6E-10</v>
      </c>
      <c r="AL206" s="117">
        <f t="shared" si="305"/>
        <v>6.9999999999999996E-10</v>
      </c>
      <c r="AM206" s="117">
        <f t="shared" si="306"/>
        <v>8.0000000000000003E-10</v>
      </c>
      <c r="AN206" s="117">
        <f t="shared" si="307"/>
        <v>8.9999999999999999E-10</v>
      </c>
      <c r="AO206" s="117">
        <f t="shared" si="308"/>
        <v>0</v>
      </c>
      <c r="AP206" s="139" t="b">
        <f t="shared" si="271"/>
        <v>0</v>
      </c>
      <c r="AQ206" s="139" t="b">
        <f t="shared" si="272"/>
        <v>0</v>
      </c>
      <c r="AR206" s="139" t="b">
        <f t="shared" si="273"/>
        <v>0</v>
      </c>
      <c r="AT206" s="139" t="b">
        <f t="shared" si="274"/>
        <v>1</v>
      </c>
      <c r="AU206" s="139" t="b">
        <f t="shared" si="275"/>
        <v>1</v>
      </c>
      <c r="AV206" s="139" t="b">
        <f t="shared" si="276"/>
        <v>1</v>
      </c>
      <c r="AW206" s="139" t="b">
        <f t="shared" si="277"/>
        <v>1</v>
      </c>
      <c r="AX206" s="139" t="b">
        <f t="shared" si="269"/>
        <v>1</v>
      </c>
      <c r="AY206" s="139" t="b">
        <f t="shared" si="270"/>
        <v>0</v>
      </c>
      <c r="AZ206" s="139" t="str">
        <f>'Reference Score Calculation'!AV183</f>
        <v>無</v>
      </c>
      <c r="BA206" s="93" t="str">
        <f>'Reference Score Calculation'!N183</f>
        <v>/</v>
      </c>
      <c r="BB206" s="93" t="str">
        <f>'Reference Score Calculation'!O183</f>
        <v>/</v>
      </c>
      <c r="BC206" s="93"/>
      <c r="BD206" s="93"/>
      <c r="BE206" s="93"/>
      <c r="BF206" s="93"/>
      <c r="BG206" s="93" t="s">
        <v>64</v>
      </c>
      <c r="BH206" s="93"/>
      <c r="BI206" s="93"/>
      <c r="BJ206" s="93"/>
      <c r="BK206" s="93"/>
      <c r="BL206" s="93"/>
      <c r="BM206" s="93"/>
      <c r="BN206" s="93"/>
      <c r="BO206" s="93"/>
      <c r="BP206" s="93"/>
      <c r="BQ206" s="93"/>
      <c r="BR206" s="93"/>
      <c r="BS206" s="184"/>
      <c r="BT206" s="185"/>
      <c r="BU206" s="185"/>
      <c r="BV206" s="185"/>
      <c r="BW206" s="185"/>
      <c r="BX206" s="185"/>
      <c r="BY206" s="185"/>
      <c r="BZ206" s="185"/>
      <c r="CA206" s="185"/>
      <c r="CB206" s="185"/>
      <c r="CC206" s="185"/>
      <c r="CD206" s="186"/>
      <c r="CE206" s="186"/>
      <c r="CF206" s="186"/>
      <c r="CG206" s="186"/>
      <c r="CH206" s="186"/>
      <c r="CI206" s="186"/>
      <c r="CJ206" s="186"/>
      <c r="CK206" s="186"/>
      <c r="CL206" s="186"/>
      <c r="CM206" s="186"/>
      <c r="CN206" s="186"/>
      <c r="CO206" s="186"/>
      <c r="CP206" s="186"/>
      <c r="CQ206" s="186"/>
      <c r="CR206" s="186"/>
      <c r="CS206" s="186"/>
    </row>
    <row r="207" spans="1:97" s="139" customFormat="1">
      <c r="A207" s="139" t="s">
        <v>1289</v>
      </c>
      <c r="B207" s="183" t="str">
        <f>'Reference Score Calculation'!B184</f>
        <v>JS4468</v>
      </c>
      <c r="C207" s="183" t="str">
        <f>'Reference Score Calculation'!E184</f>
        <v>人工智能：系統與科技</v>
      </c>
      <c r="D207" s="183"/>
      <c r="E207" s="183" t="str">
        <f>'Reference Score Calculation'!F184</f>
        <v>Best 5</v>
      </c>
      <c r="F207" s="93"/>
      <c r="G207" s="93" t="str">
        <f>入學要求!AB193</f>
        <v>v</v>
      </c>
      <c r="H207" s="93" t="str">
        <f>入學要求!AC193</f>
        <v>E</v>
      </c>
      <c r="I207" s="93" t="str">
        <f>入學要求!AD193</f>
        <v>NO</v>
      </c>
      <c r="J207" s="183">
        <f t="shared" si="288"/>
        <v>3.875E-9</v>
      </c>
      <c r="K207" s="475">
        <v>1.25</v>
      </c>
      <c r="L207" s="475">
        <v>1.25</v>
      </c>
      <c r="M207" s="475">
        <v>1.75</v>
      </c>
      <c r="N207" s="475"/>
      <c r="O207" s="475">
        <v>1.75</v>
      </c>
      <c r="P207" s="475">
        <f>IF(OR(P1="物理",P1="生物",P1="化學",P1="資訊及通訊科技"),1.5,1)</f>
        <v>1</v>
      </c>
      <c r="Q207" s="475">
        <f>IF(OR(Q1="物理",Q1="生物",Q1="化學",Q1="資訊及通訊科技"),1.5,1)</f>
        <v>1</v>
      </c>
      <c r="R207" s="475">
        <f>IF(OR(R1="物理",R1="生物",R1="化學",R1="資訊及通訊科技"),1.5,1)</f>
        <v>1</v>
      </c>
      <c r="S207" s="475">
        <f>IF(OR(S1="物理",S1="生物",S1="化學",S1="資訊及通訊科技"),1.5,1)</f>
        <v>1</v>
      </c>
      <c r="T207" s="475">
        <v>1</v>
      </c>
      <c r="U207" s="93"/>
      <c r="V207" s="139">
        <f t="shared" si="290"/>
        <v>1.2500000000000001E-10</v>
      </c>
      <c r="W207" s="139">
        <f t="shared" si="291"/>
        <v>2.5000000000000002E-10</v>
      </c>
      <c r="X207" s="139">
        <f t="shared" si="292"/>
        <v>5.2499999999999994E-10</v>
      </c>
      <c r="Z207" s="139">
        <f t="shared" si="293"/>
        <v>8.7500000000000008E-10</v>
      </c>
      <c r="AA207" s="139">
        <f t="shared" si="294"/>
        <v>6E-10</v>
      </c>
      <c r="AB207" s="139">
        <f t="shared" si="295"/>
        <v>6.9999999999999996E-10</v>
      </c>
      <c r="AC207" s="139">
        <f t="shared" si="296"/>
        <v>8.0000000000000003E-10</v>
      </c>
      <c r="AD207" s="139">
        <f t="shared" si="297"/>
        <v>8.9999999999999999E-10</v>
      </c>
      <c r="AE207" s="139">
        <f t="shared" si="298"/>
        <v>0</v>
      </c>
      <c r="AF207" s="117">
        <f t="shared" si="299"/>
        <v>1.2500000000000001E-10</v>
      </c>
      <c r="AG207" s="117">
        <f t="shared" si="300"/>
        <v>2.5000000000000002E-10</v>
      </c>
      <c r="AH207" s="117">
        <f t="shared" si="301"/>
        <v>5.2499999999999994E-10</v>
      </c>
      <c r="AI207" s="117">
        <f t="shared" si="302"/>
        <v>0</v>
      </c>
      <c r="AJ207" s="117">
        <f t="shared" si="303"/>
        <v>8.7500000000000008E-10</v>
      </c>
      <c r="AK207" s="117">
        <f t="shared" si="304"/>
        <v>6E-10</v>
      </c>
      <c r="AL207" s="117">
        <f t="shared" si="305"/>
        <v>6.9999999999999996E-10</v>
      </c>
      <c r="AM207" s="117">
        <f t="shared" si="306"/>
        <v>8.0000000000000003E-10</v>
      </c>
      <c r="AN207" s="117">
        <f t="shared" si="307"/>
        <v>8.9999999999999999E-10</v>
      </c>
      <c r="AO207" s="117">
        <f t="shared" si="308"/>
        <v>0</v>
      </c>
      <c r="AP207" s="139" t="b">
        <f t="shared" si="271"/>
        <v>0</v>
      </c>
      <c r="AQ207" s="139" t="b">
        <f t="shared" si="272"/>
        <v>0</v>
      </c>
      <c r="AR207" s="139" t="b">
        <f t="shared" si="273"/>
        <v>0</v>
      </c>
      <c r="AT207" s="139" t="b">
        <f t="shared" si="274"/>
        <v>1</v>
      </c>
      <c r="AU207" s="139" t="b">
        <f t="shared" si="275"/>
        <v>1</v>
      </c>
      <c r="AV207" s="139" t="b">
        <f t="shared" si="276"/>
        <v>1</v>
      </c>
      <c r="AW207" s="139" t="b">
        <f t="shared" si="277"/>
        <v>1</v>
      </c>
      <c r="AX207" s="139" t="b">
        <f t="shared" si="269"/>
        <v>1</v>
      </c>
      <c r="AY207" s="139" t="b">
        <f t="shared" si="270"/>
        <v>0</v>
      </c>
      <c r="AZ207" s="139" t="str">
        <f>'Reference Score Calculation'!AV184</f>
        <v>無</v>
      </c>
      <c r="BA207" s="93" t="str">
        <f>'Reference Score Calculation'!N184</f>
        <v>優先考慮修讀以下科目者︰</v>
      </c>
      <c r="BB207" s="93" t="str">
        <f>'Reference Score Calculation'!O184</f>
        <v>M1/2、生物、化學、物理、ICT</v>
      </c>
      <c r="BC207" s="93"/>
      <c r="BD207" s="93"/>
      <c r="BE207" s="93"/>
      <c r="BF207" s="93"/>
      <c r="BG207" s="93" t="s">
        <v>64</v>
      </c>
      <c r="BH207" s="93"/>
      <c r="BI207" s="93"/>
      <c r="BJ207" s="93"/>
      <c r="BK207" s="93"/>
      <c r="BL207" s="93"/>
      <c r="BM207" s="93"/>
      <c r="BN207" s="93"/>
      <c r="BO207" s="93"/>
      <c r="BP207" s="93"/>
      <c r="BQ207" s="93"/>
      <c r="BR207" s="93"/>
      <c r="BS207" s="184" t="s">
        <v>1312</v>
      </c>
      <c r="BT207" s="185" t="s">
        <v>3083</v>
      </c>
      <c r="BU207" s="185"/>
      <c r="BV207" s="185"/>
      <c r="BW207" s="185"/>
      <c r="BX207" s="185"/>
      <c r="BY207" s="185"/>
      <c r="BZ207" s="185"/>
      <c r="CA207" s="185"/>
      <c r="CB207" s="185"/>
      <c r="CC207" s="185"/>
      <c r="CD207" s="186"/>
      <c r="CE207" s="186"/>
      <c r="CF207" s="186"/>
      <c r="CG207" s="186"/>
      <c r="CH207" s="186"/>
      <c r="CI207" s="186"/>
      <c r="CJ207" s="186"/>
      <c r="CK207" s="186"/>
      <c r="CL207" s="186"/>
      <c r="CM207" s="186"/>
      <c r="CN207" s="186"/>
      <c r="CO207" s="186"/>
      <c r="CP207" s="186"/>
      <c r="CQ207" s="186"/>
      <c r="CR207" s="186"/>
      <c r="CS207" s="186"/>
    </row>
    <row r="208" spans="1:97" s="139" customFormat="1">
      <c r="A208" s="139" t="s">
        <v>2653</v>
      </c>
      <c r="B208" s="183" t="str">
        <f>'Reference Score Calculation'!B185</f>
        <v>JS4470</v>
      </c>
      <c r="C208" s="183" t="str">
        <f>'Reference Score Calculation'!E185</f>
        <v>材料科學與工程學</v>
      </c>
      <c r="D208" s="183"/>
      <c r="E208" s="183" t="str">
        <f>'Reference Score Calculation'!F185</f>
        <v>25年新科目</v>
      </c>
      <c r="F208" s="93"/>
      <c r="G208" s="93" t="str">
        <f>入學要求!AB194</f>
        <v>v</v>
      </c>
      <c r="H208" s="93" t="str">
        <f>入學要求!AC194</f>
        <v>E</v>
      </c>
      <c r="I208" s="93" t="str">
        <f>入學要求!AD194</f>
        <v>NO</v>
      </c>
      <c r="J208" s="475" t="s">
        <v>324</v>
      </c>
      <c r="K208" s="475" t="s">
        <v>324</v>
      </c>
      <c r="L208" s="475" t="s">
        <v>324</v>
      </c>
      <c r="M208" s="475" t="s">
        <v>324</v>
      </c>
      <c r="N208" s="475" t="s">
        <v>324</v>
      </c>
      <c r="O208" s="475" t="s">
        <v>324</v>
      </c>
      <c r="P208" s="475" t="s">
        <v>324</v>
      </c>
      <c r="Q208" s="475" t="s">
        <v>324</v>
      </c>
      <c r="R208" s="475" t="s">
        <v>324</v>
      </c>
      <c r="S208" s="475" t="s">
        <v>324</v>
      </c>
      <c r="T208" s="475" t="s">
        <v>324</v>
      </c>
      <c r="U208" s="93"/>
      <c r="V208" s="139" t="e">
        <f>K$6*K208</f>
        <v>#VALUE!</v>
      </c>
      <c r="W208" s="139" t="e">
        <f>L$6*L208</f>
        <v>#VALUE!</v>
      </c>
      <c r="X208" s="139" t="e">
        <f>M$6*M208</f>
        <v>#VALUE!</v>
      </c>
      <c r="Z208" s="139" t="e">
        <f>IF(G208="v",O$6*O208,0)</f>
        <v>#VALUE!</v>
      </c>
      <c r="AA208" s="139" t="e">
        <f>P$6*P208</f>
        <v>#VALUE!</v>
      </c>
      <c r="AB208" s="139" t="e">
        <f>Q$6*Q208</f>
        <v>#VALUE!</v>
      </c>
      <c r="AC208" s="139" t="e">
        <f>R$6*R208</f>
        <v>#VALUE!</v>
      </c>
      <c r="AD208" s="139" t="e">
        <f>S$6*S208</f>
        <v>#VALUE!</v>
      </c>
      <c r="AE208" s="139" t="e">
        <f>IF(H208="E",T$6*T208,0)</f>
        <v>#VALUE!</v>
      </c>
      <c r="AF208" s="117" t="e">
        <f t="shared" si="299"/>
        <v>#VALUE!</v>
      </c>
      <c r="AG208" s="117" t="e">
        <f t="shared" si="300"/>
        <v>#VALUE!</v>
      </c>
      <c r="AH208" s="117" t="e">
        <f t="shared" si="301"/>
        <v>#VALUE!</v>
      </c>
      <c r="AI208" s="117">
        <f t="shared" si="302"/>
        <v>0</v>
      </c>
      <c r="AJ208" s="117" t="e">
        <f t="shared" si="303"/>
        <v>#VALUE!</v>
      </c>
      <c r="AK208" s="117" t="e">
        <f t="shared" si="304"/>
        <v>#VALUE!</v>
      </c>
      <c r="AL208" s="117" t="e">
        <f t="shared" si="305"/>
        <v>#VALUE!</v>
      </c>
      <c r="AM208" s="117" t="e">
        <f t="shared" si="306"/>
        <v>#VALUE!</v>
      </c>
      <c r="AN208" s="117" t="e">
        <f t="shared" si="307"/>
        <v>#VALUE!</v>
      </c>
      <c r="AO208" s="117" t="e">
        <f t="shared" si="308"/>
        <v>#VALUE!</v>
      </c>
      <c r="AP208" s="139" t="e">
        <f t="shared" si="271"/>
        <v>#VALUE!</v>
      </c>
      <c r="AQ208" s="139" t="e">
        <f t="shared" si="272"/>
        <v>#VALUE!</v>
      </c>
      <c r="AR208" s="139" t="e">
        <f t="shared" si="273"/>
        <v>#VALUE!</v>
      </c>
      <c r="AT208" s="139" t="e">
        <f t="shared" si="274"/>
        <v>#VALUE!</v>
      </c>
      <c r="AU208" s="139" t="e">
        <f t="shared" si="275"/>
        <v>#VALUE!</v>
      </c>
      <c r="AV208" s="139" t="e">
        <f t="shared" si="276"/>
        <v>#VALUE!</v>
      </c>
      <c r="AW208" s="139" t="e">
        <f t="shared" si="277"/>
        <v>#VALUE!</v>
      </c>
      <c r="AX208" s="139" t="e">
        <f t="shared" si="269"/>
        <v>#VALUE!</v>
      </c>
      <c r="AY208" s="139" t="e">
        <f t="shared" si="270"/>
        <v>#VALUE!</v>
      </c>
      <c r="BA208" s="93">
        <f>'Reference Score Calculation'!N185</f>
        <v>0</v>
      </c>
      <c r="BB208" s="93">
        <f>'Reference Score Calculation'!O185</f>
        <v>0</v>
      </c>
      <c r="BC208" s="93"/>
      <c r="BD208" s="93"/>
      <c r="BE208" s="93"/>
      <c r="BF208" s="93"/>
      <c r="BG208" s="93" t="s">
        <v>64</v>
      </c>
      <c r="BH208" s="93"/>
      <c r="BI208" s="93"/>
      <c r="BJ208" s="93"/>
      <c r="BK208" s="93"/>
      <c r="BL208" s="93"/>
      <c r="BM208" s="93"/>
      <c r="BN208" s="93"/>
      <c r="BO208" s="93"/>
      <c r="BP208" s="93"/>
      <c r="BQ208" s="93"/>
      <c r="BR208" s="93"/>
      <c r="BS208" s="184"/>
      <c r="BT208" s="139" t="str">
        <f>INDEX($BT$210:$BW$210,MATCH(LARGE($BT$211:$BW$211,1),$BT$211:$BW$211,0))</f>
        <v>請選擇第一選修科</v>
      </c>
      <c r="BU208" s="139">
        <f>LARGE(BT211:BW211,1)</f>
        <v>0</v>
      </c>
      <c r="BV208" s="185"/>
      <c r="BW208" s="185"/>
      <c r="BX208" s="185"/>
      <c r="BY208" s="185"/>
      <c r="BZ208" s="185"/>
      <c r="CA208" s="185"/>
      <c r="CB208" s="185"/>
      <c r="CC208" s="185"/>
      <c r="CD208" s="186"/>
      <c r="CE208" s="186"/>
      <c r="CF208" s="186"/>
      <c r="CG208" s="186"/>
      <c r="CH208" s="186"/>
      <c r="CI208" s="186"/>
      <c r="CJ208" s="186"/>
      <c r="CK208" s="186"/>
      <c r="CL208" s="186"/>
      <c r="CM208" s="186"/>
      <c r="CN208" s="186"/>
      <c r="CO208" s="186"/>
      <c r="CP208" s="186"/>
      <c r="CQ208" s="186"/>
      <c r="CR208" s="186"/>
      <c r="CS208" s="186"/>
    </row>
    <row r="209" spans="1:97" s="139" customFormat="1">
      <c r="A209" s="139" t="s">
        <v>1292</v>
      </c>
      <c r="B209" s="183" t="str">
        <f>'Reference Score Calculation'!B186</f>
        <v>JS4501</v>
      </c>
      <c r="C209" s="183" t="str">
        <f>'Reference Score Calculation'!E186</f>
        <v>內外全科醫學士課程</v>
      </c>
      <c r="D209" s="183"/>
      <c r="E209" s="183" t="str">
        <f>'Reference Score Calculation'!F186</f>
        <v>3C3X</v>
      </c>
      <c r="F209" s="93"/>
      <c r="G209" s="93" t="str">
        <f>入學要求!AB195</f>
        <v>v</v>
      </c>
      <c r="H209" s="93" t="str">
        <f>入學要求!AC195</f>
        <v>E</v>
      </c>
      <c r="I209" s="93" t="str">
        <f>入學要求!AD195</f>
        <v>NO</v>
      </c>
      <c r="J209" s="183">
        <f t="shared" si="288"/>
        <v>3.1000000000000005E-9</v>
      </c>
      <c r="K209" s="475">
        <f>BT201</f>
        <v>0</v>
      </c>
      <c r="L209" s="475">
        <f t="shared" ref="L209:T209" si="312">BU201</f>
        <v>1</v>
      </c>
      <c r="M209" s="475">
        <f t="shared" si="312"/>
        <v>1</v>
      </c>
      <c r="N209" s="475"/>
      <c r="O209" s="475">
        <f t="shared" si="312"/>
        <v>0.6</v>
      </c>
      <c r="P209" s="475">
        <f t="shared" si="312"/>
        <v>1</v>
      </c>
      <c r="Q209" s="475">
        <f t="shared" si="312"/>
        <v>1</v>
      </c>
      <c r="R209" s="475">
        <f t="shared" si="312"/>
        <v>1</v>
      </c>
      <c r="S209" s="475">
        <f t="shared" si="312"/>
        <v>1</v>
      </c>
      <c r="T209" s="475">
        <f t="shared" si="312"/>
        <v>1</v>
      </c>
      <c r="U209" s="93"/>
      <c r="V209" s="139">
        <f t="shared" ref="V209:X210" si="313">K$13*K209</f>
        <v>0</v>
      </c>
      <c r="W209" s="139">
        <f t="shared" si="313"/>
        <v>2.0000000000000001E-10</v>
      </c>
      <c r="X209" s="139">
        <f t="shared" si="313"/>
        <v>3E-10</v>
      </c>
      <c r="Z209" s="139">
        <f t="shared" ref="Z209:AD210" si="314">O$13*O209</f>
        <v>3E-10</v>
      </c>
      <c r="AA209" s="139">
        <f t="shared" si="314"/>
        <v>6E-10</v>
      </c>
      <c r="AB209" s="139">
        <f t="shared" si="314"/>
        <v>6.9999999999999996E-10</v>
      </c>
      <c r="AC209" s="139">
        <f t="shared" si="314"/>
        <v>8.0000000000000003E-10</v>
      </c>
      <c r="AD209" s="139">
        <f t="shared" si="314"/>
        <v>8.9999999999999999E-10</v>
      </c>
      <c r="AE209" s="139">
        <f>IF(H209="E",T$13*T209,0)</f>
        <v>0</v>
      </c>
      <c r="AF209" s="117">
        <f t="shared" si="299"/>
        <v>0</v>
      </c>
      <c r="AG209" s="117">
        <f t="shared" si="300"/>
        <v>99.000000000200004</v>
      </c>
      <c r="AH209" s="117">
        <f t="shared" si="301"/>
        <v>99.000000000300005</v>
      </c>
      <c r="AI209" s="117">
        <f t="shared" si="302"/>
        <v>0</v>
      </c>
      <c r="AJ209" s="117">
        <f t="shared" si="303"/>
        <v>99.000000000300005</v>
      </c>
      <c r="AK209" s="117">
        <f t="shared" si="304"/>
        <v>99.000000000599996</v>
      </c>
      <c r="AL209" s="117">
        <f t="shared" si="305"/>
        <v>6.9999999999999996E-10</v>
      </c>
      <c r="AM209" s="117">
        <f t="shared" si="306"/>
        <v>99.0000000008</v>
      </c>
      <c r="AN209" s="117">
        <f t="shared" si="307"/>
        <v>99.000000000900002</v>
      </c>
      <c r="AO209" s="117">
        <f t="shared" si="308"/>
        <v>0</v>
      </c>
      <c r="AP209" s="474" t="b">
        <f>BH209</f>
        <v>0</v>
      </c>
      <c r="AQ209" s="474" t="b">
        <f t="shared" ref="AQ209:AY210" si="315">BI209</f>
        <v>1</v>
      </c>
      <c r="AR209" s="474" t="b">
        <f t="shared" si="315"/>
        <v>1</v>
      </c>
      <c r="AS209" s="474"/>
      <c r="AT209" s="474" t="b">
        <f t="shared" si="315"/>
        <v>1</v>
      </c>
      <c r="AU209" s="474" t="b">
        <f t="shared" si="315"/>
        <v>1</v>
      </c>
      <c r="AV209" s="474" t="b">
        <f t="shared" si="315"/>
        <v>0</v>
      </c>
      <c r="AW209" s="474" t="b">
        <f t="shared" si="315"/>
        <v>1</v>
      </c>
      <c r="AX209" s="474" t="b">
        <f t="shared" si="315"/>
        <v>1</v>
      </c>
      <c r="AY209" s="474" t="b">
        <f t="shared" si="315"/>
        <v>0</v>
      </c>
      <c r="AZ209" s="139" t="str">
        <f>'Reference Score Calculation'!AV186</f>
        <v>6%-10%(全Cert)</v>
      </c>
      <c r="BA209" s="93" t="str">
        <f>'Reference Score Calculation'!N186</f>
        <v>優先考慮修讀 化學、生物 者</v>
      </c>
      <c r="BB209" s="93" t="str">
        <f>'Reference Score Calculation'!O186</f>
        <v>優先考慮修讀 第三科選修 及/或 M1/2 者</v>
      </c>
      <c r="BC209" s="93"/>
      <c r="BD209" s="93"/>
      <c r="BE209" s="93"/>
      <c r="BF209" s="93"/>
      <c r="BG209" s="93" t="s">
        <v>64</v>
      </c>
      <c r="BH209" s="93" t="b">
        <f t="shared" ref="BH209:BQ209" si="316">BT203</f>
        <v>0</v>
      </c>
      <c r="BI209" s="93" t="b">
        <f t="shared" si="316"/>
        <v>1</v>
      </c>
      <c r="BJ209" s="93" t="b">
        <f t="shared" si="316"/>
        <v>1</v>
      </c>
      <c r="BK209" s="93">
        <f t="shared" si="316"/>
        <v>0</v>
      </c>
      <c r="BL209" s="93" t="b">
        <f t="shared" si="316"/>
        <v>1</v>
      </c>
      <c r="BM209" s="93" t="b">
        <f t="shared" si="316"/>
        <v>1</v>
      </c>
      <c r="BN209" s="93" t="b">
        <f t="shared" si="316"/>
        <v>0</v>
      </c>
      <c r="BO209" s="93" t="b">
        <f t="shared" si="316"/>
        <v>1</v>
      </c>
      <c r="BP209" s="93" t="b">
        <f t="shared" si="316"/>
        <v>1</v>
      </c>
      <c r="BQ209" s="93" t="b">
        <f t="shared" si="316"/>
        <v>0</v>
      </c>
      <c r="BR209" s="93"/>
      <c r="BS209" s="184"/>
      <c r="BT209" s="185"/>
      <c r="BU209" s="185"/>
      <c r="BV209" s="185"/>
      <c r="BW209" s="185"/>
      <c r="BX209" s="185"/>
      <c r="BY209" s="185"/>
      <c r="BZ209" s="185"/>
      <c r="CA209" s="185"/>
      <c r="CB209" s="185"/>
      <c r="CC209" s="185"/>
      <c r="CD209" s="186"/>
      <c r="CE209" s="186"/>
      <c r="CF209" s="186"/>
      <c r="CG209" s="186"/>
      <c r="CH209" s="186"/>
      <c r="CI209" s="186"/>
      <c r="CJ209" s="186"/>
      <c r="CK209" s="186"/>
      <c r="CL209" s="186"/>
      <c r="CM209" s="186"/>
      <c r="CN209" s="186"/>
      <c r="CO209" s="186"/>
      <c r="CP209" s="186"/>
      <c r="CQ209" s="186"/>
      <c r="CR209" s="186"/>
      <c r="CS209" s="186"/>
    </row>
    <row r="210" spans="1:97" s="139" customFormat="1">
      <c r="A210" s="139" t="s">
        <v>439</v>
      </c>
      <c r="B210" s="183" t="str">
        <f>'Reference Score Calculation'!B187</f>
        <v>JS4502</v>
      </c>
      <c r="C210" s="183" t="str">
        <f>'Reference Score Calculation'!E187</f>
        <v>內外全科醫學士課程環球醫學領袖培訓專修組別</v>
      </c>
      <c r="D210" s="183"/>
      <c r="E210" s="183" t="str">
        <f>'Reference Score Calculation'!F187</f>
        <v>3C3X</v>
      </c>
      <c r="F210" s="93"/>
      <c r="G210" s="93" t="str">
        <f>入學要求!AB196</f>
        <v>v</v>
      </c>
      <c r="H210" s="93" t="str">
        <f>入學要求!AC196</f>
        <v>E</v>
      </c>
      <c r="I210" s="93" t="str">
        <f>入學要求!AD196</f>
        <v>NO</v>
      </c>
      <c r="J210" s="183">
        <f t="shared" si="288"/>
        <v>3.1000000000000005E-9</v>
      </c>
      <c r="K210" s="475">
        <f>BT201</f>
        <v>0</v>
      </c>
      <c r="L210" s="475">
        <f t="shared" ref="L210:T210" si="317">BU201</f>
        <v>1</v>
      </c>
      <c r="M210" s="475">
        <f t="shared" si="317"/>
        <v>1</v>
      </c>
      <c r="N210" s="475"/>
      <c r="O210" s="475">
        <f t="shared" si="317"/>
        <v>0.6</v>
      </c>
      <c r="P210" s="475">
        <f t="shared" si="317"/>
        <v>1</v>
      </c>
      <c r="Q210" s="475">
        <f t="shared" si="317"/>
        <v>1</v>
      </c>
      <c r="R210" s="475">
        <f t="shared" si="317"/>
        <v>1</v>
      </c>
      <c r="S210" s="475">
        <f t="shared" si="317"/>
        <v>1</v>
      </c>
      <c r="T210" s="475">
        <f t="shared" si="317"/>
        <v>1</v>
      </c>
      <c r="U210" s="93"/>
      <c r="V210" s="139">
        <f t="shared" si="313"/>
        <v>0</v>
      </c>
      <c r="W210" s="139">
        <f t="shared" si="313"/>
        <v>2.0000000000000001E-10</v>
      </c>
      <c r="X210" s="139">
        <f t="shared" si="313"/>
        <v>3E-10</v>
      </c>
      <c r="Z210" s="139">
        <f t="shared" si="314"/>
        <v>3E-10</v>
      </c>
      <c r="AA210" s="139">
        <f t="shared" si="314"/>
        <v>6E-10</v>
      </c>
      <c r="AB210" s="139">
        <f t="shared" si="314"/>
        <v>6.9999999999999996E-10</v>
      </c>
      <c r="AC210" s="139">
        <f t="shared" si="314"/>
        <v>8.0000000000000003E-10</v>
      </c>
      <c r="AD210" s="139">
        <f t="shared" si="314"/>
        <v>8.9999999999999999E-10</v>
      </c>
      <c r="AE210" s="139">
        <f>IF(H210="E",T$13*T210,0)</f>
        <v>0</v>
      </c>
      <c r="AF210" s="117">
        <f t="shared" si="299"/>
        <v>0</v>
      </c>
      <c r="AG210" s="117">
        <f t="shared" si="300"/>
        <v>99.000000000200004</v>
      </c>
      <c r="AH210" s="117">
        <f t="shared" si="301"/>
        <v>99.000000000300005</v>
      </c>
      <c r="AI210" s="117">
        <f t="shared" si="302"/>
        <v>0</v>
      </c>
      <c r="AJ210" s="117">
        <f t="shared" si="303"/>
        <v>99.000000000300005</v>
      </c>
      <c r="AK210" s="117">
        <f t="shared" si="304"/>
        <v>99.000000000599996</v>
      </c>
      <c r="AL210" s="117">
        <f t="shared" si="305"/>
        <v>6.9999999999999996E-10</v>
      </c>
      <c r="AM210" s="117">
        <f t="shared" si="306"/>
        <v>99.0000000008</v>
      </c>
      <c r="AN210" s="117">
        <f t="shared" si="307"/>
        <v>99.000000000900002</v>
      </c>
      <c r="AO210" s="117">
        <f t="shared" si="308"/>
        <v>0</v>
      </c>
      <c r="AP210" s="474" t="b">
        <f>BH210</f>
        <v>0</v>
      </c>
      <c r="AQ210" s="474" t="b">
        <f t="shared" si="315"/>
        <v>1</v>
      </c>
      <c r="AR210" s="474" t="b">
        <f t="shared" si="315"/>
        <v>1</v>
      </c>
      <c r="AS210" s="474"/>
      <c r="AT210" s="474" t="b">
        <f t="shared" si="315"/>
        <v>1</v>
      </c>
      <c r="AU210" s="474" t="b">
        <f t="shared" si="315"/>
        <v>1</v>
      </c>
      <c r="AV210" s="474" t="b">
        <f t="shared" si="315"/>
        <v>0</v>
      </c>
      <c r="AW210" s="474" t="b">
        <f t="shared" si="315"/>
        <v>1</v>
      </c>
      <c r="AX210" s="474" t="b">
        <f t="shared" si="315"/>
        <v>1</v>
      </c>
      <c r="AY210" s="474" t="b">
        <f t="shared" si="315"/>
        <v>0</v>
      </c>
      <c r="AZ210" s="139" t="str">
        <f>'Reference Score Calculation'!AV187</f>
        <v>6%-10%(全Cert)</v>
      </c>
      <c r="BA210" s="93" t="str">
        <f>'Reference Score Calculation'!N187</f>
        <v>優先考慮修讀 化學、生物 者</v>
      </c>
      <c r="BB210" s="93" t="str">
        <f>'Reference Score Calculation'!O187</f>
        <v>優先考慮修讀 第三科選修 及/或 M1/2 者</v>
      </c>
      <c r="BC210" s="93"/>
      <c r="BD210" s="93"/>
      <c r="BE210" s="93"/>
      <c r="BF210" s="93"/>
      <c r="BG210" s="93" t="s">
        <v>64</v>
      </c>
      <c r="BH210" s="93" t="b">
        <f t="shared" ref="BH210:BQ210" si="318">BT203</f>
        <v>0</v>
      </c>
      <c r="BI210" s="93" t="b">
        <f t="shared" si="318"/>
        <v>1</v>
      </c>
      <c r="BJ210" s="93" t="b">
        <f t="shared" si="318"/>
        <v>1</v>
      </c>
      <c r="BK210" s="93">
        <f t="shared" si="318"/>
        <v>0</v>
      </c>
      <c r="BL210" s="93" t="b">
        <f t="shared" si="318"/>
        <v>1</v>
      </c>
      <c r="BM210" s="93" t="b">
        <f t="shared" si="318"/>
        <v>1</v>
      </c>
      <c r="BN210" s="93" t="b">
        <f t="shared" si="318"/>
        <v>0</v>
      </c>
      <c r="BO210" s="93" t="b">
        <f t="shared" si="318"/>
        <v>1</v>
      </c>
      <c r="BP210" s="93" t="b">
        <f t="shared" si="318"/>
        <v>1</v>
      </c>
      <c r="BQ210" s="93" t="b">
        <f t="shared" si="318"/>
        <v>0</v>
      </c>
      <c r="BR210" s="93"/>
      <c r="BS210" s="184"/>
      <c r="BT210" s="139" t="str">
        <f>P1</f>
        <v>請選擇第一選修科</v>
      </c>
      <c r="BU210" s="139" t="str">
        <f>Q1</f>
        <v>請選擇第二選修科</v>
      </c>
      <c r="BV210" s="139" t="str">
        <f>R1</f>
        <v>請選擇第三選修科</v>
      </c>
      <c r="BW210" s="139" t="str">
        <f>S1</f>
        <v>請選擇第四選修科</v>
      </c>
      <c r="BX210" s="185"/>
      <c r="BY210" s="185"/>
      <c r="BZ210" s="185"/>
      <c r="CA210" s="185"/>
      <c r="CB210" s="185"/>
      <c r="CC210" s="185"/>
      <c r="CD210" s="186"/>
      <c r="CE210" s="186"/>
      <c r="CF210" s="186"/>
      <c r="CG210" s="186"/>
      <c r="CH210" s="186"/>
      <c r="CI210" s="186"/>
      <c r="CJ210" s="186"/>
      <c r="CK210" s="186"/>
      <c r="CL210" s="186"/>
      <c r="CM210" s="186"/>
      <c r="CN210" s="186"/>
      <c r="CO210" s="186"/>
      <c r="CP210" s="186"/>
      <c r="CQ210" s="186"/>
      <c r="CR210" s="186"/>
      <c r="CS210" s="186"/>
    </row>
    <row r="211" spans="1:97" s="139" customFormat="1">
      <c r="A211" s="139" t="s">
        <v>1300</v>
      </c>
      <c r="B211" s="183" t="str">
        <f>'Reference Score Calculation'!B188</f>
        <v>JS4513</v>
      </c>
      <c r="C211" s="183" t="str">
        <f>'Reference Score Calculation'!E188</f>
        <v>護理學</v>
      </c>
      <c r="D211" s="183"/>
      <c r="E211" s="183" t="str">
        <f>'Reference Score Calculation'!F188</f>
        <v>Best 5</v>
      </c>
      <c r="F211" s="93"/>
      <c r="G211" s="93" t="str">
        <f>入學要求!AB197</f>
        <v>v</v>
      </c>
      <c r="H211" s="93" t="str">
        <f>入學要求!AC197</f>
        <v>E</v>
      </c>
      <c r="I211" s="93" t="str">
        <f>入學要求!AD197</f>
        <v>NO</v>
      </c>
      <c r="J211" s="183">
        <f t="shared" si="288"/>
        <v>3.6200000000000003E-9</v>
      </c>
      <c r="K211" s="475">
        <v>1</v>
      </c>
      <c r="L211" s="475">
        <v>1</v>
      </c>
      <c r="M211" s="475">
        <v>1</v>
      </c>
      <c r="N211" s="475"/>
      <c r="O211" s="475">
        <v>1</v>
      </c>
      <c r="P211" s="475">
        <f>IF(P1=$BT$215,1.2,1)</f>
        <v>1.2</v>
      </c>
      <c r="Q211" s="475">
        <f>IF(Q1=$BT$215,1.2,1)</f>
        <v>1</v>
      </c>
      <c r="R211" s="475">
        <f>IF(R1=$BT$215,1.2,1)</f>
        <v>1</v>
      </c>
      <c r="S211" s="475">
        <f>IF(S1=$BT$215,1.2,1)</f>
        <v>1</v>
      </c>
      <c r="T211" s="475">
        <v>1</v>
      </c>
      <c r="U211" s="93"/>
      <c r="V211" s="139">
        <f t="shared" ref="V211:V238" si="319">K$6*K211</f>
        <v>1E-10</v>
      </c>
      <c r="W211" s="139">
        <f t="shared" ref="W211:W238" si="320">L$6*L211</f>
        <v>2.0000000000000001E-10</v>
      </c>
      <c r="X211" s="139">
        <f t="shared" ref="X211:X238" si="321">M$6*M211</f>
        <v>3E-10</v>
      </c>
      <c r="Z211" s="139">
        <f t="shared" ref="Z211:Z238" si="322">IF(G211="v",O$6*O211,0)</f>
        <v>5.0000000000000003E-10</v>
      </c>
      <c r="AA211" s="139">
        <f t="shared" ref="AA211:AA238" si="323">P$6*P211</f>
        <v>7.2E-10</v>
      </c>
      <c r="AB211" s="139">
        <f t="shared" ref="AB211:AB238" si="324">Q$6*Q211</f>
        <v>6.9999999999999996E-10</v>
      </c>
      <c r="AC211" s="139">
        <f t="shared" ref="AC211:AC238" si="325">R$6*R211</f>
        <v>8.0000000000000003E-10</v>
      </c>
      <c r="AD211" s="139">
        <f t="shared" ref="AD211:AD238" si="326">S$6*S211</f>
        <v>8.9999999999999999E-10</v>
      </c>
      <c r="AE211" s="139">
        <f t="shared" ref="AE211:AE238" si="327">IF(H211="E",T$6*T211,0)</f>
        <v>0</v>
      </c>
      <c r="AF211" s="117">
        <f t="shared" si="299"/>
        <v>1E-10</v>
      </c>
      <c r="AG211" s="117">
        <f t="shared" si="300"/>
        <v>2.0000000000000001E-10</v>
      </c>
      <c r="AH211" s="117">
        <f t="shared" si="301"/>
        <v>3E-10</v>
      </c>
      <c r="AI211" s="117">
        <f t="shared" si="302"/>
        <v>0</v>
      </c>
      <c r="AJ211" s="117">
        <f t="shared" si="303"/>
        <v>5.0000000000000003E-10</v>
      </c>
      <c r="AK211" s="117">
        <f t="shared" si="304"/>
        <v>7.2E-10</v>
      </c>
      <c r="AL211" s="117">
        <f t="shared" si="305"/>
        <v>6.9999999999999996E-10</v>
      </c>
      <c r="AM211" s="117">
        <f t="shared" si="306"/>
        <v>8.0000000000000003E-10</v>
      </c>
      <c r="AN211" s="117">
        <f t="shared" si="307"/>
        <v>8.9999999999999999E-10</v>
      </c>
      <c r="AO211" s="117">
        <f t="shared" si="308"/>
        <v>0</v>
      </c>
      <c r="AP211" s="139" t="b">
        <f t="shared" si="271"/>
        <v>0</v>
      </c>
      <c r="AQ211" s="139" t="b">
        <f t="shared" si="272"/>
        <v>0</v>
      </c>
      <c r="AR211" s="139" t="b">
        <f t="shared" si="273"/>
        <v>0</v>
      </c>
      <c r="AT211" s="139" t="b">
        <f t="shared" si="274"/>
        <v>1</v>
      </c>
      <c r="AU211" s="139" t="b">
        <f t="shared" si="275"/>
        <v>1</v>
      </c>
      <c r="AV211" s="139" t="b">
        <f t="shared" si="276"/>
        <v>1</v>
      </c>
      <c r="AW211" s="139" t="b">
        <f t="shared" si="277"/>
        <v>1</v>
      </c>
      <c r="AX211" s="139" t="b">
        <f t="shared" si="269"/>
        <v>1</v>
      </c>
      <c r="AY211" s="139" t="b">
        <f t="shared" si="270"/>
        <v>0</v>
      </c>
      <c r="AZ211" s="139" t="str">
        <f>'Reference Score Calculation'!AV188</f>
        <v>無</v>
      </c>
      <c r="BA211" s="93" t="str">
        <f>'Reference Score Calculation'!N188</f>
        <v>優先考慮修讀以下科目者:</v>
      </c>
      <c r="BB211" s="93" t="str">
        <f>'Reference Score Calculation'!O188</f>
        <v>生物、化學、物理</v>
      </c>
      <c r="BC211" s="93"/>
      <c r="BD211" s="93"/>
      <c r="BE211" s="93"/>
      <c r="BF211" s="93"/>
      <c r="BG211" s="93" t="s">
        <v>64</v>
      </c>
      <c r="BH211" s="93"/>
      <c r="BI211" s="93"/>
      <c r="BJ211" s="93"/>
      <c r="BK211" s="93"/>
      <c r="BL211" s="93"/>
      <c r="BM211" s="93"/>
      <c r="BN211" s="93"/>
      <c r="BO211" s="93"/>
      <c r="BP211" s="93"/>
      <c r="BQ211" s="93"/>
      <c r="BR211" s="93"/>
      <c r="BS211" s="184"/>
      <c r="BT211" s="139">
        <f>IF(OR(P1="生物",P1="化學"),P6,0)</f>
        <v>0</v>
      </c>
      <c r="BU211" s="139">
        <f>IF(OR(Q1="生物",Q1="化學"),Q6,0)</f>
        <v>0</v>
      </c>
      <c r="BV211" s="139">
        <f>IF(OR(R1="生物",R1="化學"),R6,0)</f>
        <v>0</v>
      </c>
      <c r="BW211" s="139">
        <f>IF(OR(S1="生物",S1="化學"),S6,0)</f>
        <v>0</v>
      </c>
      <c r="BX211" s="185"/>
      <c r="BY211" s="185"/>
      <c r="BZ211" s="185"/>
      <c r="CA211" s="185"/>
      <c r="CB211" s="185"/>
      <c r="CC211" s="185"/>
      <c r="CD211" s="186"/>
      <c r="CE211" s="186"/>
      <c r="CF211" s="186"/>
      <c r="CG211" s="186"/>
      <c r="CH211" s="186"/>
      <c r="CI211" s="186"/>
      <c r="CJ211" s="186"/>
      <c r="CK211" s="186"/>
      <c r="CL211" s="186"/>
      <c r="CM211" s="186"/>
      <c r="CN211" s="186"/>
      <c r="CO211" s="186"/>
      <c r="CP211" s="186"/>
      <c r="CQ211" s="186"/>
      <c r="CR211" s="186"/>
      <c r="CS211" s="186"/>
    </row>
    <row r="212" spans="1:97" s="139" customFormat="1">
      <c r="A212" s="139" t="s">
        <v>1303</v>
      </c>
      <c r="B212" s="183" t="str">
        <f>'Reference Score Calculation'!B189</f>
        <v>JS4525</v>
      </c>
      <c r="C212" s="183" t="str">
        <f>'Reference Score Calculation'!E189</f>
        <v>藥劑學</v>
      </c>
      <c r="D212" s="183"/>
      <c r="E212" s="183" t="str">
        <f>'Reference Score Calculation'!F189</f>
        <v>Best 5</v>
      </c>
      <c r="F212" s="93"/>
      <c r="G212" s="93" t="str">
        <f>入學要求!AB198</f>
        <v>v</v>
      </c>
      <c r="H212" s="93" t="str">
        <f>入學要求!AC198</f>
        <v>E</v>
      </c>
      <c r="I212" s="93" t="str">
        <f>入學要求!AD198</f>
        <v>NO</v>
      </c>
      <c r="J212" s="183">
        <f t="shared" si="288"/>
        <v>3.4999999999999999E-9</v>
      </c>
      <c r="K212" s="475">
        <v>1</v>
      </c>
      <c r="L212" s="475">
        <v>1</v>
      </c>
      <c r="M212" s="475">
        <v>1</v>
      </c>
      <c r="N212" s="475"/>
      <c r="O212" s="475">
        <v>1</v>
      </c>
      <c r="P212" s="475">
        <v>1</v>
      </c>
      <c r="Q212" s="475">
        <v>1</v>
      </c>
      <c r="R212" s="475">
        <v>1</v>
      </c>
      <c r="S212" s="475">
        <v>1</v>
      </c>
      <c r="T212" s="475">
        <v>1</v>
      </c>
      <c r="U212" s="93"/>
      <c r="V212" s="139">
        <f t="shared" si="319"/>
        <v>1E-10</v>
      </c>
      <c r="W212" s="139">
        <f t="shared" si="320"/>
        <v>2.0000000000000001E-10</v>
      </c>
      <c r="X212" s="139">
        <f t="shared" si="321"/>
        <v>3E-10</v>
      </c>
      <c r="Z212" s="139">
        <f t="shared" si="322"/>
        <v>5.0000000000000003E-10</v>
      </c>
      <c r="AA212" s="139">
        <f t="shared" si="323"/>
        <v>6E-10</v>
      </c>
      <c r="AB212" s="139">
        <f t="shared" si="324"/>
        <v>6.9999999999999996E-10</v>
      </c>
      <c r="AC212" s="139">
        <f t="shared" si="325"/>
        <v>8.0000000000000003E-10</v>
      </c>
      <c r="AD212" s="139">
        <f t="shared" si="326"/>
        <v>8.9999999999999999E-10</v>
      </c>
      <c r="AE212" s="139">
        <f t="shared" si="327"/>
        <v>0</v>
      </c>
      <c r="AF212" s="117">
        <f t="shared" si="299"/>
        <v>1E-10</v>
      </c>
      <c r="AG212" s="117">
        <f t="shared" si="300"/>
        <v>2.0000000000000001E-10</v>
      </c>
      <c r="AH212" s="117">
        <f t="shared" si="301"/>
        <v>3E-10</v>
      </c>
      <c r="AI212" s="117">
        <f t="shared" si="302"/>
        <v>0</v>
      </c>
      <c r="AJ212" s="117">
        <f t="shared" si="303"/>
        <v>5.0000000000000003E-10</v>
      </c>
      <c r="AK212" s="117">
        <f t="shared" si="304"/>
        <v>6E-10</v>
      </c>
      <c r="AL212" s="117">
        <f t="shared" si="305"/>
        <v>6.9999999999999996E-10</v>
      </c>
      <c r="AM212" s="117">
        <f t="shared" si="306"/>
        <v>8.0000000000000003E-10</v>
      </c>
      <c r="AN212" s="117">
        <f t="shared" si="307"/>
        <v>8.9999999999999999E-10</v>
      </c>
      <c r="AO212" s="117">
        <f t="shared" si="308"/>
        <v>0</v>
      </c>
      <c r="AP212" s="139" t="b">
        <f t="shared" si="271"/>
        <v>0</v>
      </c>
      <c r="AQ212" s="139" t="b">
        <f t="shared" si="272"/>
        <v>0</v>
      </c>
      <c r="AR212" s="139" t="b">
        <f t="shared" si="273"/>
        <v>0</v>
      </c>
      <c r="AT212" s="139" t="b">
        <f t="shared" si="274"/>
        <v>1</v>
      </c>
      <c r="AU212" s="139" t="b">
        <f t="shared" si="275"/>
        <v>1</v>
      </c>
      <c r="AV212" s="139" t="b">
        <f t="shared" si="276"/>
        <v>1</v>
      </c>
      <c r="AW212" s="139" t="b">
        <f t="shared" si="277"/>
        <v>1</v>
      </c>
      <c r="AX212" s="139" t="b">
        <f t="shared" si="269"/>
        <v>1</v>
      </c>
      <c r="AY212" s="139" t="b">
        <f t="shared" si="270"/>
        <v>0</v>
      </c>
      <c r="AZ212" s="139" t="str">
        <f>'Reference Score Calculation'!AV189</f>
        <v>5%或更少(全Cert)</v>
      </c>
      <c r="BA212" s="93" t="str">
        <f>'Reference Score Calculation'!N189</f>
        <v>優先考慮 化學 考獲Lv.3或以上者</v>
      </c>
      <c r="BB212" s="93" t="str">
        <f>'Reference Score Calculation'!O189</f>
        <v>/</v>
      </c>
      <c r="BC212" s="93"/>
      <c r="BD212" s="93"/>
      <c r="BE212" s="93"/>
      <c r="BF212" s="93"/>
      <c r="BG212" s="93" t="s">
        <v>64</v>
      </c>
      <c r="BH212" s="93"/>
      <c r="BI212" s="93"/>
      <c r="BJ212" s="93"/>
      <c r="BK212" s="93"/>
      <c r="BL212" s="93"/>
      <c r="BM212" s="93"/>
      <c r="BN212" s="93"/>
      <c r="BO212" s="93"/>
      <c r="BP212" s="93"/>
      <c r="BQ212" s="93"/>
      <c r="BR212" s="93"/>
      <c r="BS212" s="184"/>
      <c r="BT212" s="185"/>
      <c r="BU212" s="185"/>
      <c r="BV212" s="185"/>
      <c r="BW212" s="185"/>
      <c r="BX212" s="185"/>
      <c r="BY212" s="185"/>
      <c r="BZ212" s="185"/>
      <c r="CA212" s="185"/>
      <c r="CB212" s="185"/>
      <c r="CC212" s="185"/>
      <c r="CD212" s="186"/>
      <c r="CE212" s="186"/>
      <c r="CF212" s="186"/>
      <c r="CG212" s="186"/>
      <c r="CH212" s="186"/>
      <c r="CI212" s="186"/>
      <c r="CJ212" s="186"/>
      <c r="CK212" s="186"/>
      <c r="CL212" s="186"/>
      <c r="CM212" s="186"/>
      <c r="CN212" s="186"/>
      <c r="CO212" s="186"/>
      <c r="CP212" s="186"/>
      <c r="CQ212" s="186"/>
      <c r="CR212" s="186"/>
      <c r="CS212" s="186"/>
    </row>
    <row r="213" spans="1:97" s="139" customFormat="1">
      <c r="A213" s="139" t="s">
        <v>1306</v>
      </c>
      <c r="B213" s="183" t="str">
        <f>'Reference Score Calculation'!B190</f>
        <v>JS4537</v>
      </c>
      <c r="C213" s="183" t="str">
        <f>'Reference Score Calculation'!E190</f>
        <v>公共衞生</v>
      </c>
      <c r="D213" s="183"/>
      <c r="E213" s="183" t="str">
        <f>'Reference Score Calculation'!F190</f>
        <v>Best 5</v>
      </c>
      <c r="F213" s="93"/>
      <c r="G213" s="93" t="str">
        <f>入學要求!AB199</f>
        <v>v</v>
      </c>
      <c r="H213" s="93" t="str">
        <f>入學要求!AC199</f>
        <v>E</v>
      </c>
      <c r="I213" s="93" t="str">
        <f>入學要求!AD199</f>
        <v>NO</v>
      </c>
      <c r="J213" s="183">
        <f t="shared" si="288"/>
        <v>3.4999999999999999E-9</v>
      </c>
      <c r="K213" s="475">
        <v>1</v>
      </c>
      <c r="L213" s="475">
        <v>1</v>
      </c>
      <c r="M213" s="475">
        <v>1</v>
      </c>
      <c r="N213" s="475"/>
      <c r="O213" s="475">
        <v>1</v>
      </c>
      <c r="P213" s="475">
        <v>1</v>
      </c>
      <c r="Q213" s="475">
        <v>1</v>
      </c>
      <c r="R213" s="475">
        <v>1</v>
      </c>
      <c r="S213" s="475">
        <v>1</v>
      </c>
      <c r="T213" s="475">
        <v>1</v>
      </c>
      <c r="U213" s="93"/>
      <c r="V213" s="139">
        <f t="shared" si="319"/>
        <v>1E-10</v>
      </c>
      <c r="W213" s="139">
        <f t="shared" si="320"/>
        <v>2.0000000000000001E-10</v>
      </c>
      <c r="X213" s="139">
        <f t="shared" si="321"/>
        <v>3E-10</v>
      </c>
      <c r="Z213" s="139">
        <f t="shared" si="322"/>
        <v>5.0000000000000003E-10</v>
      </c>
      <c r="AA213" s="139">
        <f t="shared" si="323"/>
        <v>6E-10</v>
      </c>
      <c r="AB213" s="139">
        <f t="shared" si="324"/>
        <v>6.9999999999999996E-10</v>
      </c>
      <c r="AC213" s="139">
        <f t="shared" si="325"/>
        <v>8.0000000000000003E-10</v>
      </c>
      <c r="AD213" s="139">
        <f t="shared" si="326"/>
        <v>8.9999999999999999E-10</v>
      </c>
      <c r="AE213" s="139">
        <f t="shared" si="327"/>
        <v>0</v>
      </c>
      <c r="AF213" s="117">
        <f t="shared" si="299"/>
        <v>1E-10</v>
      </c>
      <c r="AG213" s="117">
        <f t="shared" si="300"/>
        <v>2.0000000000000001E-10</v>
      </c>
      <c r="AH213" s="117">
        <f t="shared" si="301"/>
        <v>3E-10</v>
      </c>
      <c r="AI213" s="117">
        <f t="shared" si="302"/>
        <v>0</v>
      </c>
      <c r="AJ213" s="117">
        <f t="shared" si="303"/>
        <v>5.0000000000000003E-10</v>
      </c>
      <c r="AK213" s="117">
        <f t="shared" si="304"/>
        <v>6E-10</v>
      </c>
      <c r="AL213" s="117">
        <f t="shared" si="305"/>
        <v>6.9999999999999996E-10</v>
      </c>
      <c r="AM213" s="117">
        <f t="shared" si="306"/>
        <v>8.0000000000000003E-10</v>
      </c>
      <c r="AN213" s="117">
        <f t="shared" si="307"/>
        <v>8.9999999999999999E-10</v>
      </c>
      <c r="AO213" s="117">
        <f t="shared" si="308"/>
        <v>0</v>
      </c>
      <c r="AP213" s="139" t="b">
        <f t="shared" si="271"/>
        <v>0</v>
      </c>
      <c r="AQ213" s="139" t="b">
        <f t="shared" si="272"/>
        <v>0</v>
      </c>
      <c r="AR213" s="139" t="b">
        <f t="shared" si="273"/>
        <v>0</v>
      </c>
      <c r="AT213" s="139" t="b">
        <f t="shared" si="274"/>
        <v>1</v>
      </c>
      <c r="AU213" s="139" t="b">
        <f t="shared" si="275"/>
        <v>1</v>
      </c>
      <c r="AV213" s="139" t="b">
        <f t="shared" si="276"/>
        <v>1</v>
      </c>
      <c r="AW213" s="139" t="b">
        <f t="shared" si="277"/>
        <v>1</v>
      </c>
      <c r="AX213" s="139" t="b">
        <f t="shared" si="269"/>
        <v>1</v>
      </c>
      <c r="AY213" s="139" t="b">
        <f t="shared" si="270"/>
        <v>0</v>
      </c>
      <c r="AZ213" s="139" t="str">
        <f>'Reference Score Calculation'!AV190</f>
        <v>無</v>
      </c>
      <c r="BA213" s="93" t="str">
        <f>'Reference Score Calculation'!N190</f>
        <v>/</v>
      </c>
      <c r="BB213" s="93" t="str">
        <f>'Reference Score Calculation'!O190</f>
        <v>/</v>
      </c>
      <c r="BC213" s="93"/>
      <c r="BD213" s="93"/>
      <c r="BE213" s="93"/>
      <c r="BF213" s="93"/>
      <c r="BG213" s="93" t="s">
        <v>64</v>
      </c>
      <c r="BH213" s="93"/>
      <c r="BI213" s="93"/>
      <c r="BJ213" s="93"/>
      <c r="BK213" s="93"/>
      <c r="BL213" s="93"/>
      <c r="BM213" s="93"/>
      <c r="BN213" s="93"/>
      <c r="BO213" s="93"/>
      <c r="BP213" s="93"/>
      <c r="BQ213" s="93"/>
      <c r="BR213" s="93"/>
      <c r="BS213" s="184"/>
      <c r="BT213" s="185"/>
      <c r="BU213" s="185"/>
      <c r="BV213" s="185"/>
      <c r="BW213" s="185"/>
      <c r="BX213" s="185"/>
      <c r="BY213" s="185"/>
      <c r="BZ213" s="185"/>
      <c r="CA213" s="185"/>
      <c r="CB213" s="185"/>
      <c r="CC213" s="185"/>
      <c r="CD213" s="186"/>
      <c r="CE213" s="186"/>
      <c r="CF213" s="186"/>
      <c r="CG213" s="186"/>
      <c r="CH213" s="186"/>
      <c r="CI213" s="186"/>
      <c r="CJ213" s="186"/>
      <c r="CK213" s="186"/>
      <c r="CL213" s="186"/>
      <c r="CM213" s="186"/>
      <c r="CN213" s="186"/>
      <c r="CO213" s="186"/>
      <c r="CP213" s="186"/>
      <c r="CQ213" s="186"/>
      <c r="CR213" s="186"/>
      <c r="CS213" s="186"/>
    </row>
    <row r="214" spans="1:97" s="139" customFormat="1">
      <c r="A214" s="139" t="s">
        <v>1309</v>
      </c>
      <c r="B214" s="183" t="str">
        <f>'Reference Score Calculation'!B191</f>
        <v>JS4542</v>
      </c>
      <c r="C214" s="183" t="str">
        <f>'Reference Score Calculation'!E191</f>
        <v>中醫學</v>
      </c>
      <c r="D214" s="183"/>
      <c r="E214" s="183" t="str">
        <f>'Reference Score Calculation'!F191</f>
        <v>Best 5</v>
      </c>
      <c r="F214" s="93"/>
      <c r="G214" s="93" t="str">
        <f>入學要求!AB200</f>
        <v>v</v>
      </c>
      <c r="H214" s="93" t="str">
        <f>入學要求!AC200</f>
        <v>E</v>
      </c>
      <c r="I214" s="93" t="str">
        <f>入學要求!AD200</f>
        <v>NO</v>
      </c>
      <c r="J214" s="183">
        <f t="shared" si="288"/>
        <v>3.4999999999999999E-9</v>
      </c>
      <c r="K214" s="475">
        <v>1</v>
      </c>
      <c r="L214" s="475">
        <v>1</v>
      </c>
      <c r="M214" s="475">
        <v>1</v>
      </c>
      <c r="N214" s="475"/>
      <c r="O214" s="475">
        <v>1</v>
      </c>
      <c r="P214" s="475">
        <v>1</v>
      </c>
      <c r="Q214" s="475">
        <v>1</v>
      </c>
      <c r="R214" s="475">
        <v>1</v>
      </c>
      <c r="S214" s="475">
        <v>1</v>
      </c>
      <c r="T214" s="475">
        <v>1</v>
      </c>
      <c r="U214" s="93"/>
      <c r="V214" s="139">
        <f t="shared" si="319"/>
        <v>1E-10</v>
      </c>
      <c r="W214" s="139">
        <f t="shared" si="320"/>
        <v>2.0000000000000001E-10</v>
      </c>
      <c r="X214" s="139">
        <f t="shared" si="321"/>
        <v>3E-10</v>
      </c>
      <c r="Z214" s="139">
        <f t="shared" si="322"/>
        <v>5.0000000000000003E-10</v>
      </c>
      <c r="AA214" s="139">
        <f t="shared" si="323"/>
        <v>6E-10</v>
      </c>
      <c r="AB214" s="139">
        <f t="shared" si="324"/>
        <v>6.9999999999999996E-10</v>
      </c>
      <c r="AC214" s="139">
        <f t="shared" si="325"/>
        <v>8.0000000000000003E-10</v>
      </c>
      <c r="AD214" s="139">
        <f t="shared" si="326"/>
        <v>8.9999999999999999E-10</v>
      </c>
      <c r="AE214" s="139">
        <f t="shared" si="327"/>
        <v>0</v>
      </c>
      <c r="AF214" s="117">
        <f t="shared" si="299"/>
        <v>1E-10</v>
      </c>
      <c r="AG214" s="117">
        <f t="shared" si="300"/>
        <v>2.0000000000000001E-10</v>
      </c>
      <c r="AH214" s="117">
        <f t="shared" si="301"/>
        <v>3E-10</v>
      </c>
      <c r="AI214" s="117">
        <f t="shared" si="302"/>
        <v>0</v>
      </c>
      <c r="AJ214" s="117">
        <f t="shared" si="303"/>
        <v>5.0000000000000003E-10</v>
      </c>
      <c r="AK214" s="117">
        <f t="shared" si="304"/>
        <v>6E-10</v>
      </c>
      <c r="AL214" s="117">
        <f t="shared" si="305"/>
        <v>6.9999999999999996E-10</v>
      </c>
      <c r="AM214" s="117">
        <f t="shared" si="306"/>
        <v>8.0000000000000003E-10</v>
      </c>
      <c r="AN214" s="117">
        <f t="shared" si="307"/>
        <v>8.9999999999999999E-10</v>
      </c>
      <c r="AO214" s="117">
        <f t="shared" si="308"/>
        <v>0</v>
      </c>
      <c r="AP214" s="139" t="b">
        <f t="shared" si="271"/>
        <v>0</v>
      </c>
      <c r="AQ214" s="139" t="b">
        <f t="shared" si="272"/>
        <v>0</v>
      </c>
      <c r="AR214" s="139" t="b">
        <f t="shared" si="273"/>
        <v>0</v>
      </c>
      <c r="AT214" s="139" t="b">
        <f t="shared" si="274"/>
        <v>1</v>
      </c>
      <c r="AU214" s="139" t="b">
        <f t="shared" si="275"/>
        <v>1</v>
      </c>
      <c r="AV214" s="139" t="b">
        <f t="shared" si="276"/>
        <v>1</v>
      </c>
      <c r="AW214" s="139" t="b">
        <f t="shared" si="277"/>
        <v>1</v>
      </c>
      <c r="AX214" s="139" t="b">
        <f t="shared" si="269"/>
        <v>1</v>
      </c>
      <c r="AY214" s="139" t="b">
        <f t="shared" si="270"/>
        <v>0</v>
      </c>
      <c r="AZ214" s="139" t="str">
        <f>'Reference Score Calculation'!AV191</f>
        <v>無</v>
      </c>
      <c r="BA214" s="93" t="str">
        <f>'Reference Score Calculation'!N191</f>
        <v>優先考慮修讀以下科目者:</v>
      </c>
      <c r="BB214" s="93" t="str">
        <f>'Reference Score Calculation'!O191</f>
        <v>生物、化學、物理</v>
      </c>
      <c r="BC214" s="93"/>
      <c r="BD214" s="93"/>
      <c r="BE214" s="93"/>
      <c r="BF214" s="93"/>
      <c r="BG214" s="93" t="s">
        <v>64</v>
      </c>
      <c r="BH214" s="93"/>
      <c r="BI214" s="93"/>
      <c r="BJ214" s="93"/>
      <c r="BK214" s="93"/>
      <c r="BL214" s="93"/>
      <c r="BM214" s="93"/>
      <c r="BN214" s="93"/>
      <c r="BO214" s="93"/>
      <c r="BP214" s="93"/>
      <c r="BQ214" s="93"/>
      <c r="BR214" s="93"/>
      <c r="BS214" s="184" t="s">
        <v>1300</v>
      </c>
      <c r="BT214" s="385" t="s">
        <v>2413</v>
      </c>
      <c r="BU214" s="185"/>
      <c r="BV214" s="185"/>
      <c r="BW214" s="185"/>
      <c r="BX214" s="185"/>
      <c r="BY214" s="185"/>
      <c r="BZ214" s="185"/>
      <c r="CA214" s="185"/>
      <c r="CB214" s="185"/>
      <c r="CC214" s="185"/>
      <c r="CD214" s="186"/>
      <c r="CE214" s="186"/>
      <c r="CF214" s="186"/>
      <c r="CG214" s="186"/>
      <c r="CH214" s="186"/>
      <c r="CI214" s="186"/>
      <c r="CJ214" s="186"/>
      <c r="CK214" s="186"/>
      <c r="CL214" s="186"/>
      <c r="CM214" s="186"/>
      <c r="CN214" s="186"/>
      <c r="CO214" s="186"/>
      <c r="CP214" s="186"/>
      <c r="CQ214" s="186"/>
      <c r="CR214" s="186"/>
      <c r="CS214" s="186"/>
    </row>
    <row r="215" spans="1:97" s="142" customFormat="1">
      <c r="A215" s="139" t="s">
        <v>1312</v>
      </c>
      <c r="B215" s="183" t="str">
        <f>'Reference Score Calculation'!B192</f>
        <v>JS4550</v>
      </c>
      <c r="C215" s="183" t="str">
        <f>'Reference Score Calculation'!E192</f>
        <v>生物醫學</v>
      </c>
      <c r="D215" s="183"/>
      <c r="E215" s="183" t="str">
        <f>'Reference Score Calculation'!F192</f>
        <v>3C2X</v>
      </c>
      <c r="F215" s="93"/>
      <c r="G215" s="93" t="str">
        <f>入學要求!AB201</f>
        <v>v</v>
      </c>
      <c r="H215" s="93" t="str">
        <f>入學要求!AC201</f>
        <v>NO</v>
      </c>
      <c r="I215" s="93" t="str">
        <f>入學要求!AD201</f>
        <v>NO</v>
      </c>
      <c r="J215" s="183">
        <f t="shared" si="288"/>
        <v>2.1999999999999998E-9</v>
      </c>
      <c r="K215" s="475">
        <v>1</v>
      </c>
      <c r="L215" s="475">
        <v>1.5</v>
      </c>
      <c r="M215" s="475">
        <v>1</v>
      </c>
      <c r="N215" s="475"/>
      <c r="O215" s="475">
        <v>1</v>
      </c>
      <c r="P215" s="475">
        <f>IF(OR(P1="生物",P1="化學"),1.5,1)</f>
        <v>1</v>
      </c>
      <c r="Q215" s="475">
        <f>IF(OR(Q1="生物",Q1="化學"),1.5,1)</f>
        <v>1</v>
      </c>
      <c r="R215" s="475">
        <f>IF(OR(R1="生物",R1="化學"),1.5,1)</f>
        <v>1</v>
      </c>
      <c r="S215" s="475">
        <f>IF(OR(S1="生物",S1="化學"),1.5,1)</f>
        <v>1</v>
      </c>
      <c r="T215" s="475">
        <v>1</v>
      </c>
      <c r="U215" s="93"/>
      <c r="V215" s="139">
        <f t="shared" si="319"/>
        <v>1E-10</v>
      </c>
      <c r="W215" s="139">
        <f t="shared" si="320"/>
        <v>3E-10</v>
      </c>
      <c r="X215" s="139">
        <f t="shared" si="321"/>
        <v>3E-10</v>
      </c>
      <c r="Y215" s="139"/>
      <c r="Z215" s="139">
        <f t="shared" si="322"/>
        <v>5.0000000000000003E-10</v>
      </c>
      <c r="AA215" s="139">
        <f t="shared" si="323"/>
        <v>6E-10</v>
      </c>
      <c r="AB215" s="139">
        <f t="shared" si="324"/>
        <v>6.9999999999999996E-10</v>
      </c>
      <c r="AC215" s="139">
        <f t="shared" si="325"/>
        <v>8.0000000000000003E-10</v>
      </c>
      <c r="AD215" s="139">
        <f t="shared" si="326"/>
        <v>8.9999999999999999E-10</v>
      </c>
      <c r="AE215" s="139">
        <f t="shared" si="327"/>
        <v>0</v>
      </c>
      <c r="AF215" s="117">
        <f t="shared" si="299"/>
        <v>99.000000000100002</v>
      </c>
      <c r="AG215" s="117">
        <f t="shared" si="300"/>
        <v>99.000000000300005</v>
      </c>
      <c r="AH215" s="117">
        <f t="shared" si="301"/>
        <v>99.000000000300005</v>
      </c>
      <c r="AI215" s="117">
        <f t="shared" si="302"/>
        <v>0</v>
      </c>
      <c r="AJ215" s="117">
        <f t="shared" si="303"/>
        <v>5.0000000000000003E-10</v>
      </c>
      <c r="AK215" s="117">
        <f t="shared" si="304"/>
        <v>99.000000000599996</v>
      </c>
      <c r="AL215" s="117">
        <f t="shared" si="305"/>
        <v>6.9999999999999996E-10</v>
      </c>
      <c r="AM215" s="117">
        <f t="shared" si="306"/>
        <v>8.0000000000000003E-10</v>
      </c>
      <c r="AN215" s="117">
        <f t="shared" si="307"/>
        <v>8.9999999999999999E-10</v>
      </c>
      <c r="AO215" s="117">
        <f t="shared" si="308"/>
        <v>0</v>
      </c>
      <c r="AP215" s="139" t="b">
        <f t="shared" ref="AP215:AP238" si="328">IF(AF215&gt;LARGE($AF215:$AO215,6),TRUE)</f>
        <v>1</v>
      </c>
      <c r="AQ215" s="139" t="b">
        <f t="shared" ref="AQ215:AQ238" si="329">IF(AG215&gt;LARGE($AF215:$AO215,6),TRUE)</f>
        <v>1</v>
      </c>
      <c r="AR215" s="139" t="b">
        <f t="shared" ref="AR215:AR238" si="330">IF(AH215&gt;LARGE($AF215:$AO215,6),TRUE)</f>
        <v>1</v>
      </c>
      <c r="AS215" s="139"/>
      <c r="AT215" s="139" t="b">
        <f t="shared" ref="AT215:AT238" si="331">IF(AJ215&gt;LARGE($AF215:$AO215,6),TRUE)</f>
        <v>0</v>
      </c>
      <c r="AU215" s="139" t="b">
        <f t="shared" ref="AU215:AU238" si="332">IF(AK215&gt;LARGE($AF215:$AO215,6),TRUE)</f>
        <v>1</v>
      </c>
      <c r="AV215" s="139" t="b">
        <f t="shared" ref="AV215:AV238" si="333">IF(AL215&gt;LARGE($AF215:$AO215,6),TRUE)</f>
        <v>0</v>
      </c>
      <c r="AW215" s="139" t="b">
        <f t="shared" ref="AW215:AW238" si="334">IF(AM215&gt;LARGE($AF215:$AO215,6),TRUE)</f>
        <v>0</v>
      </c>
      <c r="AX215" s="139" t="b">
        <f t="shared" ref="AX215:AX238" si="335">IF(AN215&gt;LARGE($AF215:$AO215,6),TRUE)</f>
        <v>1</v>
      </c>
      <c r="AY215" s="139" t="b">
        <f t="shared" ref="AY215:AY238" si="336">IF(AO215&gt;LARGE($AF215:$AO215,6),TRUE)</f>
        <v>0</v>
      </c>
      <c r="AZ215" s="139" t="str">
        <f>'Reference Score Calculation'!AV192</f>
        <v>無</v>
      </c>
      <c r="BA215" s="93" t="str">
        <f>'Reference Score Calculation'!N192</f>
        <v>最佳五科必須包括︰中文、英文、數學 及 [化學 或 生物]最佳一科</v>
      </c>
      <c r="BB215" s="93" t="str">
        <f>'Reference Score Calculation'!O192</f>
        <v>/</v>
      </c>
      <c r="BC215" s="93"/>
      <c r="BD215" s="93"/>
      <c r="BE215" s="93"/>
      <c r="BF215" s="93"/>
      <c r="BG215" s="93" t="s">
        <v>64</v>
      </c>
      <c r="BH215" s="93" t="b">
        <v>1</v>
      </c>
      <c r="BI215" s="93" t="b">
        <v>1</v>
      </c>
      <c r="BJ215" s="93" t="b">
        <v>1</v>
      </c>
      <c r="BK215" s="93"/>
      <c r="BL215" s="93"/>
      <c r="BM215" s="93" t="b">
        <f>IF(BM167=$BT$208,TRUE)</f>
        <v>1</v>
      </c>
      <c r="BN215" s="93" t="b">
        <f>IF(BN167=$BT$208,TRUE)</f>
        <v>0</v>
      </c>
      <c r="BO215" s="93" t="b">
        <f>IF(BO167=$BT$208,TRUE)</f>
        <v>0</v>
      </c>
      <c r="BP215" s="93" t="b">
        <f>IF(BP167=$BT$208,TRUE)</f>
        <v>0</v>
      </c>
      <c r="BQ215" s="93"/>
      <c r="BR215" s="93"/>
      <c r="BS215" s="184"/>
      <c r="BT215" s="384" t="str">
        <f>INDEX($BT$217:$BW$217,MATCH(LARGE($BT$218:$BW$218,1),$BT$218:$BW$218,0))</f>
        <v>請選擇第一選修科</v>
      </c>
      <c r="BU215" s="139">
        <f>LARGE(BT218:BW218,1)</f>
        <v>0</v>
      </c>
      <c r="BV215" s="185"/>
      <c r="BW215" s="185"/>
      <c r="BX215" s="185"/>
      <c r="BY215" s="185"/>
      <c r="BZ215" s="185"/>
      <c r="CA215" s="185"/>
      <c r="CB215" s="185"/>
      <c r="CC215" s="185"/>
      <c r="CD215" s="186"/>
      <c r="CE215" s="186"/>
      <c r="CF215" s="186"/>
      <c r="CG215" s="186"/>
      <c r="CH215" s="186"/>
      <c r="CI215" s="186"/>
      <c r="CJ215" s="186"/>
      <c r="CK215" s="186"/>
      <c r="CL215" s="186"/>
      <c r="CM215" s="186"/>
      <c r="CN215" s="186"/>
      <c r="CO215" s="186"/>
      <c r="CP215" s="186"/>
      <c r="CQ215" s="186"/>
      <c r="CR215" s="186"/>
      <c r="CS215" s="186"/>
    </row>
    <row r="216" spans="1:97" s="139" customFormat="1">
      <c r="A216" s="139" t="s">
        <v>1315</v>
      </c>
      <c r="B216" s="183" t="str">
        <f>'Reference Score Calculation'!B193</f>
        <v>JS4601</v>
      </c>
      <c r="C216" s="183" t="str">
        <f>'Reference Score Calculation'!E193</f>
        <v>理學</v>
      </c>
      <c r="D216" s="183"/>
      <c r="E216" s="183" t="str">
        <f>'Reference Score Calculation'!F193</f>
        <v>Best 5</v>
      </c>
      <c r="F216" s="93"/>
      <c r="G216" s="93" t="str">
        <f>入學要求!AB202</f>
        <v>v</v>
      </c>
      <c r="H216" s="93" t="str">
        <f>入學要求!AC202</f>
        <v>NO</v>
      </c>
      <c r="I216" s="93" t="str">
        <f>入學要求!AD202</f>
        <v>NO</v>
      </c>
      <c r="J216" s="183">
        <f t="shared" si="288"/>
        <v>3.3999999999999998E-9</v>
      </c>
      <c r="K216" s="475">
        <f>IF(K1=$BX$222,$BY$222,IF(K1=$BZ$222,$CA$222,IF(K1=$CB$222,$CC$222,1)))</f>
        <v>1.5</v>
      </c>
      <c r="L216" s="475">
        <f>IF(L1=$BX$222,$BY$222,IF(L1=$BZ$222,$CA$222,IF(L1=$CB$222,$CC$222,1)))</f>
        <v>1</v>
      </c>
      <c r="M216" s="475">
        <f>IF(M1=$BX$222,$BY$222,IF(M1=$BZ$222,$CA$222,IF(M1=$CB$222,$CC$222,1)))</f>
        <v>2</v>
      </c>
      <c r="N216" s="475"/>
      <c r="O216" s="475">
        <f t="shared" ref="O216:T216" si="337">IF(O1=$BX$222,$BY$222,IF(O1=$BZ$222,$CA$222,IF(O1=$CB$222,$CC$222,1)))</f>
        <v>2</v>
      </c>
      <c r="P216" s="475">
        <f t="shared" si="337"/>
        <v>1</v>
      </c>
      <c r="Q216" s="475">
        <f t="shared" si="337"/>
        <v>1</v>
      </c>
      <c r="R216" s="475">
        <f t="shared" si="337"/>
        <v>1</v>
      </c>
      <c r="S216" s="475">
        <f t="shared" si="337"/>
        <v>1</v>
      </c>
      <c r="T216" s="475">
        <f t="shared" si="337"/>
        <v>1</v>
      </c>
      <c r="U216" s="93"/>
      <c r="V216" s="139">
        <f t="shared" si="319"/>
        <v>1.5E-10</v>
      </c>
      <c r="W216" s="139">
        <f t="shared" si="320"/>
        <v>2.0000000000000001E-10</v>
      </c>
      <c r="X216" s="139">
        <f t="shared" si="321"/>
        <v>6E-10</v>
      </c>
      <c r="Z216" s="139">
        <f t="shared" si="322"/>
        <v>1.0000000000000001E-9</v>
      </c>
      <c r="AA216" s="139">
        <f t="shared" si="323"/>
        <v>6E-10</v>
      </c>
      <c r="AB216" s="139">
        <f t="shared" si="324"/>
        <v>6.9999999999999996E-10</v>
      </c>
      <c r="AC216" s="139">
        <f t="shared" si="325"/>
        <v>8.0000000000000003E-10</v>
      </c>
      <c r="AD216" s="139">
        <f t="shared" si="326"/>
        <v>8.9999999999999999E-10</v>
      </c>
      <c r="AE216" s="139">
        <f t="shared" si="327"/>
        <v>0</v>
      </c>
      <c r="AF216" s="117">
        <f t="shared" si="299"/>
        <v>1.5E-10</v>
      </c>
      <c r="AG216" s="117">
        <f t="shared" si="300"/>
        <v>2.0000000000000001E-10</v>
      </c>
      <c r="AH216" s="117">
        <f t="shared" si="301"/>
        <v>6E-10</v>
      </c>
      <c r="AI216" s="117">
        <f t="shared" si="302"/>
        <v>0</v>
      </c>
      <c r="AJ216" s="117">
        <f t="shared" si="303"/>
        <v>1.0000000000000001E-9</v>
      </c>
      <c r="AK216" s="117">
        <f t="shared" si="304"/>
        <v>6E-10</v>
      </c>
      <c r="AL216" s="117">
        <f t="shared" si="305"/>
        <v>6.9999999999999996E-10</v>
      </c>
      <c r="AM216" s="117">
        <f t="shared" si="306"/>
        <v>8.0000000000000003E-10</v>
      </c>
      <c r="AN216" s="117">
        <f t="shared" si="307"/>
        <v>8.9999999999999999E-10</v>
      </c>
      <c r="AO216" s="117">
        <f t="shared" si="308"/>
        <v>0</v>
      </c>
      <c r="AP216" s="139" t="b">
        <f t="shared" si="328"/>
        <v>0</v>
      </c>
      <c r="AQ216" s="139" t="b">
        <f t="shared" si="329"/>
        <v>0</v>
      </c>
      <c r="AR216" s="139" t="b">
        <f t="shared" si="330"/>
        <v>0</v>
      </c>
      <c r="AT216" s="139" t="b">
        <f t="shared" si="331"/>
        <v>1</v>
      </c>
      <c r="AU216" s="139" t="b">
        <f t="shared" si="332"/>
        <v>0</v>
      </c>
      <c r="AV216" s="139" t="b">
        <f t="shared" si="333"/>
        <v>1</v>
      </c>
      <c r="AW216" s="139" t="b">
        <f t="shared" si="334"/>
        <v>1</v>
      </c>
      <c r="AX216" s="139" t="b">
        <f t="shared" si="335"/>
        <v>1</v>
      </c>
      <c r="AY216" s="139" t="b">
        <f t="shared" si="336"/>
        <v>0</v>
      </c>
      <c r="AZ216" s="139" t="str">
        <f>'Reference Score Calculation'!AV193</f>
        <v>無</v>
      </c>
      <c r="BA216" s="93">
        <f>'Reference Score Calculation'!N193</f>
        <v>0</v>
      </c>
      <c r="BB216" s="93">
        <f>'Reference Score Calculation'!O193</f>
        <v>0</v>
      </c>
      <c r="BC216" s="93"/>
      <c r="BD216" s="93"/>
      <c r="BE216" s="93"/>
      <c r="BF216" s="93"/>
      <c r="BG216" s="93" t="s">
        <v>64</v>
      </c>
      <c r="BH216" s="93"/>
      <c r="BI216" s="93"/>
      <c r="BJ216" s="93"/>
      <c r="BK216" s="93"/>
      <c r="BL216" s="93"/>
      <c r="BM216" s="93"/>
      <c r="BN216" s="93"/>
      <c r="BO216" s="93"/>
      <c r="BP216" s="93"/>
      <c r="BQ216" s="93"/>
      <c r="BR216" s="93"/>
      <c r="BS216" s="184"/>
      <c r="BT216" s="185"/>
      <c r="BU216" s="185"/>
      <c r="BV216" s="185"/>
      <c r="BW216" s="185"/>
      <c r="BX216" s="186"/>
      <c r="BY216" s="186"/>
      <c r="BZ216" s="186"/>
      <c r="CA216" s="186"/>
      <c r="CB216" s="186"/>
      <c r="CC216" s="186"/>
      <c r="CD216" s="186"/>
      <c r="CE216" s="186"/>
      <c r="CF216" s="186"/>
      <c r="CG216" s="186"/>
      <c r="CH216" s="186"/>
      <c r="CI216" s="186"/>
      <c r="CJ216" s="186"/>
      <c r="CK216" s="186"/>
      <c r="CL216" s="186"/>
      <c r="CM216" s="186"/>
      <c r="CN216" s="186"/>
      <c r="CO216" s="186"/>
      <c r="CP216" s="186"/>
      <c r="CQ216" s="186"/>
      <c r="CR216" s="186"/>
      <c r="CS216" s="186"/>
    </row>
    <row r="217" spans="1:97" s="139" customFormat="1">
      <c r="A217" s="139" t="s">
        <v>1956</v>
      </c>
      <c r="B217" s="183" t="str">
        <f>'Reference Score Calculation'!B194</f>
        <v>JS4648</v>
      </c>
      <c r="C217" s="183" t="str">
        <f>'Reference Score Calculation'!E194</f>
        <v>地球與環境科學</v>
      </c>
      <c r="D217" s="183"/>
      <c r="E217" s="183" t="str">
        <f>'Reference Score Calculation'!F194</f>
        <v>Best 5</v>
      </c>
      <c r="F217" s="93"/>
      <c r="G217" s="93" t="str">
        <f>入學要求!AB203</f>
        <v>v</v>
      </c>
      <c r="H217" s="93" t="str">
        <f>入學要求!AC203</f>
        <v>NO</v>
      </c>
      <c r="I217" s="93" t="str">
        <f>入學要求!AD203</f>
        <v>NO</v>
      </c>
      <c r="J217" s="183">
        <f t="shared" si="288"/>
        <v>3.3999999999999998E-9</v>
      </c>
      <c r="K217" s="475">
        <v>1</v>
      </c>
      <c r="L217" s="475">
        <v>2</v>
      </c>
      <c r="M217" s="475">
        <v>2</v>
      </c>
      <c r="N217" s="475"/>
      <c r="O217" s="475">
        <v>2</v>
      </c>
      <c r="P217" s="475">
        <f>IF(OR(P1="物理",P1="生物",P1="化學"),2,IF(P1="地理",1.5,1))</f>
        <v>1</v>
      </c>
      <c r="Q217" s="475">
        <f>IF(OR(Q1="物理",Q1="生物",Q1="化學"),2,IF(Q1="地理",1.5,1))</f>
        <v>1</v>
      </c>
      <c r="R217" s="475">
        <f>IF(OR(R1="物理",R1="生物",R1="化學"),2,IF(R1="地理",1.5,1))</f>
        <v>1</v>
      </c>
      <c r="S217" s="475">
        <f>IF(OR(S1="物理",S1="生物",S1="化學"),2,IF(S1="地理",1.5,1))</f>
        <v>1</v>
      </c>
      <c r="T217" s="475">
        <v>1</v>
      </c>
      <c r="U217" s="93"/>
      <c r="V217" s="139">
        <f t="shared" si="319"/>
        <v>1E-10</v>
      </c>
      <c r="W217" s="139">
        <f t="shared" si="320"/>
        <v>4.0000000000000001E-10</v>
      </c>
      <c r="X217" s="139">
        <f t="shared" si="321"/>
        <v>6E-10</v>
      </c>
      <c r="Z217" s="139">
        <f t="shared" si="322"/>
        <v>1.0000000000000001E-9</v>
      </c>
      <c r="AA217" s="139">
        <f t="shared" si="323"/>
        <v>6E-10</v>
      </c>
      <c r="AB217" s="139">
        <f t="shared" si="324"/>
        <v>6.9999999999999996E-10</v>
      </c>
      <c r="AC217" s="139">
        <f t="shared" si="325"/>
        <v>8.0000000000000003E-10</v>
      </c>
      <c r="AD217" s="139">
        <f t="shared" si="326"/>
        <v>8.9999999999999999E-10</v>
      </c>
      <c r="AE217" s="139">
        <f t="shared" si="327"/>
        <v>0</v>
      </c>
      <c r="AF217" s="117">
        <f t="shared" si="299"/>
        <v>1E-10</v>
      </c>
      <c r="AG217" s="117">
        <f t="shared" si="300"/>
        <v>4.0000000000000001E-10</v>
      </c>
      <c r="AH217" s="117">
        <f t="shared" si="301"/>
        <v>6E-10</v>
      </c>
      <c r="AI217" s="117">
        <f t="shared" si="302"/>
        <v>0</v>
      </c>
      <c r="AJ217" s="117">
        <f t="shared" si="303"/>
        <v>1.0000000000000001E-9</v>
      </c>
      <c r="AK217" s="117">
        <f t="shared" si="304"/>
        <v>6E-10</v>
      </c>
      <c r="AL217" s="117">
        <f t="shared" si="305"/>
        <v>6.9999999999999996E-10</v>
      </c>
      <c r="AM217" s="117">
        <f t="shared" si="306"/>
        <v>8.0000000000000003E-10</v>
      </c>
      <c r="AN217" s="117">
        <f t="shared" si="307"/>
        <v>8.9999999999999999E-10</v>
      </c>
      <c r="AO217" s="117">
        <f t="shared" si="308"/>
        <v>0</v>
      </c>
      <c r="AP217" s="139" t="b">
        <f t="shared" si="328"/>
        <v>0</v>
      </c>
      <c r="AQ217" s="139" t="b">
        <f t="shared" si="329"/>
        <v>0</v>
      </c>
      <c r="AR217" s="139" t="b">
        <f t="shared" si="330"/>
        <v>0</v>
      </c>
      <c r="AT217" s="139" t="b">
        <f t="shared" si="331"/>
        <v>1</v>
      </c>
      <c r="AU217" s="139" t="b">
        <f t="shared" si="332"/>
        <v>0</v>
      </c>
      <c r="AV217" s="139" t="b">
        <f t="shared" si="333"/>
        <v>1</v>
      </c>
      <c r="AW217" s="139" t="b">
        <f t="shared" si="334"/>
        <v>1</v>
      </c>
      <c r="AX217" s="139" t="b">
        <f t="shared" si="335"/>
        <v>1</v>
      </c>
      <c r="AY217" s="139" t="b">
        <f t="shared" si="336"/>
        <v>0</v>
      </c>
      <c r="AZ217" s="139" t="str">
        <f>'Reference Score Calculation'!AV194</f>
        <v>無</v>
      </c>
      <c r="BA217" s="93" t="str">
        <f>'Reference Score Calculation'!N194</f>
        <v>/</v>
      </c>
      <c r="BB217" s="93" t="str">
        <f>'Reference Score Calculation'!O194</f>
        <v>/</v>
      </c>
      <c r="BC217" s="93"/>
      <c r="BD217" s="93"/>
      <c r="BE217" s="93"/>
      <c r="BF217" s="93"/>
      <c r="BG217" s="93" t="s">
        <v>64</v>
      </c>
      <c r="BH217" s="93"/>
      <c r="BI217" s="93"/>
      <c r="BJ217" s="93"/>
      <c r="BK217" s="93"/>
      <c r="BL217" s="93"/>
      <c r="BM217" s="93"/>
      <c r="BN217" s="93"/>
      <c r="BO217" s="93"/>
      <c r="BP217" s="93"/>
      <c r="BQ217" s="93"/>
      <c r="BR217" s="93"/>
      <c r="BS217" s="184"/>
      <c r="BT217" s="185" t="str">
        <f>P1</f>
        <v>請選擇第一選修科</v>
      </c>
      <c r="BU217" s="185" t="str">
        <f>Q1</f>
        <v>請選擇第二選修科</v>
      </c>
      <c r="BV217" s="185" t="str">
        <f>R1</f>
        <v>請選擇第三選修科</v>
      </c>
      <c r="BW217" s="185" t="str">
        <f>S1</f>
        <v>請選擇第四選修科</v>
      </c>
      <c r="BX217" s="186"/>
      <c r="BY217" s="186"/>
      <c r="BZ217" s="186"/>
      <c r="CA217" s="186"/>
      <c r="CB217" s="186"/>
      <c r="CC217" s="186"/>
      <c r="CD217" s="186"/>
      <c r="CE217" s="186"/>
      <c r="CF217" s="186"/>
      <c r="CG217" s="186"/>
      <c r="CH217" s="186"/>
      <c r="CI217" s="186"/>
      <c r="CJ217" s="186"/>
      <c r="CK217" s="186"/>
      <c r="CL217" s="186"/>
      <c r="CM217" s="186"/>
      <c r="CN217" s="186"/>
      <c r="CO217" s="186"/>
      <c r="CP217" s="186"/>
      <c r="CQ217" s="186"/>
      <c r="CR217" s="186"/>
      <c r="CS217" s="186"/>
    </row>
    <row r="218" spans="1:97" s="139" customFormat="1">
      <c r="A218" s="139" t="s">
        <v>1322</v>
      </c>
      <c r="B218" s="183" t="str">
        <f>'Reference Score Calculation'!B195</f>
        <v>JS4682</v>
      </c>
      <c r="C218" s="183" t="str">
        <f>'Reference Score Calculation'!E195</f>
        <v>數學精研</v>
      </c>
      <c r="D218" s="183"/>
      <c r="E218" s="183" t="str">
        <f>'Reference Score Calculation'!F195</f>
        <v>Best 5</v>
      </c>
      <c r="F218" s="93"/>
      <c r="G218" s="93" t="str">
        <f>入學要求!AB204</f>
        <v>v</v>
      </c>
      <c r="H218" s="93" t="str">
        <f>入學要求!AC204</f>
        <v>E</v>
      </c>
      <c r="I218" s="93" t="str">
        <f>入學要求!AD204</f>
        <v>NO</v>
      </c>
      <c r="J218" s="183">
        <f t="shared" si="288"/>
        <v>4.7500000000000003E-9</v>
      </c>
      <c r="K218" s="475">
        <v>1</v>
      </c>
      <c r="L218" s="475">
        <v>1</v>
      </c>
      <c r="M218" s="475">
        <v>1</v>
      </c>
      <c r="N218" s="475"/>
      <c r="O218" s="475">
        <v>3.5</v>
      </c>
      <c r="P218" s="475">
        <v>1</v>
      </c>
      <c r="Q218" s="475">
        <v>1</v>
      </c>
      <c r="R218" s="475">
        <v>1</v>
      </c>
      <c r="S218" s="475">
        <v>1</v>
      </c>
      <c r="T218" s="475">
        <v>1</v>
      </c>
      <c r="U218" s="93"/>
      <c r="V218" s="139">
        <f t="shared" si="319"/>
        <v>1E-10</v>
      </c>
      <c r="W218" s="139">
        <f t="shared" si="320"/>
        <v>2.0000000000000001E-10</v>
      </c>
      <c r="X218" s="139">
        <f t="shared" si="321"/>
        <v>3E-10</v>
      </c>
      <c r="Z218" s="139">
        <f t="shared" si="322"/>
        <v>1.7500000000000002E-9</v>
      </c>
      <c r="AA218" s="139">
        <f t="shared" si="323"/>
        <v>6E-10</v>
      </c>
      <c r="AB218" s="139">
        <f t="shared" si="324"/>
        <v>6.9999999999999996E-10</v>
      </c>
      <c r="AC218" s="139">
        <f t="shared" si="325"/>
        <v>8.0000000000000003E-10</v>
      </c>
      <c r="AD218" s="139">
        <f t="shared" si="326"/>
        <v>8.9999999999999999E-10</v>
      </c>
      <c r="AE218" s="139">
        <f t="shared" si="327"/>
        <v>0</v>
      </c>
      <c r="AF218" s="117">
        <f t="shared" si="299"/>
        <v>1E-10</v>
      </c>
      <c r="AG218" s="117">
        <f t="shared" si="300"/>
        <v>2.0000000000000001E-10</v>
      </c>
      <c r="AH218" s="117">
        <f t="shared" si="301"/>
        <v>3E-10</v>
      </c>
      <c r="AI218" s="117">
        <f t="shared" si="302"/>
        <v>0</v>
      </c>
      <c r="AJ218" s="117">
        <f t="shared" si="303"/>
        <v>1.7500000000000002E-9</v>
      </c>
      <c r="AK218" s="117">
        <f t="shared" si="304"/>
        <v>6E-10</v>
      </c>
      <c r="AL218" s="117">
        <f t="shared" si="305"/>
        <v>6.9999999999999996E-10</v>
      </c>
      <c r="AM218" s="117">
        <f t="shared" si="306"/>
        <v>8.0000000000000003E-10</v>
      </c>
      <c r="AN218" s="117">
        <f t="shared" si="307"/>
        <v>8.9999999999999999E-10</v>
      </c>
      <c r="AO218" s="117">
        <f t="shared" si="308"/>
        <v>0</v>
      </c>
      <c r="AP218" s="139" t="b">
        <f t="shared" si="328"/>
        <v>0</v>
      </c>
      <c r="AQ218" s="139" t="b">
        <f t="shared" si="329"/>
        <v>0</v>
      </c>
      <c r="AR218" s="139" t="b">
        <f t="shared" si="330"/>
        <v>0</v>
      </c>
      <c r="AT218" s="139" t="b">
        <f t="shared" si="331"/>
        <v>1</v>
      </c>
      <c r="AU218" s="139" t="b">
        <f t="shared" si="332"/>
        <v>1</v>
      </c>
      <c r="AV218" s="139" t="b">
        <f t="shared" si="333"/>
        <v>1</v>
      </c>
      <c r="AW218" s="139" t="b">
        <f t="shared" si="334"/>
        <v>1</v>
      </c>
      <c r="AX218" s="139" t="b">
        <f t="shared" si="335"/>
        <v>1</v>
      </c>
      <c r="AY218" s="139" t="b">
        <f t="shared" si="336"/>
        <v>0</v>
      </c>
      <c r="AZ218" s="139" t="str">
        <f>'Reference Score Calculation'!AV195</f>
        <v>無</v>
      </c>
      <c r="BA218" s="93" t="str">
        <f>'Reference Score Calculation'!N195</f>
        <v>優先考慮 M1/2 成績優異者</v>
      </c>
      <c r="BB218" s="93" t="str">
        <f>'Reference Score Calculation'!O195</f>
        <v>/</v>
      </c>
      <c r="BC218" s="93"/>
      <c r="BD218" s="93"/>
      <c r="BE218" s="93"/>
      <c r="BF218" s="93"/>
      <c r="BG218" s="93" t="s">
        <v>64</v>
      </c>
      <c r="BH218" s="93"/>
      <c r="BI218" s="93"/>
      <c r="BJ218" s="93"/>
      <c r="BK218" s="93"/>
      <c r="BL218" s="93"/>
      <c r="BM218" s="93"/>
      <c r="BN218" s="93"/>
      <c r="BO218" s="93"/>
      <c r="BP218" s="93"/>
      <c r="BQ218" s="93"/>
      <c r="BR218" s="93"/>
      <c r="BS218" s="184"/>
      <c r="BT218" s="383">
        <f>IF(OR(P1="生物",P1="物理",P1="化學"),P6,0)</f>
        <v>0</v>
      </c>
      <c r="BU218" s="383">
        <f>IF(OR(Q1="生物",Q1="物理",Q1="化學"),Q6,0)</f>
        <v>0</v>
      </c>
      <c r="BV218" s="383">
        <f>IF(OR(R1="生物",R1="物理",R1="化學"),R6,0)</f>
        <v>0</v>
      </c>
      <c r="BW218" s="383">
        <f>IF(OR(S1="生物",S1="物理",S1="化學"),S6,0)</f>
        <v>0</v>
      </c>
      <c r="BX218" s="186"/>
      <c r="BY218" s="186"/>
      <c r="BZ218" s="186"/>
      <c r="CA218" s="186"/>
      <c r="CB218" s="186"/>
      <c r="CC218" s="186"/>
      <c r="CD218" s="186"/>
      <c r="CE218" s="186"/>
      <c r="CF218" s="186"/>
      <c r="CG218" s="186"/>
      <c r="CH218" s="186"/>
      <c r="CI218" s="186"/>
      <c r="CJ218" s="186"/>
      <c r="CK218" s="186"/>
      <c r="CL218" s="186"/>
      <c r="CM218" s="186"/>
      <c r="CN218" s="186"/>
      <c r="CO218" s="186"/>
      <c r="CP218" s="186"/>
      <c r="CQ218" s="186"/>
      <c r="CR218" s="186"/>
      <c r="CS218" s="186"/>
    </row>
    <row r="219" spans="1:97" s="139" customFormat="1">
      <c r="A219" s="139" t="s">
        <v>1327</v>
      </c>
      <c r="B219" s="183" t="str">
        <f>'Reference Score Calculation'!B196</f>
        <v>JS4690</v>
      </c>
      <c r="C219" s="183" t="str">
        <f>'Reference Score Calculation'!E196</f>
        <v>理論物理精研</v>
      </c>
      <c r="D219" s="183"/>
      <c r="E219" s="183" t="str">
        <f>'Reference Score Calculation'!F196</f>
        <v>Best 5</v>
      </c>
      <c r="F219" s="93"/>
      <c r="G219" s="93" t="str">
        <f>入學要求!AB205</f>
        <v>v</v>
      </c>
      <c r="H219" s="93" t="str">
        <f>入學要求!AC205</f>
        <v>E</v>
      </c>
      <c r="I219" s="93" t="str">
        <f>入學要求!AD205</f>
        <v>NO</v>
      </c>
      <c r="J219" s="183">
        <f t="shared" si="288"/>
        <v>3.7500000000000005E-9</v>
      </c>
      <c r="K219" s="475">
        <v>1</v>
      </c>
      <c r="L219" s="475">
        <v>1</v>
      </c>
      <c r="M219" s="475">
        <v>1.5</v>
      </c>
      <c r="N219" s="475"/>
      <c r="O219" s="475">
        <v>1.5</v>
      </c>
      <c r="P219" s="475">
        <f>IF(P1="物理",2,1)</f>
        <v>1</v>
      </c>
      <c r="Q219" s="475">
        <f>IF(Q1="物理",2,1)</f>
        <v>1</v>
      </c>
      <c r="R219" s="475">
        <f>IF(R1="物理",2,1)</f>
        <v>1</v>
      </c>
      <c r="S219" s="475">
        <f>IF(S1="物理",2,1)</f>
        <v>1</v>
      </c>
      <c r="T219" s="475">
        <f>IF(T1="物理",1.5,1)</f>
        <v>1</v>
      </c>
      <c r="U219" s="93"/>
      <c r="V219" s="139">
        <f t="shared" si="319"/>
        <v>1E-10</v>
      </c>
      <c r="W219" s="139">
        <f t="shared" si="320"/>
        <v>2.0000000000000001E-10</v>
      </c>
      <c r="X219" s="139">
        <f t="shared" si="321"/>
        <v>4.5E-10</v>
      </c>
      <c r="Z219" s="139">
        <f t="shared" si="322"/>
        <v>7.500000000000001E-10</v>
      </c>
      <c r="AA219" s="139">
        <f t="shared" si="323"/>
        <v>6E-10</v>
      </c>
      <c r="AB219" s="139">
        <f t="shared" si="324"/>
        <v>6.9999999999999996E-10</v>
      </c>
      <c r="AC219" s="139">
        <f t="shared" si="325"/>
        <v>8.0000000000000003E-10</v>
      </c>
      <c r="AD219" s="139">
        <f t="shared" si="326"/>
        <v>8.9999999999999999E-10</v>
      </c>
      <c r="AE219" s="139">
        <f t="shared" si="327"/>
        <v>0</v>
      </c>
      <c r="AF219" s="117">
        <f t="shared" si="299"/>
        <v>1E-10</v>
      </c>
      <c r="AG219" s="117">
        <f t="shared" si="300"/>
        <v>2.0000000000000001E-10</v>
      </c>
      <c r="AH219" s="117">
        <f t="shared" si="301"/>
        <v>4.5E-10</v>
      </c>
      <c r="AI219" s="117">
        <f t="shared" si="302"/>
        <v>0</v>
      </c>
      <c r="AJ219" s="117">
        <f t="shared" si="303"/>
        <v>7.500000000000001E-10</v>
      </c>
      <c r="AK219" s="117">
        <f t="shared" si="304"/>
        <v>6E-10</v>
      </c>
      <c r="AL219" s="117">
        <f t="shared" si="305"/>
        <v>6.9999999999999996E-10</v>
      </c>
      <c r="AM219" s="117">
        <f t="shared" si="306"/>
        <v>8.0000000000000003E-10</v>
      </c>
      <c r="AN219" s="117">
        <f t="shared" si="307"/>
        <v>8.9999999999999999E-10</v>
      </c>
      <c r="AO219" s="117">
        <f t="shared" si="308"/>
        <v>0</v>
      </c>
      <c r="AP219" s="139" t="b">
        <f t="shared" si="328"/>
        <v>0</v>
      </c>
      <c r="AQ219" s="139" t="b">
        <f t="shared" si="329"/>
        <v>0</v>
      </c>
      <c r="AR219" s="139" t="b">
        <f t="shared" si="330"/>
        <v>0</v>
      </c>
      <c r="AT219" s="139" t="b">
        <f t="shared" si="331"/>
        <v>1</v>
      </c>
      <c r="AU219" s="139" t="b">
        <f t="shared" si="332"/>
        <v>1</v>
      </c>
      <c r="AV219" s="139" t="b">
        <f t="shared" si="333"/>
        <v>1</v>
      </c>
      <c r="AW219" s="139" t="b">
        <f t="shared" si="334"/>
        <v>1</v>
      </c>
      <c r="AX219" s="139" t="b">
        <f t="shared" si="335"/>
        <v>1</v>
      </c>
      <c r="AY219" s="139" t="b">
        <f t="shared" si="336"/>
        <v>0</v>
      </c>
      <c r="AZ219" s="139" t="str">
        <f>'Reference Score Calculation'!AV196</f>
        <v>無</v>
      </c>
      <c r="BA219" s="93" t="str">
        <f>'Reference Score Calculation'!N196</f>
        <v>優先考慮修讀  M1/2 者</v>
      </c>
      <c r="BB219" s="93" t="str">
        <f>'Reference Score Calculation'!O196</f>
        <v>/</v>
      </c>
      <c r="BC219" s="93"/>
      <c r="BD219" s="93"/>
      <c r="BE219" s="93"/>
      <c r="BF219" s="93"/>
      <c r="BG219" s="93" t="s">
        <v>64</v>
      </c>
      <c r="BH219" s="93"/>
      <c r="BI219" s="93"/>
      <c r="BJ219" s="93"/>
      <c r="BK219" s="93"/>
      <c r="BL219" s="93"/>
      <c r="BM219" s="93"/>
      <c r="BN219" s="93"/>
      <c r="BO219" s="93"/>
      <c r="BP219" s="93"/>
      <c r="BQ219" s="93"/>
      <c r="BR219" s="93"/>
      <c r="BS219" s="184"/>
      <c r="BT219" s="185"/>
      <c r="BU219" s="185"/>
      <c r="BV219" s="185"/>
      <c r="BW219" s="185"/>
      <c r="BX219" s="185"/>
      <c r="BY219" s="185"/>
      <c r="BZ219" s="185"/>
      <c r="CA219" s="185"/>
      <c r="CB219" s="185"/>
      <c r="CC219" s="185"/>
      <c r="CD219" s="186"/>
      <c r="CE219" s="186"/>
      <c r="CF219" s="186"/>
      <c r="CG219" s="186"/>
      <c r="CH219" s="186"/>
      <c r="CI219" s="186"/>
      <c r="CJ219" s="186"/>
      <c r="CK219" s="186"/>
      <c r="CL219" s="186"/>
      <c r="CM219" s="186"/>
      <c r="CN219" s="186"/>
      <c r="CO219" s="186"/>
      <c r="CP219" s="186"/>
      <c r="CQ219" s="186"/>
      <c r="CR219" s="186"/>
      <c r="CS219" s="186"/>
    </row>
    <row r="220" spans="1:97" s="139" customFormat="1" ht="13.95" customHeight="1">
      <c r="A220" s="139" t="s">
        <v>1333</v>
      </c>
      <c r="B220" s="183" t="str">
        <f>'Reference Score Calculation'!B197</f>
        <v>JS4719</v>
      </c>
      <c r="C220" s="183" t="str">
        <f>'Reference Score Calculation'!E197</f>
        <v>風險管理科學</v>
      </c>
      <c r="D220" s="183"/>
      <c r="E220" s="183" t="str">
        <f>'Reference Score Calculation'!F197</f>
        <v>Best 5</v>
      </c>
      <c r="F220" s="93"/>
      <c r="G220" s="93" t="str">
        <f>入學要求!AB206</f>
        <v>v</v>
      </c>
      <c r="H220" s="93" t="str">
        <f>入學要求!AC206</f>
        <v>E</v>
      </c>
      <c r="I220" s="93" t="str">
        <f>入學要求!AD206</f>
        <v>NO</v>
      </c>
      <c r="J220" s="183">
        <f t="shared" si="288"/>
        <v>3.3999999999999998E-9</v>
      </c>
      <c r="K220" s="475">
        <v>1</v>
      </c>
      <c r="L220" s="475">
        <v>1</v>
      </c>
      <c r="M220" s="475">
        <v>2</v>
      </c>
      <c r="N220" s="475"/>
      <c r="O220" s="475">
        <v>2</v>
      </c>
      <c r="P220" s="475">
        <v>1</v>
      </c>
      <c r="Q220" s="475">
        <v>1</v>
      </c>
      <c r="R220" s="475">
        <v>1</v>
      </c>
      <c r="S220" s="475">
        <v>1</v>
      </c>
      <c r="T220" s="475">
        <v>1</v>
      </c>
      <c r="U220" s="93"/>
      <c r="V220" s="139">
        <f t="shared" si="319"/>
        <v>1E-10</v>
      </c>
      <c r="W220" s="139">
        <f t="shared" si="320"/>
        <v>2.0000000000000001E-10</v>
      </c>
      <c r="X220" s="139">
        <f t="shared" si="321"/>
        <v>6E-10</v>
      </c>
      <c r="Z220" s="139">
        <f t="shared" si="322"/>
        <v>1.0000000000000001E-9</v>
      </c>
      <c r="AA220" s="139">
        <f t="shared" si="323"/>
        <v>6E-10</v>
      </c>
      <c r="AB220" s="139">
        <f t="shared" si="324"/>
        <v>6.9999999999999996E-10</v>
      </c>
      <c r="AC220" s="139">
        <f t="shared" si="325"/>
        <v>8.0000000000000003E-10</v>
      </c>
      <c r="AD220" s="139">
        <f t="shared" si="326"/>
        <v>8.9999999999999999E-10</v>
      </c>
      <c r="AE220" s="139">
        <f t="shared" si="327"/>
        <v>0</v>
      </c>
      <c r="AF220" s="117">
        <f t="shared" si="299"/>
        <v>1E-10</v>
      </c>
      <c r="AG220" s="117">
        <f t="shared" si="300"/>
        <v>2.0000000000000001E-10</v>
      </c>
      <c r="AH220" s="117">
        <f t="shared" si="301"/>
        <v>6E-10</v>
      </c>
      <c r="AI220" s="117">
        <f t="shared" si="302"/>
        <v>0</v>
      </c>
      <c r="AJ220" s="117">
        <f t="shared" si="303"/>
        <v>1.0000000000000001E-9</v>
      </c>
      <c r="AK220" s="117">
        <f t="shared" si="304"/>
        <v>6E-10</v>
      </c>
      <c r="AL220" s="117">
        <f t="shared" si="305"/>
        <v>6.9999999999999996E-10</v>
      </c>
      <c r="AM220" s="117">
        <f t="shared" si="306"/>
        <v>8.0000000000000003E-10</v>
      </c>
      <c r="AN220" s="117">
        <f t="shared" si="307"/>
        <v>8.9999999999999999E-10</v>
      </c>
      <c r="AO220" s="117">
        <f t="shared" si="308"/>
        <v>0</v>
      </c>
      <c r="AP220" s="139" t="b">
        <f t="shared" si="328"/>
        <v>0</v>
      </c>
      <c r="AQ220" s="139" t="b">
        <f t="shared" si="329"/>
        <v>0</v>
      </c>
      <c r="AR220" s="139" t="b">
        <f t="shared" si="330"/>
        <v>0</v>
      </c>
      <c r="AT220" s="139" t="b">
        <f t="shared" si="331"/>
        <v>1</v>
      </c>
      <c r="AU220" s="139" t="b">
        <f t="shared" si="332"/>
        <v>0</v>
      </c>
      <c r="AV220" s="139" t="b">
        <f t="shared" si="333"/>
        <v>1</v>
      </c>
      <c r="AW220" s="139" t="b">
        <f t="shared" si="334"/>
        <v>1</v>
      </c>
      <c r="AX220" s="139" t="b">
        <f t="shared" si="335"/>
        <v>1</v>
      </c>
      <c r="AY220" s="139" t="b">
        <f t="shared" si="336"/>
        <v>0</v>
      </c>
      <c r="AZ220" s="139" t="str">
        <f>'Reference Score Calculation'!AV197</f>
        <v>無</v>
      </c>
      <c r="BA220" s="93" t="str">
        <f>'Reference Score Calculation'!N197</f>
        <v>/</v>
      </c>
      <c r="BB220" s="93" t="str">
        <f>'Reference Score Calculation'!O197</f>
        <v>/</v>
      </c>
      <c r="BC220" s="93"/>
      <c r="BD220" s="93"/>
      <c r="BE220" s="93"/>
      <c r="BF220" s="93"/>
      <c r="BG220" s="93" t="s">
        <v>64</v>
      </c>
      <c r="BH220" s="93"/>
      <c r="BI220" s="93"/>
      <c r="BJ220" s="93"/>
      <c r="BK220" s="93"/>
      <c r="BL220" s="93"/>
      <c r="BM220" s="93"/>
      <c r="BN220" s="93"/>
      <c r="BO220" s="93"/>
      <c r="BP220" s="93"/>
      <c r="BQ220" s="93"/>
      <c r="BR220" s="93"/>
      <c r="BS220" s="184"/>
      <c r="BT220" s="185"/>
      <c r="BU220" s="185"/>
      <c r="BV220" s="185"/>
      <c r="BW220" s="185"/>
      <c r="BX220" s="185"/>
      <c r="BY220" s="185"/>
      <c r="BZ220" s="185"/>
      <c r="CA220" s="185"/>
      <c r="CB220" s="185"/>
      <c r="CC220" s="185"/>
      <c r="CD220" s="186"/>
      <c r="CE220" s="186"/>
      <c r="CF220" s="186"/>
      <c r="CG220" s="186"/>
      <c r="CH220" s="186"/>
      <c r="CI220" s="186"/>
      <c r="CJ220" s="186"/>
      <c r="CK220" s="186"/>
      <c r="CL220" s="186"/>
      <c r="CM220" s="186"/>
      <c r="CN220" s="186"/>
      <c r="CO220" s="186"/>
      <c r="CP220" s="186"/>
      <c r="CQ220" s="186"/>
      <c r="CR220" s="186"/>
      <c r="CS220" s="186"/>
    </row>
    <row r="221" spans="1:97">
      <c r="A221" s="139" t="s">
        <v>1337</v>
      </c>
      <c r="B221" s="183" t="str">
        <f>'Reference Score Calculation'!B198</f>
        <v>JS4725</v>
      </c>
      <c r="C221" s="183" t="str">
        <f>'Reference Score Calculation'!E198</f>
        <v>生物科技、創業與醫療管理</v>
      </c>
      <c r="D221" s="183"/>
      <c r="E221" s="183" t="str">
        <f>'Reference Score Calculation'!F198</f>
        <v>Best 5</v>
      </c>
      <c r="F221" s="93"/>
      <c r="G221" s="93" t="str">
        <f>入學要求!AB207</f>
        <v>v</v>
      </c>
      <c r="H221" s="93" t="str">
        <f>入學要求!AC207</f>
        <v>E</v>
      </c>
      <c r="I221" s="93" t="str">
        <f>入學要求!AD207</f>
        <v>NO</v>
      </c>
      <c r="J221" s="183">
        <f t="shared" si="288"/>
        <v>3.4999999999999999E-9</v>
      </c>
      <c r="K221" s="475">
        <v>1</v>
      </c>
      <c r="L221" s="475">
        <v>1</v>
      </c>
      <c r="M221" s="475">
        <v>1</v>
      </c>
      <c r="N221" s="475"/>
      <c r="O221" s="475">
        <v>1</v>
      </c>
      <c r="P221" s="475">
        <v>1</v>
      </c>
      <c r="Q221" s="475">
        <v>1</v>
      </c>
      <c r="R221" s="475">
        <v>1</v>
      </c>
      <c r="S221" s="475">
        <v>1</v>
      </c>
      <c r="T221" s="475">
        <v>1</v>
      </c>
      <c r="U221" s="93"/>
      <c r="V221" s="139">
        <f t="shared" si="319"/>
        <v>1E-10</v>
      </c>
      <c r="W221" s="139">
        <f t="shared" si="320"/>
        <v>2.0000000000000001E-10</v>
      </c>
      <c r="X221" s="139">
        <f t="shared" si="321"/>
        <v>3E-10</v>
      </c>
      <c r="Y221" s="139"/>
      <c r="Z221" s="139">
        <f t="shared" si="322"/>
        <v>5.0000000000000003E-10</v>
      </c>
      <c r="AA221" s="139">
        <f t="shared" si="323"/>
        <v>6E-10</v>
      </c>
      <c r="AB221" s="139">
        <f t="shared" si="324"/>
        <v>6.9999999999999996E-10</v>
      </c>
      <c r="AC221" s="139">
        <f t="shared" si="325"/>
        <v>8.0000000000000003E-10</v>
      </c>
      <c r="AD221" s="139">
        <f t="shared" si="326"/>
        <v>8.9999999999999999E-10</v>
      </c>
      <c r="AE221" s="139">
        <f t="shared" si="327"/>
        <v>0</v>
      </c>
      <c r="AF221" s="117">
        <f t="shared" si="299"/>
        <v>1E-10</v>
      </c>
      <c r="AG221" s="117">
        <f t="shared" si="300"/>
        <v>2.0000000000000001E-10</v>
      </c>
      <c r="AH221" s="117">
        <f t="shared" si="301"/>
        <v>3E-10</v>
      </c>
      <c r="AI221" s="117">
        <f t="shared" si="302"/>
        <v>0</v>
      </c>
      <c r="AJ221" s="117">
        <f t="shared" si="303"/>
        <v>5.0000000000000003E-10</v>
      </c>
      <c r="AK221" s="117">
        <f t="shared" si="304"/>
        <v>6E-10</v>
      </c>
      <c r="AL221" s="117">
        <f t="shared" si="305"/>
        <v>6.9999999999999996E-10</v>
      </c>
      <c r="AM221" s="117">
        <f t="shared" si="306"/>
        <v>8.0000000000000003E-10</v>
      </c>
      <c r="AN221" s="117">
        <f t="shared" si="307"/>
        <v>8.9999999999999999E-10</v>
      </c>
      <c r="AO221" s="117">
        <f t="shared" si="308"/>
        <v>0</v>
      </c>
      <c r="AP221" s="139" t="b">
        <f t="shared" si="328"/>
        <v>0</v>
      </c>
      <c r="AQ221" s="139" t="b">
        <f t="shared" si="329"/>
        <v>0</v>
      </c>
      <c r="AR221" s="139" t="b">
        <f t="shared" si="330"/>
        <v>0</v>
      </c>
      <c r="AS221" s="139"/>
      <c r="AT221" s="139" t="b">
        <f t="shared" si="331"/>
        <v>1</v>
      </c>
      <c r="AU221" s="139" t="b">
        <f t="shared" si="332"/>
        <v>1</v>
      </c>
      <c r="AV221" s="139" t="b">
        <f t="shared" si="333"/>
        <v>1</v>
      </c>
      <c r="AW221" s="139" t="b">
        <f t="shared" si="334"/>
        <v>1</v>
      </c>
      <c r="AX221" s="139" t="b">
        <f t="shared" si="335"/>
        <v>1</v>
      </c>
      <c r="AY221" s="139" t="b">
        <f t="shared" si="336"/>
        <v>0</v>
      </c>
      <c r="AZ221" s="139" t="str">
        <f>'Reference Score Calculation'!AV198</f>
        <v>無</v>
      </c>
      <c r="BA221" s="93" t="str">
        <f>'Reference Score Calculation'!N198</f>
        <v>/</v>
      </c>
      <c r="BB221" s="93" t="str">
        <f>'Reference Score Calculation'!O198</f>
        <v>/</v>
      </c>
      <c r="BC221" s="93"/>
      <c r="BD221" s="93"/>
      <c r="BE221" s="93"/>
      <c r="BF221" s="93"/>
      <c r="BG221" s="93" t="s">
        <v>64</v>
      </c>
      <c r="BH221" s="93"/>
      <c r="BI221" s="93"/>
      <c r="BJ221" s="93"/>
      <c r="BK221" s="93"/>
      <c r="BL221" s="93"/>
      <c r="BM221" s="93"/>
      <c r="BN221" s="93"/>
      <c r="BO221" s="93"/>
      <c r="BP221" s="93"/>
      <c r="BQ221" s="93"/>
      <c r="BR221" s="93"/>
      <c r="BS221" s="184" t="s">
        <v>325</v>
      </c>
      <c r="BT221" s="185" t="s">
        <v>2414</v>
      </c>
      <c r="BU221" s="185"/>
      <c r="BV221" s="185"/>
      <c r="BW221" s="185"/>
      <c r="BX221" s="190" t="s">
        <v>327</v>
      </c>
      <c r="BY221" s="185"/>
      <c r="BZ221" s="190" t="s">
        <v>328</v>
      </c>
      <c r="CA221" s="185"/>
      <c r="CB221" s="190" t="s">
        <v>329</v>
      </c>
      <c r="CC221" s="186"/>
      <c r="CD221" s="186"/>
      <c r="CE221" s="186"/>
      <c r="CF221" s="186"/>
      <c r="CG221" s="186"/>
      <c r="CH221" s="186"/>
      <c r="CI221" s="186"/>
      <c r="CJ221" s="186"/>
      <c r="CK221" s="186"/>
      <c r="CL221" s="186"/>
      <c r="CM221" s="186"/>
      <c r="CN221" s="186"/>
      <c r="CO221" s="186"/>
      <c r="CP221" s="186"/>
      <c r="CQ221" s="186"/>
      <c r="CR221" s="186"/>
      <c r="CS221" s="186"/>
    </row>
    <row r="222" spans="1:97">
      <c r="A222" s="139" t="s">
        <v>1341</v>
      </c>
      <c r="B222" s="183" t="str">
        <f>'Reference Score Calculation'!B199</f>
        <v>JS4733</v>
      </c>
      <c r="C222" s="183" t="str">
        <f>'Reference Score Calculation'!E199</f>
        <v>數學與信息工程學</v>
      </c>
      <c r="D222" s="183"/>
      <c r="E222" s="183" t="str">
        <f>'Reference Score Calculation'!F199</f>
        <v>Best 5</v>
      </c>
      <c r="F222" s="93"/>
      <c r="G222" s="93" t="str">
        <f>入學要求!AB208</f>
        <v>v</v>
      </c>
      <c r="H222" s="93" t="str">
        <f>入學要求!AC208</f>
        <v>E</v>
      </c>
      <c r="I222" s="93" t="str">
        <f>入學要求!AD208</f>
        <v>NO</v>
      </c>
      <c r="J222" s="183">
        <f t="shared" si="288"/>
        <v>3.3999999999999998E-9</v>
      </c>
      <c r="K222" s="475">
        <v>1</v>
      </c>
      <c r="L222" s="475">
        <v>1</v>
      </c>
      <c r="M222" s="475">
        <v>2</v>
      </c>
      <c r="N222" s="475"/>
      <c r="O222" s="475">
        <v>2</v>
      </c>
      <c r="P222" s="475">
        <f>IF(OR(P1="物理",P1="生物",P1="化學",P1="資訊及通訊科技"),1.5,1)</f>
        <v>1</v>
      </c>
      <c r="Q222" s="475">
        <f>IF(OR(Q1="物理",Q1="生物",Q1="化學",Q1="資訊及通訊科技"),1.5,1)</f>
        <v>1</v>
      </c>
      <c r="R222" s="475">
        <f>IF(OR(R1="物理",R1="生物",R1="化學",R1="資訊及通訊科技"),1.5,1)</f>
        <v>1</v>
      </c>
      <c r="S222" s="475">
        <f>IF(OR(S1="物理",S1="生物",S1="化學",S1="資訊及通訊科技"),1.5,1)</f>
        <v>1</v>
      </c>
      <c r="T222" s="475">
        <v>1</v>
      </c>
      <c r="U222" s="93"/>
      <c r="V222" s="139">
        <f t="shared" si="319"/>
        <v>1E-10</v>
      </c>
      <c r="W222" s="139">
        <f t="shared" si="320"/>
        <v>2.0000000000000001E-10</v>
      </c>
      <c r="X222" s="139">
        <f t="shared" si="321"/>
        <v>6E-10</v>
      </c>
      <c r="Y222" s="139"/>
      <c r="Z222" s="139">
        <f t="shared" si="322"/>
        <v>1.0000000000000001E-9</v>
      </c>
      <c r="AA222" s="139">
        <f t="shared" si="323"/>
        <v>6E-10</v>
      </c>
      <c r="AB222" s="139">
        <f t="shared" si="324"/>
        <v>6.9999999999999996E-10</v>
      </c>
      <c r="AC222" s="139">
        <f t="shared" si="325"/>
        <v>8.0000000000000003E-10</v>
      </c>
      <c r="AD222" s="139">
        <f t="shared" si="326"/>
        <v>8.9999999999999999E-10</v>
      </c>
      <c r="AE222" s="139">
        <f t="shared" si="327"/>
        <v>0</v>
      </c>
      <c r="AF222" s="117">
        <f t="shared" si="299"/>
        <v>1E-10</v>
      </c>
      <c r="AG222" s="117">
        <f t="shared" si="300"/>
        <v>2.0000000000000001E-10</v>
      </c>
      <c r="AH222" s="117">
        <f t="shared" si="301"/>
        <v>6E-10</v>
      </c>
      <c r="AI222" s="117">
        <f t="shared" si="302"/>
        <v>0</v>
      </c>
      <c r="AJ222" s="117">
        <f t="shared" si="303"/>
        <v>1.0000000000000001E-9</v>
      </c>
      <c r="AK222" s="117">
        <f t="shared" si="304"/>
        <v>6E-10</v>
      </c>
      <c r="AL222" s="117">
        <f t="shared" si="305"/>
        <v>6.9999999999999996E-10</v>
      </c>
      <c r="AM222" s="117">
        <f t="shared" si="306"/>
        <v>8.0000000000000003E-10</v>
      </c>
      <c r="AN222" s="117">
        <f t="shared" si="307"/>
        <v>8.9999999999999999E-10</v>
      </c>
      <c r="AO222" s="117">
        <f t="shared" si="308"/>
        <v>0</v>
      </c>
      <c r="AP222" s="139" t="b">
        <f t="shared" si="328"/>
        <v>0</v>
      </c>
      <c r="AQ222" s="139" t="b">
        <f t="shared" si="329"/>
        <v>0</v>
      </c>
      <c r="AR222" s="139" t="b">
        <f t="shared" si="330"/>
        <v>0</v>
      </c>
      <c r="AS222" s="139"/>
      <c r="AT222" s="139" t="b">
        <f t="shared" si="331"/>
        <v>1</v>
      </c>
      <c r="AU222" s="139" t="b">
        <f t="shared" si="332"/>
        <v>0</v>
      </c>
      <c r="AV222" s="139" t="b">
        <f t="shared" si="333"/>
        <v>1</v>
      </c>
      <c r="AW222" s="139" t="b">
        <f t="shared" si="334"/>
        <v>1</v>
      </c>
      <c r="AX222" s="139" t="b">
        <f t="shared" si="335"/>
        <v>1</v>
      </c>
      <c r="AY222" s="139" t="b">
        <f t="shared" si="336"/>
        <v>0</v>
      </c>
      <c r="AZ222" s="139" t="str">
        <f>'Reference Score Calculation'!AV199</f>
        <v>無</v>
      </c>
      <c r="BA222" s="93" t="str">
        <f>'Reference Score Calculation'!N199</f>
        <v>優先考慮修讀以下科目者:</v>
      </c>
      <c r="BB222" s="93" t="str">
        <f>'Reference Score Calculation'!O199</f>
        <v>生物、化學、ICT、物理</v>
      </c>
      <c r="BC222" s="93"/>
      <c r="BD222" s="93"/>
      <c r="BE222" s="93"/>
      <c r="BF222" s="93"/>
      <c r="BG222" s="93" t="s">
        <v>64</v>
      </c>
      <c r="BH222" s="93"/>
      <c r="BI222" s="93"/>
      <c r="BJ222" s="93"/>
      <c r="BK222" s="93"/>
      <c r="BL222" s="93"/>
      <c r="BM222" s="93"/>
      <c r="BN222" s="93"/>
      <c r="BO222" s="93"/>
      <c r="BP222" s="93"/>
      <c r="BQ222" s="93"/>
      <c r="BR222" s="93"/>
      <c r="BS222" s="184"/>
      <c r="BT222" s="139" t="str">
        <f>IF(M6&gt;L6,M1,L1)</f>
        <v>數學</v>
      </c>
      <c r="BU222" s="139">
        <f>IF(K6&gt;L6,K6,L6)</f>
        <v>2.0000000000000001E-10</v>
      </c>
      <c r="BV222" s="185"/>
      <c r="BW222" s="185"/>
      <c r="BX222" s="139" t="str">
        <f>INDEX($BT$224:$CC$224,MATCH(LARGE($BT$225:$CC$225,1),$BT$225:$CC$225,0))</f>
        <v>數學延伸</v>
      </c>
      <c r="BY222" s="139">
        <f>IF(OR(BX222="數學",BX222="數學延伸",BX222="物理",BX222="生物",BX222="化學",BX222="組合科學(物理、化學)",BX222="組合科學(物理、生物)",BX222="組合科學(生物、化學)",BX222="綜合科學"),2,IF(OR(BX222="中國語文",BX222="英國語文",BX222="經濟",BX222="地理",BX222="科技與生活",BX222="資訊與通訊科技"),1.5,1))</f>
        <v>2</v>
      </c>
      <c r="BZ222" s="139" t="str">
        <f>INDEX($BT$224:$CC$224,MATCH(LARGE($BT$225:$CC$225,2),$BT$225:$CC$225,0))</f>
        <v>數學</v>
      </c>
      <c r="CA222" s="139">
        <f>IF(OR(BZ222="數學",BZ222="數學延伸",BZ222="物理",BZ222="生物",BZ222="化學",BZ222="組合科學(物理、化學)",BZ222="組合科學(物理、生物)",BZ222="組合科學(生物、化學)",BZ222="綜合科學"),2,IF(OR(BZ222="中國語文",BZ222="英國語文",BZ222="經濟",BZ222="地理",BZ222="科技與生活",BZ222="資訊與通訊科技"),1.5,1))</f>
        <v>2</v>
      </c>
      <c r="CB222" s="139" t="str">
        <f>INDEX($BT$224:$CC$224,MATCH(LARGE($BT$225:$CC$225,3),$BT$225:$CC$225,0))</f>
        <v>中國語文</v>
      </c>
      <c r="CC222" s="139">
        <f>IF(OR(CB222="數學",CB222="數學延伸",CB222="物理",CB222="生物",CB222="化學",CB222="組合科學(物理、化學)",CB222="組合科學(物理、生物)",CB222="組合科學(生物、化學)",CB222="綜合科學"),2,IF(OR(CB222="中國語文",CB222="英國語文",CB222="經濟",CB222="地理",CB222="科技與生活",CB222="資訊與通訊科技"),1.5,1))</f>
        <v>1.5</v>
      </c>
      <c r="CD222" s="186"/>
      <c r="CE222" s="186"/>
      <c r="CF222" s="186"/>
      <c r="CG222" s="186"/>
      <c r="CH222" s="186"/>
      <c r="CI222" s="186"/>
      <c r="CJ222" s="186"/>
      <c r="CK222" s="186"/>
      <c r="CL222" s="186"/>
      <c r="CM222" s="186"/>
      <c r="CN222" s="186"/>
      <c r="CO222" s="186"/>
      <c r="CP222" s="186"/>
      <c r="CQ222" s="186"/>
      <c r="CR222" s="186"/>
      <c r="CS222" s="186"/>
    </row>
    <row r="223" spans="1:97">
      <c r="A223" s="139" t="s">
        <v>2115</v>
      </c>
      <c r="B223" s="183" t="str">
        <f>'Reference Score Calculation'!B200</f>
        <v>JS4750</v>
      </c>
      <c r="C223" s="183" t="str">
        <f>'Reference Score Calculation'!E200</f>
        <v>航天科學與地球信息學及Ｘ雙主修課程</v>
      </c>
      <c r="D223" s="183"/>
      <c r="E223" s="183" t="str">
        <f>'Reference Score Calculation'!F200</f>
        <v>Best 5</v>
      </c>
      <c r="F223" s="93"/>
      <c r="G223" s="93" t="str">
        <f>入學要求!AB209</f>
        <v>v</v>
      </c>
      <c r="H223" s="93" t="str">
        <f>入學要求!AC209</f>
        <v>E</v>
      </c>
      <c r="I223" s="93" t="str">
        <f>入學要求!AD209</f>
        <v>NO</v>
      </c>
      <c r="J223" s="183">
        <f t="shared" si="288"/>
        <v>4.0000000000000002E-9</v>
      </c>
      <c r="K223" s="475">
        <v>1</v>
      </c>
      <c r="L223" s="475">
        <v>1</v>
      </c>
      <c r="M223" s="475">
        <v>1.5</v>
      </c>
      <c r="N223" s="475"/>
      <c r="O223" s="475">
        <v>2</v>
      </c>
      <c r="P223" s="475">
        <f>IF(OR(P1="物理",P1="地理"),2,1)</f>
        <v>1</v>
      </c>
      <c r="Q223" s="475">
        <f>IF(OR(Q1="物理",Q1="地理"),2,1)</f>
        <v>1</v>
      </c>
      <c r="R223" s="475">
        <f>IF(OR(R1="物理",R1="地理"),2,1)</f>
        <v>1</v>
      </c>
      <c r="S223" s="475">
        <f>IF(OR(S1="物理",S1="地理"),2,1)</f>
        <v>1</v>
      </c>
      <c r="T223" s="475">
        <v>1</v>
      </c>
      <c r="U223" s="93"/>
      <c r="V223" s="139">
        <f t="shared" si="319"/>
        <v>1E-10</v>
      </c>
      <c r="W223" s="139">
        <f t="shared" si="320"/>
        <v>2.0000000000000001E-10</v>
      </c>
      <c r="X223" s="139">
        <f t="shared" si="321"/>
        <v>4.5E-10</v>
      </c>
      <c r="Y223" s="139"/>
      <c r="Z223" s="139">
        <f t="shared" si="322"/>
        <v>1.0000000000000001E-9</v>
      </c>
      <c r="AA223" s="139">
        <f t="shared" si="323"/>
        <v>6E-10</v>
      </c>
      <c r="AB223" s="139">
        <f t="shared" si="324"/>
        <v>6.9999999999999996E-10</v>
      </c>
      <c r="AC223" s="139">
        <f t="shared" si="325"/>
        <v>8.0000000000000003E-10</v>
      </c>
      <c r="AD223" s="139">
        <f t="shared" si="326"/>
        <v>8.9999999999999999E-10</v>
      </c>
      <c r="AE223" s="139">
        <f t="shared" si="327"/>
        <v>0</v>
      </c>
      <c r="AF223" s="117">
        <f t="shared" si="299"/>
        <v>1E-10</v>
      </c>
      <c r="AG223" s="117">
        <f t="shared" si="300"/>
        <v>2.0000000000000001E-10</v>
      </c>
      <c r="AH223" s="117">
        <f t="shared" si="301"/>
        <v>4.5E-10</v>
      </c>
      <c r="AI223" s="117">
        <f t="shared" si="302"/>
        <v>0</v>
      </c>
      <c r="AJ223" s="117">
        <f t="shared" si="303"/>
        <v>1.0000000000000001E-9</v>
      </c>
      <c r="AK223" s="117">
        <f t="shared" si="304"/>
        <v>6E-10</v>
      </c>
      <c r="AL223" s="117">
        <f t="shared" si="305"/>
        <v>6.9999999999999996E-10</v>
      </c>
      <c r="AM223" s="117">
        <f t="shared" si="306"/>
        <v>8.0000000000000003E-10</v>
      </c>
      <c r="AN223" s="117">
        <f t="shared" si="307"/>
        <v>8.9999999999999999E-10</v>
      </c>
      <c r="AO223" s="117">
        <f t="shared" si="308"/>
        <v>0</v>
      </c>
      <c r="AP223" s="139" t="b">
        <f t="shared" si="328"/>
        <v>0</v>
      </c>
      <c r="AQ223" s="139" t="b">
        <f t="shared" si="329"/>
        <v>0</v>
      </c>
      <c r="AR223" s="139" t="b">
        <f t="shared" si="330"/>
        <v>0</v>
      </c>
      <c r="AS223" s="139"/>
      <c r="AT223" s="139" t="b">
        <f t="shared" si="331"/>
        <v>1</v>
      </c>
      <c r="AU223" s="139" t="b">
        <f t="shared" si="332"/>
        <v>1</v>
      </c>
      <c r="AV223" s="139" t="b">
        <f t="shared" si="333"/>
        <v>1</v>
      </c>
      <c r="AW223" s="139" t="b">
        <f t="shared" si="334"/>
        <v>1</v>
      </c>
      <c r="AX223" s="139" t="b">
        <f t="shared" si="335"/>
        <v>1</v>
      </c>
      <c r="AY223" s="139" t="b">
        <f t="shared" si="336"/>
        <v>0</v>
      </c>
      <c r="AZ223" s="139"/>
      <c r="BA223" s="93" t="str">
        <f>'Reference Score Calculation'!N200</f>
        <v>優先考慮修讀以下科目者:</v>
      </c>
      <c r="BB223" s="93" t="str">
        <f>'Reference Score Calculation'!O200</f>
        <v>M1/2、生物、化學、物理、地理</v>
      </c>
      <c r="BC223" s="93"/>
      <c r="BD223" s="93"/>
      <c r="BE223" s="93"/>
      <c r="BF223" s="93"/>
      <c r="BG223" s="93" t="s">
        <v>64</v>
      </c>
      <c r="BH223" s="93"/>
      <c r="BI223" s="93"/>
      <c r="BJ223" s="93"/>
      <c r="BK223" s="93"/>
      <c r="BL223" s="93"/>
      <c r="BM223" s="93"/>
      <c r="BN223" s="93"/>
      <c r="BO223" s="93"/>
      <c r="BP223" s="93"/>
      <c r="BQ223" s="93"/>
      <c r="BR223" s="93"/>
      <c r="BS223" s="184"/>
      <c r="BT223" s="185"/>
      <c r="BU223" s="185"/>
      <c r="BV223" s="185"/>
      <c r="BW223" s="185"/>
      <c r="BX223" s="185"/>
      <c r="BY223" s="185"/>
      <c r="BZ223" s="185"/>
      <c r="CA223" s="185"/>
      <c r="CB223" s="186"/>
      <c r="CC223" s="186"/>
      <c r="CD223" s="186"/>
      <c r="CE223" s="186"/>
      <c r="CF223" s="186"/>
      <c r="CG223" s="186"/>
      <c r="CH223" s="186"/>
      <c r="CI223" s="186"/>
      <c r="CJ223" s="186"/>
      <c r="CK223" s="186"/>
      <c r="CL223" s="186"/>
      <c r="CM223" s="186"/>
      <c r="CN223" s="186"/>
      <c r="CO223" s="186"/>
      <c r="CP223" s="186"/>
      <c r="CQ223" s="186"/>
      <c r="CR223" s="186"/>
      <c r="CS223" s="186"/>
    </row>
    <row r="224" spans="1:97">
      <c r="A224" s="139" t="s">
        <v>2064</v>
      </c>
      <c r="B224" s="183" t="str">
        <f>'Reference Score Calculation'!B201</f>
        <v>JS4760</v>
      </c>
      <c r="C224" s="183" t="str">
        <f>'Reference Score Calculation'!E201</f>
        <v>跨學科數據分析及Ｘ雙主修課程</v>
      </c>
      <c r="D224" s="183"/>
      <c r="E224" s="183" t="str">
        <f>'Reference Score Calculation'!F201</f>
        <v>Best 5</v>
      </c>
      <c r="F224" s="93"/>
      <c r="G224" s="93" t="str">
        <f>入學要求!AB210</f>
        <v>v</v>
      </c>
      <c r="H224" s="93" t="str">
        <f>入學要求!AC210</f>
        <v>E</v>
      </c>
      <c r="I224" s="93" t="str">
        <f>入學要求!AD210</f>
        <v>NO</v>
      </c>
      <c r="J224" s="183">
        <f t="shared" si="288"/>
        <v>3.7500000000000005E-9</v>
      </c>
      <c r="K224" s="475">
        <v>1</v>
      </c>
      <c r="L224" s="475">
        <v>1</v>
      </c>
      <c r="M224" s="475">
        <v>1.5</v>
      </c>
      <c r="N224" s="475"/>
      <c r="O224" s="475">
        <v>1.5</v>
      </c>
      <c r="P224" s="475">
        <f>IF(P$1=$CM$185,1.5,1)</f>
        <v>1</v>
      </c>
      <c r="Q224" s="475">
        <f>IF(Q$1=$CM$185,1.5,1)</f>
        <v>1</v>
      </c>
      <c r="R224" s="475">
        <f>IF(R$1=$CM$185,1.5,1)</f>
        <v>1</v>
      </c>
      <c r="S224" s="475">
        <f>IF(S$1=$CM$185,1.5,1)</f>
        <v>1</v>
      </c>
      <c r="T224" s="475">
        <v>1</v>
      </c>
      <c r="U224" s="93"/>
      <c r="V224" s="139">
        <f t="shared" si="319"/>
        <v>1E-10</v>
      </c>
      <c r="W224" s="139">
        <f t="shared" si="320"/>
        <v>2.0000000000000001E-10</v>
      </c>
      <c r="X224" s="139">
        <f t="shared" si="321"/>
        <v>4.5E-10</v>
      </c>
      <c r="Y224" s="139"/>
      <c r="Z224" s="139">
        <f t="shared" si="322"/>
        <v>7.500000000000001E-10</v>
      </c>
      <c r="AA224" s="139">
        <f t="shared" si="323"/>
        <v>6E-10</v>
      </c>
      <c r="AB224" s="139">
        <f t="shared" si="324"/>
        <v>6.9999999999999996E-10</v>
      </c>
      <c r="AC224" s="139">
        <f t="shared" si="325"/>
        <v>8.0000000000000003E-10</v>
      </c>
      <c r="AD224" s="139">
        <f t="shared" si="326"/>
        <v>8.9999999999999999E-10</v>
      </c>
      <c r="AE224" s="139">
        <f t="shared" si="327"/>
        <v>0</v>
      </c>
      <c r="AF224" s="117">
        <f t="shared" si="299"/>
        <v>1E-10</v>
      </c>
      <c r="AG224" s="117">
        <f t="shared" si="300"/>
        <v>2.0000000000000001E-10</v>
      </c>
      <c r="AH224" s="117">
        <f t="shared" si="301"/>
        <v>4.5E-10</v>
      </c>
      <c r="AI224" s="117">
        <f t="shared" si="302"/>
        <v>0</v>
      </c>
      <c r="AJ224" s="117">
        <f t="shared" si="303"/>
        <v>7.500000000000001E-10</v>
      </c>
      <c r="AK224" s="117">
        <f t="shared" si="304"/>
        <v>6E-10</v>
      </c>
      <c r="AL224" s="117">
        <f t="shared" si="305"/>
        <v>6.9999999999999996E-10</v>
      </c>
      <c r="AM224" s="117">
        <f t="shared" si="306"/>
        <v>8.0000000000000003E-10</v>
      </c>
      <c r="AN224" s="117">
        <f t="shared" si="307"/>
        <v>8.9999999999999999E-10</v>
      </c>
      <c r="AO224" s="117">
        <f t="shared" si="308"/>
        <v>0</v>
      </c>
      <c r="AP224" s="139" t="b">
        <f t="shared" si="328"/>
        <v>0</v>
      </c>
      <c r="AQ224" s="139" t="b">
        <f t="shared" si="329"/>
        <v>0</v>
      </c>
      <c r="AR224" s="139" t="b">
        <f t="shared" si="330"/>
        <v>0</v>
      </c>
      <c r="AS224" s="139"/>
      <c r="AT224" s="139" t="b">
        <f t="shared" si="331"/>
        <v>1</v>
      </c>
      <c r="AU224" s="139" t="b">
        <f t="shared" si="332"/>
        <v>1</v>
      </c>
      <c r="AV224" s="139" t="b">
        <f t="shared" si="333"/>
        <v>1</v>
      </c>
      <c r="AW224" s="139" t="b">
        <f t="shared" si="334"/>
        <v>1</v>
      </c>
      <c r="AX224" s="139" t="b">
        <f t="shared" si="335"/>
        <v>1</v>
      </c>
      <c r="AY224" s="139" t="b">
        <f t="shared" si="336"/>
        <v>0</v>
      </c>
      <c r="AZ224" s="139" t="str">
        <f>'Reference Score Calculation'!AV201</f>
        <v>無</v>
      </c>
      <c r="BA224" s="93" t="str">
        <f>'Reference Score Calculation'!N201</f>
        <v>/</v>
      </c>
      <c r="BB224" s="93" t="str">
        <f>'Reference Score Calculation'!O201</f>
        <v>/</v>
      </c>
      <c r="BC224" s="93"/>
      <c r="BD224" s="93"/>
      <c r="BE224" s="93"/>
      <c r="BF224" s="93"/>
      <c r="BG224" s="93" t="s">
        <v>64</v>
      </c>
      <c r="BH224" s="93"/>
      <c r="BI224" s="93"/>
      <c r="BJ224" s="93"/>
      <c r="BK224" s="93"/>
      <c r="BL224" s="93"/>
      <c r="BM224" s="93"/>
      <c r="BN224" s="93"/>
      <c r="BO224" s="93"/>
      <c r="BP224" s="93"/>
      <c r="BQ224" s="93"/>
      <c r="BR224" s="93"/>
      <c r="BS224" s="184"/>
      <c r="BT224" s="185" t="str">
        <f>K1</f>
        <v>中國語文</v>
      </c>
      <c r="BU224" s="185" t="str">
        <f>L1</f>
        <v>英國語文</v>
      </c>
      <c r="BV224" s="185" t="str">
        <f>M1</f>
        <v>數學</v>
      </c>
      <c r="BW224" s="188"/>
      <c r="BX224" s="185" t="str">
        <f t="shared" ref="BX224:CC224" si="338">O1</f>
        <v>數學延伸</v>
      </c>
      <c r="BY224" s="185" t="str">
        <f t="shared" si="338"/>
        <v>請選擇第一選修科</v>
      </c>
      <c r="BZ224" s="185" t="str">
        <f t="shared" si="338"/>
        <v>請選擇第二選修科</v>
      </c>
      <c r="CA224" s="185" t="str">
        <f t="shared" si="338"/>
        <v>請選擇第三選修科</v>
      </c>
      <c r="CB224" s="185" t="str">
        <f t="shared" si="338"/>
        <v>請選擇第四選修科</v>
      </c>
      <c r="CC224" s="185" t="str">
        <f t="shared" si="338"/>
        <v>請選擇語言科目</v>
      </c>
      <c r="CD224" s="186"/>
      <c r="CE224" s="186"/>
      <c r="CF224" s="186"/>
      <c r="CG224" s="186"/>
      <c r="CH224" s="186"/>
      <c r="CI224" s="186"/>
      <c r="CJ224" s="186"/>
      <c r="CK224" s="186"/>
      <c r="CL224" s="186"/>
      <c r="CM224" s="186"/>
      <c r="CN224" s="186"/>
      <c r="CO224" s="186"/>
      <c r="CP224" s="186"/>
      <c r="CQ224" s="186"/>
      <c r="CR224" s="186"/>
      <c r="CS224" s="186"/>
    </row>
    <row r="225" spans="1:97">
      <c r="A225" s="139" t="s">
        <v>1347</v>
      </c>
      <c r="B225" s="183" t="str">
        <f>'Reference Score Calculation'!B202</f>
        <v>JS4801</v>
      </c>
      <c r="C225" s="183" t="str">
        <f>'Reference Score Calculation'!E202</f>
        <v>社會科學</v>
      </c>
      <c r="D225" s="183"/>
      <c r="E225" s="183" t="str">
        <f>'Reference Score Calculation'!F202</f>
        <v>Best 5</v>
      </c>
      <c r="F225" s="93"/>
      <c r="G225" s="93" t="str">
        <f>入學要求!AB211</f>
        <v>v</v>
      </c>
      <c r="H225" s="93" t="str">
        <f>入學要求!AC211</f>
        <v>E</v>
      </c>
      <c r="I225" s="93" t="str">
        <f>入學要求!AD211</f>
        <v>NO</v>
      </c>
      <c r="J225" s="183">
        <f t="shared" si="288"/>
        <v>3.4999999999999999E-9</v>
      </c>
      <c r="K225" s="475">
        <v>1</v>
      </c>
      <c r="L225" s="475">
        <v>1.3</v>
      </c>
      <c r="M225" s="475">
        <v>1</v>
      </c>
      <c r="N225" s="475"/>
      <c r="O225" s="475">
        <v>1</v>
      </c>
      <c r="P225" s="475">
        <v>1</v>
      </c>
      <c r="Q225" s="475">
        <v>1</v>
      </c>
      <c r="R225" s="475">
        <v>1</v>
      </c>
      <c r="S225" s="475">
        <v>1</v>
      </c>
      <c r="T225" s="475">
        <v>1</v>
      </c>
      <c r="U225" s="93"/>
      <c r="V225" s="139">
        <f t="shared" si="319"/>
        <v>1E-10</v>
      </c>
      <c r="W225" s="139">
        <f t="shared" si="320"/>
        <v>2.6000000000000003E-10</v>
      </c>
      <c r="X225" s="139">
        <f t="shared" si="321"/>
        <v>3E-10</v>
      </c>
      <c r="Y225" s="139"/>
      <c r="Z225" s="139">
        <f t="shared" si="322"/>
        <v>5.0000000000000003E-10</v>
      </c>
      <c r="AA225" s="139">
        <f t="shared" si="323"/>
        <v>6E-10</v>
      </c>
      <c r="AB225" s="139">
        <f t="shared" si="324"/>
        <v>6.9999999999999996E-10</v>
      </c>
      <c r="AC225" s="139">
        <f t="shared" si="325"/>
        <v>8.0000000000000003E-10</v>
      </c>
      <c r="AD225" s="139">
        <f t="shared" si="326"/>
        <v>8.9999999999999999E-10</v>
      </c>
      <c r="AE225" s="139">
        <f t="shared" si="327"/>
        <v>0</v>
      </c>
      <c r="AF225" s="117">
        <f t="shared" si="299"/>
        <v>1E-10</v>
      </c>
      <c r="AG225" s="117">
        <f t="shared" si="300"/>
        <v>2.6000000000000003E-10</v>
      </c>
      <c r="AH225" s="117">
        <f t="shared" si="301"/>
        <v>3E-10</v>
      </c>
      <c r="AI225" s="117">
        <f t="shared" si="302"/>
        <v>0</v>
      </c>
      <c r="AJ225" s="117">
        <f t="shared" si="303"/>
        <v>5.0000000000000003E-10</v>
      </c>
      <c r="AK225" s="117">
        <f t="shared" si="304"/>
        <v>6E-10</v>
      </c>
      <c r="AL225" s="117">
        <f t="shared" si="305"/>
        <v>6.9999999999999996E-10</v>
      </c>
      <c r="AM225" s="117">
        <f t="shared" si="306"/>
        <v>8.0000000000000003E-10</v>
      </c>
      <c r="AN225" s="117">
        <f t="shared" si="307"/>
        <v>8.9999999999999999E-10</v>
      </c>
      <c r="AO225" s="117">
        <f t="shared" si="308"/>
        <v>0</v>
      </c>
      <c r="AP225" s="139" t="b">
        <f t="shared" si="328"/>
        <v>0</v>
      </c>
      <c r="AQ225" s="139" t="b">
        <f t="shared" si="329"/>
        <v>0</v>
      </c>
      <c r="AR225" s="139" t="b">
        <f t="shared" si="330"/>
        <v>0</v>
      </c>
      <c r="AS225" s="139"/>
      <c r="AT225" s="139" t="b">
        <f t="shared" si="331"/>
        <v>1</v>
      </c>
      <c r="AU225" s="139" t="b">
        <f t="shared" si="332"/>
        <v>1</v>
      </c>
      <c r="AV225" s="139" t="b">
        <f t="shared" si="333"/>
        <v>1</v>
      </c>
      <c r="AW225" s="139" t="b">
        <f t="shared" si="334"/>
        <v>1</v>
      </c>
      <c r="AX225" s="139" t="b">
        <f t="shared" si="335"/>
        <v>1</v>
      </c>
      <c r="AY225" s="139" t="b">
        <f t="shared" si="336"/>
        <v>0</v>
      </c>
      <c r="AZ225" s="139" t="str">
        <f>'Reference Score Calculation'!AV202</f>
        <v>無</v>
      </c>
      <c r="BA225" s="93" t="str">
        <f>'Reference Score Calculation'!N202</f>
        <v>/</v>
      </c>
      <c r="BB225" s="93" t="str">
        <f>'Reference Score Calculation'!O202</f>
        <v>/</v>
      </c>
      <c r="BC225" s="93"/>
      <c r="BD225" s="93"/>
      <c r="BE225" s="93"/>
      <c r="BF225" s="93"/>
      <c r="BG225" s="93" t="s">
        <v>64</v>
      </c>
      <c r="BH225" s="93"/>
      <c r="BI225" s="93"/>
      <c r="BJ225" s="93"/>
      <c r="BK225" s="93"/>
      <c r="BL225" s="93"/>
      <c r="BM225" s="93"/>
      <c r="BN225" s="93"/>
      <c r="BO225" s="93"/>
      <c r="BP225" s="93"/>
      <c r="BQ225" s="93"/>
      <c r="BR225" s="93"/>
      <c r="BS225" s="184"/>
      <c r="BT225" s="139">
        <v>0</v>
      </c>
      <c r="BU225" s="139">
        <f>IF(BU224=$BT$222,L6*1.5,0)</f>
        <v>0</v>
      </c>
      <c r="BV225" s="139">
        <f>IF(BV224=$BT$222,M6*1.5,0)</f>
        <v>4.5E-10</v>
      </c>
      <c r="BW225" s="188"/>
      <c r="BX225" s="139">
        <f>O6*2</f>
        <v>1.0000000000000001E-9</v>
      </c>
      <c r="BY225" s="139">
        <f>IF(OR(P1="物理",P1="生物",P1="化學",P1="組合科學(物理、化學)",P1="組合科學(物理、生物)",P1="組合科學(生物、化學)",P1="綜合科學"),P6*2,IF(OR(P1="經濟",P1="地理",P1="科技與生活",P1="資訊與通訊科技"),P6*1.5,0))</f>
        <v>0</v>
      </c>
      <c r="BZ225" s="139">
        <f>IF(OR(Q1="物理",Q1="生物",Q1="化學",Q1="組合科學(物理、化學)",Q1="組合科學(物理、生物)",Q1="組合科學(生物、化學)",Q1="綜合科學"),Q6*2,IF(OR(Q1="經濟",Q1="地理",Q1="科技與生活",Q1="資訊與通訊科技"),Q6*1.5,0))</f>
        <v>0</v>
      </c>
      <c r="CA225" s="139">
        <f>IF(OR(R1="物理",R1="生物",R1="化學",R1="組合科學(物理、化學)",R1="組合科學(物理、生物)",R1="組合科學(生物、化學)",R1="綜合科學"),R6*2,IF(OR(R1="經濟",R1="地理",R1="科技與生活",R1="資訊與通訊科技"),R6*1.5,0))</f>
        <v>0</v>
      </c>
      <c r="CB225" s="139">
        <f>IF(OR(S1="物理",S1="生物",S1="化學",S1="組合科學(物理、化學)",S1="組合科學(物理、生物)",S1="組合科學(生物、化學)",S1="綜合科學"),S6*2,IF(OR(S1="經濟",S1="地理",S1="科技與生活",S1="資訊與通訊科技"),S6*1.5,0))</f>
        <v>0</v>
      </c>
      <c r="CC225" s="139">
        <f>0</f>
        <v>0</v>
      </c>
      <c r="CD225" s="186"/>
      <c r="CE225" s="186"/>
      <c r="CF225" s="186"/>
      <c r="CG225" s="186"/>
      <c r="CH225" s="186"/>
      <c r="CI225" s="186"/>
      <c r="CJ225" s="186"/>
      <c r="CK225" s="186"/>
      <c r="CL225" s="186"/>
      <c r="CM225" s="186"/>
      <c r="CN225" s="186"/>
      <c r="CO225" s="186"/>
      <c r="CP225" s="186"/>
      <c r="CQ225" s="186"/>
      <c r="CR225" s="186"/>
      <c r="CS225" s="186"/>
    </row>
    <row r="226" spans="1:97">
      <c r="A226" s="139" t="s">
        <v>1351</v>
      </c>
      <c r="B226" s="183" t="str">
        <f>'Reference Score Calculation'!B203</f>
        <v>JS4812</v>
      </c>
      <c r="C226" s="183" t="str">
        <f>'Reference Score Calculation'!E203</f>
        <v>建築學</v>
      </c>
      <c r="D226" s="183"/>
      <c r="E226" s="183" t="str">
        <f>'Reference Score Calculation'!F203</f>
        <v>Best 5</v>
      </c>
      <c r="F226" s="93"/>
      <c r="G226" s="93" t="str">
        <f>入學要求!AB212</f>
        <v>v</v>
      </c>
      <c r="H226" s="93" t="str">
        <f>入學要求!AC212</f>
        <v>E</v>
      </c>
      <c r="I226" s="93" t="str">
        <f>入學要求!AD212</f>
        <v>NO</v>
      </c>
      <c r="J226" s="183">
        <f t="shared" si="288"/>
        <v>3.4999999999999999E-9</v>
      </c>
      <c r="K226" s="475">
        <v>1</v>
      </c>
      <c r="L226" s="475">
        <v>1.5</v>
      </c>
      <c r="M226" s="475">
        <v>1</v>
      </c>
      <c r="N226" s="475"/>
      <c r="O226" s="475">
        <v>1</v>
      </c>
      <c r="P226" s="475">
        <v>1</v>
      </c>
      <c r="Q226" s="475">
        <v>1</v>
      </c>
      <c r="R226" s="475">
        <v>1</v>
      </c>
      <c r="S226" s="475">
        <v>1</v>
      </c>
      <c r="T226" s="475">
        <v>1</v>
      </c>
      <c r="U226" s="93"/>
      <c r="V226" s="139">
        <f t="shared" si="319"/>
        <v>1E-10</v>
      </c>
      <c r="W226" s="139">
        <f t="shared" si="320"/>
        <v>3E-10</v>
      </c>
      <c r="X226" s="139">
        <f t="shared" si="321"/>
        <v>3E-10</v>
      </c>
      <c r="Y226" s="139"/>
      <c r="Z226" s="139">
        <f t="shared" si="322"/>
        <v>5.0000000000000003E-10</v>
      </c>
      <c r="AA226" s="139">
        <f t="shared" si="323"/>
        <v>6E-10</v>
      </c>
      <c r="AB226" s="139">
        <f t="shared" si="324"/>
        <v>6.9999999999999996E-10</v>
      </c>
      <c r="AC226" s="139">
        <f t="shared" si="325"/>
        <v>8.0000000000000003E-10</v>
      </c>
      <c r="AD226" s="139">
        <f t="shared" si="326"/>
        <v>8.9999999999999999E-10</v>
      </c>
      <c r="AE226" s="139">
        <f t="shared" si="327"/>
        <v>0</v>
      </c>
      <c r="AF226" s="117">
        <f t="shared" si="299"/>
        <v>1E-10</v>
      </c>
      <c r="AG226" s="117">
        <f t="shared" si="300"/>
        <v>3E-10</v>
      </c>
      <c r="AH226" s="117">
        <f t="shared" si="301"/>
        <v>3E-10</v>
      </c>
      <c r="AI226" s="117">
        <f t="shared" si="302"/>
        <v>0</v>
      </c>
      <c r="AJ226" s="117">
        <f t="shared" si="303"/>
        <v>5.0000000000000003E-10</v>
      </c>
      <c r="AK226" s="117">
        <f t="shared" si="304"/>
        <v>6E-10</v>
      </c>
      <c r="AL226" s="117">
        <f t="shared" si="305"/>
        <v>6.9999999999999996E-10</v>
      </c>
      <c r="AM226" s="117">
        <f t="shared" si="306"/>
        <v>8.0000000000000003E-10</v>
      </c>
      <c r="AN226" s="117">
        <f t="shared" si="307"/>
        <v>8.9999999999999999E-10</v>
      </c>
      <c r="AO226" s="117">
        <f t="shared" si="308"/>
        <v>0</v>
      </c>
      <c r="AP226" s="139" t="b">
        <f t="shared" si="328"/>
        <v>0</v>
      </c>
      <c r="AQ226" s="139" t="b">
        <f t="shared" si="329"/>
        <v>0</v>
      </c>
      <c r="AR226" s="139" t="b">
        <f t="shared" si="330"/>
        <v>0</v>
      </c>
      <c r="AS226" s="139"/>
      <c r="AT226" s="139" t="b">
        <f t="shared" si="331"/>
        <v>1</v>
      </c>
      <c r="AU226" s="139" t="b">
        <f t="shared" si="332"/>
        <v>1</v>
      </c>
      <c r="AV226" s="139" t="b">
        <f t="shared" si="333"/>
        <v>1</v>
      </c>
      <c r="AW226" s="139" t="b">
        <f t="shared" si="334"/>
        <v>1</v>
      </c>
      <c r="AX226" s="139" t="b">
        <f t="shared" si="335"/>
        <v>1</v>
      </c>
      <c r="AY226" s="139" t="b">
        <f t="shared" si="336"/>
        <v>0</v>
      </c>
      <c r="AZ226" s="139" t="str">
        <f>'Reference Score Calculation'!AV203</f>
        <v>無</v>
      </c>
      <c r="BA226" s="93" t="str">
        <f>'Reference Score Calculation'!N203</f>
        <v>/</v>
      </c>
      <c r="BB226" s="93" t="str">
        <f>'Reference Score Calculation'!O203</f>
        <v>/</v>
      </c>
      <c r="BC226" s="93"/>
      <c r="BD226" s="93"/>
      <c r="BE226" s="93"/>
      <c r="BF226" s="93"/>
      <c r="BG226" s="93" t="s">
        <v>64</v>
      </c>
      <c r="BH226" s="93"/>
      <c r="BI226" s="93"/>
      <c r="BJ226" s="93"/>
      <c r="BK226" s="93"/>
      <c r="BL226" s="93"/>
      <c r="BM226" s="93"/>
      <c r="BN226" s="93"/>
      <c r="BO226" s="93"/>
      <c r="BP226" s="93"/>
      <c r="BQ226" s="93"/>
      <c r="BR226" s="93"/>
      <c r="BS226" s="184"/>
      <c r="BT226" s="188"/>
      <c r="BU226" s="188"/>
      <c r="BV226" s="188"/>
      <c r="BW226" s="188"/>
      <c r="BX226" s="188"/>
      <c r="BY226" s="188"/>
      <c r="BZ226" s="188"/>
      <c r="CA226" s="188"/>
      <c r="CB226" s="188"/>
      <c r="CC226" s="188"/>
      <c r="CD226" s="186"/>
      <c r="CE226" s="186"/>
      <c r="CF226" s="186"/>
      <c r="CG226" s="186"/>
      <c r="CH226" s="186"/>
      <c r="CI226" s="186"/>
      <c r="CJ226" s="186"/>
      <c r="CK226" s="186"/>
      <c r="CL226" s="186"/>
      <c r="CM226" s="186"/>
      <c r="CN226" s="186"/>
      <c r="CO226" s="186"/>
      <c r="CP226" s="186"/>
      <c r="CQ226" s="186"/>
      <c r="CR226" s="186"/>
      <c r="CS226" s="186"/>
    </row>
    <row r="227" spans="1:97">
      <c r="A227" s="139" t="s">
        <v>1356</v>
      </c>
      <c r="B227" s="183" t="str">
        <f>'Reference Score Calculation'!B204</f>
        <v>JS4824</v>
      </c>
      <c r="C227" s="183" t="str">
        <f>'Reference Score Calculation'!E204</f>
        <v>經濟學</v>
      </c>
      <c r="D227" s="183"/>
      <c r="E227" s="183" t="str">
        <f>'Reference Score Calculation'!F204</f>
        <v>Best 5</v>
      </c>
      <c r="F227" s="93"/>
      <c r="G227" s="93" t="str">
        <f>入學要求!AB213</f>
        <v>v</v>
      </c>
      <c r="H227" s="93" t="str">
        <f>入學要求!AC213</f>
        <v>E</v>
      </c>
      <c r="I227" s="93" t="str">
        <f>入學要求!AD213</f>
        <v>NO</v>
      </c>
      <c r="J227" s="183">
        <f t="shared" si="288"/>
        <v>3.7500000000000005E-9</v>
      </c>
      <c r="K227" s="475">
        <v>1</v>
      </c>
      <c r="L227" s="475">
        <v>1</v>
      </c>
      <c r="M227" s="475">
        <v>1.5</v>
      </c>
      <c r="N227" s="475"/>
      <c r="O227" s="475">
        <f>IF(O$1=$CA$181,1.5,1)</f>
        <v>1.5</v>
      </c>
      <c r="P227" s="475">
        <f>IF(P$1=$CA$181,1.5,1)</f>
        <v>1</v>
      </c>
      <c r="Q227" s="475">
        <f>IF(Q$1=$CA$181,1.5,1)</f>
        <v>1</v>
      </c>
      <c r="R227" s="475">
        <f>IF(R$1=$CA$181,1.5,1)</f>
        <v>1</v>
      </c>
      <c r="S227" s="475">
        <f>IF(S$1=$CA$181,1.5,1)</f>
        <v>1</v>
      </c>
      <c r="T227" s="475">
        <v>1</v>
      </c>
      <c r="U227" s="93"/>
      <c r="V227" s="139">
        <f t="shared" si="319"/>
        <v>1E-10</v>
      </c>
      <c r="W227" s="139">
        <f t="shared" si="320"/>
        <v>2.0000000000000001E-10</v>
      </c>
      <c r="X227" s="139">
        <f t="shared" si="321"/>
        <v>4.5E-10</v>
      </c>
      <c r="Y227" s="139"/>
      <c r="Z227" s="139">
        <f t="shared" si="322"/>
        <v>7.500000000000001E-10</v>
      </c>
      <c r="AA227" s="139">
        <f t="shared" si="323"/>
        <v>6E-10</v>
      </c>
      <c r="AB227" s="139">
        <f t="shared" si="324"/>
        <v>6.9999999999999996E-10</v>
      </c>
      <c r="AC227" s="139">
        <f t="shared" si="325"/>
        <v>8.0000000000000003E-10</v>
      </c>
      <c r="AD227" s="139">
        <f t="shared" si="326"/>
        <v>8.9999999999999999E-10</v>
      </c>
      <c r="AE227" s="139">
        <f t="shared" si="327"/>
        <v>0</v>
      </c>
      <c r="AF227" s="117">
        <f t="shared" si="299"/>
        <v>1E-10</v>
      </c>
      <c r="AG227" s="117">
        <f t="shared" si="300"/>
        <v>2.0000000000000001E-10</v>
      </c>
      <c r="AH227" s="117">
        <f t="shared" si="301"/>
        <v>4.5E-10</v>
      </c>
      <c r="AI227" s="117">
        <f t="shared" si="302"/>
        <v>0</v>
      </c>
      <c r="AJ227" s="117">
        <f t="shared" si="303"/>
        <v>7.500000000000001E-10</v>
      </c>
      <c r="AK227" s="117">
        <f t="shared" si="304"/>
        <v>6E-10</v>
      </c>
      <c r="AL227" s="117">
        <f t="shared" si="305"/>
        <v>6.9999999999999996E-10</v>
      </c>
      <c r="AM227" s="117">
        <f t="shared" si="306"/>
        <v>8.0000000000000003E-10</v>
      </c>
      <c r="AN227" s="117">
        <f t="shared" si="307"/>
        <v>8.9999999999999999E-10</v>
      </c>
      <c r="AO227" s="117">
        <f t="shared" si="308"/>
        <v>0</v>
      </c>
      <c r="AP227" s="139" t="b">
        <f t="shared" si="328"/>
        <v>0</v>
      </c>
      <c r="AQ227" s="139" t="b">
        <f t="shared" si="329"/>
        <v>0</v>
      </c>
      <c r="AR227" s="139" t="b">
        <f t="shared" si="330"/>
        <v>0</v>
      </c>
      <c r="AS227" s="139"/>
      <c r="AT227" s="139" t="b">
        <f t="shared" si="331"/>
        <v>1</v>
      </c>
      <c r="AU227" s="139" t="b">
        <f t="shared" si="332"/>
        <v>1</v>
      </c>
      <c r="AV227" s="139" t="b">
        <f t="shared" si="333"/>
        <v>1</v>
      </c>
      <c r="AW227" s="139" t="b">
        <f t="shared" si="334"/>
        <v>1</v>
      </c>
      <c r="AX227" s="139" t="b">
        <f t="shared" si="335"/>
        <v>1</v>
      </c>
      <c r="AY227" s="139" t="b">
        <f t="shared" si="336"/>
        <v>0</v>
      </c>
      <c r="AZ227" s="139" t="str">
        <f>'Reference Score Calculation'!AV204</f>
        <v>無</v>
      </c>
      <c r="BA227" s="93" t="str">
        <f>'Reference Score Calculation'!N204</f>
        <v>/</v>
      </c>
      <c r="BB227" s="93" t="str">
        <f>'Reference Score Calculation'!O204</f>
        <v>/</v>
      </c>
      <c r="BC227" s="93"/>
      <c r="BD227" s="93"/>
      <c r="BE227" s="93"/>
      <c r="BF227" s="93"/>
      <c r="BG227" s="93" t="s">
        <v>64</v>
      </c>
      <c r="BH227" s="93"/>
      <c r="BI227" s="93"/>
      <c r="BJ227" s="93"/>
      <c r="BK227" s="93"/>
      <c r="BL227" s="93"/>
      <c r="BM227" s="93"/>
      <c r="BN227" s="93"/>
      <c r="BO227" s="93"/>
      <c r="BP227" s="93"/>
      <c r="BQ227" s="93"/>
      <c r="BR227" s="93"/>
      <c r="BS227" s="184"/>
      <c r="BT227" s="188"/>
      <c r="BU227" s="188"/>
      <c r="BV227" s="188"/>
      <c r="BW227" s="188"/>
      <c r="BX227" s="188"/>
      <c r="BY227" s="188"/>
      <c r="BZ227" s="188"/>
      <c r="CA227" s="188"/>
      <c r="CB227" s="188"/>
      <c r="CC227" s="188"/>
      <c r="CD227" s="186"/>
      <c r="CE227" s="186"/>
      <c r="CF227" s="186"/>
      <c r="CG227" s="186"/>
      <c r="CH227" s="186"/>
      <c r="CI227" s="186"/>
      <c r="CJ227" s="186"/>
      <c r="CK227" s="186"/>
      <c r="CL227" s="186"/>
      <c r="CM227" s="186"/>
      <c r="CN227" s="186"/>
      <c r="CO227" s="186"/>
      <c r="CP227" s="186"/>
      <c r="CQ227" s="186"/>
      <c r="CR227" s="186"/>
      <c r="CS227" s="186"/>
    </row>
    <row r="228" spans="1:97">
      <c r="A228" s="139" t="s">
        <v>1359</v>
      </c>
      <c r="B228" s="183" t="str">
        <f>'Reference Score Calculation'!B205</f>
        <v>JS4836</v>
      </c>
      <c r="C228" s="183" t="str">
        <f>'Reference Score Calculation'!E205</f>
        <v>地理與資源管理學</v>
      </c>
      <c r="D228" s="183"/>
      <c r="E228" s="183" t="str">
        <f>'Reference Score Calculation'!F205</f>
        <v>Best 5</v>
      </c>
      <c r="F228" s="93"/>
      <c r="G228" s="93" t="str">
        <f>入學要求!AB214</f>
        <v>v</v>
      </c>
      <c r="H228" s="93" t="str">
        <f>入學要求!AC214</f>
        <v>E</v>
      </c>
      <c r="I228" s="93" t="str">
        <f>入學要求!AD214</f>
        <v>NO</v>
      </c>
      <c r="J228" s="183">
        <f t="shared" si="288"/>
        <v>3.4999999999999999E-9</v>
      </c>
      <c r="K228" s="475">
        <v>1</v>
      </c>
      <c r="L228" s="475">
        <v>1.5</v>
      </c>
      <c r="M228" s="475">
        <v>1</v>
      </c>
      <c r="N228" s="475"/>
      <c r="O228" s="475">
        <v>1</v>
      </c>
      <c r="P228" s="475">
        <f>IF(P1="地理",1.5,1)</f>
        <v>1</v>
      </c>
      <c r="Q228" s="475">
        <f>IF(Q1="地理",1.5,1)</f>
        <v>1</v>
      </c>
      <c r="R228" s="475">
        <f>IF(R1="地理",1.5,1)</f>
        <v>1</v>
      </c>
      <c r="S228" s="475">
        <f>IF(S1="地理",1.5,1)</f>
        <v>1</v>
      </c>
      <c r="T228" s="475">
        <v>1</v>
      </c>
      <c r="U228" s="93"/>
      <c r="V228" s="139">
        <f t="shared" si="319"/>
        <v>1E-10</v>
      </c>
      <c r="W228" s="139">
        <f t="shared" si="320"/>
        <v>3E-10</v>
      </c>
      <c r="X228" s="139">
        <f t="shared" si="321"/>
        <v>3E-10</v>
      </c>
      <c r="Y228" s="139"/>
      <c r="Z228" s="139">
        <f t="shared" si="322"/>
        <v>5.0000000000000003E-10</v>
      </c>
      <c r="AA228" s="139">
        <f t="shared" si="323"/>
        <v>6E-10</v>
      </c>
      <c r="AB228" s="139">
        <f t="shared" si="324"/>
        <v>6.9999999999999996E-10</v>
      </c>
      <c r="AC228" s="139">
        <f t="shared" si="325"/>
        <v>8.0000000000000003E-10</v>
      </c>
      <c r="AD228" s="139">
        <f t="shared" si="326"/>
        <v>8.9999999999999999E-10</v>
      </c>
      <c r="AE228" s="139">
        <f t="shared" si="327"/>
        <v>0</v>
      </c>
      <c r="AF228" s="117">
        <f t="shared" si="299"/>
        <v>1E-10</v>
      </c>
      <c r="AG228" s="117">
        <f t="shared" si="300"/>
        <v>3E-10</v>
      </c>
      <c r="AH228" s="117">
        <f t="shared" si="301"/>
        <v>3E-10</v>
      </c>
      <c r="AI228" s="117">
        <f t="shared" si="302"/>
        <v>0</v>
      </c>
      <c r="AJ228" s="117">
        <f t="shared" si="303"/>
        <v>5.0000000000000003E-10</v>
      </c>
      <c r="AK228" s="117">
        <f t="shared" si="304"/>
        <v>6E-10</v>
      </c>
      <c r="AL228" s="117">
        <f t="shared" si="305"/>
        <v>6.9999999999999996E-10</v>
      </c>
      <c r="AM228" s="117">
        <f t="shared" si="306"/>
        <v>8.0000000000000003E-10</v>
      </c>
      <c r="AN228" s="117">
        <f t="shared" si="307"/>
        <v>8.9999999999999999E-10</v>
      </c>
      <c r="AO228" s="117">
        <f t="shared" si="308"/>
        <v>0</v>
      </c>
      <c r="AP228" s="139" t="b">
        <f t="shared" si="328"/>
        <v>0</v>
      </c>
      <c r="AQ228" s="139" t="b">
        <f t="shared" si="329"/>
        <v>0</v>
      </c>
      <c r="AR228" s="139" t="b">
        <f t="shared" si="330"/>
        <v>0</v>
      </c>
      <c r="AS228" s="139"/>
      <c r="AT228" s="139" t="b">
        <f t="shared" si="331"/>
        <v>1</v>
      </c>
      <c r="AU228" s="139" t="b">
        <f t="shared" si="332"/>
        <v>1</v>
      </c>
      <c r="AV228" s="139" t="b">
        <f t="shared" si="333"/>
        <v>1</v>
      </c>
      <c r="AW228" s="139" t="b">
        <f t="shared" si="334"/>
        <v>1</v>
      </c>
      <c r="AX228" s="139" t="b">
        <f t="shared" si="335"/>
        <v>1</v>
      </c>
      <c r="AY228" s="139" t="b">
        <f t="shared" si="336"/>
        <v>0</v>
      </c>
      <c r="AZ228" s="139" t="str">
        <f>'Reference Score Calculation'!AV205</f>
        <v>無</v>
      </c>
      <c r="BA228" s="93" t="str">
        <f>'Reference Score Calculation'!N205</f>
        <v>/</v>
      </c>
      <c r="BB228" s="93" t="str">
        <f>'Reference Score Calculation'!O205</f>
        <v>/</v>
      </c>
      <c r="BC228" s="93"/>
      <c r="BD228" s="93"/>
      <c r="BE228" s="93"/>
      <c r="BF228" s="93"/>
      <c r="BG228" s="93" t="s">
        <v>64</v>
      </c>
      <c r="BH228" s="93"/>
      <c r="BI228" s="93"/>
      <c r="BJ228" s="93"/>
      <c r="BK228" s="93"/>
      <c r="BL228" s="93"/>
      <c r="BM228" s="93"/>
      <c r="BN228" s="93"/>
      <c r="BO228" s="93"/>
      <c r="BP228" s="93"/>
      <c r="BQ228" s="93"/>
      <c r="BR228" s="93"/>
      <c r="BS228" s="184"/>
      <c r="BT228" s="185"/>
      <c r="BU228" s="185"/>
      <c r="BV228" s="185"/>
      <c r="BW228" s="185"/>
      <c r="BX228" s="185"/>
      <c r="BY228" s="185"/>
      <c r="BZ228" s="185"/>
      <c r="CA228" s="185"/>
      <c r="CB228" s="186"/>
      <c r="CC228" s="186"/>
      <c r="CD228" s="186"/>
      <c r="CE228" s="186"/>
      <c r="CF228" s="186"/>
      <c r="CG228" s="186"/>
      <c r="CH228" s="186"/>
      <c r="CI228" s="186"/>
      <c r="CJ228" s="186"/>
      <c r="CK228" s="186"/>
      <c r="CL228" s="186"/>
      <c r="CM228" s="186"/>
      <c r="CN228" s="186"/>
      <c r="CO228" s="186"/>
      <c r="CP228" s="186"/>
      <c r="CQ228" s="186"/>
      <c r="CR228" s="186"/>
      <c r="CS228" s="186"/>
    </row>
    <row r="229" spans="1:97">
      <c r="A229" s="139" t="s">
        <v>1363</v>
      </c>
      <c r="B229" s="183" t="str">
        <f>'Reference Score Calculation'!B206</f>
        <v>JS4838</v>
      </c>
      <c r="C229" s="183" t="str">
        <f>'Reference Score Calculation'!E206</f>
        <v>城市研究</v>
      </c>
      <c r="D229" s="183"/>
      <c r="E229" s="183" t="str">
        <f>'Reference Score Calculation'!F206</f>
        <v>Best 5</v>
      </c>
      <c r="F229" s="93"/>
      <c r="G229" s="93" t="str">
        <f>入學要求!AB215</f>
        <v>v</v>
      </c>
      <c r="H229" s="93" t="str">
        <f>入學要求!AC215</f>
        <v>E</v>
      </c>
      <c r="I229" s="93" t="str">
        <f>入學要求!AD215</f>
        <v>NO</v>
      </c>
      <c r="J229" s="183">
        <f t="shared" si="288"/>
        <v>3.4999999999999999E-9</v>
      </c>
      <c r="K229" s="475">
        <v>1</v>
      </c>
      <c r="L229" s="475">
        <v>1</v>
      </c>
      <c r="M229" s="475">
        <v>1</v>
      </c>
      <c r="N229" s="475"/>
      <c r="O229" s="475">
        <v>1</v>
      </c>
      <c r="P229" s="475">
        <v>1</v>
      </c>
      <c r="Q229" s="475">
        <v>1</v>
      </c>
      <c r="R229" s="475">
        <v>1</v>
      </c>
      <c r="S229" s="475">
        <v>1</v>
      </c>
      <c r="T229" s="475">
        <v>1</v>
      </c>
      <c r="U229" s="93"/>
      <c r="V229" s="139">
        <f t="shared" si="319"/>
        <v>1E-10</v>
      </c>
      <c r="W229" s="139">
        <f t="shared" si="320"/>
        <v>2.0000000000000001E-10</v>
      </c>
      <c r="X229" s="139">
        <f t="shared" si="321"/>
        <v>3E-10</v>
      </c>
      <c r="Y229" s="139"/>
      <c r="Z229" s="139">
        <f t="shared" si="322"/>
        <v>5.0000000000000003E-10</v>
      </c>
      <c r="AA229" s="139">
        <f t="shared" si="323"/>
        <v>6E-10</v>
      </c>
      <c r="AB229" s="139">
        <f t="shared" si="324"/>
        <v>6.9999999999999996E-10</v>
      </c>
      <c r="AC229" s="139">
        <f t="shared" si="325"/>
        <v>8.0000000000000003E-10</v>
      </c>
      <c r="AD229" s="139">
        <f t="shared" si="326"/>
        <v>8.9999999999999999E-10</v>
      </c>
      <c r="AE229" s="139">
        <f t="shared" si="327"/>
        <v>0</v>
      </c>
      <c r="AF229" s="117">
        <f t="shared" si="299"/>
        <v>1E-10</v>
      </c>
      <c r="AG229" s="117">
        <f t="shared" si="300"/>
        <v>2.0000000000000001E-10</v>
      </c>
      <c r="AH229" s="117">
        <f t="shared" si="301"/>
        <v>3E-10</v>
      </c>
      <c r="AI229" s="117">
        <f t="shared" si="302"/>
        <v>0</v>
      </c>
      <c r="AJ229" s="117">
        <f t="shared" si="303"/>
        <v>5.0000000000000003E-10</v>
      </c>
      <c r="AK229" s="117">
        <f t="shared" si="304"/>
        <v>6E-10</v>
      </c>
      <c r="AL229" s="117">
        <f t="shared" si="305"/>
        <v>6.9999999999999996E-10</v>
      </c>
      <c r="AM229" s="117">
        <f t="shared" si="306"/>
        <v>8.0000000000000003E-10</v>
      </c>
      <c r="AN229" s="117">
        <f t="shared" si="307"/>
        <v>8.9999999999999999E-10</v>
      </c>
      <c r="AO229" s="117">
        <f t="shared" si="308"/>
        <v>0</v>
      </c>
      <c r="AP229" s="139" t="b">
        <f t="shared" si="328"/>
        <v>0</v>
      </c>
      <c r="AQ229" s="139" t="b">
        <f t="shared" si="329"/>
        <v>0</v>
      </c>
      <c r="AR229" s="139" t="b">
        <f t="shared" si="330"/>
        <v>0</v>
      </c>
      <c r="AS229" s="139"/>
      <c r="AT229" s="139" t="b">
        <f t="shared" si="331"/>
        <v>1</v>
      </c>
      <c r="AU229" s="139" t="b">
        <f t="shared" si="332"/>
        <v>1</v>
      </c>
      <c r="AV229" s="139" t="b">
        <f t="shared" si="333"/>
        <v>1</v>
      </c>
      <c r="AW229" s="139" t="b">
        <f t="shared" si="334"/>
        <v>1</v>
      </c>
      <c r="AX229" s="139" t="b">
        <f t="shared" si="335"/>
        <v>1</v>
      </c>
      <c r="AY229" s="139" t="b">
        <f t="shared" si="336"/>
        <v>0</v>
      </c>
      <c r="AZ229" s="139" t="str">
        <f>'Reference Score Calculation'!AV206</f>
        <v>無</v>
      </c>
      <c r="BA229" s="93" t="str">
        <f>'Reference Score Calculation'!N206</f>
        <v>/</v>
      </c>
      <c r="BB229" s="93" t="str">
        <f>'Reference Score Calculation'!O206</f>
        <v>/</v>
      </c>
      <c r="BC229" s="93"/>
      <c r="BD229" s="93"/>
      <c r="BE229" s="93"/>
      <c r="BF229" s="93"/>
      <c r="BG229" s="93" t="s">
        <v>64</v>
      </c>
      <c r="BH229" s="93"/>
      <c r="BI229" s="93"/>
      <c r="BJ229" s="93"/>
      <c r="BK229" s="93"/>
      <c r="BL229" s="93"/>
      <c r="BM229" s="93"/>
      <c r="BN229" s="93"/>
      <c r="BO229" s="93"/>
      <c r="BP229" s="93"/>
      <c r="BQ229" s="93"/>
      <c r="BR229" s="93"/>
      <c r="BS229" s="184" t="s">
        <v>330</v>
      </c>
      <c r="BT229" s="185" t="s">
        <v>326</v>
      </c>
      <c r="BU229" s="185"/>
      <c r="BV229" s="185"/>
      <c r="BW229" s="185"/>
      <c r="BX229" s="185"/>
      <c r="BY229" s="185"/>
      <c r="BZ229" s="185"/>
      <c r="CA229" s="185"/>
      <c r="CB229" s="186"/>
      <c r="CC229" s="186"/>
      <c r="CD229" s="186"/>
      <c r="CE229" s="186"/>
      <c r="CF229" s="186"/>
      <c r="CG229" s="186"/>
      <c r="CH229" s="186"/>
      <c r="CI229" s="186"/>
      <c r="CJ229" s="186"/>
      <c r="CK229" s="186"/>
      <c r="CL229" s="186"/>
      <c r="CM229" s="186"/>
      <c r="CN229" s="186"/>
      <c r="CO229" s="186"/>
      <c r="CP229" s="186"/>
      <c r="CQ229" s="186"/>
      <c r="CR229" s="186"/>
      <c r="CS229" s="186"/>
    </row>
    <row r="230" spans="1:97">
      <c r="A230" s="139" t="s">
        <v>1366</v>
      </c>
      <c r="B230" s="183" t="str">
        <f>'Reference Score Calculation'!B207</f>
        <v>JS4848</v>
      </c>
      <c r="C230" s="183" t="str">
        <f>'Reference Score Calculation'!E207</f>
        <v>政治與行政學</v>
      </c>
      <c r="D230" s="183"/>
      <c r="E230" s="183" t="str">
        <f>'Reference Score Calculation'!F207</f>
        <v>Best 5</v>
      </c>
      <c r="F230" s="93"/>
      <c r="G230" s="93" t="str">
        <f>入學要求!AB216</f>
        <v>v</v>
      </c>
      <c r="H230" s="93" t="str">
        <f>入學要求!AC216</f>
        <v>E</v>
      </c>
      <c r="I230" s="93" t="str">
        <f>入學要求!AD216</f>
        <v>NO</v>
      </c>
      <c r="J230" s="183">
        <f t="shared" si="288"/>
        <v>3.4999999999999999E-9</v>
      </c>
      <c r="K230" s="475">
        <v>1.25</v>
      </c>
      <c r="L230" s="475">
        <v>1.5</v>
      </c>
      <c r="M230" s="475">
        <v>1</v>
      </c>
      <c r="N230" s="475"/>
      <c r="O230" s="475">
        <v>1</v>
      </c>
      <c r="P230" s="475">
        <v>1</v>
      </c>
      <c r="Q230" s="475">
        <v>1</v>
      </c>
      <c r="R230" s="475">
        <v>1</v>
      </c>
      <c r="S230" s="475">
        <v>1</v>
      </c>
      <c r="T230" s="475">
        <v>1</v>
      </c>
      <c r="U230" s="93"/>
      <c r="V230" s="139">
        <f t="shared" si="319"/>
        <v>1.2500000000000001E-10</v>
      </c>
      <c r="W230" s="139">
        <f t="shared" si="320"/>
        <v>3E-10</v>
      </c>
      <c r="X230" s="139">
        <f t="shared" si="321"/>
        <v>3E-10</v>
      </c>
      <c r="Y230" s="139"/>
      <c r="Z230" s="139">
        <f t="shared" si="322"/>
        <v>5.0000000000000003E-10</v>
      </c>
      <c r="AA230" s="139">
        <f t="shared" si="323"/>
        <v>6E-10</v>
      </c>
      <c r="AB230" s="139">
        <f t="shared" si="324"/>
        <v>6.9999999999999996E-10</v>
      </c>
      <c r="AC230" s="139">
        <f t="shared" si="325"/>
        <v>8.0000000000000003E-10</v>
      </c>
      <c r="AD230" s="139">
        <f t="shared" si="326"/>
        <v>8.9999999999999999E-10</v>
      </c>
      <c r="AE230" s="139">
        <f t="shared" si="327"/>
        <v>0</v>
      </c>
      <c r="AF230" s="117">
        <f t="shared" si="299"/>
        <v>1.2500000000000001E-10</v>
      </c>
      <c r="AG230" s="117">
        <f t="shared" si="300"/>
        <v>3E-10</v>
      </c>
      <c r="AH230" s="117">
        <f t="shared" si="301"/>
        <v>3E-10</v>
      </c>
      <c r="AI230" s="117">
        <f t="shared" si="302"/>
        <v>0</v>
      </c>
      <c r="AJ230" s="117">
        <f t="shared" si="303"/>
        <v>5.0000000000000003E-10</v>
      </c>
      <c r="AK230" s="117">
        <f t="shared" si="304"/>
        <v>6E-10</v>
      </c>
      <c r="AL230" s="117">
        <f t="shared" si="305"/>
        <v>6.9999999999999996E-10</v>
      </c>
      <c r="AM230" s="117">
        <f t="shared" si="306"/>
        <v>8.0000000000000003E-10</v>
      </c>
      <c r="AN230" s="117">
        <f t="shared" si="307"/>
        <v>8.9999999999999999E-10</v>
      </c>
      <c r="AO230" s="117">
        <f t="shared" si="308"/>
        <v>0</v>
      </c>
      <c r="AP230" s="139" t="b">
        <f t="shared" si="328"/>
        <v>0</v>
      </c>
      <c r="AQ230" s="139" t="b">
        <f t="shared" si="329"/>
        <v>0</v>
      </c>
      <c r="AR230" s="139" t="b">
        <f t="shared" si="330"/>
        <v>0</v>
      </c>
      <c r="AS230" s="139"/>
      <c r="AT230" s="139" t="b">
        <f t="shared" si="331"/>
        <v>1</v>
      </c>
      <c r="AU230" s="139" t="b">
        <f t="shared" si="332"/>
        <v>1</v>
      </c>
      <c r="AV230" s="139" t="b">
        <f t="shared" si="333"/>
        <v>1</v>
      </c>
      <c r="AW230" s="139" t="b">
        <f t="shared" si="334"/>
        <v>1</v>
      </c>
      <c r="AX230" s="139" t="b">
        <f t="shared" si="335"/>
        <v>1</v>
      </c>
      <c r="AY230" s="139" t="b">
        <f t="shared" si="336"/>
        <v>0</v>
      </c>
      <c r="AZ230" s="139" t="str">
        <f>'Reference Score Calculation'!AV207</f>
        <v>5%或更少(全Cert)</v>
      </c>
      <c r="BA230" s="93" t="str">
        <f>'Reference Score Calculation'!N207</f>
        <v>/</v>
      </c>
      <c r="BB230" s="93" t="str">
        <f>'Reference Score Calculation'!O207</f>
        <v>/</v>
      </c>
      <c r="BC230" s="93"/>
      <c r="BD230" s="93"/>
      <c r="BE230" s="93"/>
      <c r="BF230" s="93"/>
      <c r="BG230" s="93" t="s">
        <v>64</v>
      </c>
      <c r="BH230" s="93"/>
      <c r="BI230" s="93"/>
      <c r="BJ230" s="93"/>
      <c r="BK230" s="93"/>
      <c r="BL230" s="93"/>
      <c r="BM230" s="93"/>
      <c r="BN230" s="93"/>
      <c r="BO230" s="93"/>
      <c r="BP230" s="93"/>
      <c r="BQ230" s="93"/>
      <c r="BR230" s="93"/>
      <c r="BS230" s="184"/>
      <c r="BT230" s="139" t="str">
        <f>IF(K6&gt;L6,K1,L1)</f>
        <v>英國語文</v>
      </c>
      <c r="BU230" s="139">
        <f>IF(K6&gt;L6,K6,L6)</f>
        <v>2.0000000000000001E-10</v>
      </c>
      <c r="BV230" s="185"/>
      <c r="BW230" s="185"/>
      <c r="BX230" s="185"/>
      <c r="BY230" s="185"/>
      <c r="BZ230" s="185"/>
      <c r="CA230" s="185"/>
      <c r="CB230" s="186"/>
      <c r="CC230" s="186"/>
      <c r="CD230" s="186"/>
      <c r="CE230" s="186"/>
      <c r="CF230" s="186"/>
      <c r="CG230" s="186"/>
      <c r="CH230" s="186"/>
      <c r="CI230" s="186"/>
      <c r="CJ230" s="186"/>
      <c r="CK230" s="186"/>
      <c r="CL230" s="186"/>
      <c r="CM230" s="186"/>
      <c r="CN230" s="186"/>
      <c r="CO230" s="186"/>
      <c r="CP230" s="186"/>
      <c r="CQ230" s="186"/>
      <c r="CR230" s="186"/>
      <c r="CS230" s="186"/>
    </row>
    <row r="231" spans="1:97">
      <c r="A231" s="139" t="s">
        <v>1369</v>
      </c>
      <c r="B231" s="183" t="str">
        <f>'Reference Score Calculation'!B208</f>
        <v>JS4850</v>
      </c>
      <c r="C231" s="183" t="str">
        <f>'Reference Score Calculation'!E208</f>
        <v>新聞與傳播學</v>
      </c>
      <c r="D231" s="183"/>
      <c r="E231" s="183" t="str">
        <f>'Reference Score Calculation'!F208</f>
        <v>Best 5</v>
      </c>
      <c r="F231" s="93"/>
      <c r="G231" s="93" t="str">
        <f>入學要求!AB217</f>
        <v>v</v>
      </c>
      <c r="H231" s="93" t="str">
        <f>入學要求!AC217</f>
        <v>E</v>
      </c>
      <c r="I231" s="93" t="str">
        <f>入學要求!AD217</f>
        <v>NO</v>
      </c>
      <c r="J231" s="183">
        <f t="shared" si="288"/>
        <v>3.4999999999999999E-9</v>
      </c>
      <c r="K231" s="475">
        <v>1.3</v>
      </c>
      <c r="L231" s="475">
        <v>1.3</v>
      </c>
      <c r="M231" s="475">
        <v>1</v>
      </c>
      <c r="N231" s="475"/>
      <c r="O231" s="475">
        <v>1</v>
      </c>
      <c r="P231" s="475">
        <v>1</v>
      </c>
      <c r="Q231" s="475">
        <v>1</v>
      </c>
      <c r="R231" s="475">
        <v>1</v>
      </c>
      <c r="S231" s="475">
        <v>1</v>
      </c>
      <c r="T231" s="475">
        <v>1</v>
      </c>
      <c r="U231" s="93"/>
      <c r="V231" s="139">
        <f t="shared" si="319"/>
        <v>1.3000000000000002E-10</v>
      </c>
      <c r="W231" s="139">
        <f t="shared" si="320"/>
        <v>2.6000000000000003E-10</v>
      </c>
      <c r="X231" s="139">
        <f t="shared" si="321"/>
        <v>3E-10</v>
      </c>
      <c r="Y231" s="139"/>
      <c r="Z231" s="139">
        <f t="shared" si="322"/>
        <v>5.0000000000000003E-10</v>
      </c>
      <c r="AA231" s="139">
        <f t="shared" si="323"/>
        <v>6E-10</v>
      </c>
      <c r="AB231" s="139">
        <f t="shared" si="324"/>
        <v>6.9999999999999996E-10</v>
      </c>
      <c r="AC231" s="139">
        <f t="shared" si="325"/>
        <v>8.0000000000000003E-10</v>
      </c>
      <c r="AD231" s="139">
        <f t="shared" si="326"/>
        <v>8.9999999999999999E-10</v>
      </c>
      <c r="AE231" s="139">
        <f t="shared" si="327"/>
        <v>0</v>
      </c>
      <c r="AF231" s="117">
        <f t="shared" si="299"/>
        <v>1.3000000000000002E-10</v>
      </c>
      <c r="AG231" s="117">
        <f t="shared" si="300"/>
        <v>2.6000000000000003E-10</v>
      </c>
      <c r="AH231" s="117">
        <f t="shared" si="301"/>
        <v>3E-10</v>
      </c>
      <c r="AI231" s="117">
        <f t="shared" si="302"/>
        <v>0</v>
      </c>
      <c r="AJ231" s="117">
        <f t="shared" si="303"/>
        <v>5.0000000000000003E-10</v>
      </c>
      <c r="AK231" s="117">
        <f t="shared" si="304"/>
        <v>6E-10</v>
      </c>
      <c r="AL231" s="117">
        <f t="shared" si="305"/>
        <v>6.9999999999999996E-10</v>
      </c>
      <c r="AM231" s="117">
        <f t="shared" si="306"/>
        <v>8.0000000000000003E-10</v>
      </c>
      <c r="AN231" s="117">
        <f t="shared" si="307"/>
        <v>8.9999999999999999E-10</v>
      </c>
      <c r="AO231" s="117">
        <f t="shared" si="308"/>
        <v>0</v>
      </c>
      <c r="AP231" s="139" t="b">
        <f t="shared" si="328"/>
        <v>0</v>
      </c>
      <c r="AQ231" s="139" t="b">
        <f t="shared" si="329"/>
        <v>0</v>
      </c>
      <c r="AR231" s="139" t="b">
        <f t="shared" si="330"/>
        <v>0</v>
      </c>
      <c r="AS231" s="139"/>
      <c r="AT231" s="139" t="b">
        <f t="shared" si="331"/>
        <v>1</v>
      </c>
      <c r="AU231" s="139" t="b">
        <f t="shared" si="332"/>
        <v>1</v>
      </c>
      <c r="AV231" s="139" t="b">
        <f t="shared" si="333"/>
        <v>1</v>
      </c>
      <c r="AW231" s="139" t="b">
        <f t="shared" si="334"/>
        <v>1</v>
      </c>
      <c r="AX231" s="139" t="b">
        <f t="shared" si="335"/>
        <v>1</v>
      </c>
      <c r="AY231" s="139" t="b">
        <f t="shared" si="336"/>
        <v>0</v>
      </c>
      <c r="AZ231" s="139" t="str">
        <f>'Reference Score Calculation'!AV208</f>
        <v>無</v>
      </c>
      <c r="BA231" s="93" t="str">
        <f>'Reference Score Calculation'!N208</f>
        <v>/</v>
      </c>
      <c r="BB231" s="93" t="str">
        <f>'Reference Score Calculation'!O208</f>
        <v>/</v>
      </c>
      <c r="BC231" s="93"/>
      <c r="BD231" s="93"/>
      <c r="BE231" s="93"/>
      <c r="BF231" s="93"/>
      <c r="BG231" s="93" t="s">
        <v>64</v>
      </c>
      <c r="BH231" s="93"/>
      <c r="BI231" s="93"/>
      <c r="BJ231" s="93"/>
      <c r="BK231" s="93"/>
      <c r="BL231" s="93"/>
      <c r="BM231" s="93"/>
      <c r="BN231" s="93"/>
      <c r="BO231" s="93"/>
      <c r="BP231" s="93"/>
      <c r="BQ231" s="93"/>
      <c r="BR231" s="93"/>
      <c r="BS231" s="184"/>
      <c r="BT231" s="185"/>
      <c r="BU231" s="185"/>
      <c r="BV231" s="185"/>
      <c r="BW231" s="185"/>
      <c r="BX231" s="185"/>
      <c r="BY231" s="185"/>
      <c r="BZ231" s="185"/>
      <c r="CA231" s="185"/>
      <c r="CB231" s="186"/>
      <c r="CC231" s="186"/>
      <c r="CD231" s="186"/>
      <c r="CE231" s="186"/>
      <c r="CF231" s="186"/>
      <c r="CG231" s="186"/>
      <c r="CH231" s="186"/>
      <c r="CI231" s="186"/>
      <c r="CJ231" s="186"/>
      <c r="CK231" s="186"/>
      <c r="CL231" s="186"/>
      <c r="CM231" s="186"/>
      <c r="CN231" s="186"/>
      <c r="CO231" s="186"/>
      <c r="CP231" s="186"/>
      <c r="CQ231" s="186"/>
      <c r="CR231" s="186"/>
      <c r="CS231" s="186"/>
    </row>
    <row r="232" spans="1:97">
      <c r="A232" s="139" t="s">
        <v>1373</v>
      </c>
      <c r="B232" s="183" t="str">
        <f>'Reference Score Calculation'!B209</f>
        <v>JS4858</v>
      </c>
      <c r="C232" s="183" t="str">
        <f>'Reference Score Calculation'!E209</f>
        <v>全球傳播</v>
      </c>
      <c r="D232" s="183"/>
      <c r="E232" s="183" t="str">
        <f>'Reference Score Calculation'!F209</f>
        <v>Best 5</v>
      </c>
      <c r="F232" s="93"/>
      <c r="G232" s="93" t="str">
        <f>入學要求!AB218</f>
        <v>v</v>
      </c>
      <c r="H232" s="93" t="str">
        <f>入學要求!AC218</f>
        <v>E</v>
      </c>
      <c r="I232" s="93" t="str">
        <f>入學要求!AD218</f>
        <v>NO</v>
      </c>
      <c r="J232" s="183" t="s">
        <v>324</v>
      </c>
      <c r="K232" s="475" t="s">
        <v>324</v>
      </c>
      <c r="L232" s="475" t="s">
        <v>324</v>
      </c>
      <c r="M232" s="475" t="s">
        <v>324</v>
      </c>
      <c r="N232" s="475"/>
      <c r="O232" s="475" t="s">
        <v>324</v>
      </c>
      <c r="P232" s="475" t="s">
        <v>324</v>
      </c>
      <c r="Q232" s="475" t="s">
        <v>324</v>
      </c>
      <c r="R232" s="475" t="s">
        <v>324</v>
      </c>
      <c r="S232" s="475" t="s">
        <v>324</v>
      </c>
      <c r="T232" s="475" t="s">
        <v>324</v>
      </c>
      <c r="U232" s="93"/>
      <c r="V232" s="139" t="e">
        <f t="shared" si="319"/>
        <v>#VALUE!</v>
      </c>
      <c r="W232" s="139" t="e">
        <f t="shared" si="320"/>
        <v>#VALUE!</v>
      </c>
      <c r="X232" s="139" t="e">
        <f t="shared" si="321"/>
        <v>#VALUE!</v>
      </c>
      <c r="Y232" s="139"/>
      <c r="Z232" s="139" t="e">
        <f t="shared" si="322"/>
        <v>#VALUE!</v>
      </c>
      <c r="AA232" s="139" t="e">
        <f t="shared" si="323"/>
        <v>#VALUE!</v>
      </c>
      <c r="AB232" s="139" t="e">
        <f t="shared" si="324"/>
        <v>#VALUE!</v>
      </c>
      <c r="AC232" s="139" t="e">
        <f t="shared" si="325"/>
        <v>#VALUE!</v>
      </c>
      <c r="AD232" s="139" t="e">
        <f t="shared" si="326"/>
        <v>#VALUE!</v>
      </c>
      <c r="AE232" s="139" t="e">
        <f t="shared" si="327"/>
        <v>#VALUE!</v>
      </c>
      <c r="AF232" s="117" t="e">
        <f t="shared" ref="AF232:AF238" si="339">IF(BH232=TRUE,V232+99,V232)</f>
        <v>#VALUE!</v>
      </c>
      <c r="AG232" s="117" t="e">
        <f t="shared" ref="AG232:AG238" si="340">IF(BI232=TRUE,W232+99,W232)</f>
        <v>#VALUE!</v>
      </c>
      <c r="AH232" s="117" t="e">
        <f t="shared" ref="AH232:AH238" si="341">IF(BJ232=TRUE,X232+99,X232)</f>
        <v>#VALUE!</v>
      </c>
      <c r="AI232" s="117">
        <f t="shared" ref="AI232:AI238" si="342">IF(BK232=TRUE,Y232+99,Y232)</f>
        <v>0</v>
      </c>
      <c r="AJ232" s="117" t="e">
        <f t="shared" ref="AJ232:AJ238" si="343">IF(BL232=TRUE,Z232+99,Z232)</f>
        <v>#VALUE!</v>
      </c>
      <c r="AK232" s="117" t="e">
        <f t="shared" ref="AK232:AK238" si="344">IF(BM232=TRUE,AA232+99,AA232)</f>
        <v>#VALUE!</v>
      </c>
      <c r="AL232" s="117" t="e">
        <f t="shared" ref="AL232:AL238" si="345">IF(BN232=TRUE,AB232+99,AB232)</f>
        <v>#VALUE!</v>
      </c>
      <c r="AM232" s="117" t="e">
        <f t="shared" ref="AM232:AM238" si="346">IF(BO232=TRUE,AC232+99,AC232)</f>
        <v>#VALUE!</v>
      </c>
      <c r="AN232" s="117" t="e">
        <f t="shared" ref="AN232:AN238" si="347">IF(BP232=TRUE,AD232+99,AD232)</f>
        <v>#VALUE!</v>
      </c>
      <c r="AO232" s="117" t="e">
        <f t="shared" ref="AO232:AO238" si="348">IF(BQ232=TRUE,AE232+99,AE232)</f>
        <v>#VALUE!</v>
      </c>
      <c r="AP232" s="139" t="e">
        <f t="shared" si="328"/>
        <v>#VALUE!</v>
      </c>
      <c r="AQ232" s="139" t="e">
        <f t="shared" si="329"/>
        <v>#VALUE!</v>
      </c>
      <c r="AR232" s="139" t="e">
        <f t="shared" si="330"/>
        <v>#VALUE!</v>
      </c>
      <c r="AS232" s="139"/>
      <c r="AT232" s="139" t="e">
        <f t="shared" si="331"/>
        <v>#VALUE!</v>
      </c>
      <c r="AU232" s="139" t="e">
        <f t="shared" si="332"/>
        <v>#VALUE!</v>
      </c>
      <c r="AV232" s="139" t="e">
        <f t="shared" si="333"/>
        <v>#VALUE!</v>
      </c>
      <c r="AW232" s="139" t="e">
        <f t="shared" si="334"/>
        <v>#VALUE!</v>
      </c>
      <c r="AX232" s="139" t="e">
        <f t="shared" si="335"/>
        <v>#VALUE!</v>
      </c>
      <c r="AY232" s="139" t="e">
        <f t="shared" si="336"/>
        <v>#VALUE!</v>
      </c>
      <c r="AZ232" s="139" t="str">
        <f>'Reference Score Calculation'!AV209</f>
        <v>無</v>
      </c>
      <c r="BA232" s="93" t="str">
        <f>'Reference Score Calculation'!N209</f>
        <v>/</v>
      </c>
      <c r="BB232" s="93" t="str">
        <f>'Reference Score Calculation'!O209</f>
        <v>/</v>
      </c>
      <c r="BC232" s="93"/>
      <c r="BD232" s="93"/>
      <c r="BE232" s="93"/>
      <c r="BF232" s="93"/>
      <c r="BG232" s="93" t="s">
        <v>64</v>
      </c>
      <c r="BH232" s="93"/>
      <c r="BI232" s="93"/>
      <c r="BJ232" s="93"/>
      <c r="BK232" s="93"/>
      <c r="BL232" s="93"/>
      <c r="BM232" s="93"/>
      <c r="BN232" s="93"/>
      <c r="BO232" s="93"/>
      <c r="BP232" s="93"/>
      <c r="BQ232" s="93"/>
      <c r="BR232" s="93"/>
      <c r="BS232" s="184"/>
      <c r="BT232" s="185"/>
      <c r="BU232" s="185"/>
      <c r="BV232" s="185"/>
      <c r="BW232" s="185"/>
      <c r="BX232" s="185"/>
      <c r="BY232" s="185"/>
      <c r="BZ232" s="185"/>
      <c r="CA232" s="185"/>
      <c r="CB232" s="186"/>
      <c r="CC232" s="186"/>
      <c r="CD232" s="186"/>
      <c r="CE232" s="186"/>
      <c r="CF232" s="186"/>
      <c r="CG232" s="186"/>
      <c r="CH232" s="186"/>
      <c r="CI232" s="186"/>
      <c r="CJ232" s="186"/>
      <c r="CK232" s="186"/>
      <c r="CL232" s="186"/>
      <c r="CM232" s="186"/>
      <c r="CN232" s="186"/>
      <c r="CO232" s="186"/>
      <c r="CP232" s="186"/>
      <c r="CQ232" s="186"/>
      <c r="CR232" s="186"/>
      <c r="CS232" s="186"/>
    </row>
    <row r="233" spans="1:97">
      <c r="A233" s="139" t="s">
        <v>41</v>
      </c>
      <c r="B233" s="183" t="str">
        <f>'Reference Score Calculation'!B210</f>
        <v>JS4862</v>
      </c>
      <c r="C233" s="183" t="str">
        <f>'Reference Score Calculation'!E210</f>
        <v>心理學</v>
      </c>
      <c r="D233" s="183"/>
      <c r="E233" s="183" t="str">
        <f>'Reference Score Calculation'!F210</f>
        <v>Best 5</v>
      </c>
      <c r="F233" s="93"/>
      <c r="G233" s="93" t="str">
        <f>入學要求!AB219</f>
        <v>v</v>
      </c>
      <c r="H233" s="93" t="str">
        <f>入學要求!AC219</f>
        <v>E</v>
      </c>
      <c r="I233" s="93" t="str">
        <f>入學要求!AD219</f>
        <v>NO</v>
      </c>
      <c r="J233" s="183">
        <f t="shared" si="288"/>
        <v>3.4999999999999999E-9</v>
      </c>
      <c r="K233" s="435">
        <v>1</v>
      </c>
      <c r="L233" s="435">
        <v>1.5</v>
      </c>
      <c r="M233" s="435">
        <v>1.5</v>
      </c>
      <c r="N233" s="435"/>
      <c r="O233" s="435">
        <v>1</v>
      </c>
      <c r="P233" s="435">
        <v>1</v>
      </c>
      <c r="Q233" s="435">
        <v>1</v>
      </c>
      <c r="R233" s="435">
        <v>1</v>
      </c>
      <c r="S233" s="435">
        <v>1</v>
      </c>
      <c r="T233" s="435">
        <v>1</v>
      </c>
      <c r="U233" s="93"/>
      <c r="V233" s="139">
        <f t="shared" si="319"/>
        <v>1E-10</v>
      </c>
      <c r="W233" s="139">
        <f t="shared" si="320"/>
        <v>3E-10</v>
      </c>
      <c r="X233" s="139">
        <f t="shared" si="321"/>
        <v>4.5E-10</v>
      </c>
      <c r="Y233" s="139"/>
      <c r="Z233" s="139">
        <f t="shared" si="322"/>
        <v>5.0000000000000003E-10</v>
      </c>
      <c r="AA233" s="139">
        <f t="shared" si="323"/>
        <v>6E-10</v>
      </c>
      <c r="AB233" s="139">
        <f t="shared" si="324"/>
        <v>6.9999999999999996E-10</v>
      </c>
      <c r="AC233" s="139">
        <f t="shared" si="325"/>
        <v>8.0000000000000003E-10</v>
      </c>
      <c r="AD233" s="139">
        <f t="shared" si="326"/>
        <v>8.9999999999999999E-10</v>
      </c>
      <c r="AE233" s="139">
        <f t="shared" si="327"/>
        <v>0</v>
      </c>
      <c r="AF233" s="117">
        <f t="shared" si="339"/>
        <v>1E-10</v>
      </c>
      <c r="AG233" s="117">
        <f t="shared" si="340"/>
        <v>3E-10</v>
      </c>
      <c r="AH233" s="117">
        <f t="shared" si="341"/>
        <v>4.5E-10</v>
      </c>
      <c r="AI233" s="117">
        <f t="shared" si="342"/>
        <v>0</v>
      </c>
      <c r="AJ233" s="117">
        <f t="shared" si="343"/>
        <v>5.0000000000000003E-10</v>
      </c>
      <c r="AK233" s="117">
        <f t="shared" si="344"/>
        <v>6E-10</v>
      </c>
      <c r="AL233" s="117">
        <f t="shared" si="345"/>
        <v>6.9999999999999996E-10</v>
      </c>
      <c r="AM233" s="117">
        <f t="shared" si="346"/>
        <v>8.0000000000000003E-10</v>
      </c>
      <c r="AN233" s="117">
        <f t="shared" si="347"/>
        <v>8.9999999999999999E-10</v>
      </c>
      <c r="AO233" s="117">
        <f t="shared" si="348"/>
        <v>0</v>
      </c>
      <c r="AP233" s="139" t="b">
        <f t="shared" si="328"/>
        <v>0</v>
      </c>
      <c r="AQ233" s="139" t="b">
        <f t="shared" si="329"/>
        <v>0</v>
      </c>
      <c r="AR233" s="139" t="b">
        <f t="shared" si="330"/>
        <v>0</v>
      </c>
      <c r="AS233" s="139"/>
      <c r="AT233" s="139" t="b">
        <f t="shared" si="331"/>
        <v>1</v>
      </c>
      <c r="AU233" s="139" t="b">
        <f t="shared" si="332"/>
        <v>1</v>
      </c>
      <c r="AV233" s="139" t="b">
        <f t="shared" si="333"/>
        <v>1</v>
      </c>
      <c r="AW233" s="139" t="b">
        <f t="shared" si="334"/>
        <v>1</v>
      </c>
      <c r="AX233" s="139" t="b">
        <f t="shared" si="335"/>
        <v>1</v>
      </c>
      <c r="AY233" s="139" t="b">
        <f t="shared" si="336"/>
        <v>0</v>
      </c>
      <c r="AZ233" s="139" t="str">
        <f>'Reference Score Calculation'!AV210</f>
        <v>無</v>
      </c>
      <c r="BA233" s="93" t="str">
        <f>'Reference Score Calculation'!N210</f>
        <v>/</v>
      </c>
      <c r="BB233" s="93" t="str">
        <f>'Reference Score Calculation'!O210</f>
        <v>/</v>
      </c>
      <c r="BC233" s="93"/>
      <c r="BD233" s="93"/>
      <c r="BE233" s="93"/>
      <c r="BF233" s="93"/>
      <c r="BG233" s="93" t="s">
        <v>64</v>
      </c>
      <c r="BH233" s="93"/>
      <c r="BI233" s="93"/>
      <c r="BJ233" s="93"/>
      <c r="BK233" s="93"/>
      <c r="BL233" s="93"/>
      <c r="BM233" s="93"/>
      <c r="BN233" s="93"/>
      <c r="BO233" s="93"/>
      <c r="BP233" s="93"/>
      <c r="BQ233" s="93"/>
      <c r="BR233" s="93"/>
    </row>
    <row r="234" spans="1:97">
      <c r="A234" s="139" t="s">
        <v>1380</v>
      </c>
      <c r="B234" s="183" t="str">
        <f>'Reference Score Calculation'!B211</f>
        <v>JS4874</v>
      </c>
      <c r="C234" s="183" t="str">
        <f>'Reference Score Calculation'!E211</f>
        <v>社會工作</v>
      </c>
      <c r="D234" s="183"/>
      <c r="E234" s="183" t="str">
        <f>'Reference Score Calculation'!F211</f>
        <v>Best 5</v>
      </c>
      <c r="F234" s="93"/>
      <c r="G234" s="93" t="str">
        <f>入學要求!AB220</f>
        <v>v</v>
      </c>
      <c r="H234" s="93" t="str">
        <f>入學要求!AC220</f>
        <v>E</v>
      </c>
      <c r="I234" s="93" t="str">
        <f>入學要求!AD220</f>
        <v>NO</v>
      </c>
      <c r="J234" s="183">
        <f t="shared" si="288"/>
        <v>3.4999999999999999E-9</v>
      </c>
      <c r="K234" s="435">
        <v>1</v>
      </c>
      <c r="L234" s="435">
        <v>1</v>
      </c>
      <c r="M234" s="435">
        <v>1</v>
      </c>
      <c r="N234" s="435"/>
      <c r="O234" s="435">
        <v>1</v>
      </c>
      <c r="P234" s="435">
        <v>1</v>
      </c>
      <c r="Q234" s="435">
        <v>1</v>
      </c>
      <c r="R234" s="435">
        <v>1</v>
      </c>
      <c r="S234" s="435">
        <v>1</v>
      </c>
      <c r="T234" s="435">
        <v>1</v>
      </c>
      <c r="U234" s="93"/>
      <c r="V234" s="139">
        <f t="shared" si="319"/>
        <v>1E-10</v>
      </c>
      <c r="W234" s="139">
        <f t="shared" si="320"/>
        <v>2.0000000000000001E-10</v>
      </c>
      <c r="X234" s="139">
        <f t="shared" si="321"/>
        <v>3E-10</v>
      </c>
      <c r="Y234" s="139"/>
      <c r="Z234" s="139">
        <f t="shared" si="322"/>
        <v>5.0000000000000003E-10</v>
      </c>
      <c r="AA234" s="139">
        <f t="shared" si="323"/>
        <v>6E-10</v>
      </c>
      <c r="AB234" s="139">
        <f t="shared" si="324"/>
        <v>6.9999999999999996E-10</v>
      </c>
      <c r="AC234" s="139">
        <f t="shared" si="325"/>
        <v>8.0000000000000003E-10</v>
      </c>
      <c r="AD234" s="139">
        <f t="shared" si="326"/>
        <v>8.9999999999999999E-10</v>
      </c>
      <c r="AE234" s="139">
        <f t="shared" si="327"/>
        <v>0</v>
      </c>
      <c r="AF234" s="117">
        <f t="shared" si="339"/>
        <v>1E-10</v>
      </c>
      <c r="AG234" s="117">
        <f t="shared" si="340"/>
        <v>2.0000000000000001E-10</v>
      </c>
      <c r="AH234" s="117">
        <f t="shared" si="341"/>
        <v>3E-10</v>
      </c>
      <c r="AI234" s="117">
        <f t="shared" si="342"/>
        <v>0</v>
      </c>
      <c r="AJ234" s="117">
        <f t="shared" si="343"/>
        <v>5.0000000000000003E-10</v>
      </c>
      <c r="AK234" s="117">
        <f t="shared" si="344"/>
        <v>6E-10</v>
      </c>
      <c r="AL234" s="117">
        <f t="shared" si="345"/>
        <v>6.9999999999999996E-10</v>
      </c>
      <c r="AM234" s="117">
        <f t="shared" si="346"/>
        <v>8.0000000000000003E-10</v>
      </c>
      <c r="AN234" s="117">
        <f t="shared" si="347"/>
        <v>8.9999999999999999E-10</v>
      </c>
      <c r="AO234" s="117">
        <f t="shared" si="348"/>
        <v>0</v>
      </c>
      <c r="AP234" s="139" t="b">
        <f t="shared" si="328"/>
        <v>0</v>
      </c>
      <c r="AQ234" s="139" t="b">
        <f t="shared" si="329"/>
        <v>0</v>
      </c>
      <c r="AR234" s="139" t="b">
        <f t="shared" si="330"/>
        <v>0</v>
      </c>
      <c r="AS234" s="139"/>
      <c r="AT234" s="139" t="b">
        <f t="shared" si="331"/>
        <v>1</v>
      </c>
      <c r="AU234" s="139" t="b">
        <f t="shared" si="332"/>
        <v>1</v>
      </c>
      <c r="AV234" s="139" t="b">
        <f t="shared" si="333"/>
        <v>1</v>
      </c>
      <c r="AW234" s="139" t="b">
        <f t="shared" si="334"/>
        <v>1</v>
      </c>
      <c r="AX234" s="139" t="b">
        <f t="shared" si="335"/>
        <v>1</v>
      </c>
      <c r="AY234" s="139" t="b">
        <f t="shared" si="336"/>
        <v>0</v>
      </c>
      <c r="AZ234" s="139" t="str">
        <f>'Reference Score Calculation'!AV211</f>
        <v>無</v>
      </c>
      <c r="BA234" s="93" t="str">
        <f>'Reference Score Calculation'!N211</f>
        <v>/</v>
      </c>
      <c r="BB234" s="93" t="str">
        <f>'Reference Score Calculation'!O211</f>
        <v>/</v>
      </c>
      <c r="BC234" s="93"/>
      <c r="BD234" s="93"/>
      <c r="BE234" s="93"/>
      <c r="BF234" s="93"/>
      <c r="BG234" s="93" t="s">
        <v>64</v>
      </c>
      <c r="BH234" s="93"/>
      <c r="BI234" s="93"/>
      <c r="BJ234" s="93"/>
      <c r="BK234" s="93"/>
      <c r="BL234" s="93"/>
      <c r="BM234" s="93"/>
      <c r="BN234" s="93"/>
      <c r="BO234" s="93"/>
      <c r="BP234" s="93"/>
      <c r="BQ234" s="93"/>
      <c r="BR234" s="93"/>
    </row>
    <row r="235" spans="1:97">
      <c r="A235" s="139" t="s">
        <v>1383</v>
      </c>
      <c r="B235" s="183" t="str">
        <f>'Reference Score Calculation'!B212</f>
        <v>JS4886</v>
      </c>
      <c r="C235" s="183" t="str">
        <f>'Reference Score Calculation'!E212</f>
        <v>社會學</v>
      </c>
      <c r="D235" s="183"/>
      <c r="E235" s="183" t="str">
        <f>'Reference Score Calculation'!F212</f>
        <v>Best 5</v>
      </c>
      <c r="F235" s="93"/>
      <c r="G235" s="93" t="str">
        <f>入學要求!AB221</f>
        <v>v</v>
      </c>
      <c r="H235" s="93" t="str">
        <f>入學要求!AC221</f>
        <v>E</v>
      </c>
      <c r="I235" s="93" t="str">
        <f>入學要求!AD221</f>
        <v>NO</v>
      </c>
      <c r="J235" s="183">
        <f t="shared" si="288"/>
        <v>3.4999999999999999E-9</v>
      </c>
      <c r="K235" s="435">
        <v>1</v>
      </c>
      <c r="L235" s="435">
        <v>1.5</v>
      </c>
      <c r="M235" s="435">
        <v>1</v>
      </c>
      <c r="N235" s="435"/>
      <c r="O235" s="435">
        <v>1</v>
      </c>
      <c r="P235" s="435">
        <v>1</v>
      </c>
      <c r="Q235" s="435">
        <v>1</v>
      </c>
      <c r="R235" s="435">
        <v>1</v>
      </c>
      <c r="S235" s="435">
        <v>1</v>
      </c>
      <c r="T235" s="435">
        <v>1</v>
      </c>
      <c r="U235" s="93"/>
      <c r="V235" s="139">
        <f t="shared" si="319"/>
        <v>1E-10</v>
      </c>
      <c r="W235" s="139">
        <f t="shared" si="320"/>
        <v>3E-10</v>
      </c>
      <c r="X235" s="139">
        <f t="shared" si="321"/>
        <v>3E-10</v>
      </c>
      <c r="Y235" s="139"/>
      <c r="Z235" s="139">
        <f t="shared" si="322"/>
        <v>5.0000000000000003E-10</v>
      </c>
      <c r="AA235" s="139">
        <f t="shared" si="323"/>
        <v>6E-10</v>
      </c>
      <c r="AB235" s="139">
        <f t="shared" si="324"/>
        <v>6.9999999999999996E-10</v>
      </c>
      <c r="AC235" s="139">
        <f t="shared" si="325"/>
        <v>8.0000000000000003E-10</v>
      </c>
      <c r="AD235" s="139">
        <f t="shared" si="326"/>
        <v>8.9999999999999999E-10</v>
      </c>
      <c r="AE235" s="139">
        <f t="shared" si="327"/>
        <v>0</v>
      </c>
      <c r="AF235" s="117">
        <f t="shared" si="339"/>
        <v>1E-10</v>
      </c>
      <c r="AG235" s="117">
        <f t="shared" si="340"/>
        <v>3E-10</v>
      </c>
      <c r="AH235" s="117">
        <f t="shared" si="341"/>
        <v>3E-10</v>
      </c>
      <c r="AI235" s="117">
        <f t="shared" si="342"/>
        <v>0</v>
      </c>
      <c r="AJ235" s="117">
        <f t="shared" si="343"/>
        <v>5.0000000000000003E-10</v>
      </c>
      <c r="AK235" s="117">
        <f t="shared" si="344"/>
        <v>6E-10</v>
      </c>
      <c r="AL235" s="117">
        <f t="shared" si="345"/>
        <v>6.9999999999999996E-10</v>
      </c>
      <c r="AM235" s="117">
        <f t="shared" si="346"/>
        <v>8.0000000000000003E-10</v>
      </c>
      <c r="AN235" s="117">
        <f t="shared" si="347"/>
        <v>8.9999999999999999E-10</v>
      </c>
      <c r="AO235" s="117">
        <f t="shared" si="348"/>
        <v>0</v>
      </c>
      <c r="AP235" s="139" t="b">
        <f t="shared" si="328"/>
        <v>0</v>
      </c>
      <c r="AQ235" s="139" t="b">
        <f t="shared" si="329"/>
        <v>0</v>
      </c>
      <c r="AR235" s="139" t="b">
        <f t="shared" si="330"/>
        <v>0</v>
      </c>
      <c r="AS235" s="139"/>
      <c r="AT235" s="139" t="b">
        <f t="shared" si="331"/>
        <v>1</v>
      </c>
      <c r="AU235" s="139" t="b">
        <f t="shared" si="332"/>
        <v>1</v>
      </c>
      <c r="AV235" s="139" t="b">
        <f t="shared" si="333"/>
        <v>1</v>
      </c>
      <c r="AW235" s="139" t="b">
        <f t="shared" si="334"/>
        <v>1</v>
      </c>
      <c r="AX235" s="139" t="b">
        <f t="shared" si="335"/>
        <v>1</v>
      </c>
      <c r="AY235" s="139" t="b">
        <f t="shared" si="336"/>
        <v>0</v>
      </c>
      <c r="AZ235" s="139" t="str">
        <f>'Reference Score Calculation'!AV212</f>
        <v>無</v>
      </c>
      <c r="BA235" s="93" t="str">
        <f>'Reference Score Calculation'!N212</f>
        <v>/</v>
      </c>
      <c r="BB235" s="93" t="str">
        <f>'Reference Score Calculation'!O212</f>
        <v>/</v>
      </c>
      <c r="BC235" s="93"/>
      <c r="BD235" s="93"/>
      <c r="BE235" s="93"/>
      <c r="BF235" s="93"/>
      <c r="BG235" s="93" t="s">
        <v>64</v>
      </c>
      <c r="BH235" s="93"/>
      <c r="BI235" s="93"/>
      <c r="BJ235" s="93"/>
      <c r="BK235" s="93"/>
      <c r="BL235" s="93"/>
      <c r="BM235" s="93"/>
      <c r="BN235" s="93"/>
      <c r="BO235" s="93"/>
      <c r="BP235" s="93"/>
      <c r="BQ235" s="93"/>
      <c r="BR235" s="93"/>
    </row>
    <row r="236" spans="1:97">
      <c r="A236" s="139" t="s">
        <v>1386</v>
      </c>
      <c r="B236" s="183" t="str">
        <f>'Reference Score Calculation'!B213</f>
        <v>JS4892</v>
      </c>
      <c r="C236" s="183" t="str">
        <f>'Reference Score Calculation'!E213</f>
        <v>全球研究</v>
      </c>
      <c r="D236" s="183"/>
      <c r="E236" s="183" t="str">
        <f>'Reference Score Calculation'!F213</f>
        <v>Best 5</v>
      </c>
      <c r="F236" s="93"/>
      <c r="G236" s="93" t="str">
        <f>入學要求!AB222</f>
        <v>v</v>
      </c>
      <c r="H236" s="93" t="str">
        <f>入學要求!AC222</f>
        <v>E</v>
      </c>
      <c r="I236" s="93" t="str">
        <f>入學要求!AD222</f>
        <v>NO</v>
      </c>
      <c r="J236" s="183">
        <f t="shared" si="288"/>
        <v>3.4999999999999999E-9</v>
      </c>
      <c r="K236" s="435">
        <v>1</v>
      </c>
      <c r="L236" s="435">
        <v>1.5</v>
      </c>
      <c r="M236" s="435">
        <v>1</v>
      </c>
      <c r="N236" s="435"/>
      <c r="O236" s="435">
        <v>1</v>
      </c>
      <c r="P236" s="435">
        <v>1</v>
      </c>
      <c r="Q236" s="435">
        <v>1</v>
      </c>
      <c r="R236" s="435">
        <v>1</v>
      </c>
      <c r="S236" s="435">
        <v>1</v>
      </c>
      <c r="T236" s="435">
        <v>1</v>
      </c>
      <c r="U236" s="93"/>
      <c r="V236" s="139">
        <f t="shared" si="319"/>
        <v>1E-10</v>
      </c>
      <c r="W236" s="139">
        <f t="shared" si="320"/>
        <v>3E-10</v>
      </c>
      <c r="X236" s="139">
        <f t="shared" si="321"/>
        <v>3E-10</v>
      </c>
      <c r="Y236" s="139"/>
      <c r="Z236" s="139">
        <f t="shared" si="322"/>
        <v>5.0000000000000003E-10</v>
      </c>
      <c r="AA236" s="139">
        <f t="shared" si="323"/>
        <v>6E-10</v>
      </c>
      <c r="AB236" s="139">
        <f t="shared" si="324"/>
        <v>6.9999999999999996E-10</v>
      </c>
      <c r="AC236" s="139">
        <f t="shared" si="325"/>
        <v>8.0000000000000003E-10</v>
      </c>
      <c r="AD236" s="139">
        <f t="shared" si="326"/>
        <v>8.9999999999999999E-10</v>
      </c>
      <c r="AE236" s="139">
        <f t="shared" si="327"/>
        <v>0</v>
      </c>
      <c r="AF236" s="117">
        <f t="shared" si="339"/>
        <v>1E-10</v>
      </c>
      <c r="AG236" s="117">
        <f t="shared" si="340"/>
        <v>3E-10</v>
      </c>
      <c r="AH236" s="117">
        <f t="shared" si="341"/>
        <v>3E-10</v>
      </c>
      <c r="AI236" s="117">
        <f t="shared" si="342"/>
        <v>0</v>
      </c>
      <c r="AJ236" s="117">
        <f t="shared" si="343"/>
        <v>5.0000000000000003E-10</v>
      </c>
      <c r="AK236" s="117">
        <f t="shared" si="344"/>
        <v>6E-10</v>
      </c>
      <c r="AL236" s="117">
        <f t="shared" si="345"/>
        <v>6.9999999999999996E-10</v>
      </c>
      <c r="AM236" s="117">
        <f t="shared" si="346"/>
        <v>8.0000000000000003E-10</v>
      </c>
      <c r="AN236" s="117">
        <f t="shared" si="347"/>
        <v>8.9999999999999999E-10</v>
      </c>
      <c r="AO236" s="117">
        <f t="shared" si="348"/>
        <v>0</v>
      </c>
      <c r="AP236" s="139" t="b">
        <f t="shared" si="328"/>
        <v>0</v>
      </c>
      <c r="AQ236" s="139" t="b">
        <f t="shared" si="329"/>
        <v>0</v>
      </c>
      <c r="AR236" s="139" t="b">
        <f t="shared" si="330"/>
        <v>0</v>
      </c>
      <c r="AS236" s="139"/>
      <c r="AT236" s="139" t="b">
        <f t="shared" si="331"/>
        <v>1</v>
      </c>
      <c r="AU236" s="139" t="b">
        <f t="shared" si="332"/>
        <v>1</v>
      </c>
      <c r="AV236" s="139" t="b">
        <f t="shared" si="333"/>
        <v>1</v>
      </c>
      <c r="AW236" s="139" t="b">
        <f t="shared" si="334"/>
        <v>1</v>
      </c>
      <c r="AX236" s="139" t="b">
        <f t="shared" si="335"/>
        <v>1</v>
      </c>
      <c r="AY236" s="139" t="b">
        <f t="shared" si="336"/>
        <v>0</v>
      </c>
      <c r="AZ236" s="139" t="str">
        <f>'Reference Score Calculation'!AV213</f>
        <v>無</v>
      </c>
      <c r="BA236" s="93" t="str">
        <f>'Reference Score Calculation'!N213</f>
        <v>/</v>
      </c>
      <c r="BB236" s="93" t="str">
        <f>'Reference Score Calculation'!O213</f>
        <v>/</v>
      </c>
      <c r="BC236" s="93"/>
      <c r="BD236" s="93"/>
      <c r="BE236" s="93"/>
      <c r="BF236" s="93"/>
      <c r="BG236" s="93" t="s">
        <v>64</v>
      </c>
      <c r="BH236" s="93"/>
      <c r="BI236" s="93"/>
      <c r="BJ236" s="93"/>
      <c r="BK236" s="93"/>
      <c r="BL236" s="93"/>
      <c r="BM236" s="93"/>
      <c r="BN236" s="93"/>
      <c r="BO236" s="93"/>
      <c r="BP236" s="93"/>
      <c r="BQ236" s="93"/>
      <c r="BR236" s="93"/>
    </row>
    <row r="237" spans="1:97">
      <c r="A237" s="139" t="s">
        <v>1389</v>
      </c>
      <c r="B237" s="183" t="str">
        <f>'Reference Score Calculation'!B214</f>
        <v>JS4893</v>
      </c>
      <c r="C237" s="183" t="str">
        <f>'Reference Score Calculation'!E214</f>
        <v>數據科學與政策研究</v>
      </c>
      <c r="D237" s="183"/>
      <c r="E237" s="183" t="str">
        <f>'Reference Score Calculation'!F214</f>
        <v>Best 5</v>
      </c>
      <c r="F237" s="93"/>
      <c r="G237" s="93" t="str">
        <f>入學要求!AB223</f>
        <v>v</v>
      </c>
      <c r="H237" s="93" t="str">
        <f>入學要求!AC223</f>
        <v>E</v>
      </c>
      <c r="I237" s="93" t="str">
        <f>入學要求!AD223</f>
        <v>NO</v>
      </c>
      <c r="J237" s="183">
        <f t="shared" si="288"/>
        <v>3.4999999999999999E-9</v>
      </c>
      <c r="K237" s="435">
        <v>1</v>
      </c>
      <c r="L237" s="435">
        <v>1</v>
      </c>
      <c r="M237" s="435">
        <v>1</v>
      </c>
      <c r="N237" s="435"/>
      <c r="O237" s="435">
        <v>1</v>
      </c>
      <c r="P237" s="435">
        <v>1</v>
      </c>
      <c r="Q237" s="435">
        <v>1</v>
      </c>
      <c r="R237" s="435">
        <v>1</v>
      </c>
      <c r="S237" s="435">
        <v>1</v>
      </c>
      <c r="T237" s="435">
        <v>1</v>
      </c>
      <c r="U237" s="93"/>
      <c r="V237" s="139">
        <f t="shared" si="319"/>
        <v>1E-10</v>
      </c>
      <c r="W237" s="139">
        <f t="shared" si="320"/>
        <v>2.0000000000000001E-10</v>
      </c>
      <c r="X237" s="139">
        <f t="shared" si="321"/>
        <v>3E-10</v>
      </c>
      <c r="Y237" s="139"/>
      <c r="Z237" s="139">
        <f t="shared" si="322"/>
        <v>5.0000000000000003E-10</v>
      </c>
      <c r="AA237" s="139">
        <f t="shared" si="323"/>
        <v>6E-10</v>
      </c>
      <c r="AB237" s="139">
        <f t="shared" si="324"/>
        <v>6.9999999999999996E-10</v>
      </c>
      <c r="AC237" s="139">
        <f t="shared" si="325"/>
        <v>8.0000000000000003E-10</v>
      </c>
      <c r="AD237" s="139">
        <f t="shared" si="326"/>
        <v>8.9999999999999999E-10</v>
      </c>
      <c r="AE237" s="139">
        <f t="shared" si="327"/>
        <v>0</v>
      </c>
      <c r="AF237" s="117">
        <f t="shared" si="339"/>
        <v>1E-10</v>
      </c>
      <c r="AG237" s="117">
        <f t="shared" si="340"/>
        <v>2.0000000000000001E-10</v>
      </c>
      <c r="AH237" s="117">
        <f t="shared" si="341"/>
        <v>3E-10</v>
      </c>
      <c r="AI237" s="117">
        <f t="shared" si="342"/>
        <v>0</v>
      </c>
      <c r="AJ237" s="117">
        <f t="shared" si="343"/>
        <v>5.0000000000000003E-10</v>
      </c>
      <c r="AK237" s="117">
        <f t="shared" si="344"/>
        <v>6E-10</v>
      </c>
      <c r="AL237" s="117">
        <f t="shared" si="345"/>
        <v>6.9999999999999996E-10</v>
      </c>
      <c r="AM237" s="117">
        <f t="shared" si="346"/>
        <v>8.0000000000000003E-10</v>
      </c>
      <c r="AN237" s="117">
        <f t="shared" si="347"/>
        <v>8.9999999999999999E-10</v>
      </c>
      <c r="AO237" s="117">
        <f t="shared" si="348"/>
        <v>0</v>
      </c>
      <c r="AP237" s="139" t="b">
        <f t="shared" si="328"/>
        <v>0</v>
      </c>
      <c r="AQ237" s="139" t="b">
        <f t="shared" si="329"/>
        <v>0</v>
      </c>
      <c r="AR237" s="139" t="b">
        <f t="shared" si="330"/>
        <v>0</v>
      </c>
      <c r="AS237" s="139"/>
      <c r="AT237" s="139" t="b">
        <f t="shared" si="331"/>
        <v>1</v>
      </c>
      <c r="AU237" s="139" t="b">
        <f t="shared" si="332"/>
        <v>1</v>
      </c>
      <c r="AV237" s="139" t="b">
        <f t="shared" si="333"/>
        <v>1</v>
      </c>
      <c r="AW237" s="139" t="b">
        <f t="shared" si="334"/>
        <v>1</v>
      </c>
      <c r="AX237" s="139" t="b">
        <f t="shared" si="335"/>
        <v>1</v>
      </c>
      <c r="AY237" s="139" t="b">
        <f t="shared" si="336"/>
        <v>0</v>
      </c>
      <c r="AZ237" s="139" t="str">
        <f>'Reference Score Calculation'!AV214</f>
        <v>無</v>
      </c>
      <c r="BA237" s="93" t="str">
        <f>'Reference Score Calculation'!N214</f>
        <v>/</v>
      </c>
      <c r="BB237" s="93" t="str">
        <f>'Reference Score Calculation'!O214</f>
        <v>/</v>
      </c>
      <c r="BC237" s="93"/>
      <c r="BD237" s="93"/>
      <c r="BE237" s="93"/>
      <c r="BF237" s="93"/>
      <c r="BG237" s="93" t="s">
        <v>64</v>
      </c>
      <c r="BH237" s="93"/>
      <c r="BI237" s="93"/>
      <c r="BJ237" s="93"/>
      <c r="BK237" s="93"/>
      <c r="BL237" s="93"/>
      <c r="BM237" s="93"/>
      <c r="BN237" s="93"/>
      <c r="BO237" s="93"/>
      <c r="BP237" s="93"/>
      <c r="BQ237" s="93"/>
      <c r="BR237" s="93"/>
    </row>
    <row r="238" spans="1:97">
      <c r="A238" s="139" t="s">
        <v>1392</v>
      </c>
      <c r="B238" s="183" t="str">
        <f>'Reference Score Calculation'!B215</f>
        <v>JS4903</v>
      </c>
      <c r="C238" s="183" t="str">
        <f>'Reference Score Calculation'!E215</f>
        <v>法學士</v>
      </c>
      <c r="D238" s="183"/>
      <c r="E238" s="183" t="str">
        <f>'Reference Score Calculation'!F215</f>
        <v>3C2X</v>
      </c>
      <c r="F238" s="93"/>
      <c r="G238" s="93" t="str">
        <f>入學要求!AB224</f>
        <v>v</v>
      </c>
      <c r="H238" s="93" t="str">
        <f>入學要求!AC224</f>
        <v>E</v>
      </c>
      <c r="I238" s="93" t="str">
        <f>入學要求!AD224</f>
        <v>NO</v>
      </c>
      <c r="J238" s="183">
        <f t="shared" si="288"/>
        <v>3.4999999999999999E-9</v>
      </c>
      <c r="K238" s="435">
        <v>1</v>
      </c>
      <c r="L238" s="435">
        <v>2</v>
      </c>
      <c r="M238" s="435">
        <v>1</v>
      </c>
      <c r="N238" s="435"/>
      <c r="O238" s="435">
        <v>1</v>
      </c>
      <c r="P238" s="435">
        <v>1</v>
      </c>
      <c r="Q238" s="435">
        <v>1</v>
      </c>
      <c r="R238" s="435">
        <v>1</v>
      </c>
      <c r="S238" s="435">
        <v>1</v>
      </c>
      <c r="T238" s="435">
        <v>1</v>
      </c>
      <c r="U238" s="93"/>
      <c r="V238" s="139">
        <f t="shared" si="319"/>
        <v>1E-10</v>
      </c>
      <c r="W238" s="139">
        <f t="shared" si="320"/>
        <v>4.0000000000000001E-10</v>
      </c>
      <c r="X238" s="139">
        <f t="shared" si="321"/>
        <v>3E-10</v>
      </c>
      <c r="Y238" s="139"/>
      <c r="Z238" s="139">
        <f t="shared" si="322"/>
        <v>5.0000000000000003E-10</v>
      </c>
      <c r="AA238" s="139">
        <f t="shared" si="323"/>
        <v>6E-10</v>
      </c>
      <c r="AB238" s="139">
        <f t="shared" si="324"/>
        <v>6.9999999999999996E-10</v>
      </c>
      <c r="AC238" s="139">
        <f t="shared" si="325"/>
        <v>8.0000000000000003E-10</v>
      </c>
      <c r="AD238" s="139">
        <f t="shared" si="326"/>
        <v>8.9999999999999999E-10</v>
      </c>
      <c r="AE238" s="139">
        <f t="shared" si="327"/>
        <v>0</v>
      </c>
      <c r="AF238" s="117">
        <f t="shared" si="339"/>
        <v>1E-10</v>
      </c>
      <c r="AG238" s="117">
        <f t="shared" si="340"/>
        <v>4.0000000000000001E-10</v>
      </c>
      <c r="AH238" s="117">
        <f t="shared" si="341"/>
        <v>3E-10</v>
      </c>
      <c r="AI238" s="117">
        <f t="shared" si="342"/>
        <v>0</v>
      </c>
      <c r="AJ238" s="117">
        <f t="shared" si="343"/>
        <v>5.0000000000000003E-10</v>
      </c>
      <c r="AK238" s="117">
        <f t="shared" si="344"/>
        <v>6E-10</v>
      </c>
      <c r="AL238" s="117">
        <f t="shared" si="345"/>
        <v>6.9999999999999996E-10</v>
      </c>
      <c r="AM238" s="117">
        <f t="shared" si="346"/>
        <v>8.0000000000000003E-10</v>
      </c>
      <c r="AN238" s="117">
        <f t="shared" si="347"/>
        <v>8.9999999999999999E-10</v>
      </c>
      <c r="AO238" s="117">
        <f t="shared" si="348"/>
        <v>0</v>
      </c>
      <c r="AP238" s="139" t="b">
        <f t="shared" si="328"/>
        <v>0</v>
      </c>
      <c r="AQ238" s="139" t="b">
        <f t="shared" si="329"/>
        <v>0</v>
      </c>
      <c r="AR238" s="139" t="b">
        <f t="shared" si="330"/>
        <v>0</v>
      </c>
      <c r="AS238" s="139"/>
      <c r="AT238" s="139" t="b">
        <f t="shared" si="331"/>
        <v>1</v>
      </c>
      <c r="AU238" s="139" t="b">
        <f t="shared" si="332"/>
        <v>1</v>
      </c>
      <c r="AV238" s="139" t="b">
        <f t="shared" si="333"/>
        <v>1</v>
      </c>
      <c r="AW238" s="139" t="b">
        <f t="shared" si="334"/>
        <v>1</v>
      </c>
      <c r="AX238" s="139" t="b">
        <f t="shared" si="335"/>
        <v>1</v>
      </c>
      <c r="AY238" s="139" t="b">
        <f t="shared" si="336"/>
        <v>0</v>
      </c>
      <c r="AZ238" s="139" t="str">
        <f>'Reference Score Calculation'!AV215</f>
        <v>5%或更少(全Cert)</v>
      </c>
      <c r="BA238" s="93" t="str">
        <f>'Reference Score Calculation'!N215</f>
        <v>/</v>
      </c>
      <c r="BB238" s="93" t="str">
        <f>'Reference Score Calculation'!O215</f>
        <v>/</v>
      </c>
      <c r="BC238" s="93"/>
      <c r="BD238" s="93"/>
      <c r="BE238" s="93"/>
      <c r="BF238" s="93"/>
      <c r="BG238" s="93" t="s">
        <v>64</v>
      </c>
      <c r="BH238" s="93"/>
      <c r="BI238" s="93"/>
      <c r="BJ238" s="93"/>
      <c r="BK238" s="93"/>
      <c r="BL238" s="93"/>
      <c r="BM238" s="93"/>
      <c r="BN238" s="93"/>
      <c r="BO238" s="93"/>
      <c r="BP238" s="93"/>
      <c r="BQ238" s="93"/>
      <c r="BR238" s="93"/>
    </row>
    <row r="239" spans="1:97">
      <c r="A239" s="139"/>
      <c r="C239" s="358" t="s">
        <v>3090</v>
      </c>
      <c r="E239" s="117"/>
      <c r="F239" s="117"/>
      <c r="BA239" s="93"/>
      <c r="BB239" s="93"/>
      <c r="BC239" s="93"/>
      <c r="BD239" s="93"/>
      <c r="BE239" s="93"/>
      <c r="BF239" s="93"/>
      <c r="BG239" s="93"/>
      <c r="BH239" s="93" t="s">
        <v>2959</v>
      </c>
      <c r="BI239" s="93"/>
      <c r="BJ239" s="93"/>
      <c r="BK239" s="93"/>
      <c r="BL239" s="93"/>
      <c r="BM239" s="93"/>
      <c r="BN239" s="93"/>
      <c r="BO239" s="93"/>
      <c r="BP239" s="93"/>
      <c r="BQ239" s="93"/>
      <c r="BR239" s="93"/>
      <c r="BS239" s="123" t="s">
        <v>229</v>
      </c>
      <c r="BT239" s="121" t="s">
        <v>270</v>
      </c>
      <c r="BU239" s="102"/>
      <c r="BV239" s="115"/>
      <c r="BW239" s="115"/>
      <c r="BX239" s="115"/>
      <c r="BY239" s="115"/>
      <c r="BZ239" s="115"/>
      <c r="CA239" s="115"/>
      <c r="CB239" s="115"/>
      <c r="CC239" s="115"/>
      <c r="CD239" s="115"/>
      <c r="CE239" s="115"/>
      <c r="CF239" s="115"/>
      <c r="CG239" s="115"/>
      <c r="CH239" s="115"/>
      <c r="CI239" s="115"/>
      <c r="CJ239" s="115"/>
      <c r="CK239" s="115"/>
      <c r="CL239" s="115"/>
      <c r="CM239" s="115"/>
      <c r="CN239" s="115"/>
      <c r="CO239" s="115"/>
      <c r="CP239" s="115"/>
      <c r="CQ239" s="115"/>
      <c r="CR239" s="115"/>
      <c r="CS239" s="115"/>
    </row>
    <row r="240" spans="1:97">
      <c r="A240" s="139"/>
      <c r="B240" s="141" t="s">
        <v>337</v>
      </c>
      <c r="C240" s="372"/>
      <c r="D240" s="141"/>
      <c r="E240" s="145"/>
      <c r="F240" s="400"/>
      <c r="G240" s="19" t="s">
        <v>267</v>
      </c>
      <c r="H240" s="19" t="s">
        <v>268</v>
      </c>
      <c r="I240" s="19" t="s">
        <v>269</v>
      </c>
      <c r="J240" s="130" t="s">
        <v>217</v>
      </c>
      <c r="K240" s="130" t="s">
        <v>246</v>
      </c>
      <c r="L240" s="130" t="s">
        <v>247</v>
      </c>
      <c r="M240" s="130" t="s">
        <v>248</v>
      </c>
      <c r="N240" s="130"/>
      <c r="O240" s="130" t="s">
        <v>250</v>
      </c>
      <c r="P240" s="130" t="s">
        <v>251</v>
      </c>
      <c r="Q240" s="130" t="s">
        <v>252</v>
      </c>
      <c r="R240" s="130" t="s">
        <v>253</v>
      </c>
      <c r="S240" s="130" t="s">
        <v>254</v>
      </c>
      <c r="T240" s="130" t="s">
        <v>288</v>
      </c>
      <c r="U240" s="141"/>
      <c r="V240" s="130" t="str">
        <f t="shared" ref="V240:AE240" si="349">K$1</f>
        <v>中國語文</v>
      </c>
      <c r="W240" s="130" t="str">
        <f t="shared" si="349"/>
        <v>英國語文</v>
      </c>
      <c r="X240" s="130" t="str">
        <f t="shared" si="349"/>
        <v>數學</v>
      </c>
      <c r="Y240" s="130"/>
      <c r="Z240" s="130" t="str">
        <f t="shared" si="349"/>
        <v>數學延伸</v>
      </c>
      <c r="AA240" s="130" t="str">
        <f t="shared" si="349"/>
        <v>請選擇第一選修科</v>
      </c>
      <c r="AB240" s="130" t="str">
        <f t="shared" si="349"/>
        <v>請選擇第二選修科</v>
      </c>
      <c r="AC240" s="130" t="str">
        <f t="shared" si="349"/>
        <v>請選擇第三選修科</v>
      </c>
      <c r="AD240" s="130" t="str">
        <f t="shared" si="349"/>
        <v>請選擇第四選修科</v>
      </c>
      <c r="AE240" s="130" t="str">
        <f t="shared" si="349"/>
        <v>請選擇語言科目</v>
      </c>
      <c r="AF240" s="117" t="str">
        <f>V240</f>
        <v>中國語文</v>
      </c>
      <c r="AG240" s="117" t="str">
        <f>W240</f>
        <v>英國語文</v>
      </c>
      <c r="AH240" s="117" t="str">
        <f>X240</f>
        <v>數學</v>
      </c>
      <c r="AJ240" s="117" t="str">
        <f t="shared" ref="AJ240:AO240" si="350">Z240</f>
        <v>數學延伸</v>
      </c>
      <c r="AK240" s="117" t="str">
        <f t="shared" si="350"/>
        <v>請選擇第一選修科</v>
      </c>
      <c r="AL240" s="117" t="str">
        <f t="shared" si="350"/>
        <v>請選擇第二選修科</v>
      </c>
      <c r="AM240" s="117" t="str">
        <f t="shared" si="350"/>
        <v>請選擇第三選修科</v>
      </c>
      <c r="AN240" s="117" t="str">
        <f t="shared" si="350"/>
        <v>請選擇第四選修科</v>
      </c>
      <c r="AO240" s="117" t="str">
        <f t="shared" si="350"/>
        <v>請選擇語言科目</v>
      </c>
      <c r="AP240" s="130" t="s">
        <v>256</v>
      </c>
      <c r="AQ240" s="130" t="s">
        <v>257</v>
      </c>
      <c r="AR240" s="130" t="s">
        <v>258</v>
      </c>
      <c r="AS240" s="130"/>
      <c r="AT240" s="130" t="s">
        <v>259</v>
      </c>
      <c r="AU240" s="130" t="s">
        <v>260</v>
      </c>
      <c r="AV240" s="130" t="s">
        <v>261</v>
      </c>
      <c r="AW240" s="130" t="s">
        <v>262</v>
      </c>
      <c r="AX240" s="130" t="s">
        <v>263</v>
      </c>
      <c r="AY240" s="130" t="s">
        <v>289</v>
      </c>
      <c r="AZ240" s="142"/>
      <c r="BA240" s="93"/>
      <c r="BB240" s="93"/>
      <c r="BC240" s="93" t="s">
        <v>3126</v>
      </c>
      <c r="BD240" s="93" t="s">
        <v>3126</v>
      </c>
      <c r="BE240" s="93" t="s">
        <v>3127</v>
      </c>
      <c r="BF240" s="93" t="s">
        <v>3314</v>
      </c>
      <c r="BG240" s="93"/>
      <c r="BH240" s="93" t="str">
        <f t="shared" ref="BH240:BQ240" si="351">K1</f>
        <v>中國語文</v>
      </c>
      <c r="BI240" s="93" t="str">
        <f t="shared" si="351"/>
        <v>英國語文</v>
      </c>
      <c r="BJ240" s="93" t="str">
        <f t="shared" si="351"/>
        <v>數學</v>
      </c>
      <c r="BK240" s="93" t="str">
        <f t="shared" si="351"/>
        <v>公社科</v>
      </c>
      <c r="BL240" s="93" t="str">
        <f t="shared" si="351"/>
        <v>數學延伸</v>
      </c>
      <c r="BM240" s="93" t="str">
        <f t="shared" si="351"/>
        <v>請選擇第一選修科</v>
      </c>
      <c r="BN240" s="93" t="str">
        <f t="shared" si="351"/>
        <v>請選擇第二選修科</v>
      </c>
      <c r="BO240" s="93" t="str">
        <f t="shared" si="351"/>
        <v>請選擇第三選修科</v>
      </c>
      <c r="BP240" s="93" t="str">
        <f t="shared" si="351"/>
        <v>請選擇第四選修科</v>
      </c>
      <c r="BQ240" s="93" t="str">
        <f t="shared" si="351"/>
        <v>請選擇語言科目</v>
      </c>
      <c r="BR240" s="93"/>
      <c r="BS240" s="115"/>
      <c r="BT240" s="101"/>
      <c r="BU240" s="102"/>
      <c r="BV240" s="115"/>
      <c r="BW240" s="115"/>
      <c r="BX240" s="115"/>
      <c r="BY240" s="115"/>
      <c r="BZ240" s="115"/>
      <c r="CA240" s="115"/>
      <c r="CB240" s="115"/>
      <c r="CC240" s="115"/>
      <c r="CD240" s="115"/>
      <c r="CE240" s="115"/>
      <c r="CF240" s="115"/>
      <c r="CG240" s="115"/>
      <c r="CH240" s="115"/>
      <c r="CI240" s="115"/>
      <c r="CJ240" s="115"/>
      <c r="CK240" s="115"/>
      <c r="CL240" s="115"/>
      <c r="CM240" s="115"/>
      <c r="CN240" s="115"/>
      <c r="CO240" s="115"/>
      <c r="CP240" s="115"/>
      <c r="CQ240" s="115"/>
      <c r="CR240" s="115"/>
      <c r="CS240" s="115"/>
    </row>
    <row r="241" spans="1:97" s="142" customFormat="1">
      <c r="A241" s="139"/>
      <c r="B241" s="117" t="str">
        <f>'Reference Score Calculation'!B218</f>
        <v>JS5101</v>
      </c>
      <c r="C241" s="117" t="str">
        <f>'Reference Score Calculation'!E218</f>
        <v>國際科研</v>
      </c>
      <c r="D241" s="117" t="e">
        <f>'Reference Score Calculation'!#REF!</f>
        <v>#REF!</v>
      </c>
      <c r="E241" s="117" t="str">
        <f>'Reference Score Calculation'!F218</f>
        <v>英數Best3</v>
      </c>
      <c r="F241" s="117"/>
      <c r="G241" s="117" t="str">
        <f>入學要求!AB227</f>
        <v>v</v>
      </c>
      <c r="H241" s="117" t="str">
        <f>入學要求!AC227</f>
        <v>NO</v>
      </c>
      <c r="I241" s="117" t="str">
        <f>入學要求!AD227</f>
        <v>NO</v>
      </c>
      <c r="J241" s="117">
        <f t="shared" ref="J241:J273" si="352">SUMIF(AP241:AY241,TRUE,V241:AE241)*BE241</f>
        <v>2.5000000000000001E-9</v>
      </c>
      <c r="K241" s="117">
        <v>1</v>
      </c>
      <c r="L241" s="117">
        <v>1</v>
      </c>
      <c r="M241" s="117">
        <v>1</v>
      </c>
      <c r="N241" s="117"/>
      <c r="O241" s="117">
        <v>1</v>
      </c>
      <c r="P241" s="117">
        <v>1</v>
      </c>
      <c r="Q241" s="117">
        <v>1</v>
      </c>
      <c r="R241" s="117">
        <v>1</v>
      </c>
      <c r="S241" s="117">
        <v>1</v>
      </c>
      <c r="T241" s="117">
        <v>1</v>
      </c>
      <c r="U241" s="117"/>
      <c r="V241" s="117">
        <f t="shared" ref="V241:V273" si="353">K$7*K241</f>
        <v>1E-10</v>
      </c>
      <c r="W241" s="117">
        <f t="shared" ref="W241:W273" si="354">L$7*L241</f>
        <v>2.0000000000000001E-10</v>
      </c>
      <c r="X241" s="117">
        <f t="shared" ref="X241:X273" si="355">M$7*M241</f>
        <v>3E-10</v>
      </c>
      <c r="Y241" s="117"/>
      <c r="Z241" s="117">
        <f t="shared" ref="Z241:Z273" si="356">IF(G241="v",O$7*O241,0)</f>
        <v>5.0000000000000003E-10</v>
      </c>
      <c r="AA241" s="117">
        <f t="shared" ref="AA241:AA273" si="357">P$7*P241</f>
        <v>6E-10</v>
      </c>
      <c r="AB241" s="117">
        <f t="shared" ref="AB241:AB273" si="358">Q$7*Q241</f>
        <v>6.9999999999999996E-10</v>
      </c>
      <c r="AC241" s="117">
        <f t="shared" ref="AC241:AC273" si="359">R$7*R241</f>
        <v>8.0000000000000003E-10</v>
      </c>
      <c r="AD241" s="117">
        <f t="shared" ref="AD241:AD273" si="360">S$7*S241</f>
        <v>8.9999999999999999E-10</v>
      </c>
      <c r="AE241" s="117">
        <f>IF(H241="C",T$7*T241,0)</f>
        <v>0</v>
      </c>
      <c r="AF241" s="117">
        <f t="shared" ref="AF241:AF273" si="361">IF(BH241=TRUE,V241+99,V241)</f>
        <v>1E-10</v>
      </c>
      <c r="AG241" s="117">
        <f t="shared" ref="AG241:AG273" si="362">IF(BI241=TRUE,W241+99,W241)</f>
        <v>99.000000000200004</v>
      </c>
      <c r="AH241" s="117">
        <f t="shared" ref="AH241:AH273" si="363">IF(BJ241=TRUE,X241+99,X241)</f>
        <v>99.000000000300005</v>
      </c>
      <c r="AI241" s="117">
        <f t="shared" ref="AI241:AI273" si="364">IF(BK241=TRUE,Y241+99,Y241)</f>
        <v>0</v>
      </c>
      <c r="AJ241" s="117">
        <f t="shared" ref="AJ241:AJ273" si="365">IF(BL241=TRUE,Z241+99,Z241)</f>
        <v>99.000000000499995</v>
      </c>
      <c r="AK241" s="117">
        <f t="shared" ref="AK241:AK273" si="366">IF(BM241=TRUE,AA241+99,AA241)</f>
        <v>99.000000000599996</v>
      </c>
      <c r="AL241" s="117">
        <f t="shared" ref="AL241:AL273" si="367">IF(BN241=TRUE,AB241+99,AB241)</f>
        <v>6.9999999999999996E-10</v>
      </c>
      <c r="AM241" s="117">
        <f t="shared" ref="AM241:AM273" si="368">IF(BO241=TRUE,AC241+99,AC241)</f>
        <v>8.0000000000000003E-10</v>
      </c>
      <c r="AN241" s="117">
        <f t="shared" ref="AN241:AN273" si="369">IF(BP241=TRUE,AD241+99,AD241)</f>
        <v>99.000000000900002</v>
      </c>
      <c r="AO241" s="117">
        <f t="shared" ref="AO241:AO273" si="370">IF(BQ241=TRUE,AE241+99,AE241)</f>
        <v>0</v>
      </c>
      <c r="AP241" s="117" t="b">
        <f>IF(AF241&gt;LARGE($AF241:$AO241,6),TRUE)</f>
        <v>0</v>
      </c>
      <c r="AQ241" s="117" t="b">
        <f t="shared" ref="AQ241:AY241" si="371">IF(AG241&gt;LARGE($AF241:$AO241,6),TRUE)</f>
        <v>1</v>
      </c>
      <c r="AR241" s="117" t="b">
        <f t="shared" si="371"/>
        <v>1</v>
      </c>
      <c r="AS241" s="117"/>
      <c r="AT241" s="117" t="b">
        <f t="shared" si="371"/>
        <v>1</v>
      </c>
      <c r="AU241" s="117" t="b">
        <f t="shared" si="371"/>
        <v>1</v>
      </c>
      <c r="AV241" s="117" t="b">
        <f t="shared" si="371"/>
        <v>0</v>
      </c>
      <c r="AW241" s="117" t="b">
        <f t="shared" si="371"/>
        <v>0</v>
      </c>
      <c r="AX241" s="117" t="b">
        <f t="shared" si="371"/>
        <v>1</v>
      </c>
      <c r="AY241" s="117" t="b">
        <f t="shared" si="371"/>
        <v>0</v>
      </c>
      <c r="AZ241" s="117" t="str">
        <f>B241</f>
        <v>JS5101</v>
      </c>
      <c r="BA241" s="117">
        <f>'Reference Score Calculation'!N218</f>
        <v>0</v>
      </c>
      <c r="BB241" s="117">
        <f>'Reference Score Calculation'!O218</f>
        <v>0</v>
      </c>
      <c r="BC241" s="2" t="str">
        <f>INDEX($AF$240:$AO$240,MATCH(LARGE(AF241:AO241,6),AF241:AO241,0))</f>
        <v>請選擇第三選修科</v>
      </c>
      <c r="BD241" s="93">
        <f>INDEX(V241:AE241,MATCH(BC241,$V$240:$AE$240,0))</f>
        <v>8.0000000000000003E-10</v>
      </c>
      <c r="BE241" s="93">
        <f>IF(BD241&gt;8.5,1.05,IF(BD241&gt;7,1.0412,IF(BD241&gt;5.5,1.0324,IF(BD241&gt;4,1.0235,IF(BD241&gt;3,1.0176,1)))))</f>
        <v>1</v>
      </c>
      <c r="BF241" s="93" t="str">
        <f>_xlfn.CONCAT("Best 5總分 x ",BE241)</f>
        <v>Best 5總分 x 1</v>
      </c>
      <c r="BG241" s="93"/>
      <c r="BH241" s="93" t="b">
        <f t="shared" ref="BH241:BP241" si="372">CE243</f>
        <v>0</v>
      </c>
      <c r="BI241" s="93" t="b">
        <f t="shared" si="372"/>
        <v>1</v>
      </c>
      <c r="BJ241" s="93" t="b">
        <f t="shared" si="372"/>
        <v>1</v>
      </c>
      <c r="BK241" s="93">
        <f t="shared" si="372"/>
        <v>0</v>
      </c>
      <c r="BL241" s="93" t="b">
        <f t="shared" si="372"/>
        <v>1</v>
      </c>
      <c r="BM241" s="93" t="b">
        <f t="shared" si="372"/>
        <v>1</v>
      </c>
      <c r="BN241" s="93" t="b">
        <f t="shared" si="372"/>
        <v>0</v>
      </c>
      <c r="BO241" s="93" t="b">
        <f t="shared" si="372"/>
        <v>0</v>
      </c>
      <c r="BP241" s="93" t="b">
        <f t="shared" si="372"/>
        <v>1</v>
      </c>
      <c r="BQ241" s="93">
        <f>CN243</f>
        <v>0</v>
      </c>
      <c r="BR241" s="93"/>
      <c r="BS241" s="116" t="s">
        <v>331</v>
      </c>
      <c r="BT241" s="101" t="str">
        <f>P$1</f>
        <v>請選擇第一選修科</v>
      </c>
      <c r="BU241" s="101" t="str">
        <f>Q$1</f>
        <v>請選擇第二選修科</v>
      </c>
      <c r="BV241" s="101" t="str">
        <f>R$1</f>
        <v>請選擇第三選修科</v>
      </c>
      <c r="BW241" s="101" t="str">
        <f>S$1</f>
        <v>請選擇第四選修科</v>
      </c>
      <c r="BX241" s="101" t="str">
        <f>O$1</f>
        <v>數學延伸</v>
      </c>
      <c r="BY241" s="115"/>
      <c r="BZ241" s="156" t="s">
        <v>332</v>
      </c>
      <c r="CA241" s="116"/>
      <c r="CB241" s="156" t="s">
        <v>333</v>
      </c>
      <c r="CC241" s="116"/>
      <c r="CD241" s="116"/>
      <c r="CE241" s="101" t="str">
        <f>K$1</f>
        <v>中國語文</v>
      </c>
      <c r="CF241" s="101" t="str">
        <f>L$1</f>
        <v>英國語文</v>
      </c>
      <c r="CG241" s="101" t="str">
        <f>M$1</f>
        <v>數學</v>
      </c>
      <c r="CH241" s="101"/>
      <c r="CI241" s="101" t="str">
        <f>O$1</f>
        <v>數學延伸</v>
      </c>
      <c r="CJ241" s="101" t="str">
        <f>P$1</f>
        <v>請選擇第一選修科</v>
      </c>
      <c r="CK241" s="101" t="str">
        <f>Q$1</f>
        <v>請選擇第二選修科</v>
      </c>
      <c r="CL241" s="101" t="str">
        <f>R$1</f>
        <v>請選擇第三選修科</v>
      </c>
      <c r="CM241" s="101" t="str">
        <f>S$1</f>
        <v>請選擇第四選修科</v>
      </c>
      <c r="CN241" s="115"/>
      <c r="CO241" s="115"/>
      <c r="CP241" s="115"/>
      <c r="CQ241" s="115"/>
      <c r="CR241" s="115"/>
      <c r="CS241" s="115"/>
    </row>
    <row r="242" spans="1:97">
      <c r="A242" s="139"/>
      <c r="B242" s="117" t="str">
        <f>'Reference Score Calculation'!B219</f>
        <v>JS5102</v>
      </c>
      <c r="C242" s="117" t="str">
        <f>'Reference Score Calculation'!E219</f>
        <v>理學Ａ組</v>
      </c>
      <c r="E242" s="117" t="str">
        <f>'Reference Score Calculation'!F219</f>
        <v>英數Best3</v>
      </c>
      <c r="F242" s="117"/>
      <c r="G242" s="117" t="str">
        <f>入學要求!AB228</f>
        <v>v</v>
      </c>
      <c r="H242" s="117" t="str">
        <f>入學要求!AC228</f>
        <v>NO</v>
      </c>
      <c r="I242" s="117" t="str">
        <f>入學要求!AD228</f>
        <v>NO</v>
      </c>
      <c r="J242" s="117">
        <f t="shared" si="352"/>
        <v>3.2999999999999998E-9</v>
      </c>
      <c r="K242" s="117">
        <v>1</v>
      </c>
      <c r="L242" s="117">
        <v>1.5</v>
      </c>
      <c r="M242" s="117">
        <v>1</v>
      </c>
      <c r="O242" s="139">
        <f>IF(O$1=$BZ$246,$CB$246,IF(O$1=$CD$246,$CF$246,1))</f>
        <v>2</v>
      </c>
      <c r="P242" s="139">
        <f>IF(P$1=$BZ$246,$CB$246,IF(P$1=$CD$246,$CF$246,1))</f>
        <v>1</v>
      </c>
      <c r="Q242" s="139">
        <f>IF(Q$1=$BZ$246,$CB$246,IF(Q$1=$CD$246,$CF$246,1))</f>
        <v>1</v>
      </c>
      <c r="R242" s="139">
        <f>IF(R$1=$BZ$246,$CB$246,IF(R$1=$CD$246,$CF$246,1))</f>
        <v>1</v>
      </c>
      <c r="S242" s="139">
        <f>IF(S$1=$BZ$246,$CB$246,IF(S$1=$CD$246,$CF$246,1))</f>
        <v>1</v>
      </c>
      <c r="T242" s="117">
        <v>1</v>
      </c>
      <c r="U242" s="139"/>
      <c r="V242" s="117">
        <f t="shared" si="353"/>
        <v>1E-10</v>
      </c>
      <c r="W242" s="117">
        <f t="shared" si="354"/>
        <v>3E-10</v>
      </c>
      <c r="X242" s="117">
        <f t="shared" si="355"/>
        <v>3E-10</v>
      </c>
      <c r="Z242" s="117">
        <f t="shared" si="356"/>
        <v>1.0000000000000001E-9</v>
      </c>
      <c r="AA242" s="117">
        <f t="shared" si="357"/>
        <v>6E-10</v>
      </c>
      <c r="AB242" s="117">
        <f t="shared" si="358"/>
        <v>6.9999999999999996E-10</v>
      </c>
      <c r="AC242" s="117">
        <f t="shared" si="359"/>
        <v>8.0000000000000003E-10</v>
      </c>
      <c r="AD242" s="117">
        <f t="shared" si="360"/>
        <v>8.9999999999999999E-10</v>
      </c>
      <c r="AE242" s="117">
        <f t="shared" ref="AE242:AE273" si="373">IF(H242="C",T$7*T242,0)</f>
        <v>0</v>
      </c>
      <c r="AF242" s="117">
        <f t="shared" si="361"/>
        <v>1E-10</v>
      </c>
      <c r="AG242" s="117">
        <f t="shared" si="362"/>
        <v>99.000000000300005</v>
      </c>
      <c r="AH242" s="117">
        <f t="shared" si="363"/>
        <v>99.000000000300005</v>
      </c>
      <c r="AI242" s="117">
        <f t="shared" si="364"/>
        <v>0</v>
      </c>
      <c r="AJ242" s="117">
        <f t="shared" si="365"/>
        <v>99.000000001000004</v>
      </c>
      <c r="AK242" s="117">
        <f t="shared" si="366"/>
        <v>6E-10</v>
      </c>
      <c r="AL242" s="117">
        <f t="shared" si="367"/>
        <v>6.9999999999999996E-10</v>
      </c>
      <c r="AM242" s="117">
        <f t="shared" si="368"/>
        <v>99.0000000008</v>
      </c>
      <c r="AN242" s="117">
        <f t="shared" si="369"/>
        <v>99.000000000900002</v>
      </c>
      <c r="AO242" s="117">
        <f t="shared" si="370"/>
        <v>0</v>
      </c>
      <c r="AP242" s="117" t="b">
        <f t="shared" ref="AP242:AP273" si="374">IF(AF242&gt;LARGE($AF242:$AO242,6),TRUE)</f>
        <v>0</v>
      </c>
      <c r="AQ242" s="117" t="b">
        <f t="shared" ref="AQ242:AQ273" si="375">IF(AG242&gt;LARGE($AF242:$AO242,6),TRUE)</f>
        <v>1</v>
      </c>
      <c r="AR242" s="117" t="b">
        <f t="shared" ref="AR242:AR273" si="376">IF(AH242&gt;LARGE($AF242:$AO242,6),TRUE)</f>
        <v>1</v>
      </c>
      <c r="AT242" s="117" t="b">
        <f t="shared" ref="AT242:AT273" si="377">IF(AJ242&gt;LARGE($AF242:$AO242,6),TRUE)</f>
        <v>1</v>
      </c>
      <c r="AU242" s="117" t="b">
        <f t="shared" ref="AU242:AU273" si="378">IF(AK242&gt;LARGE($AF242:$AO242,6),TRUE)</f>
        <v>0</v>
      </c>
      <c r="AV242" s="117" t="b">
        <f t="shared" ref="AV242:AV273" si="379">IF(AL242&gt;LARGE($AF242:$AO242,6),TRUE)</f>
        <v>0</v>
      </c>
      <c r="AW242" s="117" t="b">
        <f t="shared" ref="AW242:AW273" si="380">IF(AM242&gt;LARGE($AF242:$AO242,6),TRUE)</f>
        <v>1</v>
      </c>
      <c r="AX242" s="117" t="b">
        <f t="shared" ref="AX242:AX273" si="381">IF(AN242&gt;LARGE($AF242:$AO242,6),TRUE)</f>
        <v>1</v>
      </c>
      <c r="AY242" s="117" t="b">
        <f t="shared" ref="AY242:AY273" si="382">IF(AO242&gt;LARGE($AF242:$AO242,6),TRUE)</f>
        <v>0</v>
      </c>
      <c r="AZ242" s="117" t="str">
        <f t="shared" ref="AZ242:AZ272" si="383">B242</f>
        <v>JS5102</v>
      </c>
      <c r="BA242" s="117">
        <f>'Reference Score Calculation'!N219</f>
        <v>0</v>
      </c>
      <c r="BB242" s="117">
        <f>'Reference Score Calculation'!O219</f>
        <v>0</v>
      </c>
      <c r="BC242" s="2" t="str">
        <f t="shared" ref="BC242:BC273" si="384">INDEX($AF$240:$AO$240,MATCH(LARGE(AF242:AO242,6),AF242:AO242,0))</f>
        <v>請選擇第二選修科</v>
      </c>
      <c r="BD242" s="93">
        <f t="shared" ref="BD242:BD273" si="385">INDEX(V242:AE242,MATCH(BC242,$V$240:$AE$240,0))</f>
        <v>6.9999999999999996E-10</v>
      </c>
      <c r="BE242" s="93">
        <f t="shared" ref="BE242:BE273" si="386">IF(BD242&gt;8.5,1.05,IF(BD242&gt;7,1.0412,IF(BD242&gt;5.5,1.0324,IF(BD242&gt;4,1.0235,IF(BD242&gt;3,1.0176,1)))))</f>
        <v>1</v>
      </c>
      <c r="BF242" s="93" t="str">
        <f t="shared" ref="BF242:BF273" si="387">_xlfn.CONCAT("Best 5總分 x ",BE242)</f>
        <v>Best 5總分 x 1</v>
      </c>
      <c r="BG242" s="93"/>
      <c r="BH242" s="93" t="b">
        <f t="shared" ref="BH242:BQ242" si="388">CH247</f>
        <v>0</v>
      </c>
      <c r="BI242" s="93" t="b">
        <f t="shared" si="388"/>
        <v>1</v>
      </c>
      <c r="BJ242" s="93" t="b">
        <f t="shared" si="388"/>
        <v>1</v>
      </c>
      <c r="BK242" s="93">
        <f t="shared" si="388"/>
        <v>0</v>
      </c>
      <c r="BL242" s="93" t="b">
        <f t="shared" si="388"/>
        <v>1</v>
      </c>
      <c r="BM242" s="93" t="b">
        <f t="shared" si="388"/>
        <v>0</v>
      </c>
      <c r="BN242" s="93" t="b">
        <f t="shared" si="388"/>
        <v>0</v>
      </c>
      <c r="BO242" s="93" t="b">
        <f t="shared" si="388"/>
        <v>1</v>
      </c>
      <c r="BP242" s="93" t="b">
        <f t="shared" si="388"/>
        <v>1</v>
      </c>
      <c r="BQ242" s="93">
        <f t="shared" si="388"/>
        <v>0</v>
      </c>
      <c r="BR242" s="93"/>
      <c r="BS242" s="116"/>
      <c r="BT242" s="21">
        <f>IF(OR(P$1="化學",P$1="生物",P$1="物理"),P$7,0)</f>
        <v>0</v>
      </c>
      <c r="BU242" s="21">
        <f>IF(OR(Q$1="化學",Q$1="生物",Q$1="物理"),Q$7,0)</f>
        <v>0</v>
      </c>
      <c r="BV242" s="21">
        <f>IF(OR(R$1="化學",R$1="生物",R$1="物理"),R$7,0)</f>
        <v>0</v>
      </c>
      <c r="BW242" s="21">
        <f>IF(OR(S$1="化學",S$1="生物",S$1="物理"),S$7,0)</f>
        <v>0</v>
      </c>
      <c r="BX242" s="2">
        <f>O$7</f>
        <v>5.0000000000000003E-10</v>
      </c>
      <c r="BY242" s="115"/>
      <c r="BZ242" s="117" t="str">
        <f>INDEX(BT241:BX241,MATCH(LARGE(BT242:BX242,1),BT242:BX242,0))</f>
        <v>數學延伸</v>
      </c>
      <c r="CA242" s="117">
        <f>LARGE((BT242:BX242),1)</f>
        <v>5.0000000000000003E-10</v>
      </c>
      <c r="CB242" s="117" t="str">
        <f>INDEX(BT241:BX241,MATCH(LARGE(BT242:BX242,2),BT242:BX242,0))</f>
        <v>請選擇第一選修科</v>
      </c>
      <c r="CC242" s="117">
        <f>LARGE((BT242:BX242),2)</f>
        <v>0</v>
      </c>
      <c r="CD242" s="116"/>
      <c r="CE242" s="21">
        <f>IF(OR(CE241=$CB$242,CE241=$BZ$242),0,K$7)</f>
        <v>1E-10</v>
      </c>
      <c r="CF242" s="21">
        <v>0</v>
      </c>
      <c r="CG242" s="21">
        <v>0</v>
      </c>
      <c r="CH242" s="21"/>
      <c r="CI242" s="21">
        <f>IF(OR(CI241=$CB$242,CI241=$BZ$242),0,O$7)</f>
        <v>0</v>
      </c>
      <c r="CJ242" s="21">
        <f>IF(OR(CJ241=$CB$242,CJ241=$BZ$242),0,P$7)</f>
        <v>0</v>
      </c>
      <c r="CK242" s="21">
        <f>IF(OR(CK241=$CB$242,CK241=$BZ$242),0,Q$7)</f>
        <v>6.9999999999999996E-10</v>
      </c>
      <c r="CL242" s="21">
        <f>IF(OR(CL241=$CB$242,CL241=$BZ$242),0,R$7)</f>
        <v>8.0000000000000003E-10</v>
      </c>
      <c r="CM242" s="21">
        <f>IF(OR(CM241=$CB$242,CM241=$BZ$242),0,S$7)</f>
        <v>8.9999999999999999E-10</v>
      </c>
      <c r="CN242" s="115"/>
      <c r="CO242" s="115"/>
      <c r="CP242" s="115"/>
      <c r="CQ242" s="115"/>
      <c r="CR242" s="115"/>
      <c r="CS242" s="115"/>
    </row>
    <row r="243" spans="1:97" s="142" customFormat="1">
      <c r="A243" s="139"/>
      <c r="B243" s="117" t="str">
        <f>'Reference Score Calculation'!B220</f>
        <v>JS5103</v>
      </c>
      <c r="C243" s="117" t="str">
        <f>'Reference Score Calculation'!E220</f>
        <v>理學Ｂ組</v>
      </c>
      <c r="D243" s="117"/>
      <c r="E243" s="117" t="str">
        <f>'Reference Score Calculation'!F220</f>
        <v>英數Best3</v>
      </c>
      <c r="F243" s="117"/>
      <c r="G243" s="117" t="str">
        <f>入學要求!AB229</f>
        <v>v</v>
      </c>
      <c r="H243" s="117" t="str">
        <f>入學要求!AC229</f>
        <v>NO</v>
      </c>
      <c r="I243" s="117" t="str">
        <f>入學要求!AD229</f>
        <v>NO</v>
      </c>
      <c r="J243" s="117">
        <f t="shared" si="352"/>
        <v>3.05E-9</v>
      </c>
      <c r="K243" s="117">
        <v>1</v>
      </c>
      <c r="L243" s="117">
        <v>1.5</v>
      </c>
      <c r="M243" s="117">
        <v>1</v>
      </c>
      <c r="N243" s="117"/>
      <c r="O243" s="139">
        <f t="shared" ref="O243:S244" si="389">IF(O$1=$BZ$250,$CB$250,IF(O$1=$CD$250,$CF$250,1))</f>
        <v>1.5</v>
      </c>
      <c r="P243" s="139">
        <f t="shared" si="389"/>
        <v>1</v>
      </c>
      <c r="Q243" s="139">
        <f t="shared" si="389"/>
        <v>1</v>
      </c>
      <c r="R243" s="139">
        <f t="shared" si="389"/>
        <v>1</v>
      </c>
      <c r="S243" s="139">
        <f t="shared" si="389"/>
        <v>1</v>
      </c>
      <c r="T243" s="117">
        <v>1</v>
      </c>
      <c r="U243" s="139"/>
      <c r="V243" s="117">
        <f t="shared" si="353"/>
        <v>1E-10</v>
      </c>
      <c r="W243" s="117">
        <f t="shared" si="354"/>
        <v>3E-10</v>
      </c>
      <c r="X243" s="117">
        <f t="shared" si="355"/>
        <v>3E-10</v>
      </c>
      <c r="Y243" s="117"/>
      <c r="Z243" s="117">
        <f t="shared" si="356"/>
        <v>7.500000000000001E-10</v>
      </c>
      <c r="AA243" s="117">
        <f t="shared" si="357"/>
        <v>6E-10</v>
      </c>
      <c r="AB243" s="117">
        <f t="shared" si="358"/>
        <v>6.9999999999999996E-10</v>
      </c>
      <c r="AC243" s="117">
        <f t="shared" si="359"/>
        <v>8.0000000000000003E-10</v>
      </c>
      <c r="AD243" s="117">
        <f t="shared" si="360"/>
        <v>8.9999999999999999E-10</v>
      </c>
      <c r="AE243" s="117">
        <f t="shared" si="373"/>
        <v>0</v>
      </c>
      <c r="AF243" s="117">
        <f t="shared" si="361"/>
        <v>1E-10</v>
      </c>
      <c r="AG243" s="117">
        <f t="shared" si="362"/>
        <v>99.000000000300005</v>
      </c>
      <c r="AH243" s="117">
        <f t="shared" si="363"/>
        <v>99.000000000300005</v>
      </c>
      <c r="AI243" s="117">
        <f t="shared" si="364"/>
        <v>0</v>
      </c>
      <c r="AJ243" s="117">
        <f t="shared" si="365"/>
        <v>99.000000000750006</v>
      </c>
      <c r="AK243" s="117">
        <f t="shared" si="366"/>
        <v>6E-10</v>
      </c>
      <c r="AL243" s="117">
        <f t="shared" si="367"/>
        <v>6.9999999999999996E-10</v>
      </c>
      <c r="AM243" s="117">
        <f t="shared" si="368"/>
        <v>99.0000000008</v>
      </c>
      <c r="AN243" s="117">
        <f t="shared" si="369"/>
        <v>99.000000000900002</v>
      </c>
      <c r="AO243" s="117">
        <f t="shared" si="370"/>
        <v>0</v>
      </c>
      <c r="AP243" s="117" t="b">
        <f t="shared" si="374"/>
        <v>0</v>
      </c>
      <c r="AQ243" s="117" t="b">
        <f t="shared" si="375"/>
        <v>1</v>
      </c>
      <c r="AR243" s="117" t="b">
        <f t="shared" si="376"/>
        <v>1</v>
      </c>
      <c r="AS243" s="117"/>
      <c r="AT243" s="117" t="b">
        <f t="shared" si="377"/>
        <v>1</v>
      </c>
      <c r="AU243" s="117" t="b">
        <f t="shared" si="378"/>
        <v>0</v>
      </c>
      <c r="AV243" s="117" t="b">
        <f t="shared" si="379"/>
        <v>0</v>
      </c>
      <c r="AW243" s="117" t="b">
        <f t="shared" si="380"/>
        <v>1</v>
      </c>
      <c r="AX243" s="117" t="b">
        <f t="shared" si="381"/>
        <v>1</v>
      </c>
      <c r="AY243" s="117" t="b">
        <f t="shared" si="382"/>
        <v>0</v>
      </c>
      <c r="AZ243" s="117" t="str">
        <f t="shared" si="383"/>
        <v>JS5103</v>
      </c>
      <c r="BA243" s="117">
        <f>'Reference Score Calculation'!N220</f>
        <v>0</v>
      </c>
      <c r="BB243" s="117">
        <f>'Reference Score Calculation'!O220</f>
        <v>0</v>
      </c>
      <c r="BC243" s="2" t="str">
        <f t="shared" si="384"/>
        <v>請選擇第二選修科</v>
      </c>
      <c r="BD243" s="93">
        <f t="shared" si="385"/>
        <v>6.9999999999999996E-10</v>
      </c>
      <c r="BE243" s="93">
        <f t="shared" si="386"/>
        <v>1</v>
      </c>
      <c r="BF243" s="93" t="str">
        <f t="shared" si="387"/>
        <v>Best 5總分 x 1</v>
      </c>
      <c r="BG243" s="93"/>
      <c r="BH243" s="93" t="b">
        <f t="shared" ref="BH243:BQ243" si="390">CH251</f>
        <v>0</v>
      </c>
      <c r="BI243" s="93" t="b">
        <f t="shared" si="390"/>
        <v>1</v>
      </c>
      <c r="BJ243" s="93" t="b">
        <f t="shared" si="390"/>
        <v>1</v>
      </c>
      <c r="BK243" s="93">
        <f t="shared" si="390"/>
        <v>0</v>
      </c>
      <c r="BL243" s="93" t="b">
        <f t="shared" si="390"/>
        <v>1</v>
      </c>
      <c r="BM243" s="93" t="b">
        <f t="shared" si="390"/>
        <v>0</v>
      </c>
      <c r="BN243" s="93" t="b">
        <f t="shared" si="390"/>
        <v>0</v>
      </c>
      <c r="BO243" s="93" t="b">
        <f t="shared" si="390"/>
        <v>1</v>
      </c>
      <c r="BP243" s="93" t="b">
        <f t="shared" si="390"/>
        <v>1</v>
      </c>
      <c r="BQ243" s="93">
        <f t="shared" si="390"/>
        <v>0</v>
      </c>
      <c r="BR243" s="93"/>
      <c r="BS243" s="116"/>
      <c r="BT243" s="163" t="s">
        <v>2451</v>
      </c>
      <c r="BU243" s="102"/>
      <c r="BV243" s="115"/>
      <c r="BW243" s="115"/>
      <c r="BX243" s="115"/>
      <c r="BY243" s="115"/>
      <c r="BZ243" s="116"/>
      <c r="CA243" s="116"/>
      <c r="CB243" s="102"/>
      <c r="CC243" s="116"/>
      <c r="CD243" s="116"/>
      <c r="CE243" s="163" t="b">
        <f>IF(CE242=LARGE($CE242:$CN242,1),TRUE,IF(OR(CE241=$BZ$242,CE241=$CB$242),TRUE,FALSE))</f>
        <v>0</v>
      </c>
      <c r="CF243" s="163" t="b">
        <v>1</v>
      </c>
      <c r="CG243" s="163" t="b">
        <v>1</v>
      </c>
      <c r="CH243" s="163"/>
      <c r="CI243" s="163" t="b">
        <f t="shared" ref="CI243:CM243" si="391">IF(CI242=LARGE($CE242:$CN242,1),TRUE,IF(OR(CI241=$BZ$242,CI241=$CB$242),TRUE,FALSE))</f>
        <v>1</v>
      </c>
      <c r="CJ243" s="163" t="b">
        <f t="shared" si="391"/>
        <v>1</v>
      </c>
      <c r="CK243" s="163" t="b">
        <f t="shared" si="391"/>
        <v>0</v>
      </c>
      <c r="CL243" s="163" t="b">
        <f t="shared" si="391"/>
        <v>0</v>
      </c>
      <c r="CM243" s="163" t="b">
        <f t="shared" si="391"/>
        <v>1</v>
      </c>
      <c r="CN243" s="115"/>
      <c r="CO243" s="115"/>
      <c r="CP243" s="115"/>
      <c r="CQ243" s="115"/>
      <c r="CR243" s="115"/>
      <c r="CS243" s="115"/>
    </row>
    <row r="244" spans="1:97" s="142" customFormat="1">
      <c r="A244" s="139"/>
      <c r="B244" s="117" t="str">
        <f>'Reference Score Calculation'!B221</f>
        <v>JS5118</v>
      </c>
      <c r="C244" s="117" t="str">
        <f>'Reference Score Calculation'!E221</f>
        <v>理學士（生物醫學及健康科學）</v>
      </c>
      <c r="D244" s="117"/>
      <c r="E244" s="117" t="str">
        <f>'Reference Score Calculation'!F221</f>
        <v>25年新科目</v>
      </c>
      <c r="F244" s="117"/>
      <c r="G244" s="117" t="str">
        <f>入學要求!AB230</f>
        <v>v</v>
      </c>
      <c r="H244" s="117" t="str">
        <f>入學要求!AC230</f>
        <v>NO</v>
      </c>
      <c r="I244" s="117" t="str">
        <f>入學要求!AD230</f>
        <v>NO</v>
      </c>
      <c r="J244" s="117">
        <f t="shared" si="352"/>
        <v>3.05E-9</v>
      </c>
      <c r="K244" s="117">
        <v>1</v>
      </c>
      <c r="L244" s="117">
        <v>1.5</v>
      </c>
      <c r="M244" s="117">
        <v>1</v>
      </c>
      <c r="N244" s="117"/>
      <c r="O244" s="139">
        <f t="shared" si="389"/>
        <v>1.5</v>
      </c>
      <c r="P244" s="139">
        <f t="shared" si="389"/>
        <v>1</v>
      </c>
      <c r="Q244" s="139">
        <f t="shared" si="389"/>
        <v>1</v>
      </c>
      <c r="R244" s="139">
        <f t="shared" si="389"/>
        <v>1</v>
      </c>
      <c r="S244" s="139">
        <f t="shared" si="389"/>
        <v>1</v>
      </c>
      <c r="T244" s="117">
        <v>1</v>
      </c>
      <c r="U244" s="139"/>
      <c r="V244" s="117">
        <f>K$7*K244</f>
        <v>1E-10</v>
      </c>
      <c r="W244" s="117">
        <f>L$7*L244</f>
        <v>3E-10</v>
      </c>
      <c r="X244" s="117">
        <f>M$7*M244</f>
        <v>3E-10</v>
      </c>
      <c r="Y244" s="117"/>
      <c r="Z244" s="117">
        <f>IF(G244="v",O$7*O244,0)</f>
        <v>7.500000000000001E-10</v>
      </c>
      <c r="AA244" s="117">
        <f>P$7*P244</f>
        <v>6E-10</v>
      </c>
      <c r="AB244" s="117">
        <f>Q$7*Q244</f>
        <v>6.9999999999999996E-10</v>
      </c>
      <c r="AC244" s="117">
        <f>R$7*R244</f>
        <v>8.0000000000000003E-10</v>
      </c>
      <c r="AD244" s="117">
        <f>S$7*S244</f>
        <v>8.9999999999999999E-10</v>
      </c>
      <c r="AE244" s="117">
        <f t="shared" si="373"/>
        <v>0</v>
      </c>
      <c r="AF244" s="117">
        <f t="shared" si="361"/>
        <v>1E-10</v>
      </c>
      <c r="AG244" s="117">
        <f t="shared" si="362"/>
        <v>99.000000000300005</v>
      </c>
      <c r="AH244" s="117">
        <f t="shared" si="363"/>
        <v>99.000000000300005</v>
      </c>
      <c r="AI244" s="117">
        <f t="shared" si="364"/>
        <v>0</v>
      </c>
      <c r="AJ244" s="117">
        <f t="shared" si="365"/>
        <v>99.000000000750006</v>
      </c>
      <c r="AK244" s="117">
        <f t="shared" si="366"/>
        <v>6E-10</v>
      </c>
      <c r="AL244" s="117">
        <f t="shared" si="367"/>
        <v>6.9999999999999996E-10</v>
      </c>
      <c r="AM244" s="117">
        <f t="shared" si="368"/>
        <v>99.0000000008</v>
      </c>
      <c r="AN244" s="117">
        <f t="shared" si="369"/>
        <v>99.000000000900002</v>
      </c>
      <c r="AO244" s="117">
        <f t="shared" si="370"/>
        <v>0</v>
      </c>
      <c r="AP244" s="117" t="b">
        <f t="shared" si="374"/>
        <v>0</v>
      </c>
      <c r="AQ244" s="117" t="b">
        <f t="shared" si="375"/>
        <v>1</v>
      </c>
      <c r="AR244" s="117" t="b">
        <f t="shared" si="376"/>
        <v>1</v>
      </c>
      <c r="AS244" s="117"/>
      <c r="AT244" s="117" t="b">
        <f t="shared" si="377"/>
        <v>1</v>
      </c>
      <c r="AU244" s="117" t="b">
        <f t="shared" si="378"/>
        <v>0</v>
      </c>
      <c r="AV244" s="117" t="b">
        <f t="shared" si="379"/>
        <v>0</v>
      </c>
      <c r="AW244" s="117" t="b">
        <f t="shared" si="380"/>
        <v>1</v>
      </c>
      <c r="AX244" s="117" t="b">
        <f t="shared" si="381"/>
        <v>1</v>
      </c>
      <c r="AY244" s="117" t="b">
        <f t="shared" si="382"/>
        <v>0</v>
      </c>
      <c r="AZ244" s="117" t="str">
        <f t="shared" si="383"/>
        <v>JS5118</v>
      </c>
      <c r="BA244" s="117">
        <f>'Reference Score Calculation'!N221</f>
        <v>0</v>
      </c>
      <c r="BB244" s="117">
        <f>'Reference Score Calculation'!O221</f>
        <v>0</v>
      </c>
      <c r="BC244" s="2" t="str">
        <f t="shared" si="384"/>
        <v>請選擇第二選修科</v>
      </c>
      <c r="BD244" s="93">
        <f t="shared" si="385"/>
        <v>6.9999999999999996E-10</v>
      </c>
      <c r="BE244" s="93">
        <f t="shared" si="386"/>
        <v>1</v>
      </c>
      <c r="BF244" s="93" t="str">
        <f t="shared" si="387"/>
        <v>Best 5總分 x 1</v>
      </c>
      <c r="BG244" s="93"/>
      <c r="BH244" s="93" t="b">
        <f t="shared" ref="BH244:BQ244" si="392">CH251</f>
        <v>0</v>
      </c>
      <c r="BI244" s="93" t="b">
        <f t="shared" si="392"/>
        <v>1</v>
      </c>
      <c r="BJ244" s="93" t="b">
        <f t="shared" si="392"/>
        <v>1</v>
      </c>
      <c r="BK244" s="93">
        <f t="shared" si="392"/>
        <v>0</v>
      </c>
      <c r="BL244" s="93" t="b">
        <f t="shared" si="392"/>
        <v>1</v>
      </c>
      <c r="BM244" s="93" t="b">
        <f t="shared" si="392"/>
        <v>0</v>
      </c>
      <c r="BN244" s="93" t="b">
        <f t="shared" si="392"/>
        <v>0</v>
      </c>
      <c r="BO244" s="93" t="b">
        <f t="shared" si="392"/>
        <v>1</v>
      </c>
      <c r="BP244" s="93" t="b">
        <f t="shared" si="392"/>
        <v>1</v>
      </c>
      <c r="BQ244" s="93">
        <f t="shared" si="392"/>
        <v>0</v>
      </c>
      <c r="BR244" s="93"/>
      <c r="BS244" s="116"/>
      <c r="BT244" s="163"/>
      <c r="BU244" s="102"/>
      <c r="BV244" s="115"/>
      <c r="BW244" s="115"/>
      <c r="BX244" s="115"/>
      <c r="BY244" s="115"/>
      <c r="BZ244" s="116"/>
      <c r="CA244" s="116"/>
      <c r="CB244" s="102"/>
      <c r="CC244" s="116"/>
      <c r="CD244" s="116"/>
      <c r="CE244" s="163"/>
      <c r="CF244" s="102"/>
      <c r="CG244" s="115"/>
      <c r="CH244" s="115"/>
      <c r="CI244" s="115"/>
      <c r="CJ244" s="115"/>
      <c r="CK244" s="115"/>
      <c r="CL244" s="115"/>
      <c r="CM244" s="115"/>
      <c r="CN244" s="115"/>
      <c r="CO244" s="115"/>
      <c r="CP244" s="115"/>
      <c r="CQ244" s="115"/>
      <c r="CR244" s="115"/>
      <c r="CS244" s="115"/>
    </row>
    <row r="245" spans="1:97">
      <c r="A245" s="139"/>
      <c r="B245" s="117" t="str">
        <f>'Reference Score Calculation'!B222</f>
        <v>JS5181</v>
      </c>
      <c r="C245" s="117" t="str">
        <f>'Reference Score Calculation'!E222</f>
        <v>理學Ａ組– 延伸主修人工智能</v>
      </c>
      <c r="E245" s="117" t="str">
        <f>'Reference Score Calculation'!F222</f>
        <v>英數Best3</v>
      </c>
      <c r="F245" s="117"/>
      <c r="G245" s="117" t="str">
        <f>入學要求!AB231</f>
        <v>v</v>
      </c>
      <c r="H245" s="117" t="str">
        <f>入學要求!AC231</f>
        <v>NO</v>
      </c>
      <c r="I245" s="117" t="str">
        <f>入學要求!AD231</f>
        <v>NO</v>
      </c>
      <c r="J245" s="117">
        <f t="shared" si="352"/>
        <v>3.2999999999999998E-9</v>
      </c>
      <c r="K245" s="117">
        <v>1</v>
      </c>
      <c r="L245" s="117">
        <v>1.5</v>
      </c>
      <c r="M245" s="117">
        <v>1</v>
      </c>
      <c r="O245" s="139">
        <f>IF(O$1=$BZ$246,$CB$246,IF(O$1=$CD$246,$CF$246,1))</f>
        <v>2</v>
      </c>
      <c r="P245" s="139">
        <f>IF(P$1=$BZ$246,$CB$246,IF(P$1=$CD$246,$CF$246,1))</f>
        <v>1</v>
      </c>
      <c r="Q245" s="139">
        <f>IF(Q$1=$BZ$246,$CB$246,IF(Q$1=$CD$246,$CF$246,1))</f>
        <v>1</v>
      </c>
      <c r="R245" s="139">
        <f>IF(R$1=$BZ$246,$CB$246,IF(R$1=$CD$246,$CF$246,1))</f>
        <v>1</v>
      </c>
      <c r="S245" s="139">
        <f>IF(S$1=$BZ$246,$CB$246,IF(S$1=$CD$246,$CF$246,1))</f>
        <v>1</v>
      </c>
      <c r="T245" s="117">
        <v>1</v>
      </c>
      <c r="U245" s="139"/>
      <c r="V245" s="117">
        <f t="shared" si="353"/>
        <v>1E-10</v>
      </c>
      <c r="W245" s="117">
        <f t="shared" si="354"/>
        <v>3E-10</v>
      </c>
      <c r="X245" s="117">
        <f t="shared" si="355"/>
        <v>3E-10</v>
      </c>
      <c r="Z245" s="117">
        <f t="shared" si="356"/>
        <v>1.0000000000000001E-9</v>
      </c>
      <c r="AA245" s="117">
        <f t="shared" si="357"/>
        <v>6E-10</v>
      </c>
      <c r="AB245" s="117">
        <f t="shared" si="358"/>
        <v>6.9999999999999996E-10</v>
      </c>
      <c r="AC245" s="117">
        <f t="shared" si="359"/>
        <v>8.0000000000000003E-10</v>
      </c>
      <c r="AD245" s="117">
        <f t="shared" si="360"/>
        <v>8.9999999999999999E-10</v>
      </c>
      <c r="AE245" s="117">
        <f t="shared" si="373"/>
        <v>0</v>
      </c>
      <c r="AF245" s="117">
        <f t="shared" si="361"/>
        <v>1E-10</v>
      </c>
      <c r="AG245" s="117">
        <f t="shared" si="362"/>
        <v>99.000000000300005</v>
      </c>
      <c r="AH245" s="117">
        <f t="shared" si="363"/>
        <v>99.000000000300005</v>
      </c>
      <c r="AI245" s="117">
        <f t="shared" si="364"/>
        <v>0</v>
      </c>
      <c r="AJ245" s="117">
        <f t="shared" si="365"/>
        <v>99.000000001000004</v>
      </c>
      <c r="AK245" s="117">
        <f t="shared" si="366"/>
        <v>6E-10</v>
      </c>
      <c r="AL245" s="117">
        <f t="shared" si="367"/>
        <v>6.9999999999999996E-10</v>
      </c>
      <c r="AM245" s="117">
        <f t="shared" si="368"/>
        <v>99.0000000008</v>
      </c>
      <c r="AN245" s="117">
        <f t="shared" si="369"/>
        <v>99.000000000900002</v>
      </c>
      <c r="AO245" s="117">
        <f t="shared" si="370"/>
        <v>0</v>
      </c>
      <c r="AP245" s="117" t="b">
        <f t="shared" si="374"/>
        <v>0</v>
      </c>
      <c r="AQ245" s="117" t="b">
        <f t="shared" si="375"/>
        <v>1</v>
      </c>
      <c r="AR245" s="117" t="b">
        <f t="shared" si="376"/>
        <v>1</v>
      </c>
      <c r="AT245" s="117" t="b">
        <f t="shared" si="377"/>
        <v>1</v>
      </c>
      <c r="AU245" s="117" t="b">
        <f t="shared" si="378"/>
        <v>0</v>
      </c>
      <c r="AV245" s="117" t="b">
        <f t="shared" si="379"/>
        <v>0</v>
      </c>
      <c r="AW245" s="117" t="b">
        <f t="shared" si="380"/>
        <v>1</v>
      </c>
      <c r="AX245" s="117" t="b">
        <f t="shared" si="381"/>
        <v>1</v>
      </c>
      <c r="AY245" s="117" t="b">
        <f t="shared" si="382"/>
        <v>0</v>
      </c>
      <c r="AZ245" s="117" t="str">
        <f t="shared" si="383"/>
        <v>JS5181</v>
      </c>
      <c r="BA245" s="117">
        <f>'Reference Score Calculation'!N222</f>
        <v>0</v>
      </c>
      <c r="BB245" s="117">
        <f>'Reference Score Calculation'!O222</f>
        <v>0</v>
      </c>
      <c r="BC245" s="2" t="str">
        <f t="shared" si="384"/>
        <v>請選擇第二選修科</v>
      </c>
      <c r="BD245" s="93">
        <f t="shared" si="385"/>
        <v>6.9999999999999996E-10</v>
      </c>
      <c r="BE245" s="93">
        <f t="shared" si="386"/>
        <v>1</v>
      </c>
      <c r="BF245" s="93" t="str">
        <f t="shared" si="387"/>
        <v>Best 5總分 x 1</v>
      </c>
      <c r="BG245" s="93"/>
      <c r="BH245" s="93" t="b">
        <f t="shared" ref="BH245:BQ245" si="393">CH247</f>
        <v>0</v>
      </c>
      <c r="BI245" s="93" t="b">
        <f t="shared" si="393"/>
        <v>1</v>
      </c>
      <c r="BJ245" s="93" t="b">
        <f t="shared" si="393"/>
        <v>1</v>
      </c>
      <c r="BK245" s="93">
        <f t="shared" si="393"/>
        <v>0</v>
      </c>
      <c r="BL245" s="93" t="b">
        <f t="shared" si="393"/>
        <v>1</v>
      </c>
      <c r="BM245" s="93" t="b">
        <f t="shared" si="393"/>
        <v>0</v>
      </c>
      <c r="BN245" s="93" t="b">
        <f t="shared" si="393"/>
        <v>0</v>
      </c>
      <c r="BO245" s="93" t="b">
        <f t="shared" si="393"/>
        <v>1</v>
      </c>
      <c r="BP245" s="93" t="b">
        <f t="shared" si="393"/>
        <v>1</v>
      </c>
      <c r="BQ245" s="93">
        <f t="shared" si="393"/>
        <v>0</v>
      </c>
      <c r="BR245" s="93"/>
      <c r="BS245" s="185" t="s">
        <v>335</v>
      </c>
      <c r="BT245" s="184" t="str">
        <f>P$1</f>
        <v>請選擇第一選修科</v>
      </c>
      <c r="BU245" s="184" t="str">
        <f>Q$1</f>
        <v>請選擇第二選修科</v>
      </c>
      <c r="BV245" s="184" t="str">
        <f>R$1</f>
        <v>請選擇第三選修科</v>
      </c>
      <c r="BW245" s="184" t="str">
        <f>S$1</f>
        <v>請選擇第四選修科</v>
      </c>
      <c r="BX245" s="184" t="str">
        <f>O$1</f>
        <v>數學延伸</v>
      </c>
      <c r="BY245" s="186"/>
      <c r="BZ245" s="187" t="s">
        <v>332</v>
      </c>
      <c r="CA245" s="185"/>
      <c r="CB245" s="188" t="s">
        <v>96</v>
      </c>
      <c r="CC245" s="184"/>
      <c r="CD245" s="187" t="s">
        <v>333</v>
      </c>
      <c r="CE245" s="185"/>
      <c r="CF245" s="188" t="s">
        <v>96</v>
      </c>
      <c r="CG245" s="186"/>
      <c r="CH245" s="184" t="str">
        <f>K$1</f>
        <v>中國語文</v>
      </c>
      <c r="CI245" s="184" t="str">
        <f>L$1</f>
        <v>英國語文</v>
      </c>
      <c r="CJ245" s="184" t="str">
        <f>M$1</f>
        <v>數學</v>
      </c>
      <c r="CK245" s="184"/>
      <c r="CL245" s="184" t="str">
        <f>O$1</f>
        <v>數學延伸</v>
      </c>
      <c r="CM245" s="184" t="str">
        <f>P$1</f>
        <v>請選擇第一選修科</v>
      </c>
      <c r="CN245" s="184" t="str">
        <f>Q$1</f>
        <v>請選擇第二選修科</v>
      </c>
      <c r="CO245" s="184" t="str">
        <f>R$1</f>
        <v>請選擇第三選修科</v>
      </c>
      <c r="CP245" s="184" t="str">
        <f>S$1</f>
        <v>請選擇第四選修科</v>
      </c>
      <c r="CQ245" s="184"/>
      <c r="CR245" s="186"/>
      <c r="CS245" s="186"/>
    </row>
    <row r="246" spans="1:97">
      <c r="A246" s="139"/>
      <c r="B246" s="117" t="str">
        <f>'Reference Score Calculation'!B223</f>
        <v>JS5212</v>
      </c>
      <c r="C246" s="117" t="str">
        <f>'Reference Score Calculation'!E223</f>
        <v>工學士（計算機工程學）</v>
      </c>
      <c r="D246" s="139"/>
      <c r="E246" s="117" t="str">
        <f>'Reference Score Calculation'!F223</f>
        <v>英數Best3</v>
      </c>
      <c r="F246" s="117"/>
      <c r="G246" s="117" t="str">
        <f>入學要求!AB232</f>
        <v>v</v>
      </c>
      <c r="H246" s="117" t="str">
        <f>入學要求!AC232</f>
        <v>NO</v>
      </c>
      <c r="I246" s="117" t="str">
        <f>入學要求!AD232</f>
        <v>NO</v>
      </c>
      <c r="J246" s="117">
        <f t="shared" si="352"/>
        <v>3.2999999999999998E-9</v>
      </c>
      <c r="K246" s="117">
        <v>1</v>
      </c>
      <c r="L246" s="139">
        <v>2</v>
      </c>
      <c r="M246" s="139">
        <v>2</v>
      </c>
      <c r="O246" s="139">
        <v>1.5</v>
      </c>
      <c r="P246" s="139">
        <f t="shared" ref="P246:S253" si="394">IF(P$1=$BZ$256,$CB$256,1)</f>
        <v>1</v>
      </c>
      <c r="Q246" s="139">
        <f t="shared" si="394"/>
        <v>1</v>
      </c>
      <c r="R246" s="139">
        <f t="shared" si="394"/>
        <v>1</v>
      </c>
      <c r="S246" s="139">
        <f t="shared" si="394"/>
        <v>1</v>
      </c>
      <c r="T246" s="117">
        <v>1</v>
      </c>
      <c r="U246" s="139"/>
      <c r="V246" s="117">
        <f t="shared" ref="V246:V252" si="395">K$7*K246</f>
        <v>1E-10</v>
      </c>
      <c r="W246" s="117">
        <f t="shared" ref="W246:W252" si="396">L$7*L246</f>
        <v>4.0000000000000001E-10</v>
      </c>
      <c r="X246" s="117">
        <f t="shared" ref="X246:X252" si="397">M$7*M246</f>
        <v>6E-10</v>
      </c>
      <c r="Z246" s="117">
        <f t="shared" ref="Z246:Z252" si="398">IF(G246="v",O$7*O246,0)</f>
        <v>7.500000000000001E-10</v>
      </c>
      <c r="AA246" s="117">
        <f t="shared" ref="AA246:AA252" si="399">P$7*P246</f>
        <v>6E-10</v>
      </c>
      <c r="AB246" s="117">
        <f t="shared" ref="AB246:AB252" si="400">Q$7*Q246</f>
        <v>6.9999999999999996E-10</v>
      </c>
      <c r="AC246" s="117">
        <f t="shared" ref="AC246:AC252" si="401">R$7*R246</f>
        <v>8.0000000000000003E-10</v>
      </c>
      <c r="AD246" s="117">
        <f t="shared" ref="AD246:AD252" si="402">S$7*S246</f>
        <v>8.9999999999999999E-10</v>
      </c>
      <c r="AE246" s="117">
        <f t="shared" si="373"/>
        <v>0</v>
      </c>
      <c r="AF246" s="117">
        <f t="shared" si="361"/>
        <v>1E-10</v>
      </c>
      <c r="AG246" s="117">
        <f t="shared" si="362"/>
        <v>99.000000000399993</v>
      </c>
      <c r="AH246" s="117">
        <f t="shared" si="363"/>
        <v>99.000000000599996</v>
      </c>
      <c r="AI246" s="117">
        <f t="shared" si="364"/>
        <v>0</v>
      </c>
      <c r="AJ246" s="117">
        <f t="shared" si="365"/>
        <v>7.500000000000001E-10</v>
      </c>
      <c r="AK246" s="117">
        <f t="shared" si="366"/>
        <v>99.000000000599996</v>
      </c>
      <c r="AL246" s="117">
        <f t="shared" si="367"/>
        <v>6.9999999999999996E-10</v>
      </c>
      <c r="AM246" s="117">
        <f t="shared" si="368"/>
        <v>99.0000000008</v>
      </c>
      <c r="AN246" s="117">
        <f t="shared" si="369"/>
        <v>99.000000000900002</v>
      </c>
      <c r="AO246" s="117">
        <f t="shared" si="370"/>
        <v>0</v>
      </c>
      <c r="AP246" s="117" t="b">
        <f t="shared" si="374"/>
        <v>0</v>
      </c>
      <c r="AQ246" s="117" t="b">
        <f t="shared" si="375"/>
        <v>1</v>
      </c>
      <c r="AR246" s="117" t="b">
        <f t="shared" si="376"/>
        <v>1</v>
      </c>
      <c r="AT246" s="117" t="b">
        <f t="shared" si="377"/>
        <v>0</v>
      </c>
      <c r="AU246" s="117" t="b">
        <f t="shared" si="378"/>
        <v>1</v>
      </c>
      <c r="AV246" s="117" t="b">
        <f t="shared" si="379"/>
        <v>0</v>
      </c>
      <c r="AW246" s="117" t="b">
        <f t="shared" si="380"/>
        <v>1</v>
      </c>
      <c r="AX246" s="117" t="b">
        <f t="shared" si="381"/>
        <v>1</v>
      </c>
      <c r="AY246" s="117" t="b">
        <f t="shared" si="382"/>
        <v>0</v>
      </c>
      <c r="AZ246" s="117" t="str">
        <f t="shared" si="383"/>
        <v>JS5212</v>
      </c>
      <c r="BA246" s="117" t="str">
        <f>'Reference Score Calculation'!N223</f>
        <v>此分數為 上年 JS5282 工程學– 延伸主修人工智能 的 收生分數，敬請注意。</v>
      </c>
      <c r="BB246" s="117">
        <f>'Reference Score Calculation'!O223</f>
        <v>0</v>
      </c>
      <c r="BC246" s="2" t="str">
        <f t="shared" si="384"/>
        <v>數學延伸</v>
      </c>
      <c r="BD246" s="93">
        <f t="shared" si="385"/>
        <v>7.500000000000001E-10</v>
      </c>
      <c r="BE246" s="93">
        <f t="shared" si="386"/>
        <v>1</v>
      </c>
      <c r="BF246" s="93" t="str">
        <f t="shared" si="387"/>
        <v>Best 5總分 x 1</v>
      </c>
      <c r="BG246" s="93"/>
      <c r="BH246" s="93" t="b">
        <f t="shared" ref="BH246:BQ253" si="403">CE$257</f>
        <v>0</v>
      </c>
      <c r="BI246" s="93" t="b">
        <f t="shared" si="403"/>
        <v>1</v>
      </c>
      <c r="BJ246" s="93" t="b">
        <f t="shared" si="403"/>
        <v>1</v>
      </c>
      <c r="BK246" s="93">
        <f t="shared" si="403"/>
        <v>0</v>
      </c>
      <c r="BL246" s="93" t="b">
        <f t="shared" si="403"/>
        <v>0</v>
      </c>
      <c r="BM246" s="93" t="b">
        <f t="shared" si="403"/>
        <v>1</v>
      </c>
      <c r="BN246" s="93" t="b">
        <f t="shared" si="403"/>
        <v>0</v>
      </c>
      <c r="BO246" s="93" t="b">
        <f t="shared" si="403"/>
        <v>1</v>
      </c>
      <c r="BP246" s="93" t="b">
        <f t="shared" si="403"/>
        <v>1</v>
      </c>
      <c r="BQ246" s="93">
        <f t="shared" si="403"/>
        <v>0</v>
      </c>
      <c r="BR246" s="93"/>
      <c r="BS246" s="116" t="s">
        <v>336</v>
      </c>
      <c r="BT246" s="21">
        <f>IF(OR(P$1="化學",P$1="生物"),P$7*1.5,IF(P$1="物理",P$7*2,0))</f>
        <v>0</v>
      </c>
      <c r="BU246" s="21">
        <f>IF(OR(Q$1="化學",Q$1="生物"),Q$7*1.5,IF(Q$1="物理",Q$7*2,0))</f>
        <v>0</v>
      </c>
      <c r="BV246" s="21">
        <f>IF(OR(R$1="化學",R$1="生物"),R$7*1.5,IF(R$1="物理",R$7*2,0))</f>
        <v>0</v>
      </c>
      <c r="BW246" s="21">
        <f>IF(OR(S$1="化學",S$1="生物"),S$7*1.5,IF(S$1="物理",S$7*2,0))</f>
        <v>0</v>
      </c>
      <c r="BX246" s="2">
        <f>O$7*2</f>
        <v>1.0000000000000001E-9</v>
      </c>
      <c r="BY246" s="115"/>
      <c r="BZ246" s="117" t="str">
        <f>INDEX(BT245:BX245,MATCH(LARGE(BT246:BX246,1),BT246:BX246,0))</f>
        <v>數學延伸</v>
      </c>
      <c r="CA246" s="117">
        <f>LARGE((BT246:BX246),1)</f>
        <v>1.0000000000000001E-9</v>
      </c>
      <c r="CB246" s="16">
        <f>IF(OR(BZ246="物理",BZ246="數學延伸"),2,IF(OR(BZ246="生物",BZ246="化學",BZ246="組合科學(物理、化學)",BZ246="組合科學(生物、化學)",BZ246="組合科學(物理、生物)"),1.5,1))</f>
        <v>2</v>
      </c>
      <c r="CC246" s="101"/>
      <c r="CD246" s="117" t="str">
        <f>INDEX(BT245:BX245,MATCH(LARGE(BT246:BX246,2),BT246:BX246,0))</f>
        <v>請選擇第一選修科</v>
      </c>
      <c r="CE246" s="117">
        <f>LARGE((BT246:BX246),2)</f>
        <v>0</v>
      </c>
      <c r="CF246" s="16">
        <f>IF(OR(CD246="物理",CD246="數學延伸"),2,IF(OR(CD246="生物",CD246="化學",CD246="組合科學(物理、化學)",CD246="組合科學(生物、化學)",CD246="組合科學(物理、生物)"),1.5,1))</f>
        <v>1</v>
      </c>
      <c r="CG246" s="115"/>
      <c r="CH246" s="21">
        <f>IF(CH245=$BZ$246,0,IF(CH245=$CD$246,$CE$246*$CF$246,K$7))</f>
        <v>1E-10</v>
      </c>
      <c r="CI246" s="21">
        <v>0</v>
      </c>
      <c r="CJ246" s="21">
        <v>0</v>
      </c>
      <c r="CK246" s="21"/>
      <c r="CL246" s="21">
        <f>IF(CL245=$BZ$246,0,IF(CL245=$CD$246,$CE$246*$CF$246,O$7))</f>
        <v>0</v>
      </c>
      <c r="CM246" s="21">
        <f>IF(CM245=$BZ$246,0,IF(CM245=$CD$246,$CE$246*$CF$246,P$7))</f>
        <v>0</v>
      </c>
      <c r="CN246" s="21">
        <f>IF(CN245=$BZ$246,0,IF(CN245=$CD$246,$CE$246*$CF$246,Q$7))</f>
        <v>6.9999999999999996E-10</v>
      </c>
      <c r="CO246" s="21">
        <f>IF(CO245=$BZ$246,0,IF(CO245=$CD$246,$CE$246*$CF$246,R$7))</f>
        <v>8.0000000000000003E-10</v>
      </c>
      <c r="CP246" s="21">
        <f>IF(CP245=$BZ$246,0,IF(CP245=$CD$246,$CE$246*$CF$246,S$7))</f>
        <v>8.9999999999999999E-10</v>
      </c>
      <c r="CQ246" s="21"/>
      <c r="CR246" s="115"/>
      <c r="CS246" s="115"/>
    </row>
    <row r="247" spans="1:97">
      <c r="A247" s="139"/>
      <c r="B247" s="117" t="str">
        <f>'Reference Score Calculation'!B224</f>
        <v>JS5220</v>
      </c>
      <c r="C247" s="117" t="str">
        <f>'Reference Score Calculation'!E224</f>
        <v>化學及生物工程學系</v>
      </c>
      <c r="D247" s="139"/>
      <c r="E247" s="117" t="str">
        <f>'Reference Score Calculation'!F224</f>
        <v>英數Best3</v>
      </c>
      <c r="F247" s="117"/>
      <c r="G247" s="117" t="str">
        <f>入學要求!AB233</f>
        <v>v</v>
      </c>
      <c r="H247" s="117" t="str">
        <f>入學要求!AC233</f>
        <v>NO</v>
      </c>
      <c r="I247" s="117" t="str">
        <f>入學要求!AD233</f>
        <v>NO</v>
      </c>
      <c r="J247" s="117">
        <f t="shared" si="352"/>
        <v>3.2999999999999998E-9</v>
      </c>
      <c r="K247" s="117">
        <v>1</v>
      </c>
      <c r="L247" s="139">
        <v>2</v>
      </c>
      <c r="M247" s="139">
        <v>2</v>
      </c>
      <c r="O247" s="139">
        <v>1.5</v>
      </c>
      <c r="P247" s="139">
        <f t="shared" si="394"/>
        <v>1</v>
      </c>
      <c r="Q247" s="139">
        <f t="shared" si="394"/>
        <v>1</v>
      </c>
      <c r="R247" s="139">
        <f t="shared" si="394"/>
        <v>1</v>
      </c>
      <c r="S247" s="139">
        <f t="shared" si="394"/>
        <v>1</v>
      </c>
      <c r="T247" s="117">
        <v>1</v>
      </c>
      <c r="U247" s="139"/>
      <c r="V247" s="117">
        <f t="shared" si="395"/>
        <v>1E-10</v>
      </c>
      <c r="W247" s="117">
        <f t="shared" si="396"/>
        <v>4.0000000000000001E-10</v>
      </c>
      <c r="X247" s="117">
        <f t="shared" si="397"/>
        <v>6E-10</v>
      </c>
      <c r="Z247" s="117">
        <f t="shared" si="398"/>
        <v>7.500000000000001E-10</v>
      </c>
      <c r="AA247" s="117">
        <f t="shared" si="399"/>
        <v>6E-10</v>
      </c>
      <c r="AB247" s="117">
        <f t="shared" si="400"/>
        <v>6.9999999999999996E-10</v>
      </c>
      <c r="AC247" s="117">
        <f t="shared" si="401"/>
        <v>8.0000000000000003E-10</v>
      </c>
      <c r="AD247" s="117">
        <f t="shared" si="402"/>
        <v>8.9999999999999999E-10</v>
      </c>
      <c r="AE247" s="117">
        <f t="shared" si="373"/>
        <v>0</v>
      </c>
      <c r="AF247" s="117">
        <f t="shared" si="361"/>
        <v>1E-10</v>
      </c>
      <c r="AG247" s="117">
        <f t="shared" si="362"/>
        <v>99.000000000399993</v>
      </c>
      <c r="AH247" s="117">
        <f t="shared" si="363"/>
        <v>99.000000000599996</v>
      </c>
      <c r="AI247" s="117">
        <f t="shared" si="364"/>
        <v>0</v>
      </c>
      <c r="AJ247" s="117">
        <f t="shared" si="365"/>
        <v>7.500000000000001E-10</v>
      </c>
      <c r="AK247" s="117">
        <f t="shared" si="366"/>
        <v>99.000000000599996</v>
      </c>
      <c r="AL247" s="117">
        <f t="shared" si="367"/>
        <v>6.9999999999999996E-10</v>
      </c>
      <c r="AM247" s="117">
        <f t="shared" si="368"/>
        <v>99.0000000008</v>
      </c>
      <c r="AN247" s="117">
        <f t="shared" si="369"/>
        <v>99.000000000900002</v>
      </c>
      <c r="AO247" s="117">
        <f t="shared" si="370"/>
        <v>0</v>
      </c>
      <c r="AP247" s="117" t="b">
        <f t="shared" si="374"/>
        <v>0</v>
      </c>
      <c r="AQ247" s="117" t="b">
        <f t="shared" si="375"/>
        <v>1</v>
      </c>
      <c r="AR247" s="117" t="b">
        <f t="shared" si="376"/>
        <v>1</v>
      </c>
      <c r="AT247" s="117" t="b">
        <f t="shared" si="377"/>
        <v>0</v>
      </c>
      <c r="AU247" s="117" t="b">
        <f t="shared" si="378"/>
        <v>1</v>
      </c>
      <c r="AV247" s="117" t="b">
        <f t="shared" si="379"/>
        <v>0</v>
      </c>
      <c r="AW247" s="117" t="b">
        <f t="shared" si="380"/>
        <v>1</v>
      </c>
      <c r="AX247" s="117" t="b">
        <f t="shared" si="381"/>
        <v>1</v>
      </c>
      <c r="AY247" s="117" t="b">
        <f t="shared" si="382"/>
        <v>0</v>
      </c>
      <c r="AZ247" s="117" t="str">
        <f t="shared" si="383"/>
        <v>JS5220</v>
      </c>
      <c r="BA247" s="117" t="str">
        <f>'Reference Score Calculation'!N224</f>
        <v>此分數為 上年 JS5200 工程學 的 收生分數，敬請注意。</v>
      </c>
      <c r="BB247" s="117">
        <f>'Reference Score Calculation'!O224</f>
        <v>0</v>
      </c>
      <c r="BC247" s="2" t="str">
        <f t="shared" si="384"/>
        <v>數學延伸</v>
      </c>
      <c r="BD247" s="93">
        <f t="shared" si="385"/>
        <v>7.500000000000001E-10</v>
      </c>
      <c r="BE247" s="93">
        <f t="shared" si="386"/>
        <v>1</v>
      </c>
      <c r="BF247" s="93" t="str">
        <f t="shared" si="387"/>
        <v>Best 5總分 x 1</v>
      </c>
      <c r="BG247" s="93"/>
      <c r="BH247" s="93" t="b">
        <f t="shared" si="403"/>
        <v>0</v>
      </c>
      <c r="BI247" s="93" t="b">
        <f t="shared" si="403"/>
        <v>1</v>
      </c>
      <c r="BJ247" s="93" t="b">
        <f t="shared" si="403"/>
        <v>1</v>
      </c>
      <c r="BK247" s="93">
        <f t="shared" si="403"/>
        <v>0</v>
      </c>
      <c r="BL247" s="93" t="b">
        <f t="shared" si="403"/>
        <v>0</v>
      </c>
      <c r="BM247" s="93" t="b">
        <f t="shared" si="403"/>
        <v>1</v>
      </c>
      <c r="BN247" s="93" t="b">
        <f t="shared" si="403"/>
        <v>0</v>
      </c>
      <c r="BO247" s="93" t="b">
        <f t="shared" si="403"/>
        <v>1</v>
      </c>
      <c r="BP247" s="93" t="b">
        <f t="shared" si="403"/>
        <v>1</v>
      </c>
      <c r="BQ247" s="93">
        <f t="shared" si="403"/>
        <v>0</v>
      </c>
      <c r="BR247" s="93"/>
      <c r="BS247" s="116"/>
      <c r="BT247" s="163" t="s">
        <v>2452</v>
      </c>
      <c r="BU247" s="102"/>
      <c r="BV247" s="115"/>
      <c r="BW247" s="115"/>
      <c r="BX247" s="115"/>
      <c r="BY247" s="115"/>
      <c r="BZ247" s="158" t="s">
        <v>334</v>
      </c>
      <c r="CA247" s="116"/>
      <c r="CB247" s="102"/>
      <c r="CC247" s="101"/>
      <c r="CD247" s="101"/>
      <c r="CE247" s="115"/>
      <c r="CF247" s="115"/>
      <c r="CG247" s="115"/>
      <c r="CH247" s="163" t="b">
        <f>IF(CH245=$BZ$246,TRUE,IF(CH246&gt;LARGE($CH246:$CQ246,3),TRUE))</f>
        <v>0</v>
      </c>
      <c r="CI247" s="163" t="b">
        <v>1</v>
      </c>
      <c r="CJ247" s="163" t="b">
        <v>1</v>
      </c>
      <c r="CK247" s="163"/>
      <c r="CL247" s="163" t="b">
        <f t="shared" ref="CL247:CP247" si="404">IF(CL245=$BZ$246,TRUE,IF(CL246&gt;LARGE($CH246:$CQ246,3),TRUE))</f>
        <v>1</v>
      </c>
      <c r="CM247" s="163" t="b">
        <f t="shared" si="404"/>
        <v>0</v>
      </c>
      <c r="CN247" s="163" t="b">
        <f t="shared" si="404"/>
        <v>0</v>
      </c>
      <c r="CO247" s="163" t="b">
        <f t="shared" si="404"/>
        <v>1</v>
      </c>
      <c r="CP247" s="163" t="b">
        <f t="shared" si="404"/>
        <v>1</v>
      </c>
      <c r="CQ247" s="163"/>
      <c r="CR247" s="115"/>
      <c r="CS247" s="115"/>
    </row>
    <row r="248" spans="1:97">
      <c r="A248" s="139"/>
      <c r="B248" s="117" t="str">
        <f>'Reference Score Calculation'!B225</f>
        <v>JS5230</v>
      </c>
      <c r="C248" s="117" t="str">
        <f>'Reference Score Calculation'!E225</f>
        <v>土木及環境工程學系</v>
      </c>
      <c r="D248" s="139"/>
      <c r="E248" s="117" t="str">
        <f>'Reference Score Calculation'!F225</f>
        <v>英數Best3</v>
      </c>
      <c r="F248" s="117"/>
      <c r="G248" s="117" t="str">
        <f>入學要求!AB234</f>
        <v>v</v>
      </c>
      <c r="H248" s="117" t="str">
        <f>入學要求!AC234</f>
        <v>NO</v>
      </c>
      <c r="I248" s="117" t="str">
        <f>入學要求!AD234</f>
        <v>NO</v>
      </c>
      <c r="J248" s="117">
        <f t="shared" si="352"/>
        <v>3.2999999999999998E-9</v>
      </c>
      <c r="K248" s="117">
        <v>1</v>
      </c>
      <c r="L248" s="139">
        <v>2</v>
      </c>
      <c r="M248" s="139">
        <v>2</v>
      </c>
      <c r="O248" s="139">
        <v>1.5</v>
      </c>
      <c r="P248" s="139">
        <f t="shared" si="394"/>
        <v>1</v>
      </c>
      <c r="Q248" s="139">
        <f t="shared" si="394"/>
        <v>1</v>
      </c>
      <c r="R248" s="139">
        <f t="shared" si="394"/>
        <v>1</v>
      </c>
      <c r="S248" s="139">
        <f t="shared" si="394"/>
        <v>1</v>
      </c>
      <c r="T248" s="117">
        <v>1</v>
      </c>
      <c r="U248" s="139"/>
      <c r="V248" s="117">
        <f t="shared" si="395"/>
        <v>1E-10</v>
      </c>
      <c r="W248" s="117">
        <f t="shared" si="396"/>
        <v>4.0000000000000001E-10</v>
      </c>
      <c r="X248" s="117">
        <f t="shared" si="397"/>
        <v>6E-10</v>
      </c>
      <c r="Z248" s="117">
        <f t="shared" si="398"/>
        <v>7.500000000000001E-10</v>
      </c>
      <c r="AA248" s="117">
        <f t="shared" si="399"/>
        <v>6E-10</v>
      </c>
      <c r="AB248" s="117">
        <f t="shared" si="400"/>
        <v>6.9999999999999996E-10</v>
      </c>
      <c r="AC248" s="117">
        <f t="shared" si="401"/>
        <v>8.0000000000000003E-10</v>
      </c>
      <c r="AD248" s="117">
        <f t="shared" si="402"/>
        <v>8.9999999999999999E-10</v>
      </c>
      <c r="AE248" s="117">
        <f t="shared" si="373"/>
        <v>0</v>
      </c>
      <c r="AF248" s="117">
        <f t="shared" si="361"/>
        <v>1E-10</v>
      </c>
      <c r="AG248" s="117">
        <f t="shared" si="362"/>
        <v>99.000000000399993</v>
      </c>
      <c r="AH248" s="117">
        <f t="shared" si="363"/>
        <v>99.000000000599996</v>
      </c>
      <c r="AI248" s="117">
        <f t="shared" si="364"/>
        <v>0</v>
      </c>
      <c r="AJ248" s="117">
        <f t="shared" si="365"/>
        <v>7.500000000000001E-10</v>
      </c>
      <c r="AK248" s="117">
        <f t="shared" si="366"/>
        <v>99.000000000599996</v>
      </c>
      <c r="AL248" s="117">
        <f t="shared" si="367"/>
        <v>6.9999999999999996E-10</v>
      </c>
      <c r="AM248" s="117">
        <f t="shared" si="368"/>
        <v>99.0000000008</v>
      </c>
      <c r="AN248" s="117">
        <f t="shared" si="369"/>
        <v>99.000000000900002</v>
      </c>
      <c r="AO248" s="117">
        <f t="shared" si="370"/>
        <v>0</v>
      </c>
      <c r="AP248" s="117" t="b">
        <f t="shared" si="374"/>
        <v>0</v>
      </c>
      <c r="AQ248" s="117" t="b">
        <f t="shared" si="375"/>
        <v>1</v>
      </c>
      <c r="AR248" s="117" t="b">
        <f t="shared" si="376"/>
        <v>1</v>
      </c>
      <c r="AT248" s="117" t="b">
        <f t="shared" si="377"/>
        <v>0</v>
      </c>
      <c r="AU248" s="117" t="b">
        <f t="shared" si="378"/>
        <v>1</v>
      </c>
      <c r="AV248" s="117" t="b">
        <f t="shared" si="379"/>
        <v>0</v>
      </c>
      <c r="AW248" s="117" t="b">
        <f t="shared" si="380"/>
        <v>1</v>
      </c>
      <c r="AX248" s="117" t="b">
        <f t="shared" si="381"/>
        <v>1</v>
      </c>
      <c r="AY248" s="117" t="b">
        <f t="shared" si="382"/>
        <v>0</v>
      </c>
      <c r="AZ248" s="117" t="str">
        <f t="shared" si="383"/>
        <v>JS5230</v>
      </c>
      <c r="BA248" s="117" t="str">
        <f>'Reference Score Calculation'!N225</f>
        <v>此分數為 上年 JS5200 工程學 的 收生分數，敬請注意。</v>
      </c>
      <c r="BB248" s="117">
        <f>'Reference Score Calculation'!O225</f>
        <v>0</v>
      </c>
      <c r="BC248" s="2" t="str">
        <f t="shared" si="384"/>
        <v>數學延伸</v>
      </c>
      <c r="BD248" s="93">
        <f t="shared" si="385"/>
        <v>7.500000000000001E-10</v>
      </c>
      <c r="BE248" s="93">
        <f t="shared" si="386"/>
        <v>1</v>
      </c>
      <c r="BF248" s="93" t="str">
        <f t="shared" si="387"/>
        <v>Best 5總分 x 1</v>
      </c>
      <c r="BG248" s="93"/>
      <c r="BH248" s="93" t="b">
        <f t="shared" si="403"/>
        <v>0</v>
      </c>
      <c r="BI248" s="93" t="b">
        <f t="shared" si="403"/>
        <v>1</v>
      </c>
      <c r="BJ248" s="93" t="b">
        <f t="shared" si="403"/>
        <v>1</v>
      </c>
      <c r="BK248" s="93">
        <f t="shared" si="403"/>
        <v>0</v>
      </c>
      <c r="BL248" s="93" t="b">
        <f t="shared" si="403"/>
        <v>0</v>
      </c>
      <c r="BM248" s="93" t="b">
        <f t="shared" si="403"/>
        <v>1</v>
      </c>
      <c r="BN248" s="93" t="b">
        <f t="shared" si="403"/>
        <v>0</v>
      </c>
      <c r="BO248" s="93" t="b">
        <f t="shared" si="403"/>
        <v>1</v>
      </c>
      <c r="BP248" s="93" t="b">
        <f t="shared" si="403"/>
        <v>1</v>
      </c>
      <c r="BQ248" s="93">
        <f t="shared" si="403"/>
        <v>0</v>
      </c>
      <c r="BR248" s="93"/>
      <c r="BS248" s="116"/>
      <c r="BT248" s="163"/>
      <c r="BU248" s="102"/>
      <c r="BV248" s="115"/>
      <c r="BW248" s="115"/>
      <c r="BX248" s="115"/>
      <c r="BY248" s="115"/>
      <c r="BZ248" s="228"/>
      <c r="CA248" s="115"/>
      <c r="CB248" s="102"/>
      <c r="CC248" s="101"/>
      <c r="CD248" s="101"/>
      <c r="CE248" s="115"/>
      <c r="CF248" s="115"/>
      <c r="CG248" s="115"/>
      <c r="CH248" s="163"/>
      <c r="CI248" s="163"/>
      <c r="CJ248" s="163"/>
      <c r="CK248" s="163"/>
      <c r="CL248" s="163"/>
      <c r="CM248" s="163"/>
      <c r="CN248" s="163"/>
      <c r="CO248" s="163"/>
      <c r="CP248" s="163"/>
      <c r="CQ248" s="163"/>
      <c r="CR248" s="115"/>
      <c r="CS248" s="115"/>
    </row>
    <row r="249" spans="1:97">
      <c r="A249" s="139"/>
      <c r="B249" s="117" t="str">
        <f>'Reference Score Calculation'!B226</f>
        <v>JS5240</v>
      </c>
      <c r="C249" s="117" t="str">
        <f>'Reference Score Calculation'!E226</f>
        <v>計算機科學及工程學系</v>
      </c>
      <c r="D249" s="139"/>
      <c r="E249" s="117" t="str">
        <f>'Reference Score Calculation'!F226</f>
        <v>英數Best3</v>
      </c>
      <c r="F249" s="117"/>
      <c r="G249" s="117" t="str">
        <f>入學要求!AB235</f>
        <v>v</v>
      </c>
      <c r="H249" s="117" t="str">
        <f>入學要求!AC235</f>
        <v>NO</v>
      </c>
      <c r="I249" s="117" t="str">
        <f>入學要求!AD235</f>
        <v>NO</v>
      </c>
      <c r="J249" s="117">
        <f t="shared" si="352"/>
        <v>3.2999999999999998E-9</v>
      </c>
      <c r="K249" s="117">
        <v>1</v>
      </c>
      <c r="L249" s="139">
        <v>2</v>
      </c>
      <c r="M249" s="139">
        <v>2</v>
      </c>
      <c r="O249" s="139">
        <v>1.5</v>
      </c>
      <c r="P249" s="139">
        <f t="shared" si="394"/>
        <v>1</v>
      </c>
      <c r="Q249" s="139">
        <f t="shared" si="394"/>
        <v>1</v>
      </c>
      <c r="R249" s="139">
        <f t="shared" si="394"/>
        <v>1</v>
      </c>
      <c r="S249" s="139">
        <f t="shared" si="394"/>
        <v>1</v>
      </c>
      <c r="T249" s="117">
        <v>1</v>
      </c>
      <c r="U249" s="139"/>
      <c r="V249" s="117">
        <f t="shared" si="395"/>
        <v>1E-10</v>
      </c>
      <c r="W249" s="117">
        <f t="shared" si="396"/>
        <v>4.0000000000000001E-10</v>
      </c>
      <c r="X249" s="117">
        <f t="shared" si="397"/>
        <v>6E-10</v>
      </c>
      <c r="Z249" s="117">
        <f t="shared" si="398"/>
        <v>7.500000000000001E-10</v>
      </c>
      <c r="AA249" s="117">
        <f t="shared" si="399"/>
        <v>6E-10</v>
      </c>
      <c r="AB249" s="117">
        <f t="shared" si="400"/>
        <v>6.9999999999999996E-10</v>
      </c>
      <c r="AC249" s="117">
        <f t="shared" si="401"/>
        <v>8.0000000000000003E-10</v>
      </c>
      <c r="AD249" s="117">
        <f t="shared" si="402"/>
        <v>8.9999999999999999E-10</v>
      </c>
      <c r="AE249" s="117">
        <f t="shared" si="373"/>
        <v>0</v>
      </c>
      <c r="AF249" s="117">
        <f t="shared" si="361"/>
        <v>1E-10</v>
      </c>
      <c r="AG249" s="117">
        <f t="shared" si="362"/>
        <v>99.000000000399993</v>
      </c>
      <c r="AH249" s="117">
        <f t="shared" si="363"/>
        <v>99.000000000599996</v>
      </c>
      <c r="AI249" s="117">
        <f t="shared" si="364"/>
        <v>0</v>
      </c>
      <c r="AJ249" s="117">
        <f t="shared" si="365"/>
        <v>7.500000000000001E-10</v>
      </c>
      <c r="AK249" s="117">
        <f t="shared" si="366"/>
        <v>99.000000000599996</v>
      </c>
      <c r="AL249" s="117">
        <f t="shared" si="367"/>
        <v>6.9999999999999996E-10</v>
      </c>
      <c r="AM249" s="117">
        <f t="shared" si="368"/>
        <v>99.0000000008</v>
      </c>
      <c r="AN249" s="117">
        <f t="shared" si="369"/>
        <v>99.000000000900002</v>
      </c>
      <c r="AO249" s="117">
        <f t="shared" si="370"/>
        <v>0</v>
      </c>
      <c r="AP249" s="117" t="b">
        <f t="shared" si="374"/>
        <v>0</v>
      </c>
      <c r="AQ249" s="117" t="b">
        <f t="shared" si="375"/>
        <v>1</v>
      </c>
      <c r="AR249" s="117" t="b">
        <f t="shared" si="376"/>
        <v>1</v>
      </c>
      <c r="AT249" s="117" t="b">
        <f t="shared" si="377"/>
        <v>0</v>
      </c>
      <c r="AU249" s="117" t="b">
        <f t="shared" si="378"/>
        <v>1</v>
      </c>
      <c r="AV249" s="117" t="b">
        <f t="shared" si="379"/>
        <v>0</v>
      </c>
      <c r="AW249" s="117" t="b">
        <f t="shared" si="380"/>
        <v>1</v>
      </c>
      <c r="AX249" s="117" t="b">
        <f t="shared" si="381"/>
        <v>1</v>
      </c>
      <c r="AY249" s="117" t="b">
        <f t="shared" si="382"/>
        <v>0</v>
      </c>
      <c r="AZ249" s="117" t="str">
        <f t="shared" si="383"/>
        <v>JS5240</v>
      </c>
      <c r="BA249" s="117" t="str">
        <f>'Reference Score Calculation'!N226</f>
        <v>此分數為 上年 JS5282 工程學– 延伸主修人工智能 的 收生分數，敬請注意。</v>
      </c>
      <c r="BB249" s="117">
        <f>'Reference Score Calculation'!O226</f>
        <v>0</v>
      </c>
      <c r="BC249" s="2" t="str">
        <f t="shared" si="384"/>
        <v>數學延伸</v>
      </c>
      <c r="BD249" s="93">
        <f t="shared" si="385"/>
        <v>7.500000000000001E-10</v>
      </c>
      <c r="BE249" s="93">
        <f t="shared" si="386"/>
        <v>1</v>
      </c>
      <c r="BF249" s="93" t="str">
        <f t="shared" si="387"/>
        <v>Best 5總分 x 1</v>
      </c>
      <c r="BG249" s="93"/>
      <c r="BH249" s="93" t="b">
        <f t="shared" si="403"/>
        <v>0</v>
      </c>
      <c r="BI249" s="93" t="b">
        <f t="shared" si="403"/>
        <v>1</v>
      </c>
      <c r="BJ249" s="93" t="b">
        <f t="shared" si="403"/>
        <v>1</v>
      </c>
      <c r="BK249" s="93">
        <f t="shared" si="403"/>
        <v>0</v>
      </c>
      <c r="BL249" s="93" t="b">
        <f t="shared" si="403"/>
        <v>0</v>
      </c>
      <c r="BM249" s="93" t="b">
        <f t="shared" si="403"/>
        <v>1</v>
      </c>
      <c r="BN249" s="93" t="b">
        <f t="shared" si="403"/>
        <v>0</v>
      </c>
      <c r="BO249" s="93" t="b">
        <f t="shared" si="403"/>
        <v>1</v>
      </c>
      <c r="BP249" s="93" t="b">
        <f t="shared" si="403"/>
        <v>1</v>
      </c>
      <c r="BQ249" s="93">
        <f t="shared" si="403"/>
        <v>0</v>
      </c>
      <c r="BR249" s="93"/>
      <c r="BS249" s="116" t="s">
        <v>461</v>
      </c>
      <c r="BT249" s="101" t="str">
        <f>P$1</f>
        <v>請選擇第一選修科</v>
      </c>
      <c r="BU249" s="101" t="str">
        <f>Q$1</f>
        <v>請選擇第二選修科</v>
      </c>
      <c r="BV249" s="101" t="str">
        <f>R$1</f>
        <v>請選擇第三選修科</v>
      </c>
      <c r="BW249" s="101" t="str">
        <f>S$1</f>
        <v>請選擇第四選修科</v>
      </c>
      <c r="BX249" s="101" t="str">
        <f>O$1</f>
        <v>數學延伸</v>
      </c>
      <c r="BY249" s="115"/>
      <c r="BZ249" s="156" t="s">
        <v>332</v>
      </c>
      <c r="CA249" s="116"/>
      <c r="CB249" s="102" t="s">
        <v>96</v>
      </c>
      <c r="CC249" s="101"/>
      <c r="CD249" s="156" t="s">
        <v>333</v>
      </c>
      <c r="CE249" s="116"/>
      <c r="CF249" s="102" t="s">
        <v>96</v>
      </c>
      <c r="CG249" s="115"/>
      <c r="CH249" s="101" t="str">
        <f>K$1</f>
        <v>中國語文</v>
      </c>
      <c r="CI249" s="101" t="str">
        <f>L$1</f>
        <v>英國語文</v>
      </c>
      <c r="CJ249" s="101" t="str">
        <f>M$1</f>
        <v>數學</v>
      </c>
      <c r="CK249" s="101"/>
      <c r="CL249" s="101" t="str">
        <f>O$1</f>
        <v>數學延伸</v>
      </c>
      <c r="CM249" s="101" t="str">
        <f>P$1</f>
        <v>請選擇第一選修科</v>
      </c>
      <c r="CN249" s="101" t="str">
        <f>Q$1</f>
        <v>請選擇第二選修科</v>
      </c>
      <c r="CO249" s="101" t="str">
        <f>R$1</f>
        <v>請選擇第三選修科</v>
      </c>
      <c r="CP249" s="101" t="str">
        <f>S$1</f>
        <v>請選擇第四選修科</v>
      </c>
      <c r="CQ249" s="101"/>
      <c r="CR249" s="115"/>
      <c r="CS249" s="115"/>
    </row>
    <row r="250" spans="1:97">
      <c r="A250" s="139"/>
      <c r="B250" s="117" t="str">
        <f>'Reference Score Calculation'!B227</f>
        <v>JS5250</v>
      </c>
      <c r="C250" s="117" t="str">
        <f>'Reference Score Calculation'!E227</f>
        <v>電子及計算機工程學系</v>
      </c>
      <c r="D250" s="139"/>
      <c r="E250" s="117" t="str">
        <f>'Reference Score Calculation'!F227</f>
        <v>英數Best3</v>
      </c>
      <c r="F250" s="117"/>
      <c r="G250" s="117" t="str">
        <f>入學要求!AB236</f>
        <v>v</v>
      </c>
      <c r="H250" s="117" t="str">
        <f>入學要求!AC236</f>
        <v>NO</v>
      </c>
      <c r="I250" s="117" t="str">
        <f>入學要求!AD236</f>
        <v>NO</v>
      </c>
      <c r="J250" s="117">
        <f t="shared" si="352"/>
        <v>3.2999999999999998E-9</v>
      </c>
      <c r="K250" s="117">
        <v>1</v>
      </c>
      <c r="L250" s="139">
        <v>2</v>
      </c>
      <c r="M250" s="139">
        <v>2</v>
      </c>
      <c r="O250" s="139">
        <v>1.5</v>
      </c>
      <c r="P250" s="139">
        <f t="shared" si="394"/>
        <v>1</v>
      </c>
      <c r="Q250" s="139">
        <f t="shared" si="394"/>
        <v>1</v>
      </c>
      <c r="R250" s="139">
        <f t="shared" si="394"/>
        <v>1</v>
      </c>
      <c r="S250" s="139">
        <f t="shared" si="394"/>
        <v>1</v>
      </c>
      <c r="T250" s="117">
        <v>1</v>
      </c>
      <c r="U250" s="139"/>
      <c r="V250" s="117">
        <f t="shared" si="395"/>
        <v>1E-10</v>
      </c>
      <c r="W250" s="117">
        <f t="shared" si="396"/>
        <v>4.0000000000000001E-10</v>
      </c>
      <c r="X250" s="117">
        <f t="shared" si="397"/>
        <v>6E-10</v>
      </c>
      <c r="Z250" s="117">
        <f t="shared" si="398"/>
        <v>7.500000000000001E-10</v>
      </c>
      <c r="AA250" s="117">
        <f t="shared" si="399"/>
        <v>6E-10</v>
      </c>
      <c r="AB250" s="117">
        <f t="shared" si="400"/>
        <v>6.9999999999999996E-10</v>
      </c>
      <c r="AC250" s="117">
        <f t="shared" si="401"/>
        <v>8.0000000000000003E-10</v>
      </c>
      <c r="AD250" s="117">
        <f t="shared" si="402"/>
        <v>8.9999999999999999E-10</v>
      </c>
      <c r="AE250" s="117">
        <f t="shared" si="373"/>
        <v>0</v>
      </c>
      <c r="AF250" s="117">
        <f t="shared" si="361"/>
        <v>1E-10</v>
      </c>
      <c r="AG250" s="117">
        <f t="shared" si="362"/>
        <v>99.000000000399993</v>
      </c>
      <c r="AH250" s="117">
        <f t="shared" si="363"/>
        <v>99.000000000599996</v>
      </c>
      <c r="AI250" s="117">
        <f t="shared" si="364"/>
        <v>0</v>
      </c>
      <c r="AJ250" s="117">
        <f t="shared" si="365"/>
        <v>7.500000000000001E-10</v>
      </c>
      <c r="AK250" s="117">
        <f t="shared" si="366"/>
        <v>99.000000000599996</v>
      </c>
      <c r="AL250" s="117">
        <f t="shared" si="367"/>
        <v>6.9999999999999996E-10</v>
      </c>
      <c r="AM250" s="117">
        <f t="shared" si="368"/>
        <v>99.0000000008</v>
      </c>
      <c r="AN250" s="117">
        <f t="shared" si="369"/>
        <v>99.000000000900002</v>
      </c>
      <c r="AO250" s="117">
        <f t="shared" si="370"/>
        <v>0</v>
      </c>
      <c r="AP250" s="117" t="b">
        <f t="shared" si="374"/>
        <v>0</v>
      </c>
      <c r="AQ250" s="117" t="b">
        <f t="shared" si="375"/>
        <v>1</v>
      </c>
      <c r="AR250" s="117" t="b">
        <f t="shared" si="376"/>
        <v>1</v>
      </c>
      <c r="AT250" s="117" t="b">
        <f t="shared" si="377"/>
        <v>0</v>
      </c>
      <c r="AU250" s="117" t="b">
        <f t="shared" si="378"/>
        <v>1</v>
      </c>
      <c r="AV250" s="117" t="b">
        <f t="shared" si="379"/>
        <v>0</v>
      </c>
      <c r="AW250" s="117" t="b">
        <f t="shared" si="380"/>
        <v>1</v>
      </c>
      <c r="AX250" s="117" t="b">
        <f t="shared" si="381"/>
        <v>1</v>
      </c>
      <c r="AY250" s="117" t="b">
        <f t="shared" si="382"/>
        <v>0</v>
      </c>
      <c r="AZ250" s="117" t="str">
        <f t="shared" si="383"/>
        <v>JS5250</v>
      </c>
      <c r="BA250" s="117" t="str">
        <f>'Reference Score Calculation'!N227</f>
        <v>此分數為 上年 JS5200 工程學 的 收生分數，敬請注意。</v>
      </c>
      <c r="BB250" s="117">
        <f>'Reference Score Calculation'!O227</f>
        <v>0</v>
      </c>
      <c r="BC250" s="2" t="str">
        <f t="shared" si="384"/>
        <v>數學延伸</v>
      </c>
      <c r="BD250" s="93">
        <f t="shared" si="385"/>
        <v>7.500000000000001E-10</v>
      </c>
      <c r="BE250" s="93">
        <f t="shared" si="386"/>
        <v>1</v>
      </c>
      <c r="BF250" s="93" t="str">
        <f t="shared" si="387"/>
        <v>Best 5總分 x 1</v>
      </c>
      <c r="BG250" s="93"/>
      <c r="BH250" s="93" t="b">
        <f t="shared" si="403"/>
        <v>0</v>
      </c>
      <c r="BI250" s="93" t="b">
        <f t="shared" si="403"/>
        <v>1</v>
      </c>
      <c r="BJ250" s="93" t="b">
        <f t="shared" si="403"/>
        <v>1</v>
      </c>
      <c r="BK250" s="93">
        <f t="shared" si="403"/>
        <v>0</v>
      </c>
      <c r="BL250" s="93" t="b">
        <f t="shared" si="403"/>
        <v>0</v>
      </c>
      <c r="BM250" s="93" t="b">
        <f t="shared" si="403"/>
        <v>1</v>
      </c>
      <c r="BN250" s="93" t="b">
        <f t="shared" si="403"/>
        <v>0</v>
      </c>
      <c r="BO250" s="93" t="b">
        <f t="shared" si="403"/>
        <v>1</v>
      </c>
      <c r="BP250" s="93" t="b">
        <f t="shared" si="403"/>
        <v>1</v>
      </c>
      <c r="BQ250" s="93">
        <f t="shared" si="403"/>
        <v>0</v>
      </c>
      <c r="BR250" s="93"/>
      <c r="BS250" s="116"/>
      <c r="BT250" s="21">
        <f>IF(P$1="物理",P$7*1.5,IF(OR(P$1="化學",P$1="生物"),P$7*2,0))</f>
        <v>0</v>
      </c>
      <c r="BU250" s="21">
        <f>IF(Q$1="物理",Q$7*1.5,IF(OR(Q$1="化學",Q$1="生物"),Q$7*2,0))</f>
        <v>0</v>
      </c>
      <c r="BV250" s="21">
        <f>IF(R$1="物理",R$7*1.5,IF(OR(R$1="化學",R$1="生物"),R$7*2,0))</f>
        <v>0</v>
      </c>
      <c r="BW250" s="21">
        <f>IF(S$1="物理",S$7*1.5,IF(OR(S$1="化學",S$1="生物"),S$7*2,0))</f>
        <v>0</v>
      </c>
      <c r="BX250" s="2">
        <f>O$7*1.5</f>
        <v>7.500000000000001E-10</v>
      </c>
      <c r="BY250" s="115"/>
      <c r="BZ250" s="117" t="str">
        <f>INDEX(BT249:BX249,MATCH(LARGE(BT250:BX250,1),BT250:BX250,0))</f>
        <v>數學延伸</v>
      </c>
      <c r="CA250" s="117">
        <f>LARGE((BT250:BX250),1)</f>
        <v>7.500000000000001E-10</v>
      </c>
      <c r="CB250" s="16">
        <f>IF(OR(BZ250="生物",BZ250="化學"),2,IF(OR(BZ250="物理",BZ250="數學延伸",BZ250="組合科學(物理、化學)",BZ250="組合科學(生物、化學)",BZ250="組合科學(物理、生物)"),1.5,1))</f>
        <v>1.5</v>
      </c>
      <c r="CC250" s="101"/>
      <c r="CD250" s="117" t="str">
        <f>INDEX(BT249:BX249,MATCH(LARGE(BT250:BX250,2),BT250:BX250,0))</f>
        <v>請選擇第一選修科</v>
      </c>
      <c r="CE250" s="117">
        <f>LARGE((BT242:BX242),2)</f>
        <v>0</v>
      </c>
      <c r="CF250" s="16">
        <f>IF(OR(CD250="生物",CD250="化學"),2,IF(OR(CD250="物理",CD250="數學延伸",CD250="組合科學(物理、化學)",CD250="組合科學(生物、化學)",CD250="組合科學(物理、生物)"),1.5,1))</f>
        <v>1</v>
      </c>
      <c r="CG250" s="115"/>
      <c r="CH250" s="21">
        <f>IF(CH249=$BZ$250,0,IF(CH249=$CD$250,$CE$250*$CF$250,K$7))</f>
        <v>1E-10</v>
      </c>
      <c r="CI250" s="21">
        <v>0</v>
      </c>
      <c r="CJ250" s="21">
        <v>0</v>
      </c>
      <c r="CK250" s="21"/>
      <c r="CL250" s="21">
        <f>IF(CL249=$BZ$250,0,IF(CL249=$CD$250,$CE$250*$CF$250,O$7))</f>
        <v>0</v>
      </c>
      <c r="CM250" s="21">
        <f>IF(CM249=$BZ$250,0,IF(CM249=$CD$250,$CE$250*$CF$250,P$7))</f>
        <v>0</v>
      </c>
      <c r="CN250" s="21">
        <f>IF(CN249=$BZ$250,0,IF(CN249=$CD$250,$CE$250*$CF$250,Q$7))</f>
        <v>6.9999999999999996E-10</v>
      </c>
      <c r="CO250" s="21">
        <f>IF(CO249=$BZ$250,0,IF(CO249=$CD$250,$CE$250*$CF$250,R$7))</f>
        <v>8.0000000000000003E-10</v>
      </c>
      <c r="CP250" s="21">
        <f>IF(CP249=$BZ$250,0,IF(CP249=$CD$250,$CE$250*$CF$250,S$7))</f>
        <v>8.9999999999999999E-10</v>
      </c>
      <c r="CQ250" s="21"/>
      <c r="CR250" s="115"/>
      <c r="CS250" s="115"/>
    </row>
    <row r="251" spans="1:97">
      <c r="A251" s="139"/>
      <c r="B251" s="117" t="str">
        <f>'Reference Score Calculation'!B228</f>
        <v>JS5260</v>
      </c>
      <c r="C251" s="117" t="str">
        <f>'Reference Score Calculation'!E228</f>
        <v>工業工程及決策分析學系</v>
      </c>
      <c r="D251" s="139"/>
      <c r="E251" s="117" t="str">
        <f>'Reference Score Calculation'!F228</f>
        <v>英數Best3</v>
      </c>
      <c r="F251" s="117"/>
      <c r="G251" s="117" t="str">
        <f>入學要求!AB237</f>
        <v>v</v>
      </c>
      <c r="H251" s="117" t="str">
        <f>入學要求!AC237</f>
        <v>NO</v>
      </c>
      <c r="I251" s="117" t="str">
        <f>入學要求!AD237</f>
        <v>NO</v>
      </c>
      <c r="J251" s="117">
        <f t="shared" si="352"/>
        <v>3.2999999999999998E-9</v>
      </c>
      <c r="K251" s="117">
        <v>1</v>
      </c>
      <c r="L251" s="139">
        <v>2</v>
      </c>
      <c r="M251" s="139">
        <v>2</v>
      </c>
      <c r="O251" s="139">
        <v>1.5</v>
      </c>
      <c r="P251" s="139">
        <f t="shared" si="394"/>
        <v>1</v>
      </c>
      <c r="Q251" s="139">
        <f t="shared" si="394"/>
        <v>1</v>
      </c>
      <c r="R251" s="139">
        <f t="shared" si="394"/>
        <v>1</v>
      </c>
      <c r="S251" s="139">
        <f t="shared" si="394"/>
        <v>1</v>
      </c>
      <c r="T251" s="117">
        <v>1</v>
      </c>
      <c r="U251" s="139"/>
      <c r="V251" s="117">
        <f t="shared" si="395"/>
        <v>1E-10</v>
      </c>
      <c r="W251" s="117">
        <f t="shared" si="396"/>
        <v>4.0000000000000001E-10</v>
      </c>
      <c r="X251" s="117">
        <f t="shared" si="397"/>
        <v>6E-10</v>
      </c>
      <c r="Z251" s="117">
        <f t="shared" si="398"/>
        <v>7.500000000000001E-10</v>
      </c>
      <c r="AA251" s="117">
        <f t="shared" si="399"/>
        <v>6E-10</v>
      </c>
      <c r="AB251" s="117">
        <f t="shared" si="400"/>
        <v>6.9999999999999996E-10</v>
      </c>
      <c r="AC251" s="117">
        <f t="shared" si="401"/>
        <v>8.0000000000000003E-10</v>
      </c>
      <c r="AD251" s="117">
        <f t="shared" si="402"/>
        <v>8.9999999999999999E-10</v>
      </c>
      <c r="AE251" s="117">
        <f t="shared" si="373"/>
        <v>0</v>
      </c>
      <c r="AF251" s="117">
        <f t="shared" si="361"/>
        <v>1E-10</v>
      </c>
      <c r="AG251" s="117">
        <f t="shared" si="362"/>
        <v>99.000000000399993</v>
      </c>
      <c r="AH251" s="117">
        <f t="shared" si="363"/>
        <v>99.000000000599996</v>
      </c>
      <c r="AI251" s="117">
        <f t="shared" si="364"/>
        <v>0</v>
      </c>
      <c r="AJ251" s="117">
        <f t="shared" si="365"/>
        <v>7.500000000000001E-10</v>
      </c>
      <c r="AK251" s="117">
        <f t="shared" si="366"/>
        <v>99.000000000599996</v>
      </c>
      <c r="AL251" s="117">
        <f t="shared" si="367"/>
        <v>6.9999999999999996E-10</v>
      </c>
      <c r="AM251" s="117">
        <f t="shared" si="368"/>
        <v>99.0000000008</v>
      </c>
      <c r="AN251" s="117">
        <f t="shared" si="369"/>
        <v>99.000000000900002</v>
      </c>
      <c r="AO251" s="117">
        <f t="shared" si="370"/>
        <v>0</v>
      </c>
      <c r="AP251" s="117" t="b">
        <f t="shared" si="374"/>
        <v>0</v>
      </c>
      <c r="AQ251" s="117" t="b">
        <f t="shared" si="375"/>
        <v>1</v>
      </c>
      <c r="AR251" s="117" t="b">
        <f t="shared" si="376"/>
        <v>1</v>
      </c>
      <c r="AT251" s="117" t="b">
        <f t="shared" si="377"/>
        <v>0</v>
      </c>
      <c r="AU251" s="117" t="b">
        <f t="shared" si="378"/>
        <v>1</v>
      </c>
      <c r="AV251" s="117" t="b">
        <f t="shared" si="379"/>
        <v>0</v>
      </c>
      <c r="AW251" s="117" t="b">
        <f t="shared" si="380"/>
        <v>1</v>
      </c>
      <c r="AX251" s="117" t="b">
        <f t="shared" si="381"/>
        <v>1</v>
      </c>
      <c r="AY251" s="117" t="b">
        <f t="shared" si="382"/>
        <v>0</v>
      </c>
      <c r="AZ251" s="117" t="str">
        <f t="shared" si="383"/>
        <v>JS5260</v>
      </c>
      <c r="BA251" s="117" t="str">
        <f>'Reference Score Calculation'!N228</f>
        <v>此分數為 上年 JS5200 工程學 的 收生分數，敬請注意。</v>
      </c>
      <c r="BB251" s="117">
        <f>'Reference Score Calculation'!O228</f>
        <v>0</v>
      </c>
      <c r="BC251" s="2" t="str">
        <f t="shared" si="384"/>
        <v>數學延伸</v>
      </c>
      <c r="BD251" s="93">
        <f t="shared" si="385"/>
        <v>7.500000000000001E-10</v>
      </c>
      <c r="BE251" s="93">
        <f t="shared" si="386"/>
        <v>1</v>
      </c>
      <c r="BF251" s="93" t="str">
        <f t="shared" si="387"/>
        <v>Best 5總分 x 1</v>
      </c>
      <c r="BG251" s="93"/>
      <c r="BH251" s="93" t="b">
        <f t="shared" si="403"/>
        <v>0</v>
      </c>
      <c r="BI251" s="93" t="b">
        <f t="shared" si="403"/>
        <v>1</v>
      </c>
      <c r="BJ251" s="93" t="b">
        <f t="shared" si="403"/>
        <v>1</v>
      </c>
      <c r="BK251" s="93">
        <f t="shared" si="403"/>
        <v>0</v>
      </c>
      <c r="BL251" s="93" t="b">
        <f t="shared" si="403"/>
        <v>0</v>
      </c>
      <c r="BM251" s="93" t="b">
        <f t="shared" si="403"/>
        <v>1</v>
      </c>
      <c r="BN251" s="93" t="b">
        <f t="shared" si="403"/>
        <v>0</v>
      </c>
      <c r="BO251" s="93" t="b">
        <f t="shared" si="403"/>
        <v>1</v>
      </c>
      <c r="BP251" s="93" t="b">
        <f t="shared" si="403"/>
        <v>1</v>
      </c>
      <c r="BQ251" s="93">
        <f t="shared" si="403"/>
        <v>0</v>
      </c>
      <c r="BR251" s="93"/>
      <c r="BS251" s="116"/>
      <c r="BT251" s="163" t="s">
        <v>2451</v>
      </c>
      <c r="BU251" s="102"/>
      <c r="BV251" s="115"/>
      <c r="BW251" s="115"/>
      <c r="BX251" s="115"/>
      <c r="BY251" s="115"/>
      <c r="BZ251" s="158" t="s">
        <v>334</v>
      </c>
      <c r="CA251" s="116"/>
      <c r="CB251" s="102"/>
      <c r="CC251" s="101"/>
      <c r="CD251" s="101"/>
      <c r="CE251" s="115"/>
      <c r="CF251" s="115"/>
      <c r="CG251" s="115"/>
      <c r="CH251" s="163" t="b">
        <f>IF(CH249=$BZ$250,TRUE,IF(CH250&gt;LARGE($CH250:$CQ250,3),TRUE))</f>
        <v>0</v>
      </c>
      <c r="CI251" s="163" t="b">
        <v>1</v>
      </c>
      <c r="CJ251" s="163" t="b">
        <v>1</v>
      </c>
      <c r="CK251" s="163"/>
      <c r="CL251" s="163" t="b">
        <f t="shared" ref="CL251:CP251" si="405">IF(CL249=$BZ$250,TRUE,IF(CL250&gt;LARGE($CH250:$CQ250,3),TRUE))</f>
        <v>1</v>
      </c>
      <c r="CM251" s="163" t="b">
        <f t="shared" si="405"/>
        <v>0</v>
      </c>
      <c r="CN251" s="163" t="b">
        <f t="shared" si="405"/>
        <v>0</v>
      </c>
      <c r="CO251" s="163" t="b">
        <f t="shared" si="405"/>
        <v>1</v>
      </c>
      <c r="CP251" s="163" t="b">
        <f t="shared" si="405"/>
        <v>1</v>
      </c>
      <c r="CQ251" s="163"/>
      <c r="CR251" s="115"/>
      <c r="CS251" s="115"/>
    </row>
    <row r="252" spans="1:97">
      <c r="A252" s="139"/>
      <c r="B252" s="117" t="str">
        <f>'Reference Score Calculation'!B229</f>
        <v>JS5270</v>
      </c>
      <c r="C252" s="117" t="str">
        <f>'Reference Score Calculation'!E229</f>
        <v>機械及航空航天工程學系</v>
      </c>
      <c r="D252" s="139"/>
      <c r="E252" s="117" t="str">
        <f>'Reference Score Calculation'!F229</f>
        <v>英數Best3</v>
      </c>
      <c r="F252" s="117"/>
      <c r="G252" s="117" t="str">
        <f>入學要求!AB238</f>
        <v>v</v>
      </c>
      <c r="H252" s="117" t="str">
        <f>入學要求!AC238</f>
        <v>NO</v>
      </c>
      <c r="I252" s="117" t="str">
        <f>入學要求!AD238</f>
        <v>NO</v>
      </c>
      <c r="J252" s="117">
        <f t="shared" si="352"/>
        <v>3.2999999999999998E-9</v>
      </c>
      <c r="K252" s="117">
        <v>1</v>
      </c>
      <c r="L252" s="139">
        <v>2</v>
      </c>
      <c r="M252" s="139">
        <v>2</v>
      </c>
      <c r="O252" s="139">
        <v>1.5</v>
      </c>
      <c r="P252" s="139">
        <f t="shared" si="394"/>
        <v>1</v>
      </c>
      <c r="Q252" s="139">
        <f t="shared" si="394"/>
        <v>1</v>
      </c>
      <c r="R252" s="139">
        <f t="shared" si="394"/>
        <v>1</v>
      </c>
      <c r="S252" s="139">
        <f t="shared" si="394"/>
        <v>1</v>
      </c>
      <c r="T252" s="117">
        <v>1</v>
      </c>
      <c r="U252" s="139"/>
      <c r="V252" s="117">
        <f t="shared" si="395"/>
        <v>1E-10</v>
      </c>
      <c r="W252" s="117">
        <f t="shared" si="396"/>
        <v>4.0000000000000001E-10</v>
      </c>
      <c r="X252" s="117">
        <f t="shared" si="397"/>
        <v>6E-10</v>
      </c>
      <c r="Z252" s="117">
        <f t="shared" si="398"/>
        <v>7.500000000000001E-10</v>
      </c>
      <c r="AA252" s="117">
        <f t="shared" si="399"/>
        <v>6E-10</v>
      </c>
      <c r="AB252" s="117">
        <f t="shared" si="400"/>
        <v>6.9999999999999996E-10</v>
      </c>
      <c r="AC252" s="117">
        <f t="shared" si="401"/>
        <v>8.0000000000000003E-10</v>
      </c>
      <c r="AD252" s="117">
        <f t="shared" si="402"/>
        <v>8.9999999999999999E-10</v>
      </c>
      <c r="AE252" s="117">
        <f t="shared" si="373"/>
        <v>0</v>
      </c>
      <c r="AF252" s="117">
        <f t="shared" si="361"/>
        <v>1E-10</v>
      </c>
      <c r="AG252" s="117">
        <f t="shared" si="362"/>
        <v>99.000000000399993</v>
      </c>
      <c r="AH252" s="117">
        <f t="shared" si="363"/>
        <v>99.000000000599996</v>
      </c>
      <c r="AI252" s="117">
        <f t="shared" si="364"/>
        <v>0</v>
      </c>
      <c r="AJ252" s="117">
        <f t="shared" si="365"/>
        <v>7.500000000000001E-10</v>
      </c>
      <c r="AK252" s="117">
        <f t="shared" si="366"/>
        <v>99.000000000599996</v>
      </c>
      <c r="AL252" s="117">
        <f t="shared" si="367"/>
        <v>6.9999999999999996E-10</v>
      </c>
      <c r="AM252" s="117">
        <f t="shared" si="368"/>
        <v>99.0000000008</v>
      </c>
      <c r="AN252" s="117">
        <f t="shared" si="369"/>
        <v>99.000000000900002</v>
      </c>
      <c r="AO252" s="117">
        <f t="shared" si="370"/>
        <v>0</v>
      </c>
      <c r="AP252" s="117" t="b">
        <f t="shared" si="374"/>
        <v>0</v>
      </c>
      <c r="AQ252" s="117" t="b">
        <f t="shared" si="375"/>
        <v>1</v>
      </c>
      <c r="AR252" s="117" t="b">
        <f t="shared" si="376"/>
        <v>1</v>
      </c>
      <c r="AT252" s="117" t="b">
        <f t="shared" si="377"/>
        <v>0</v>
      </c>
      <c r="AU252" s="117" t="b">
        <f t="shared" si="378"/>
        <v>1</v>
      </c>
      <c r="AV252" s="117" t="b">
        <f t="shared" si="379"/>
        <v>0</v>
      </c>
      <c r="AW252" s="117" t="b">
        <f t="shared" si="380"/>
        <v>1</v>
      </c>
      <c r="AX252" s="117" t="b">
        <f t="shared" si="381"/>
        <v>1</v>
      </c>
      <c r="AY252" s="117" t="b">
        <f t="shared" si="382"/>
        <v>0</v>
      </c>
      <c r="AZ252" s="117" t="str">
        <f t="shared" si="383"/>
        <v>JS5270</v>
      </c>
      <c r="BA252" s="117" t="str">
        <f>'Reference Score Calculation'!N229</f>
        <v>此分數為 上年 JS5200工程學 的 收生分數，敬請注意。</v>
      </c>
      <c r="BB252" s="117">
        <f>'Reference Score Calculation'!O229</f>
        <v>0</v>
      </c>
      <c r="BC252" s="2" t="str">
        <f t="shared" si="384"/>
        <v>數學延伸</v>
      </c>
      <c r="BD252" s="93">
        <f t="shared" si="385"/>
        <v>7.500000000000001E-10</v>
      </c>
      <c r="BE252" s="93">
        <f t="shared" si="386"/>
        <v>1</v>
      </c>
      <c r="BF252" s="93" t="str">
        <f t="shared" si="387"/>
        <v>Best 5總分 x 1</v>
      </c>
      <c r="BG252" s="93"/>
      <c r="BH252" s="93" t="b">
        <f t="shared" si="403"/>
        <v>0</v>
      </c>
      <c r="BI252" s="93" t="b">
        <f t="shared" si="403"/>
        <v>1</v>
      </c>
      <c r="BJ252" s="93" t="b">
        <f t="shared" si="403"/>
        <v>1</v>
      </c>
      <c r="BK252" s="93">
        <f t="shared" si="403"/>
        <v>0</v>
      </c>
      <c r="BL252" s="93" t="b">
        <f t="shared" si="403"/>
        <v>0</v>
      </c>
      <c r="BM252" s="93" t="b">
        <f t="shared" si="403"/>
        <v>1</v>
      </c>
      <c r="BN252" s="93" t="b">
        <f t="shared" si="403"/>
        <v>0</v>
      </c>
      <c r="BO252" s="93" t="b">
        <f t="shared" si="403"/>
        <v>1</v>
      </c>
      <c r="BP252" s="93" t="b">
        <f t="shared" si="403"/>
        <v>1</v>
      </c>
      <c r="BQ252" s="93">
        <f t="shared" si="403"/>
        <v>0</v>
      </c>
      <c r="BR252" s="93"/>
      <c r="BS252" s="116"/>
      <c r="BT252" s="163"/>
      <c r="BU252" s="102"/>
      <c r="BV252" s="115"/>
      <c r="BW252" s="115"/>
      <c r="BX252" s="115"/>
      <c r="BY252" s="115"/>
      <c r="BZ252" s="158"/>
      <c r="CA252" s="116"/>
      <c r="CB252" s="102"/>
      <c r="CC252" s="101"/>
      <c r="CD252" s="101"/>
      <c r="CE252" s="115"/>
      <c r="CF252" s="115"/>
      <c r="CG252" s="115"/>
      <c r="CH252" s="163"/>
      <c r="CI252" s="163"/>
      <c r="CJ252" s="163"/>
      <c r="CK252" s="163"/>
      <c r="CL252" s="163"/>
      <c r="CM252" s="163"/>
      <c r="CN252" s="163"/>
      <c r="CO252" s="163"/>
      <c r="CP252" s="163"/>
      <c r="CQ252" s="163"/>
      <c r="CR252" s="115"/>
      <c r="CS252" s="115"/>
    </row>
    <row r="253" spans="1:97">
      <c r="A253" s="139"/>
      <c r="B253" s="117" t="str">
        <f>'Reference Score Calculation'!B230</f>
        <v>JS5282</v>
      </c>
      <c r="C253" s="117" t="str">
        <f>'Reference Score Calculation'!E230</f>
        <v>工程學– 延伸主修人工智能</v>
      </c>
      <c r="D253" s="139"/>
      <c r="E253" s="117" t="str">
        <f>'Reference Score Calculation'!F230</f>
        <v>英數Best3</v>
      </c>
      <c r="F253" s="117"/>
      <c r="G253" s="117" t="str">
        <f>入學要求!AB239</f>
        <v>v</v>
      </c>
      <c r="H253" s="117" t="str">
        <f>入學要求!AC239</f>
        <v>NO</v>
      </c>
      <c r="I253" s="117" t="str">
        <f>入學要求!AD239</f>
        <v>NO</v>
      </c>
      <c r="J253" s="117">
        <f t="shared" si="352"/>
        <v>3.2999999999999998E-9</v>
      </c>
      <c r="K253" s="117">
        <v>1</v>
      </c>
      <c r="L253" s="139">
        <v>2</v>
      </c>
      <c r="M253" s="139">
        <v>2</v>
      </c>
      <c r="O253" s="139">
        <v>1.5</v>
      </c>
      <c r="P253" s="139">
        <f t="shared" si="394"/>
        <v>1</v>
      </c>
      <c r="Q253" s="139">
        <f t="shared" si="394"/>
        <v>1</v>
      </c>
      <c r="R253" s="139">
        <f t="shared" si="394"/>
        <v>1</v>
      </c>
      <c r="S253" s="139">
        <f t="shared" si="394"/>
        <v>1</v>
      </c>
      <c r="T253" s="117">
        <v>1</v>
      </c>
      <c r="U253" s="139"/>
      <c r="V253" s="117">
        <f t="shared" si="353"/>
        <v>1E-10</v>
      </c>
      <c r="W253" s="117">
        <f t="shared" si="354"/>
        <v>4.0000000000000001E-10</v>
      </c>
      <c r="X253" s="117">
        <f t="shared" si="355"/>
        <v>6E-10</v>
      </c>
      <c r="Z253" s="117">
        <f t="shared" si="356"/>
        <v>7.500000000000001E-10</v>
      </c>
      <c r="AA253" s="117">
        <f t="shared" si="357"/>
        <v>6E-10</v>
      </c>
      <c r="AB253" s="117">
        <f t="shared" si="358"/>
        <v>6.9999999999999996E-10</v>
      </c>
      <c r="AC253" s="117">
        <f t="shared" si="359"/>
        <v>8.0000000000000003E-10</v>
      </c>
      <c r="AD253" s="117">
        <f t="shared" si="360"/>
        <v>8.9999999999999999E-10</v>
      </c>
      <c r="AE253" s="117">
        <f t="shared" si="373"/>
        <v>0</v>
      </c>
      <c r="AF253" s="117">
        <f t="shared" si="361"/>
        <v>1E-10</v>
      </c>
      <c r="AG253" s="117">
        <f t="shared" si="362"/>
        <v>99.000000000399993</v>
      </c>
      <c r="AH253" s="117">
        <f t="shared" si="363"/>
        <v>99.000000000599996</v>
      </c>
      <c r="AI253" s="117">
        <f t="shared" si="364"/>
        <v>0</v>
      </c>
      <c r="AJ253" s="117">
        <f t="shared" si="365"/>
        <v>7.500000000000001E-10</v>
      </c>
      <c r="AK253" s="117">
        <f t="shared" si="366"/>
        <v>99.000000000599996</v>
      </c>
      <c r="AL253" s="117">
        <f t="shared" si="367"/>
        <v>6.9999999999999996E-10</v>
      </c>
      <c r="AM253" s="117">
        <f t="shared" si="368"/>
        <v>99.0000000008</v>
      </c>
      <c r="AN253" s="117">
        <f t="shared" si="369"/>
        <v>99.000000000900002</v>
      </c>
      <c r="AO253" s="117">
        <f t="shared" si="370"/>
        <v>0</v>
      </c>
      <c r="AP253" s="117" t="b">
        <f t="shared" si="374"/>
        <v>0</v>
      </c>
      <c r="AQ253" s="117" t="b">
        <f t="shared" si="375"/>
        <v>1</v>
      </c>
      <c r="AR253" s="117" t="b">
        <f t="shared" si="376"/>
        <v>1</v>
      </c>
      <c r="AT253" s="117" t="b">
        <f t="shared" si="377"/>
        <v>0</v>
      </c>
      <c r="AU253" s="117" t="b">
        <f t="shared" si="378"/>
        <v>1</v>
      </c>
      <c r="AV253" s="117" t="b">
        <f t="shared" si="379"/>
        <v>0</v>
      </c>
      <c r="AW253" s="117" t="b">
        <f t="shared" si="380"/>
        <v>1</v>
      </c>
      <c r="AX253" s="117" t="b">
        <f t="shared" si="381"/>
        <v>1</v>
      </c>
      <c r="AY253" s="117" t="b">
        <f t="shared" si="382"/>
        <v>0</v>
      </c>
      <c r="AZ253" s="117" t="str">
        <f t="shared" si="383"/>
        <v>JS5282</v>
      </c>
      <c r="BA253" s="117">
        <f>'Reference Score Calculation'!N230</f>
        <v>0</v>
      </c>
      <c r="BB253" s="117">
        <f>'Reference Score Calculation'!O230</f>
        <v>0</v>
      </c>
      <c r="BC253" s="2" t="str">
        <f t="shared" si="384"/>
        <v>數學延伸</v>
      </c>
      <c r="BD253" s="93">
        <f t="shared" si="385"/>
        <v>7.500000000000001E-10</v>
      </c>
      <c r="BE253" s="93">
        <f t="shared" si="386"/>
        <v>1</v>
      </c>
      <c r="BF253" s="93" t="str">
        <f t="shared" si="387"/>
        <v>Best 5總分 x 1</v>
      </c>
      <c r="BG253" s="93"/>
      <c r="BH253" s="93" t="b">
        <f t="shared" si="403"/>
        <v>0</v>
      </c>
      <c r="BI253" s="93" t="b">
        <f t="shared" si="403"/>
        <v>1</v>
      </c>
      <c r="BJ253" s="93" t="b">
        <f t="shared" si="403"/>
        <v>1</v>
      </c>
      <c r="BK253" s="93">
        <f t="shared" si="403"/>
        <v>0</v>
      </c>
      <c r="BL253" s="93" t="b">
        <f t="shared" si="403"/>
        <v>0</v>
      </c>
      <c r="BM253" s="93" t="b">
        <f t="shared" si="403"/>
        <v>1</v>
      </c>
      <c r="BN253" s="93" t="b">
        <f t="shared" si="403"/>
        <v>0</v>
      </c>
      <c r="BO253" s="93" t="b">
        <f t="shared" si="403"/>
        <v>1</v>
      </c>
      <c r="BP253" s="93" t="b">
        <f t="shared" si="403"/>
        <v>1</v>
      </c>
      <c r="BQ253" s="93">
        <f t="shared" si="403"/>
        <v>0</v>
      </c>
      <c r="BR253" s="93"/>
      <c r="BS253" s="116"/>
      <c r="BT253" s="163"/>
      <c r="BU253" s="102"/>
      <c r="BV253" s="115"/>
      <c r="BW253" s="115"/>
      <c r="BX253" s="115"/>
      <c r="BY253" s="115"/>
      <c r="BZ253" s="158"/>
      <c r="CA253" s="116"/>
      <c r="CB253" s="102"/>
      <c r="CC253" s="101"/>
      <c r="CD253" s="101"/>
      <c r="CE253" s="115"/>
      <c r="CF253" s="115"/>
      <c r="CG253" s="115"/>
      <c r="CH253" s="163"/>
      <c r="CI253" s="163"/>
      <c r="CJ253" s="163"/>
      <c r="CK253" s="163"/>
      <c r="CL253" s="163"/>
      <c r="CM253" s="163"/>
      <c r="CN253" s="163"/>
      <c r="CO253" s="163"/>
      <c r="CP253" s="163"/>
      <c r="CQ253" s="163"/>
      <c r="CR253" s="115"/>
      <c r="CS253" s="115"/>
    </row>
    <row r="254" spans="1:97">
      <c r="A254" s="139"/>
      <c r="B254" s="117" t="str">
        <f>'Reference Score Calculation'!B231</f>
        <v>JS5300</v>
      </c>
      <c r="C254" s="117" t="str">
        <f>'Reference Score Calculation'!E231</f>
        <v>工商管理</v>
      </c>
      <c r="E254" s="117" t="str">
        <f>'Reference Score Calculation'!F231</f>
        <v>英數Best3</v>
      </c>
      <c r="F254" s="117"/>
      <c r="G254" s="117" t="str">
        <f>入學要求!AB241</f>
        <v>v</v>
      </c>
      <c r="H254" s="117" t="str">
        <f>入學要求!AC241</f>
        <v>NO</v>
      </c>
      <c r="I254" s="117" t="str">
        <f>入學要求!AD241</f>
        <v>NO</v>
      </c>
      <c r="J254" s="117">
        <f t="shared" si="352"/>
        <v>3.3999999999999998E-9</v>
      </c>
      <c r="K254" s="117">
        <v>1</v>
      </c>
      <c r="L254" s="139">
        <v>2</v>
      </c>
      <c r="M254" s="139">
        <v>2</v>
      </c>
      <c r="O254" s="117">
        <v>1</v>
      </c>
      <c r="P254" s="117">
        <v>1</v>
      </c>
      <c r="Q254" s="117">
        <v>1</v>
      </c>
      <c r="R254" s="117">
        <v>1</v>
      </c>
      <c r="S254" s="117">
        <v>1</v>
      </c>
      <c r="T254" s="117">
        <v>1</v>
      </c>
      <c r="V254" s="117">
        <f t="shared" si="353"/>
        <v>1E-10</v>
      </c>
      <c r="W254" s="117">
        <f t="shared" si="354"/>
        <v>4.0000000000000001E-10</v>
      </c>
      <c r="X254" s="117">
        <f t="shared" si="355"/>
        <v>6E-10</v>
      </c>
      <c r="Z254" s="117">
        <f t="shared" si="356"/>
        <v>5.0000000000000003E-10</v>
      </c>
      <c r="AA254" s="117">
        <f t="shared" si="357"/>
        <v>6E-10</v>
      </c>
      <c r="AB254" s="117">
        <f t="shared" si="358"/>
        <v>6.9999999999999996E-10</v>
      </c>
      <c r="AC254" s="117">
        <f t="shared" si="359"/>
        <v>8.0000000000000003E-10</v>
      </c>
      <c r="AD254" s="117">
        <f t="shared" si="360"/>
        <v>8.9999999999999999E-10</v>
      </c>
      <c r="AE254" s="117">
        <f t="shared" si="373"/>
        <v>0</v>
      </c>
      <c r="AF254" s="117">
        <f t="shared" si="361"/>
        <v>1E-10</v>
      </c>
      <c r="AG254" s="117">
        <f t="shared" si="362"/>
        <v>99.000000000399993</v>
      </c>
      <c r="AH254" s="117">
        <f t="shared" si="363"/>
        <v>99.000000000599996</v>
      </c>
      <c r="AI254" s="117">
        <f t="shared" si="364"/>
        <v>0</v>
      </c>
      <c r="AJ254" s="117">
        <f t="shared" si="365"/>
        <v>5.0000000000000003E-10</v>
      </c>
      <c r="AK254" s="117">
        <f t="shared" si="366"/>
        <v>6E-10</v>
      </c>
      <c r="AL254" s="117">
        <f t="shared" si="367"/>
        <v>6.9999999999999996E-10</v>
      </c>
      <c r="AM254" s="117">
        <f t="shared" si="368"/>
        <v>8.0000000000000003E-10</v>
      </c>
      <c r="AN254" s="117">
        <f t="shared" si="369"/>
        <v>8.9999999999999999E-10</v>
      </c>
      <c r="AO254" s="117">
        <f t="shared" si="370"/>
        <v>0</v>
      </c>
      <c r="AP254" s="117" t="b">
        <f t="shared" si="374"/>
        <v>0</v>
      </c>
      <c r="AQ254" s="117" t="b">
        <f t="shared" si="375"/>
        <v>1</v>
      </c>
      <c r="AR254" s="117" t="b">
        <f t="shared" si="376"/>
        <v>1</v>
      </c>
      <c r="AT254" s="117" t="b">
        <f t="shared" si="377"/>
        <v>0</v>
      </c>
      <c r="AU254" s="117" t="b">
        <f t="shared" si="378"/>
        <v>0</v>
      </c>
      <c r="AV254" s="117" t="b">
        <f t="shared" si="379"/>
        <v>1</v>
      </c>
      <c r="AW254" s="117" t="b">
        <f t="shared" si="380"/>
        <v>1</v>
      </c>
      <c r="AX254" s="117" t="b">
        <f t="shared" si="381"/>
        <v>1</v>
      </c>
      <c r="AY254" s="117" t="b">
        <f t="shared" si="382"/>
        <v>0</v>
      </c>
      <c r="AZ254" s="117" t="str">
        <f t="shared" si="383"/>
        <v>JS5300</v>
      </c>
      <c r="BA254" s="117">
        <f>'Reference Score Calculation'!N231</f>
        <v>0</v>
      </c>
      <c r="BB254" s="117">
        <f>'Reference Score Calculation'!O231</f>
        <v>0</v>
      </c>
      <c r="BC254" s="2" t="str">
        <f t="shared" si="384"/>
        <v>請選擇第一選修科</v>
      </c>
      <c r="BD254" s="93">
        <f t="shared" si="385"/>
        <v>6E-10</v>
      </c>
      <c r="BE254" s="93">
        <f t="shared" si="386"/>
        <v>1</v>
      </c>
      <c r="BF254" s="93" t="str">
        <f t="shared" si="387"/>
        <v>Best 5總分 x 1</v>
      </c>
      <c r="BG254" s="93"/>
      <c r="BH254" s="93"/>
      <c r="BI254" s="93" t="b">
        <v>1</v>
      </c>
      <c r="BJ254" s="93" t="b">
        <v>1</v>
      </c>
      <c r="BK254" s="93"/>
      <c r="BL254" s="93"/>
      <c r="BM254" s="93"/>
      <c r="BN254" s="93"/>
      <c r="BO254" s="93"/>
      <c r="BP254" s="93"/>
      <c r="BQ254" s="93"/>
      <c r="BR254" s="93"/>
      <c r="BS254" s="116"/>
      <c r="BT254" s="116"/>
      <c r="BU254" s="116"/>
      <c r="BV254" s="116"/>
      <c r="BW254" s="116"/>
      <c r="BX254" s="116"/>
      <c r="BY254" s="116"/>
      <c r="BZ254" s="116"/>
      <c r="CA254" s="116"/>
      <c r="CB254" s="116"/>
      <c r="CC254" s="116"/>
      <c r="CD254" s="116"/>
      <c r="CE254" s="116"/>
      <c r="CF254" s="116"/>
      <c r="CG254" s="116"/>
      <c r="CH254" s="116"/>
      <c r="CI254" s="116"/>
      <c r="CJ254" s="116"/>
      <c r="CK254" s="116"/>
      <c r="CL254" s="116"/>
      <c r="CM254" s="116"/>
      <c r="CN254" s="116"/>
      <c r="CO254" s="116"/>
      <c r="CP254" s="116"/>
      <c r="CQ254" s="116"/>
      <c r="CR254" s="115"/>
      <c r="CS254" s="115"/>
    </row>
    <row r="255" spans="1:97">
      <c r="A255" s="139"/>
      <c r="B255" s="117" t="str">
        <f>'Reference Score Calculation'!B232</f>
        <v>JS5311</v>
      </c>
      <c r="C255" s="117" t="str">
        <f>'Reference Score Calculation'!E232</f>
        <v>工商管理學士（經濟學）</v>
      </c>
      <c r="E255" s="117" t="str">
        <f>'Reference Score Calculation'!F232</f>
        <v>英數Best3</v>
      </c>
      <c r="F255" s="117"/>
      <c r="G255" s="117" t="str">
        <f>入學要求!AB242</f>
        <v>v</v>
      </c>
      <c r="H255" s="117" t="str">
        <f>入學要求!AC242</f>
        <v>NO</v>
      </c>
      <c r="I255" s="117" t="str">
        <f>入學要求!AD242</f>
        <v>NO</v>
      </c>
      <c r="J255" s="117">
        <f t="shared" si="352"/>
        <v>3.3999999999999998E-9</v>
      </c>
      <c r="K255" s="117">
        <v>1</v>
      </c>
      <c r="L255" s="139">
        <v>2</v>
      </c>
      <c r="M255" s="139">
        <v>2</v>
      </c>
      <c r="O255" s="117">
        <v>1</v>
      </c>
      <c r="P255" s="117">
        <v>1</v>
      </c>
      <c r="Q255" s="117">
        <v>1</v>
      </c>
      <c r="R255" s="117">
        <v>1</v>
      </c>
      <c r="S255" s="117">
        <v>1</v>
      </c>
      <c r="T255" s="117">
        <v>1</v>
      </c>
      <c r="V255" s="117">
        <f t="shared" si="353"/>
        <v>1E-10</v>
      </c>
      <c r="W255" s="117">
        <f t="shared" si="354"/>
        <v>4.0000000000000001E-10</v>
      </c>
      <c r="X255" s="117">
        <f t="shared" si="355"/>
        <v>6E-10</v>
      </c>
      <c r="Z255" s="117">
        <f t="shared" si="356"/>
        <v>5.0000000000000003E-10</v>
      </c>
      <c r="AA255" s="117">
        <f t="shared" si="357"/>
        <v>6E-10</v>
      </c>
      <c r="AB255" s="117">
        <f t="shared" si="358"/>
        <v>6.9999999999999996E-10</v>
      </c>
      <c r="AC255" s="117">
        <f t="shared" si="359"/>
        <v>8.0000000000000003E-10</v>
      </c>
      <c r="AD255" s="117">
        <f t="shared" si="360"/>
        <v>8.9999999999999999E-10</v>
      </c>
      <c r="AE255" s="117">
        <f t="shared" si="373"/>
        <v>0</v>
      </c>
      <c r="AF255" s="117">
        <f t="shared" si="361"/>
        <v>1E-10</v>
      </c>
      <c r="AG255" s="117">
        <f t="shared" si="362"/>
        <v>99.000000000399993</v>
      </c>
      <c r="AH255" s="117">
        <f t="shared" si="363"/>
        <v>99.000000000599996</v>
      </c>
      <c r="AI255" s="117">
        <f t="shared" si="364"/>
        <v>0</v>
      </c>
      <c r="AJ255" s="117">
        <f t="shared" si="365"/>
        <v>5.0000000000000003E-10</v>
      </c>
      <c r="AK255" s="117">
        <f t="shared" si="366"/>
        <v>6E-10</v>
      </c>
      <c r="AL255" s="117">
        <f t="shared" si="367"/>
        <v>6.9999999999999996E-10</v>
      </c>
      <c r="AM255" s="117">
        <f t="shared" si="368"/>
        <v>8.0000000000000003E-10</v>
      </c>
      <c r="AN255" s="117">
        <f t="shared" si="369"/>
        <v>8.9999999999999999E-10</v>
      </c>
      <c r="AO255" s="117">
        <f t="shared" si="370"/>
        <v>0</v>
      </c>
      <c r="AP255" s="117" t="b">
        <f t="shared" si="374"/>
        <v>0</v>
      </c>
      <c r="AQ255" s="117" t="b">
        <f t="shared" si="375"/>
        <v>1</v>
      </c>
      <c r="AR255" s="117" t="b">
        <f t="shared" si="376"/>
        <v>1</v>
      </c>
      <c r="AT255" s="117" t="b">
        <f t="shared" si="377"/>
        <v>0</v>
      </c>
      <c r="AU255" s="117" t="b">
        <f t="shared" si="378"/>
        <v>0</v>
      </c>
      <c r="AV255" s="117" t="b">
        <f t="shared" si="379"/>
        <v>1</v>
      </c>
      <c r="AW255" s="117" t="b">
        <f t="shared" si="380"/>
        <v>1</v>
      </c>
      <c r="AX255" s="117" t="b">
        <f t="shared" si="381"/>
        <v>1</v>
      </c>
      <c r="AY255" s="117" t="b">
        <f t="shared" si="382"/>
        <v>0</v>
      </c>
      <c r="AZ255" s="117" t="str">
        <f t="shared" si="383"/>
        <v>JS5311</v>
      </c>
      <c r="BA255" s="117">
        <f>'Reference Score Calculation'!N232</f>
        <v>0</v>
      </c>
      <c r="BB255" s="117">
        <f>'Reference Score Calculation'!O232</f>
        <v>0</v>
      </c>
      <c r="BC255" s="2" t="str">
        <f t="shared" si="384"/>
        <v>請選擇第一選修科</v>
      </c>
      <c r="BD255" s="93">
        <f t="shared" si="385"/>
        <v>6E-10</v>
      </c>
      <c r="BE255" s="93">
        <f t="shared" si="386"/>
        <v>1</v>
      </c>
      <c r="BF255" s="93" t="str">
        <f t="shared" si="387"/>
        <v>Best 5總分 x 1</v>
      </c>
      <c r="BG255" s="93"/>
      <c r="BH255" s="93"/>
      <c r="BI255" s="93" t="b">
        <v>1</v>
      </c>
      <c r="BJ255" s="93" t="b">
        <v>1</v>
      </c>
      <c r="BK255" s="93"/>
      <c r="BL255" s="93"/>
      <c r="BM255" s="93"/>
      <c r="BN255" s="93"/>
      <c r="BO255" s="93"/>
      <c r="BP255" s="93"/>
      <c r="BQ255" s="93"/>
      <c r="BR255" s="93"/>
      <c r="BS255" s="116" t="s">
        <v>3122</v>
      </c>
      <c r="BT255" s="116"/>
      <c r="BU255" s="116"/>
      <c r="BV255" s="116"/>
      <c r="BW255" s="116"/>
      <c r="BX255" s="116"/>
      <c r="BY255" s="116"/>
      <c r="BZ255" s="116"/>
      <c r="CA255" s="116"/>
      <c r="CB255" s="116"/>
      <c r="CC255" s="116"/>
      <c r="CD255" s="116"/>
      <c r="CE255" s="116"/>
      <c r="CF255" s="116"/>
      <c r="CG255" s="116"/>
      <c r="CH255" s="116"/>
      <c r="CI255" s="116"/>
      <c r="CJ255" s="116"/>
      <c r="CK255" s="116"/>
      <c r="CL255" s="116"/>
      <c r="CM255" s="116"/>
      <c r="CN255" s="116"/>
      <c r="CO255" s="116"/>
      <c r="CP255" s="116"/>
      <c r="CQ255" s="116"/>
      <c r="CR255" s="115"/>
      <c r="CS255" s="115"/>
    </row>
    <row r="256" spans="1:97">
      <c r="A256" s="139"/>
      <c r="B256" s="117" t="str">
        <f>'Reference Score Calculation'!B233</f>
        <v>JS5312</v>
      </c>
      <c r="C256" s="117" t="str">
        <f>'Reference Score Calculation'!E233</f>
        <v>工商管理學士（金融學）</v>
      </c>
      <c r="E256" s="117" t="str">
        <f>'Reference Score Calculation'!F233</f>
        <v>英數Best3</v>
      </c>
      <c r="F256" s="117"/>
      <c r="G256" s="117" t="str">
        <f>入學要求!AB243</f>
        <v>v</v>
      </c>
      <c r="H256" s="117" t="str">
        <f>入學要求!AC243</f>
        <v>NO</v>
      </c>
      <c r="I256" s="117" t="str">
        <f>入學要求!AD243</f>
        <v>NO</v>
      </c>
      <c r="J256" s="117">
        <f t="shared" si="352"/>
        <v>3.3999999999999998E-9</v>
      </c>
      <c r="K256" s="117">
        <v>1</v>
      </c>
      <c r="L256" s="139">
        <v>2</v>
      </c>
      <c r="M256" s="139">
        <v>2</v>
      </c>
      <c r="O256" s="139">
        <f>IF(O$1=$BZ$265,$CB$265,1)</f>
        <v>1</v>
      </c>
      <c r="P256" s="139">
        <f>IF(P$1=$BZ$265,$CB$265,1)</f>
        <v>1</v>
      </c>
      <c r="Q256" s="139">
        <f>IF(Q$1=$BZ$265,$CB$265,1)</f>
        <v>1</v>
      </c>
      <c r="R256" s="139">
        <f>IF(R$1=$BZ$265,$CB$265,1)</f>
        <v>1</v>
      </c>
      <c r="S256" s="139">
        <f>IF(S$1=$BZ$265,$CB$265,1)</f>
        <v>1</v>
      </c>
      <c r="T256" s="117">
        <v>1</v>
      </c>
      <c r="V256" s="117">
        <f t="shared" si="353"/>
        <v>1E-10</v>
      </c>
      <c r="W256" s="117">
        <f t="shared" si="354"/>
        <v>4.0000000000000001E-10</v>
      </c>
      <c r="X256" s="117">
        <f t="shared" si="355"/>
        <v>6E-10</v>
      </c>
      <c r="Z256" s="117">
        <f t="shared" si="356"/>
        <v>5.0000000000000003E-10</v>
      </c>
      <c r="AA256" s="117">
        <f t="shared" si="357"/>
        <v>6E-10</v>
      </c>
      <c r="AB256" s="117">
        <f t="shared" si="358"/>
        <v>6.9999999999999996E-10</v>
      </c>
      <c r="AC256" s="117">
        <f t="shared" si="359"/>
        <v>8.0000000000000003E-10</v>
      </c>
      <c r="AD256" s="117">
        <f t="shared" si="360"/>
        <v>8.9999999999999999E-10</v>
      </c>
      <c r="AE256" s="117">
        <f t="shared" si="373"/>
        <v>0</v>
      </c>
      <c r="AF256" s="117">
        <f t="shared" si="361"/>
        <v>1E-10</v>
      </c>
      <c r="AG256" s="117">
        <f t="shared" si="362"/>
        <v>99.000000000399993</v>
      </c>
      <c r="AH256" s="117">
        <f t="shared" si="363"/>
        <v>99.000000000599996</v>
      </c>
      <c r="AI256" s="117">
        <f t="shared" si="364"/>
        <v>0</v>
      </c>
      <c r="AJ256" s="117">
        <f t="shared" si="365"/>
        <v>5.0000000000000003E-10</v>
      </c>
      <c r="AK256" s="117">
        <f t="shared" si="366"/>
        <v>6E-10</v>
      </c>
      <c r="AL256" s="117">
        <f t="shared" si="367"/>
        <v>99.000000000699998</v>
      </c>
      <c r="AM256" s="117">
        <f t="shared" si="368"/>
        <v>99.0000000008</v>
      </c>
      <c r="AN256" s="117">
        <f t="shared" si="369"/>
        <v>99.000000000900002</v>
      </c>
      <c r="AO256" s="117">
        <f t="shared" si="370"/>
        <v>0</v>
      </c>
      <c r="AP256" s="117" t="b">
        <f>IF(AF256&gt;LARGE($AF256:$AO256,6),TRUE)</f>
        <v>0</v>
      </c>
      <c r="AQ256" s="117" t="b">
        <f t="shared" si="375"/>
        <v>1</v>
      </c>
      <c r="AR256" s="117" t="b">
        <f t="shared" si="376"/>
        <v>1</v>
      </c>
      <c r="AT256" s="117" t="b">
        <f t="shared" si="377"/>
        <v>0</v>
      </c>
      <c r="AU256" s="117" t="b">
        <f t="shared" si="378"/>
        <v>0</v>
      </c>
      <c r="AV256" s="117" t="b">
        <f t="shared" si="379"/>
        <v>1</v>
      </c>
      <c r="AW256" s="117" t="b">
        <f t="shared" si="380"/>
        <v>1</v>
      </c>
      <c r="AX256" s="117" t="b">
        <f t="shared" si="381"/>
        <v>1</v>
      </c>
      <c r="AY256" s="117" t="b">
        <f t="shared" si="382"/>
        <v>0</v>
      </c>
      <c r="AZ256" s="117" t="str">
        <f t="shared" si="383"/>
        <v>JS5312</v>
      </c>
      <c r="BA256" s="117">
        <f>'Reference Score Calculation'!N233</f>
        <v>0</v>
      </c>
      <c r="BB256" s="117">
        <f>'Reference Score Calculation'!O233</f>
        <v>0</v>
      </c>
      <c r="BC256" s="2" t="str">
        <f t="shared" si="384"/>
        <v>請選擇第一選修科</v>
      </c>
      <c r="BD256" s="93">
        <f t="shared" si="385"/>
        <v>6E-10</v>
      </c>
      <c r="BE256" s="93">
        <f t="shared" si="386"/>
        <v>1</v>
      </c>
      <c r="BF256" s="93" t="str">
        <f t="shared" si="387"/>
        <v>Best 5總分 x 1</v>
      </c>
      <c r="BG256" s="93"/>
      <c r="BH256" s="93" t="b">
        <f t="shared" ref="BH256:BQ256" si="406">CE266</f>
        <v>0</v>
      </c>
      <c r="BI256" s="93" t="b">
        <f t="shared" si="406"/>
        <v>1</v>
      </c>
      <c r="BJ256" s="93" t="b">
        <f t="shared" si="406"/>
        <v>1</v>
      </c>
      <c r="BK256" s="93">
        <f t="shared" si="406"/>
        <v>0</v>
      </c>
      <c r="BL256" s="93" t="b">
        <f t="shared" si="406"/>
        <v>0</v>
      </c>
      <c r="BM256" s="93" t="b">
        <f t="shared" si="406"/>
        <v>0</v>
      </c>
      <c r="BN256" s="93" t="b">
        <f t="shared" si="406"/>
        <v>1</v>
      </c>
      <c r="BO256" s="93" t="b">
        <f t="shared" si="406"/>
        <v>1</v>
      </c>
      <c r="BP256" s="93" t="b">
        <f t="shared" si="406"/>
        <v>1</v>
      </c>
      <c r="BQ256" s="93">
        <f t="shared" si="406"/>
        <v>0</v>
      </c>
      <c r="BR256" s="93"/>
      <c r="BS256" s="116" t="s">
        <v>338</v>
      </c>
      <c r="BT256" s="21">
        <f>IF(OR(P$1="物理",P$1="組合科學(物理、化學)",P$1="組合科學(生物、化學)",P$1="組合科學(物理、生物)",P$1="化學",P$1="生物"),P$7*2,IF(P$1="資訊及通訊科技",P$7,0))</f>
        <v>0</v>
      </c>
      <c r="BU256" s="21">
        <f>IF(OR(Q$1="物理",Q$1="組合科學(物理、化學)",Q$1="組合科學(生物、化學)",Q$1="組合科學(物理、生物)",Q$1="化學",Q$1="生物"),Q$7*2,IF(Q$1="資訊及通訊科技",Q$7,0))</f>
        <v>0</v>
      </c>
      <c r="BV256" s="21">
        <f>IF(OR(R$1="物理",R$1="組合科學(物理、化學)",R$1="組合科學(生物、化學)",R$1="組合科學(物理、生物)",R$1="化學",R$1="生物"),R$7*2,IF(R$1="資訊及通訊科技",R$7,0))</f>
        <v>0</v>
      </c>
      <c r="BW256" s="21">
        <f>IF(OR(S$1="物理",S$1="組合科學(物理、化學)",S$1="組合科學(生物、化學)",S$1="組合科學(物理、生物)",S$1="化學",S$1="生物"),S$7*2,IF(S$1="資訊及通訊科技",S$7,0))</f>
        <v>0</v>
      </c>
      <c r="BX256" s="116"/>
      <c r="BY256" s="116"/>
      <c r="BZ256" s="117" t="str">
        <f>INDEX(BT270:BW270,MATCH(LARGE(BT256:BW256,1),BT256:BW256,0))</f>
        <v>請選擇第一選修科</v>
      </c>
      <c r="CA256" s="117">
        <f>LARGE((BT256:BW256),1)</f>
        <v>0</v>
      </c>
      <c r="CB256" s="16">
        <f>IF(OR(BZ256="生物",BZ256="化學",BZ256="物理",BZ256="數學延伸",BZ256="組合科學(物理、化學)",BZ256="組合科學(生物、化學)",BZ256="組合科學(物理、生物)"),2,1)</f>
        <v>1</v>
      </c>
      <c r="CC256" s="116"/>
      <c r="CD256" s="116"/>
      <c r="CE256" s="21">
        <f>IF(CE270=$BZ$256,0,K$7)</f>
        <v>1E-10</v>
      </c>
      <c r="CF256" s="21">
        <v>0</v>
      </c>
      <c r="CG256" s="21">
        <v>0</v>
      </c>
      <c r="CH256" s="21"/>
      <c r="CI256" s="21">
        <f>IF(CI270=$BZ$256,0,O$7*1.5)</f>
        <v>7.500000000000001E-10</v>
      </c>
      <c r="CJ256" s="21">
        <f>IF(CJ270=$BZ$256,0,P$7)</f>
        <v>0</v>
      </c>
      <c r="CK256" s="21">
        <f>IF(CK270=$BZ$256,0,Q$7)</f>
        <v>6.9999999999999996E-10</v>
      </c>
      <c r="CL256" s="21">
        <f>IF(CL270=$BZ$256,0,R$7)</f>
        <v>8.0000000000000003E-10</v>
      </c>
      <c r="CM256" s="21">
        <f>IF(CM270=$BZ$256,0,S$7)</f>
        <v>8.9999999999999999E-10</v>
      </c>
      <c r="CN256" s="21"/>
      <c r="CO256" s="116"/>
      <c r="CP256" s="116"/>
      <c r="CQ256" s="116"/>
      <c r="CR256" s="116"/>
      <c r="CS256" s="116"/>
    </row>
    <row r="257" spans="1:97">
      <c r="A257" s="139"/>
      <c r="B257" s="117" t="str">
        <f>'Reference Score Calculation'!B234</f>
        <v>JS5313</v>
      </c>
      <c r="C257" s="117" t="str">
        <f>'Reference Score Calculation'!E234</f>
        <v>工商管理學士（環球商業管理）</v>
      </c>
      <c r="E257" s="117" t="str">
        <f>'Reference Score Calculation'!F234</f>
        <v>英數Best3</v>
      </c>
      <c r="F257" s="117"/>
      <c r="G257" s="117" t="str">
        <f>入學要求!AB244</f>
        <v>v</v>
      </c>
      <c r="H257" s="117" t="str">
        <f>入學要求!AC244</f>
        <v>NO</v>
      </c>
      <c r="I257" s="117" t="str">
        <f>入學要求!AD244</f>
        <v>NO</v>
      </c>
      <c r="J257" s="117">
        <f t="shared" si="352"/>
        <v>3.3999999999999998E-9</v>
      </c>
      <c r="K257" s="117">
        <v>1</v>
      </c>
      <c r="L257" s="139">
        <v>2</v>
      </c>
      <c r="M257" s="139">
        <v>2</v>
      </c>
      <c r="O257" s="117">
        <v>1</v>
      </c>
      <c r="P257" s="117">
        <v>1</v>
      </c>
      <c r="Q257" s="117">
        <v>1</v>
      </c>
      <c r="R257" s="117">
        <v>1</v>
      </c>
      <c r="S257" s="117">
        <v>1</v>
      </c>
      <c r="T257" s="117">
        <v>1</v>
      </c>
      <c r="V257" s="117">
        <f t="shared" si="353"/>
        <v>1E-10</v>
      </c>
      <c r="W257" s="117">
        <f t="shared" si="354"/>
        <v>4.0000000000000001E-10</v>
      </c>
      <c r="X257" s="117">
        <f t="shared" si="355"/>
        <v>6E-10</v>
      </c>
      <c r="Z257" s="117">
        <f t="shared" si="356"/>
        <v>5.0000000000000003E-10</v>
      </c>
      <c r="AA257" s="117">
        <f t="shared" si="357"/>
        <v>6E-10</v>
      </c>
      <c r="AB257" s="117">
        <f t="shared" si="358"/>
        <v>6.9999999999999996E-10</v>
      </c>
      <c r="AC257" s="117">
        <f t="shared" si="359"/>
        <v>8.0000000000000003E-10</v>
      </c>
      <c r="AD257" s="117">
        <f t="shared" si="360"/>
        <v>8.9999999999999999E-10</v>
      </c>
      <c r="AE257" s="117">
        <f t="shared" si="373"/>
        <v>0</v>
      </c>
      <c r="AF257" s="117">
        <f t="shared" si="361"/>
        <v>1E-10</v>
      </c>
      <c r="AG257" s="117">
        <f t="shared" si="362"/>
        <v>99.000000000399993</v>
      </c>
      <c r="AH257" s="117">
        <f t="shared" si="363"/>
        <v>99.000000000599996</v>
      </c>
      <c r="AI257" s="117">
        <f t="shared" si="364"/>
        <v>0</v>
      </c>
      <c r="AJ257" s="117">
        <f t="shared" si="365"/>
        <v>5.0000000000000003E-10</v>
      </c>
      <c r="AK257" s="117">
        <f t="shared" si="366"/>
        <v>6E-10</v>
      </c>
      <c r="AL257" s="117">
        <f t="shared" si="367"/>
        <v>6.9999999999999996E-10</v>
      </c>
      <c r="AM257" s="117">
        <f t="shared" si="368"/>
        <v>8.0000000000000003E-10</v>
      </c>
      <c r="AN257" s="117">
        <f t="shared" si="369"/>
        <v>8.9999999999999999E-10</v>
      </c>
      <c r="AO257" s="117">
        <f t="shared" si="370"/>
        <v>0</v>
      </c>
      <c r="AP257" s="117" t="b">
        <f t="shared" si="374"/>
        <v>0</v>
      </c>
      <c r="AQ257" s="117" t="b">
        <f t="shared" si="375"/>
        <v>1</v>
      </c>
      <c r="AR257" s="117" t="b">
        <f t="shared" si="376"/>
        <v>1</v>
      </c>
      <c r="AT257" s="117" t="b">
        <f t="shared" si="377"/>
        <v>0</v>
      </c>
      <c r="AU257" s="117" t="b">
        <f t="shared" si="378"/>
        <v>0</v>
      </c>
      <c r="AV257" s="117" t="b">
        <f t="shared" si="379"/>
        <v>1</v>
      </c>
      <c r="AW257" s="117" t="b">
        <f t="shared" si="380"/>
        <v>1</v>
      </c>
      <c r="AX257" s="117" t="b">
        <f t="shared" si="381"/>
        <v>1</v>
      </c>
      <c r="AY257" s="117" t="b">
        <f t="shared" si="382"/>
        <v>0</v>
      </c>
      <c r="AZ257" s="117" t="str">
        <f t="shared" si="383"/>
        <v>JS5313</v>
      </c>
      <c r="BA257" s="117">
        <f>'Reference Score Calculation'!N234</f>
        <v>0</v>
      </c>
      <c r="BB257" s="117">
        <f>'Reference Score Calculation'!O234</f>
        <v>0</v>
      </c>
      <c r="BC257" s="2" t="str">
        <f t="shared" si="384"/>
        <v>請選擇第一選修科</v>
      </c>
      <c r="BD257" s="93">
        <f t="shared" si="385"/>
        <v>6E-10</v>
      </c>
      <c r="BE257" s="93">
        <f t="shared" si="386"/>
        <v>1</v>
      </c>
      <c r="BF257" s="93" t="str">
        <f t="shared" si="387"/>
        <v>Best 5總分 x 1</v>
      </c>
      <c r="BG257" s="93"/>
      <c r="BH257" s="93"/>
      <c r="BI257" s="93" t="b">
        <v>1</v>
      </c>
      <c r="BJ257" s="93" t="b">
        <v>1</v>
      </c>
      <c r="BK257" s="93"/>
      <c r="BL257" s="93"/>
      <c r="BM257" s="93"/>
      <c r="BN257" s="93"/>
      <c r="BO257" s="93"/>
      <c r="BP257" s="93"/>
      <c r="BQ257" s="93"/>
      <c r="BR257" s="93"/>
      <c r="BS257" s="116" t="s">
        <v>339</v>
      </c>
      <c r="BT257" s="158" t="s">
        <v>340</v>
      </c>
      <c r="BU257" s="102"/>
      <c r="BV257" s="115"/>
      <c r="BW257" s="115"/>
      <c r="BX257" s="115"/>
      <c r="BY257" s="116"/>
      <c r="BZ257" s="116"/>
      <c r="CA257" s="116"/>
      <c r="CB257" s="116"/>
      <c r="CC257" s="116"/>
      <c r="CD257" s="116"/>
      <c r="CE257" s="163" t="b">
        <f>IF(CE270=$BZ$256,TRUE,IF(CE256&gt;LARGE($CE256:$CN256,3),TRUE))</f>
        <v>0</v>
      </c>
      <c r="CF257" s="163" t="b">
        <v>1</v>
      </c>
      <c r="CG257" s="163" t="b">
        <v>1</v>
      </c>
      <c r="CH257" s="163"/>
      <c r="CI257" s="163" t="b">
        <f t="shared" ref="CI257:CM257" si="407">IF(CI270=$BZ$256,TRUE,IF(CI256&gt;LARGE($CE256:$CN256,3),TRUE))</f>
        <v>0</v>
      </c>
      <c r="CJ257" s="163" t="b">
        <f t="shared" si="407"/>
        <v>1</v>
      </c>
      <c r="CK257" s="163" t="b">
        <f t="shared" si="407"/>
        <v>0</v>
      </c>
      <c r="CL257" s="163" t="b">
        <f t="shared" si="407"/>
        <v>1</v>
      </c>
      <c r="CM257" s="163" t="b">
        <f t="shared" si="407"/>
        <v>1</v>
      </c>
      <c r="CN257" s="163"/>
      <c r="CO257" s="116"/>
      <c r="CP257" s="116"/>
      <c r="CQ257" s="116"/>
      <c r="CR257" s="116"/>
      <c r="CS257" s="116"/>
    </row>
    <row r="258" spans="1:97">
      <c r="A258" s="139"/>
      <c r="B258" s="117" t="str">
        <f>'Reference Score Calculation'!B235</f>
        <v>JS5314</v>
      </c>
      <c r="C258" s="117" t="str">
        <f>'Reference Score Calculation'!E235</f>
        <v>工商管理學士（資訊系統學）</v>
      </c>
      <c r="E258" s="117" t="str">
        <f>'Reference Score Calculation'!F235</f>
        <v>英數Best3</v>
      </c>
      <c r="F258" s="117"/>
      <c r="G258" s="117" t="str">
        <f>入學要求!AB245</f>
        <v>v</v>
      </c>
      <c r="H258" s="117" t="str">
        <f>入學要求!AC245</f>
        <v>NO</v>
      </c>
      <c r="I258" s="117" t="str">
        <f>入學要求!AD245</f>
        <v>NO</v>
      </c>
      <c r="J258" s="117">
        <f t="shared" si="352"/>
        <v>3.3999999999999998E-9</v>
      </c>
      <c r="K258" s="117">
        <v>1</v>
      </c>
      <c r="L258" s="139">
        <v>2</v>
      </c>
      <c r="M258" s="139">
        <v>2</v>
      </c>
      <c r="O258" s="117">
        <v>1</v>
      </c>
      <c r="P258" s="117">
        <v>1</v>
      </c>
      <c r="Q258" s="117">
        <v>1</v>
      </c>
      <c r="R258" s="117">
        <v>1</v>
      </c>
      <c r="S258" s="117">
        <v>1</v>
      </c>
      <c r="T258" s="117">
        <v>1</v>
      </c>
      <c r="V258" s="117">
        <f t="shared" si="353"/>
        <v>1E-10</v>
      </c>
      <c r="W258" s="117">
        <f t="shared" si="354"/>
        <v>4.0000000000000001E-10</v>
      </c>
      <c r="X258" s="117">
        <f t="shared" si="355"/>
        <v>6E-10</v>
      </c>
      <c r="Z258" s="117">
        <f t="shared" si="356"/>
        <v>5.0000000000000003E-10</v>
      </c>
      <c r="AA258" s="117">
        <f t="shared" si="357"/>
        <v>6E-10</v>
      </c>
      <c r="AB258" s="117">
        <f t="shared" si="358"/>
        <v>6.9999999999999996E-10</v>
      </c>
      <c r="AC258" s="117">
        <f t="shared" si="359"/>
        <v>8.0000000000000003E-10</v>
      </c>
      <c r="AD258" s="117">
        <f t="shared" si="360"/>
        <v>8.9999999999999999E-10</v>
      </c>
      <c r="AE258" s="117">
        <f t="shared" si="373"/>
        <v>0</v>
      </c>
      <c r="AF258" s="117">
        <f t="shared" si="361"/>
        <v>1E-10</v>
      </c>
      <c r="AG258" s="117">
        <f t="shared" si="362"/>
        <v>99.000000000399993</v>
      </c>
      <c r="AH258" s="117">
        <f t="shared" si="363"/>
        <v>99.000000000599996</v>
      </c>
      <c r="AI258" s="117">
        <f t="shared" si="364"/>
        <v>0</v>
      </c>
      <c r="AJ258" s="117">
        <f t="shared" si="365"/>
        <v>5.0000000000000003E-10</v>
      </c>
      <c r="AK258" s="117">
        <f t="shared" si="366"/>
        <v>6E-10</v>
      </c>
      <c r="AL258" s="117">
        <f t="shared" si="367"/>
        <v>6.9999999999999996E-10</v>
      </c>
      <c r="AM258" s="117">
        <f t="shared" si="368"/>
        <v>8.0000000000000003E-10</v>
      </c>
      <c r="AN258" s="117">
        <f t="shared" si="369"/>
        <v>8.9999999999999999E-10</v>
      </c>
      <c r="AO258" s="117">
        <f t="shared" si="370"/>
        <v>0</v>
      </c>
      <c r="AP258" s="117" t="b">
        <f t="shared" si="374"/>
        <v>0</v>
      </c>
      <c r="AQ258" s="117" t="b">
        <f t="shared" si="375"/>
        <v>1</v>
      </c>
      <c r="AR258" s="117" t="b">
        <f t="shared" si="376"/>
        <v>1</v>
      </c>
      <c r="AT258" s="117" t="b">
        <f t="shared" si="377"/>
        <v>0</v>
      </c>
      <c r="AU258" s="117" t="b">
        <f t="shared" si="378"/>
        <v>0</v>
      </c>
      <c r="AV258" s="117" t="b">
        <f t="shared" si="379"/>
        <v>1</v>
      </c>
      <c r="AW258" s="117" t="b">
        <f t="shared" si="380"/>
        <v>1</v>
      </c>
      <c r="AX258" s="117" t="b">
        <f t="shared" si="381"/>
        <v>1</v>
      </c>
      <c r="AY258" s="117" t="b">
        <f t="shared" si="382"/>
        <v>0</v>
      </c>
      <c r="AZ258" s="117" t="str">
        <f t="shared" si="383"/>
        <v>JS5314</v>
      </c>
      <c r="BA258" s="117">
        <f>'Reference Score Calculation'!N235</f>
        <v>0</v>
      </c>
      <c r="BB258" s="117">
        <f>'Reference Score Calculation'!O235</f>
        <v>0</v>
      </c>
      <c r="BC258" s="2" t="str">
        <f t="shared" si="384"/>
        <v>請選擇第一選修科</v>
      </c>
      <c r="BD258" s="93">
        <f t="shared" si="385"/>
        <v>6E-10</v>
      </c>
      <c r="BE258" s="93">
        <f t="shared" si="386"/>
        <v>1</v>
      </c>
      <c r="BF258" s="93" t="str">
        <f t="shared" si="387"/>
        <v>Best 5總分 x 1</v>
      </c>
      <c r="BG258" s="93"/>
      <c r="BH258" s="93"/>
      <c r="BI258" s="93" t="b">
        <v>1</v>
      </c>
      <c r="BJ258" s="93" t="b">
        <v>1</v>
      </c>
      <c r="BK258" s="93"/>
      <c r="BL258" s="93"/>
      <c r="BM258" s="93"/>
      <c r="BN258" s="93"/>
      <c r="BO258" s="93"/>
      <c r="BP258" s="93"/>
      <c r="BQ258" s="93"/>
      <c r="BR258" s="93"/>
      <c r="BS258" s="116"/>
      <c r="BT258" s="116"/>
      <c r="BU258" s="116"/>
      <c r="BV258" s="116"/>
      <c r="BW258" s="116"/>
      <c r="BX258" s="116"/>
      <c r="BY258" s="116"/>
      <c r="BZ258" s="116"/>
      <c r="CA258" s="116"/>
      <c r="CB258" s="116"/>
      <c r="CC258" s="116"/>
      <c r="CD258" s="164" t="s">
        <v>341</v>
      </c>
      <c r="CE258" s="158" t="b">
        <f>IF(CE270=$BZ$256,TRUE,IF(CE256&gt;LARGE($CE256:$CN256,4),TRUE))</f>
        <v>0</v>
      </c>
      <c r="CF258" s="158" t="b">
        <v>1</v>
      </c>
      <c r="CG258" s="158" t="b">
        <v>1</v>
      </c>
      <c r="CH258" s="158"/>
      <c r="CI258" s="158" t="b">
        <f t="shared" ref="CI258:CM258" si="408">IF(CI270=$BZ$256,TRUE,IF(CI256&gt;LARGE($CE256:$CN256,3),TRUE))</f>
        <v>0</v>
      </c>
      <c r="CJ258" s="158" t="b">
        <f t="shared" si="408"/>
        <v>1</v>
      </c>
      <c r="CK258" s="158" t="b">
        <f t="shared" si="408"/>
        <v>0</v>
      </c>
      <c r="CL258" s="158" t="b">
        <f t="shared" si="408"/>
        <v>1</v>
      </c>
      <c r="CM258" s="158" t="b">
        <f t="shared" si="408"/>
        <v>1</v>
      </c>
      <c r="CN258" s="158"/>
      <c r="CO258" s="116"/>
      <c r="CP258" s="116"/>
      <c r="CQ258" s="116"/>
      <c r="CR258" s="116"/>
      <c r="CS258" s="116"/>
    </row>
    <row r="259" spans="1:97">
      <c r="A259" s="139"/>
      <c r="B259" s="117" t="str">
        <f>'Reference Score Calculation'!B236</f>
        <v>JS5315</v>
      </c>
      <c r="C259" s="117" t="str">
        <f>'Reference Score Calculation'!E236</f>
        <v>工商管理學士（管理學）</v>
      </c>
      <c r="E259" s="117" t="str">
        <f>'Reference Score Calculation'!F236</f>
        <v>英數Best3</v>
      </c>
      <c r="F259" s="117"/>
      <c r="G259" s="117" t="str">
        <f>入學要求!AB246</f>
        <v>v</v>
      </c>
      <c r="H259" s="117" t="str">
        <f>入學要求!AC246</f>
        <v>NO</v>
      </c>
      <c r="I259" s="117" t="str">
        <f>入學要求!AD246</f>
        <v>NO</v>
      </c>
      <c r="J259" s="117">
        <f t="shared" si="352"/>
        <v>3.3999999999999998E-9</v>
      </c>
      <c r="K259" s="117">
        <v>1</v>
      </c>
      <c r="L259" s="139">
        <v>2</v>
      </c>
      <c r="M259" s="139">
        <v>2</v>
      </c>
      <c r="O259" s="117">
        <v>1</v>
      </c>
      <c r="P259" s="117">
        <v>1</v>
      </c>
      <c r="Q259" s="117">
        <v>1</v>
      </c>
      <c r="R259" s="117">
        <v>1</v>
      </c>
      <c r="S259" s="117">
        <v>1</v>
      </c>
      <c r="T259" s="117">
        <v>1</v>
      </c>
      <c r="V259" s="117">
        <f t="shared" si="353"/>
        <v>1E-10</v>
      </c>
      <c r="W259" s="117">
        <f t="shared" si="354"/>
        <v>4.0000000000000001E-10</v>
      </c>
      <c r="X259" s="117">
        <f t="shared" si="355"/>
        <v>6E-10</v>
      </c>
      <c r="Z259" s="117">
        <f t="shared" si="356"/>
        <v>5.0000000000000003E-10</v>
      </c>
      <c r="AA259" s="117">
        <f t="shared" si="357"/>
        <v>6E-10</v>
      </c>
      <c r="AB259" s="117">
        <f t="shared" si="358"/>
        <v>6.9999999999999996E-10</v>
      </c>
      <c r="AC259" s="117">
        <f t="shared" si="359"/>
        <v>8.0000000000000003E-10</v>
      </c>
      <c r="AD259" s="117">
        <f t="shared" si="360"/>
        <v>8.9999999999999999E-10</v>
      </c>
      <c r="AE259" s="117">
        <f t="shared" si="373"/>
        <v>0</v>
      </c>
      <c r="AF259" s="117">
        <f t="shared" si="361"/>
        <v>1E-10</v>
      </c>
      <c r="AG259" s="117">
        <f t="shared" si="362"/>
        <v>99.000000000399993</v>
      </c>
      <c r="AH259" s="117">
        <f t="shared" si="363"/>
        <v>99.000000000599996</v>
      </c>
      <c r="AI259" s="117">
        <f t="shared" si="364"/>
        <v>0</v>
      </c>
      <c r="AJ259" s="117">
        <f t="shared" si="365"/>
        <v>5.0000000000000003E-10</v>
      </c>
      <c r="AK259" s="117">
        <f t="shared" si="366"/>
        <v>6E-10</v>
      </c>
      <c r="AL259" s="117">
        <f t="shared" si="367"/>
        <v>6.9999999999999996E-10</v>
      </c>
      <c r="AM259" s="117">
        <f t="shared" si="368"/>
        <v>8.0000000000000003E-10</v>
      </c>
      <c r="AN259" s="117">
        <f t="shared" si="369"/>
        <v>8.9999999999999999E-10</v>
      </c>
      <c r="AO259" s="117">
        <f t="shared" si="370"/>
        <v>0</v>
      </c>
      <c r="AP259" s="117" t="b">
        <f t="shared" si="374"/>
        <v>0</v>
      </c>
      <c r="AQ259" s="117" t="b">
        <f t="shared" si="375"/>
        <v>1</v>
      </c>
      <c r="AR259" s="117" t="b">
        <f t="shared" si="376"/>
        <v>1</v>
      </c>
      <c r="AT259" s="117" t="b">
        <f t="shared" si="377"/>
        <v>0</v>
      </c>
      <c r="AU259" s="117" t="b">
        <f t="shared" si="378"/>
        <v>0</v>
      </c>
      <c r="AV259" s="117" t="b">
        <f t="shared" si="379"/>
        <v>1</v>
      </c>
      <c r="AW259" s="117" t="b">
        <f t="shared" si="380"/>
        <v>1</v>
      </c>
      <c r="AX259" s="117" t="b">
        <f t="shared" si="381"/>
        <v>1</v>
      </c>
      <c r="AY259" s="117" t="b">
        <f t="shared" si="382"/>
        <v>0</v>
      </c>
      <c r="AZ259" s="117" t="str">
        <f t="shared" si="383"/>
        <v>JS5315</v>
      </c>
      <c r="BA259" s="117">
        <f>'Reference Score Calculation'!N236</f>
        <v>0</v>
      </c>
      <c r="BB259" s="117">
        <f>'Reference Score Calculation'!O236</f>
        <v>0</v>
      </c>
      <c r="BC259" s="2" t="str">
        <f t="shared" si="384"/>
        <v>請選擇第一選修科</v>
      </c>
      <c r="BD259" s="93">
        <f t="shared" si="385"/>
        <v>6E-10</v>
      </c>
      <c r="BE259" s="93">
        <f t="shared" si="386"/>
        <v>1</v>
      </c>
      <c r="BF259" s="93" t="str">
        <f t="shared" si="387"/>
        <v>Best 5總分 x 1</v>
      </c>
      <c r="BG259" s="93"/>
      <c r="BH259" s="93"/>
      <c r="BI259" s="93" t="b">
        <v>1</v>
      </c>
      <c r="BJ259" s="93" t="b">
        <v>1</v>
      </c>
      <c r="BK259" s="93"/>
      <c r="BL259" s="93"/>
      <c r="BM259" s="93"/>
      <c r="BN259" s="93"/>
      <c r="BO259" s="93"/>
      <c r="BP259" s="93"/>
      <c r="BQ259" s="93"/>
      <c r="BR259" s="93"/>
      <c r="BS259" s="116"/>
      <c r="BT259" s="116"/>
      <c r="BU259" s="116"/>
      <c r="BV259" s="116"/>
      <c r="BW259" s="116"/>
      <c r="BX259" s="116"/>
      <c r="BY259" s="116"/>
      <c r="BZ259" s="116"/>
      <c r="CA259" s="116"/>
      <c r="CB259" s="116"/>
      <c r="CC259" s="116"/>
      <c r="CD259" s="116"/>
      <c r="CE259" s="116"/>
      <c r="CF259" s="116"/>
      <c r="CG259" s="116"/>
      <c r="CH259" s="116"/>
      <c r="CI259" s="116"/>
      <c r="CJ259" s="116"/>
      <c r="CK259" s="116"/>
      <c r="CL259" s="116"/>
      <c r="CM259" s="116"/>
      <c r="CN259" s="116"/>
      <c r="CO259" s="116"/>
      <c r="CP259" s="116"/>
      <c r="CQ259" s="116"/>
      <c r="CR259" s="116"/>
      <c r="CS259" s="116"/>
    </row>
    <row r="260" spans="1:97">
      <c r="A260" s="139"/>
      <c r="B260" s="117" t="str">
        <f>'Reference Score Calculation'!B237</f>
        <v>JS5316</v>
      </c>
      <c r="C260" s="117" t="str">
        <f>'Reference Score Calculation'!E237</f>
        <v>工商管理學士（市場學）</v>
      </c>
      <c r="E260" s="117" t="str">
        <f>'Reference Score Calculation'!F237</f>
        <v>英數Best3</v>
      </c>
      <c r="F260" s="117"/>
      <c r="G260" s="117" t="str">
        <f>入學要求!AB247</f>
        <v>v</v>
      </c>
      <c r="H260" s="117" t="str">
        <f>入學要求!AC247</f>
        <v>NO</v>
      </c>
      <c r="I260" s="117" t="str">
        <f>入學要求!AD247</f>
        <v>NO</v>
      </c>
      <c r="J260" s="117">
        <f t="shared" si="352"/>
        <v>3.3999999999999998E-9</v>
      </c>
      <c r="K260" s="117">
        <v>1</v>
      </c>
      <c r="L260" s="139">
        <v>2</v>
      </c>
      <c r="M260" s="139">
        <v>2</v>
      </c>
      <c r="O260" s="117">
        <v>1</v>
      </c>
      <c r="P260" s="117">
        <v>1</v>
      </c>
      <c r="Q260" s="117">
        <v>1</v>
      </c>
      <c r="R260" s="117">
        <v>1</v>
      </c>
      <c r="S260" s="117">
        <v>1</v>
      </c>
      <c r="T260" s="117">
        <v>1</v>
      </c>
      <c r="V260" s="117">
        <f t="shared" si="353"/>
        <v>1E-10</v>
      </c>
      <c r="W260" s="117">
        <f t="shared" si="354"/>
        <v>4.0000000000000001E-10</v>
      </c>
      <c r="X260" s="117">
        <f t="shared" si="355"/>
        <v>6E-10</v>
      </c>
      <c r="Z260" s="117">
        <f t="shared" si="356"/>
        <v>5.0000000000000003E-10</v>
      </c>
      <c r="AA260" s="117">
        <f t="shared" si="357"/>
        <v>6E-10</v>
      </c>
      <c r="AB260" s="117">
        <f t="shared" si="358"/>
        <v>6.9999999999999996E-10</v>
      </c>
      <c r="AC260" s="117">
        <f t="shared" si="359"/>
        <v>8.0000000000000003E-10</v>
      </c>
      <c r="AD260" s="117">
        <f t="shared" si="360"/>
        <v>8.9999999999999999E-10</v>
      </c>
      <c r="AE260" s="117">
        <f t="shared" si="373"/>
        <v>0</v>
      </c>
      <c r="AF260" s="117">
        <f t="shared" si="361"/>
        <v>1E-10</v>
      </c>
      <c r="AG260" s="117">
        <f t="shared" si="362"/>
        <v>99.000000000399993</v>
      </c>
      <c r="AH260" s="117">
        <f t="shared" si="363"/>
        <v>99.000000000599996</v>
      </c>
      <c r="AI260" s="117">
        <f t="shared" si="364"/>
        <v>0</v>
      </c>
      <c r="AJ260" s="117">
        <f t="shared" si="365"/>
        <v>5.0000000000000003E-10</v>
      </c>
      <c r="AK260" s="117">
        <f t="shared" si="366"/>
        <v>6E-10</v>
      </c>
      <c r="AL260" s="117">
        <f t="shared" si="367"/>
        <v>6.9999999999999996E-10</v>
      </c>
      <c r="AM260" s="117">
        <f t="shared" si="368"/>
        <v>8.0000000000000003E-10</v>
      </c>
      <c r="AN260" s="117">
        <f t="shared" si="369"/>
        <v>8.9999999999999999E-10</v>
      </c>
      <c r="AO260" s="117">
        <f t="shared" si="370"/>
        <v>0</v>
      </c>
      <c r="AP260" s="117" t="b">
        <f t="shared" si="374"/>
        <v>0</v>
      </c>
      <c r="AQ260" s="117" t="b">
        <f t="shared" si="375"/>
        <v>1</v>
      </c>
      <c r="AR260" s="117" t="b">
        <f t="shared" si="376"/>
        <v>1</v>
      </c>
      <c r="AT260" s="117" t="b">
        <f t="shared" si="377"/>
        <v>0</v>
      </c>
      <c r="AU260" s="117" t="b">
        <f t="shared" si="378"/>
        <v>0</v>
      </c>
      <c r="AV260" s="117" t="b">
        <f t="shared" si="379"/>
        <v>1</v>
      </c>
      <c r="AW260" s="117" t="b">
        <f t="shared" si="380"/>
        <v>1</v>
      </c>
      <c r="AX260" s="117" t="b">
        <f t="shared" si="381"/>
        <v>1</v>
      </c>
      <c r="AY260" s="117" t="b">
        <f t="shared" si="382"/>
        <v>0</v>
      </c>
      <c r="AZ260" s="117" t="str">
        <f t="shared" si="383"/>
        <v>JS5316</v>
      </c>
      <c r="BA260" s="117">
        <f>'Reference Score Calculation'!N237</f>
        <v>0</v>
      </c>
      <c r="BB260" s="117">
        <f>'Reference Score Calculation'!O237</f>
        <v>0</v>
      </c>
      <c r="BC260" s="2" t="str">
        <f t="shared" si="384"/>
        <v>請選擇第一選修科</v>
      </c>
      <c r="BD260" s="93">
        <f t="shared" si="385"/>
        <v>6E-10</v>
      </c>
      <c r="BE260" s="93">
        <f t="shared" si="386"/>
        <v>1</v>
      </c>
      <c r="BF260" s="93" t="str">
        <f t="shared" si="387"/>
        <v>Best 5總分 x 1</v>
      </c>
      <c r="BG260" s="93"/>
      <c r="BH260" s="93"/>
      <c r="BI260" s="93" t="b">
        <v>1</v>
      </c>
      <c r="BJ260" s="93" t="b">
        <v>1</v>
      </c>
      <c r="BK260" s="93"/>
      <c r="BL260" s="93"/>
      <c r="BM260" s="93"/>
      <c r="BN260" s="93"/>
      <c r="BO260" s="93"/>
      <c r="BP260" s="93"/>
      <c r="BQ260" s="93"/>
      <c r="BR260" s="93"/>
      <c r="BS260" s="116" t="s">
        <v>342</v>
      </c>
      <c r="BT260" s="101" t="str">
        <f>P$1</f>
        <v>請選擇第一選修科</v>
      </c>
      <c r="BU260" s="101" t="str">
        <f>Q$1</f>
        <v>請選擇第二選修科</v>
      </c>
      <c r="BV260" s="101" t="str">
        <f>R$1</f>
        <v>請選擇第三選修科</v>
      </c>
      <c r="BW260" s="101" t="str">
        <f>S$1</f>
        <v>請選擇第四選修科</v>
      </c>
      <c r="BX260" s="116"/>
      <c r="BY260" s="116"/>
      <c r="BZ260" s="156" t="s">
        <v>332</v>
      </c>
      <c r="CA260" s="116"/>
      <c r="CB260" s="102" t="s">
        <v>96</v>
      </c>
      <c r="CC260" s="116"/>
      <c r="CD260" s="116"/>
      <c r="CE260" s="101" t="str">
        <f>K$1</f>
        <v>中國語文</v>
      </c>
      <c r="CF260" s="101" t="str">
        <f>L$1</f>
        <v>英國語文</v>
      </c>
      <c r="CG260" s="101" t="str">
        <f>M$1</f>
        <v>數學</v>
      </c>
      <c r="CH260" s="101"/>
      <c r="CI260" s="101" t="str">
        <f>O$1</f>
        <v>數學延伸</v>
      </c>
      <c r="CJ260" s="101" t="str">
        <f>P$1</f>
        <v>請選擇第一選修科</v>
      </c>
      <c r="CK260" s="101" t="str">
        <f>Q$1</f>
        <v>請選擇第二選修科</v>
      </c>
      <c r="CL260" s="101" t="str">
        <f>R$1</f>
        <v>請選擇第三選修科</v>
      </c>
      <c r="CM260" s="101" t="str">
        <f>S$1</f>
        <v>請選擇第四選修科</v>
      </c>
      <c r="CN260" s="101"/>
      <c r="CO260" s="116"/>
      <c r="CP260" s="116"/>
      <c r="CQ260" s="116"/>
      <c r="CR260" s="116"/>
      <c r="CS260" s="116"/>
    </row>
    <row r="261" spans="1:97">
      <c r="A261" s="139"/>
      <c r="B261" s="117" t="str">
        <f>'Reference Score Calculation'!B238</f>
        <v>JS5317</v>
      </c>
      <c r="C261" s="117" t="str">
        <f>'Reference Score Calculation'!E238</f>
        <v>工商管理學士（營運管理學）</v>
      </c>
      <c r="E261" s="117" t="str">
        <f>'Reference Score Calculation'!F238</f>
        <v>英數Best3</v>
      </c>
      <c r="F261" s="117"/>
      <c r="G261" s="117" t="str">
        <f>入學要求!AB248</f>
        <v>v</v>
      </c>
      <c r="H261" s="117" t="str">
        <f>入學要求!AC248</f>
        <v>NO</v>
      </c>
      <c r="I261" s="117" t="str">
        <f>入學要求!AD248</f>
        <v>NO</v>
      </c>
      <c r="J261" s="117">
        <f t="shared" si="352"/>
        <v>3.3999999999999998E-9</v>
      </c>
      <c r="K261" s="117">
        <v>1</v>
      </c>
      <c r="L261" s="139">
        <v>2</v>
      </c>
      <c r="M261" s="139">
        <v>2</v>
      </c>
      <c r="O261" s="117">
        <v>1</v>
      </c>
      <c r="P261" s="117">
        <v>1</v>
      </c>
      <c r="Q261" s="117">
        <v>1</v>
      </c>
      <c r="R261" s="117">
        <v>1</v>
      </c>
      <c r="S261" s="117">
        <v>1</v>
      </c>
      <c r="T261" s="117">
        <v>1</v>
      </c>
      <c r="V261" s="117">
        <f t="shared" si="353"/>
        <v>1E-10</v>
      </c>
      <c r="W261" s="117">
        <f t="shared" si="354"/>
        <v>4.0000000000000001E-10</v>
      </c>
      <c r="X261" s="117">
        <f t="shared" si="355"/>
        <v>6E-10</v>
      </c>
      <c r="Z261" s="117">
        <f t="shared" si="356"/>
        <v>5.0000000000000003E-10</v>
      </c>
      <c r="AA261" s="117">
        <f t="shared" si="357"/>
        <v>6E-10</v>
      </c>
      <c r="AB261" s="117">
        <f t="shared" si="358"/>
        <v>6.9999999999999996E-10</v>
      </c>
      <c r="AC261" s="117">
        <f t="shared" si="359"/>
        <v>8.0000000000000003E-10</v>
      </c>
      <c r="AD261" s="117">
        <f t="shared" si="360"/>
        <v>8.9999999999999999E-10</v>
      </c>
      <c r="AE261" s="117">
        <f t="shared" si="373"/>
        <v>0</v>
      </c>
      <c r="AF261" s="117">
        <f t="shared" si="361"/>
        <v>1E-10</v>
      </c>
      <c r="AG261" s="117">
        <f t="shared" si="362"/>
        <v>99.000000000399993</v>
      </c>
      <c r="AH261" s="117">
        <f t="shared" si="363"/>
        <v>99.000000000599996</v>
      </c>
      <c r="AI261" s="117">
        <f t="shared" si="364"/>
        <v>0</v>
      </c>
      <c r="AJ261" s="117">
        <f t="shared" si="365"/>
        <v>5.0000000000000003E-10</v>
      </c>
      <c r="AK261" s="117">
        <f t="shared" si="366"/>
        <v>6E-10</v>
      </c>
      <c r="AL261" s="117">
        <f t="shared" si="367"/>
        <v>6.9999999999999996E-10</v>
      </c>
      <c r="AM261" s="117">
        <f t="shared" si="368"/>
        <v>8.0000000000000003E-10</v>
      </c>
      <c r="AN261" s="117">
        <f t="shared" si="369"/>
        <v>8.9999999999999999E-10</v>
      </c>
      <c r="AO261" s="117">
        <f t="shared" si="370"/>
        <v>0</v>
      </c>
      <c r="AP261" s="117" t="b">
        <f t="shared" si="374"/>
        <v>0</v>
      </c>
      <c r="AQ261" s="117" t="b">
        <f t="shared" si="375"/>
        <v>1</v>
      </c>
      <c r="AR261" s="117" t="b">
        <f t="shared" si="376"/>
        <v>1</v>
      </c>
      <c r="AT261" s="117" t="b">
        <f t="shared" si="377"/>
        <v>0</v>
      </c>
      <c r="AU261" s="117" t="b">
        <f t="shared" si="378"/>
        <v>0</v>
      </c>
      <c r="AV261" s="117" t="b">
        <f t="shared" si="379"/>
        <v>1</v>
      </c>
      <c r="AW261" s="117" t="b">
        <f t="shared" si="380"/>
        <v>1</v>
      </c>
      <c r="AX261" s="117" t="b">
        <f t="shared" si="381"/>
        <v>1</v>
      </c>
      <c r="AY261" s="117" t="b">
        <f t="shared" si="382"/>
        <v>0</v>
      </c>
      <c r="AZ261" s="117" t="str">
        <f t="shared" si="383"/>
        <v>JS5317</v>
      </c>
      <c r="BA261" s="117">
        <f>'Reference Score Calculation'!N238</f>
        <v>0</v>
      </c>
      <c r="BB261" s="117">
        <f>'Reference Score Calculation'!O238</f>
        <v>0</v>
      </c>
      <c r="BC261" s="2" t="str">
        <f t="shared" si="384"/>
        <v>請選擇第一選修科</v>
      </c>
      <c r="BD261" s="93">
        <f t="shared" si="385"/>
        <v>6E-10</v>
      </c>
      <c r="BE261" s="93">
        <f t="shared" si="386"/>
        <v>1</v>
      </c>
      <c r="BF261" s="93" t="str">
        <f t="shared" si="387"/>
        <v>Best 5總分 x 1</v>
      </c>
      <c r="BG261" s="93"/>
      <c r="BH261" s="93"/>
      <c r="BI261" s="93" t="b">
        <v>1</v>
      </c>
      <c r="BJ261" s="93" t="b">
        <v>1</v>
      </c>
      <c r="BK261" s="93"/>
      <c r="BL261" s="93"/>
      <c r="BM261" s="93"/>
      <c r="BN261" s="93"/>
      <c r="BO261" s="93"/>
      <c r="BP261" s="93"/>
      <c r="BQ261" s="93"/>
      <c r="BR261" s="93"/>
      <c r="BS261" s="116"/>
      <c r="BT261" s="21">
        <f>IF(OR(P$1="物理",P$1="組合科學(物理、化學)",P$1="組合科學(生物、化學)",P$1="組合科學(物理、生物)",P$1="化學",P$1="生物",P$1="設計與應用科技"),P$7*2,IF(P$1="資訊及通訊科技",P$7,0))</f>
        <v>0</v>
      </c>
      <c r="BU261" s="21">
        <f>IF(OR(Q$1="物理",Q$1="組合科學(物理、化學)",Q$1="組合科學(生物、化學)",Q$1="組合科學(物理、生物)",Q$1="化學",Q$1="生物",Q$1="設計與應用科技"),Q$7*2,IF(Q$1="資訊及通訊科技",Q$7,0))</f>
        <v>0</v>
      </c>
      <c r="BV261" s="21">
        <f>IF(OR(R$1="物理",R$1="組合科學(物理、化學)",R$1="組合科學(生物、化學)",R$1="組合科學(物理、生物)",R$1="化學",R$1="生物",R$1="設計與應用科技"),R$7*2,IF(R$1="資訊及通訊科技",R$7,0))</f>
        <v>0</v>
      </c>
      <c r="BW261" s="21">
        <f>IF(OR(S$1="物理",S$1="組合科學(物理、化學)",S$1="組合科學(生物、化學)",S$1="組合科學(物理、生物)",S$1="化學",S$1="生物",S$1="設計與應用科技"),S$7*2,IF(S$1="資訊及通訊科技",S$7,0))</f>
        <v>0</v>
      </c>
      <c r="BX261" s="116"/>
      <c r="BY261" s="116"/>
      <c r="BZ261" s="117" t="str">
        <f>INDEX(BT260:BW260,MATCH(LARGE(BT261:BW261,1),BT261:BW261,0))</f>
        <v>請選擇第一選修科</v>
      </c>
      <c r="CA261" s="117">
        <f>LARGE((BT261:BW261),1)</f>
        <v>0</v>
      </c>
      <c r="CB261" s="16">
        <f>IF(OR(BZ261="生物",BZ261="化學",BZ261="物理",BZ261="數學延伸",BZ261="組合科學(物理、化學)",BZ261="組合科學(生物、化學)",BZ261="組合科學(物理、生物)",BZ261="設計與應用科技"),2,1)</f>
        <v>1</v>
      </c>
      <c r="CC261" s="116"/>
      <c r="CD261" s="116"/>
      <c r="CE261" s="21">
        <f>IF(CE260=$BZ$261,0,K$7)</f>
        <v>1E-10</v>
      </c>
      <c r="CF261" s="21">
        <v>0</v>
      </c>
      <c r="CG261" s="21">
        <v>0</v>
      </c>
      <c r="CH261" s="21"/>
      <c r="CI261" s="21">
        <f>IF(CI260=$BZ$261,0,O$7*1.5)</f>
        <v>7.500000000000001E-10</v>
      </c>
      <c r="CJ261" s="21">
        <f>IF(CJ260=$BZ$261,0,P$7)</f>
        <v>0</v>
      </c>
      <c r="CK261" s="21">
        <f>IF(CK260=$BZ$261,0,Q$7)</f>
        <v>6.9999999999999996E-10</v>
      </c>
      <c r="CL261" s="21">
        <f>IF(CL260=$BZ$261,0,R$7)</f>
        <v>8.0000000000000003E-10</v>
      </c>
      <c r="CM261" s="21">
        <f>IF(CM260=$BZ$261,0,S$7)</f>
        <v>8.9999999999999999E-10</v>
      </c>
      <c r="CN261" s="21"/>
      <c r="CO261" s="116"/>
      <c r="CP261" s="116"/>
      <c r="CQ261" s="116"/>
      <c r="CR261" s="116"/>
      <c r="CS261" s="116"/>
    </row>
    <row r="262" spans="1:97">
      <c r="A262" s="139"/>
      <c r="B262" s="117" t="str">
        <f>'Reference Score Calculation'!B239</f>
        <v>JS5318</v>
      </c>
      <c r="C262" s="117" t="str">
        <f>'Reference Score Calculation'!E239</f>
        <v>工商管理學士（專業會計學）</v>
      </c>
      <c r="E262" s="117" t="str">
        <f>'Reference Score Calculation'!F239</f>
        <v>英數Best3</v>
      </c>
      <c r="F262" s="117"/>
      <c r="G262" s="117" t="str">
        <f>入學要求!AB249</f>
        <v>v</v>
      </c>
      <c r="H262" s="117" t="str">
        <f>入學要求!AC249</f>
        <v>NO</v>
      </c>
      <c r="I262" s="117" t="str">
        <f>入學要求!AD249</f>
        <v>NO</v>
      </c>
      <c r="J262" s="117">
        <f t="shared" si="352"/>
        <v>3.3999999999999998E-9</v>
      </c>
      <c r="K262" s="117">
        <v>1</v>
      </c>
      <c r="L262" s="139">
        <v>2</v>
      </c>
      <c r="M262" s="139">
        <v>2</v>
      </c>
      <c r="O262" s="117">
        <v>1</v>
      </c>
      <c r="P262" s="117">
        <v>1</v>
      </c>
      <c r="Q262" s="117">
        <v>1</v>
      </c>
      <c r="R262" s="117">
        <v>1</v>
      </c>
      <c r="S262" s="117">
        <v>1</v>
      </c>
      <c r="T262" s="117">
        <v>1</v>
      </c>
      <c r="V262" s="117">
        <f t="shared" si="353"/>
        <v>1E-10</v>
      </c>
      <c r="W262" s="117">
        <f t="shared" si="354"/>
        <v>4.0000000000000001E-10</v>
      </c>
      <c r="X262" s="117">
        <f t="shared" si="355"/>
        <v>6E-10</v>
      </c>
      <c r="Z262" s="117">
        <f t="shared" si="356"/>
        <v>5.0000000000000003E-10</v>
      </c>
      <c r="AA262" s="117">
        <f t="shared" si="357"/>
        <v>6E-10</v>
      </c>
      <c r="AB262" s="117">
        <f t="shared" si="358"/>
        <v>6.9999999999999996E-10</v>
      </c>
      <c r="AC262" s="117">
        <f t="shared" si="359"/>
        <v>8.0000000000000003E-10</v>
      </c>
      <c r="AD262" s="117">
        <f t="shared" si="360"/>
        <v>8.9999999999999999E-10</v>
      </c>
      <c r="AE262" s="117">
        <f t="shared" si="373"/>
        <v>0</v>
      </c>
      <c r="AF262" s="117">
        <f t="shared" si="361"/>
        <v>1E-10</v>
      </c>
      <c r="AG262" s="117">
        <f t="shared" si="362"/>
        <v>99.000000000399993</v>
      </c>
      <c r="AH262" s="117">
        <f t="shared" si="363"/>
        <v>99.000000000599996</v>
      </c>
      <c r="AI262" s="117">
        <f t="shared" si="364"/>
        <v>0</v>
      </c>
      <c r="AJ262" s="117">
        <f t="shared" si="365"/>
        <v>5.0000000000000003E-10</v>
      </c>
      <c r="AK262" s="117">
        <f t="shared" si="366"/>
        <v>6E-10</v>
      </c>
      <c r="AL262" s="117">
        <f t="shared" si="367"/>
        <v>6.9999999999999996E-10</v>
      </c>
      <c r="AM262" s="117">
        <f t="shared" si="368"/>
        <v>8.0000000000000003E-10</v>
      </c>
      <c r="AN262" s="117">
        <f t="shared" si="369"/>
        <v>8.9999999999999999E-10</v>
      </c>
      <c r="AO262" s="117">
        <f t="shared" si="370"/>
        <v>0</v>
      </c>
      <c r="AP262" s="117" t="b">
        <f t="shared" si="374"/>
        <v>0</v>
      </c>
      <c r="AQ262" s="117" t="b">
        <f t="shared" si="375"/>
        <v>1</v>
      </c>
      <c r="AR262" s="117" t="b">
        <f t="shared" si="376"/>
        <v>1</v>
      </c>
      <c r="AT262" s="117" t="b">
        <f t="shared" si="377"/>
        <v>0</v>
      </c>
      <c r="AU262" s="117" t="b">
        <f t="shared" si="378"/>
        <v>0</v>
      </c>
      <c r="AV262" s="117" t="b">
        <f t="shared" si="379"/>
        <v>1</v>
      </c>
      <c r="AW262" s="117" t="b">
        <f t="shared" si="380"/>
        <v>1</v>
      </c>
      <c r="AX262" s="117" t="b">
        <f t="shared" si="381"/>
        <v>1</v>
      </c>
      <c r="AY262" s="117" t="b">
        <f t="shared" si="382"/>
        <v>0</v>
      </c>
      <c r="AZ262" s="117" t="str">
        <f t="shared" si="383"/>
        <v>JS5318</v>
      </c>
      <c r="BA262" s="117">
        <f>'Reference Score Calculation'!N239</f>
        <v>0</v>
      </c>
      <c r="BB262" s="117">
        <f>'Reference Score Calculation'!O239</f>
        <v>0</v>
      </c>
      <c r="BC262" s="2" t="str">
        <f t="shared" si="384"/>
        <v>請選擇第一選修科</v>
      </c>
      <c r="BD262" s="93">
        <f t="shared" si="385"/>
        <v>6E-10</v>
      </c>
      <c r="BE262" s="93">
        <f t="shared" si="386"/>
        <v>1</v>
      </c>
      <c r="BF262" s="93" t="str">
        <f t="shared" si="387"/>
        <v>Best 5總分 x 1</v>
      </c>
      <c r="BG262" s="93"/>
      <c r="BH262" s="93"/>
      <c r="BI262" s="93" t="b">
        <v>1</v>
      </c>
      <c r="BJ262" s="93" t="b">
        <v>1</v>
      </c>
      <c r="BK262" s="93"/>
      <c r="BL262" s="93"/>
      <c r="BM262" s="93"/>
      <c r="BN262" s="93"/>
      <c r="BO262" s="93"/>
      <c r="BP262" s="93"/>
      <c r="BQ262" s="93"/>
      <c r="BR262" s="93"/>
      <c r="BS262" s="116"/>
      <c r="BT262" s="158" t="s">
        <v>343</v>
      </c>
      <c r="BU262" s="102"/>
      <c r="BV262" s="115"/>
      <c r="BW262" s="115"/>
      <c r="BX262" s="115"/>
      <c r="BY262" s="116"/>
      <c r="BZ262" s="116"/>
      <c r="CA262" s="116"/>
      <c r="CB262" s="116"/>
      <c r="CC262" s="116"/>
      <c r="CD262" s="116"/>
      <c r="CE262" s="163" t="b">
        <f>IF(CE260=$BZ$261,TRUE,IF(CE261&gt;LARGE($CE261:$CN261,3),TRUE))</f>
        <v>0</v>
      </c>
      <c r="CF262" s="163" t="b">
        <v>1</v>
      </c>
      <c r="CG262" s="163" t="b">
        <v>1</v>
      </c>
      <c r="CH262" s="163"/>
      <c r="CI262" s="163" t="b">
        <f t="shared" ref="CI262:CM262" si="409">IF(CI260=$BZ$261,TRUE,IF(CI261&gt;LARGE($CE261:$CN261,3),TRUE))</f>
        <v>0</v>
      </c>
      <c r="CJ262" s="163" t="b">
        <f t="shared" si="409"/>
        <v>1</v>
      </c>
      <c r="CK262" s="163" t="b">
        <f t="shared" si="409"/>
        <v>0</v>
      </c>
      <c r="CL262" s="163" t="b">
        <f t="shared" si="409"/>
        <v>1</v>
      </c>
      <c r="CM262" s="163" t="b">
        <f t="shared" si="409"/>
        <v>1</v>
      </c>
      <c r="CN262" s="163"/>
      <c r="CO262" s="116"/>
      <c r="CP262" s="116"/>
      <c r="CQ262" s="116"/>
      <c r="CR262" s="116"/>
      <c r="CS262" s="116"/>
    </row>
    <row r="263" spans="1:97">
      <c r="A263" s="139"/>
      <c r="B263" s="117" t="str">
        <f>'Reference Score Calculation'!B240</f>
        <v>JS5331</v>
      </c>
      <c r="C263" s="117" t="str">
        <f>'Reference Score Calculation'!E240</f>
        <v>理學士（經濟及金融學）</v>
      </c>
      <c r="E263" s="117" t="str">
        <f>'Reference Score Calculation'!F240</f>
        <v>英數Best3</v>
      </c>
      <c r="F263" s="117"/>
      <c r="G263" s="117" t="str">
        <f>入學要求!AB250</f>
        <v>v</v>
      </c>
      <c r="H263" s="117" t="str">
        <f>入學要求!AC250</f>
        <v>NO</v>
      </c>
      <c r="I263" s="117" t="str">
        <f>入學要求!AD250</f>
        <v>NO</v>
      </c>
      <c r="J263" s="117">
        <f t="shared" si="352"/>
        <v>3.3999999999999998E-9</v>
      </c>
      <c r="K263" s="117">
        <v>1</v>
      </c>
      <c r="L263" s="139">
        <v>2</v>
      </c>
      <c r="M263" s="139">
        <v>2</v>
      </c>
      <c r="O263" s="117">
        <f t="shared" ref="O263:S264" si="410">IF(O$1=$BZ$265,$CB$265,1)</f>
        <v>1</v>
      </c>
      <c r="P263" s="117">
        <f t="shared" si="410"/>
        <v>1</v>
      </c>
      <c r="Q263" s="117">
        <f t="shared" si="410"/>
        <v>1</v>
      </c>
      <c r="R263" s="117">
        <f t="shared" si="410"/>
        <v>1</v>
      </c>
      <c r="S263" s="117">
        <f t="shared" si="410"/>
        <v>1</v>
      </c>
      <c r="T263" s="117">
        <v>1</v>
      </c>
      <c r="V263" s="117">
        <f t="shared" si="353"/>
        <v>1E-10</v>
      </c>
      <c r="W263" s="117">
        <f t="shared" si="354"/>
        <v>4.0000000000000001E-10</v>
      </c>
      <c r="X263" s="117">
        <f t="shared" si="355"/>
        <v>6E-10</v>
      </c>
      <c r="Z263" s="117">
        <f t="shared" si="356"/>
        <v>5.0000000000000003E-10</v>
      </c>
      <c r="AA263" s="117">
        <f t="shared" si="357"/>
        <v>6E-10</v>
      </c>
      <c r="AB263" s="117">
        <f t="shared" si="358"/>
        <v>6.9999999999999996E-10</v>
      </c>
      <c r="AC263" s="117">
        <f t="shared" si="359"/>
        <v>8.0000000000000003E-10</v>
      </c>
      <c r="AD263" s="117">
        <f t="shared" si="360"/>
        <v>8.9999999999999999E-10</v>
      </c>
      <c r="AE263" s="117">
        <f t="shared" si="373"/>
        <v>0</v>
      </c>
      <c r="AF263" s="117">
        <f t="shared" si="361"/>
        <v>1E-10</v>
      </c>
      <c r="AG263" s="117">
        <f t="shared" si="362"/>
        <v>99.000000000399993</v>
      </c>
      <c r="AH263" s="117">
        <f t="shared" si="363"/>
        <v>99.000000000599996</v>
      </c>
      <c r="AI263" s="117">
        <f t="shared" si="364"/>
        <v>0</v>
      </c>
      <c r="AJ263" s="117">
        <f t="shared" si="365"/>
        <v>5.0000000000000003E-10</v>
      </c>
      <c r="AK263" s="117">
        <f t="shared" si="366"/>
        <v>6E-10</v>
      </c>
      <c r="AL263" s="117">
        <f t="shared" si="367"/>
        <v>99.000000000699998</v>
      </c>
      <c r="AM263" s="117">
        <f t="shared" si="368"/>
        <v>99.0000000008</v>
      </c>
      <c r="AN263" s="117">
        <f t="shared" si="369"/>
        <v>99.000000000900002</v>
      </c>
      <c r="AO263" s="117">
        <f t="shared" si="370"/>
        <v>0</v>
      </c>
      <c r="AP263" s="117" t="b">
        <f t="shared" si="374"/>
        <v>0</v>
      </c>
      <c r="AQ263" s="117" t="b">
        <f t="shared" si="375"/>
        <v>1</v>
      </c>
      <c r="AR263" s="117" t="b">
        <f t="shared" si="376"/>
        <v>1</v>
      </c>
      <c r="AT263" s="117" t="b">
        <f t="shared" si="377"/>
        <v>0</v>
      </c>
      <c r="AU263" s="117" t="b">
        <f t="shared" si="378"/>
        <v>0</v>
      </c>
      <c r="AV263" s="117" t="b">
        <f t="shared" si="379"/>
        <v>1</v>
      </c>
      <c r="AW263" s="117" t="b">
        <f t="shared" si="380"/>
        <v>1</v>
      </c>
      <c r="AX263" s="117" t="b">
        <f t="shared" si="381"/>
        <v>1</v>
      </c>
      <c r="AY263" s="117" t="b">
        <f t="shared" si="382"/>
        <v>0</v>
      </c>
      <c r="AZ263" s="117" t="str">
        <f t="shared" si="383"/>
        <v>JS5331</v>
      </c>
      <c r="BA263" s="117">
        <f>'Reference Score Calculation'!N240</f>
        <v>0</v>
      </c>
      <c r="BB263" s="117">
        <f>'Reference Score Calculation'!O240</f>
        <v>0</v>
      </c>
      <c r="BC263" s="2" t="str">
        <f t="shared" si="384"/>
        <v>請選擇第一選修科</v>
      </c>
      <c r="BD263" s="93">
        <f t="shared" si="385"/>
        <v>6E-10</v>
      </c>
      <c r="BE263" s="93">
        <f t="shared" si="386"/>
        <v>1</v>
      </c>
      <c r="BF263" s="93" t="str">
        <f t="shared" si="387"/>
        <v>Best 5總分 x 1</v>
      </c>
      <c r="BG263" s="93"/>
      <c r="BH263" s="93" t="b">
        <f t="shared" ref="BH263:BQ263" si="411">CE266</f>
        <v>0</v>
      </c>
      <c r="BI263" s="93" t="b">
        <f t="shared" si="411"/>
        <v>1</v>
      </c>
      <c r="BJ263" s="93" t="b">
        <f t="shared" si="411"/>
        <v>1</v>
      </c>
      <c r="BK263" s="93">
        <f t="shared" si="411"/>
        <v>0</v>
      </c>
      <c r="BL263" s="93" t="b">
        <f t="shared" si="411"/>
        <v>0</v>
      </c>
      <c r="BM263" s="93" t="b">
        <f t="shared" si="411"/>
        <v>0</v>
      </c>
      <c r="BN263" s="93" t="b">
        <f t="shared" si="411"/>
        <v>1</v>
      </c>
      <c r="BO263" s="93" t="b">
        <f t="shared" si="411"/>
        <v>1</v>
      </c>
      <c r="BP263" s="93" t="b">
        <f t="shared" si="411"/>
        <v>1</v>
      </c>
      <c r="BQ263" s="93">
        <f t="shared" si="411"/>
        <v>0</v>
      </c>
      <c r="BR263" s="93"/>
      <c r="BS263" s="116"/>
      <c r="BT263" s="116"/>
      <c r="BU263" s="116"/>
      <c r="BV263" s="116"/>
      <c r="BW263" s="116"/>
      <c r="BX263" s="116"/>
      <c r="BY263" s="116"/>
      <c r="BZ263" s="116"/>
      <c r="CA263" s="116"/>
      <c r="CB263" s="116"/>
      <c r="CC263" s="116"/>
      <c r="CD263" s="116"/>
      <c r="CE263" s="116"/>
      <c r="CF263" s="116"/>
      <c r="CG263" s="116"/>
      <c r="CH263" s="116"/>
      <c r="CI263" s="116"/>
      <c r="CJ263" s="116"/>
      <c r="CK263" s="116"/>
      <c r="CL263" s="116"/>
      <c r="CM263" s="116"/>
      <c r="CN263" s="116"/>
      <c r="CO263" s="116"/>
      <c r="CP263" s="116"/>
      <c r="CQ263" s="116"/>
      <c r="CR263" s="116"/>
      <c r="CS263" s="116"/>
    </row>
    <row r="264" spans="1:97">
      <c r="A264" s="139"/>
      <c r="B264" s="117" t="str">
        <f>'Reference Score Calculation'!B241</f>
        <v>JS5332</v>
      </c>
      <c r="C264" s="117" t="str">
        <f>'Reference Score Calculation'!E241</f>
        <v>理學士（量化金融學）</v>
      </c>
      <c r="E264" s="117" t="str">
        <f>'Reference Score Calculation'!F241</f>
        <v>英數Best3</v>
      </c>
      <c r="F264" s="117"/>
      <c r="G264" s="117" t="str">
        <f>入學要求!AB251</f>
        <v>v</v>
      </c>
      <c r="H264" s="117" t="str">
        <f>入學要求!AC251</f>
        <v>C</v>
      </c>
      <c r="I264" s="117" t="str">
        <f>入學要求!AD251</f>
        <v>NO</v>
      </c>
      <c r="J264" s="117">
        <f t="shared" si="352"/>
        <v>3.3999999999999998E-9</v>
      </c>
      <c r="K264" s="117">
        <v>1</v>
      </c>
      <c r="L264" s="139">
        <v>2</v>
      </c>
      <c r="M264" s="139">
        <v>2</v>
      </c>
      <c r="O264" s="117">
        <f t="shared" si="410"/>
        <v>1</v>
      </c>
      <c r="P264" s="117">
        <f t="shared" si="410"/>
        <v>1</v>
      </c>
      <c r="Q264" s="117">
        <f t="shared" si="410"/>
        <v>1</v>
      </c>
      <c r="R264" s="117">
        <f t="shared" si="410"/>
        <v>1</v>
      </c>
      <c r="S264" s="117">
        <f t="shared" si="410"/>
        <v>1</v>
      </c>
      <c r="T264" s="117">
        <v>1</v>
      </c>
      <c r="V264" s="117">
        <f t="shared" si="353"/>
        <v>1E-10</v>
      </c>
      <c r="W264" s="117">
        <f t="shared" si="354"/>
        <v>4.0000000000000001E-10</v>
      </c>
      <c r="X264" s="117">
        <f t="shared" si="355"/>
        <v>6E-10</v>
      </c>
      <c r="Z264" s="117">
        <f t="shared" si="356"/>
        <v>5.0000000000000003E-10</v>
      </c>
      <c r="AA264" s="117">
        <f t="shared" si="357"/>
        <v>6E-10</v>
      </c>
      <c r="AB264" s="117">
        <f t="shared" si="358"/>
        <v>6.9999999999999996E-10</v>
      </c>
      <c r="AC264" s="117">
        <f t="shared" si="359"/>
        <v>8.0000000000000003E-10</v>
      </c>
      <c r="AD264" s="117">
        <f t="shared" si="360"/>
        <v>8.9999999999999999E-10</v>
      </c>
      <c r="AE264" s="117">
        <f t="shared" si="373"/>
        <v>0</v>
      </c>
      <c r="AF264" s="117">
        <f t="shared" si="361"/>
        <v>1E-10</v>
      </c>
      <c r="AG264" s="117">
        <f t="shared" si="362"/>
        <v>99.000000000399993</v>
      </c>
      <c r="AH264" s="117">
        <f t="shared" si="363"/>
        <v>99.000000000599996</v>
      </c>
      <c r="AI264" s="117">
        <f t="shared" si="364"/>
        <v>0</v>
      </c>
      <c r="AJ264" s="117">
        <f t="shared" si="365"/>
        <v>5.0000000000000003E-10</v>
      </c>
      <c r="AK264" s="117">
        <f t="shared" si="366"/>
        <v>6E-10</v>
      </c>
      <c r="AL264" s="117">
        <f t="shared" si="367"/>
        <v>99.000000000699998</v>
      </c>
      <c r="AM264" s="117">
        <f t="shared" si="368"/>
        <v>99.0000000008</v>
      </c>
      <c r="AN264" s="117">
        <f t="shared" si="369"/>
        <v>99.000000000900002</v>
      </c>
      <c r="AO264" s="117">
        <f t="shared" si="370"/>
        <v>0</v>
      </c>
      <c r="AP264" s="117" t="b">
        <f t="shared" si="374"/>
        <v>0</v>
      </c>
      <c r="AQ264" s="117" t="b">
        <f t="shared" si="375"/>
        <v>1</v>
      </c>
      <c r="AR264" s="117" t="b">
        <f t="shared" si="376"/>
        <v>1</v>
      </c>
      <c r="AT264" s="117" t="b">
        <f t="shared" si="377"/>
        <v>0</v>
      </c>
      <c r="AU264" s="117" t="b">
        <f t="shared" si="378"/>
        <v>0</v>
      </c>
      <c r="AV264" s="117" t="b">
        <f t="shared" si="379"/>
        <v>1</v>
      </c>
      <c r="AW264" s="117" t="b">
        <f t="shared" si="380"/>
        <v>1</v>
      </c>
      <c r="AX264" s="117" t="b">
        <f t="shared" si="381"/>
        <v>1</v>
      </c>
      <c r="AY264" s="117" t="b">
        <f t="shared" si="382"/>
        <v>0</v>
      </c>
      <c r="AZ264" s="117" t="str">
        <f t="shared" si="383"/>
        <v>JS5332</v>
      </c>
      <c r="BA264" s="117">
        <f>'Reference Score Calculation'!N241</f>
        <v>0</v>
      </c>
      <c r="BB264" s="117">
        <f>'Reference Score Calculation'!O241</f>
        <v>0</v>
      </c>
      <c r="BC264" s="2" t="str">
        <f t="shared" si="384"/>
        <v>請選擇第一選修科</v>
      </c>
      <c r="BD264" s="93">
        <f t="shared" si="385"/>
        <v>6E-10</v>
      </c>
      <c r="BE264" s="93">
        <f t="shared" si="386"/>
        <v>1</v>
      </c>
      <c r="BF264" s="93" t="str">
        <f t="shared" si="387"/>
        <v>Best 5總分 x 1</v>
      </c>
      <c r="BG264" s="93"/>
      <c r="BH264" s="93" t="b">
        <f t="shared" ref="BH264:BQ264" si="412">CE266</f>
        <v>0</v>
      </c>
      <c r="BI264" s="93" t="b">
        <f t="shared" si="412"/>
        <v>1</v>
      </c>
      <c r="BJ264" s="93" t="b">
        <f t="shared" si="412"/>
        <v>1</v>
      </c>
      <c r="BK264" s="93">
        <f t="shared" si="412"/>
        <v>0</v>
      </c>
      <c r="BL264" s="93" t="b">
        <f t="shared" si="412"/>
        <v>0</v>
      </c>
      <c r="BM264" s="93" t="b">
        <f t="shared" si="412"/>
        <v>0</v>
      </c>
      <c r="BN264" s="93" t="b">
        <f t="shared" si="412"/>
        <v>1</v>
      </c>
      <c r="BO264" s="93" t="b">
        <f t="shared" si="412"/>
        <v>1</v>
      </c>
      <c r="BP264" s="93" t="b">
        <f t="shared" si="412"/>
        <v>1</v>
      </c>
      <c r="BQ264" s="93">
        <f t="shared" si="412"/>
        <v>0</v>
      </c>
      <c r="BR264" s="93"/>
      <c r="BS264" s="116" t="s">
        <v>344</v>
      </c>
      <c r="BT264" s="101" t="str">
        <f>P$1</f>
        <v>請選擇第一選修科</v>
      </c>
      <c r="BU264" s="101" t="str">
        <f>Q$1</f>
        <v>請選擇第二選修科</v>
      </c>
      <c r="BV264" s="101" t="str">
        <f>R$1</f>
        <v>請選擇第三選修科</v>
      </c>
      <c r="BW264" s="101" t="str">
        <f>S$1</f>
        <v>請選擇第四選修科</v>
      </c>
      <c r="BX264" s="101" t="str">
        <f>O$1</f>
        <v>數學延伸</v>
      </c>
      <c r="BY264" s="116"/>
      <c r="BZ264" s="156" t="s">
        <v>345</v>
      </c>
      <c r="CA264" s="116"/>
      <c r="CB264" s="102" t="s">
        <v>96</v>
      </c>
      <c r="CC264" s="116"/>
      <c r="CD264" s="116"/>
      <c r="CE264" s="101" t="str">
        <f>K$1</f>
        <v>中國語文</v>
      </c>
      <c r="CF264" s="101" t="str">
        <f>L$1</f>
        <v>英國語文</v>
      </c>
      <c r="CG264" s="101" t="str">
        <f>M$1</f>
        <v>數學</v>
      </c>
      <c r="CH264" s="101"/>
      <c r="CI264" s="101" t="str">
        <f>O$1</f>
        <v>數學延伸</v>
      </c>
      <c r="CJ264" s="101" t="str">
        <f>P$1</f>
        <v>請選擇第一選修科</v>
      </c>
      <c r="CK264" s="101" t="str">
        <f>Q$1</f>
        <v>請選擇第二選修科</v>
      </c>
      <c r="CL264" s="101" t="str">
        <f>R$1</f>
        <v>請選擇第三選修科</v>
      </c>
      <c r="CM264" s="101" t="str">
        <f>S$1</f>
        <v>請選擇第四選修科</v>
      </c>
      <c r="CN264" s="101"/>
      <c r="CO264" s="116"/>
      <c r="CP264" s="116"/>
      <c r="CQ264" s="116"/>
      <c r="CR264" s="116"/>
      <c r="CS264" s="116"/>
    </row>
    <row r="265" spans="1:97">
      <c r="A265" s="139"/>
      <c r="B265" s="117" t="str">
        <f>'Reference Score Calculation'!B242</f>
        <v>JS5411</v>
      </c>
      <c r="C265" s="117" t="str">
        <f>'Reference Score Calculation'!E242</f>
        <v>理學士（環球中國研究）</v>
      </c>
      <c r="E265" s="117" t="str">
        <f>'Reference Score Calculation'!F242</f>
        <v>中英Best3</v>
      </c>
      <c r="F265" s="117"/>
      <c r="G265" s="117" t="str">
        <f>入學要求!AB252</f>
        <v>v</v>
      </c>
      <c r="H265" s="117" t="str">
        <f>入學要求!AC252</f>
        <v>NO</v>
      </c>
      <c r="I265" s="117" t="str">
        <f>入學要求!AD252</f>
        <v>NO</v>
      </c>
      <c r="J265" s="117">
        <f t="shared" si="352"/>
        <v>2.9499999999999999E-9</v>
      </c>
      <c r="K265" s="117">
        <v>1.5</v>
      </c>
      <c r="L265" s="139">
        <v>2</v>
      </c>
      <c r="M265" s="139">
        <v>1</v>
      </c>
      <c r="O265" s="117">
        <v>1</v>
      </c>
      <c r="P265" s="117">
        <v>1</v>
      </c>
      <c r="Q265" s="117">
        <v>1</v>
      </c>
      <c r="R265" s="117">
        <v>1</v>
      </c>
      <c r="S265" s="117">
        <v>1</v>
      </c>
      <c r="T265" s="117">
        <v>1</v>
      </c>
      <c r="V265" s="117">
        <f t="shared" si="353"/>
        <v>1.5E-10</v>
      </c>
      <c r="W265" s="117">
        <f t="shared" si="354"/>
        <v>4.0000000000000001E-10</v>
      </c>
      <c r="X265" s="117">
        <f t="shared" si="355"/>
        <v>3E-10</v>
      </c>
      <c r="Z265" s="117">
        <f t="shared" si="356"/>
        <v>5.0000000000000003E-10</v>
      </c>
      <c r="AA265" s="117">
        <f t="shared" si="357"/>
        <v>6E-10</v>
      </c>
      <c r="AB265" s="117">
        <f t="shared" si="358"/>
        <v>6.9999999999999996E-10</v>
      </c>
      <c r="AC265" s="117">
        <f t="shared" si="359"/>
        <v>8.0000000000000003E-10</v>
      </c>
      <c r="AD265" s="117">
        <f t="shared" si="360"/>
        <v>8.9999999999999999E-10</v>
      </c>
      <c r="AE265" s="117">
        <f t="shared" si="373"/>
        <v>0</v>
      </c>
      <c r="AF265" s="117">
        <f t="shared" si="361"/>
        <v>99.000000000149996</v>
      </c>
      <c r="AG265" s="117">
        <f t="shared" si="362"/>
        <v>99.000000000399993</v>
      </c>
      <c r="AH265" s="117">
        <f t="shared" si="363"/>
        <v>3E-10</v>
      </c>
      <c r="AI265" s="117">
        <f t="shared" si="364"/>
        <v>0</v>
      </c>
      <c r="AJ265" s="117">
        <f t="shared" si="365"/>
        <v>5.0000000000000003E-10</v>
      </c>
      <c r="AK265" s="117">
        <f t="shared" si="366"/>
        <v>6E-10</v>
      </c>
      <c r="AL265" s="117">
        <f t="shared" si="367"/>
        <v>6.9999999999999996E-10</v>
      </c>
      <c r="AM265" s="117">
        <f t="shared" si="368"/>
        <v>8.0000000000000003E-10</v>
      </c>
      <c r="AN265" s="117">
        <f t="shared" si="369"/>
        <v>8.9999999999999999E-10</v>
      </c>
      <c r="AO265" s="117">
        <f t="shared" si="370"/>
        <v>0</v>
      </c>
      <c r="AP265" s="117" t="b">
        <f t="shared" si="374"/>
        <v>1</v>
      </c>
      <c r="AQ265" s="117" t="b">
        <f t="shared" si="375"/>
        <v>1</v>
      </c>
      <c r="AR265" s="117" t="b">
        <f t="shared" si="376"/>
        <v>0</v>
      </c>
      <c r="AT265" s="117" t="b">
        <f t="shared" si="377"/>
        <v>0</v>
      </c>
      <c r="AU265" s="117" t="b">
        <f t="shared" si="378"/>
        <v>0</v>
      </c>
      <c r="AV265" s="117" t="b">
        <f t="shared" si="379"/>
        <v>1</v>
      </c>
      <c r="AW265" s="117" t="b">
        <f t="shared" si="380"/>
        <v>1</v>
      </c>
      <c r="AX265" s="117" t="b">
        <f t="shared" si="381"/>
        <v>1</v>
      </c>
      <c r="AY265" s="117" t="b">
        <f t="shared" si="382"/>
        <v>0</v>
      </c>
      <c r="AZ265" s="117" t="str">
        <f t="shared" si="383"/>
        <v>JS5411</v>
      </c>
      <c r="BA265" s="117">
        <f>'Reference Score Calculation'!N242</f>
        <v>0</v>
      </c>
      <c r="BB265" s="117">
        <f>'Reference Score Calculation'!O242</f>
        <v>0</v>
      </c>
      <c r="BC265" s="2" t="str">
        <f t="shared" si="384"/>
        <v>請選擇第一選修科</v>
      </c>
      <c r="BD265" s="93">
        <f t="shared" si="385"/>
        <v>6E-10</v>
      </c>
      <c r="BE265" s="93">
        <f t="shared" si="386"/>
        <v>1</v>
      </c>
      <c r="BF265" s="93" t="str">
        <f t="shared" si="387"/>
        <v>Best 5總分 x 1</v>
      </c>
      <c r="BG265" s="93"/>
      <c r="BH265" s="93" t="b">
        <v>1</v>
      </c>
      <c r="BI265" s="93" t="b">
        <v>1</v>
      </c>
      <c r="BJ265" s="93"/>
      <c r="BK265" s="93"/>
      <c r="BL265" s="93"/>
      <c r="BM265" s="93"/>
      <c r="BN265" s="93"/>
      <c r="BO265" s="93"/>
      <c r="BP265" s="93"/>
      <c r="BQ265" s="93"/>
      <c r="BR265" s="93"/>
      <c r="BS265" s="116" t="s">
        <v>346</v>
      </c>
      <c r="BT265" s="21">
        <f>IF(OR(P$1="物理",P$1="化學",P$1="經濟"),P$7*1.5,P$7)</f>
        <v>6E-10</v>
      </c>
      <c r="BU265" s="21">
        <f>IF(OR(Q$1="物理",Q$1="化學",Q$1="經濟"),Q$7*1.5,Q$7)</f>
        <v>6.9999999999999996E-10</v>
      </c>
      <c r="BV265" s="21">
        <f>IF(OR(R$1="物理",R$1="化學",R$1="經濟"),R$7*1.5,R$7)</f>
        <v>8.0000000000000003E-10</v>
      </c>
      <c r="BW265" s="21">
        <f>IF(OR(S$1="物理",S$1="化學",S$1="經濟"),S$7*1.5,S$7)</f>
        <v>8.9999999999999999E-10</v>
      </c>
      <c r="BX265" s="2">
        <f>O$7*1.5</f>
        <v>7.500000000000001E-10</v>
      </c>
      <c r="BY265" s="116"/>
      <c r="BZ265" s="117" t="str">
        <f>INDEX(BT264:BX264,MATCH(LARGE(BT265:BX265,1),BT265:BX265,0))</f>
        <v>請選擇第四選修科</v>
      </c>
      <c r="CA265" s="117">
        <f>LARGE((BT265:BX265),1)</f>
        <v>8.9999999999999999E-10</v>
      </c>
      <c r="CB265" s="16">
        <f>IF(OR(BZ265="化學",BZ265="物理",BZ265="數學延伸",BZ265="經濟"),1.5,1)</f>
        <v>1</v>
      </c>
      <c r="CC265" s="116"/>
      <c r="CD265" s="116"/>
      <c r="CE265" s="21">
        <f>IF(CE264=$BZ$265,0,K$7)</f>
        <v>1E-10</v>
      </c>
      <c r="CF265" s="21">
        <v>0</v>
      </c>
      <c r="CG265" s="21">
        <v>0</v>
      </c>
      <c r="CH265" s="21"/>
      <c r="CI265" s="21">
        <f>IF(CI264=$BZ$265,0,O$7)</f>
        <v>5.0000000000000003E-10</v>
      </c>
      <c r="CJ265" s="21">
        <f>IF(CJ264=$BZ$265,0,P$7)</f>
        <v>6E-10</v>
      </c>
      <c r="CK265" s="21">
        <f>IF(CK264=$BZ$265,0,Q$7)</f>
        <v>6.9999999999999996E-10</v>
      </c>
      <c r="CL265" s="21">
        <f>IF(CL264=$BZ$265,0,R$7)</f>
        <v>8.0000000000000003E-10</v>
      </c>
      <c r="CM265" s="21">
        <f>IF(CM264=$BZ$265,0,S$7)</f>
        <v>0</v>
      </c>
      <c r="CN265" s="21"/>
      <c r="CO265" s="116"/>
      <c r="CP265" s="116"/>
      <c r="CQ265" s="116"/>
      <c r="CR265" s="116"/>
      <c r="CS265" s="116"/>
    </row>
    <row r="266" spans="1:97">
      <c r="A266" s="139"/>
      <c r="B266" s="117" t="str">
        <f>'Reference Score Calculation'!B243</f>
        <v>JS5412</v>
      </c>
      <c r="C266" s="117" t="str">
        <f>'Reference Score Calculation'!E243</f>
        <v>理學士（定量社會數據分析）</v>
      </c>
      <c r="E266" s="117" t="str">
        <f>'Reference Score Calculation'!F243</f>
        <v>英數Best3</v>
      </c>
      <c r="F266" s="117"/>
      <c r="G266" s="117" t="str">
        <f>入學要求!AB253</f>
        <v>v</v>
      </c>
      <c r="H266" s="117" t="str">
        <f>入學要求!AC253</f>
        <v>NO</v>
      </c>
      <c r="I266" s="117" t="str">
        <f>入學要求!AD253</f>
        <v>NO</v>
      </c>
      <c r="J266" s="117">
        <f t="shared" si="352"/>
        <v>3.4500000000000003E-9</v>
      </c>
      <c r="K266" s="117">
        <v>1</v>
      </c>
      <c r="L266" s="139">
        <v>2</v>
      </c>
      <c r="M266" s="139">
        <v>2</v>
      </c>
      <c r="O266" s="117">
        <v>1.5</v>
      </c>
      <c r="P266" s="117">
        <v>1</v>
      </c>
      <c r="Q266" s="117">
        <v>1</v>
      </c>
      <c r="R266" s="117">
        <v>1</v>
      </c>
      <c r="S266" s="117">
        <v>1</v>
      </c>
      <c r="T266" s="117">
        <v>1</v>
      </c>
      <c r="V266" s="117">
        <f t="shared" si="353"/>
        <v>1E-10</v>
      </c>
      <c r="W266" s="117">
        <f t="shared" si="354"/>
        <v>4.0000000000000001E-10</v>
      </c>
      <c r="X266" s="117">
        <f t="shared" si="355"/>
        <v>6E-10</v>
      </c>
      <c r="Z266" s="117">
        <f t="shared" si="356"/>
        <v>7.500000000000001E-10</v>
      </c>
      <c r="AA266" s="117">
        <f t="shared" si="357"/>
        <v>6E-10</v>
      </c>
      <c r="AB266" s="117">
        <f t="shared" si="358"/>
        <v>6.9999999999999996E-10</v>
      </c>
      <c r="AC266" s="117">
        <f t="shared" si="359"/>
        <v>8.0000000000000003E-10</v>
      </c>
      <c r="AD266" s="117">
        <f t="shared" si="360"/>
        <v>8.9999999999999999E-10</v>
      </c>
      <c r="AE266" s="117">
        <f t="shared" si="373"/>
        <v>0</v>
      </c>
      <c r="AF266" s="117">
        <f t="shared" si="361"/>
        <v>1E-10</v>
      </c>
      <c r="AG266" s="117">
        <f t="shared" si="362"/>
        <v>99.000000000399993</v>
      </c>
      <c r="AH266" s="117">
        <f t="shared" si="363"/>
        <v>99.000000000599996</v>
      </c>
      <c r="AI266" s="117">
        <f t="shared" si="364"/>
        <v>0</v>
      </c>
      <c r="AJ266" s="117">
        <f t="shared" si="365"/>
        <v>7.500000000000001E-10</v>
      </c>
      <c r="AK266" s="117">
        <f t="shared" si="366"/>
        <v>6E-10</v>
      </c>
      <c r="AL266" s="117">
        <f t="shared" si="367"/>
        <v>6.9999999999999996E-10</v>
      </c>
      <c r="AM266" s="117">
        <f t="shared" si="368"/>
        <v>8.0000000000000003E-10</v>
      </c>
      <c r="AN266" s="117">
        <f t="shared" si="369"/>
        <v>8.9999999999999999E-10</v>
      </c>
      <c r="AO266" s="117">
        <f t="shared" si="370"/>
        <v>0</v>
      </c>
      <c r="AP266" s="117" t="b">
        <f t="shared" si="374"/>
        <v>0</v>
      </c>
      <c r="AQ266" s="117" t="b">
        <f t="shared" si="375"/>
        <v>1</v>
      </c>
      <c r="AR266" s="117" t="b">
        <f t="shared" si="376"/>
        <v>1</v>
      </c>
      <c r="AT266" s="117" t="b">
        <f t="shared" si="377"/>
        <v>1</v>
      </c>
      <c r="AU266" s="117" t="b">
        <f t="shared" si="378"/>
        <v>0</v>
      </c>
      <c r="AV266" s="117" t="b">
        <f t="shared" si="379"/>
        <v>0</v>
      </c>
      <c r="AW266" s="117" t="b">
        <f t="shared" si="380"/>
        <v>1</v>
      </c>
      <c r="AX266" s="117" t="b">
        <f t="shared" si="381"/>
        <v>1</v>
      </c>
      <c r="AY266" s="117" t="b">
        <f t="shared" si="382"/>
        <v>0</v>
      </c>
      <c r="AZ266" s="117" t="str">
        <f t="shared" si="383"/>
        <v>JS5412</v>
      </c>
      <c r="BA266" s="117">
        <f>'Reference Score Calculation'!N243</f>
        <v>0</v>
      </c>
      <c r="BB266" s="117">
        <f>'Reference Score Calculation'!O243</f>
        <v>0</v>
      </c>
      <c r="BC266" s="2" t="str">
        <f t="shared" si="384"/>
        <v>請選擇第二選修科</v>
      </c>
      <c r="BD266" s="93">
        <f t="shared" si="385"/>
        <v>6.9999999999999996E-10</v>
      </c>
      <c r="BE266" s="93">
        <f t="shared" si="386"/>
        <v>1</v>
      </c>
      <c r="BF266" s="93" t="str">
        <f t="shared" si="387"/>
        <v>Best 5總分 x 1</v>
      </c>
      <c r="BG266" s="93"/>
      <c r="BH266" s="93"/>
      <c r="BI266" s="93" t="b">
        <v>1</v>
      </c>
      <c r="BJ266" s="93" t="b">
        <v>1</v>
      </c>
      <c r="BK266" s="93"/>
      <c r="BL266" s="93"/>
      <c r="BM266" s="93"/>
      <c r="BN266" s="93"/>
      <c r="BO266" s="93"/>
      <c r="BP266" s="93"/>
      <c r="BQ266" s="93"/>
      <c r="BR266" s="93"/>
      <c r="BS266" s="116" t="s">
        <v>347</v>
      </c>
      <c r="BT266" s="158" t="s">
        <v>348</v>
      </c>
      <c r="BU266" s="102"/>
      <c r="BV266" s="115"/>
      <c r="BW266" s="115"/>
      <c r="BX266" s="115"/>
      <c r="BY266" s="116"/>
      <c r="BZ266" s="116"/>
      <c r="CA266" s="116"/>
      <c r="CB266" s="116"/>
      <c r="CC266" s="116"/>
      <c r="CD266" s="116"/>
      <c r="CE266" s="163" t="b">
        <f>IF(CE264=$BZ$265,TRUE,IF(CE265&gt;LARGE($CE265:$CN265,4),TRUE))</f>
        <v>0</v>
      </c>
      <c r="CF266" s="163" t="b">
        <v>1</v>
      </c>
      <c r="CG266" s="163" t="b">
        <v>1</v>
      </c>
      <c r="CH266" s="163"/>
      <c r="CI266" s="163" t="b">
        <f t="shared" ref="CI266:CM266" si="413">IF(CI264=$BZ$265,TRUE,IF(CI265&gt;LARGE($CE265:$CN265,3),TRUE))</f>
        <v>0</v>
      </c>
      <c r="CJ266" s="163" t="b">
        <f t="shared" si="413"/>
        <v>0</v>
      </c>
      <c r="CK266" s="163" t="b">
        <f t="shared" si="413"/>
        <v>1</v>
      </c>
      <c r="CL266" s="163" t="b">
        <f t="shared" si="413"/>
        <v>1</v>
      </c>
      <c r="CM266" s="163" t="b">
        <f t="shared" si="413"/>
        <v>1</v>
      </c>
      <c r="CN266" s="163"/>
      <c r="CO266" s="116"/>
      <c r="CP266" s="116"/>
      <c r="CQ266" s="116"/>
      <c r="CR266" s="116"/>
      <c r="CS266" s="116"/>
    </row>
    <row r="267" spans="1:97">
      <c r="A267" s="139"/>
      <c r="B267" s="117" t="str">
        <f>'Reference Score Calculation'!B244</f>
        <v>JS5711</v>
      </c>
      <c r="C267" s="117" t="str">
        <f>'Reference Score Calculation'!E244</f>
        <v>理學士（綜合系統與設計）</v>
      </c>
      <c r="D267" s="139"/>
      <c r="E267" s="117" t="str">
        <f>'Reference Score Calculation'!F244</f>
        <v>英數Best3</v>
      </c>
      <c r="F267" s="117"/>
      <c r="G267" s="117" t="str">
        <f>入學要求!AB239</f>
        <v>v</v>
      </c>
      <c r="H267" s="117" t="str">
        <f>入學要求!AC239</f>
        <v>NO</v>
      </c>
      <c r="I267" s="117" t="str">
        <f>入學要求!AD239</f>
        <v>NO</v>
      </c>
      <c r="J267" s="117">
        <f t="shared" si="352"/>
        <v>3.2999999999999998E-9</v>
      </c>
      <c r="K267" s="117">
        <v>1</v>
      </c>
      <c r="L267" s="139">
        <v>2</v>
      </c>
      <c r="M267" s="139">
        <v>2</v>
      </c>
      <c r="O267" s="139">
        <v>1.5</v>
      </c>
      <c r="P267" s="139">
        <f>IF(P$1=$BZ$261,$CB$261,1)</f>
        <v>1</v>
      </c>
      <c r="Q267" s="139">
        <f>IF(Q$1=$BZ$261,$CB$261,1)</f>
        <v>1</v>
      </c>
      <c r="R267" s="139">
        <f>IF(R$1=$BZ$261,$CB$261,1)</f>
        <v>1</v>
      </c>
      <c r="S267" s="139">
        <f>IF(S$1=$BZ$261,$CB$261,1)</f>
        <v>1</v>
      </c>
      <c r="T267" s="117">
        <v>1</v>
      </c>
      <c r="U267" s="139"/>
      <c r="V267" s="117">
        <f t="shared" si="353"/>
        <v>1E-10</v>
      </c>
      <c r="W267" s="117">
        <f t="shared" si="354"/>
        <v>4.0000000000000001E-10</v>
      </c>
      <c r="X267" s="117">
        <f t="shared" si="355"/>
        <v>6E-10</v>
      </c>
      <c r="Z267" s="117">
        <f t="shared" si="356"/>
        <v>7.500000000000001E-10</v>
      </c>
      <c r="AA267" s="117">
        <f t="shared" si="357"/>
        <v>6E-10</v>
      </c>
      <c r="AB267" s="117">
        <f t="shared" si="358"/>
        <v>6.9999999999999996E-10</v>
      </c>
      <c r="AC267" s="117">
        <f t="shared" si="359"/>
        <v>8.0000000000000003E-10</v>
      </c>
      <c r="AD267" s="117">
        <f t="shared" si="360"/>
        <v>8.9999999999999999E-10</v>
      </c>
      <c r="AE267" s="117">
        <f t="shared" si="373"/>
        <v>0</v>
      </c>
      <c r="AF267" s="117">
        <f t="shared" si="361"/>
        <v>1E-10</v>
      </c>
      <c r="AG267" s="117">
        <f t="shared" si="362"/>
        <v>99.000000000399993</v>
      </c>
      <c r="AH267" s="117">
        <f t="shared" si="363"/>
        <v>99.000000000599996</v>
      </c>
      <c r="AI267" s="117">
        <f t="shared" si="364"/>
        <v>0</v>
      </c>
      <c r="AJ267" s="117">
        <f t="shared" si="365"/>
        <v>7.500000000000001E-10</v>
      </c>
      <c r="AK267" s="117">
        <f t="shared" si="366"/>
        <v>99.000000000599996</v>
      </c>
      <c r="AL267" s="117">
        <f t="shared" si="367"/>
        <v>6.9999999999999996E-10</v>
      </c>
      <c r="AM267" s="117">
        <f t="shared" si="368"/>
        <v>99.0000000008</v>
      </c>
      <c r="AN267" s="117">
        <f t="shared" si="369"/>
        <v>99.000000000900002</v>
      </c>
      <c r="AO267" s="117">
        <f t="shared" si="370"/>
        <v>0</v>
      </c>
      <c r="AP267" s="117" t="b">
        <f t="shared" si="374"/>
        <v>0</v>
      </c>
      <c r="AQ267" s="117" t="b">
        <f t="shared" si="375"/>
        <v>1</v>
      </c>
      <c r="AR267" s="117" t="b">
        <f t="shared" si="376"/>
        <v>1</v>
      </c>
      <c r="AT267" s="117" t="b">
        <f t="shared" si="377"/>
        <v>0</v>
      </c>
      <c r="AU267" s="117" t="b">
        <f t="shared" si="378"/>
        <v>1</v>
      </c>
      <c r="AV267" s="117" t="b">
        <f t="shared" si="379"/>
        <v>0</v>
      </c>
      <c r="AW267" s="117" t="b">
        <f t="shared" si="380"/>
        <v>1</v>
      </c>
      <c r="AX267" s="117" t="b">
        <f t="shared" si="381"/>
        <v>1</v>
      </c>
      <c r="AY267" s="117" t="b">
        <f t="shared" si="382"/>
        <v>0</v>
      </c>
      <c r="AZ267" s="117" t="str">
        <f t="shared" si="383"/>
        <v>JS5711</v>
      </c>
      <c r="BA267" s="117">
        <f>'Reference Score Calculation'!N244</f>
        <v>0</v>
      </c>
      <c r="BB267" s="117">
        <f>'Reference Score Calculation'!O244</f>
        <v>0</v>
      </c>
      <c r="BC267" s="2" t="str">
        <f t="shared" si="384"/>
        <v>數學延伸</v>
      </c>
      <c r="BD267" s="93">
        <f t="shared" si="385"/>
        <v>7.500000000000001E-10</v>
      </c>
      <c r="BE267" s="93">
        <f t="shared" si="386"/>
        <v>1</v>
      </c>
      <c r="BF267" s="93" t="str">
        <f t="shared" si="387"/>
        <v>Best 5總分 x 1</v>
      </c>
      <c r="BG267" s="93"/>
      <c r="BH267" s="93" t="b">
        <f t="shared" ref="BH267:BQ267" si="414">CE262</f>
        <v>0</v>
      </c>
      <c r="BI267" s="93" t="b">
        <f t="shared" si="414"/>
        <v>1</v>
      </c>
      <c r="BJ267" s="93" t="b">
        <f t="shared" si="414"/>
        <v>1</v>
      </c>
      <c r="BK267" s="93">
        <f t="shared" si="414"/>
        <v>0</v>
      </c>
      <c r="BL267" s="93" t="b">
        <f t="shared" si="414"/>
        <v>0</v>
      </c>
      <c r="BM267" s="93" t="b">
        <f t="shared" si="414"/>
        <v>1</v>
      </c>
      <c r="BN267" s="93" t="b">
        <f t="shared" si="414"/>
        <v>0</v>
      </c>
      <c r="BO267" s="93" t="b">
        <f t="shared" si="414"/>
        <v>1</v>
      </c>
      <c r="BP267" s="93" t="b">
        <f t="shared" si="414"/>
        <v>1</v>
      </c>
      <c r="BQ267" s="93">
        <f t="shared" si="414"/>
        <v>0</v>
      </c>
      <c r="BR267" s="93"/>
      <c r="BS267" s="116" t="s">
        <v>349</v>
      </c>
      <c r="BT267" s="116"/>
      <c r="BU267" s="116"/>
      <c r="BV267" s="116"/>
      <c r="BW267" s="116"/>
      <c r="BX267" s="116"/>
      <c r="BY267" s="116"/>
      <c r="BZ267" s="116"/>
      <c r="CA267" s="116"/>
      <c r="CB267" s="116"/>
      <c r="CC267" s="116"/>
      <c r="CD267" s="116"/>
      <c r="CE267" s="116"/>
      <c r="CF267" s="116"/>
      <c r="CG267" s="116"/>
      <c r="CH267" s="116"/>
      <c r="CI267" s="116"/>
      <c r="CJ267" s="116"/>
      <c r="CK267" s="116"/>
      <c r="CL267" s="116"/>
      <c r="CM267" s="116"/>
      <c r="CN267" s="116"/>
      <c r="CO267" s="116"/>
      <c r="CP267" s="116"/>
      <c r="CQ267" s="116"/>
      <c r="CR267" s="116"/>
      <c r="CS267" s="116"/>
    </row>
    <row r="268" spans="1:97">
      <c r="A268" s="139"/>
      <c r="B268" s="117" t="str">
        <f>'Reference Score Calculation'!B245</f>
        <v>JS5811</v>
      </c>
      <c r="C268" s="117" t="str">
        <f>'Reference Score Calculation'!E245</f>
        <v>理學士（生物科技及商學）</v>
      </c>
      <c r="E268" s="117" t="str">
        <f>'Reference Score Calculation'!F245</f>
        <v>英數Best3</v>
      </c>
      <c r="F268" s="117"/>
      <c r="G268" s="117" t="str">
        <f>入學要求!AB254</f>
        <v>v</v>
      </c>
      <c r="H268" s="117" t="str">
        <f>入學要求!AC254</f>
        <v>NO</v>
      </c>
      <c r="I268" s="117" t="str">
        <f>入學要求!AD254</f>
        <v>NO</v>
      </c>
      <c r="J268" s="117">
        <f t="shared" si="352"/>
        <v>3.2999999999999998E-9</v>
      </c>
      <c r="K268" s="117">
        <v>1</v>
      </c>
      <c r="L268" s="139">
        <v>2</v>
      </c>
      <c r="M268" s="139">
        <v>2</v>
      </c>
      <c r="O268" s="117">
        <v>1</v>
      </c>
      <c r="P268" s="117">
        <f>IF(P$1=$BZ$269,$CB$269,1)</f>
        <v>1</v>
      </c>
      <c r="Q268" s="117">
        <f>IF(Q$1=$BZ$269,$CB$269,1)</f>
        <v>1</v>
      </c>
      <c r="R268" s="117">
        <f>IF(R$1=$BZ$269,$CB$269,1)</f>
        <v>1</v>
      </c>
      <c r="S268" s="117">
        <f>IF(S$1=$BZ$269,$CB$269,1)</f>
        <v>1</v>
      </c>
      <c r="T268" s="117">
        <v>1</v>
      </c>
      <c r="V268" s="117">
        <f t="shared" si="353"/>
        <v>1E-10</v>
      </c>
      <c r="W268" s="117">
        <f t="shared" si="354"/>
        <v>4.0000000000000001E-10</v>
      </c>
      <c r="X268" s="117">
        <f t="shared" si="355"/>
        <v>6E-10</v>
      </c>
      <c r="Z268" s="117">
        <f t="shared" si="356"/>
        <v>5.0000000000000003E-10</v>
      </c>
      <c r="AA268" s="117">
        <f t="shared" si="357"/>
        <v>6E-10</v>
      </c>
      <c r="AB268" s="117">
        <f t="shared" si="358"/>
        <v>6.9999999999999996E-10</v>
      </c>
      <c r="AC268" s="117">
        <f t="shared" si="359"/>
        <v>8.0000000000000003E-10</v>
      </c>
      <c r="AD268" s="117">
        <f t="shared" si="360"/>
        <v>8.9999999999999999E-10</v>
      </c>
      <c r="AE268" s="117">
        <f t="shared" si="373"/>
        <v>0</v>
      </c>
      <c r="AF268" s="117">
        <f t="shared" si="361"/>
        <v>1E-10</v>
      </c>
      <c r="AG268" s="117">
        <f t="shared" si="362"/>
        <v>99.000000000399993</v>
      </c>
      <c r="AH268" s="117">
        <f t="shared" si="363"/>
        <v>99.000000000599996</v>
      </c>
      <c r="AI268" s="117">
        <f t="shared" si="364"/>
        <v>0</v>
      </c>
      <c r="AJ268" s="117">
        <f t="shared" si="365"/>
        <v>5.0000000000000003E-10</v>
      </c>
      <c r="AK268" s="117">
        <f t="shared" si="366"/>
        <v>99.000000000599996</v>
      </c>
      <c r="AL268" s="117">
        <f t="shared" si="367"/>
        <v>6.9999999999999996E-10</v>
      </c>
      <c r="AM268" s="117">
        <f t="shared" si="368"/>
        <v>99.0000000008</v>
      </c>
      <c r="AN268" s="117">
        <f t="shared" si="369"/>
        <v>99.000000000900002</v>
      </c>
      <c r="AO268" s="117">
        <f t="shared" si="370"/>
        <v>0</v>
      </c>
      <c r="AP268" s="117" t="b">
        <f t="shared" si="374"/>
        <v>0</v>
      </c>
      <c r="AQ268" s="117" t="b">
        <f t="shared" si="375"/>
        <v>1</v>
      </c>
      <c r="AR268" s="117" t="b">
        <f t="shared" si="376"/>
        <v>1</v>
      </c>
      <c r="AT268" s="117" t="b">
        <f t="shared" si="377"/>
        <v>0</v>
      </c>
      <c r="AU268" s="117" t="b">
        <f t="shared" si="378"/>
        <v>1</v>
      </c>
      <c r="AV268" s="117" t="b">
        <f t="shared" si="379"/>
        <v>0</v>
      </c>
      <c r="AW268" s="117" t="b">
        <f t="shared" si="380"/>
        <v>1</v>
      </c>
      <c r="AX268" s="117" t="b">
        <f t="shared" si="381"/>
        <v>1</v>
      </c>
      <c r="AY268" s="117" t="b">
        <f t="shared" si="382"/>
        <v>0</v>
      </c>
      <c r="AZ268" s="117" t="str">
        <f t="shared" si="383"/>
        <v>JS5811</v>
      </c>
      <c r="BA268" s="117">
        <f>'Reference Score Calculation'!N245</f>
        <v>0</v>
      </c>
      <c r="BB268" s="117">
        <f>'Reference Score Calculation'!O245</f>
        <v>0</v>
      </c>
      <c r="BC268" s="2" t="str">
        <f t="shared" si="384"/>
        <v>請選擇第二選修科</v>
      </c>
      <c r="BD268" s="93">
        <f t="shared" si="385"/>
        <v>6.9999999999999996E-10</v>
      </c>
      <c r="BE268" s="93">
        <f t="shared" si="386"/>
        <v>1</v>
      </c>
      <c r="BF268" s="93" t="str">
        <f t="shared" si="387"/>
        <v>Best 5總分 x 1</v>
      </c>
      <c r="BG268" s="93"/>
      <c r="BH268" s="93" t="b">
        <f t="shared" ref="BH268:BQ268" si="415">CE271</f>
        <v>0</v>
      </c>
      <c r="BI268" s="93" t="b">
        <f t="shared" si="415"/>
        <v>1</v>
      </c>
      <c r="BJ268" s="93" t="b">
        <f t="shared" si="415"/>
        <v>1</v>
      </c>
      <c r="BK268" s="93">
        <f t="shared" si="415"/>
        <v>0</v>
      </c>
      <c r="BL268" s="93" t="b">
        <f t="shared" si="415"/>
        <v>0</v>
      </c>
      <c r="BM268" s="93" t="b">
        <f t="shared" si="415"/>
        <v>1</v>
      </c>
      <c r="BN268" s="93" t="b">
        <f t="shared" si="415"/>
        <v>0</v>
      </c>
      <c r="BO268" s="93" t="b">
        <f t="shared" si="415"/>
        <v>1</v>
      </c>
      <c r="BP268" s="93" t="b">
        <f t="shared" si="415"/>
        <v>1</v>
      </c>
      <c r="BQ268" s="93">
        <f t="shared" si="415"/>
        <v>0</v>
      </c>
      <c r="BR268" s="93"/>
      <c r="BS268" s="116"/>
      <c r="BT268" s="101" t="str">
        <f>P$1</f>
        <v>請選擇第一選修科</v>
      </c>
      <c r="BU268" s="101" t="str">
        <f>Q$1</f>
        <v>請選擇第二選修科</v>
      </c>
      <c r="BV268" s="101" t="str">
        <f>R$1</f>
        <v>請選擇第三選修科</v>
      </c>
      <c r="BW268" s="101" t="str">
        <f>S$1</f>
        <v>請選擇第四選修科</v>
      </c>
      <c r="BX268" s="116"/>
      <c r="BY268" s="116"/>
      <c r="BZ268" s="156" t="s">
        <v>332</v>
      </c>
      <c r="CA268" s="116"/>
      <c r="CB268" s="102" t="s">
        <v>96</v>
      </c>
      <c r="CC268" s="116"/>
      <c r="CD268" s="116"/>
      <c r="CE268" s="101" t="str">
        <f>K$1</f>
        <v>中國語文</v>
      </c>
      <c r="CF268" s="101" t="str">
        <f>L$1</f>
        <v>英國語文</v>
      </c>
      <c r="CG268" s="101" t="str">
        <f>M$1</f>
        <v>數學</v>
      </c>
      <c r="CH268" s="101"/>
      <c r="CI268" s="101" t="str">
        <f>O$1</f>
        <v>數學延伸</v>
      </c>
      <c r="CJ268" s="101" t="str">
        <f>P$1</f>
        <v>請選擇第一選修科</v>
      </c>
      <c r="CK268" s="101" t="str">
        <f>Q$1</f>
        <v>請選擇第二選修科</v>
      </c>
      <c r="CL268" s="101" t="str">
        <f>R$1</f>
        <v>請選擇第三選修科</v>
      </c>
      <c r="CM268" s="101" t="str">
        <f>S$1</f>
        <v>請選擇第四選修科</v>
      </c>
      <c r="CN268" s="101"/>
      <c r="CO268" s="116"/>
      <c r="CP268" s="116"/>
      <c r="CQ268" s="116"/>
      <c r="CR268" s="116"/>
      <c r="CS268" s="116"/>
    </row>
    <row r="269" spans="1:97">
      <c r="A269" s="139"/>
      <c r="B269" s="117" t="str">
        <f>'Reference Score Calculation'!B246</f>
        <v>JS5812</v>
      </c>
      <c r="C269" s="117" t="str">
        <f>'Reference Score Calculation'!E246</f>
        <v>理學士（環境管理及科技）</v>
      </c>
      <c r="E269" s="117" t="str">
        <f>'Reference Score Calculation'!F246</f>
        <v>英數Best3</v>
      </c>
      <c r="F269" s="117"/>
      <c r="G269" s="117" t="str">
        <f>入學要求!AB255</f>
        <v>v</v>
      </c>
      <c r="H269" s="117" t="str">
        <f>入學要求!AC255</f>
        <v>C</v>
      </c>
      <c r="I269" s="117" t="str">
        <f>入學要求!AD255</f>
        <v>NO</v>
      </c>
      <c r="J269" s="117">
        <f t="shared" si="352"/>
        <v>3.3999999999999998E-9</v>
      </c>
      <c r="K269" s="117">
        <v>1</v>
      </c>
      <c r="L269" s="139">
        <v>2</v>
      </c>
      <c r="M269" s="139">
        <v>2</v>
      </c>
      <c r="O269" s="117">
        <v>1</v>
      </c>
      <c r="P269" s="117">
        <v>1</v>
      </c>
      <c r="Q269" s="117">
        <v>1</v>
      </c>
      <c r="R269" s="117">
        <v>1</v>
      </c>
      <c r="S269" s="117">
        <v>1</v>
      </c>
      <c r="T269" s="117">
        <v>1</v>
      </c>
      <c r="V269" s="117">
        <f t="shared" si="353"/>
        <v>1E-10</v>
      </c>
      <c r="W269" s="117">
        <f t="shared" si="354"/>
        <v>4.0000000000000001E-10</v>
      </c>
      <c r="X269" s="117">
        <f t="shared" si="355"/>
        <v>6E-10</v>
      </c>
      <c r="Z269" s="117">
        <f t="shared" si="356"/>
        <v>5.0000000000000003E-10</v>
      </c>
      <c r="AA269" s="117">
        <f t="shared" si="357"/>
        <v>6E-10</v>
      </c>
      <c r="AB269" s="117">
        <f t="shared" si="358"/>
        <v>6.9999999999999996E-10</v>
      </c>
      <c r="AC269" s="117">
        <f t="shared" si="359"/>
        <v>8.0000000000000003E-10</v>
      </c>
      <c r="AD269" s="117">
        <f t="shared" si="360"/>
        <v>8.9999999999999999E-10</v>
      </c>
      <c r="AE269" s="117">
        <f t="shared" si="373"/>
        <v>0</v>
      </c>
      <c r="AF269" s="117">
        <f t="shared" si="361"/>
        <v>1E-10</v>
      </c>
      <c r="AG269" s="117">
        <f t="shared" si="362"/>
        <v>99.000000000399993</v>
      </c>
      <c r="AH269" s="117">
        <f t="shared" si="363"/>
        <v>99.000000000599996</v>
      </c>
      <c r="AI269" s="117">
        <f t="shared" si="364"/>
        <v>0</v>
      </c>
      <c r="AJ269" s="117">
        <f t="shared" si="365"/>
        <v>5.0000000000000003E-10</v>
      </c>
      <c r="AK269" s="117">
        <f t="shared" si="366"/>
        <v>6E-10</v>
      </c>
      <c r="AL269" s="117">
        <f t="shared" si="367"/>
        <v>6.9999999999999996E-10</v>
      </c>
      <c r="AM269" s="117">
        <f t="shared" si="368"/>
        <v>8.0000000000000003E-10</v>
      </c>
      <c r="AN269" s="117">
        <f t="shared" si="369"/>
        <v>8.9999999999999999E-10</v>
      </c>
      <c r="AO269" s="117">
        <f t="shared" si="370"/>
        <v>0</v>
      </c>
      <c r="AP269" s="117" t="b">
        <f t="shared" si="374"/>
        <v>0</v>
      </c>
      <c r="AQ269" s="117" t="b">
        <f t="shared" si="375"/>
        <v>1</v>
      </c>
      <c r="AR269" s="117" t="b">
        <f t="shared" si="376"/>
        <v>1</v>
      </c>
      <c r="AT269" s="117" t="b">
        <f t="shared" si="377"/>
        <v>0</v>
      </c>
      <c r="AU269" s="117" t="b">
        <f t="shared" si="378"/>
        <v>0</v>
      </c>
      <c r="AV269" s="117" t="b">
        <f t="shared" si="379"/>
        <v>1</v>
      </c>
      <c r="AW269" s="117" t="b">
        <f t="shared" si="380"/>
        <v>1</v>
      </c>
      <c r="AX269" s="117" t="b">
        <f t="shared" si="381"/>
        <v>1</v>
      </c>
      <c r="AY269" s="117" t="b">
        <f t="shared" si="382"/>
        <v>0</v>
      </c>
      <c r="AZ269" s="117" t="str">
        <f t="shared" si="383"/>
        <v>JS5812</v>
      </c>
      <c r="BA269" s="117">
        <f>'Reference Score Calculation'!N246</f>
        <v>0</v>
      </c>
      <c r="BB269" s="117">
        <f>'Reference Score Calculation'!O246</f>
        <v>0</v>
      </c>
      <c r="BC269" s="2" t="str">
        <f t="shared" si="384"/>
        <v>請選擇第一選修科</v>
      </c>
      <c r="BD269" s="93">
        <f t="shared" si="385"/>
        <v>6E-10</v>
      </c>
      <c r="BE269" s="93">
        <f t="shared" si="386"/>
        <v>1</v>
      </c>
      <c r="BF269" s="93" t="str">
        <f t="shared" si="387"/>
        <v>Best 5總分 x 1</v>
      </c>
      <c r="BG269" s="93"/>
      <c r="BH269" s="93"/>
      <c r="BI269" s="93" t="b">
        <v>1</v>
      </c>
      <c r="BJ269" s="93" t="b">
        <v>1</v>
      </c>
      <c r="BK269" s="93"/>
      <c r="BL269" s="93"/>
      <c r="BM269" s="93"/>
      <c r="BN269" s="93"/>
      <c r="BO269" s="93"/>
      <c r="BP269" s="93"/>
      <c r="BQ269" s="93"/>
      <c r="BR269" s="93"/>
      <c r="BS269" s="116" t="s">
        <v>350</v>
      </c>
      <c r="BT269" s="21">
        <f>IF(OR(P$1="化學",P$1="生物"),P$7,0)</f>
        <v>0</v>
      </c>
      <c r="BU269" s="21">
        <f>IF(OR(Q$1="化學",Q$1="生物"),Q$7,0)</f>
        <v>0</v>
      </c>
      <c r="BV269" s="21">
        <f>IF(OR(R$1="化學",R$1="生物"),R$7,0)</f>
        <v>0</v>
      </c>
      <c r="BW269" s="21">
        <f>IF(OR(S$1="化學",S$1="生物"),S$7,0)</f>
        <v>0</v>
      </c>
      <c r="BX269" s="116"/>
      <c r="BY269" s="116"/>
      <c r="BZ269" s="117" t="str">
        <f>INDEX(BT268:BW268,MATCH(LARGE(BT269:BW269,1),BT269:BW269,0))</f>
        <v>請選擇第一選修科</v>
      </c>
      <c r="CA269" s="117">
        <f>LARGE((BT269:BW269),1)</f>
        <v>0</v>
      </c>
      <c r="CB269" s="16">
        <f>IF(OR(BZ269="生物",BZ269="化學"),1.5,1)</f>
        <v>1</v>
      </c>
      <c r="CC269" s="116"/>
      <c r="CD269" s="116"/>
      <c r="CE269" s="21">
        <f>IF(CE268=$BZ$269,0,K$7)</f>
        <v>1E-10</v>
      </c>
      <c r="CF269" s="21">
        <v>0</v>
      </c>
      <c r="CG269" s="21">
        <v>0</v>
      </c>
      <c r="CH269" s="21"/>
      <c r="CI269" s="21">
        <f>IF(CI268=$BZ$269,0,O$7)</f>
        <v>5.0000000000000003E-10</v>
      </c>
      <c r="CJ269" s="21">
        <f>IF(CJ268=$BZ$269,0,P$7)</f>
        <v>0</v>
      </c>
      <c r="CK269" s="21">
        <f>IF(CK268=$BZ$269,0,Q$7)</f>
        <v>6.9999999999999996E-10</v>
      </c>
      <c r="CL269" s="21">
        <f>IF(CL268=$BZ$269,0,R$7)</f>
        <v>8.0000000000000003E-10</v>
      </c>
      <c r="CM269" s="21">
        <f>IF(CM268=$BZ$269,0,S$7)</f>
        <v>8.9999999999999999E-10</v>
      </c>
      <c r="CN269" s="21"/>
      <c r="CO269" s="116"/>
      <c r="CP269" s="116"/>
      <c r="CQ269" s="116"/>
      <c r="CR269" s="116"/>
      <c r="CS269" s="116"/>
    </row>
    <row r="270" spans="1:97">
      <c r="A270" s="139"/>
      <c r="B270" s="117" t="str">
        <f>'Reference Score Calculation'!B247</f>
        <v>JS5813</v>
      </c>
      <c r="C270" s="117" t="str">
        <f>'Reference Score Calculation'!E247</f>
        <v>理學士（數學與經濟學）</v>
      </c>
      <c r="E270" s="117" t="str">
        <f>'Reference Score Calculation'!F247</f>
        <v>英數Best3</v>
      </c>
      <c r="F270" s="117"/>
      <c r="G270" s="117" t="str">
        <f>入學要求!AB256</f>
        <v>v</v>
      </c>
      <c r="H270" s="117" t="str">
        <f>入學要求!AC256</f>
        <v>NO</v>
      </c>
      <c r="I270" s="117" t="str">
        <f>入學要求!AD256</f>
        <v>NO</v>
      </c>
      <c r="J270" s="117">
        <f t="shared" si="352"/>
        <v>3.7E-9</v>
      </c>
      <c r="K270" s="117">
        <v>1</v>
      </c>
      <c r="L270" s="139">
        <v>2</v>
      </c>
      <c r="M270" s="139">
        <v>2</v>
      </c>
      <c r="O270" s="117">
        <f>IF(O$1=$BZ$274,$CB$274,1)</f>
        <v>2</v>
      </c>
      <c r="P270" s="117">
        <f>IF(P$1=$BZ$274,$CB$274,1)</f>
        <v>1</v>
      </c>
      <c r="Q270" s="117">
        <f>IF(Q$1=$BZ$274,$CB$274,1)</f>
        <v>1</v>
      </c>
      <c r="R270" s="117">
        <f>IF(R$1=$BZ$274,$CB$274,1)</f>
        <v>1</v>
      </c>
      <c r="S270" s="117">
        <f>IF(S$1=$BZ$274,$CB$274,1)</f>
        <v>1</v>
      </c>
      <c r="T270" s="117">
        <v>1</v>
      </c>
      <c r="V270" s="117">
        <f t="shared" si="353"/>
        <v>1E-10</v>
      </c>
      <c r="W270" s="117">
        <f t="shared" si="354"/>
        <v>4.0000000000000001E-10</v>
      </c>
      <c r="X270" s="117">
        <f t="shared" si="355"/>
        <v>6E-10</v>
      </c>
      <c r="Z270" s="117">
        <f t="shared" si="356"/>
        <v>1.0000000000000001E-9</v>
      </c>
      <c r="AA270" s="117">
        <f t="shared" si="357"/>
        <v>6E-10</v>
      </c>
      <c r="AB270" s="117">
        <f t="shared" si="358"/>
        <v>6.9999999999999996E-10</v>
      </c>
      <c r="AC270" s="117">
        <f t="shared" si="359"/>
        <v>8.0000000000000003E-10</v>
      </c>
      <c r="AD270" s="117">
        <f t="shared" si="360"/>
        <v>8.9999999999999999E-10</v>
      </c>
      <c r="AE270" s="117">
        <f t="shared" si="373"/>
        <v>0</v>
      </c>
      <c r="AF270" s="117">
        <f t="shared" si="361"/>
        <v>1E-10</v>
      </c>
      <c r="AG270" s="117">
        <f t="shared" si="362"/>
        <v>99.000000000399993</v>
      </c>
      <c r="AH270" s="117">
        <f t="shared" si="363"/>
        <v>99.000000000599996</v>
      </c>
      <c r="AI270" s="117">
        <f t="shared" si="364"/>
        <v>0</v>
      </c>
      <c r="AJ270" s="117">
        <f t="shared" si="365"/>
        <v>99.000000001000004</v>
      </c>
      <c r="AK270" s="117">
        <f t="shared" si="366"/>
        <v>6E-10</v>
      </c>
      <c r="AL270" s="117">
        <f t="shared" si="367"/>
        <v>6.9999999999999996E-10</v>
      </c>
      <c r="AM270" s="117">
        <f t="shared" si="368"/>
        <v>99.0000000008</v>
      </c>
      <c r="AN270" s="117">
        <f t="shared" si="369"/>
        <v>99.000000000900002</v>
      </c>
      <c r="AO270" s="117">
        <f t="shared" si="370"/>
        <v>0</v>
      </c>
      <c r="AP270" s="117" t="b">
        <f t="shared" si="374"/>
        <v>0</v>
      </c>
      <c r="AQ270" s="117" t="b">
        <f t="shared" si="375"/>
        <v>1</v>
      </c>
      <c r="AR270" s="117" t="b">
        <f t="shared" si="376"/>
        <v>1</v>
      </c>
      <c r="AT270" s="117" t="b">
        <f t="shared" si="377"/>
        <v>1</v>
      </c>
      <c r="AU270" s="117" t="b">
        <f t="shared" si="378"/>
        <v>0</v>
      </c>
      <c r="AV270" s="117" t="b">
        <f t="shared" si="379"/>
        <v>0</v>
      </c>
      <c r="AW270" s="117" t="b">
        <f t="shared" si="380"/>
        <v>1</v>
      </c>
      <c r="AX270" s="117" t="b">
        <f t="shared" si="381"/>
        <v>1</v>
      </c>
      <c r="AY270" s="117" t="b">
        <f t="shared" si="382"/>
        <v>0</v>
      </c>
      <c r="AZ270" s="117" t="str">
        <f t="shared" si="383"/>
        <v>JS5813</v>
      </c>
      <c r="BA270" s="117">
        <f>'Reference Score Calculation'!N247</f>
        <v>0</v>
      </c>
      <c r="BB270" s="117">
        <f>'Reference Score Calculation'!O247</f>
        <v>0</v>
      </c>
      <c r="BC270" s="2" t="str">
        <f t="shared" si="384"/>
        <v>請選擇第二選修科</v>
      </c>
      <c r="BD270" s="93">
        <f t="shared" si="385"/>
        <v>6.9999999999999996E-10</v>
      </c>
      <c r="BE270" s="93">
        <f t="shared" si="386"/>
        <v>1</v>
      </c>
      <c r="BF270" s="93" t="str">
        <f t="shared" si="387"/>
        <v>Best 5總分 x 1</v>
      </c>
      <c r="BG270" s="93"/>
      <c r="BH270" s="93" t="b">
        <f t="shared" ref="BH270:BQ270" si="416">CE275</f>
        <v>0</v>
      </c>
      <c r="BI270" s="93" t="b">
        <f t="shared" si="416"/>
        <v>1</v>
      </c>
      <c r="BJ270" s="93" t="b">
        <f t="shared" si="416"/>
        <v>1</v>
      </c>
      <c r="BK270" s="93">
        <f t="shared" si="416"/>
        <v>0</v>
      </c>
      <c r="BL270" s="93" t="b">
        <f t="shared" si="416"/>
        <v>1</v>
      </c>
      <c r="BM270" s="93" t="b">
        <f t="shared" si="416"/>
        <v>0</v>
      </c>
      <c r="BN270" s="93" t="b">
        <f t="shared" si="416"/>
        <v>0</v>
      </c>
      <c r="BO270" s="93" t="b">
        <f t="shared" si="416"/>
        <v>1</v>
      </c>
      <c r="BP270" s="93" t="b">
        <f t="shared" si="416"/>
        <v>1</v>
      </c>
      <c r="BQ270" s="93">
        <f t="shared" si="416"/>
        <v>0</v>
      </c>
      <c r="BR270" s="93"/>
      <c r="BS270" s="116"/>
      <c r="BT270" s="101" t="str">
        <f>P$1</f>
        <v>請選擇第一選修科</v>
      </c>
      <c r="BU270" s="101" t="str">
        <f>Q$1</f>
        <v>請選擇第二選修科</v>
      </c>
      <c r="BV270" s="101" t="str">
        <f>R$1</f>
        <v>請選擇第三選修科</v>
      </c>
      <c r="BW270" s="101" t="str">
        <f>S$1</f>
        <v>請選擇第四選修科</v>
      </c>
      <c r="BX270" s="116"/>
      <c r="BY270" s="116"/>
      <c r="BZ270" s="156" t="s">
        <v>332</v>
      </c>
      <c r="CA270" s="116"/>
      <c r="CB270" s="102" t="s">
        <v>96</v>
      </c>
      <c r="CC270" s="116"/>
      <c r="CD270" s="116"/>
      <c r="CE270" s="101" t="str">
        <f>K$1</f>
        <v>中國語文</v>
      </c>
      <c r="CF270" s="101" t="str">
        <f>L$1</f>
        <v>英國語文</v>
      </c>
      <c r="CG270" s="101" t="str">
        <f>M$1</f>
        <v>數學</v>
      </c>
      <c r="CH270" s="101"/>
      <c r="CI270" s="101" t="str">
        <f>O$1</f>
        <v>數學延伸</v>
      </c>
      <c r="CJ270" s="101" t="str">
        <f>P$1</f>
        <v>請選擇第一選修科</v>
      </c>
      <c r="CK270" s="101" t="str">
        <f>Q$1</f>
        <v>請選擇第二選修科</v>
      </c>
      <c r="CL270" s="101" t="str">
        <f>R$1</f>
        <v>請選擇第三選修科</v>
      </c>
      <c r="CM270" s="101" t="str">
        <f>S$1</f>
        <v>請選擇第四選修科</v>
      </c>
      <c r="CN270" s="101"/>
      <c r="CO270" s="116"/>
      <c r="CP270" s="116"/>
      <c r="CQ270" s="116"/>
      <c r="CR270" s="115"/>
      <c r="CS270" s="115"/>
    </row>
    <row r="271" spans="1:97">
      <c r="A271" s="139"/>
      <c r="B271" s="117" t="str">
        <f>'Reference Score Calculation'!B248</f>
        <v>JS5814</v>
      </c>
      <c r="C271" s="117" t="str">
        <f>'Reference Score Calculation'!E248</f>
        <v>理學士（風險管理及商業智能學）</v>
      </c>
      <c r="E271" s="117" t="str">
        <f>'Reference Score Calculation'!F248</f>
        <v>英數Best3</v>
      </c>
      <c r="F271" s="117"/>
      <c r="G271" s="117" t="str">
        <f>入學要求!AB257</f>
        <v>v</v>
      </c>
      <c r="H271" s="117" t="str">
        <f>入學要求!AC257</f>
        <v>NO</v>
      </c>
      <c r="I271" s="117" t="str">
        <f>入學要求!AD257</f>
        <v>NO</v>
      </c>
      <c r="J271" s="117">
        <f t="shared" si="352"/>
        <v>3.4500000000000003E-9</v>
      </c>
      <c r="K271" s="117">
        <v>1</v>
      </c>
      <c r="L271" s="139">
        <v>2</v>
      </c>
      <c r="M271" s="139">
        <v>2</v>
      </c>
      <c r="O271" s="117">
        <v>1.5</v>
      </c>
      <c r="P271" s="117">
        <v>1</v>
      </c>
      <c r="Q271" s="117">
        <v>1</v>
      </c>
      <c r="R271" s="117">
        <v>1</v>
      </c>
      <c r="S271" s="117">
        <v>1</v>
      </c>
      <c r="T271" s="117">
        <v>1</v>
      </c>
      <c r="V271" s="117">
        <f t="shared" si="353"/>
        <v>1E-10</v>
      </c>
      <c r="W271" s="117">
        <f t="shared" si="354"/>
        <v>4.0000000000000001E-10</v>
      </c>
      <c r="X271" s="117">
        <f t="shared" si="355"/>
        <v>6E-10</v>
      </c>
      <c r="Z271" s="117">
        <f t="shared" si="356"/>
        <v>7.500000000000001E-10</v>
      </c>
      <c r="AA271" s="117">
        <f t="shared" si="357"/>
        <v>6E-10</v>
      </c>
      <c r="AB271" s="117">
        <f t="shared" si="358"/>
        <v>6.9999999999999996E-10</v>
      </c>
      <c r="AC271" s="117">
        <f t="shared" si="359"/>
        <v>8.0000000000000003E-10</v>
      </c>
      <c r="AD271" s="117">
        <f t="shared" si="360"/>
        <v>8.9999999999999999E-10</v>
      </c>
      <c r="AE271" s="117">
        <f t="shared" si="373"/>
        <v>0</v>
      </c>
      <c r="AF271" s="117">
        <f t="shared" si="361"/>
        <v>1E-10</v>
      </c>
      <c r="AG271" s="117">
        <f t="shared" si="362"/>
        <v>99.000000000399993</v>
      </c>
      <c r="AH271" s="117">
        <f t="shared" si="363"/>
        <v>99.000000000599996</v>
      </c>
      <c r="AI271" s="117">
        <f t="shared" si="364"/>
        <v>0</v>
      </c>
      <c r="AJ271" s="117">
        <f t="shared" si="365"/>
        <v>7.500000000000001E-10</v>
      </c>
      <c r="AK271" s="117">
        <f t="shared" si="366"/>
        <v>6E-10</v>
      </c>
      <c r="AL271" s="117">
        <f t="shared" si="367"/>
        <v>6.9999999999999996E-10</v>
      </c>
      <c r="AM271" s="117">
        <f t="shared" si="368"/>
        <v>8.0000000000000003E-10</v>
      </c>
      <c r="AN271" s="117">
        <f t="shared" si="369"/>
        <v>8.9999999999999999E-10</v>
      </c>
      <c r="AO271" s="117">
        <f t="shared" si="370"/>
        <v>0</v>
      </c>
      <c r="AP271" s="117" t="b">
        <f t="shared" si="374"/>
        <v>0</v>
      </c>
      <c r="AQ271" s="117" t="b">
        <f t="shared" si="375"/>
        <v>1</v>
      </c>
      <c r="AR271" s="117" t="b">
        <f t="shared" si="376"/>
        <v>1</v>
      </c>
      <c r="AT271" s="117" t="b">
        <f t="shared" si="377"/>
        <v>1</v>
      </c>
      <c r="AU271" s="117" t="b">
        <f t="shared" si="378"/>
        <v>0</v>
      </c>
      <c r="AV271" s="117" t="b">
        <f t="shared" si="379"/>
        <v>0</v>
      </c>
      <c r="AW271" s="117" t="b">
        <f t="shared" si="380"/>
        <v>1</v>
      </c>
      <c r="AX271" s="117" t="b">
        <f t="shared" si="381"/>
        <v>1</v>
      </c>
      <c r="AY271" s="117" t="b">
        <f t="shared" si="382"/>
        <v>0</v>
      </c>
      <c r="AZ271" s="117" t="str">
        <f t="shared" si="383"/>
        <v>JS5814</v>
      </c>
      <c r="BA271" s="117">
        <f>'Reference Score Calculation'!N248</f>
        <v>0</v>
      </c>
      <c r="BB271" s="117">
        <f>'Reference Score Calculation'!O248</f>
        <v>0</v>
      </c>
      <c r="BC271" s="2" t="str">
        <f t="shared" si="384"/>
        <v>請選擇第二選修科</v>
      </c>
      <c r="BD271" s="93">
        <f t="shared" si="385"/>
        <v>6.9999999999999996E-10</v>
      </c>
      <c r="BE271" s="93">
        <f t="shared" si="386"/>
        <v>1</v>
      </c>
      <c r="BF271" s="93" t="str">
        <f t="shared" si="387"/>
        <v>Best 5總分 x 1</v>
      </c>
      <c r="BG271" s="93"/>
      <c r="BH271" s="93"/>
      <c r="BI271" s="93" t="b">
        <v>1</v>
      </c>
      <c r="BJ271" s="93" t="b">
        <v>1</v>
      </c>
      <c r="BK271" s="93"/>
      <c r="BL271" s="93"/>
      <c r="BM271" s="93"/>
      <c r="BN271" s="93"/>
      <c r="BO271" s="93"/>
      <c r="BP271" s="93"/>
      <c r="BQ271" s="93"/>
      <c r="BR271" s="93"/>
      <c r="BS271" s="116"/>
      <c r="BT271" s="158" t="s">
        <v>351</v>
      </c>
      <c r="BU271" s="102"/>
      <c r="BV271" s="115"/>
      <c r="BW271" s="115"/>
      <c r="BX271" s="115"/>
      <c r="BY271" s="116"/>
      <c r="BZ271" s="116"/>
      <c r="CA271" s="116"/>
      <c r="CB271" s="116"/>
      <c r="CC271" s="116"/>
      <c r="CD271" s="116"/>
      <c r="CE271" s="163" t="b">
        <f>IF(CE268=$BZ$269,TRUE,IF(CE269&gt;LARGE($CE269:$CN269,4),TRUE))</f>
        <v>0</v>
      </c>
      <c r="CF271" s="163" t="b">
        <v>1</v>
      </c>
      <c r="CG271" s="163" t="b">
        <v>1</v>
      </c>
      <c r="CH271" s="163"/>
      <c r="CI271" s="163" t="b">
        <f t="shared" ref="CI271:CM271" si="417">IF(CI268=$BZ$269,TRUE,IF(CI269&gt;LARGE($CE269:$CN269,3),TRUE))</f>
        <v>0</v>
      </c>
      <c r="CJ271" s="163" t="b">
        <f t="shared" si="417"/>
        <v>1</v>
      </c>
      <c r="CK271" s="163" t="b">
        <f t="shared" si="417"/>
        <v>0</v>
      </c>
      <c r="CL271" s="163" t="b">
        <f t="shared" si="417"/>
        <v>1</v>
      </c>
      <c r="CM271" s="163" t="b">
        <f t="shared" si="417"/>
        <v>1</v>
      </c>
      <c r="CN271" s="163"/>
      <c r="CO271" s="116"/>
      <c r="CP271" s="116"/>
      <c r="CQ271" s="116"/>
      <c r="CR271" s="116"/>
      <c r="CS271" s="116"/>
    </row>
    <row r="272" spans="1:97">
      <c r="A272" s="139"/>
      <c r="B272" s="117" t="str">
        <f>'Reference Score Calculation'!B249</f>
        <v>JS5822</v>
      </c>
      <c r="C272" s="117" t="str">
        <f>'Reference Score Calculation'!E249</f>
        <v>理學士（可持續發展及綠色金融）</v>
      </c>
      <c r="E272" s="117" t="str">
        <f>'Reference Score Calculation'!F249</f>
        <v>英數Best3</v>
      </c>
      <c r="F272" s="117"/>
      <c r="G272" s="117" t="str">
        <f>入學要求!AB258</f>
        <v>v</v>
      </c>
      <c r="H272" s="117" t="str">
        <f>入學要求!AC258</f>
        <v>NO</v>
      </c>
      <c r="I272" s="117" t="str">
        <f>入學要求!AD258</f>
        <v>NO</v>
      </c>
      <c r="J272" s="117">
        <f t="shared" si="352"/>
        <v>3.3999999999999998E-9</v>
      </c>
      <c r="K272" s="117">
        <v>1</v>
      </c>
      <c r="L272" s="139">
        <v>2</v>
      </c>
      <c r="M272" s="139">
        <v>2</v>
      </c>
      <c r="O272" s="117">
        <f>IF(O$1=$BZ$265,$CB$265,1)</f>
        <v>1</v>
      </c>
      <c r="P272" s="117">
        <f>IF(P$1=$BZ$265,$CB$265,1)</f>
        <v>1</v>
      </c>
      <c r="Q272" s="117">
        <f>IF(Q$1=$BZ$265,$CB$265,1)</f>
        <v>1</v>
      </c>
      <c r="R272" s="117">
        <f>IF(R$1=$BZ$265,$CB$265,1)</f>
        <v>1</v>
      </c>
      <c r="S272" s="117">
        <f>IF(S$1=$BZ$265,$CB$265,1)</f>
        <v>1</v>
      </c>
      <c r="T272" s="117">
        <v>1</v>
      </c>
      <c r="V272" s="117">
        <f t="shared" si="353"/>
        <v>1E-10</v>
      </c>
      <c r="W272" s="117">
        <f t="shared" si="354"/>
        <v>4.0000000000000001E-10</v>
      </c>
      <c r="X272" s="117">
        <f t="shared" si="355"/>
        <v>6E-10</v>
      </c>
      <c r="Z272" s="117">
        <f t="shared" si="356"/>
        <v>5.0000000000000003E-10</v>
      </c>
      <c r="AA272" s="117">
        <f t="shared" si="357"/>
        <v>6E-10</v>
      </c>
      <c r="AB272" s="117">
        <f t="shared" si="358"/>
        <v>6.9999999999999996E-10</v>
      </c>
      <c r="AC272" s="117">
        <f t="shared" si="359"/>
        <v>8.0000000000000003E-10</v>
      </c>
      <c r="AD272" s="117">
        <f t="shared" si="360"/>
        <v>8.9999999999999999E-10</v>
      </c>
      <c r="AE272" s="117">
        <f t="shared" si="373"/>
        <v>0</v>
      </c>
      <c r="AF272" s="117">
        <f t="shared" si="361"/>
        <v>1E-10</v>
      </c>
      <c r="AG272" s="117">
        <f t="shared" si="362"/>
        <v>99.000000000399993</v>
      </c>
      <c r="AH272" s="117">
        <f t="shared" si="363"/>
        <v>99.000000000599996</v>
      </c>
      <c r="AI272" s="117">
        <f t="shared" si="364"/>
        <v>0</v>
      </c>
      <c r="AJ272" s="117">
        <f t="shared" si="365"/>
        <v>5.0000000000000003E-10</v>
      </c>
      <c r="AK272" s="117">
        <f t="shared" si="366"/>
        <v>6E-10</v>
      </c>
      <c r="AL272" s="117">
        <f t="shared" si="367"/>
        <v>99.000000000699998</v>
      </c>
      <c r="AM272" s="117">
        <f t="shared" si="368"/>
        <v>99.0000000008</v>
      </c>
      <c r="AN272" s="117">
        <f t="shared" si="369"/>
        <v>99.000000000900002</v>
      </c>
      <c r="AO272" s="117">
        <f t="shared" si="370"/>
        <v>0</v>
      </c>
      <c r="AP272" s="117" t="b">
        <f t="shared" si="374"/>
        <v>0</v>
      </c>
      <c r="AQ272" s="117" t="b">
        <f t="shared" si="375"/>
        <v>1</v>
      </c>
      <c r="AR272" s="117" t="b">
        <f t="shared" si="376"/>
        <v>1</v>
      </c>
      <c r="AT272" s="117" t="b">
        <f t="shared" si="377"/>
        <v>0</v>
      </c>
      <c r="AU272" s="117" t="b">
        <f t="shared" si="378"/>
        <v>0</v>
      </c>
      <c r="AV272" s="117" t="b">
        <f t="shared" si="379"/>
        <v>1</v>
      </c>
      <c r="AW272" s="117" t="b">
        <f t="shared" si="380"/>
        <v>1</v>
      </c>
      <c r="AX272" s="117" t="b">
        <f t="shared" si="381"/>
        <v>1</v>
      </c>
      <c r="AY272" s="117" t="b">
        <f t="shared" si="382"/>
        <v>0</v>
      </c>
      <c r="AZ272" s="117" t="str">
        <f t="shared" si="383"/>
        <v>JS5822</v>
      </c>
      <c r="BA272" s="117">
        <f>'Reference Score Calculation'!N249</f>
        <v>0</v>
      </c>
      <c r="BB272" s="117">
        <f>'Reference Score Calculation'!O249</f>
        <v>0</v>
      </c>
      <c r="BC272" s="2" t="str">
        <f t="shared" si="384"/>
        <v>請選擇第一選修科</v>
      </c>
      <c r="BD272" s="93">
        <f t="shared" si="385"/>
        <v>6E-10</v>
      </c>
      <c r="BE272" s="93">
        <f t="shared" si="386"/>
        <v>1</v>
      </c>
      <c r="BF272" s="93" t="str">
        <f t="shared" si="387"/>
        <v>Best 5總分 x 1</v>
      </c>
      <c r="BG272" s="93"/>
      <c r="BH272" s="93" t="b">
        <f t="shared" ref="BH272:BQ272" si="418">CE266</f>
        <v>0</v>
      </c>
      <c r="BI272" s="93" t="b">
        <f t="shared" si="418"/>
        <v>1</v>
      </c>
      <c r="BJ272" s="93" t="b">
        <f t="shared" si="418"/>
        <v>1</v>
      </c>
      <c r="BK272" s="93">
        <f t="shared" si="418"/>
        <v>0</v>
      </c>
      <c r="BL272" s="93" t="b">
        <f t="shared" si="418"/>
        <v>0</v>
      </c>
      <c r="BM272" s="93" t="b">
        <f t="shared" si="418"/>
        <v>0</v>
      </c>
      <c r="BN272" s="93" t="b">
        <f t="shared" si="418"/>
        <v>1</v>
      </c>
      <c r="BO272" s="93" t="b">
        <f t="shared" si="418"/>
        <v>1</v>
      </c>
      <c r="BP272" s="93" t="b">
        <f t="shared" si="418"/>
        <v>1</v>
      </c>
      <c r="BQ272" s="93">
        <f t="shared" si="418"/>
        <v>0</v>
      </c>
      <c r="BR272" s="93"/>
      <c r="BS272" s="116"/>
      <c r="BT272" s="116"/>
      <c r="BU272" s="116"/>
      <c r="BV272" s="116"/>
      <c r="BW272" s="116"/>
      <c r="BX272" s="116"/>
      <c r="BY272" s="116"/>
      <c r="BZ272" s="116"/>
      <c r="CA272" s="116"/>
      <c r="CB272" s="116"/>
      <c r="CC272" s="116"/>
      <c r="CD272" s="116"/>
      <c r="CE272" s="116"/>
      <c r="CF272" s="116"/>
      <c r="CG272" s="116"/>
      <c r="CH272" s="116"/>
      <c r="CI272" s="116"/>
      <c r="CJ272" s="116"/>
      <c r="CK272" s="116"/>
      <c r="CL272" s="116"/>
      <c r="CM272" s="116"/>
      <c r="CN272" s="116"/>
      <c r="CO272" s="116"/>
      <c r="CP272" s="116"/>
      <c r="CQ272" s="116"/>
      <c r="CR272" s="116"/>
      <c r="CS272" s="116"/>
    </row>
    <row r="273" spans="1:97">
      <c r="A273" s="139"/>
      <c r="B273" s="117" t="str">
        <f>'Reference Score Calculation'!B250</f>
        <v>JS5901</v>
      </c>
      <c r="C273" s="117" t="str">
        <f>'Reference Score Calculation'!E250</f>
        <v>科技及管理學雙學位課程</v>
      </c>
      <c r="E273" s="117" t="str">
        <f>'Reference Score Calculation'!F250</f>
        <v>英數Best3</v>
      </c>
      <c r="F273" s="117"/>
      <c r="G273" s="117" t="str">
        <f>入學要求!AB259</f>
        <v>v</v>
      </c>
      <c r="H273" s="117" t="str">
        <f>入學要求!AC259</f>
        <v>NO</v>
      </c>
      <c r="I273" s="117" t="str">
        <f>入學要求!AD259</f>
        <v>NO</v>
      </c>
      <c r="J273" s="117">
        <f t="shared" si="352"/>
        <v>3.2999999999999998E-9</v>
      </c>
      <c r="K273" s="117">
        <v>1</v>
      </c>
      <c r="L273" s="139">
        <v>2</v>
      </c>
      <c r="M273" s="139">
        <v>2</v>
      </c>
      <c r="O273" s="117">
        <v>1.5</v>
      </c>
      <c r="P273" s="117">
        <f>IF(P$1=$BZ$256,$CB$256,1)</f>
        <v>1</v>
      </c>
      <c r="Q273" s="117">
        <f>IF(Q$1=$BZ$256,$CB$256,1)</f>
        <v>1</v>
      </c>
      <c r="R273" s="117">
        <f>IF(R$1=$BZ$256,$CB$256,1)</f>
        <v>1</v>
      </c>
      <c r="S273" s="117">
        <f>IF(S$1=$BZ$256,$CB$256,1)</f>
        <v>1</v>
      </c>
      <c r="T273" s="117">
        <v>1</v>
      </c>
      <c r="V273" s="117">
        <f t="shared" si="353"/>
        <v>1E-10</v>
      </c>
      <c r="W273" s="117">
        <f t="shared" si="354"/>
        <v>4.0000000000000001E-10</v>
      </c>
      <c r="X273" s="117">
        <f t="shared" si="355"/>
        <v>6E-10</v>
      </c>
      <c r="Z273" s="117">
        <f t="shared" si="356"/>
        <v>7.500000000000001E-10</v>
      </c>
      <c r="AA273" s="117">
        <f t="shared" si="357"/>
        <v>6E-10</v>
      </c>
      <c r="AB273" s="117">
        <f t="shared" si="358"/>
        <v>6.9999999999999996E-10</v>
      </c>
      <c r="AC273" s="117">
        <f t="shared" si="359"/>
        <v>8.0000000000000003E-10</v>
      </c>
      <c r="AD273" s="117">
        <f t="shared" si="360"/>
        <v>8.9999999999999999E-10</v>
      </c>
      <c r="AE273" s="117">
        <f t="shared" si="373"/>
        <v>0</v>
      </c>
      <c r="AF273" s="117">
        <f t="shared" si="361"/>
        <v>1E-10</v>
      </c>
      <c r="AG273" s="117">
        <f t="shared" si="362"/>
        <v>99.000000000399993</v>
      </c>
      <c r="AH273" s="117">
        <f t="shared" si="363"/>
        <v>99.000000000599996</v>
      </c>
      <c r="AI273" s="117">
        <f t="shared" si="364"/>
        <v>0</v>
      </c>
      <c r="AJ273" s="117">
        <f t="shared" si="365"/>
        <v>7.500000000000001E-10</v>
      </c>
      <c r="AK273" s="117">
        <f t="shared" si="366"/>
        <v>99.000000000599996</v>
      </c>
      <c r="AL273" s="117">
        <f t="shared" si="367"/>
        <v>6.9999999999999996E-10</v>
      </c>
      <c r="AM273" s="117">
        <f t="shared" si="368"/>
        <v>99.0000000008</v>
      </c>
      <c r="AN273" s="117">
        <f t="shared" si="369"/>
        <v>99.000000000900002</v>
      </c>
      <c r="AO273" s="117">
        <f t="shared" si="370"/>
        <v>0</v>
      </c>
      <c r="AP273" s="117" t="b">
        <f t="shared" si="374"/>
        <v>0</v>
      </c>
      <c r="AQ273" s="117" t="b">
        <f t="shared" si="375"/>
        <v>1</v>
      </c>
      <c r="AR273" s="117" t="b">
        <f t="shared" si="376"/>
        <v>1</v>
      </c>
      <c r="AT273" s="117" t="b">
        <f t="shared" si="377"/>
        <v>0</v>
      </c>
      <c r="AU273" s="117" t="b">
        <f t="shared" si="378"/>
        <v>1</v>
      </c>
      <c r="AV273" s="117" t="b">
        <f t="shared" si="379"/>
        <v>0</v>
      </c>
      <c r="AW273" s="117" t="b">
        <f t="shared" si="380"/>
        <v>1</v>
      </c>
      <c r="AX273" s="117" t="b">
        <f t="shared" si="381"/>
        <v>1</v>
      </c>
      <c r="AY273" s="117" t="b">
        <f t="shared" si="382"/>
        <v>0</v>
      </c>
      <c r="AZ273" s="117" t="str">
        <f>B273</f>
        <v>JS5901</v>
      </c>
      <c r="BA273" s="117">
        <f>'Reference Score Calculation'!N250</f>
        <v>0</v>
      </c>
      <c r="BB273" s="117">
        <f>'Reference Score Calculation'!O250</f>
        <v>0</v>
      </c>
      <c r="BC273" s="2" t="str">
        <f t="shared" si="384"/>
        <v>數學延伸</v>
      </c>
      <c r="BD273" s="93">
        <f t="shared" si="385"/>
        <v>7.500000000000001E-10</v>
      </c>
      <c r="BE273" s="93">
        <f t="shared" si="386"/>
        <v>1</v>
      </c>
      <c r="BF273" s="93" t="str">
        <f t="shared" si="387"/>
        <v>Best 5總分 x 1</v>
      </c>
      <c r="BG273" s="93"/>
      <c r="BH273" s="93" t="b">
        <f>CE258</f>
        <v>0</v>
      </c>
      <c r="BI273" s="93" t="b">
        <f t="shared" ref="BI273:BQ273" si="419">CF258</f>
        <v>1</v>
      </c>
      <c r="BJ273" s="93" t="b">
        <f t="shared" si="419"/>
        <v>1</v>
      </c>
      <c r="BK273" s="93">
        <f t="shared" si="419"/>
        <v>0</v>
      </c>
      <c r="BL273" s="93" t="b">
        <f t="shared" si="419"/>
        <v>0</v>
      </c>
      <c r="BM273" s="93" t="b">
        <f t="shared" si="419"/>
        <v>1</v>
      </c>
      <c r="BN273" s="93" t="b">
        <f t="shared" si="419"/>
        <v>0</v>
      </c>
      <c r="BO273" s="93" t="b">
        <f t="shared" si="419"/>
        <v>1</v>
      </c>
      <c r="BP273" s="93" t="b">
        <f t="shared" si="419"/>
        <v>1</v>
      </c>
      <c r="BQ273" s="93">
        <f t="shared" si="419"/>
        <v>0</v>
      </c>
      <c r="BR273" s="93"/>
      <c r="BS273" s="116" t="s">
        <v>352</v>
      </c>
      <c r="BT273" s="101" t="str">
        <f>P$1</f>
        <v>請選擇第一選修科</v>
      </c>
      <c r="BU273" s="101" t="str">
        <f>Q$1</f>
        <v>請選擇第二選修科</v>
      </c>
      <c r="BV273" s="101" t="str">
        <f>R$1</f>
        <v>請選擇第三選修科</v>
      </c>
      <c r="BW273" s="101" t="str">
        <f>S$1</f>
        <v>請選擇第四選修科</v>
      </c>
      <c r="BX273" s="101" t="str">
        <f>O$1</f>
        <v>數學延伸</v>
      </c>
      <c r="BY273" s="116"/>
      <c r="BZ273" s="156" t="s">
        <v>332</v>
      </c>
      <c r="CA273" s="116"/>
      <c r="CB273" s="102" t="s">
        <v>96</v>
      </c>
      <c r="CC273" s="116"/>
      <c r="CD273" s="116"/>
      <c r="CE273" s="101" t="str">
        <f>K$1</f>
        <v>中國語文</v>
      </c>
      <c r="CF273" s="101" t="str">
        <f>L$1</f>
        <v>英國語文</v>
      </c>
      <c r="CG273" s="101" t="str">
        <f>M$1</f>
        <v>數學</v>
      </c>
      <c r="CH273" s="101"/>
      <c r="CI273" s="101" t="str">
        <f>O$1</f>
        <v>數學延伸</v>
      </c>
      <c r="CJ273" s="101" t="str">
        <f>P$1</f>
        <v>請選擇第一選修科</v>
      </c>
      <c r="CK273" s="101" t="str">
        <f>Q$1</f>
        <v>請選擇第二選修科</v>
      </c>
      <c r="CL273" s="101" t="str">
        <f>R$1</f>
        <v>請選擇第三選修科</v>
      </c>
      <c r="CM273" s="101" t="str">
        <f>S$1</f>
        <v>請選擇第四選修科</v>
      </c>
      <c r="CN273" s="101"/>
      <c r="CO273" s="116"/>
      <c r="CP273" s="116"/>
      <c r="CQ273" s="116"/>
      <c r="CR273" s="116"/>
      <c r="CS273" s="116"/>
    </row>
    <row r="274" spans="1:97">
      <c r="B274" s="130"/>
      <c r="C274" s="358" t="s">
        <v>3128</v>
      </c>
      <c r="W274" s="130"/>
      <c r="X274" s="130"/>
      <c r="Y274" s="130"/>
      <c r="AA274" s="130"/>
      <c r="AC274" s="130"/>
      <c r="BA274" s="93">
        <f>'Reference Score Calculation'!N251</f>
        <v>0</v>
      </c>
      <c r="BB274" s="93">
        <f>'Reference Score Calculation'!O251</f>
        <v>0</v>
      </c>
      <c r="BC274" s="93"/>
      <c r="BD274" s="93"/>
      <c r="BE274" s="93"/>
      <c r="BF274" s="93"/>
      <c r="BG274" s="93"/>
      <c r="BH274" s="93" t="s">
        <v>2959</v>
      </c>
      <c r="BI274" s="93"/>
      <c r="BJ274" s="93"/>
      <c r="BK274" s="93"/>
      <c r="BL274" s="93"/>
      <c r="BM274" s="93"/>
      <c r="BN274" s="93"/>
      <c r="BO274" s="93"/>
      <c r="BP274" s="93"/>
      <c r="BQ274" s="93"/>
      <c r="BR274" s="93"/>
      <c r="BS274" s="116"/>
      <c r="BT274" s="21">
        <f>IF(OR(P$1="物理",P$1="化學",P$1="生物",P$1="經濟"),P$7*1.5,0)</f>
        <v>0</v>
      </c>
      <c r="BU274" s="21">
        <f>IF(OR(Q$1="物理",Q$1="化學",Q$1="生物",Q$1="經濟"),Q$7*1.5,0)</f>
        <v>0</v>
      </c>
      <c r="BV274" s="21">
        <f>IF(OR(R$1="物理",R$1="化學",R$1="生物",R$1="經濟"),R$7*1.5,0)</f>
        <v>0</v>
      </c>
      <c r="BW274" s="21">
        <f>IF(OR(S$1="物理",S$1="化學",S$1="生物",S$1="經濟"),S$7*1.5,0)</f>
        <v>0</v>
      </c>
      <c r="BX274" s="2">
        <f>O$7*2</f>
        <v>1.0000000000000001E-9</v>
      </c>
      <c r="BY274" s="116"/>
      <c r="BZ274" s="117" t="str">
        <f>INDEX(BT273:BX273,MATCH(LARGE(BT274:BX274,1),BT274:BX274,0))</f>
        <v>數學延伸</v>
      </c>
      <c r="CA274" s="117">
        <f>LARGE((BT274:BX274),1)</f>
        <v>1.0000000000000001E-9</v>
      </c>
      <c r="CB274" s="16">
        <f>IF(OR(BZ274="物理",BZ274="組合科學(物理、化學)",BZ274="組合科學(生物、化學)",BZ274="組合科學(物理、生物)",BZ274="化學",BZ274="生物",BZ274="經濟"),1.5,IF(BZ274="數學延伸",2,1))</f>
        <v>2</v>
      </c>
      <c r="CC274" s="116"/>
      <c r="CD274" s="116"/>
      <c r="CE274" s="21">
        <f>IF(CE273=$BZ$274,0,K$7)</f>
        <v>1E-10</v>
      </c>
      <c r="CF274" s="21">
        <v>0</v>
      </c>
      <c r="CG274" s="21">
        <v>0</v>
      </c>
      <c r="CH274" s="21"/>
      <c r="CI274" s="21">
        <f>IF(CI273=$BZ$274,0,O$7)</f>
        <v>0</v>
      </c>
      <c r="CJ274" s="21">
        <f>IF(CJ273=$BZ$274,0,P$7)</f>
        <v>6E-10</v>
      </c>
      <c r="CK274" s="21">
        <f>IF(CK273=$BZ$274,0,Q$7)</f>
        <v>6.9999999999999996E-10</v>
      </c>
      <c r="CL274" s="21">
        <f>IF(CL273=$BZ$274,0,R$7)</f>
        <v>8.0000000000000003E-10</v>
      </c>
      <c r="CM274" s="21">
        <f>IF(CM273=$BZ$274,0,S$7)</f>
        <v>8.9999999999999999E-10</v>
      </c>
      <c r="CN274" s="21"/>
      <c r="CO274" s="116"/>
      <c r="CP274" s="116"/>
      <c r="CQ274" s="116"/>
      <c r="CR274" s="116"/>
      <c r="CS274" s="116"/>
    </row>
    <row r="275" spans="1:97">
      <c r="B275" s="141" t="s">
        <v>231</v>
      </c>
      <c r="C275" s="372"/>
      <c r="D275" s="154"/>
      <c r="E275" s="402">
        <v>2024</v>
      </c>
      <c r="F275" s="403">
        <v>2025</v>
      </c>
      <c r="G275" s="19" t="s">
        <v>267</v>
      </c>
      <c r="H275" s="19" t="s">
        <v>268</v>
      </c>
      <c r="I275" s="19" t="s">
        <v>269</v>
      </c>
      <c r="J275" s="130" t="s">
        <v>217</v>
      </c>
      <c r="K275" s="130" t="s">
        <v>246</v>
      </c>
      <c r="L275" s="130" t="s">
        <v>247</v>
      </c>
      <c r="M275" s="130" t="s">
        <v>248</v>
      </c>
      <c r="N275" s="130"/>
      <c r="O275" s="130" t="s">
        <v>250</v>
      </c>
      <c r="P275" s="130" t="s">
        <v>251</v>
      </c>
      <c r="Q275" s="130" t="s">
        <v>252</v>
      </c>
      <c r="R275" s="130" t="s">
        <v>253</v>
      </c>
      <c r="S275" s="130" t="s">
        <v>254</v>
      </c>
      <c r="T275" s="130" t="s">
        <v>288</v>
      </c>
      <c r="U275" s="141"/>
      <c r="V275" s="130" t="str">
        <f t="shared" ref="V275:AE275" si="420">K$1</f>
        <v>中國語文</v>
      </c>
      <c r="W275" s="130" t="str">
        <f t="shared" si="420"/>
        <v>英國語文</v>
      </c>
      <c r="X275" s="130" t="str">
        <f t="shared" si="420"/>
        <v>數學</v>
      </c>
      <c r="Y275" s="130"/>
      <c r="Z275" s="130" t="str">
        <f t="shared" si="420"/>
        <v>數學延伸</v>
      </c>
      <c r="AA275" s="130" t="str">
        <f t="shared" si="420"/>
        <v>請選擇第一選修科</v>
      </c>
      <c r="AB275" s="130" t="str">
        <f t="shared" si="420"/>
        <v>請選擇第二選修科</v>
      </c>
      <c r="AC275" s="130" t="str">
        <f t="shared" si="420"/>
        <v>請選擇第三選修科</v>
      </c>
      <c r="AD275" s="130" t="str">
        <f t="shared" si="420"/>
        <v>請選擇第四選修科</v>
      </c>
      <c r="AE275" s="130" t="str">
        <f t="shared" si="420"/>
        <v>請選擇語言科目</v>
      </c>
      <c r="AF275" s="117" t="str">
        <f t="shared" ref="AF275:AH275" si="421">V275</f>
        <v>中國語文</v>
      </c>
      <c r="AG275" s="117" t="str">
        <f t="shared" si="421"/>
        <v>英國語文</v>
      </c>
      <c r="AH275" s="117" t="str">
        <f t="shared" si="421"/>
        <v>數學</v>
      </c>
      <c r="AJ275" s="117" t="str">
        <f t="shared" ref="AJ275:AO275" si="422">Z275</f>
        <v>數學延伸</v>
      </c>
      <c r="AK275" s="117" t="str">
        <f t="shared" si="422"/>
        <v>請選擇第一選修科</v>
      </c>
      <c r="AL275" s="117" t="str">
        <f t="shared" si="422"/>
        <v>請選擇第二選修科</v>
      </c>
      <c r="AM275" s="117" t="str">
        <f t="shared" si="422"/>
        <v>請選擇第三選修科</v>
      </c>
      <c r="AN275" s="117" t="str">
        <f t="shared" si="422"/>
        <v>請選擇第四選修科</v>
      </c>
      <c r="AO275" s="117" t="str">
        <f t="shared" si="422"/>
        <v>請選擇語言科目</v>
      </c>
      <c r="AP275" s="130" t="s">
        <v>256</v>
      </c>
      <c r="AQ275" s="130" t="s">
        <v>257</v>
      </c>
      <c r="AR275" s="130" t="s">
        <v>258</v>
      </c>
      <c r="AS275" s="130"/>
      <c r="AT275" s="130" t="s">
        <v>259</v>
      </c>
      <c r="AU275" s="130" t="s">
        <v>260</v>
      </c>
      <c r="AV275" s="130" t="s">
        <v>261</v>
      </c>
      <c r="AW275" s="130" t="s">
        <v>262</v>
      </c>
      <c r="AX275" s="130" t="s">
        <v>263</v>
      </c>
      <c r="AY275" s="130" t="s">
        <v>289</v>
      </c>
      <c r="AZ275" s="142"/>
      <c r="BA275" s="93">
        <f>'Reference Score Calculation'!N252</f>
        <v>0</v>
      </c>
      <c r="BB275" s="93"/>
      <c r="BC275" s="93" t="s">
        <v>3308</v>
      </c>
      <c r="BD275" s="93" t="s">
        <v>3308</v>
      </c>
      <c r="BE275" s="93" t="s">
        <v>3127</v>
      </c>
      <c r="BF275" s="93"/>
      <c r="BG275" s="93" t="s">
        <v>324</v>
      </c>
      <c r="BH275" s="93" t="str">
        <f t="shared" ref="BH275:BQ275" si="423">K1</f>
        <v>中國語文</v>
      </c>
      <c r="BI275" s="93" t="str">
        <f t="shared" si="423"/>
        <v>英國語文</v>
      </c>
      <c r="BJ275" s="93" t="str">
        <f t="shared" si="423"/>
        <v>數學</v>
      </c>
      <c r="BK275" s="93" t="str">
        <f t="shared" si="423"/>
        <v>公社科</v>
      </c>
      <c r="BL275" s="93" t="str">
        <f t="shared" si="423"/>
        <v>數學延伸</v>
      </c>
      <c r="BM275" s="93" t="str">
        <f t="shared" si="423"/>
        <v>請選擇第一選修科</v>
      </c>
      <c r="BN275" s="93" t="str">
        <f t="shared" si="423"/>
        <v>請選擇第二選修科</v>
      </c>
      <c r="BO275" s="93" t="str">
        <f t="shared" si="423"/>
        <v>請選擇第三選修科</v>
      </c>
      <c r="BP275" s="93" t="str">
        <f t="shared" si="423"/>
        <v>請選擇第四選修科</v>
      </c>
      <c r="BQ275" s="93" t="str">
        <f t="shared" si="423"/>
        <v>請選擇語言科目</v>
      </c>
      <c r="BR275" s="93"/>
      <c r="BS275" s="116"/>
      <c r="BT275" s="158" t="s">
        <v>2453</v>
      </c>
      <c r="BU275" s="102"/>
      <c r="BV275" s="115"/>
      <c r="BW275" s="115"/>
      <c r="BX275" s="115"/>
      <c r="BY275" s="116"/>
      <c r="BZ275" s="116"/>
      <c r="CA275" s="116"/>
      <c r="CB275" s="116"/>
      <c r="CC275" s="116"/>
      <c r="CD275" s="116"/>
      <c r="CE275" s="163" t="b">
        <f>IF(CE273=$BZ$274,TRUE,IF(CE274&gt;LARGE($CE274:$CN274,4),TRUE))</f>
        <v>0</v>
      </c>
      <c r="CF275" s="163" t="b">
        <v>1</v>
      </c>
      <c r="CG275" s="163" t="b">
        <v>1</v>
      </c>
      <c r="CH275" s="163"/>
      <c r="CI275" s="163" t="b">
        <f t="shared" ref="CI275:CM275" si="424">IF(CI273=$BZ$274,TRUE,IF(CI274&gt;LARGE($CE274:$CN274,3),TRUE))</f>
        <v>1</v>
      </c>
      <c r="CJ275" s="163" t="b">
        <f t="shared" si="424"/>
        <v>0</v>
      </c>
      <c r="CK275" s="163" t="b">
        <f t="shared" si="424"/>
        <v>0</v>
      </c>
      <c r="CL275" s="163" t="b">
        <f t="shared" si="424"/>
        <v>1</v>
      </c>
      <c r="CM275" s="163" t="b">
        <f t="shared" si="424"/>
        <v>1</v>
      </c>
      <c r="CN275" s="163"/>
      <c r="CO275" s="116"/>
      <c r="CP275" s="116"/>
      <c r="CQ275" s="116"/>
      <c r="CR275" s="116"/>
      <c r="CS275" s="116"/>
    </row>
    <row r="276" spans="1:97">
      <c r="B276" s="384" t="str">
        <f>'Reference Score Calculation'!B253</f>
        <v>JS6004</v>
      </c>
      <c r="C276" s="389" t="str">
        <f>'Reference Score Calculation'!E253</f>
        <v>建築學文學士</v>
      </c>
      <c r="D276" s="334"/>
      <c r="E276" s="390" t="str">
        <f>'Reference Score Calculation'!F253</f>
        <v>Best 5</v>
      </c>
      <c r="F276" s="404" t="str">
        <f>'Reference Score Calculation'!AC253</f>
        <v>Best 5</v>
      </c>
      <c r="G276" s="334" t="str">
        <f>入學要求!AB262</f>
        <v>v</v>
      </c>
      <c r="H276" s="334" t="str">
        <f>入學要求!AC262</f>
        <v>E</v>
      </c>
      <c r="I276" s="334" t="str">
        <f>入學要求!AD262</f>
        <v>NO</v>
      </c>
      <c r="J276" s="391">
        <f t="shared" ref="J276:J307" si="425">SUMIF(AP276:AY276,TRUE,V276:AE276)+BE276</f>
        <v>3.4999999999999999E-9</v>
      </c>
      <c r="K276" s="489">
        <v>1</v>
      </c>
      <c r="L276" s="489">
        <v>1</v>
      </c>
      <c r="M276" s="489">
        <v>1</v>
      </c>
      <c r="N276" s="489"/>
      <c r="O276" s="489">
        <v>1</v>
      </c>
      <c r="P276" s="489">
        <v>1</v>
      </c>
      <c r="Q276" s="489">
        <v>1</v>
      </c>
      <c r="R276" s="489">
        <v>1</v>
      </c>
      <c r="S276" s="489">
        <v>1</v>
      </c>
      <c r="T276" s="489">
        <v>1</v>
      </c>
      <c r="U276" s="391"/>
      <c r="V276" s="391">
        <f t="shared" ref="V276:V292" si="426">K$8*K276</f>
        <v>1E-10</v>
      </c>
      <c r="W276" s="391">
        <f t="shared" ref="W276:W292" si="427">L$8*L276</f>
        <v>2.0000000000000001E-10</v>
      </c>
      <c r="X276" s="391">
        <f t="shared" ref="X276:X292" si="428">M$8*M276</f>
        <v>3E-10</v>
      </c>
      <c r="Y276" s="391"/>
      <c r="Z276" s="391">
        <f t="shared" ref="Z276:Z282" si="429">IF($O$8&gt;$T$8,O$8*O276,0)</f>
        <v>5.0000000000000003E-10</v>
      </c>
      <c r="AA276" s="391">
        <f t="shared" ref="AA276:AA292" si="430">P$8*P276</f>
        <v>6E-10</v>
      </c>
      <c r="AB276" s="391">
        <f t="shared" ref="AB276:AB292" si="431">Q$8*Q276</f>
        <v>6.9999999999999996E-10</v>
      </c>
      <c r="AC276" s="391">
        <f t="shared" ref="AC276:AC292" si="432">R$8*R276</f>
        <v>8.0000000000000003E-10</v>
      </c>
      <c r="AD276" s="391">
        <f t="shared" ref="AD276:AD292" si="433">S$8*S276</f>
        <v>8.9999999999999999E-10</v>
      </c>
      <c r="AE276" s="391">
        <f t="shared" ref="AE276:AE298" si="434">IF(H276="E",IF($T$8 &gt; $O$8,$T$8*T276,0),0)</f>
        <v>0</v>
      </c>
      <c r="AF276" s="117">
        <f t="shared" ref="AF276:AF307" si="435">IF(BH276=TRUE,V276+99,V276)</f>
        <v>1E-10</v>
      </c>
      <c r="AG276" s="117">
        <f t="shared" ref="AG276:AG307" si="436">IF(BI276=TRUE,W276+99,W276)</f>
        <v>2.0000000000000001E-10</v>
      </c>
      <c r="AH276" s="117">
        <f t="shared" ref="AH276:AH307" si="437">IF(BJ276=TRUE,X276+99,X276)</f>
        <v>3E-10</v>
      </c>
      <c r="AI276" s="117">
        <f t="shared" ref="AI276:AI307" si="438">IF(BK276=TRUE,Y276+99,Y276)</f>
        <v>0</v>
      </c>
      <c r="AJ276" s="117">
        <f t="shared" ref="AJ276:AJ307" si="439">IF(BL276=TRUE,Z276+99,Z276)</f>
        <v>5.0000000000000003E-10</v>
      </c>
      <c r="AK276" s="117">
        <f t="shared" ref="AK276:AK307" si="440">IF(BM276=TRUE,AA276+99,AA276)</f>
        <v>6E-10</v>
      </c>
      <c r="AL276" s="117">
        <f t="shared" ref="AL276:AL307" si="441">IF(BN276=TRUE,AB276+99,AB276)</f>
        <v>6.9999999999999996E-10</v>
      </c>
      <c r="AM276" s="117">
        <f t="shared" ref="AM276:AM307" si="442">IF(BO276=TRUE,AC276+99,AC276)</f>
        <v>8.0000000000000003E-10</v>
      </c>
      <c r="AN276" s="117">
        <f t="shared" ref="AN276:AN307" si="443">IF(BP276=TRUE,AD276+99,AD276)</f>
        <v>8.9999999999999999E-10</v>
      </c>
      <c r="AO276" s="117">
        <f t="shared" ref="AO276:AO307" si="444">IF(BQ276=TRUE,AE276+99,AE276)</f>
        <v>0</v>
      </c>
      <c r="AP276" s="391" t="b">
        <f>IF($E276="Best 5", IF(AF276&gt;LARGE(($AF276:$AO276),6),TRUE), IF($E276="Best 6",IF(AF276&gt;LARGE(($AF276:$AO276),7),TRUE)))</f>
        <v>0</v>
      </c>
      <c r="AQ276" s="391" t="b">
        <f t="shared" ref="AQ276:AY276" si="445">IF($E276="Best 5", IF(AG276&gt;LARGE(($AF276:$AO276),6),TRUE), IF($E276="Best 6",IF(AG276&gt;LARGE(($AF276:$AO276),7),TRUE)))</f>
        <v>0</v>
      </c>
      <c r="AR276" s="391" t="b">
        <f t="shared" si="445"/>
        <v>0</v>
      </c>
      <c r="AS276" s="391"/>
      <c r="AT276" s="391" t="b">
        <f t="shared" si="445"/>
        <v>1</v>
      </c>
      <c r="AU276" s="391" t="b">
        <f t="shared" si="445"/>
        <v>1</v>
      </c>
      <c r="AV276" s="391" t="b">
        <f t="shared" si="445"/>
        <v>1</v>
      </c>
      <c r="AW276" s="391" t="b">
        <f t="shared" si="445"/>
        <v>1</v>
      </c>
      <c r="AX276" s="391" t="b">
        <f t="shared" si="445"/>
        <v>1</v>
      </c>
      <c r="AY276" s="391" t="b">
        <f t="shared" si="445"/>
        <v>0</v>
      </c>
      <c r="AZ276" s="384"/>
      <c r="BA276" s="334" t="str">
        <f>'Reference Score Calculation'!N253</f>
        <v>/</v>
      </c>
      <c r="BB276" s="334" t="str">
        <f>'Reference Score Calculation'!O253</f>
        <v>可包含 M1/2 或丙類科目 (較高者) 於計算內</v>
      </c>
      <c r="BC276" s="334"/>
      <c r="BD276" s="334"/>
      <c r="BE276" s="334"/>
      <c r="BF276" s="334"/>
      <c r="BG276" s="334" t="s">
        <v>324</v>
      </c>
      <c r="BH276" s="334"/>
      <c r="BI276" s="334"/>
      <c r="BJ276" s="334"/>
      <c r="BK276" s="334"/>
      <c r="BL276" s="334"/>
      <c r="BM276" s="334"/>
      <c r="BN276" s="334"/>
      <c r="BO276" s="334"/>
      <c r="BP276" s="334"/>
      <c r="BQ276" s="334"/>
      <c r="BR276" s="334"/>
      <c r="BS276" s="116"/>
      <c r="BT276" s="116"/>
      <c r="BU276" s="116"/>
      <c r="BV276" s="116"/>
      <c r="BW276" s="116"/>
      <c r="BX276" s="116"/>
      <c r="BY276" s="116"/>
      <c r="BZ276" s="116"/>
      <c r="CA276" s="116"/>
      <c r="CB276" s="116"/>
      <c r="CC276" s="116"/>
      <c r="CD276" s="116"/>
      <c r="CE276" s="116"/>
      <c r="CF276" s="116"/>
      <c r="CG276" s="116"/>
      <c r="CH276" s="116"/>
      <c r="CI276" s="116"/>
      <c r="CJ276" s="116"/>
      <c r="CK276" s="116"/>
      <c r="CL276" s="116"/>
      <c r="CM276" s="116"/>
      <c r="CN276" s="116"/>
      <c r="CO276" s="116"/>
      <c r="CP276" s="116"/>
      <c r="CQ276" s="116"/>
      <c r="CR276" s="116"/>
      <c r="CS276" s="116"/>
    </row>
    <row r="277" spans="1:97">
      <c r="B277" s="384" t="str">
        <f>'Reference Score Calculation'!B254</f>
        <v>JS6016</v>
      </c>
      <c r="C277" s="389" t="str">
        <f>'Reference Score Calculation'!E254</f>
        <v>理學士(測量學)</v>
      </c>
      <c r="D277" s="334"/>
      <c r="E277" s="390" t="str">
        <f>'Reference Score Calculation'!F254</f>
        <v>Best 5</v>
      </c>
      <c r="F277" s="404" t="str">
        <f>'Reference Score Calculation'!AC254</f>
        <v>Best 5</v>
      </c>
      <c r="G277" s="334" t="str">
        <f>入學要求!AB263</f>
        <v>v</v>
      </c>
      <c r="H277" s="334" t="str">
        <f>入學要求!AC263</f>
        <v>E</v>
      </c>
      <c r="I277" s="334" t="str">
        <f>入學要求!AD263</f>
        <v>NO</v>
      </c>
      <c r="J277" s="391">
        <f t="shared" si="425"/>
        <v>3.4999999999999999E-9</v>
      </c>
      <c r="K277" s="489">
        <v>1</v>
      </c>
      <c r="L277" s="489">
        <v>1</v>
      </c>
      <c r="M277" s="489">
        <v>1</v>
      </c>
      <c r="N277" s="489"/>
      <c r="O277" s="489">
        <v>1</v>
      </c>
      <c r="P277" s="489">
        <v>1</v>
      </c>
      <c r="Q277" s="489">
        <v>1</v>
      </c>
      <c r="R277" s="489">
        <v>1</v>
      </c>
      <c r="S277" s="489">
        <v>1</v>
      </c>
      <c r="T277" s="489">
        <v>1</v>
      </c>
      <c r="U277" s="391"/>
      <c r="V277" s="391">
        <f t="shared" si="426"/>
        <v>1E-10</v>
      </c>
      <c r="W277" s="391">
        <f t="shared" si="427"/>
        <v>2.0000000000000001E-10</v>
      </c>
      <c r="X277" s="391">
        <f t="shared" si="428"/>
        <v>3E-10</v>
      </c>
      <c r="Y277" s="391"/>
      <c r="Z277" s="391">
        <f t="shared" si="429"/>
        <v>5.0000000000000003E-10</v>
      </c>
      <c r="AA277" s="391">
        <f t="shared" si="430"/>
        <v>6E-10</v>
      </c>
      <c r="AB277" s="391">
        <f t="shared" si="431"/>
        <v>6.9999999999999996E-10</v>
      </c>
      <c r="AC277" s="391">
        <f t="shared" si="432"/>
        <v>8.0000000000000003E-10</v>
      </c>
      <c r="AD277" s="391">
        <f t="shared" si="433"/>
        <v>8.9999999999999999E-10</v>
      </c>
      <c r="AE277" s="391">
        <f t="shared" si="434"/>
        <v>0</v>
      </c>
      <c r="AF277" s="117">
        <f t="shared" si="435"/>
        <v>1E-10</v>
      </c>
      <c r="AG277" s="117">
        <f t="shared" si="436"/>
        <v>2.0000000000000001E-10</v>
      </c>
      <c r="AH277" s="117">
        <f t="shared" si="437"/>
        <v>3E-10</v>
      </c>
      <c r="AI277" s="117">
        <f t="shared" si="438"/>
        <v>0</v>
      </c>
      <c r="AJ277" s="117">
        <f t="shared" si="439"/>
        <v>5.0000000000000003E-10</v>
      </c>
      <c r="AK277" s="117">
        <f t="shared" si="440"/>
        <v>6E-10</v>
      </c>
      <c r="AL277" s="117">
        <f t="shared" si="441"/>
        <v>6.9999999999999996E-10</v>
      </c>
      <c r="AM277" s="117">
        <f t="shared" si="442"/>
        <v>8.0000000000000003E-10</v>
      </c>
      <c r="AN277" s="117">
        <f t="shared" si="443"/>
        <v>8.9999999999999999E-10</v>
      </c>
      <c r="AO277" s="117">
        <f t="shared" si="444"/>
        <v>0</v>
      </c>
      <c r="AP277" s="391" t="b">
        <f t="shared" ref="AP277:AP298" si="446">IF($E277="Best 5", IF(AF277&gt;LARGE(($AF277:$AO277),6),TRUE), IF($E277="Best 6",IF(AF277&gt;LARGE(($AF277:$AO277),7),TRUE)))</f>
        <v>0</v>
      </c>
      <c r="AQ277" s="391" t="b">
        <f t="shared" ref="AQ277:AQ298" si="447">IF($E277="Best 5", IF(AG277&gt;LARGE(($AF277:$AO277),6),TRUE), IF($E277="Best 6",IF(AG277&gt;LARGE(($AF277:$AO277),7),TRUE)))</f>
        <v>0</v>
      </c>
      <c r="AR277" s="391" t="b">
        <f t="shared" ref="AR277:AR298" si="448">IF($E277="Best 5", IF(AH277&gt;LARGE(($AF277:$AO277),6),TRUE), IF($E277="Best 6",IF(AH277&gt;LARGE(($AF277:$AO277),7),TRUE)))</f>
        <v>0</v>
      </c>
      <c r="AS277" s="391"/>
      <c r="AT277" s="391" t="b">
        <f t="shared" ref="AT277:AT298" si="449">IF($E277="Best 5", IF(AJ277&gt;LARGE(($AF277:$AO277),6),TRUE), IF($E277="Best 6",IF(AJ277&gt;LARGE(($AF277:$AO277),7),TRUE)))</f>
        <v>1</v>
      </c>
      <c r="AU277" s="391" t="b">
        <f t="shared" ref="AU277:AU298" si="450">IF($E277="Best 5", IF(AK277&gt;LARGE(($AF277:$AO277),6),TRUE), IF($E277="Best 6",IF(AK277&gt;LARGE(($AF277:$AO277),7),TRUE)))</f>
        <v>1</v>
      </c>
      <c r="AV277" s="391" t="b">
        <f t="shared" ref="AV277:AV298" si="451">IF($E277="Best 5", IF(AL277&gt;LARGE(($AF277:$AO277),6),TRUE), IF($E277="Best 6",IF(AL277&gt;LARGE(($AF277:$AO277),7),TRUE)))</f>
        <v>1</v>
      </c>
      <c r="AW277" s="391" t="b">
        <f t="shared" ref="AW277:AW298" si="452">IF($E277="Best 5", IF(AM277&gt;LARGE(($AF277:$AO277),6),TRUE), IF($E277="Best 6",IF(AM277&gt;LARGE(($AF277:$AO277),7),TRUE)))</f>
        <v>1</v>
      </c>
      <c r="AX277" s="391" t="b">
        <f t="shared" ref="AX277:AX298" si="453">IF($E277="Best 5", IF(AN277&gt;LARGE(($AF277:$AO277),6),TRUE), IF($E277="Best 6",IF(AN277&gt;LARGE(($AF277:$AO277),7),TRUE)))</f>
        <v>1</v>
      </c>
      <c r="AY277" s="391" t="b">
        <f t="shared" ref="AY277:AY298" si="454">IF($E277="Best 5", IF(AO277&gt;LARGE(($AF277:$AO277),6),TRUE), IF($E277="Best 6",IF(AO277&gt;LARGE(($AF277:$AO277),7),TRUE)))</f>
        <v>0</v>
      </c>
      <c r="AZ277" s="384"/>
      <c r="BA277" s="334" t="str">
        <f>'Reference Score Calculation'!N254</f>
        <v>/</v>
      </c>
      <c r="BB277" s="334" t="str">
        <f>'Reference Score Calculation'!O254</f>
        <v>可包含 M1/2 或丙類科目 (較高者) 於計算內</v>
      </c>
      <c r="BC277" s="334"/>
      <c r="BD277" s="334"/>
      <c r="BE277" s="334"/>
      <c r="BF277" s="334"/>
      <c r="BG277" s="334" t="s">
        <v>324</v>
      </c>
      <c r="BH277" s="334"/>
      <c r="BI277" s="334"/>
      <c r="BJ277" s="334"/>
      <c r="BK277" s="334"/>
      <c r="BL277" s="334"/>
      <c r="BM277" s="334"/>
      <c r="BN277" s="334"/>
      <c r="BO277" s="334"/>
      <c r="BP277" s="334"/>
      <c r="BQ277" s="334"/>
      <c r="BR277" s="334"/>
    </row>
    <row r="278" spans="1:97">
      <c r="B278" s="384" t="str">
        <f>'Reference Score Calculation'!B255</f>
        <v>JS6028</v>
      </c>
      <c r="C278" s="389" t="str">
        <f>'Reference Score Calculation'!E255</f>
        <v>園境學文學士</v>
      </c>
      <c r="D278" s="334"/>
      <c r="E278" s="390" t="str">
        <f>'Reference Score Calculation'!F255</f>
        <v>Best 5</v>
      </c>
      <c r="F278" s="404" t="str">
        <f>'Reference Score Calculation'!AC255</f>
        <v>Best 5</v>
      </c>
      <c r="G278" s="334" t="str">
        <f>入學要求!AB264</f>
        <v>v</v>
      </c>
      <c r="H278" s="334" t="str">
        <f>入學要求!AC264</f>
        <v>E</v>
      </c>
      <c r="I278" s="334" t="str">
        <f>入學要求!AD264</f>
        <v>NO</v>
      </c>
      <c r="J278" s="391">
        <f t="shared" si="425"/>
        <v>3.4999999999999999E-9</v>
      </c>
      <c r="K278" s="489">
        <v>1</v>
      </c>
      <c r="L278" s="489">
        <v>1</v>
      </c>
      <c r="M278" s="489">
        <v>1</v>
      </c>
      <c r="N278" s="489"/>
      <c r="O278" s="489">
        <v>1</v>
      </c>
      <c r="P278" s="489">
        <v>1</v>
      </c>
      <c r="Q278" s="489">
        <v>1</v>
      </c>
      <c r="R278" s="489">
        <v>1</v>
      </c>
      <c r="S278" s="489">
        <v>1</v>
      </c>
      <c r="T278" s="489">
        <v>1</v>
      </c>
      <c r="U278" s="391"/>
      <c r="V278" s="391">
        <f t="shared" si="426"/>
        <v>1E-10</v>
      </c>
      <c r="W278" s="391">
        <f t="shared" si="427"/>
        <v>2.0000000000000001E-10</v>
      </c>
      <c r="X278" s="391">
        <f t="shared" si="428"/>
        <v>3E-10</v>
      </c>
      <c r="Y278" s="391"/>
      <c r="Z278" s="391">
        <f t="shared" si="429"/>
        <v>5.0000000000000003E-10</v>
      </c>
      <c r="AA278" s="391">
        <f t="shared" si="430"/>
        <v>6E-10</v>
      </c>
      <c r="AB278" s="391">
        <f t="shared" si="431"/>
        <v>6.9999999999999996E-10</v>
      </c>
      <c r="AC278" s="391">
        <f t="shared" si="432"/>
        <v>8.0000000000000003E-10</v>
      </c>
      <c r="AD278" s="391">
        <f t="shared" si="433"/>
        <v>8.9999999999999999E-10</v>
      </c>
      <c r="AE278" s="391">
        <f t="shared" si="434"/>
        <v>0</v>
      </c>
      <c r="AF278" s="117">
        <f t="shared" si="435"/>
        <v>1E-10</v>
      </c>
      <c r="AG278" s="117">
        <f t="shared" si="436"/>
        <v>2.0000000000000001E-10</v>
      </c>
      <c r="AH278" s="117">
        <f t="shared" si="437"/>
        <v>3E-10</v>
      </c>
      <c r="AI278" s="117">
        <f t="shared" si="438"/>
        <v>0</v>
      </c>
      <c r="AJ278" s="117">
        <f t="shared" si="439"/>
        <v>5.0000000000000003E-10</v>
      </c>
      <c r="AK278" s="117">
        <f t="shared" si="440"/>
        <v>6E-10</v>
      </c>
      <c r="AL278" s="117">
        <f t="shared" si="441"/>
        <v>6.9999999999999996E-10</v>
      </c>
      <c r="AM278" s="117">
        <f t="shared" si="442"/>
        <v>8.0000000000000003E-10</v>
      </c>
      <c r="AN278" s="117">
        <f t="shared" si="443"/>
        <v>8.9999999999999999E-10</v>
      </c>
      <c r="AO278" s="117">
        <f t="shared" si="444"/>
        <v>0</v>
      </c>
      <c r="AP278" s="391" t="b">
        <f t="shared" si="446"/>
        <v>0</v>
      </c>
      <c r="AQ278" s="391" t="b">
        <f t="shared" si="447"/>
        <v>0</v>
      </c>
      <c r="AR278" s="391" t="b">
        <f t="shared" si="448"/>
        <v>0</v>
      </c>
      <c r="AS278" s="391"/>
      <c r="AT278" s="391" t="b">
        <f t="shared" si="449"/>
        <v>1</v>
      </c>
      <c r="AU278" s="391" t="b">
        <f t="shared" si="450"/>
        <v>1</v>
      </c>
      <c r="AV278" s="391" t="b">
        <f t="shared" si="451"/>
        <v>1</v>
      </c>
      <c r="AW278" s="391" t="b">
        <f t="shared" si="452"/>
        <v>1</v>
      </c>
      <c r="AX278" s="391" t="b">
        <f t="shared" si="453"/>
        <v>1</v>
      </c>
      <c r="AY278" s="391" t="b">
        <f t="shared" si="454"/>
        <v>0</v>
      </c>
      <c r="AZ278" s="384"/>
      <c r="BA278" s="334" t="str">
        <f>'Reference Score Calculation'!N255</f>
        <v>/</v>
      </c>
      <c r="BB278" s="334" t="str">
        <f>'Reference Score Calculation'!O255</f>
        <v>可包含 M1/2 或丙類科目 (較高者) 於計算內</v>
      </c>
      <c r="BC278" s="334"/>
      <c r="BD278" s="334"/>
      <c r="BE278" s="334"/>
      <c r="BF278" s="334"/>
      <c r="BG278" s="334" t="s">
        <v>324</v>
      </c>
      <c r="BH278" s="334"/>
      <c r="BI278" s="334"/>
      <c r="BJ278" s="334"/>
      <c r="BK278" s="334"/>
      <c r="BL278" s="334"/>
      <c r="BM278" s="334"/>
      <c r="BN278" s="334"/>
      <c r="BO278" s="334"/>
      <c r="BP278" s="334"/>
      <c r="BQ278" s="334"/>
      <c r="BR278" s="334"/>
    </row>
    <row r="279" spans="1:97" s="142" customFormat="1">
      <c r="A279" s="117"/>
      <c r="B279" s="384" t="str">
        <f>'Reference Score Calculation'!B256</f>
        <v>JS6042</v>
      </c>
      <c r="C279" s="389" t="str">
        <f>'Reference Score Calculation'!E256</f>
        <v>文學士(城市研究)</v>
      </c>
      <c r="D279" s="334"/>
      <c r="E279" s="390" t="str">
        <f>'Reference Score Calculation'!F256</f>
        <v>Best 5</v>
      </c>
      <c r="F279" s="404" t="str">
        <f>'Reference Score Calculation'!AC256</f>
        <v>Best 5</v>
      </c>
      <c r="G279" s="334" t="str">
        <f>入學要求!AB265</f>
        <v>v</v>
      </c>
      <c r="H279" s="334" t="str">
        <f>入學要求!AC265</f>
        <v>E</v>
      </c>
      <c r="I279" s="334" t="str">
        <f>入學要求!AD265</f>
        <v>NO</v>
      </c>
      <c r="J279" s="391">
        <f t="shared" si="425"/>
        <v>3.4999999999999999E-9</v>
      </c>
      <c r="K279" s="489">
        <v>1</v>
      </c>
      <c r="L279" s="489">
        <v>1</v>
      </c>
      <c r="M279" s="489">
        <v>1</v>
      </c>
      <c r="N279" s="489"/>
      <c r="O279" s="489">
        <v>1</v>
      </c>
      <c r="P279" s="489">
        <v>1</v>
      </c>
      <c r="Q279" s="489">
        <v>1</v>
      </c>
      <c r="R279" s="489">
        <v>1</v>
      </c>
      <c r="S279" s="489">
        <v>1</v>
      </c>
      <c r="T279" s="489">
        <v>1</v>
      </c>
      <c r="U279" s="391"/>
      <c r="V279" s="391">
        <f t="shared" si="426"/>
        <v>1E-10</v>
      </c>
      <c r="W279" s="391">
        <f t="shared" si="427"/>
        <v>2.0000000000000001E-10</v>
      </c>
      <c r="X279" s="391">
        <f t="shared" si="428"/>
        <v>3E-10</v>
      </c>
      <c r="Y279" s="391"/>
      <c r="Z279" s="391">
        <f t="shared" si="429"/>
        <v>5.0000000000000003E-10</v>
      </c>
      <c r="AA279" s="391">
        <f t="shared" si="430"/>
        <v>6E-10</v>
      </c>
      <c r="AB279" s="391">
        <f t="shared" si="431"/>
        <v>6.9999999999999996E-10</v>
      </c>
      <c r="AC279" s="391">
        <f t="shared" si="432"/>
        <v>8.0000000000000003E-10</v>
      </c>
      <c r="AD279" s="391">
        <f t="shared" si="433"/>
        <v>8.9999999999999999E-10</v>
      </c>
      <c r="AE279" s="391">
        <f t="shared" si="434"/>
        <v>0</v>
      </c>
      <c r="AF279" s="117">
        <f t="shared" si="435"/>
        <v>1E-10</v>
      </c>
      <c r="AG279" s="117">
        <f t="shared" si="436"/>
        <v>2.0000000000000001E-10</v>
      </c>
      <c r="AH279" s="117">
        <f t="shared" si="437"/>
        <v>3E-10</v>
      </c>
      <c r="AI279" s="117">
        <f t="shared" si="438"/>
        <v>0</v>
      </c>
      <c r="AJ279" s="117">
        <f t="shared" si="439"/>
        <v>5.0000000000000003E-10</v>
      </c>
      <c r="AK279" s="117">
        <f t="shared" si="440"/>
        <v>6E-10</v>
      </c>
      <c r="AL279" s="117">
        <f t="shared" si="441"/>
        <v>6.9999999999999996E-10</v>
      </c>
      <c r="AM279" s="117">
        <f t="shared" si="442"/>
        <v>8.0000000000000003E-10</v>
      </c>
      <c r="AN279" s="117">
        <f t="shared" si="443"/>
        <v>8.9999999999999999E-10</v>
      </c>
      <c r="AO279" s="117">
        <f t="shared" si="444"/>
        <v>0</v>
      </c>
      <c r="AP279" s="391" t="b">
        <f t="shared" si="446"/>
        <v>0</v>
      </c>
      <c r="AQ279" s="391" t="b">
        <f t="shared" si="447"/>
        <v>0</v>
      </c>
      <c r="AR279" s="391" t="b">
        <f t="shared" si="448"/>
        <v>0</v>
      </c>
      <c r="AS279" s="391"/>
      <c r="AT279" s="391" t="b">
        <f t="shared" si="449"/>
        <v>1</v>
      </c>
      <c r="AU279" s="391" t="b">
        <f t="shared" si="450"/>
        <v>1</v>
      </c>
      <c r="AV279" s="391" t="b">
        <f t="shared" si="451"/>
        <v>1</v>
      </c>
      <c r="AW279" s="391" t="b">
        <f t="shared" si="452"/>
        <v>1</v>
      </c>
      <c r="AX279" s="391" t="b">
        <f t="shared" si="453"/>
        <v>1</v>
      </c>
      <c r="AY279" s="391" t="b">
        <f t="shared" si="454"/>
        <v>0</v>
      </c>
      <c r="AZ279" s="384"/>
      <c r="BA279" s="334" t="str">
        <f>'Reference Score Calculation'!N256</f>
        <v>/</v>
      </c>
      <c r="BB279" s="334" t="str">
        <f>'Reference Score Calculation'!O256</f>
        <v>可包含 M1/2 或丙類科目 (較高者) 於計算內</v>
      </c>
      <c r="BC279" s="334"/>
      <c r="BD279" s="334"/>
      <c r="BE279" s="334"/>
      <c r="BF279" s="334"/>
      <c r="BG279" s="334" t="s">
        <v>324</v>
      </c>
      <c r="BH279" s="334"/>
      <c r="BI279" s="334"/>
      <c r="BJ279" s="334"/>
      <c r="BK279" s="334"/>
      <c r="BL279" s="334"/>
      <c r="BM279" s="334"/>
      <c r="BN279" s="334"/>
      <c r="BO279" s="334"/>
      <c r="BP279" s="334"/>
      <c r="BQ279" s="334"/>
      <c r="BR279" s="334"/>
      <c r="BS279" s="123" t="s">
        <v>231</v>
      </c>
      <c r="BT279" s="121" t="s">
        <v>270</v>
      </c>
      <c r="BU279" s="102"/>
      <c r="BV279" s="115"/>
      <c r="BW279" s="115"/>
      <c r="BX279" s="115"/>
      <c r="BY279" s="115"/>
      <c r="BZ279" s="115"/>
      <c r="CA279" s="115"/>
      <c r="CB279" s="115"/>
      <c r="CC279" s="115"/>
      <c r="CD279" s="115"/>
      <c r="CE279" s="115"/>
      <c r="CF279" s="115"/>
      <c r="CG279" s="115"/>
      <c r="CH279" s="115"/>
      <c r="CI279" s="115"/>
      <c r="CJ279" s="115"/>
      <c r="CK279" s="115"/>
      <c r="CL279" s="115"/>
      <c r="CM279" s="115"/>
      <c r="CN279" s="115"/>
      <c r="CO279" s="115"/>
      <c r="CP279" s="115"/>
      <c r="CQ279" s="115"/>
      <c r="CR279" s="115"/>
      <c r="CS279" s="115"/>
    </row>
    <row r="280" spans="1:97" s="384" customFormat="1">
      <c r="A280" s="117"/>
      <c r="B280" s="384" t="str">
        <f>'Reference Score Calculation'!B257</f>
        <v>JS6054</v>
      </c>
      <c r="C280" s="389" t="str">
        <f>'Reference Score Calculation'!E257</f>
        <v>文學士</v>
      </c>
      <c r="D280" s="334"/>
      <c r="E280" s="390" t="str">
        <f>'Reference Score Calculation'!F257</f>
        <v>Best 5</v>
      </c>
      <c r="F280" s="404" t="str">
        <f>'Reference Score Calculation'!AC257</f>
        <v>Best 5</v>
      </c>
      <c r="G280" s="334" t="str">
        <f>入學要求!AB266</f>
        <v>v</v>
      </c>
      <c r="H280" s="334" t="str">
        <f>入學要求!AC266</f>
        <v>E</v>
      </c>
      <c r="I280" s="334" t="str">
        <f>入學要求!AD266</f>
        <v>NO</v>
      </c>
      <c r="J280" s="391">
        <f t="shared" si="425"/>
        <v>3.2999999999999998E-9</v>
      </c>
      <c r="K280" s="489">
        <v>1.5</v>
      </c>
      <c r="L280" s="489">
        <v>1.5</v>
      </c>
      <c r="M280" s="489">
        <v>1</v>
      </c>
      <c r="N280" s="489"/>
      <c r="O280" s="489">
        <v>1</v>
      </c>
      <c r="P280" s="489">
        <v>1</v>
      </c>
      <c r="Q280" s="489">
        <v>1</v>
      </c>
      <c r="R280" s="489">
        <v>1</v>
      </c>
      <c r="S280" s="489">
        <v>1</v>
      </c>
      <c r="T280" s="489">
        <v>1</v>
      </c>
      <c r="U280" s="391"/>
      <c r="V280" s="391">
        <f t="shared" si="426"/>
        <v>1.5E-10</v>
      </c>
      <c r="W280" s="391">
        <f t="shared" si="427"/>
        <v>3E-10</v>
      </c>
      <c r="X280" s="391">
        <f t="shared" si="428"/>
        <v>3E-10</v>
      </c>
      <c r="Y280" s="391"/>
      <c r="Z280" s="391">
        <f t="shared" si="429"/>
        <v>5.0000000000000003E-10</v>
      </c>
      <c r="AA280" s="391">
        <f t="shared" si="430"/>
        <v>6E-10</v>
      </c>
      <c r="AB280" s="391">
        <f t="shared" si="431"/>
        <v>6.9999999999999996E-10</v>
      </c>
      <c r="AC280" s="391">
        <f t="shared" si="432"/>
        <v>8.0000000000000003E-10</v>
      </c>
      <c r="AD280" s="391">
        <f t="shared" si="433"/>
        <v>8.9999999999999999E-10</v>
      </c>
      <c r="AE280" s="391">
        <f t="shared" si="434"/>
        <v>0</v>
      </c>
      <c r="AF280" s="117">
        <f t="shared" si="435"/>
        <v>1.5E-10</v>
      </c>
      <c r="AG280" s="117">
        <f t="shared" si="436"/>
        <v>99.000000000300005</v>
      </c>
      <c r="AH280" s="117">
        <f t="shared" si="437"/>
        <v>3E-10</v>
      </c>
      <c r="AI280" s="117">
        <f t="shared" si="438"/>
        <v>0</v>
      </c>
      <c r="AJ280" s="117">
        <f t="shared" si="439"/>
        <v>5.0000000000000003E-10</v>
      </c>
      <c r="AK280" s="117">
        <f t="shared" si="440"/>
        <v>6E-10</v>
      </c>
      <c r="AL280" s="117">
        <f t="shared" si="441"/>
        <v>6.9999999999999996E-10</v>
      </c>
      <c r="AM280" s="117">
        <f t="shared" si="442"/>
        <v>8.0000000000000003E-10</v>
      </c>
      <c r="AN280" s="117">
        <f t="shared" si="443"/>
        <v>8.9999999999999999E-10</v>
      </c>
      <c r="AO280" s="117">
        <f t="shared" si="444"/>
        <v>0</v>
      </c>
      <c r="AP280" s="391" t="b">
        <f t="shared" si="446"/>
        <v>0</v>
      </c>
      <c r="AQ280" s="391" t="b">
        <f t="shared" si="447"/>
        <v>1</v>
      </c>
      <c r="AR280" s="391" t="b">
        <f t="shared" si="448"/>
        <v>0</v>
      </c>
      <c r="AS280" s="391"/>
      <c r="AT280" s="391" t="b">
        <f t="shared" si="449"/>
        <v>0</v>
      </c>
      <c r="AU280" s="391" t="b">
        <f t="shared" si="450"/>
        <v>1</v>
      </c>
      <c r="AV280" s="391" t="b">
        <f t="shared" si="451"/>
        <v>1</v>
      </c>
      <c r="AW280" s="391" t="b">
        <f t="shared" si="452"/>
        <v>1</v>
      </c>
      <c r="AX280" s="391" t="b">
        <f t="shared" si="453"/>
        <v>1</v>
      </c>
      <c r="AY280" s="391" t="b">
        <f t="shared" si="454"/>
        <v>0</v>
      </c>
      <c r="BA280" s="334" t="str">
        <f>'Reference Score Calculation'!N257</f>
        <v>最佳五科必須包括︰英文</v>
      </c>
      <c r="BB280" s="334" t="str">
        <f>'Reference Score Calculation'!O257</f>
        <v>可包含 M1/2 或丙類科目 (較高者) 於計算內</v>
      </c>
      <c r="BC280" s="334"/>
      <c r="BD280" s="334"/>
      <c r="BE280" s="334"/>
      <c r="BF280" s="334"/>
      <c r="BG280" s="334" t="s">
        <v>324</v>
      </c>
      <c r="BH280" s="334"/>
      <c r="BI280" s="334" t="b">
        <v>1</v>
      </c>
      <c r="BJ280" s="334"/>
      <c r="BK280" s="334"/>
      <c r="BL280" s="334"/>
      <c r="BM280" s="334"/>
      <c r="BN280" s="334"/>
      <c r="BO280" s="334"/>
      <c r="BP280" s="334"/>
      <c r="BQ280" s="334"/>
      <c r="BR280" s="334"/>
      <c r="BS280" s="392"/>
      <c r="BT280" s="393"/>
      <c r="BU280" s="394"/>
      <c r="BV280" s="392"/>
      <c r="BW280" s="392"/>
      <c r="BX280" s="392"/>
      <c r="BY280" s="392"/>
      <c r="BZ280" s="385"/>
      <c r="CA280" s="385"/>
      <c r="CB280" s="394"/>
      <c r="CC280" s="385"/>
      <c r="CD280" s="385"/>
      <c r="CE280" s="395"/>
      <c r="CF280" s="394"/>
      <c r="CG280" s="392"/>
      <c r="CH280" s="392"/>
      <c r="CI280" s="392"/>
      <c r="CJ280" s="392"/>
      <c r="CK280" s="392"/>
      <c r="CL280" s="392"/>
      <c r="CM280" s="392"/>
      <c r="CN280" s="392"/>
      <c r="CO280" s="392"/>
      <c r="CP280" s="392"/>
      <c r="CQ280" s="392"/>
      <c r="CR280" s="392"/>
      <c r="CS280" s="392"/>
    </row>
    <row r="281" spans="1:97" s="384" customFormat="1">
      <c r="A281" s="117"/>
      <c r="B281" s="384" t="str">
        <f>'Reference Score Calculation'!B258</f>
        <v>JS6274</v>
      </c>
      <c r="C281" s="389" t="str">
        <f>'Reference Score Calculation'!E258</f>
        <v>文學士（全球創意產業）</v>
      </c>
      <c r="D281" s="334"/>
      <c r="E281" s="390" t="str">
        <f>'Reference Score Calculation'!F258</f>
        <v>25年新科目</v>
      </c>
      <c r="F281" s="404" t="str">
        <f>'Reference Score Calculation'!AC258</f>
        <v>Best 5</v>
      </c>
      <c r="G281" s="334" t="str">
        <f>入學要求!AB267</f>
        <v>v</v>
      </c>
      <c r="H281" s="334" t="str">
        <f>入學要求!AC267</f>
        <v>E</v>
      </c>
      <c r="I281" s="334" t="str">
        <f>入學要求!AD267</f>
        <v>NO</v>
      </c>
      <c r="J281" s="391">
        <f t="shared" si="425"/>
        <v>3.4999999999999999E-9</v>
      </c>
      <c r="K281" s="496">
        <v>1</v>
      </c>
      <c r="L281" s="496">
        <v>2</v>
      </c>
      <c r="M281" s="496">
        <v>1</v>
      </c>
      <c r="N281" s="496"/>
      <c r="O281" s="496">
        <v>1</v>
      </c>
      <c r="P281" s="496">
        <v>1</v>
      </c>
      <c r="Q281" s="496">
        <v>1</v>
      </c>
      <c r="R281" s="496">
        <v>1</v>
      </c>
      <c r="S281" s="496">
        <v>1</v>
      </c>
      <c r="T281" s="496">
        <v>1</v>
      </c>
      <c r="U281" s="391"/>
      <c r="V281" s="391">
        <f t="shared" si="426"/>
        <v>1E-10</v>
      </c>
      <c r="W281" s="391">
        <f t="shared" si="427"/>
        <v>4.0000000000000001E-10</v>
      </c>
      <c r="X281" s="391">
        <f t="shared" si="428"/>
        <v>3E-10</v>
      </c>
      <c r="Y281" s="391"/>
      <c r="Z281" s="391">
        <f t="shared" si="429"/>
        <v>5.0000000000000003E-10</v>
      </c>
      <c r="AA281" s="391">
        <f t="shared" si="430"/>
        <v>6E-10</v>
      </c>
      <c r="AB281" s="391">
        <f t="shared" si="431"/>
        <v>6.9999999999999996E-10</v>
      </c>
      <c r="AC281" s="391">
        <f t="shared" si="432"/>
        <v>8.0000000000000003E-10</v>
      </c>
      <c r="AD281" s="391">
        <f t="shared" si="433"/>
        <v>8.9999999999999999E-10</v>
      </c>
      <c r="AE281" s="391"/>
      <c r="AF281" s="117">
        <f t="shared" si="435"/>
        <v>1E-10</v>
      </c>
      <c r="AG281" s="117">
        <f t="shared" si="436"/>
        <v>4.0000000000000001E-10</v>
      </c>
      <c r="AH281" s="117">
        <f t="shared" si="437"/>
        <v>3E-10</v>
      </c>
      <c r="AI281" s="117">
        <f t="shared" si="438"/>
        <v>0</v>
      </c>
      <c r="AJ281" s="117">
        <f t="shared" si="439"/>
        <v>5.0000000000000003E-10</v>
      </c>
      <c r="AK281" s="117">
        <f t="shared" si="440"/>
        <v>6E-10</v>
      </c>
      <c r="AL281" s="117">
        <f t="shared" si="441"/>
        <v>6.9999999999999996E-10</v>
      </c>
      <c r="AM281" s="117">
        <f t="shared" si="442"/>
        <v>8.0000000000000003E-10</v>
      </c>
      <c r="AN281" s="117">
        <f t="shared" si="443"/>
        <v>8.9999999999999999E-10</v>
      </c>
      <c r="AO281" s="117">
        <f t="shared" si="444"/>
        <v>0</v>
      </c>
      <c r="AP281" s="495" t="b">
        <f>IF($F281="Best 5", IF(AF281&gt;LARGE(($AF281:$AO281),6),TRUE), IF($F281="Best 6",IF(AF281&gt;LARGE(($AF281:$AO281),7),TRUE)))</f>
        <v>0</v>
      </c>
      <c r="AQ281" s="495" t="b">
        <f t="shared" ref="AQ281" si="455">IF($F281="Best 5", IF(AG281&gt;LARGE(($AF281:$AO281),6),TRUE), IF($F281="Best 6",IF(AG281&gt;LARGE(($AF281:$AO281),7),TRUE)))</f>
        <v>0</v>
      </c>
      <c r="AR281" s="495" t="b">
        <f t="shared" ref="AR281" si="456">IF($F281="Best 5", IF(AH281&gt;LARGE(($AF281:$AO281),6),TRUE), IF($F281="Best 6",IF(AH281&gt;LARGE(($AF281:$AO281),7),TRUE)))</f>
        <v>0</v>
      </c>
      <c r="AS281" s="495"/>
      <c r="AT281" s="495" t="b">
        <f t="shared" ref="AT281" si="457">IF($F281="Best 5", IF(AJ281&gt;LARGE(($AF281:$AO281),6),TRUE), IF($F281="Best 6",IF(AJ281&gt;LARGE(($AF281:$AO281),7),TRUE)))</f>
        <v>1</v>
      </c>
      <c r="AU281" s="495" t="b">
        <f t="shared" ref="AU281" si="458">IF($F281="Best 5", IF(AK281&gt;LARGE(($AF281:$AO281),6),TRUE), IF($F281="Best 6",IF(AK281&gt;LARGE(($AF281:$AO281),7),TRUE)))</f>
        <v>1</v>
      </c>
      <c r="AV281" s="495" t="b">
        <f t="shared" ref="AV281" si="459">IF($F281="Best 5", IF(AL281&gt;LARGE(($AF281:$AO281),6),TRUE), IF($F281="Best 6",IF(AL281&gt;LARGE(($AF281:$AO281),7),TRUE)))</f>
        <v>1</v>
      </c>
      <c r="AW281" s="495" t="b">
        <f t="shared" ref="AW281" si="460">IF($F281="Best 5", IF(AM281&gt;LARGE(($AF281:$AO281),6),TRUE), IF($F281="Best 6",IF(AM281&gt;LARGE(($AF281:$AO281),7),TRUE)))</f>
        <v>1</v>
      </c>
      <c r="AX281" s="495" t="b">
        <f t="shared" ref="AX281" si="461">IF($F281="Best 5", IF(AN281&gt;LARGE(($AF281:$AO281),6),TRUE), IF($F281="Best 6",IF(AN281&gt;LARGE(($AF281:$AO281),7),TRUE)))</f>
        <v>1</v>
      </c>
      <c r="AY281" s="495" t="b">
        <f t="shared" ref="AY281" si="462">IF($F281="Best 5", IF(AO281&gt;LARGE(($AF281:$AO281),6),TRUE), IF($F281="Best 6",IF(AO281&gt;LARGE(($AF281:$AO281),7),TRUE)))</f>
        <v>0</v>
      </c>
      <c r="BA281" s="334"/>
      <c r="BB281" s="334"/>
      <c r="BC281" s="334"/>
      <c r="BD281" s="334"/>
      <c r="BE281" s="334"/>
      <c r="BF281" s="334"/>
      <c r="BG281" s="334" t="s">
        <v>324</v>
      </c>
      <c r="BH281" s="334"/>
      <c r="BI281" s="334"/>
      <c r="BJ281" s="334"/>
      <c r="BK281" s="334"/>
      <c r="BL281" s="334"/>
      <c r="BM281" s="334"/>
      <c r="BN281" s="334"/>
      <c r="BO281" s="334"/>
      <c r="BP281" s="334"/>
      <c r="BQ281" s="334"/>
      <c r="BR281" s="334"/>
      <c r="BS281" s="385"/>
      <c r="BT281" s="393" t="str">
        <f>P$1</f>
        <v>請選擇第一選修科</v>
      </c>
      <c r="BU281" s="393" t="str">
        <f>Q$1</f>
        <v>請選擇第二選修科</v>
      </c>
      <c r="BV281" s="393" t="str">
        <f>R$1</f>
        <v>請選擇第三選修科</v>
      </c>
      <c r="BW281" s="393" t="str">
        <f>S$1</f>
        <v>請選擇第四選修科</v>
      </c>
      <c r="BX281" s="392"/>
      <c r="BY281" s="392"/>
      <c r="BZ281" s="396" t="s">
        <v>278</v>
      </c>
      <c r="CA281" s="385"/>
      <c r="CB281" s="385"/>
      <c r="CC281" s="393" t="str">
        <f>K$1</f>
        <v>中國語文</v>
      </c>
      <c r="CD281" s="393" t="str">
        <f>L$1</f>
        <v>英國語文</v>
      </c>
      <c r="CE281" s="393" t="str">
        <f>M$1</f>
        <v>數學</v>
      </c>
      <c r="CF281" s="394"/>
      <c r="CG281" s="393" t="str">
        <f>O$1</f>
        <v>數學延伸</v>
      </c>
      <c r="CH281" s="393" t="str">
        <f>P$1</f>
        <v>請選擇第一選修科</v>
      </c>
      <c r="CI281" s="393" t="str">
        <f>Q$1</f>
        <v>請選擇第二選修科</v>
      </c>
      <c r="CJ281" s="393" t="str">
        <f>R$1</f>
        <v>請選擇第三選修科</v>
      </c>
      <c r="CK281" s="393" t="str">
        <f>S$1</f>
        <v>請選擇第四選修科</v>
      </c>
      <c r="CL281" s="392"/>
      <c r="CM281" s="392"/>
      <c r="CN281" s="392"/>
      <c r="CO281" s="392"/>
      <c r="CP281" s="392"/>
      <c r="CQ281" s="392"/>
      <c r="CR281" s="392"/>
      <c r="CS281" s="392"/>
    </row>
    <row r="282" spans="1:97" s="384" customFormat="1">
      <c r="A282" s="117"/>
      <c r="B282" s="384" t="str">
        <f>'Reference Score Calculation'!B259</f>
        <v>JS6286</v>
      </c>
      <c r="C282" s="389" t="str">
        <f>'Reference Score Calculation'!E259</f>
        <v>文學士(人文及數碼科技)</v>
      </c>
      <c r="D282" s="334"/>
      <c r="E282" s="390" t="str">
        <f>'Reference Score Calculation'!F259</f>
        <v>Best 5</v>
      </c>
      <c r="F282" s="404" t="str">
        <f>'Reference Score Calculation'!AC259</f>
        <v>Best 5</v>
      </c>
      <c r="G282" s="334" t="str">
        <f>入學要求!AB268</f>
        <v>v</v>
      </c>
      <c r="H282" s="334" t="str">
        <f>入學要求!AC268</f>
        <v>E</v>
      </c>
      <c r="I282" s="334" t="str">
        <f>入學要求!AD268</f>
        <v>NO</v>
      </c>
      <c r="J282" s="391">
        <f t="shared" si="425"/>
        <v>3.2999999999999998E-9</v>
      </c>
      <c r="K282" s="489">
        <v>1.5</v>
      </c>
      <c r="L282" s="489">
        <v>1.5</v>
      </c>
      <c r="M282" s="489">
        <v>1</v>
      </c>
      <c r="N282" s="489"/>
      <c r="O282" s="489">
        <v>1</v>
      </c>
      <c r="P282" s="489">
        <v>1</v>
      </c>
      <c r="Q282" s="489">
        <v>1</v>
      </c>
      <c r="R282" s="489">
        <v>1</v>
      </c>
      <c r="S282" s="489">
        <v>1</v>
      </c>
      <c r="T282" s="489">
        <v>1</v>
      </c>
      <c r="U282" s="391"/>
      <c r="V282" s="391">
        <f t="shared" si="426"/>
        <v>1.5E-10</v>
      </c>
      <c r="W282" s="391">
        <f t="shared" si="427"/>
        <v>3E-10</v>
      </c>
      <c r="X282" s="391">
        <f t="shared" si="428"/>
        <v>3E-10</v>
      </c>
      <c r="Y282" s="391"/>
      <c r="Z282" s="391">
        <f t="shared" si="429"/>
        <v>5.0000000000000003E-10</v>
      </c>
      <c r="AA282" s="391">
        <f t="shared" si="430"/>
        <v>6E-10</v>
      </c>
      <c r="AB282" s="391">
        <f t="shared" si="431"/>
        <v>6.9999999999999996E-10</v>
      </c>
      <c r="AC282" s="391">
        <f t="shared" si="432"/>
        <v>8.0000000000000003E-10</v>
      </c>
      <c r="AD282" s="391">
        <f t="shared" si="433"/>
        <v>8.9999999999999999E-10</v>
      </c>
      <c r="AE282" s="391">
        <f t="shared" si="434"/>
        <v>0</v>
      </c>
      <c r="AF282" s="117">
        <f t="shared" si="435"/>
        <v>1.5E-10</v>
      </c>
      <c r="AG282" s="117">
        <f t="shared" si="436"/>
        <v>99.000000000300005</v>
      </c>
      <c r="AH282" s="117">
        <f t="shared" si="437"/>
        <v>3E-10</v>
      </c>
      <c r="AI282" s="117">
        <f t="shared" si="438"/>
        <v>0</v>
      </c>
      <c r="AJ282" s="117">
        <f t="shared" si="439"/>
        <v>5.0000000000000003E-10</v>
      </c>
      <c r="AK282" s="117">
        <f t="shared" si="440"/>
        <v>6E-10</v>
      </c>
      <c r="AL282" s="117">
        <f t="shared" si="441"/>
        <v>6.9999999999999996E-10</v>
      </c>
      <c r="AM282" s="117">
        <f t="shared" si="442"/>
        <v>8.0000000000000003E-10</v>
      </c>
      <c r="AN282" s="117">
        <f t="shared" si="443"/>
        <v>8.9999999999999999E-10</v>
      </c>
      <c r="AO282" s="117">
        <f t="shared" si="444"/>
        <v>0</v>
      </c>
      <c r="AP282" s="391" t="b">
        <f t="shared" si="446"/>
        <v>0</v>
      </c>
      <c r="AQ282" s="391" t="b">
        <f t="shared" si="447"/>
        <v>1</v>
      </c>
      <c r="AR282" s="391" t="b">
        <f t="shared" si="448"/>
        <v>0</v>
      </c>
      <c r="AS282" s="391"/>
      <c r="AT282" s="391" t="b">
        <f t="shared" si="449"/>
        <v>0</v>
      </c>
      <c r="AU282" s="391" t="b">
        <f t="shared" si="450"/>
        <v>1</v>
      </c>
      <c r="AV282" s="391" t="b">
        <f t="shared" si="451"/>
        <v>1</v>
      </c>
      <c r="AW282" s="391" t="b">
        <f t="shared" si="452"/>
        <v>1</v>
      </c>
      <c r="AX282" s="391" t="b">
        <f t="shared" si="453"/>
        <v>1</v>
      </c>
      <c r="AY282" s="391" t="b">
        <f t="shared" si="454"/>
        <v>0</v>
      </c>
      <c r="BA282" s="334" t="str">
        <f>'Reference Score Calculation'!N259</f>
        <v>最佳五科必須包括︰英文</v>
      </c>
      <c r="BB282" s="334" t="str">
        <f>'Reference Score Calculation'!O259</f>
        <v>可包含 M1/2 或丙類科目 (較高者) 於計算內</v>
      </c>
      <c r="BC282" s="334"/>
      <c r="BD282" s="334"/>
      <c r="BE282" s="334"/>
      <c r="BF282" s="334"/>
      <c r="BG282" s="334" t="s">
        <v>324</v>
      </c>
      <c r="BH282" s="334"/>
      <c r="BI282" s="334" t="b">
        <v>1</v>
      </c>
      <c r="BJ282" s="334"/>
      <c r="BK282" s="334"/>
      <c r="BL282" s="334"/>
      <c r="BM282" s="334"/>
      <c r="BN282" s="334"/>
      <c r="BO282" s="334"/>
      <c r="BP282" s="334"/>
      <c r="BQ282" s="334"/>
      <c r="BR282" s="334"/>
      <c r="BS282" s="385" t="s">
        <v>507</v>
      </c>
      <c r="BT282" s="390">
        <f>IF(OR(P$1="化學",P$1="生物"),P$8,0)</f>
        <v>0</v>
      </c>
      <c r="BU282" s="390">
        <f>IF(OR(Q$1="化學",Q$1="生物"),Q$8,0)</f>
        <v>0</v>
      </c>
      <c r="BV282" s="390">
        <f>IF(OR(R$1="化學",R$1="生物"),R$8,0)</f>
        <v>0</v>
      </c>
      <c r="BW282" s="390">
        <f>IF(OR(S$1="化學",S$1="生物"),S$8,0)</f>
        <v>0</v>
      </c>
      <c r="BX282" s="392"/>
      <c r="BY282" s="392"/>
      <c r="BZ282" s="384" t="str">
        <f>INDEX(BT281:BW281,MATCH(LARGE(BT282:BW282,1),BT282:BW282,0))</f>
        <v>請選擇第一選修科</v>
      </c>
      <c r="CA282" s="384">
        <f>LARGE((BT282:BW282),1)</f>
        <v>0</v>
      </c>
      <c r="CB282" s="392"/>
      <c r="CC282" s="390">
        <f>IF(CC281=$BZ$282,0,K$8)</f>
        <v>1E-10</v>
      </c>
      <c r="CD282" s="390">
        <f>IF(CD281=$BZ$282,0,L$8)</f>
        <v>2.0000000000000001E-10</v>
      </c>
      <c r="CE282" s="390">
        <f>IF(CE281=$BZ$282,0,M$8)</f>
        <v>3E-10</v>
      </c>
      <c r="CF282" s="394"/>
      <c r="CG282" s="390">
        <f>IF(CG281=$BZ$282,0,O$8)</f>
        <v>5.0000000000000003E-10</v>
      </c>
      <c r="CH282" s="390">
        <f>IF(CH281=$BZ$282,0,P$8)</f>
        <v>0</v>
      </c>
      <c r="CI282" s="390">
        <f>IF(CI281=$BZ$282,0,Q$8)</f>
        <v>6.9999999999999996E-10</v>
      </c>
      <c r="CJ282" s="390">
        <f>IF(CJ281=$BZ$282,0,R$8)</f>
        <v>8.0000000000000003E-10</v>
      </c>
      <c r="CK282" s="390">
        <f>IF(CK281=$BZ$282,0,S$8)</f>
        <v>8.9999999999999999E-10</v>
      </c>
      <c r="CL282" s="392"/>
      <c r="CM282" s="392"/>
      <c r="CN282" s="392"/>
      <c r="CO282" s="388"/>
      <c r="CP282" s="388"/>
      <c r="CQ282" s="388"/>
      <c r="CR282" s="392"/>
      <c r="CS282" s="392"/>
    </row>
    <row r="283" spans="1:97" s="384" customFormat="1">
      <c r="A283" s="117"/>
      <c r="B283" s="384" t="str">
        <f>'Reference Score Calculation'!B260</f>
        <v>JS6298</v>
      </c>
      <c r="C283" s="389" t="str">
        <f>'Reference Score Calculation'!E260</f>
        <v>文學士及工學學士(人工智能及數據科學)</v>
      </c>
      <c r="D283" s="334"/>
      <c r="E283" s="390" t="str">
        <f>'Reference Score Calculation'!F260</f>
        <v>25年新科目</v>
      </c>
      <c r="F283" s="404" t="str">
        <f>'Reference Score Calculation'!AC260</f>
        <v>Best 5</v>
      </c>
      <c r="G283" s="334" t="str">
        <f>入學要求!AB269</f>
        <v>v</v>
      </c>
      <c r="H283" s="334" t="str">
        <f>入學要求!AC269</f>
        <v>E</v>
      </c>
      <c r="I283" s="334" t="str">
        <f>入學要求!AD269</f>
        <v>NO</v>
      </c>
      <c r="J283" s="391">
        <f t="shared" si="425"/>
        <v>4.0499999999999999E-9</v>
      </c>
      <c r="K283" s="496">
        <v>1</v>
      </c>
      <c r="L283" s="496">
        <v>2</v>
      </c>
      <c r="M283" s="496">
        <v>1.5</v>
      </c>
      <c r="N283" s="496"/>
      <c r="O283" s="496">
        <f>IF(OR(O$1=$BZ$302,O$1=$CB$302),1.5,1)</f>
        <v>1.5</v>
      </c>
      <c r="P283" s="496">
        <f>IF(OR(P$1=$BZ$302,P$1=$CB$302),1.5,1)</f>
        <v>1.5</v>
      </c>
      <c r="Q283" s="496">
        <f>IF(OR(Q$1=$BZ$302,Q$1=$CB$302),1.5,1)</f>
        <v>1</v>
      </c>
      <c r="R283" s="496">
        <f>IF(OR(R$1=$BZ$302,R$1=$CB$302),1.5,1)</f>
        <v>1</v>
      </c>
      <c r="S283" s="496">
        <f>IF(OR(S$1=$BZ$302,S$1=$CB$302),1.5,1)</f>
        <v>1</v>
      </c>
      <c r="T283" s="496">
        <v>1</v>
      </c>
      <c r="U283" s="391"/>
      <c r="V283" s="391">
        <f t="shared" si="426"/>
        <v>1E-10</v>
      </c>
      <c r="W283" s="391">
        <f t="shared" si="427"/>
        <v>4.0000000000000001E-10</v>
      </c>
      <c r="X283" s="391">
        <f t="shared" si="428"/>
        <v>4.5E-10</v>
      </c>
      <c r="Y283" s="391"/>
      <c r="Z283" s="391">
        <f t="shared" ref="Z283" si="463">IF($O$8&gt;$T$8,O$8*O283,0)</f>
        <v>7.500000000000001E-10</v>
      </c>
      <c r="AA283" s="391">
        <f t="shared" ref="AA283" si="464">P$8*P283</f>
        <v>8.9999999999999999E-10</v>
      </c>
      <c r="AB283" s="391">
        <f t="shared" ref="AB283" si="465">Q$8*Q283</f>
        <v>6.9999999999999996E-10</v>
      </c>
      <c r="AC283" s="391">
        <f t="shared" ref="AC283" si="466">R$8*R283</f>
        <v>8.0000000000000003E-10</v>
      </c>
      <c r="AD283" s="391">
        <f t="shared" ref="AD283" si="467">S$8*S283</f>
        <v>8.9999999999999999E-10</v>
      </c>
      <c r="AE283" s="391"/>
      <c r="AF283" s="117">
        <f t="shared" si="435"/>
        <v>1E-10</v>
      </c>
      <c r="AG283" s="117">
        <f t="shared" si="436"/>
        <v>4.0000000000000001E-10</v>
      </c>
      <c r="AH283" s="117">
        <f t="shared" si="437"/>
        <v>4.5E-10</v>
      </c>
      <c r="AI283" s="117">
        <f t="shared" si="438"/>
        <v>0</v>
      </c>
      <c r="AJ283" s="117">
        <f t="shared" si="439"/>
        <v>7.500000000000001E-10</v>
      </c>
      <c r="AK283" s="117">
        <f t="shared" si="440"/>
        <v>8.9999999999999999E-10</v>
      </c>
      <c r="AL283" s="117">
        <f t="shared" si="441"/>
        <v>6.9999999999999996E-10</v>
      </c>
      <c r="AM283" s="117">
        <f t="shared" si="442"/>
        <v>8.0000000000000003E-10</v>
      </c>
      <c r="AN283" s="117">
        <f t="shared" si="443"/>
        <v>8.9999999999999999E-10</v>
      </c>
      <c r="AO283" s="117">
        <f t="shared" si="444"/>
        <v>0</v>
      </c>
      <c r="AP283" s="495" t="b">
        <f>IF($F283="Best 5", IF(AF283&gt;LARGE(($AF283:$AO283),6),TRUE), IF($F283="Best 6",IF(AF283&gt;LARGE(($AF283:$AO283),7),TRUE)))</f>
        <v>0</v>
      </c>
      <c r="AQ283" s="495" t="b">
        <f t="shared" ref="AQ283" si="468">IF($F283="Best 5", IF(AG283&gt;LARGE(($AF283:$AO283),6),TRUE), IF($F283="Best 6",IF(AG283&gt;LARGE(($AF283:$AO283),7),TRUE)))</f>
        <v>0</v>
      </c>
      <c r="AR283" s="495" t="b">
        <f t="shared" ref="AR283" si="469">IF($F283="Best 5", IF(AH283&gt;LARGE(($AF283:$AO283),6),TRUE), IF($F283="Best 6",IF(AH283&gt;LARGE(($AF283:$AO283),7),TRUE)))</f>
        <v>0</v>
      </c>
      <c r="AS283" s="495"/>
      <c r="AT283" s="495" t="b">
        <f t="shared" ref="AT283" si="470">IF($F283="Best 5", IF(AJ283&gt;LARGE(($AF283:$AO283),6),TRUE), IF($F283="Best 6",IF(AJ283&gt;LARGE(($AF283:$AO283),7),TRUE)))</f>
        <v>1</v>
      </c>
      <c r="AU283" s="495" t="b">
        <f t="shared" ref="AU283" si="471">IF($F283="Best 5", IF(AK283&gt;LARGE(($AF283:$AO283),6),TRUE), IF($F283="Best 6",IF(AK283&gt;LARGE(($AF283:$AO283),7),TRUE)))</f>
        <v>1</v>
      </c>
      <c r="AV283" s="495" t="b">
        <f t="shared" ref="AV283" si="472">IF($F283="Best 5", IF(AL283&gt;LARGE(($AF283:$AO283),6),TRUE), IF($F283="Best 6",IF(AL283&gt;LARGE(($AF283:$AO283),7),TRUE)))</f>
        <v>1</v>
      </c>
      <c r="AW283" s="495" t="b">
        <f t="shared" ref="AW283" si="473">IF($F283="Best 5", IF(AM283&gt;LARGE(($AF283:$AO283),6),TRUE), IF($F283="Best 6",IF(AM283&gt;LARGE(($AF283:$AO283),7),TRUE)))</f>
        <v>1</v>
      </c>
      <c r="AX283" s="495" t="b">
        <f t="shared" ref="AX283" si="474">IF($F283="Best 5", IF(AN283&gt;LARGE(($AF283:$AO283),6),TRUE), IF($F283="Best 6",IF(AN283&gt;LARGE(($AF283:$AO283),7),TRUE)))</f>
        <v>1</v>
      </c>
      <c r="AY283" s="495" t="b">
        <f t="shared" ref="AY283" si="475">IF($F283="Best 5", IF(AO283&gt;LARGE(($AF283:$AO283),6),TRUE), IF($F283="Best 6",IF(AO283&gt;LARGE(($AF283:$AO283),7),TRUE)))</f>
        <v>0</v>
      </c>
      <c r="BA283" s="334"/>
      <c r="BB283" s="334"/>
      <c r="BC283" s="334"/>
      <c r="BD283" s="334"/>
      <c r="BE283" s="334"/>
      <c r="BF283" s="334"/>
      <c r="BG283" s="334" t="s">
        <v>324</v>
      </c>
      <c r="BH283" s="334"/>
      <c r="BI283" s="334"/>
      <c r="BJ283" s="334"/>
      <c r="BK283" s="334"/>
      <c r="BL283" s="334"/>
      <c r="BM283" s="334"/>
      <c r="BN283" s="334"/>
      <c r="BO283" s="334"/>
      <c r="BP283" s="334"/>
      <c r="BQ283" s="334"/>
      <c r="BR283" s="334"/>
      <c r="BS283" s="385"/>
      <c r="BT283" s="395" t="s">
        <v>2480</v>
      </c>
      <c r="BU283" s="394"/>
      <c r="BV283" s="392"/>
      <c r="BW283" s="392"/>
      <c r="BX283" s="392"/>
      <c r="BY283" s="392"/>
      <c r="BZ283" s="385"/>
      <c r="CA283" s="385"/>
      <c r="CB283" s="394"/>
      <c r="CC283" s="395" t="b">
        <f>IF(CC282&gt;LARGE($CC282:$CK282,6),TRUE,IF(CC281=$BZ$282,TRUE,FALSE))</f>
        <v>0</v>
      </c>
      <c r="CD283" s="395" t="b">
        <f>IF(CD282&gt;LARGE($CC282:$CK282,6),TRUE,IF(CD281=$BZ$282,TRUE,FALSE))</f>
        <v>0</v>
      </c>
      <c r="CE283" s="395" t="b">
        <f>IF(CE282&gt;LARGE($CC282:$CK282,6),TRUE,IF(CE281=$BZ$282,TRUE,FALSE))</f>
        <v>1</v>
      </c>
      <c r="CF283" s="394"/>
      <c r="CG283" s="395" t="b">
        <f>IF(CG282&gt;LARGE($CC282:$CK282,6),TRUE,IF(CG281=$BZ$282,TRUE,FALSE))</f>
        <v>1</v>
      </c>
      <c r="CH283" s="395" t="b">
        <f>IF(CH282&gt;LARGE($CC282:$CK282,6),TRUE,IF(CH281=$BZ$282,TRUE,FALSE))</f>
        <v>1</v>
      </c>
      <c r="CI283" s="395" t="b">
        <f>IF(CI282&gt;LARGE($CC282:$CK282,6),TRUE,IF(CI281=$BZ$282,TRUE,FALSE))</f>
        <v>1</v>
      </c>
      <c r="CJ283" s="395" t="b">
        <f>IF(CJ282&gt;LARGE($CC282:$CK282,6),TRUE,IF(CJ281=$BZ$282,TRUE,FALSE))</f>
        <v>1</v>
      </c>
      <c r="CK283" s="395" t="b">
        <f>IF(CK282&gt;LARGE($CC282:$CK282,6),TRUE,IF(CK281=$BZ$282,TRUE,FALSE))</f>
        <v>1</v>
      </c>
      <c r="CL283" s="385"/>
      <c r="CM283" s="385"/>
      <c r="CN283" s="385"/>
      <c r="CO283" s="388"/>
      <c r="CP283" s="388"/>
      <c r="CQ283" s="388"/>
      <c r="CR283" s="392"/>
      <c r="CS283" s="392"/>
    </row>
    <row r="284" spans="1:97" s="384" customFormat="1">
      <c r="A284" s="117"/>
      <c r="B284" s="384" t="str">
        <f>'Reference Score Calculation'!B261</f>
        <v>JS6755</v>
      </c>
      <c r="C284" s="389" t="str">
        <f>'Reference Score Calculation'!E261</f>
        <v>工商管理學學士</v>
      </c>
      <c r="D284" s="334"/>
      <c r="E284" s="390" t="str">
        <f>'Reference Score Calculation'!F261</f>
        <v>Best 5</v>
      </c>
      <c r="F284" s="404" t="str">
        <f>'Reference Score Calculation'!AC261</f>
        <v>Best 5</v>
      </c>
      <c r="G284" s="334" t="str">
        <f>入學要求!AB270</f>
        <v>v</v>
      </c>
      <c r="H284" s="334" t="str">
        <f>入學要求!AC270</f>
        <v>NO</v>
      </c>
      <c r="I284" s="334" t="str">
        <f>入學要求!AD270</f>
        <v>NO</v>
      </c>
      <c r="J284" s="391">
        <f t="shared" si="425"/>
        <v>3.2700000000000001E-9</v>
      </c>
      <c r="K284" s="489">
        <v>1</v>
      </c>
      <c r="L284" s="489">
        <v>1.5</v>
      </c>
      <c r="M284" s="489">
        <v>1.5</v>
      </c>
      <c r="N284" s="489"/>
      <c r="O284" s="489">
        <v>1</v>
      </c>
      <c r="P284" s="489">
        <v>1</v>
      </c>
      <c r="Q284" s="489">
        <v>1</v>
      </c>
      <c r="R284" s="489">
        <v>1</v>
      </c>
      <c r="S284" s="489">
        <v>1</v>
      </c>
      <c r="T284" s="489">
        <v>1</v>
      </c>
      <c r="U284" s="391"/>
      <c r="V284" s="391">
        <f t="shared" si="426"/>
        <v>1E-10</v>
      </c>
      <c r="W284" s="391">
        <f t="shared" si="427"/>
        <v>3E-10</v>
      </c>
      <c r="X284" s="391">
        <f t="shared" si="428"/>
        <v>4.5E-10</v>
      </c>
      <c r="Y284" s="391"/>
      <c r="Z284" s="391">
        <f t="shared" ref="Z284:Z292" si="476">O$8*O284</f>
        <v>5.0000000000000003E-10</v>
      </c>
      <c r="AA284" s="391">
        <f t="shared" si="430"/>
        <v>6E-10</v>
      </c>
      <c r="AB284" s="391">
        <f t="shared" si="431"/>
        <v>6.9999999999999996E-10</v>
      </c>
      <c r="AC284" s="391">
        <f t="shared" si="432"/>
        <v>8.0000000000000003E-10</v>
      </c>
      <c r="AD284" s="391">
        <f t="shared" si="433"/>
        <v>8.9999999999999999E-10</v>
      </c>
      <c r="AE284" s="391">
        <f t="shared" si="434"/>
        <v>0</v>
      </c>
      <c r="AF284" s="117">
        <f t="shared" si="435"/>
        <v>1E-10</v>
      </c>
      <c r="AG284" s="117">
        <f t="shared" si="436"/>
        <v>99.000000000300005</v>
      </c>
      <c r="AH284" s="117">
        <f t="shared" si="437"/>
        <v>99.000000000450001</v>
      </c>
      <c r="AI284" s="117">
        <f t="shared" si="438"/>
        <v>0</v>
      </c>
      <c r="AJ284" s="117">
        <f t="shared" si="439"/>
        <v>5.0000000000000003E-10</v>
      </c>
      <c r="AK284" s="117">
        <f t="shared" si="440"/>
        <v>6E-10</v>
      </c>
      <c r="AL284" s="117">
        <f t="shared" si="441"/>
        <v>6.9999999999999996E-10</v>
      </c>
      <c r="AM284" s="117">
        <f t="shared" si="442"/>
        <v>8.0000000000000003E-10</v>
      </c>
      <c r="AN284" s="117">
        <f t="shared" si="443"/>
        <v>8.9999999999999999E-10</v>
      </c>
      <c r="AO284" s="117">
        <f t="shared" si="444"/>
        <v>0</v>
      </c>
      <c r="AP284" s="391" t="b">
        <f t="shared" si="446"/>
        <v>0</v>
      </c>
      <c r="AQ284" s="391" t="b">
        <f t="shared" si="447"/>
        <v>1</v>
      </c>
      <c r="AR284" s="391" t="b">
        <f t="shared" si="448"/>
        <v>1</v>
      </c>
      <c r="AS284" s="391"/>
      <c r="AT284" s="391" t="b">
        <f t="shared" si="449"/>
        <v>0</v>
      </c>
      <c r="AU284" s="391" t="b">
        <f t="shared" si="450"/>
        <v>0</v>
      </c>
      <c r="AV284" s="391" t="b">
        <f t="shared" si="451"/>
        <v>1</v>
      </c>
      <c r="AW284" s="391" t="b">
        <f t="shared" si="452"/>
        <v>1</v>
      </c>
      <c r="AX284" s="391" t="b">
        <f t="shared" si="453"/>
        <v>1</v>
      </c>
      <c r="AY284" s="391" t="b">
        <f t="shared" si="454"/>
        <v>0</v>
      </c>
      <c r="BA284" s="334" t="str">
        <f>'Reference Score Calculation'!N261</f>
        <v>最佳五科必須包括︰英文、數學</v>
      </c>
      <c r="BB284" s="334" t="str">
        <f>'Reference Score Calculation'!O261</f>
        <v>如同學有修讀六科，第六科成績 (x0.2) 會額外加上原有的Best 6分數</v>
      </c>
      <c r="BC284" s="334" t="str">
        <f t="shared" ref="BC284:BC286" si="477">INDEX($AF$275:$AO$275,MATCH(LARGE(AF284:AO284,6),AF284:AO284,0))</f>
        <v>請選擇第一選修科</v>
      </c>
      <c r="BD284" s="334">
        <f t="shared" ref="BD284:BD312" si="478">INDEX(V284:AE284,MATCH(BC284,$V$275:$AE$275,0))</f>
        <v>6E-10</v>
      </c>
      <c r="BE284" s="334">
        <f t="shared" ref="BE284:BE292" si="479">BD284*0.2</f>
        <v>1.2E-10</v>
      </c>
      <c r="BF284" s="334" t="str">
        <f>_xlfn.CONCAT("Best 5總分 + ",BE284)</f>
        <v>Best 5總分 + 0.00000000012</v>
      </c>
      <c r="BG284" s="334" t="s">
        <v>324</v>
      </c>
      <c r="BH284" s="334"/>
      <c r="BI284" s="334" t="b">
        <v>1</v>
      </c>
      <c r="BJ284" s="334" t="b">
        <v>1</v>
      </c>
      <c r="BK284" s="334"/>
      <c r="BL284" s="334"/>
      <c r="BM284" s="334"/>
      <c r="BN284" s="334"/>
      <c r="BO284" s="334"/>
      <c r="BP284" s="334"/>
      <c r="BQ284" s="334"/>
      <c r="BR284" s="334"/>
      <c r="BS284" s="385"/>
      <c r="BT284" s="395"/>
      <c r="BU284" s="394"/>
      <c r="BV284" s="392"/>
      <c r="BW284" s="392"/>
      <c r="BX284" s="392"/>
      <c r="BY284" s="392"/>
      <c r="BZ284" s="385"/>
      <c r="CA284" s="385"/>
      <c r="CB284" s="394"/>
      <c r="CC284" s="385"/>
      <c r="CD284" s="385"/>
      <c r="CE284" s="385"/>
      <c r="CF284" s="385"/>
      <c r="CG284" s="385"/>
      <c r="CH284" s="385"/>
      <c r="CI284" s="385"/>
      <c r="CJ284" s="385"/>
      <c r="CK284" s="385"/>
      <c r="CL284" s="385"/>
      <c r="CM284" s="385"/>
      <c r="CN284" s="385"/>
      <c r="CO284" s="388"/>
      <c r="CP284" s="388"/>
      <c r="CQ284" s="388"/>
      <c r="CR284" s="392"/>
      <c r="CS284" s="392"/>
    </row>
    <row r="285" spans="1:97" s="384" customFormat="1">
      <c r="A285" s="117"/>
      <c r="B285" s="384" t="str">
        <f>'Reference Score Calculation'!B262</f>
        <v>JS6767</v>
      </c>
      <c r="C285" s="389" t="str">
        <f>'Reference Score Calculation'!E262</f>
        <v>經濟學學士 / 經濟金融學學士</v>
      </c>
      <c r="D285" s="334"/>
      <c r="E285" s="390" t="str">
        <f>'Reference Score Calculation'!F262</f>
        <v>Best 5</v>
      </c>
      <c r="F285" s="404" t="str">
        <f>'Reference Score Calculation'!AC262</f>
        <v>Best 5</v>
      </c>
      <c r="G285" s="334" t="str">
        <f>入學要求!AB271</f>
        <v>v</v>
      </c>
      <c r="H285" s="334" t="str">
        <f>入學要求!AC271</f>
        <v>NO</v>
      </c>
      <c r="I285" s="334" t="str">
        <f>入學要求!AD271</f>
        <v>NO</v>
      </c>
      <c r="J285" s="391">
        <f t="shared" si="425"/>
        <v>3.2700000000000001E-9</v>
      </c>
      <c r="K285" s="489">
        <v>1</v>
      </c>
      <c r="L285" s="489">
        <v>1.5</v>
      </c>
      <c r="M285" s="489">
        <v>1.5</v>
      </c>
      <c r="N285" s="489"/>
      <c r="O285" s="489">
        <v>1</v>
      </c>
      <c r="P285" s="489">
        <v>1</v>
      </c>
      <c r="Q285" s="489">
        <v>1</v>
      </c>
      <c r="R285" s="489">
        <v>1</v>
      </c>
      <c r="S285" s="489">
        <v>1</v>
      </c>
      <c r="T285" s="489">
        <v>1</v>
      </c>
      <c r="U285" s="391"/>
      <c r="V285" s="391">
        <f t="shared" si="426"/>
        <v>1E-10</v>
      </c>
      <c r="W285" s="391">
        <f t="shared" si="427"/>
        <v>3E-10</v>
      </c>
      <c r="X285" s="391">
        <f t="shared" si="428"/>
        <v>4.5E-10</v>
      </c>
      <c r="Y285" s="391"/>
      <c r="Z285" s="391">
        <f t="shared" si="476"/>
        <v>5.0000000000000003E-10</v>
      </c>
      <c r="AA285" s="391">
        <f t="shared" si="430"/>
        <v>6E-10</v>
      </c>
      <c r="AB285" s="391">
        <f t="shared" si="431"/>
        <v>6.9999999999999996E-10</v>
      </c>
      <c r="AC285" s="391">
        <f t="shared" si="432"/>
        <v>8.0000000000000003E-10</v>
      </c>
      <c r="AD285" s="391">
        <f t="shared" si="433"/>
        <v>8.9999999999999999E-10</v>
      </c>
      <c r="AE285" s="391">
        <f t="shared" si="434"/>
        <v>0</v>
      </c>
      <c r="AF285" s="117">
        <f t="shared" si="435"/>
        <v>1E-10</v>
      </c>
      <c r="AG285" s="117">
        <f t="shared" si="436"/>
        <v>99.000000000300005</v>
      </c>
      <c r="AH285" s="117">
        <f t="shared" si="437"/>
        <v>99.000000000450001</v>
      </c>
      <c r="AI285" s="117">
        <f t="shared" si="438"/>
        <v>0</v>
      </c>
      <c r="AJ285" s="117">
        <f t="shared" si="439"/>
        <v>5.0000000000000003E-10</v>
      </c>
      <c r="AK285" s="117">
        <f t="shared" si="440"/>
        <v>6E-10</v>
      </c>
      <c r="AL285" s="117">
        <f t="shared" si="441"/>
        <v>6.9999999999999996E-10</v>
      </c>
      <c r="AM285" s="117">
        <f t="shared" si="442"/>
        <v>8.0000000000000003E-10</v>
      </c>
      <c r="AN285" s="117">
        <f t="shared" si="443"/>
        <v>8.9999999999999999E-10</v>
      </c>
      <c r="AO285" s="117">
        <f t="shared" si="444"/>
        <v>0</v>
      </c>
      <c r="AP285" s="391" t="b">
        <f t="shared" si="446"/>
        <v>0</v>
      </c>
      <c r="AQ285" s="391" t="b">
        <f t="shared" si="447"/>
        <v>1</v>
      </c>
      <c r="AR285" s="391" t="b">
        <f t="shared" si="448"/>
        <v>1</v>
      </c>
      <c r="AS285" s="391"/>
      <c r="AT285" s="391" t="b">
        <f t="shared" si="449"/>
        <v>0</v>
      </c>
      <c r="AU285" s="391" t="b">
        <f t="shared" si="450"/>
        <v>0</v>
      </c>
      <c r="AV285" s="391" t="b">
        <f t="shared" si="451"/>
        <v>1</v>
      </c>
      <c r="AW285" s="391" t="b">
        <f t="shared" si="452"/>
        <v>1</v>
      </c>
      <c r="AX285" s="391" t="b">
        <f t="shared" si="453"/>
        <v>1</v>
      </c>
      <c r="AY285" s="391" t="b">
        <f t="shared" si="454"/>
        <v>0</v>
      </c>
      <c r="BA285" s="334" t="str">
        <f>'Reference Score Calculation'!N262</f>
        <v>最佳五科必須包括︰英文、數學</v>
      </c>
      <c r="BB285" s="334" t="str">
        <f>'Reference Score Calculation'!O262</f>
        <v>如同學有修讀六科，第六科成績 (x0.2) 會額外加上原有的Best 6分數</v>
      </c>
      <c r="BC285" s="334" t="str">
        <f t="shared" si="477"/>
        <v>請選擇第一選修科</v>
      </c>
      <c r="BD285" s="334">
        <f t="shared" si="478"/>
        <v>6E-10</v>
      </c>
      <c r="BE285" s="334">
        <f t="shared" si="479"/>
        <v>1.2E-10</v>
      </c>
      <c r="BF285" s="334" t="str">
        <f t="shared" ref="BF285:BF286" si="480">_xlfn.CONCAT("Best 5總分 + ",BE285)</f>
        <v>Best 5總分 + 0.00000000012</v>
      </c>
      <c r="BG285" s="334" t="s">
        <v>324</v>
      </c>
      <c r="BH285" s="334"/>
      <c r="BI285" s="334" t="b">
        <v>1</v>
      </c>
      <c r="BJ285" s="334" t="b">
        <v>1</v>
      </c>
      <c r="BK285" s="334"/>
      <c r="BL285" s="334"/>
      <c r="BM285" s="334"/>
      <c r="BN285" s="334"/>
      <c r="BO285" s="334"/>
      <c r="BP285" s="334"/>
      <c r="BQ285" s="334"/>
      <c r="BR285" s="334"/>
      <c r="BS285" s="385"/>
      <c r="BT285" s="395"/>
      <c r="BU285" s="394"/>
      <c r="BV285" s="392"/>
      <c r="BW285" s="392"/>
      <c r="BX285" s="392"/>
      <c r="BY285" s="392"/>
      <c r="BZ285" s="385"/>
      <c r="CA285" s="385"/>
      <c r="CB285" s="394"/>
      <c r="CC285" s="393" t="str">
        <f>K$1</f>
        <v>中國語文</v>
      </c>
      <c r="CD285" s="393" t="str">
        <f>L$1</f>
        <v>英國語文</v>
      </c>
      <c r="CE285" s="393" t="str">
        <f>M$1</f>
        <v>數學</v>
      </c>
      <c r="CF285" s="385"/>
      <c r="CG285" s="393" t="str">
        <f t="shared" ref="CG285:CL285" si="481">O$1</f>
        <v>數學延伸</v>
      </c>
      <c r="CH285" s="393" t="str">
        <f t="shared" si="481"/>
        <v>請選擇第一選修科</v>
      </c>
      <c r="CI285" s="393" t="str">
        <f t="shared" si="481"/>
        <v>請選擇第二選修科</v>
      </c>
      <c r="CJ285" s="393" t="str">
        <f t="shared" si="481"/>
        <v>請選擇第三選修科</v>
      </c>
      <c r="CK285" s="393" t="str">
        <f t="shared" si="481"/>
        <v>請選擇第四選修科</v>
      </c>
      <c r="CL285" s="393" t="str">
        <f t="shared" si="481"/>
        <v>請選擇語言科目</v>
      </c>
      <c r="CM285" s="385"/>
      <c r="CN285" s="385"/>
      <c r="CO285" s="388"/>
      <c r="CP285" s="388"/>
      <c r="CQ285" s="388"/>
      <c r="CR285" s="392"/>
      <c r="CS285" s="392"/>
    </row>
    <row r="286" spans="1:97" s="384" customFormat="1">
      <c r="A286" s="117"/>
      <c r="B286" s="384" t="str">
        <f>'Reference Score Calculation'!B263</f>
        <v>JS6781</v>
      </c>
      <c r="C286" s="389" t="str">
        <f>'Reference Score Calculation'!E263</f>
        <v>工商管理學學士(會計及財務) / 工商管理學學士(會計數據分析)</v>
      </c>
      <c r="D286" s="334"/>
      <c r="E286" s="390" t="str">
        <f>'Reference Score Calculation'!F263</f>
        <v>Best 5</v>
      </c>
      <c r="F286" s="404" t="str">
        <f>'Reference Score Calculation'!AC263</f>
        <v>Best 5</v>
      </c>
      <c r="G286" s="334" t="str">
        <f>入學要求!AB272</f>
        <v>v</v>
      </c>
      <c r="H286" s="334" t="str">
        <f>入學要求!AC272</f>
        <v>NO</v>
      </c>
      <c r="I286" s="334" t="str">
        <f>入學要求!AD272</f>
        <v>NO</v>
      </c>
      <c r="J286" s="391">
        <f t="shared" si="425"/>
        <v>3.2700000000000001E-9</v>
      </c>
      <c r="K286" s="489">
        <v>1</v>
      </c>
      <c r="L286" s="489">
        <v>1.5</v>
      </c>
      <c r="M286" s="489">
        <v>1.5</v>
      </c>
      <c r="N286" s="489"/>
      <c r="O286" s="489">
        <v>1</v>
      </c>
      <c r="P286" s="489">
        <v>1</v>
      </c>
      <c r="Q286" s="489">
        <v>1</v>
      </c>
      <c r="R286" s="489">
        <v>1</v>
      </c>
      <c r="S286" s="489">
        <v>1</v>
      </c>
      <c r="T286" s="489">
        <v>1</v>
      </c>
      <c r="U286" s="391"/>
      <c r="V286" s="391">
        <f t="shared" si="426"/>
        <v>1E-10</v>
      </c>
      <c r="W286" s="391">
        <f t="shared" si="427"/>
        <v>3E-10</v>
      </c>
      <c r="X286" s="391">
        <f t="shared" si="428"/>
        <v>4.5E-10</v>
      </c>
      <c r="Y286" s="391"/>
      <c r="Z286" s="391">
        <f t="shared" si="476"/>
        <v>5.0000000000000003E-10</v>
      </c>
      <c r="AA286" s="391">
        <f t="shared" si="430"/>
        <v>6E-10</v>
      </c>
      <c r="AB286" s="391">
        <f t="shared" si="431"/>
        <v>6.9999999999999996E-10</v>
      </c>
      <c r="AC286" s="391">
        <f t="shared" si="432"/>
        <v>8.0000000000000003E-10</v>
      </c>
      <c r="AD286" s="391">
        <f t="shared" si="433"/>
        <v>8.9999999999999999E-10</v>
      </c>
      <c r="AE286" s="391">
        <f t="shared" si="434"/>
        <v>0</v>
      </c>
      <c r="AF286" s="117">
        <f t="shared" si="435"/>
        <v>1E-10</v>
      </c>
      <c r="AG286" s="117">
        <f t="shared" si="436"/>
        <v>99.000000000300005</v>
      </c>
      <c r="AH286" s="117">
        <f t="shared" si="437"/>
        <v>99.000000000450001</v>
      </c>
      <c r="AI286" s="117">
        <f t="shared" si="438"/>
        <v>0</v>
      </c>
      <c r="AJ286" s="117">
        <f t="shared" si="439"/>
        <v>5.0000000000000003E-10</v>
      </c>
      <c r="AK286" s="117">
        <f t="shared" si="440"/>
        <v>6E-10</v>
      </c>
      <c r="AL286" s="117">
        <f t="shared" si="441"/>
        <v>6.9999999999999996E-10</v>
      </c>
      <c r="AM286" s="117">
        <f t="shared" si="442"/>
        <v>8.0000000000000003E-10</v>
      </c>
      <c r="AN286" s="117">
        <f t="shared" si="443"/>
        <v>8.9999999999999999E-10</v>
      </c>
      <c r="AO286" s="117">
        <f t="shared" si="444"/>
        <v>0</v>
      </c>
      <c r="AP286" s="391" t="b">
        <f t="shared" si="446"/>
        <v>0</v>
      </c>
      <c r="AQ286" s="391" t="b">
        <f t="shared" si="447"/>
        <v>1</v>
      </c>
      <c r="AR286" s="391" t="b">
        <f t="shared" si="448"/>
        <v>1</v>
      </c>
      <c r="AS286" s="391"/>
      <c r="AT286" s="391" t="b">
        <f t="shared" si="449"/>
        <v>0</v>
      </c>
      <c r="AU286" s="391" t="b">
        <f t="shared" si="450"/>
        <v>0</v>
      </c>
      <c r="AV286" s="391" t="b">
        <f t="shared" si="451"/>
        <v>1</v>
      </c>
      <c r="AW286" s="391" t="b">
        <f t="shared" si="452"/>
        <v>1</v>
      </c>
      <c r="AX286" s="391" t="b">
        <f t="shared" si="453"/>
        <v>1</v>
      </c>
      <c r="AY286" s="391" t="b">
        <f t="shared" si="454"/>
        <v>0</v>
      </c>
      <c r="BA286" s="334" t="str">
        <f>'Reference Score Calculation'!N263</f>
        <v>最佳五科必須包括︰英文、數學</v>
      </c>
      <c r="BB286" s="334" t="str">
        <f>'Reference Score Calculation'!O263</f>
        <v>如同學有修讀六科，第六科成績 (x0.2) 會額外加上原有的Best 6分數</v>
      </c>
      <c r="BC286" s="334" t="str">
        <f t="shared" si="477"/>
        <v>請選擇第一選修科</v>
      </c>
      <c r="BD286" s="334">
        <f t="shared" si="478"/>
        <v>6E-10</v>
      </c>
      <c r="BE286" s="334">
        <f t="shared" si="479"/>
        <v>1.2E-10</v>
      </c>
      <c r="BF286" s="334" t="str">
        <f t="shared" si="480"/>
        <v>Best 5總分 + 0.00000000012</v>
      </c>
      <c r="BG286" s="334" t="s">
        <v>324</v>
      </c>
      <c r="BH286" s="334"/>
      <c r="BI286" s="334" t="b">
        <v>1</v>
      </c>
      <c r="BJ286" s="334" t="b">
        <v>1</v>
      </c>
      <c r="BK286" s="334"/>
      <c r="BL286" s="334"/>
      <c r="BM286" s="334"/>
      <c r="BN286" s="334"/>
      <c r="BO286" s="334"/>
      <c r="BP286" s="334"/>
      <c r="BQ286" s="334"/>
      <c r="BR286" s="334"/>
      <c r="BS286" s="385" t="s">
        <v>519</v>
      </c>
      <c r="BT286" s="395" t="s">
        <v>362</v>
      </c>
      <c r="BU286" s="394"/>
      <c r="BV286" s="392"/>
      <c r="BW286" s="392"/>
      <c r="BX286" s="392"/>
      <c r="BY286" s="392"/>
      <c r="BZ286" s="385"/>
      <c r="CA286" s="385"/>
      <c r="CB286" s="394"/>
      <c r="CC286" s="390">
        <f>IF(CC285=$BZ$282,0,K$8)</f>
        <v>1E-10</v>
      </c>
      <c r="CD286" s="390">
        <v>0</v>
      </c>
      <c r="CE286" s="390">
        <v>0</v>
      </c>
      <c r="CF286" s="385"/>
      <c r="CG286" s="390">
        <f>IF(CG285=$BZ$282,0,O$8*2)</f>
        <v>1.0000000000000001E-9</v>
      </c>
      <c r="CH286" s="390">
        <f>IF(CH285=$BZ$282,0,IF(OR(P$1="化學",P$1="生物",P$1="組合科學(物理、化學)",P$1="組合科學(生物、化學)",P$1="組合科學(物理、生物)",P$1="物理",P$1="綜合科學"),P$8*2,P$8*1.25))</f>
        <v>0</v>
      </c>
      <c r="CI286" s="390">
        <f>IF(CI285=$BZ$282,0,IF(OR(Q$1="化學",Q$1="生物",Q$1="組合科學(物理、化學)",Q$1="組合科學(生物、化學)",Q$1="組合科學(物理、生物)",Q$1="物理",Q$1="綜合科學"),Q$8*2,Q$8*1.25))</f>
        <v>8.7499999999999998E-10</v>
      </c>
      <c r="CJ286" s="390">
        <f>IF(CJ285=$BZ$282,0,IF(OR(R$1="化學",R$1="生物",R$1="組合科學(物理、化學)",R$1="組合科學(生物、化學)",R$1="組合科學(物理、生物)",R$1="物理",R$1="綜合科學"),R$8*2,R$8*1.25))</f>
        <v>1.0000000000000001E-9</v>
      </c>
      <c r="CK286" s="390">
        <f>IF(CK285=$BZ$282,0,IF(OR(S$1="化學",S$1="生物",S$1="組合科學(物理、化學)",S$1="組合科學(生物、化學)",S$1="組合科學(物理、生物)",S$1="物理",S$1="綜合科學"),S$8*2,S$8*1.25))</f>
        <v>1.1249999999999999E-9</v>
      </c>
      <c r="CL286" s="390">
        <f>IF(CL285=$BZ$282,0,T$8)</f>
        <v>0</v>
      </c>
      <c r="CM286" s="392"/>
      <c r="CN286" s="392"/>
      <c r="CO286" s="388"/>
      <c r="CP286" s="388"/>
      <c r="CQ286" s="388"/>
      <c r="CR286" s="392"/>
      <c r="CS286" s="392"/>
    </row>
    <row r="287" spans="1:97" s="384" customFormat="1" ht="13.2" customHeight="1">
      <c r="A287" s="117"/>
      <c r="B287" s="384" t="str">
        <f>'Reference Score Calculation'!B264</f>
        <v>JS6860</v>
      </c>
      <c r="C287" s="389" t="str">
        <f>'Reference Score Calculation'!E264</f>
        <v>金融學學士(資產管理及私人銀行)</v>
      </c>
      <c r="D287" s="334"/>
      <c r="E287" s="390" t="str">
        <f>'Reference Score Calculation'!F264</f>
        <v>Best 6</v>
      </c>
      <c r="F287" s="404" t="str">
        <f>'Reference Score Calculation'!AC264</f>
        <v>Best 6</v>
      </c>
      <c r="G287" s="334" t="str">
        <f>入學要求!AB273</f>
        <v>v</v>
      </c>
      <c r="H287" s="334" t="str">
        <f>入學要求!AC273</f>
        <v>NO</v>
      </c>
      <c r="I287" s="334" t="str">
        <f>入學要求!AD273</f>
        <v>NO</v>
      </c>
      <c r="J287" s="391">
        <f t="shared" si="425"/>
        <v>3.8500000000000006E-9</v>
      </c>
      <c r="K287" s="489">
        <v>1</v>
      </c>
      <c r="L287" s="489">
        <v>1.5</v>
      </c>
      <c r="M287" s="489">
        <v>1.5</v>
      </c>
      <c r="N287" s="489"/>
      <c r="O287" s="489">
        <v>1</v>
      </c>
      <c r="P287" s="489">
        <v>1</v>
      </c>
      <c r="Q287" s="489">
        <v>1</v>
      </c>
      <c r="R287" s="489">
        <v>1</v>
      </c>
      <c r="S287" s="489">
        <v>1</v>
      </c>
      <c r="T287" s="489">
        <v>1</v>
      </c>
      <c r="U287" s="398"/>
      <c r="V287" s="391">
        <f t="shared" si="426"/>
        <v>1E-10</v>
      </c>
      <c r="W287" s="391">
        <f t="shared" si="427"/>
        <v>3E-10</v>
      </c>
      <c r="X287" s="391">
        <f t="shared" si="428"/>
        <v>4.5E-10</v>
      </c>
      <c r="Y287" s="391"/>
      <c r="Z287" s="391">
        <f t="shared" si="476"/>
        <v>5.0000000000000003E-10</v>
      </c>
      <c r="AA287" s="391">
        <f t="shared" si="430"/>
        <v>6E-10</v>
      </c>
      <c r="AB287" s="391">
        <f t="shared" si="431"/>
        <v>6.9999999999999996E-10</v>
      </c>
      <c r="AC287" s="391">
        <f t="shared" si="432"/>
        <v>8.0000000000000003E-10</v>
      </c>
      <c r="AD287" s="391">
        <f t="shared" si="433"/>
        <v>8.9999999999999999E-10</v>
      </c>
      <c r="AE287" s="391">
        <f t="shared" si="434"/>
        <v>0</v>
      </c>
      <c r="AF287" s="117">
        <f t="shared" si="435"/>
        <v>1E-10</v>
      </c>
      <c r="AG287" s="117">
        <f t="shared" si="436"/>
        <v>99.000000000300005</v>
      </c>
      <c r="AH287" s="117">
        <f t="shared" si="437"/>
        <v>99.000000000450001</v>
      </c>
      <c r="AI287" s="117">
        <f t="shared" si="438"/>
        <v>0</v>
      </c>
      <c r="AJ287" s="117">
        <f t="shared" si="439"/>
        <v>5.0000000000000003E-10</v>
      </c>
      <c r="AK287" s="117">
        <f t="shared" si="440"/>
        <v>6E-10</v>
      </c>
      <c r="AL287" s="117">
        <f t="shared" si="441"/>
        <v>6.9999999999999996E-10</v>
      </c>
      <c r="AM287" s="117">
        <f t="shared" si="442"/>
        <v>8.0000000000000003E-10</v>
      </c>
      <c r="AN287" s="117">
        <f t="shared" si="443"/>
        <v>8.9999999999999999E-10</v>
      </c>
      <c r="AO287" s="117">
        <f t="shared" si="444"/>
        <v>0</v>
      </c>
      <c r="AP287" s="391" t="b">
        <f t="shared" si="446"/>
        <v>0</v>
      </c>
      <c r="AQ287" s="391" t="b">
        <f t="shared" si="447"/>
        <v>1</v>
      </c>
      <c r="AR287" s="391" t="b">
        <f t="shared" si="448"/>
        <v>1</v>
      </c>
      <c r="AS287" s="391"/>
      <c r="AT287" s="391" t="b">
        <f t="shared" si="449"/>
        <v>0</v>
      </c>
      <c r="AU287" s="391" t="b">
        <f t="shared" si="450"/>
        <v>1</v>
      </c>
      <c r="AV287" s="391" t="b">
        <f t="shared" si="451"/>
        <v>1</v>
      </c>
      <c r="AW287" s="391" t="b">
        <f t="shared" si="452"/>
        <v>1</v>
      </c>
      <c r="AX287" s="391" t="b">
        <f t="shared" si="453"/>
        <v>1</v>
      </c>
      <c r="AY287" s="391" t="b">
        <f t="shared" si="454"/>
        <v>0</v>
      </c>
      <c r="BA287" s="334" t="str">
        <f>'Reference Score Calculation'!N264</f>
        <v>最佳六科必須包括︰英文、數學</v>
      </c>
      <c r="BB287" s="334" t="str">
        <f>'Reference Score Calculation'!O264</f>
        <v>如同學有修讀七科，第七科成績 (x0.2) 會額外加上原有的Best 6分數</v>
      </c>
      <c r="BC287" s="334" t="str">
        <f>INDEX($AF$275:$AO$275,MATCH(LARGE(AF287:AO287,7),AF287:AO287,0))</f>
        <v>數學延伸</v>
      </c>
      <c r="BD287" s="334">
        <f t="shared" si="478"/>
        <v>5.0000000000000003E-10</v>
      </c>
      <c r="BE287" s="334">
        <f t="shared" si="479"/>
        <v>1.0000000000000002E-10</v>
      </c>
      <c r="BF287" s="334" t="str">
        <f t="shared" ref="BF287:BF292" si="482">_xlfn.CONCAT("Best 6總分 + ",BE287)</f>
        <v>Best 6總分 + 0.0000000001</v>
      </c>
      <c r="BG287" s="334" t="s">
        <v>324</v>
      </c>
      <c r="BH287" s="334"/>
      <c r="BI287" s="334" t="b">
        <v>1</v>
      </c>
      <c r="BJ287" s="334" t="b">
        <v>1</v>
      </c>
      <c r="BK287" s="334"/>
      <c r="BL287" s="334"/>
      <c r="BM287" s="334"/>
      <c r="BN287" s="334"/>
      <c r="BO287" s="334"/>
      <c r="BP287" s="334"/>
      <c r="BQ287" s="334"/>
      <c r="BR287" s="334"/>
      <c r="BS287" s="385"/>
      <c r="BT287" s="395"/>
      <c r="BU287" s="394"/>
      <c r="BV287" s="392"/>
      <c r="BW287" s="392"/>
      <c r="BX287" s="392"/>
      <c r="BY287" s="392"/>
      <c r="BZ287" s="385"/>
      <c r="CA287" s="385"/>
      <c r="CB287" s="394"/>
      <c r="CC287" s="395" t="b">
        <f>IF(CC286&gt;LARGE($CC286:$CL286,3),TRUE,IF(CC285=$BZ$282,TRUE,FALSE))</f>
        <v>0</v>
      </c>
      <c r="CD287" s="395" t="b">
        <v>1</v>
      </c>
      <c r="CE287" s="395" t="b">
        <v>1</v>
      </c>
      <c r="CF287" s="385"/>
      <c r="CG287" s="395" t="b">
        <f t="shared" ref="CG287:CL287" si="483">IF(CG286&gt;LARGE($CC286:$CL286,3),TRUE,IF(CG285=$BZ$282,TRUE,FALSE))</f>
        <v>0</v>
      </c>
      <c r="CH287" s="395" t="b">
        <f t="shared" si="483"/>
        <v>1</v>
      </c>
      <c r="CI287" s="395" t="b">
        <f t="shared" si="483"/>
        <v>0</v>
      </c>
      <c r="CJ287" s="395" t="b">
        <f t="shared" si="483"/>
        <v>0</v>
      </c>
      <c r="CK287" s="395" t="b">
        <f t="shared" si="483"/>
        <v>1</v>
      </c>
      <c r="CL287" s="395" t="b">
        <f t="shared" si="483"/>
        <v>0</v>
      </c>
      <c r="CM287" s="392"/>
      <c r="CN287" s="392"/>
      <c r="CO287" s="388"/>
      <c r="CP287" s="388"/>
      <c r="CQ287" s="388"/>
      <c r="CR287" s="392"/>
      <c r="CS287" s="392"/>
    </row>
    <row r="288" spans="1:97" s="384" customFormat="1">
      <c r="A288" s="117"/>
      <c r="B288" s="384" t="str">
        <f>'Reference Score Calculation'!B265</f>
        <v>JS6793</v>
      </c>
      <c r="C288" s="389" t="str">
        <f>'Reference Score Calculation'!E265</f>
        <v>工商管理學學士(商業分析)</v>
      </c>
      <c r="D288" s="334"/>
      <c r="E288" s="390" t="str">
        <f>'Reference Score Calculation'!F265</f>
        <v>Best 5</v>
      </c>
      <c r="F288" s="404" t="str">
        <f>'Reference Score Calculation'!AC265</f>
        <v>Best 5</v>
      </c>
      <c r="G288" s="334" t="str">
        <f>入學要求!AB274</f>
        <v>v</v>
      </c>
      <c r="H288" s="334" t="str">
        <f>入學要求!AC274</f>
        <v>NO</v>
      </c>
      <c r="I288" s="334" t="str">
        <f>入學要求!AD274</f>
        <v>NO</v>
      </c>
      <c r="J288" s="391">
        <f t="shared" si="425"/>
        <v>3.2700000000000001E-9</v>
      </c>
      <c r="K288" s="489">
        <v>1</v>
      </c>
      <c r="L288" s="489">
        <v>1.5</v>
      </c>
      <c r="M288" s="489">
        <v>1.5</v>
      </c>
      <c r="N288" s="489"/>
      <c r="O288" s="489">
        <v>1</v>
      </c>
      <c r="P288" s="489">
        <v>1</v>
      </c>
      <c r="Q288" s="489">
        <v>1</v>
      </c>
      <c r="R288" s="489">
        <v>1</v>
      </c>
      <c r="S288" s="489">
        <v>1</v>
      </c>
      <c r="T288" s="489">
        <v>1</v>
      </c>
      <c r="U288" s="391"/>
      <c r="V288" s="391">
        <f t="shared" si="426"/>
        <v>1E-10</v>
      </c>
      <c r="W288" s="391">
        <f t="shared" si="427"/>
        <v>3E-10</v>
      </c>
      <c r="X288" s="391">
        <f t="shared" si="428"/>
        <v>4.5E-10</v>
      </c>
      <c r="Y288" s="391"/>
      <c r="Z288" s="391">
        <f t="shared" si="476"/>
        <v>5.0000000000000003E-10</v>
      </c>
      <c r="AA288" s="391">
        <f t="shared" si="430"/>
        <v>6E-10</v>
      </c>
      <c r="AB288" s="391">
        <f t="shared" si="431"/>
        <v>6.9999999999999996E-10</v>
      </c>
      <c r="AC288" s="391">
        <f t="shared" si="432"/>
        <v>8.0000000000000003E-10</v>
      </c>
      <c r="AD288" s="391">
        <f t="shared" si="433"/>
        <v>8.9999999999999999E-10</v>
      </c>
      <c r="AE288" s="391">
        <f t="shared" si="434"/>
        <v>0</v>
      </c>
      <c r="AF288" s="117">
        <f t="shared" si="435"/>
        <v>1E-10</v>
      </c>
      <c r="AG288" s="117">
        <f t="shared" si="436"/>
        <v>99.000000000300005</v>
      </c>
      <c r="AH288" s="117">
        <f t="shared" si="437"/>
        <v>99.000000000450001</v>
      </c>
      <c r="AI288" s="117">
        <f t="shared" si="438"/>
        <v>0</v>
      </c>
      <c r="AJ288" s="117">
        <f t="shared" si="439"/>
        <v>5.0000000000000003E-10</v>
      </c>
      <c r="AK288" s="117">
        <f t="shared" si="440"/>
        <v>6E-10</v>
      </c>
      <c r="AL288" s="117">
        <f t="shared" si="441"/>
        <v>6.9999999999999996E-10</v>
      </c>
      <c r="AM288" s="117">
        <f t="shared" si="442"/>
        <v>8.0000000000000003E-10</v>
      </c>
      <c r="AN288" s="117">
        <f t="shared" si="443"/>
        <v>8.9999999999999999E-10</v>
      </c>
      <c r="AO288" s="117">
        <f t="shared" si="444"/>
        <v>0</v>
      </c>
      <c r="AP288" s="391" t="b">
        <f t="shared" si="446"/>
        <v>0</v>
      </c>
      <c r="AQ288" s="391" t="b">
        <f t="shared" si="447"/>
        <v>1</v>
      </c>
      <c r="AR288" s="391" t="b">
        <f t="shared" si="448"/>
        <v>1</v>
      </c>
      <c r="AS288" s="391"/>
      <c r="AT288" s="391" t="b">
        <f t="shared" si="449"/>
        <v>0</v>
      </c>
      <c r="AU288" s="391" t="b">
        <f t="shared" si="450"/>
        <v>0</v>
      </c>
      <c r="AV288" s="391" t="b">
        <f t="shared" si="451"/>
        <v>1</v>
      </c>
      <c r="AW288" s="391" t="b">
        <f t="shared" si="452"/>
        <v>1</v>
      </c>
      <c r="AX288" s="391" t="b">
        <f t="shared" si="453"/>
        <v>1</v>
      </c>
      <c r="AY288" s="391" t="b">
        <f t="shared" si="454"/>
        <v>0</v>
      </c>
      <c r="BA288" s="334" t="str">
        <f>'Reference Score Calculation'!N265</f>
        <v>最佳五科必須包括︰英文、數學</v>
      </c>
      <c r="BB288" s="334" t="str">
        <f>'Reference Score Calculation'!O265</f>
        <v>如同學有修讀六科，第六科成績 (x0.2) 會額外加上原有的Best 6分數</v>
      </c>
      <c r="BC288" s="334" t="str">
        <f t="shared" ref="BC288:BC312" si="484">INDEX($AF$275:$AO$275,MATCH(LARGE(AF288:AO288,6),AF288:AO288,0))</f>
        <v>請選擇第一選修科</v>
      </c>
      <c r="BD288" s="334">
        <f t="shared" si="478"/>
        <v>6E-10</v>
      </c>
      <c r="BE288" s="334">
        <f t="shared" si="479"/>
        <v>1.2E-10</v>
      </c>
      <c r="BF288" s="334" t="str">
        <f>_xlfn.CONCAT("Best 5總分 + ",BE288)</f>
        <v>Best 5總分 + 0.00000000012</v>
      </c>
      <c r="BG288" s="334" t="s">
        <v>324</v>
      </c>
      <c r="BH288" s="334"/>
      <c r="BI288" s="334" t="b">
        <v>1</v>
      </c>
      <c r="BJ288" s="334" t="b">
        <v>1</v>
      </c>
      <c r="BK288" s="334"/>
      <c r="BL288" s="334"/>
      <c r="BM288" s="334"/>
      <c r="BN288" s="334"/>
      <c r="BO288" s="334"/>
      <c r="BP288" s="334"/>
      <c r="BQ288" s="334"/>
      <c r="BR288" s="334"/>
      <c r="BS288" s="385"/>
      <c r="BT288" s="395"/>
      <c r="BU288" s="394"/>
      <c r="BV288" s="392"/>
      <c r="BW288" s="392"/>
      <c r="BX288" s="392"/>
      <c r="BY288" s="392"/>
      <c r="BZ288" s="385"/>
      <c r="CA288" s="385"/>
      <c r="CB288" s="394"/>
      <c r="CC288" s="385"/>
      <c r="CD288" s="385"/>
      <c r="CE288" s="395"/>
      <c r="CF288" s="394"/>
      <c r="CG288" s="392"/>
      <c r="CH288" s="392"/>
      <c r="CI288" s="392"/>
      <c r="CJ288" s="392"/>
      <c r="CK288" s="392"/>
      <c r="CL288" s="392"/>
      <c r="CM288" s="392"/>
      <c r="CN288" s="392"/>
      <c r="CO288" s="388"/>
      <c r="CP288" s="388"/>
      <c r="CQ288" s="388"/>
      <c r="CR288" s="392"/>
      <c r="CS288" s="392"/>
    </row>
    <row r="289" spans="1:97" s="384" customFormat="1">
      <c r="A289" s="117"/>
      <c r="B289" s="384" t="str">
        <f>'Reference Score Calculation'!B266</f>
        <v>JS6808</v>
      </c>
      <c r="C289" s="389" t="str">
        <f>'Reference Score Calculation'!E266</f>
        <v>工商管理學學士(法學)及法學士</v>
      </c>
      <c r="D289" s="334"/>
      <c r="E289" s="390" t="str">
        <f>'Reference Score Calculation'!F266</f>
        <v>Best 6</v>
      </c>
      <c r="F289" s="404" t="str">
        <f>'Reference Score Calculation'!AC266</f>
        <v>Best 6</v>
      </c>
      <c r="G289" s="334" t="str">
        <f>入學要求!AB275</f>
        <v>v</v>
      </c>
      <c r="H289" s="334" t="str">
        <f>入學要求!AC275</f>
        <v>NO</v>
      </c>
      <c r="I289" s="334" t="str">
        <f>入學要求!AD275</f>
        <v>NO</v>
      </c>
      <c r="J289" s="391">
        <f t="shared" si="425"/>
        <v>3.8500000000000006E-9</v>
      </c>
      <c r="K289" s="489">
        <v>1</v>
      </c>
      <c r="L289" s="489">
        <v>1.5</v>
      </c>
      <c r="M289" s="489">
        <v>1.5</v>
      </c>
      <c r="N289" s="489"/>
      <c r="O289" s="489">
        <v>1</v>
      </c>
      <c r="P289" s="489">
        <v>1</v>
      </c>
      <c r="Q289" s="489">
        <v>1</v>
      </c>
      <c r="R289" s="489">
        <v>1</v>
      </c>
      <c r="S289" s="489">
        <v>1</v>
      </c>
      <c r="T289" s="489">
        <v>1</v>
      </c>
      <c r="U289" s="398"/>
      <c r="V289" s="391">
        <f t="shared" si="426"/>
        <v>1E-10</v>
      </c>
      <c r="W289" s="391">
        <f t="shared" si="427"/>
        <v>3E-10</v>
      </c>
      <c r="X289" s="391">
        <f t="shared" si="428"/>
        <v>4.5E-10</v>
      </c>
      <c r="Y289" s="391"/>
      <c r="Z289" s="391">
        <f t="shared" si="476"/>
        <v>5.0000000000000003E-10</v>
      </c>
      <c r="AA289" s="391">
        <f t="shared" si="430"/>
        <v>6E-10</v>
      </c>
      <c r="AB289" s="391">
        <f t="shared" si="431"/>
        <v>6.9999999999999996E-10</v>
      </c>
      <c r="AC289" s="391">
        <f t="shared" si="432"/>
        <v>8.0000000000000003E-10</v>
      </c>
      <c r="AD289" s="391">
        <f t="shared" si="433"/>
        <v>8.9999999999999999E-10</v>
      </c>
      <c r="AE289" s="391">
        <f t="shared" si="434"/>
        <v>0</v>
      </c>
      <c r="AF289" s="117">
        <f t="shared" si="435"/>
        <v>1E-10</v>
      </c>
      <c r="AG289" s="117">
        <f t="shared" si="436"/>
        <v>99.000000000300005</v>
      </c>
      <c r="AH289" s="117">
        <f t="shared" si="437"/>
        <v>99.000000000450001</v>
      </c>
      <c r="AI289" s="117">
        <f t="shared" si="438"/>
        <v>0</v>
      </c>
      <c r="AJ289" s="117">
        <f t="shared" si="439"/>
        <v>5.0000000000000003E-10</v>
      </c>
      <c r="AK289" s="117">
        <f t="shared" si="440"/>
        <v>6E-10</v>
      </c>
      <c r="AL289" s="117">
        <f t="shared" si="441"/>
        <v>6.9999999999999996E-10</v>
      </c>
      <c r="AM289" s="117">
        <f t="shared" si="442"/>
        <v>8.0000000000000003E-10</v>
      </c>
      <c r="AN289" s="117">
        <f t="shared" si="443"/>
        <v>8.9999999999999999E-10</v>
      </c>
      <c r="AO289" s="117">
        <f t="shared" si="444"/>
        <v>0</v>
      </c>
      <c r="AP289" s="391" t="b">
        <f t="shared" si="446"/>
        <v>0</v>
      </c>
      <c r="AQ289" s="391" t="b">
        <f t="shared" si="447"/>
        <v>1</v>
      </c>
      <c r="AR289" s="391" t="b">
        <f t="shared" si="448"/>
        <v>1</v>
      </c>
      <c r="AS289" s="391"/>
      <c r="AT289" s="391" t="b">
        <f t="shared" si="449"/>
        <v>0</v>
      </c>
      <c r="AU289" s="391" t="b">
        <f t="shared" si="450"/>
        <v>1</v>
      </c>
      <c r="AV289" s="391" t="b">
        <f t="shared" si="451"/>
        <v>1</v>
      </c>
      <c r="AW289" s="391" t="b">
        <f t="shared" si="452"/>
        <v>1</v>
      </c>
      <c r="AX289" s="391" t="b">
        <f t="shared" si="453"/>
        <v>1</v>
      </c>
      <c r="AY289" s="391" t="b">
        <f t="shared" si="454"/>
        <v>0</v>
      </c>
      <c r="BA289" s="334" t="str">
        <f>'Reference Score Calculation'!N266</f>
        <v>最佳六科必須包括︰英文、數學</v>
      </c>
      <c r="BB289" s="334" t="str">
        <f>'Reference Score Calculation'!O266</f>
        <v>如同學有修讀七科，第七科成績 (x0.2) 會額外加上原有的Best 6分數</v>
      </c>
      <c r="BC289" s="334" t="str">
        <f>INDEX($AF$275:$AO$275,MATCH(LARGE(AF289:AO289,7),AF289:AO289,0))</f>
        <v>數學延伸</v>
      </c>
      <c r="BD289" s="334">
        <f t="shared" si="478"/>
        <v>5.0000000000000003E-10</v>
      </c>
      <c r="BE289" s="334">
        <f t="shared" si="479"/>
        <v>1.0000000000000002E-10</v>
      </c>
      <c r="BF289" s="334" t="str">
        <f>_xlfn.CONCAT("Best 6總分 + ",BE289)</f>
        <v>Best 6總分 + 0.0000000001</v>
      </c>
      <c r="BG289" s="334" t="s">
        <v>324</v>
      </c>
      <c r="BH289" s="334"/>
      <c r="BI289" s="334" t="b">
        <v>1</v>
      </c>
      <c r="BJ289" s="334" t="b">
        <v>1</v>
      </c>
      <c r="BK289" s="334"/>
      <c r="BL289" s="334"/>
      <c r="BM289" s="334"/>
      <c r="BN289" s="334"/>
      <c r="BO289" s="334"/>
      <c r="BP289" s="334"/>
      <c r="BQ289" s="334"/>
      <c r="BR289" s="334"/>
      <c r="BS289" s="385"/>
      <c r="BT289" s="393" t="str">
        <f>P$1</f>
        <v>請選擇第一選修科</v>
      </c>
      <c r="BU289" s="393" t="str">
        <f>Q$1</f>
        <v>請選擇第二選修科</v>
      </c>
      <c r="BV289" s="393" t="str">
        <f>R$1</f>
        <v>請選擇第三選修科</v>
      </c>
      <c r="BW289" s="393" t="str">
        <f>S$1</f>
        <v>請選擇第四選修科</v>
      </c>
      <c r="BX289" s="392" t="str">
        <f>O$1</f>
        <v>數學延伸</v>
      </c>
      <c r="BY289" s="392"/>
      <c r="BZ289" s="396" t="s">
        <v>332</v>
      </c>
      <c r="CA289" s="385"/>
      <c r="CB289" s="396" t="s">
        <v>333</v>
      </c>
      <c r="CC289" s="385"/>
      <c r="CD289" s="385"/>
      <c r="CE289" s="393" t="str">
        <f>K$1</f>
        <v>中國語文</v>
      </c>
      <c r="CF289" s="393" t="str">
        <f>L$1</f>
        <v>英國語文</v>
      </c>
      <c r="CG289" s="393" t="str">
        <f>M$1</f>
        <v>數學</v>
      </c>
      <c r="CH289" s="392"/>
      <c r="CI289" s="393" t="str">
        <f>O$1</f>
        <v>數學延伸</v>
      </c>
      <c r="CJ289" s="393" t="str">
        <f>P$1</f>
        <v>請選擇第一選修科</v>
      </c>
      <c r="CK289" s="393" t="str">
        <f>Q$1</f>
        <v>請選擇第二選修科</v>
      </c>
      <c r="CL289" s="393" t="str">
        <f>R$1</f>
        <v>請選擇第三選修科</v>
      </c>
      <c r="CM289" s="393" t="str">
        <f>S$1</f>
        <v>請選擇第四選修科</v>
      </c>
      <c r="CN289" s="392"/>
      <c r="CO289" s="388"/>
      <c r="CP289" s="388"/>
      <c r="CQ289" s="388"/>
      <c r="CR289" s="392"/>
      <c r="CS289" s="392"/>
    </row>
    <row r="290" spans="1:97" s="384" customFormat="1">
      <c r="A290" s="117"/>
      <c r="B290" s="384" t="str">
        <f>'Reference Score Calculation'!B267</f>
        <v>JS6846</v>
      </c>
      <c r="C290" s="389" t="str">
        <f>'Reference Score Calculation'!E267</f>
        <v>理學士(營銷分析及科技)</v>
      </c>
      <c r="D290" s="334"/>
      <c r="E290" s="390" t="str">
        <f>'Reference Score Calculation'!F267</f>
        <v>Best 5</v>
      </c>
      <c r="F290" s="404" t="str">
        <f>'Reference Score Calculation'!AC267</f>
        <v>Best 5</v>
      </c>
      <c r="G290" s="334" t="str">
        <f>入學要求!AB276</f>
        <v>v</v>
      </c>
      <c r="H290" s="334" t="str">
        <f>入學要求!AC276</f>
        <v>NO</v>
      </c>
      <c r="I290" s="334" t="str">
        <f>入學要求!AD276</f>
        <v>NO</v>
      </c>
      <c r="J290" s="391">
        <f t="shared" si="425"/>
        <v>3.2700000000000001E-9</v>
      </c>
      <c r="K290" s="489">
        <v>1</v>
      </c>
      <c r="L290" s="489">
        <v>1.5</v>
      </c>
      <c r="M290" s="489">
        <v>1.5</v>
      </c>
      <c r="N290" s="489"/>
      <c r="O290" s="489">
        <v>1</v>
      </c>
      <c r="P290" s="489">
        <v>1</v>
      </c>
      <c r="Q290" s="489">
        <v>1</v>
      </c>
      <c r="R290" s="489">
        <v>1</v>
      </c>
      <c r="S290" s="489">
        <v>1</v>
      </c>
      <c r="T290" s="489">
        <v>1</v>
      </c>
      <c r="U290" s="391"/>
      <c r="V290" s="391">
        <f t="shared" si="426"/>
        <v>1E-10</v>
      </c>
      <c r="W290" s="391">
        <f t="shared" si="427"/>
        <v>3E-10</v>
      </c>
      <c r="X290" s="391">
        <f t="shared" si="428"/>
        <v>4.5E-10</v>
      </c>
      <c r="Y290" s="391"/>
      <c r="Z290" s="391">
        <f t="shared" si="476"/>
        <v>5.0000000000000003E-10</v>
      </c>
      <c r="AA290" s="391">
        <f t="shared" si="430"/>
        <v>6E-10</v>
      </c>
      <c r="AB290" s="391">
        <f t="shared" si="431"/>
        <v>6.9999999999999996E-10</v>
      </c>
      <c r="AC290" s="391">
        <f t="shared" si="432"/>
        <v>8.0000000000000003E-10</v>
      </c>
      <c r="AD290" s="391">
        <f t="shared" si="433"/>
        <v>8.9999999999999999E-10</v>
      </c>
      <c r="AE290" s="391">
        <f t="shared" si="434"/>
        <v>0</v>
      </c>
      <c r="AF290" s="117">
        <f t="shared" si="435"/>
        <v>1E-10</v>
      </c>
      <c r="AG290" s="117">
        <f t="shared" si="436"/>
        <v>99.000000000300005</v>
      </c>
      <c r="AH290" s="117">
        <f t="shared" si="437"/>
        <v>99.000000000450001</v>
      </c>
      <c r="AI290" s="117">
        <f t="shared" si="438"/>
        <v>0</v>
      </c>
      <c r="AJ290" s="117">
        <f t="shared" si="439"/>
        <v>5.0000000000000003E-10</v>
      </c>
      <c r="AK290" s="117">
        <f t="shared" si="440"/>
        <v>6E-10</v>
      </c>
      <c r="AL290" s="117">
        <f t="shared" si="441"/>
        <v>6.9999999999999996E-10</v>
      </c>
      <c r="AM290" s="117">
        <f t="shared" si="442"/>
        <v>8.0000000000000003E-10</v>
      </c>
      <c r="AN290" s="117">
        <f t="shared" si="443"/>
        <v>8.9999999999999999E-10</v>
      </c>
      <c r="AO290" s="117">
        <f t="shared" si="444"/>
        <v>0</v>
      </c>
      <c r="AP290" s="391" t="b">
        <f t="shared" si="446"/>
        <v>0</v>
      </c>
      <c r="AQ290" s="391" t="b">
        <f t="shared" si="447"/>
        <v>1</v>
      </c>
      <c r="AR290" s="391" t="b">
        <f t="shared" si="448"/>
        <v>1</v>
      </c>
      <c r="AS290" s="391"/>
      <c r="AT290" s="391" t="b">
        <f t="shared" si="449"/>
        <v>0</v>
      </c>
      <c r="AU290" s="391" t="b">
        <f t="shared" si="450"/>
        <v>0</v>
      </c>
      <c r="AV290" s="391" t="b">
        <f t="shared" si="451"/>
        <v>1</v>
      </c>
      <c r="AW290" s="391" t="b">
        <f t="shared" si="452"/>
        <v>1</v>
      </c>
      <c r="AX290" s="391" t="b">
        <f t="shared" si="453"/>
        <v>1</v>
      </c>
      <c r="AY290" s="391" t="b">
        <f t="shared" si="454"/>
        <v>0</v>
      </c>
      <c r="BA290" s="334" t="str">
        <f>'Reference Score Calculation'!N267</f>
        <v>最佳五科必須包括︰英文、數學</v>
      </c>
      <c r="BB290" s="334" t="str">
        <f>'Reference Score Calculation'!O267</f>
        <v>如同學有修讀六科，第六科成績 (x0.2) 會額外加上原有的Best 6分數</v>
      </c>
      <c r="BC290" s="334" t="str">
        <f t="shared" si="484"/>
        <v>請選擇第一選修科</v>
      </c>
      <c r="BD290" s="334">
        <f t="shared" si="478"/>
        <v>6E-10</v>
      </c>
      <c r="BE290" s="334">
        <f t="shared" si="479"/>
        <v>1.2E-10</v>
      </c>
      <c r="BF290" s="334" t="str">
        <f t="shared" ref="BF290" si="485">_xlfn.CONCAT("Best 5總分 + ",BE290)</f>
        <v>Best 5總分 + 0.00000000012</v>
      </c>
      <c r="BG290" s="334" t="s">
        <v>324</v>
      </c>
      <c r="BH290" s="334"/>
      <c r="BI290" s="334" t="b">
        <v>1</v>
      </c>
      <c r="BJ290" s="334" t="b">
        <v>1</v>
      </c>
      <c r="BK290" s="334"/>
      <c r="BL290" s="334"/>
      <c r="BM290" s="334"/>
      <c r="BN290" s="334"/>
      <c r="BO290" s="334"/>
      <c r="BP290" s="334"/>
      <c r="BQ290" s="334"/>
      <c r="BR290" s="334"/>
      <c r="BS290" s="385" t="s">
        <v>549</v>
      </c>
      <c r="BT290" s="390">
        <f>IF(OR(P$1="化學",P$1="生物",P$1="組合科學(物理、化學)",P$1="組合科學(生物、化學)",P$1="組合科學(物理、生物)",P$1="物理"),P$8,0)</f>
        <v>0</v>
      </c>
      <c r="BU290" s="390">
        <f>IF(OR(Q$1="化學",Q$1="生物",Q$1="組合科學(物理、化學)",Q$1="組合科學(生物、化學)",Q$1="組合科學(物理、生物)",Q$1="物理"),Q$8,0)</f>
        <v>0</v>
      </c>
      <c r="BV290" s="390">
        <f>IF(OR(R$1="化學",R$1="生物",R$1="組合科學(物理、化學)",R$1="組合科學(生物、化學)",R$1="組合科學(物理、生物)",R$1="物理"),R$8,0)</f>
        <v>0</v>
      </c>
      <c r="BW290" s="390">
        <f>IF(OR(S$1="化學",S$1="生物",S$1="組合科學(物理、化學)",S$1="組合科學(生物、化學)",S$1="組合科學(物理、生物)",S$1="物理"),S$8,0)</f>
        <v>0</v>
      </c>
      <c r="BX290" s="334">
        <f>O$8</f>
        <v>5.0000000000000003E-10</v>
      </c>
      <c r="BY290" s="392"/>
      <c r="BZ290" s="384" t="str">
        <f>INDEX(BT289:BX289,MATCH(LARGE(BT290:BX290,1),BT290:BX290,0))</f>
        <v>數學延伸</v>
      </c>
      <c r="CA290" s="384">
        <f>LARGE((BT290:BX290),1)</f>
        <v>5.0000000000000003E-10</v>
      </c>
      <c r="CB290" s="384" t="str">
        <f>INDEX(BT289:BX289,MATCH(LARGE(BT290:BX290,2),BT290:BX290,0))</f>
        <v>請選擇第一選修科</v>
      </c>
      <c r="CC290" s="384">
        <f>LARGE((BT290:BX290),2)</f>
        <v>0</v>
      </c>
      <c r="CD290" s="385"/>
      <c r="CE290" s="390">
        <f>K$8</f>
        <v>1E-10</v>
      </c>
      <c r="CF290" s="390">
        <v>0</v>
      </c>
      <c r="CG290" s="390">
        <v>0</v>
      </c>
      <c r="CH290" s="392"/>
      <c r="CI290" s="390">
        <f>IF(OR(CI289=$CB$290,CI289=$BZ$290),0,O$8)</f>
        <v>0</v>
      </c>
      <c r="CJ290" s="390">
        <f>IF(OR(CJ289=$CB$290,CJ289=$BZ$290),0,P$8)</f>
        <v>0</v>
      </c>
      <c r="CK290" s="390">
        <f>IF(OR(CK289=$CB$290,CK289=$BZ$290),0,Q$8)</f>
        <v>6.9999999999999996E-10</v>
      </c>
      <c r="CL290" s="390">
        <f>IF(OR(CL289=$CB$290,CL289=$BZ$290),0,R$8)</f>
        <v>8.0000000000000003E-10</v>
      </c>
      <c r="CM290" s="390">
        <f>IF(OR(CM289=$CB$290,CM289=$BZ$290),0,S$8)</f>
        <v>8.9999999999999999E-10</v>
      </c>
      <c r="CN290" s="392"/>
      <c r="CO290" s="388"/>
      <c r="CP290" s="388"/>
      <c r="CQ290" s="388"/>
      <c r="CR290" s="392"/>
      <c r="CS290" s="392"/>
    </row>
    <row r="291" spans="1:97" s="384" customFormat="1">
      <c r="A291" s="117"/>
      <c r="B291" s="384" t="str">
        <f>'Reference Score Calculation'!B268</f>
        <v>JS6884</v>
      </c>
      <c r="C291" s="389" t="str">
        <f>'Reference Score Calculation'!E268</f>
        <v>理學士(計量金融)</v>
      </c>
      <c r="D291" s="334"/>
      <c r="E291" s="390" t="str">
        <f>'Reference Score Calculation'!F268</f>
        <v>Best 6</v>
      </c>
      <c r="F291" s="404" t="str">
        <f>'Reference Score Calculation'!AC268</f>
        <v>Best 6</v>
      </c>
      <c r="G291" s="334" t="str">
        <f>入學要求!AB277</f>
        <v>v</v>
      </c>
      <c r="H291" s="334" t="str">
        <f>入學要求!AC277</f>
        <v>NO</v>
      </c>
      <c r="I291" s="334" t="str">
        <f>入學要求!AD277</f>
        <v>NO</v>
      </c>
      <c r="J291" s="391">
        <f t="shared" si="425"/>
        <v>3.8200000000000005E-9</v>
      </c>
      <c r="K291" s="489">
        <v>1</v>
      </c>
      <c r="L291" s="489">
        <v>1.5</v>
      </c>
      <c r="M291" s="489">
        <v>1.25</v>
      </c>
      <c r="N291" s="489"/>
      <c r="O291" s="489">
        <v>1.25</v>
      </c>
      <c r="P291" s="489">
        <v>1</v>
      </c>
      <c r="Q291" s="489">
        <v>1</v>
      </c>
      <c r="R291" s="489">
        <v>1</v>
      </c>
      <c r="S291" s="489">
        <v>1</v>
      </c>
      <c r="T291" s="489">
        <v>1</v>
      </c>
      <c r="U291" s="398"/>
      <c r="V291" s="391">
        <f t="shared" si="426"/>
        <v>1E-10</v>
      </c>
      <c r="W291" s="391">
        <f t="shared" si="427"/>
        <v>3E-10</v>
      </c>
      <c r="X291" s="391">
        <f t="shared" si="428"/>
        <v>3.75E-10</v>
      </c>
      <c r="Y291" s="391"/>
      <c r="Z291" s="391">
        <f t="shared" si="476"/>
        <v>6.2500000000000001E-10</v>
      </c>
      <c r="AA291" s="391">
        <f t="shared" si="430"/>
        <v>6E-10</v>
      </c>
      <c r="AB291" s="391">
        <f t="shared" si="431"/>
        <v>6.9999999999999996E-10</v>
      </c>
      <c r="AC291" s="391">
        <f t="shared" si="432"/>
        <v>8.0000000000000003E-10</v>
      </c>
      <c r="AD291" s="391">
        <f t="shared" si="433"/>
        <v>8.9999999999999999E-10</v>
      </c>
      <c r="AE291" s="391">
        <f t="shared" si="434"/>
        <v>0</v>
      </c>
      <c r="AF291" s="117">
        <f t="shared" si="435"/>
        <v>1E-10</v>
      </c>
      <c r="AG291" s="117">
        <f t="shared" si="436"/>
        <v>99.000000000300005</v>
      </c>
      <c r="AH291" s="117">
        <f t="shared" si="437"/>
        <v>99.000000000374996</v>
      </c>
      <c r="AI291" s="117">
        <f t="shared" si="438"/>
        <v>0</v>
      </c>
      <c r="AJ291" s="117">
        <f t="shared" si="439"/>
        <v>99.000000000624993</v>
      </c>
      <c r="AK291" s="117">
        <f t="shared" si="440"/>
        <v>6E-10</v>
      </c>
      <c r="AL291" s="117">
        <f t="shared" si="441"/>
        <v>6.9999999999999996E-10</v>
      </c>
      <c r="AM291" s="117">
        <f t="shared" si="442"/>
        <v>8.0000000000000003E-10</v>
      </c>
      <c r="AN291" s="117">
        <f t="shared" si="443"/>
        <v>8.9999999999999999E-10</v>
      </c>
      <c r="AO291" s="117">
        <f t="shared" si="444"/>
        <v>0</v>
      </c>
      <c r="AP291" s="391" t="b">
        <f t="shared" si="446"/>
        <v>0</v>
      </c>
      <c r="AQ291" s="391" t="b">
        <f t="shared" si="447"/>
        <v>1</v>
      </c>
      <c r="AR291" s="391" t="b">
        <f t="shared" si="448"/>
        <v>1</v>
      </c>
      <c r="AS291" s="391"/>
      <c r="AT291" s="391" t="b">
        <f t="shared" si="449"/>
        <v>1</v>
      </c>
      <c r="AU291" s="391" t="b">
        <f t="shared" si="450"/>
        <v>0</v>
      </c>
      <c r="AV291" s="391" t="b">
        <f t="shared" si="451"/>
        <v>1</v>
      </c>
      <c r="AW291" s="391" t="b">
        <f t="shared" si="452"/>
        <v>1</v>
      </c>
      <c r="AX291" s="391" t="b">
        <f t="shared" si="453"/>
        <v>1</v>
      </c>
      <c r="AY291" s="391" t="b">
        <f t="shared" si="454"/>
        <v>0</v>
      </c>
      <c r="BA291" s="334" t="str">
        <f>'Reference Score Calculation'!N268</f>
        <v>最佳六科必須包括︰英文、數學、M1/2</v>
      </c>
      <c r="BB291" s="334" t="str">
        <f>'Reference Score Calculation'!O268</f>
        <v>如同學有修讀七科，第七科成績 (x0.2) 會額外加上原有的Best 6分數</v>
      </c>
      <c r="BC291" s="334" t="str">
        <f>INDEX($AF$275:$AO$275,MATCH(LARGE(AF291:AO291,7),AF291:AO291,0))</f>
        <v>請選擇第一選修科</v>
      </c>
      <c r="BD291" s="334">
        <f t="shared" si="478"/>
        <v>6E-10</v>
      </c>
      <c r="BE291" s="334">
        <f t="shared" si="479"/>
        <v>1.2E-10</v>
      </c>
      <c r="BF291" s="334" t="str">
        <f t="shared" si="482"/>
        <v>Best 6總分 + 0.00000000012</v>
      </c>
      <c r="BG291" s="334" t="s">
        <v>324</v>
      </c>
      <c r="BH291" s="334"/>
      <c r="BI291" s="334" t="b">
        <v>1</v>
      </c>
      <c r="BJ291" s="334" t="b">
        <v>1</v>
      </c>
      <c r="BK291" s="334"/>
      <c r="BL291" s="334" t="b">
        <v>1</v>
      </c>
      <c r="BM291" s="334"/>
      <c r="BN291" s="334"/>
      <c r="BO291" s="334"/>
      <c r="BP291" s="334"/>
      <c r="BQ291" s="334"/>
      <c r="BR291" s="334"/>
      <c r="BS291" s="385"/>
      <c r="BT291" s="395" t="s">
        <v>364</v>
      </c>
      <c r="BU291" s="394"/>
      <c r="BV291" s="392"/>
      <c r="BW291" s="392"/>
      <c r="BX291" s="392"/>
      <c r="BY291" s="392"/>
      <c r="BZ291" s="385"/>
      <c r="CA291" s="385"/>
      <c r="CB291" s="394"/>
      <c r="CC291" s="394"/>
      <c r="CD291" s="385"/>
      <c r="CE291" s="395" t="b">
        <f>IF(CE290&gt;LARGE($CE290:$CM290,2),TRUE,IF(OR(CE289=$CB$290,CE289=$BZ$290,),TRUE,FALSE))</f>
        <v>0</v>
      </c>
      <c r="CF291" s="395" t="b">
        <v>1</v>
      </c>
      <c r="CG291" s="395" t="b">
        <v>1</v>
      </c>
      <c r="CH291" s="392"/>
      <c r="CI291" s="395" t="b">
        <f>IF(CI290&gt;LARGE($CE290:$CM290,2),TRUE,IF(OR(CI289=$CB$290,CI289=$BZ$290,),TRUE,FALSE))</f>
        <v>1</v>
      </c>
      <c r="CJ291" s="395" t="b">
        <f>IF(CJ290&gt;LARGE($CE290:$CM290,2),TRUE,IF(OR(CJ289=$CB$290,CJ289=$BZ$290,),TRUE,FALSE))</f>
        <v>1</v>
      </c>
      <c r="CK291" s="395" t="b">
        <f>IF(CK290&gt;LARGE($CE290:$CM290,2),TRUE,IF(OR(CK289=$CB$290,CK289=$BZ$290,),TRUE,FALSE))</f>
        <v>0</v>
      </c>
      <c r="CL291" s="395" t="b">
        <f>IF(CL290&gt;LARGE($CE290:$CM290,2),TRUE,IF(OR(CL289=$CB$290,CL289=$BZ$290,),TRUE,FALSE))</f>
        <v>0</v>
      </c>
      <c r="CM291" s="395" t="b">
        <f>IF(CM290&gt;LARGE($CE290:$CM290,2),TRUE,IF(OR(CM289=$CB$290,CM289=$BZ$290,),TRUE,FALSE))</f>
        <v>1</v>
      </c>
      <c r="CN291" s="392"/>
      <c r="CO291" s="388"/>
      <c r="CP291" s="388"/>
      <c r="CQ291" s="388"/>
      <c r="CR291" s="392"/>
      <c r="CS291" s="392"/>
    </row>
    <row r="292" spans="1:97" s="384" customFormat="1">
      <c r="A292" s="117"/>
      <c r="B292" s="384" t="str">
        <f>'Reference Score Calculation'!B269</f>
        <v>JS6896</v>
      </c>
      <c r="C292" s="389" t="str">
        <f>'Reference Score Calculation'!E269</f>
        <v>工商管理學學士(國際商業及環球管理)</v>
      </c>
      <c r="D292" s="334"/>
      <c r="E292" s="390" t="str">
        <f>'Reference Score Calculation'!F269</f>
        <v>Best 6</v>
      </c>
      <c r="F292" s="404" t="str">
        <f>'Reference Score Calculation'!AC269</f>
        <v>Best 6</v>
      </c>
      <c r="G292" s="334" t="str">
        <f>入學要求!AB278</f>
        <v>v</v>
      </c>
      <c r="H292" s="334" t="str">
        <f>入學要求!AC278</f>
        <v>NO</v>
      </c>
      <c r="I292" s="334" t="str">
        <f>入學要求!AD278</f>
        <v>NO</v>
      </c>
      <c r="J292" s="391">
        <f t="shared" si="425"/>
        <v>3.8500000000000006E-9</v>
      </c>
      <c r="K292" s="489">
        <v>1</v>
      </c>
      <c r="L292" s="489">
        <v>1.5</v>
      </c>
      <c r="M292" s="489">
        <v>1.5</v>
      </c>
      <c r="N292" s="489"/>
      <c r="O292" s="489">
        <v>1</v>
      </c>
      <c r="P292" s="489">
        <v>1</v>
      </c>
      <c r="Q292" s="489">
        <v>1</v>
      </c>
      <c r="R292" s="489">
        <v>1</v>
      </c>
      <c r="S292" s="489">
        <v>1</v>
      </c>
      <c r="T292" s="489">
        <v>1</v>
      </c>
      <c r="U292" s="398"/>
      <c r="V292" s="391">
        <f t="shared" si="426"/>
        <v>1E-10</v>
      </c>
      <c r="W292" s="391">
        <f t="shared" si="427"/>
        <v>3E-10</v>
      </c>
      <c r="X292" s="391">
        <f t="shared" si="428"/>
        <v>4.5E-10</v>
      </c>
      <c r="Y292" s="391"/>
      <c r="Z292" s="391">
        <f t="shared" si="476"/>
        <v>5.0000000000000003E-10</v>
      </c>
      <c r="AA292" s="391">
        <f t="shared" si="430"/>
        <v>6E-10</v>
      </c>
      <c r="AB292" s="391">
        <f t="shared" si="431"/>
        <v>6.9999999999999996E-10</v>
      </c>
      <c r="AC292" s="391">
        <f t="shared" si="432"/>
        <v>8.0000000000000003E-10</v>
      </c>
      <c r="AD292" s="391">
        <f t="shared" si="433"/>
        <v>8.9999999999999999E-10</v>
      </c>
      <c r="AE292" s="391">
        <f t="shared" si="434"/>
        <v>0</v>
      </c>
      <c r="AF292" s="117">
        <f t="shared" si="435"/>
        <v>1E-10</v>
      </c>
      <c r="AG292" s="117">
        <f t="shared" si="436"/>
        <v>99.000000000300005</v>
      </c>
      <c r="AH292" s="117">
        <f t="shared" si="437"/>
        <v>99.000000000450001</v>
      </c>
      <c r="AI292" s="117">
        <f t="shared" si="438"/>
        <v>0</v>
      </c>
      <c r="AJ292" s="117">
        <f t="shared" si="439"/>
        <v>5.0000000000000003E-10</v>
      </c>
      <c r="AK292" s="117">
        <f t="shared" si="440"/>
        <v>6E-10</v>
      </c>
      <c r="AL292" s="117">
        <f t="shared" si="441"/>
        <v>6.9999999999999996E-10</v>
      </c>
      <c r="AM292" s="117">
        <f t="shared" si="442"/>
        <v>8.0000000000000003E-10</v>
      </c>
      <c r="AN292" s="117">
        <f t="shared" si="443"/>
        <v>8.9999999999999999E-10</v>
      </c>
      <c r="AO292" s="117">
        <f t="shared" si="444"/>
        <v>0</v>
      </c>
      <c r="AP292" s="391" t="b">
        <f t="shared" si="446"/>
        <v>0</v>
      </c>
      <c r="AQ292" s="391" t="b">
        <f t="shared" si="447"/>
        <v>1</v>
      </c>
      <c r="AR292" s="391" t="b">
        <f t="shared" si="448"/>
        <v>1</v>
      </c>
      <c r="AS292" s="391"/>
      <c r="AT292" s="391" t="b">
        <f t="shared" si="449"/>
        <v>0</v>
      </c>
      <c r="AU292" s="391" t="b">
        <f t="shared" si="450"/>
        <v>1</v>
      </c>
      <c r="AV292" s="391" t="b">
        <f t="shared" si="451"/>
        <v>1</v>
      </c>
      <c r="AW292" s="391" t="b">
        <f t="shared" si="452"/>
        <v>1</v>
      </c>
      <c r="AX292" s="391" t="b">
        <f t="shared" si="453"/>
        <v>1</v>
      </c>
      <c r="AY292" s="391" t="b">
        <f t="shared" si="454"/>
        <v>0</v>
      </c>
      <c r="BA292" s="334" t="str">
        <f>'Reference Score Calculation'!N269</f>
        <v>最佳六科必須包括︰英文、數學</v>
      </c>
      <c r="BB292" s="334" t="str">
        <f>'Reference Score Calculation'!O269</f>
        <v>如同學有修讀七科，第七科成績 (x0.2) 會額外加上原有的Best 6分數</v>
      </c>
      <c r="BC292" s="334" t="str">
        <f>INDEX($AF$275:$AO$275,MATCH(LARGE(AF292:AO292,7),AF292:AO292,0))</f>
        <v>數學延伸</v>
      </c>
      <c r="BD292" s="334">
        <f t="shared" si="478"/>
        <v>5.0000000000000003E-10</v>
      </c>
      <c r="BE292" s="334">
        <f t="shared" si="479"/>
        <v>1.0000000000000002E-10</v>
      </c>
      <c r="BF292" s="334" t="str">
        <f t="shared" si="482"/>
        <v>Best 6總分 + 0.0000000001</v>
      </c>
      <c r="BG292" s="334" t="s">
        <v>324</v>
      </c>
      <c r="BH292" s="334"/>
      <c r="BI292" s="334" t="b">
        <v>1</v>
      </c>
      <c r="BJ292" s="334" t="b">
        <v>1</v>
      </c>
      <c r="BK292" s="334"/>
      <c r="BL292" s="334"/>
      <c r="BM292" s="334"/>
      <c r="BN292" s="334"/>
      <c r="BO292" s="334"/>
      <c r="BP292" s="334"/>
      <c r="BQ292" s="334"/>
      <c r="BR292" s="334"/>
      <c r="BS292" s="385"/>
      <c r="BT292" s="395"/>
      <c r="BU292" s="394"/>
      <c r="BV292" s="392"/>
      <c r="BW292" s="392"/>
      <c r="BX292" s="392"/>
      <c r="BY292" s="392"/>
      <c r="BZ292" s="385"/>
      <c r="CA292" s="385"/>
      <c r="CB292" s="394"/>
      <c r="CC292" s="385"/>
      <c r="CD292" s="385"/>
      <c r="CE292" s="395"/>
      <c r="CF292" s="394"/>
      <c r="CG292" s="392"/>
      <c r="CH292" s="392"/>
      <c r="CI292" s="392"/>
      <c r="CJ292" s="392"/>
      <c r="CK292" s="392"/>
      <c r="CL292" s="392"/>
      <c r="CM292" s="392"/>
      <c r="CN292" s="392"/>
      <c r="CO292" s="392"/>
      <c r="CP292" s="392"/>
      <c r="CQ292" s="392"/>
      <c r="CR292" s="392"/>
      <c r="CS292" s="392"/>
    </row>
    <row r="293" spans="1:97" s="384" customFormat="1">
      <c r="A293" s="117"/>
      <c r="B293" s="384" t="str">
        <f>'Reference Score Calculation'!B270</f>
        <v>JS6107</v>
      </c>
      <c r="C293" s="389" t="str">
        <f>'Reference Score Calculation'!E270</f>
        <v>牙醫學士</v>
      </c>
      <c r="D293" s="334"/>
      <c r="E293" s="390" t="str">
        <f>'Reference Score Calculation'!F270</f>
        <v>Best 6</v>
      </c>
      <c r="F293" s="404" t="str">
        <f>'Reference Score Calculation'!AC270</f>
        <v>Best 6</v>
      </c>
      <c r="G293" s="334" t="str">
        <f>入學要求!AB279</f>
        <v>v</v>
      </c>
      <c r="H293" s="334" t="str">
        <f>入學要求!AC279</f>
        <v>NO</v>
      </c>
      <c r="I293" s="334" t="str">
        <f>入學要求!AD279</f>
        <v>NO</v>
      </c>
      <c r="J293" s="391">
        <f t="shared" si="425"/>
        <v>3.9799999999999999E-9</v>
      </c>
      <c r="K293" s="489">
        <v>1</v>
      </c>
      <c r="L293" s="489">
        <v>1</v>
      </c>
      <c r="M293" s="489">
        <v>1</v>
      </c>
      <c r="N293" s="489"/>
      <c r="O293" s="489">
        <v>1</v>
      </c>
      <c r="P293" s="489">
        <f>IF($BZ$282=P$1,1.3,1)</f>
        <v>1.3</v>
      </c>
      <c r="Q293" s="489">
        <f>IF($BZ$282=Q$1,1.3,1)</f>
        <v>1</v>
      </c>
      <c r="R293" s="489">
        <f>IF($BZ$282=R$1,1.3,1)</f>
        <v>1</v>
      </c>
      <c r="S293" s="489">
        <f>IF($BZ$282=S$1,1.3,1)</f>
        <v>1</v>
      </c>
      <c r="T293" s="489">
        <v>1</v>
      </c>
      <c r="U293" s="398"/>
      <c r="V293" s="391">
        <f>IF(K$15,K$8*K293*0.9,K$8*K293)</f>
        <v>1E-10</v>
      </c>
      <c r="W293" s="391">
        <f>IF(L$15,L$8*L293*0.9,L$8*L293)</f>
        <v>2.0000000000000001E-10</v>
      </c>
      <c r="X293" s="391">
        <f>IF(M$15,M$8*M293*0.9,M$8*M293)</f>
        <v>3E-10</v>
      </c>
      <c r="Y293" s="391"/>
      <c r="Z293" s="391">
        <f>IF(O$15,O$8*O293*0.9,$O$8*O293)</f>
        <v>5.0000000000000003E-10</v>
      </c>
      <c r="AA293" s="391">
        <f>IF(P$15,P$8*P293*0.9,P$8*P293)</f>
        <v>7.7999999999999999E-10</v>
      </c>
      <c r="AB293" s="391">
        <f>IF(Q$15,Q$8*Q293*0.9,Q$8*Q293)</f>
        <v>6.9999999999999996E-10</v>
      </c>
      <c r="AC293" s="391">
        <f>IF(R$15,R$8*R293*0.9,R$8*R293)</f>
        <v>8.0000000000000003E-10</v>
      </c>
      <c r="AD293" s="391">
        <f>IF(S$15,S$8*S293*0.9,S$8*S293)</f>
        <v>8.9999999999999999E-10</v>
      </c>
      <c r="AE293" s="391">
        <f t="shared" si="434"/>
        <v>0</v>
      </c>
      <c r="AF293" s="117">
        <f t="shared" si="435"/>
        <v>1E-10</v>
      </c>
      <c r="AG293" s="117">
        <f t="shared" si="436"/>
        <v>2.0000000000000001E-10</v>
      </c>
      <c r="AH293" s="117">
        <f t="shared" si="437"/>
        <v>99.000000000300005</v>
      </c>
      <c r="AI293" s="117">
        <f t="shared" si="438"/>
        <v>0</v>
      </c>
      <c r="AJ293" s="117">
        <f t="shared" si="439"/>
        <v>99.000000000499995</v>
      </c>
      <c r="AK293" s="117">
        <f t="shared" si="440"/>
        <v>99.000000000780005</v>
      </c>
      <c r="AL293" s="117">
        <f t="shared" si="441"/>
        <v>99.000000000699998</v>
      </c>
      <c r="AM293" s="117">
        <f t="shared" si="442"/>
        <v>99.0000000008</v>
      </c>
      <c r="AN293" s="117">
        <f t="shared" si="443"/>
        <v>99.000000000900002</v>
      </c>
      <c r="AO293" s="117">
        <f t="shared" si="444"/>
        <v>0</v>
      </c>
      <c r="AP293" s="391" t="b">
        <f t="shared" si="446"/>
        <v>0</v>
      </c>
      <c r="AQ293" s="391" t="b">
        <f t="shared" si="447"/>
        <v>0</v>
      </c>
      <c r="AR293" s="391" t="b">
        <f t="shared" si="448"/>
        <v>1</v>
      </c>
      <c r="AS293" s="391"/>
      <c r="AT293" s="391" t="b">
        <f t="shared" si="449"/>
        <v>1</v>
      </c>
      <c r="AU293" s="391" t="b">
        <f t="shared" si="450"/>
        <v>1</v>
      </c>
      <c r="AV293" s="391" t="b">
        <f t="shared" si="451"/>
        <v>1</v>
      </c>
      <c r="AW293" s="391" t="b">
        <f t="shared" si="452"/>
        <v>1</v>
      </c>
      <c r="AX293" s="391" t="b">
        <f t="shared" si="453"/>
        <v>1</v>
      </c>
      <c r="AY293" s="391" t="b">
        <f t="shared" si="454"/>
        <v>0</v>
      </c>
      <c r="AZ293" s="397">
        <v>0.1</v>
      </c>
      <c r="BA293" s="334" t="str">
        <f>'Reference Score Calculation'!N270</f>
        <v>最佳六科必須包括 最佳理科*</v>
      </c>
      <c r="BB293" s="334" t="str">
        <f>'Reference Score Calculation'!O270</f>
        <v>*理科: 生物、化學</v>
      </c>
      <c r="BC293" s="334"/>
      <c r="BD293" s="334"/>
      <c r="BE293" s="334"/>
      <c r="BF293" s="334"/>
      <c r="BG293" s="334" t="s">
        <v>324</v>
      </c>
      <c r="BH293" s="444" t="b">
        <f>CC283</f>
        <v>0</v>
      </c>
      <c r="BI293" s="444" t="b">
        <f t="shared" ref="BI293:BQ293" si="486">CD283</f>
        <v>0</v>
      </c>
      <c r="BJ293" s="444" t="b">
        <f t="shared" si="486"/>
        <v>1</v>
      </c>
      <c r="BK293" s="444">
        <f t="shared" si="486"/>
        <v>0</v>
      </c>
      <c r="BL293" s="444" t="b">
        <f t="shared" si="486"/>
        <v>1</v>
      </c>
      <c r="BM293" s="444" t="b">
        <f t="shared" si="486"/>
        <v>1</v>
      </c>
      <c r="BN293" s="444" t="b">
        <f t="shared" si="486"/>
        <v>1</v>
      </c>
      <c r="BO293" s="444" t="b">
        <f t="shared" si="486"/>
        <v>1</v>
      </c>
      <c r="BP293" s="444" t="b">
        <f t="shared" si="486"/>
        <v>1</v>
      </c>
      <c r="BQ293" s="444">
        <f t="shared" si="486"/>
        <v>0</v>
      </c>
      <c r="BR293" s="334" t="s">
        <v>507</v>
      </c>
      <c r="BS293" s="385"/>
      <c r="BT293" s="393"/>
      <c r="BU293" s="393"/>
      <c r="BV293" s="392"/>
      <c r="BW293" s="392"/>
      <c r="BX293" s="392"/>
      <c r="BY293" s="392"/>
      <c r="BZ293" s="396" t="s">
        <v>278</v>
      </c>
      <c r="CA293" s="385"/>
      <c r="CB293" s="385"/>
      <c r="CC293" s="396" t="s">
        <v>3152</v>
      </c>
      <c r="CD293" s="385"/>
      <c r="CE293" s="385"/>
      <c r="CF293" s="394"/>
      <c r="CG293" s="393" t="str">
        <f>K$1</f>
        <v>中國語文</v>
      </c>
      <c r="CH293" s="393" t="str">
        <f>L$1</f>
        <v>英國語文</v>
      </c>
      <c r="CI293" s="393" t="str">
        <f>M$1</f>
        <v>數學</v>
      </c>
      <c r="CJ293" s="394"/>
      <c r="CK293" s="393" t="str">
        <f>O$1</f>
        <v>數學延伸</v>
      </c>
      <c r="CL293" s="393" t="str">
        <f>P$1</f>
        <v>請選擇第一選修科</v>
      </c>
      <c r="CM293" s="393" t="str">
        <f>Q$1</f>
        <v>請選擇第二選修科</v>
      </c>
      <c r="CN293" s="393" t="str">
        <f>R$1</f>
        <v>請選擇第三選修科</v>
      </c>
      <c r="CO293" s="393" t="str">
        <f>S$1</f>
        <v>請選擇第四選修科</v>
      </c>
      <c r="CP293" s="393"/>
      <c r="CQ293" s="392"/>
      <c r="CR293" s="392"/>
      <c r="CS293" s="392"/>
    </row>
    <row r="294" spans="1:97" s="384" customFormat="1">
      <c r="A294" s="117"/>
      <c r="B294" s="384" t="str">
        <f>'Reference Score Calculation'!B271</f>
        <v>JS6066</v>
      </c>
      <c r="C294" s="389" t="str">
        <f>'Reference Score Calculation'!E271</f>
        <v>文學士及教育學士(語文教育) - 英文教育</v>
      </c>
      <c r="D294" s="334"/>
      <c r="E294" s="390" t="str">
        <f>'Reference Score Calculation'!F271</f>
        <v>Best 5</v>
      </c>
      <c r="F294" s="404" t="str">
        <f>'Reference Score Calculation'!AC271</f>
        <v>Best 5</v>
      </c>
      <c r="G294" s="334" t="str">
        <f>入學要求!AB280</f>
        <v>v</v>
      </c>
      <c r="H294" s="334" t="str">
        <f>入學要求!AC280</f>
        <v>NO</v>
      </c>
      <c r="I294" s="334" t="str">
        <f>入學要求!AD280</f>
        <v>NO</v>
      </c>
      <c r="J294" s="391">
        <f t="shared" si="425"/>
        <v>3.2999999999999998E-9</v>
      </c>
      <c r="K294" s="489">
        <v>1</v>
      </c>
      <c r="L294" s="489">
        <v>1.5</v>
      </c>
      <c r="M294" s="489">
        <v>1</v>
      </c>
      <c r="N294" s="489"/>
      <c r="O294" s="489">
        <v>1</v>
      </c>
      <c r="P294" s="489">
        <v>1</v>
      </c>
      <c r="Q294" s="489">
        <v>1</v>
      </c>
      <c r="R294" s="489">
        <v>1</v>
      </c>
      <c r="S294" s="489">
        <v>1</v>
      </c>
      <c r="T294" s="489">
        <v>1</v>
      </c>
      <c r="U294" s="398"/>
      <c r="V294" s="391">
        <f t="shared" ref="V294:V298" si="487">K$8*K294</f>
        <v>1E-10</v>
      </c>
      <c r="W294" s="391">
        <f t="shared" ref="W294:W298" si="488">L$8*L294</f>
        <v>3E-10</v>
      </c>
      <c r="X294" s="391">
        <f t="shared" ref="X294:X298" si="489">M$8*M294</f>
        <v>3E-10</v>
      </c>
      <c r="Y294" s="391"/>
      <c r="Z294" s="391">
        <f t="shared" ref="Z294:Z298" si="490">O$8*O294</f>
        <v>5.0000000000000003E-10</v>
      </c>
      <c r="AA294" s="391">
        <f t="shared" ref="AA294:AA298" si="491">P$8*P294</f>
        <v>6E-10</v>
      </c>
      <c r="AB294" s="391">
        <f t="shared" ref="AB294:AB298" si="492">Q$8*Q294</f>
        <v>6.9999999999999996E-10</v>
      </c>
      <c r="AC294" s="391">
        <f t="shared" ref="AC294:AC298" si="493">R$8*R294</f>
        <v>8.0000000000000003E-10</v>
      </c>
      <c r="AD294" s="391">
        <f t="shared" ref="AD294:AD298" si="494">S$8*S294</f>
        <v>8.9999999999999999E-10</v>
      </c>
      <c r="AE294" s="391">
        <f t="shared" si="434"/>
        <v>0</v>
      </c>
      <c r="AF294" s="117">
        <f t="shared" si="435"/>
        <v>1E-10</v>
      </c>
      <c r="AG294" s="117">
        <f t="shared" si="436"/>
        <v>99.000000000300005</v>
      </c>
      <c r="AH294" s="117">
        <f t="shared" si="437"/>
        <v>3E-10</v>
      </c>
      <c r="AI294" s="117">
        <f t="shared" si="438"/>
        <v>0</v>
      </c>
      <c r="AJ294" s="117">
        <f t="shared" si="439"/>
        <v>5.0000000000000003E-10</v>
      </c>
      <c r="AK294" s="117">
        <f t="shared" si="440"/>
        <v>6E-10</v>
      </c>
      <c r="AL294" s="117">
        <f t="shared" si="441"/>
        <v>6.9999999999999996E-10</v>
      </c>
      <c r="AM294" s="117">
        <f t="shared" si="442"/>
        <v>8.0000000000000003E-10</v>
      </c>
      <c r="AN294" s="117">
        <f t="shared" si="443"/>
        <v>8.9999999999999999E-10</v>
      </c>
      <c r="AO294" s="117">
        <f t="shared" si="444"/>
        <v>0</v>
      </c>
      <c r="AP294" s="391" t="b">
        <f t="shared" si="446"/>
        <v>0</v>
      </c>
      <c r="AQ294" s="391" t="b">
        <f t="shared" si="447"/>
        <v>1</v>
      </c>
      <c r="AR294" s="391" t="b">
        <f t="shared" si="448"/>
        <v>0</v>
      </c>
      <c r="AS294" s="391"/>
      <c r="AT294" s="391" t="b">
        <f t="shared" si="449"/>
        <v>0</v>
      </c>
      <c r="AU294" s="391" t="b">
        <f t="shared" si="450"/>
        <v>1</v>
      </c>
      <c r="AV294" s="391" t="b">
        <f t="shared" si="451"/>
        <v>1</v>
      </c>
      <c r="AW294" s="391" t="b">
        <f t="shared" si="452"/>
        <v>1</v>
      </c>
      <c r="AX294" s="391" t="b">
        <f t="shared" si="453"/>
        <v>1</v>
      </c>
      <c r="AY294" s="391" t="b">
        <f t="shared" si="454"/>
        <v>0</v>
      </c>
      <c r="BA294" s="334" t="str">
        <f>'Reference Score Calculation'!N271</f>
        <v>最佳五科必須包括︰英文</v>
      </c>
      <c r="BB294" s="334" t="str">
        <f>'Reference Score Calculation'!O271</f>
        <v>/</v>
      </c>
      <c r="BC294" s="334"/>
      <c r="BD294" s="334"/>
      <c r="BE294" s="334"/>
      <c r="BF294" s="334"/>
      <c r="BG294" s="334" t="s">
        <v>324</v>
      </c>
      <c r="BH294" s="334"/>
      <c r="BI294" s="334" t="b">
        <v>1</v>
      </c>
      <c r="BJ294" s="334"/>
      <c r="BK294" s="334"/>
      <c r="BL294" s="334"/>
      <c r="BM294" s="334"/>
      <c r="BN294" s="334"/>
      <c r="BO294" s="334"/>
      <c r="BP294" s="334"/>
      <c r="BQ294" s="334"/>
      <c r="BR294" s="334"/>
      <c r="BS294" s="490" t="s">
        <v>492</v>
      </c>
      <c r="BT294" s="491" t="s">
        <v>365</v>
      </c>
      <c r="BU294" s="492"/>
      <c r="BV294" s="392"/>
      <c r="BW294" s="392"/>
      <c r="BX294" s="392"/>
      <c r="BY294" s="392"/>
      <c r="BZ294" s="384" t="str">
        <f>INDEX(BT281:BW281,MATCH(LARGE(BT282:BW282,1),BT282:BW282,0))</f>
        <v>請選擇第一選修科</v>
      </c>
      <c r="CA294" s="384">
        <f>LARGE((BT282:BW282),1)</f>
        <v>0</v>
      </c>
      <c r="CB294" s="385"/>
      <c r="CC294" s="384" t="str">
        <f>IF($M$8&gt;$O$8,$M$1,$O$1)</f>
        <v>數學延伸</v>
      </c>
      <c r="CD294" s="384">
        <f>IF($M$8&gt;$O$8,$M$8,$O$8)</f>
        <v>5.0000000000000003E-10</v>
      </c>
      <c r="CE294" s="385"/>
      <c r="CF294" s="394"/>
      <c r="CG294" s="390">
        <f>K$8</f>
        <v>1E-10</v>
      </c>
      <c r="CH294" s="390">
        <v>0</v>
      </c>
      <c r="CI294" s="390">
        <f>IF(CI293=$CC$294,0,M$8)</f>
        <v>3E-10</v>
      </c>
      <c r="CJ294" s="394"/>
      <c r="CK294" s="390">
        <f>IF(CK293=$CC$294,0,O$8)</f>
        <v>0</v>
      </c>
      <c r="CL294" s="390">
        <f>IF(CL293=$BZ$294,0,P$8)</f>
        <v>0</v>
      </c>
      <c r="CM294" s="390">
        <f>IF(CM293=$BZ$294,0,Q$8)</f>
        <v>6.9999999999999996E-10</v>
      </c>
      <c r="CN294" s="390">
        <f>IF(CN293=$BZ$294,0,R$8)</f>
        <v>8.0000000000000003E-10</v>
      </c>
      <c r="CO294" s="390">
        <f>IF(CO293=$BZ$294,0,S$8)</f>
        <v>8.9999999999999999E-10</v>
      </c>
      <c r="CP294" s="390"/>
      <c r="CQ294" s="392"/>
      <c r="CR294" s="392"/>
      <c r="CS294" s="392"/>
    </row>
    <row r="295" spans="1:97" s="384" customFormat="1">
      <c r="A295" s="117"/>
      <c r="B295" s="384" t="str">
        <f>'Reference Score Calculation'!B272</f>
        <v>JS6080</v>
      </c>
      <c r="C295" s="389" t="str">
        <f>'Reference Score Calculation'!E272</f>
        <v>文學士及教育學士(語文教育) - 中文教育</v>
      </c>
      <c r="D295" s="334"/>
      <c r="E295" s="390" t="str">
        <f>'Reference Score Calculation'!F272</f>
        <v>Best 5</v>
      </c>
      <c r="F295" s="404" t="str">
        <f>'Reference Score Calculation'!AC272</f>
        <v>Best 5</v>
      </c>
      <c r="G295" s="334" t="str">
        <f>入學要求!AB281</f>
        <v>v</v>
      </c>
      <c r="H295" s="334" t="str">
        <f>入學要求!AC281</f>
        <v>NO</v>
      </c>
      <c r="I295" s="334" t="str">
        <f>入學要求!AD281</f>
        <v>NO</v>
      </c>
      <c r="J295" s="391">
        <f t="shared" si="425"/>
        <v>3.1500000000000001E-9</v>
      </c>
      <c r="K295" s="489">
        <v>1.5</v>
      </c>
      <c r="L295" s="489">
        <v>1</v>
      </c>
      <c r="M295" s="489">
        <v>1</v>
      </c>
      <c r="N295" s="489"/>
      <c r="O295" s="489">
        <v>1</v>
      </c>
      <c r="P295" s="489">
        <v>1</v>
      </c>
      <c r="Q295" s="489">
        <v>1</v>
      </c>
      <c r="R295" s="489">
        <v>1</v>
      </c>
      <c r="S295" s="489">
        <v>1</v>
      </c>
      <c r="T295" s="489">
        <v>1</v>
      </c>
      <c r="U295" s="398"/>
      <c r="V295" s="391">
        <f t="shared" si="487"/>
        <v>1.5E-10</v>
      </c>
      <c r="W295" s="391">
        <f t="shared" si="488"/>
        <v>2.0000000000000001E-10</v>
      </c>
      <c r="X295" s="391">
        <f t="shared" si="489"/>
        <v>3E-10</v>
      </c>
      <c r="Y295" s="391"/>
      <c r="Z295" s="391">
        <f t="shared" si="490"/>
        <v>5.0000000000000003E-10</v>
      </c>
      <c r="AA295" s="391">
        <f t="shared" si="491"/>
        <v>6E-10</v>
      </c>
      <c r="AB295" s="391">
        <f t="shared" si="492"/>
        <v>6.9999999999999996E-10</v>
      </c>
      <c r="AC295" s="391">
        <f t="shared" si="493"/>
        <v>8.0000000000000003E-10</v>
      </c>
      <c r="AD295" s="391">
        <f t="shared" si="494"/>
        <v>8.9999999999999999E-10</v>
      </c>
      <c r="AE295" s="391">
        <f t="shared" si="434"/>
        <v>0</v>
      </c>
      <c r="AF295" s="117">
        <f t="shared" si="435"/>
        <v>99.000000000149996</v>
      </c>
      <c r="AG295" s="117">
        <f t="shared" si="436"/>
        <v>2.0000000000000001E-10</v>
      </c>
      <c r="AH295" s="117">
        <f t="shared" si="437"/>
        <v>3E-10</v>
      </c>
      <c r="AI295" s="117">
        <f t="shared" si="438"/>
        <v>0</v>
      </c>
      <c r="AJ295" s="117">
        <f t="shared" si="439"/>
        <v>5.0000000000000003E-10</v>
      </c>
      <c r="AK295" s="117">
        <f t="shared" si="440"/>
        <v>6E-10</v>
      </c>
      <c r="AL295" s="117">
        <f t="shared" si="441"/>
        <v>6.9999999999999996E-10</v>
      </c>
      <c r="AM295" s="117">
        <f t="shared" si="442"/>
        <v>8.0000000000000003E-10</v>
      </c>
      <c r="AN295" s="117">
        <f t="shared" si="443"/>
        <v>8.9999999999999999E-10</v>
      </c>
      <c r="AO295" s="117">
        <f t="shared" si="444"/>
        <v>0</v>
      </c>
      <c r="AP295" s="391" t="b">
        <f t="shared" si="446"/>
        <v>1</v>
      </c>
      <c r="AQ295" s="391" t="b">
        <f t="shared" si="447"/>
        <v>0</v>
      </c>
      <c r="AR295" s="391" t="b">
        <f t="shared" si="448"/>
        <v>0</v>
      </c>
      <c r="AS295" s="391"/>
      <c r="AT295" s="391" t="b">
        <f t="shared" si="449"/>
        <v>0</v>
      </c>
      <c r="AU295" s="391" t="b">
        <f t="shared" si="450"/>
        <v>1</v>
      </c>
      <c r="AV295" s="391" t="b">
        <f t="shared" si="451"/>
        <v>1</v>
      </c>
      <c r="AW295" s="391" t="b">
        <f t="shared" si="452"/>
        <v>1</v>
      </c>
      <c r="AX295" s="391" t="b">
        <f t="shared" si="453"/>
        <v>1</v>
      </c>
      <c r="AY295" s="391" t="b">
        <f t="shared" si="454"/>
        <v>0</v>
      </c>
      <c r="BA295" s="334" t="str">
        <f>'Reference Score Calculation'!N272</f>
        <v>最佳五科必須包括︰中文</v>
      </c>
      <c r="BB295" s="334" t="str">
        <f>'Reference Score Calculation'!O272</f>
        <v>/</v>
      </c>
      <c r="BC295" s="334"/>
      <c r="BD295" s="334"/>
      <c r="BE295" s="334"/>
      <c r="BF295" s="334"/>
      <c r="BG295" s="334" t="s">
        <v>324</v>
      </c>
      <c r="BH295" s="334" t="b">
        <v>1</v>
      </c>
      <c r="BI295" s="334"/>
      <c r="BJ295" s="334"/>
      <c r="BK295" s="334"/>
      <c r="BL295" s="334"/>
      <c r="BM295" s="334"/>
      <c r="BN295" s="334"/>
      <c r="BO295" s="334"/>
      <c r="BP295" s="334"/>
      <c r="BQ295" s="334"/>
      <c r="BR295" s="334"/>
      <c r="BS295" s="490"/>
      <c r="BT295" s="491"/>
      <c r="BU295" s="492"/>
      <c r="BV295" s="392"/>
      <c r="BW295" s="392"/>
      <c r="BX295" s="392"/>
      <c r="BY295" s="392"/>
      <c r="BZ295" s="385"/>
      <c r="CA295" s="385"/>
      <c r="CB295" s="385"/>
      <c r="CC295" s="385"/>
      <c r="CD295" s="385"/>
      <c r="CE295" s="385"/>
      <c r="CF295" s="394"/>
      <c r="CG295" s="395" t="b">
        <f>IF(CG294&gt;LARGE($CG294:$CP294,4),TRUE)</f>
        <v>0</v>
      </c>
      <c r="CH295" s="395" t="b">
        <v>1</v>
      </c>
      <c r="CI295" s="395" t="b">
        <f>IF(CI$293=$CC$294,TRUE,IF(CI294&gt;LARGE($CG$294:$CO$294,4),TRUE))</f>
        <v>0</v>
      </c>
      <c r="CJ295" s="394"/>
      <c r="CK295" s="395" t="b">
        <f>IF(CK$293=$CC$294,TRUE,IF(CK294&gt;LARGE($CG$294:$CO$294,4),TRUE))</f>
        <v>1</v>
      </c>
      <c r="CL295" s="395" t="b">
        <f>IF(CL294&gt;LARGE($CG294:$CP294,4),TRUE,IF(CL293=$BZ$294,TRUE,FALSE))</f>
        <v>1</v>
      </c>
      <c r="CM295" s="395" t="b">
        <f>IF(CM294&gt;LARGE($CG294:$CP294,4),TRUE,IF(CM293=$BZ$294,TRUE,FALSE))</f>
        <v>1</v>
      </c>
      <c r="CN295" s="395" t="b">
        <f>IF(CN294&gt;LARGE($CG294:$CP294,4),TRUE,IF(CN293=$BZ$294,TRUE,FALSE))</f>
        <v>1</v>
      </c>
      <c r="CO295" s="395" t="b">
        <f>IF(CO294&gt;LARGE($CG294:$CP294,4),TRUE,IF(CO293=$BZ$294,TRUE,FALSE))</f>
        <v>1</v>
      </c>
      <c r="CP295" s="395"/>
      <c r="CQ295" s="392"/>
      <c r="CR295" s="392"/>
      <c r="CS295" s="392"/>
    </row>
    <row r="296" spans="1:97" s="384" customFormat="1">
      <c r="A296" s="117"/>
      <c r="B296" s="384" t="str">
        <f>'Reference Score Calculation'!B273</f>
        <v>JS6092</v>
      </c>
      <c r="C296" s="389" t="str">
        <f>'Reference Score Calculation'!E273</f>
        <v>教育學士(幼兒教育及特殊教育)</v>
      </c>
      <c r="D296" s="334"/>
      <c r="E296" s="390" t="str">
        <f>'Reference Score Calculation'!F273</f>
        <v>Best 5</v>
      </c>
      <c r="F296" s="404" t="str">
        <f>'Reference Score Calculation'!AC273</f>
        <v>Best 5</v>
      </c>
      <c r="G296" s="334" t="str">
        <f>入學要求!AB282</f>
        <v>v</v>
      </c>
      <c r="H296" s="334" t="str">
        <f>入學要求!AC282</f>
        <v>NO</v>
      </c>
      <c r="I296" s="334" t="str">
        <f>入學要求!AD282</f>
        <v>NO</v>
      </c>
      <c r="J296" s="391">
        <f t="shared" si="425"/>
        <v>3.2999999999999998E-9</v>
      </c>
      <c r="K296" s="489">
        <v>1.2</v>
      </c>
      <c r="L296" s="489">
        <v>1.5</v>
      </c>
      <c r="M296" s="489">
        <v>1</v>
      </c>
      <c r="N296" s="489"/>
      <c r="O296" s="489">
        <v>1</v>
      </c>
      <c r="P296" s="489">
        <v>1</v>
      </c>
      <c r="Q296" s="489">
        <v>1</v>
      </c>
      <c r="R296" s="489">
        <v>1</v>
      </c>
      <c r="S296" s="489">
        <v>1</v>
      </c>
      <c r="T296" s="489">
        <v>1</v>
      </c>
      <c r="U296" s="398"/>
      <c r="V296" s="391">
        <f t="shared" si="487"/>
        <v>1.2E-10</v>
      </c>
      <c r="W296" s="391">
        <f t="shared" si="488"/>
        <v>3E-10</v>
      </c>
      <c r="X296" s="391">
        <f t="shared" si="489"/>
        <v>3E-10</v>
      </c>
      <c r="Y296" s="391"/>
      <c r="Z296" s="391">
        <f t="shared" si="490"/>
        <v>5.0000000000000003E-10</v>
      </c>
      <c r="AA296" s="391">
        <f t="shared" si="491"/>
        <v>6E-10</v>
      </c>
      <c r="AB296" s="391">
        <f t="shared" si="492"/>
        <v>6.9999999999999996E-10</v>
      </c>
      <c r="AC296" s="391">
        <f t="shared" si="493"/>
        <v>8.0000000000000003E-10</v>
      </c>
      <c r="AD296" s="391">
        <f t="shared" si="494"/>
        <v>8.9999999999999999E-10</v>
      </c>
      <c r="AE296" s="391">
        <f t="shared" si="434"/>
        <v>0</v>
      </c>
      <c r="AF296" s="117">
        <f t="shared" si="435"/>
        <v>1.2E-10</v>
      </c>
      <c r="AG296" s="117">
        <f t="shared" si="436"/>
        <v>99.000000000300005</v>
      </c>
      <c r="AH296" s="117">
        <f t="shared" si="437"/>
        <v>3E-10</v>
      </c>
      <c r="AI296" s="117">
        <f t="shared" si="438"/>
        <v>0</v>
      </c>
      <c r="AJ296" s="117">
        <f t="shared" si="439"/>
        <v>5.0000000000000003E-10</v>
      </c>
      <c r="AK296" s="117">
        <f t="shared" si="440"/>
        <v>6E-10</v>
      </c>
      <c r="AL296" s="117">
        <f t="shared" si="441"/>
        <v>6.9999999999999996E-10</v>
      </c>
      <c r="AM296" s="117">
        <f t="shared" si="442"/>
        <v>8.0000000000000003E-10</v>
      </c>
      <c r="AN296" s="117">
        <f t="shared" si="443"/>
        <v>8.9999999999999999E-10</v>
      </c>
      <c r="AO296" s="117">
        <f t="shared" si="444"/>
        <v>0</v>
      </c>
      <c r="AP296" s="391" t="b">
        <f t="shared" si="446"/>
        <v>0</v>
      </c>
      <c r="AQ296" s="391" t="b">
        <f t="shared" si="447"/>
        <v>1</v>
      </c>
      <c r="AR296" s="391" t="b">
        <f t="shared" si="448"/>
        <v>0</v>
      </c>
      <c r="AS296" s="391"/>
      <c r="AT296" s="391" t="b">
        <f t="shared" si="449"/>
        <v>0</v>
      </c>
      <c r="AU296" s="391" t="b">
        <f t="shared" si="450"/>
        <v>1</v>
      </c>
      <c r="AV296" s="391" t="b">
        <f t="shared" si="451"/>
        <v>1</v>
      </c>
      <c r="AW296" s="391" t="b">
        <f t="shared" si="452"/>
        <v>1</v>
      </c>
      <c r="AX296" s="391" t="b">
        <f t="shared" si="453"/>
        <v>1</v>
      </c>
      <c r="AY296" s="391" t="b">
        <f t="shared" si="454"/>
        <v>0</v>
      </c>
      <c r="BA296" s="334" t="str">
        <f>'Reference Score Calculation'!N273</f>
        <v>最佳五科必須包括︰中文、英文</v>
      </c>
      <c r="BB296" s="334" t="str">
        <f>'Reference Score Calculation'!O273</f>
        <v>/</v>
      </c>
      <c r="BC296" s="334"/>
      <c r="BD296" s="334"/>
      <c r="BE296" s="334"/>
      <c r="BF296" s="334"/>
      <c r="BG296" s="334" t="s">
        <v>324</v>
      </c>
      <c r="BH296" s="334"/>
      <c r="BI296" s="334" t="b">
        <v>1</v>
      </c>
      <c r="BJ296" s="334"/>
      <c r="BK296" s="334"/>
      <c r="BL296" s="334"/>
      <c r="BM296" s="334"/>
      <c r="BN296" s="334"/>
      <c r="BO296" s="334"/>
      <c r="BP296" s="334"/>
      <c r="BQ296" s="334"/>
      <c r="BR296" s="334"/>
      <c r="BS296" s="490"/>
      <c r="BT296" s="491"/>
      <c r="BU296" s="492"/>
      <c r="BV296" s="392"/>
      <c r="BW296" s="392"/>
      <c r="BX296" s="392"/>
      <c r="BY296" s="392"/>
      <c r="BZ296" s="385"/>
      <c r="CA296" s="385"/>
      <c r="CB296" s="385"/>
      <c r="CC296" s="385"/>
      <c r="CD296" s="385"/>
      <c r="CE296" s="395"/>
      <c r="CF296" s="394"/>
      <c r="CG296" s="392"/>
      <c r="CH296" s="392"/>
      <c r="CI296" s="392"/>
      <c r="CJ296" s="392"/>
      <c r="CK296" s="392"/>
      <c r="CL296" s="392"/>
      <c r="CM296" s="392"/>
      <c r="CN296" s="392"/>
      <c r="CO296" s="385"/>
      <c r="CP296" s="385"/>
      <c r="CQ296" s="385"/>
      <c r="CR296" s="392"/>
      <c r="CS296" s="392"/>
    </row>
    <row r="297" spans="1:97" s="384" customFormat="1">
      <c r="A297" s="117"/>
      <c r="B297" s="384" t="str">
        <f>'Reference Score Calculation'!B274</f>
        <v>JS6119</v>
      </c>
      <c r="C297" s="389" t="str">
        <f>'Reference Score Calculation'!E274</f>
        <v>教育學士及理學士</v>
      </c>
      <c r="D297" s="334"/>
      <c r="E297" s="390" t="str">
        <f>'Reference Score Calculation'!F274</f>
        <v>Best 5</v>
      </c>
      <c r="F297" s="404" t="str">
        <f>'Reference Score Calculation'!AC274</f>
        <v>Best 5</v>
      </c>
      <c r="G297" s="334" t="str">
        <f>入學要求!AB283</f>
        <v>v</v>
      </c>
      <c r="H297" s="334" t="str">
        <f>入學要求!AC283</f>
        <v>NO</v>
      </c>
      <c r="I297" s="334" t="str">
        <f>入學要求!AD283</f>
        <v>NO</v>
      </c>
      <c r="J297" s="391">
        <f t="shared" si="425"/>
        <v>2.9499999999999999E-9</v>
      </c>
      <c r="K297" s="489">
        <v>1</v>
      </c>
      <c r="L297" s="489">
        <v>1</v>
      </c>
      <c r="M297" s="489">
        <v>1.5</v>
      </c>
      <c r="N297" s="489"/>
      <c r="O297" s="489">
        <v>1.5</v>
      </c>
      <c r="P297" s="489">
        <f>IF(OR(P$1="化學",P$1="生物",P$1="組合科學(物理、化學)",P$1="組合科學(生物、化學)",P$1="組合科學(物理、生物)",P$1="物理",P$1="綜合科學"),1.5,1)</f>
        <v>1</v>
      </c>
      <c r="Q297" s="489">
        <f>IF(OR(Q$1="化學",Q$1="生物",Q$1="組合科學(物理、化學)",Q$1="組合科學(生物、化學)",Q$1="組合科學(物理、生物)",Q$1="物理",Q$1="綜合科學"),1.5,1)</f>
        <v>1</v>
      </c>
      <c r="R297" s="489">
        <f>IF(OR(R$1="化學",R$1="生物",R$1="組合科學(物理、化學)",R$1="組合科學(生物、化學)",R$1="組合科學(物理、生物)",R$1="物理",R$1="綜合科學"),1.5,1)</f>
        <v>1</v>
      </c>
      <c r="S297" s="489">
        <f>IF(OR(S$1="化學",S$1="生物",S$1="組合科學(物理、化學)",S$1="組合科學(生物、化學)",S$1="組合科學(物理、生物)",S$1="物理",S$1="綜合科學"),1.5,1)</f>
        <v>1</v>
      </c>
      <c r="T297" s="489">
        <v>1</v>
      </c>
      <c r="U297" s="398"/>
      <c r="V297" s="391">
        <f t="shared" si="487"/>
        <v>1E-10</v>
      </c>
      <c r="W297" s="391">
        <f t="shared" si="488"/>
        <v>2.0000000000000001E-10</v>
      </c>
      <c r="X297" s="391">
        <f t="shared" si="489"/>
        <v>4.5E-10</v>
      </c>
      <c r="Y297" s="391"/>
      <c r="Z297" s="391">
        <f t="shared" si="490"/>
        <v>7.500000000000001E-10</v>
      </c>
      <c r="AA297" s="391">
        <f t="shared" si="491"/>
        <v>6E-10</v>
      </c>
      <c r="AB297" s="391">
        <f t="shared" si="492"/>
        <v>6.9999999999999996E-10</v>
      </c>
      <c r="AC297" s="391">
        <f t="shared" si="493"/>
        <v>8.0000000000000003E-10</v>
      </c>
      <c r="AD297" s="391">
        <f t="shared" si="494"/>
        <v>8.9999999999999999E-10</v>
      </c>
      <c r="AE297" s="391">
        <f t="shared" si="434"/>
        <v>0</v>
      </c>
      <c r="AF297" s="117">
        <f t="shared" si="435"/>
        <v>1E-10</v>
      </c>
      <c r="AG297" s="117">
        <f t="shared" si="436"/>
        <v>99.000000000200004</v>
      </c>
      <c r="AH297" s="117">
        <f t="shared" si="437"/>
        <v>99.000000000450001</v>
      </c>
      <c r="AI297" s="117">
        <f t="shared" si="438"/>
        <v>0</v>
      </c>
      <c r="AJ297" s="117">
        <f t="shared" si="439"/>
        <v>7.500000000000001E-10</v>
      </c>
      <c r="AK297" s="117">
        <f t="shared" si="440"/>
        <v>99.000000000599996</v>
      </c>
      <c r="AL297" s="117">
        <f t="shared" si="441"/>
        <v>6.9999999999999996E-10</v>
      </c>
      <c r="AM297" s="117">
        <f t="shared" si="442"/>
        <v>8.0000000000000003E-10</v>
      </c>
      <c r="AN297" s="117">
        <f t="shared" si="443"/>
        <v>99.000000000900002</v>
      </c>
      <c r="AO297" s="117">
        <f t="shared" si="444"/>
        <v>0</v>
      </c>
      <c r="AP297" s="391" t="b">
        <f t="shared" si="446"/>
        <v>0</v>
      </c>
      <c r="AQ297" s="391" t="b">
        <f t="shared" si="447"/>
        <v>1</v>
      </c>
      <c r="AR297" s="391" t="b">
        <f t="shared" si="448"/>
        <v>1</v>
      </c>
      <c r="AS297" s="391"/>
      <c r="AT297" s="391" t="b">
        <f t="shared" si="449"/>
        <v>0</v>
      </c>
      <c r="AU297" s="391" t="b">
        <f t="shared" si="450"/>
        <v>1</v>
      </c>
      <c r="AV297" s="391" t="b">
        <f t="shared" si="451"/>
        <v>0</v>
      </c>
      <c r="AW297" s="391" t="b">
        <f t="shared" si="452"/>
        <v>1</v>
      </c>
      <c r="AX297" s="391" t="b">
        <f t="shared" si="453"/>
        <v>1</v>
      </c>
      <c r="AY297" s="391" t="b">
        <f t="shared" si="454"/>
        <v>0</v>
      </c>
      <c r="BA297" s="334" t="str">
        <f>'Reference Score Calculation'!N274</f>
        <v>最佳五科必須包括︰英文、數學、最佳理科*</v>
      </c>
      <c r="BB297" s="334" t="str">
        <f>'Reference Score Calculation'!O274</f>
        <v>*理科: 生物、化學、物理、組合科學、綜合科學</v>
      </c>
      <c r="BC297" s="334"/>
      <c r="BD297" s="334"/>
      <c r="BE297" s="334"/>
      <c r="BF297" s="334"/>
      <c r="BG297" s="334" t="s">
        <v>324</v>
      </c>
      <c r="BH297" s="444" t="b">
        <f>CC287</f>
        <v>0</v>
      </c>
      <c r="BI297" s="444" t="b">
        <f t="shared" ref="BI297:BQ297" si="495">CD287</f>
        <v>1</v>
      </c>
      <c r="BJ297" s="444" t="b">
        <f t="shared" si="495"/>
        <v>1</v>
      </c>
      <c r="BK297" s="444">
        <f t="shared" si="495"/>
        <v>0</v>
      </c>
      <c r="BL297" s="444" t="b">
        <f t="shared" si="495"/>
        <v>0</v>
      </c>
      <c r="BM297" s="444" t="b">
        <f t="shared" si="495"/>
        <v>1</v>
      </c>
      <c r="BN297" s="444" t="b">
        <f t="shared" si="495"/>
        <v>0</v>
      </c>
      <c r="BO297" s="444" t="b">
        <f t="shared" si="495"/>
        <v>0</v>
      </c>
      <c r="BP297" s="444" t="b">
        <f t="shared" si="495"/>
        <v>1</v>
      </c>
      <c r="BQ297" s="444" t="b">
        <f t="shared" si="495"/>
        <v>0</v>
      </c>
      <c r="BR297" s="334" t="s">
        <v>519</v>
      </c>
      <c r="BS297" s="490"/>
      <c r="BT297" s="494"/>
      <c r="BU297" s="494"/>
      <c r="BV297" s="392"/>
      <c r="BW297" s="392"/>
      <c r="BX297" s="392"/>
      <c r="BY297" s="392"/>
      <c r="BZ297" s="396" t="s">
        <v>278</v>
      </c>
      <c r="CA297" s="385"/>
      <c r="CB297" s="385"/>
      <c r="CC297" s="393" t="str">
        <f>K$1</f>
        <v>中國語文</v>
      </c>
      <c r="CD297" s="393" t="str">
        <f>L$1</f>
        <v>英國語文</v>
      </c>
      <c r="CE297" s="393" t="str">
        <f>M$1</f>
        <v>數學</v>
      </c>
      <c r="CF297" s="394"/>
      <c r="CG297" s="393" t="str">
        <f>O$1</f>
        <v>數學延伸</v>
      </c>
      <c r="CH297" s="393" t="str">
        <f>P$1</f>
        <v>請選擇第一選修科</v>
      </c>
      <c r="CI297" s="393" t="str">
        <f>Q$1</f>
        <v>請選擇第二選修科</v>
      </c>
      <c r="CJ297" s="393" t="str">
        <f>R$1</f>
        <v>請選擇第三選修科</v>
      </c>
      <c r="CK297" s="393" t="str">
        <f>S$1</f>
        <v>請選擇第四選修科</v>
      </c>
      <c r="CL297" s="393"/>
      <c r="CM297" s="392"/>
      <c r="CN297" s="392"/>
      <c r="CO297" s="385"/>
      <c r="CP297" s="385"/>
      <c r="CQ297" s="385"/>
      <c r="CR297" s="392"/>
      <c r="CS297" s="392"/>
    </row>
    <row r="298" spans="1:97" s="384" customFormat="1">
      <c r="A298" s="117"/>
      <c r="B298" s="384" t="str">
        <f>'Reference Score Calculation'!B275</f>
        <v>JS6157</v>
      </c>
      <c r="C298" s="389" t="str">
        <f>'Reference Score Calculation'!E275</f>
        <v>理學士(言語及語言病理學)</v>
      </c>
      <c r="D298" s="334"/>
      <c r="E298" s="390" t="str">
        <f>'Reference Score Calculation'!F275</f>
        <v>Best 5</v>
      </c>
      <c r="F298" s="404" t="str">
        <f>'Reference Score Calculation'!AC275</f>
        <v>Best 5</v>
      </c>
      <c r="G298" s="334" t="str">
        <f>入學要求!AB284</f>
        <v>v</v>
      </c>
      <c r="H298" s="334" t="str">
        <f>入學要求!AC284</f>
        <v>NO</v>
      </c>
      <c r="I298" s="334" t="str">
        <f>入學要求!AD284</f>
        <v>NO</v>
      </c>
      <c r="J298" s="391">
        <f t="shared" si="425"/>
        <v>3.4999999999999999E-9</v>
      </c>
      <c r="K298" s="489">
        <v>1</v>
      </c>
      <c r="L298" s="489">
        <v>1</v>
      </c>
      <c r="M298" s="489">
        <v>1</v>
      </c>
      <c r="N298" s="489"/>
      <c r="O298" s="489">
        <v>1</v>
      </c>
      <c r="P298" s="489">
        <v>1</v>
      </c>
      <c r="Q298" s="489">
        <v>1</v>
      </c>
      <c r="R298" s="489">
        <v>1</v>
      </c>
      <c r="S298" s="489">
        <v>1</v>
      </c>
      <c r="T298" s="489">
        <v>1</v>
      </c>
      <c r="U298" s="398"/>
      <c r="V298" s="391">
        <f t="shared" si="487"/>
        <v>1E-10</v>
      </c>
      <c r="W298" s="391">
        <f t="shared" si="488"/>
        <v>2.0000000000000001E-10</v>
      </c>
      <c r="X298" s="391">
        <f t="shared" si="489"/>
        <v>3E-10</v>
      </c>
      <c r="Y298" s="391"/>
      <c r="Z298" s="391">
        <f t="shared" si="490"/>
        <v>5.0000000000000003E-10</v>
      </c>
      <c r="AA298" s="391">
        <f t="shared" si="491"/>
        <v>6E-10</v>
      </c>
      <c r="AB298" s="391">
        <f t="shared" si="492"/>
        <v>6.9999999999999996E-10</v>
      </c>
      <c r="AC298" s="391">
        <f t="shared" si="493"/>
        <v>8.0000000000000003E-10</v>
      </c>
      <c r="AD298" s="391">
        <f t="shared" si="494"/>
        <v>8.9999999999999999E-10</v>
      </c>
      <c r="AE298" s="391">
        <f t="shared" si="434"/>
        <v>0</v>
      </c>
      <c r="AF298" s="117">
        <f t="shared" si="435"/>
        <v>1E-10</v>
      </c>
      <c r="AG298" s="117">
        <f t="shared" si="436"/>
        <v>2.0000000000000001E-10</v>
      </c>
      <c r="AH298" s="117">
        <f t="shared" si="437"/>
        <v>3E-10</v>
      </c>
      <c r="AI298" s="117">
        <f t="shared" si="438"/>
        <v>0</v>
      </c>
      <c r="AJ298" s="117">
        <f t="shared" si="439"/>
        <v>5.0000000000000003E-10</v>
      </c>
      <c r="AK298" s="117">
        <f t="shared" si="440"/>
        <v>6E-10</v>
      </c>
      <c r="AL298" s="117">
        <f t="shared" si="441"/>
        <v>6.9999999999999996E-10</v>
      </c>
      <c r="AM298" s="117">
        <f t="shared" si="442"/>
        <v>8.0000000000000003E-10</v>
      </c>
      <c r="AN298" s="117">
        <f t="shared" si="443"/>
        <v>8.9999999999999999E-10</v>
      </c>
      <c r="AO298" s="117">
        <f t="shared" si="444"/>
        <v>0</v>
      </c>
      <c r="AP298" s="391" t="b">
        <f t="shared" si="446"/>
        <v>0</v>
      </c>
      <c r="AQ298" s="391" t="b">
        <f t="shared" si="447"/>
        <v>0</v>
      </c>
      <c r="AR298" s="391" t="b">
        <f t="shared" si="448"/>
        <v>0</v>
      </c>
      <c r="AS298" s="391"/>
      <c r="AT298" s="391" t="b">
        <f t="shared" si="449"/>
        <v>1</v>
      </c>
      <c r="AU298" s="391" t="b">
        <f t="shared" si="450"/>
        <v>1</v>
      </c>
      <c r="AV298" s="391" t="b">
        <f t="shared" si="451"/>
        <v>1</v>
      </c>
      <c r="AW298" s="391" t="b">
        <f t="shared" si="452"/>
        <v>1</v>
      </c>
      <c r="AX298" s="391" t="b">
        <f t="shared" si="453"/>
        <v>1</v>
      </c>
      <c r="AY298" s="391" t="b">
        <f t="shared" si="454"/>
        <v>0</v>
      </c>
      <c r="BA298" s="334" t="str">
        <f>'Reference Score Calculation'!N275</f>
        <v>/</v>
      </c>
      <c r="BB298" s="334" t="str">
        <f>'Reference Score Calculation'!O275</f>
        <v>/</v>
      </c>
      <c r="BC298" s="334"/>
      <c r="BD298" s="334"/>
      <c r="BE298" s="334"/>
      <c r="BF298" s="334"/>
      <c r="BG298" s="334" t="s">
        <v>324</v>
      </c>
      <c r="BH298" s="334"/>
      <c r="BI298" s="334"/>
      <c r="BJ298" s="334"/>
      <c r="BK298" s="334"/>
      <c r="BL298" s="334"/>
      <c r="BM298" s="334"/>
      <c r="BN298" s="334"/>
      <c r="BO298" s="334"/>
      <c r="BP298" s="334"/>
      <c r="BQ298" s="334"/>
      <c r="BR298" s="334"/>
      <c r="BS298" s="490" t="s">
        <v>366</v>
      </c>
      <c r="BT298" s="491" t="s">
        <v>362</v>
      </c>
      <c r="BU298" s="492"/>
      <c r="BV298" s="493"/>
      <c r="BW298" s="493"/>
      <c r="BX298" s="392"/>
      <c r="BY298" s="392"/>
      <c r="BZ298" s="384" t="str">
        <f>INDEX(BT281:BW281,MATCH(LARGE(BT282:BW282,1),BT282:BW282,0))</f>
        <v>請選擇第一選修科</v>
      </c>
      <c r="CA298" s="384">
        <f>LARGE((BT282:BW282),1)</f>
        <v>0</v>
      </c>
      <c r="CB298" s="385"/>
      <c r="CC298" s="390">
        <f>K$8</f>
        <v>1E-10</v>
      </c>
      <c r="CD298" s="390">
        <v>0</v>
      </c>
      <c r="CE298" s="390">
        <v>0</v>
      </c>
      <c r="CF298" s="394"/>
      <c r="CG298" s="390">
        <f>O$8*1.5</f>
        <v>7.500000000000001E-10</v>
      </c>
      <c r="CH298" s="390">
        <f>IF(CH297=$BZ$298,0,IF(OR(P$1="化學",P$1="生物",P$1="物理"),P$8*1.5,P$8))</f>
        <v>0</v>
      </c>
      <c r="CI298" s="390">
        <f>IF(CI297=$BZ$298,0,IF(OR(Q$1="化學",Q$1="生物",Q$1="物理"),Q$8*1.5,Q$8))</f>
        <v>6.9999999999999996E-10</v>
      </c>
      <c r="CJ298" s="390">
        <f>IF(CJ297=$BZ$298,0,IF(OR(R$1="化學",R$1="生物",R$1="物理"),R$8*1.5,R$8))</f>
        <v>8.0000000000000003E-10</v>
      </c>
      <c r="CK298" s="390">
        <f>IF(CK297=$BZ$298,0,IF(OR(S$1="化學",S$1="生物",S$1="物理"),S$8*1.5,S$8))</f>
        <v>8.9999999999999999E-10</v>
      </c>
      <c r="CL298" s="390"/>
      <c r="CM298" s="392"/>
      <c r="CN298" s="392"/>
      <c r="CO298" s="385"/>
      <c r="CP298" s="385"/>
      <c r="CQ298" s="385"/>
      <c r="CR298" s="392"/>
      <c r="CS298" s="392"/>
    </row>
    <row r="299" spans="1:97" s="384" customFormat="1">
      <c r="A299" s="117"/>
      <c r="B299" s="384" t="str">
        <f>'Reference Score Calculation'!B276</f>
        <v>JS6303</v>
      </c>
      <c r="C299" s="389" t="str">
        <f>'Reference Score Calculation'!E276</f>
        <v>工學學士精英課程</v>
      </c>
      <c r="D299" s="334"/>
      <c r="E299" s="390" t="str">
        <f>'Reference Score Calculation'!F276</f>
        <v>25年新科目</v>
      </c>
      <c r="F299" s="404" t="str">
        <f>'Reference Score Calculation'!AC276</f>
        <v>Best 5</v>
      </c>
      <c r="G299" s="334" t="str">
        <f>入學要求!AB285</f>
        <v>v</v>
      </c>
      <c r="H299" s="334" t="str">
        <f>入學要求!AC285</f>
        <v>E</v>
      </c>
      <c r="I299" s="334" t="str">
        <f>入學要求!AD285</f>
        <v>NO</v>
      </c>
      <c r="J299" s="391">
        <f t="shared" si="425"/>
        <v>2.9000000000000003E-9</v>
      </c>
      <c r="K299" s="489">
        <v>1</v>
      </c>
      <c r="L299" s="489">
        <v>1</v>
      </c>
      <c r="M299" s="489">
        <v>1</v>
      </c>
      <c r="N299" s="489"/>
      <c r="O299" s="489">
        <v>1</v>
      </c>
      <c r="P299" s="489">
        <v>1</v>
      </c>
      <c r="Q299" s="489">
        <v>1</v>
      </c>
      <c r="R299" s="489">
        <v>1</v>
      </c>
      <c r="S299" s="489">
        <v>1</v>
      </c>
      <c r="T299" s="489">
        <v>1</v>
      </c>
      <c r="U299" s="398"/>
      <c r="V299" s="391">
        <f t="shared" ref="V299:V309" si="496">K$8*K299</f>
        <v>1E-10</v>
      </c>
      <c r="W299" s="391">
        <f t="shared" ref="W299:W309" si="497">L$8*L299</f>
        <v>2.0000000000000001E-10</v>
      </c>
      <c r="X299" s="391">
        <f t="shared" ref="X299:X309" si="498">M$8*M299</f>
        <v>3E-10</v>
      </c>
      <c r="Y299" s="391"/>
      <c r="Z299" s="391">
        <f t="shared" ref="Z299:Z308" si="499">O$8*O299</f>
        <v>5.0000000000000003E-10</v>
      </c>
      <c r="AA299" s="391">
        <f t="shared" ref="AA299:AA308" si="500">P$8*P299</f>
        <v>6E-10</v>
      </c>
      <c r="AB299" s="391">
        <f t="shared" ref="AB299:AB308" si="501">Q$8*Q299</f>
        <v>6.9999999999999996E-10</v>
      </c>
      <c r="AC299" s="391">
        <f t="shared" ref="AC299:AC308" si="502">R$8*R299</f>
        <v>8.0000000000000003E-10</v>
      </c>
      <c r="AD299" s="391">
        <f t="shared" ref="AD299:AD308" si="503">S$8*S299</f>
        <v>8.9999999999999999E-10</v>
      </c>
      <c r="AE299" s="391">
        <f t="shared" ref="AE299:AE306" si="504">IF($H299="E",$T$8*T299,0)</f>
        <v>0</v>
      </c>
      <c r="AF299" s="117">
        <f t="shared" si="435"/>
        <v>1E-10</v>
      </c>
      <c r="AG299" s="117">
        <f t="shared" si="436"/>
        <v>99.000000000200004</v>
      </c>
      <c r="AH299" s="117">
        <f t="shared" si="437"/>
        <v>99.000000000300005</v>
      </c>
      <c r="AI299" s="117">
        <f t="shared" si="438"/>
        <v>0</v>
      </c>
      <c r="AJ299" s="117">
        <f t="shared" si="439"/>
        <v>5.0000000000000003E-10</v>
      </c>
      <c r="AK299" s="117">
        <f t="shared" si="440"/>
        <v>6E-10</v>
      </c>
      <c r="AL299" s="117">
        <f t="shared" si="441"/>
        <v>6.9999999999999996E-10</v>
      </c>
      <c r="AM299" s="117">
        <f t="shared" si="442"/>
        <v>8.0000000000000003E-10</v>
      </c>
      <c r="AN299" s="117">
        <f t="shared" si="443"/>
        <v>8.9999999999999999E-10</v>
      </c>
      <c r="AO299" s="117">
        <f t="shared" si="444"/>
        <v>0</v>
      </c>
      <c r="AP299" s="495" t="b">
        <f t="shared" ref="AP299:AR303" si="505">IF($F299="Best 5", IF(AF299&gt;LARGE(($AF299:$AO299),6),TRUE), IF($F299="Best 6",IF(AF299&gt;LARGE(($AF299:$AO299),7),TRUE)))</f>
        <v>0</v>
      </c>
      <c r="AQ299" s="495" t="b">
        <f t="shared" si="505"/>
        <v>1</v>
      </c>
      <c r="AR299" s="495" t="b">
        <f t="shared" si="505"/>
        <v>1</v>
      </c>
      <c r="AS299" s="495"/>
      <c r="AT299" s="495" t="b">
        <f t="shared" ref="AT299:AY303" si="506">IF($F299="Best 5", IF(AJ299&gt;LARGE(($AF299:$AO299),6),TRUE), IF($F299="Best 6",IF(AJ299&gt;LARGE(($AF299:$AO299),7),TRUE)))</f>
        <v>0</v>
      </c>
      <c r="AU299" s="495" t="b">
        <f t="shared" si="506"/>
        <v>0</v>
      </c>
      <c r="AV299" s="495" t="b">
        <f t="shared" si="506"/>
        <v>1</v>
      </c>
      <c r="AW299" s="495" t="b">
        <f t="shared" si="506"/>
        <v>1</v>
      </c>
      <c r="AX299" s="495" t="b">
        <f t="shared" si="506"/>
        <v>1</v>
      </c>
      <c r="AY299" s="495" t="b">
        <f t="shared" si="506"/>
        <v>0</v>
      </c>
      <c r="BA299" s="334" t="str">
        <f>'Reference Score Calculation'!N276</f>
        <v>/</v>
      </c>
      <c r="BB299" s="334" t="str">
        <f>'Reference Score Calculation'!O276</f>
        <v>/</v>
      </c>
      <c r="BC299" s="334"/>
      <c r="BD299" s="334"/>
      <c r="BE299" s="334"/>
      <c r="BF299" s="334"/>
      <c r="BG299" s="334" t="s">
        <v>324</v>
      </c>
      <c r="BI299" s="334" t="b">
        <v>1</v>
      </c>
      <c r="BJ299" s="334" t="b">
        <v>1</v>
      </c>
      <c r="BS299" s="385"/>
      <c r="BT299" s="395"/>
      <c r="BU299" s="394"/>
      <c r="BV299" s="392"/>
      <c r="BW299" s="392"/>
      <c r="BX299" s="392"/>
      <c r="BY299" s="392"/>
      <c r="BZ299" s="385"/>
      <c r="CA299" s="385"/>
      <c r="CB299" s="385"/>
      <c r="CC299" s="395" t="b">
        <f>IF(CC298&gt;LARGE($CC298:$CL298,3),TRUE)</f>
        <v>0</v>
      </c>
      <c r="CD299" s="395" t="b">
        <v>1</v>
      </c>
      <c r="CE299" s="395" t="b">
        <v>1</v>
      </c>
      <c r="CF299" s="394"/>
      <c r="CG299" s="395" t="b">
        <f>IF(CG298&gt;LARGE($CC298:$CL298,3),TRUE)</f>
        <v>0</v>
      </c>
      <c r="CH299" s="395" t="b">
        <f>IF(CH298&gt;LARGE($CC298:$CL298,3),TRUE,IF(CH297=$BZ$298,TRUE,FALSE))</f>
        <v>1</v>
      </c>
      <c r="CI299" s="395" t="b">
        <f>IF(CI298&gt;LARGE($CC298:$CL298,3),TRUE,IF(CI297=$BZ$298,TRUE,FALSE))</f>
        <v>0</v>
      </c>
      <c r="CJ299" s="395" t="b">
        <f>IF(CJ298&gt;LARGE($CC298:$CL298,3),TRUE,IF(CJ297=$BZ$298,TRUE,FALSE))</f>
        <v>1</v>
      </c>
      <c r="CK299" s="395" t="b">
        <f>IF(CK298&gt;LARGE($CC298:$CL298,3),TRUE,IF(CK297=$BZ$298,TRUE,FALSE))</f>
        <v>1</v>
      </c>
      <c r="CL299" s="395"/>
      <c r="CM299" s="392"/>
      <c r="CN299" s="392"/>
      <c r="CO299" s="392"/>
      <c r="CP299" s="392"/>
      <c r="CQ299" s="392"/>
      <c r="CR299" s="392"/>
      <c r="CS299" s="392"/>
    </row>
    <row r="300" spans="1:97" s="384" customFormat="1">
      <c r="A300" s="117"/>
      <c r="B300" s="384" t="str">
        <f>'Reference Score Calculation'!B277</f>
        <v>JS6315</v>
      </c>
      <c r="C300" s="389" t="str">
        <f>'Reference Score Calculation'!E277</f>
        <v>工學學士(數據與系統工程)</v>
      </c>
      <c r="D300" s="334"/>
      <c r="E300" s="390" t="str">
        <f>'Reference Score Calculation'!F277</f>
        <v>25年新科目</v>
      </c>
      <c r="F300" s="404" t="str">
        <f>'Reference Score Calculation'!AC277</f>
        <v>Best 5</v>
      </c>
      <c r="G300" s="334" t="str">
        <f>入學要求!AB286</f>
        <v>v</v>
      </c>
      <c r="H300" s="334" t="str">
        <f>入學要求!AC286</f>
        <v>E</v>
      </c>
      <c r="I300" s="334" t="str">
        <f>入學要求!AD286</f>
        <v>NO</v>
      </c>
      <c r="J300" s="391">
        <f t="shared" si="425"/>
        <v>2.9000000000000003E-9</v>
      </c>
      <c r="K300" s="489">
        <v>1</v>
      </c>
      <c r="L300" s="489">
        <v>1</v>
      </c>
      <c r="M300" s="489">
        <v>1</v>
      </c>
      <c r="N300" s="489"/>
      <c r="O300" s="489">
        <v>1</v>
      </c>
      <c r="P300" s="489">
        <v>1</v>
      </c>
      <c r="Q300" s="489">
        <v>1</v>
      </c>
      <c r="R300" s="489">
        <v>1</v>
      </c>
      <c r="S300" s="489">
        <v>1</v>
      </c>
      <c r="T300" s="489">
        <v>1</v>
      </c>
      <c r="U300" s="398"/>
      <c r="V300" s="391">
        <f t="shared" si="496"/>
        <v>1E-10</v>
      </c>
      <c r="W300" s="391">
        <f t="shared" si="497"/>
        <v>2.0000000000000001E-10</v>
      </c>
      <c r="X300" s="391">
        <f t="shared" si="498"/>
        <v>3E-10</v>
      </c>
      <c r="Y300" s="391"/>
      <c r="Z300" s="391">
        <f t="shared" si="499"/>
        <v>5.0000000000000003E-10</v>
      </c>
      <c r="AA300" s="391">
        <f t="shared" si="500"/>
        <v>6E-10</v>
      </c>
      <c r="AB300" s="391">
        <f t="shared" si="501"/>
        <v>6.9999999999999996E-10</v>
      </c>
      <c r="AC300" s="391">
        <f t="shared" si="502"/>
        <v>8.0000000000000003E-10</v>
      </c>
      <c r="AD300" s="391">
        <f t="shared" si="503"/>
        <v>8.9999999999999999E-10</v>
      </c>
      <c r="AE300" s="391">
        <f t="shared" si="504"/>
        <v>0</v>
      </c>
      <c r="AF300" s="117">
        <f t="shared" si="435"/>
        <v>1E-10</v>
      </c>
      <c r="AG300" s="117">
        <f t="shared" si="436"/>
        <v>99.000000000200004</v>
      </c>
      <c r="AH300" s="117">
        <f t="shared" si="437"/>
        <v>99.000000000300005</v>
      </c>
      <c r="AI300" s="117">
        <f t="shared" si="438"/>
        <v>0</v>
      </c>
      <c r="AJ300" s="117">
        <f t="shared" si="439"/>
        <v>5.0000000000000003E-10</v>
      </c>
      <c r="AK300" s="117">
        <f t="shared" si="440"/>
        <v>6E-10</v>
      </c>
      <c r="AL300" s="117">
        <f t="shared" si="441"/>
        <v>6.9999999999999996E-10</v>
      </c>
      <c r="AM300" s="117">
        <f t="shared" si="442"/>
        <v>8.0000000000000003E-10</v>
      </c>
      <c r="AN300" s="117">
        <f t="shared" si="443"/>
        <v>8.9999999999999999E-10</v>
      </c>
      <c r="AO300" s="117">
        <f t="shared" si="444"/>
        <v>0</v>
      </c>
      <c r="AP300" s="495" t="b">
        <f t="shared" si="505"/>
        <v>0</v>
      </c>
      <c r="AQ300" s="495" t="b">
        <f t="shared" si="505"/>
        <v>1</v>
      </c>
      <c r="AR300" s="495" t="b">
        <f t="shared" si="505"/>
        <v>1</v>
      </c>
      <c r="AS300" s="495"/>
      <c r="AT300" s="495" t="b">
        <f t="shared" si="506"/>
        <v>0</v>
      </c>
      <c r="AU300" s="495" t="b">
        <f t="shared" si="506"/>
        <v>0</v>
      </c>
      <c r="AV300" s="495" t="b">
        <f t="shared" si="506"/>
        <v>1</v>
      </c>
      <c r="AW300" s="495" t="b">
        <f t="shared" si="506"/>
        <v>1</v>
      </c>
      <c r="AX300" s="495" t="b">
        <f t="shared" si="506"/>
        <v>1</v>
      </c>
      <c r="AY300" s="495" t="b">
        <f t="shared" si="506"/>
        <v>0</v>
      </c>
      <c r="BA300" s="334" t="str">
        <f>'Reference Score Calculation'!N277</f>
        <v>/</v>
      </c>
      <c r="BB300" s="334" t="str">
        <f>'Reference Score Calculation'!O277</f>
        <v>/</v>
      </c>
      <c r="BC300" s="334"/>
      <c r="BD300" s="334"/>
      <c r="BE300" s="334"/>
      <c r="BF300" s="334"/>
      <c r="BG300" s="334" t="s">
        <v>324</v>
      </c>
      <c r="BI300" s="334" t="b">
        <v>1</v>
      </c>
      <c r="BJ300" s="334" t="b">
        <v>1</v>
      </c>
      <c r="BS300" s="392"/>
      <c r="BT300" s="392"/>
      <c r="BU300" s="392"/>
      <c r="BV300" s="392"/>
      <c r="BW300" s="392"/>
      <c r="BX300" s="392"/>
      <c r="BY300" s="392"/>
      <c r="BZ300" s="392"/>
      <c r="CA300" s="392"/>
      <c r="CB300" s="392"/>
      <c r="CC300" s="392"/>
      <c r="CD300" s="392"/>
      <c r="CE300" s="392"/>
      <c r="CF300" s="394"/>
      <c r="CG300" s="392"/>
      <c r="CH300" s="392"/>
      <c r="CI300" s="392"/>
      <c r="CJ300" s="392"/>
      <c r="CK300" s="392"/>
      <c r="CL300" s="392"/>
      <c r="CM300" s="392"/>
      <c r="CN300" s="392"/>
      <c r="CO300" s="392"/>
      <c r="CP300" s="392"/>
      <c r="CQ300" s="392"/>
      <c r="CR300" s="392"/>
      <c r="CS300" s="392"/>
    </row>
    <row r="301" spans="1:97" s="384" customFormat="1">
      <c r="A301" s="117"/>
      <c r="B301" s="384" t="str">
        <f>'Reference Score Calculation'!B278</f>
        <v>JS6339</v>
      </c>
      <c r="C301" s="389" t="str">
        <f>'Reference Score Calculation'!E278</f>
        <v>工學學士(機械工程)</v>
      </c>
      <c r="D301" s="334"/>
      <c r="E301" s="390" t="str">
        <f>'Reference Score Calculation'!F278</f>
        <v>25年新科目</v>
      </c>
      <c r="F301" s="404" t="str">
        <f>'Reference Score Calculation'!AC278</f>
        <v>Best 5</v>
      </c>
      <c r="G301" s="334" t="str">
        <f>入學要求!AB287</f>
        <v>v</v>
      </c>
      <c r="H301" s="334" t="str">
        <f>入學要求!AC287</f>
        <v>E</v>
      </c>
      <c r="I301" s="334" t="str">
        <f>入學要求!AD287</f>
        <v>NO</v>
      </c>
      <c r="J301" s="391">
        <f t="shared" si="425"/>
        <v>2.9000000000000003E-9</v>
      </c>
      <c r="K301" s="489">
        <v>1</v>
      </c>
      <c r="L301" s="489">
        <v>1</v>
      </c>
      <c r="M301" s="489">
        <v>1</v>
      </c>
      <c r="N301" s="489"/>
      <c r="O301" s="489">
        <v>1</v>
      </c>
      <c r="P301" s="489">
        <v>1</v>
      </c>
      <c r="Q301" s="489">
        <v>1</v>
      </c>
      <c r="R301" s="489">
        <v>1</v>
      </c>
      <c r="S301" s="489">
        <v>1</v>
      </c>
      <c r="T301" s="489">
        <v>1</v>
      </c>
      <c r="U301" s="398"/>
      <c r="V301" s="391">
        <f t="shared" si="496"/>
        <v>1E-10</v>
      </c>
      <c r="W301" s="391">
        <f t="shared" si="497"/>
        <v>2.0000000000000001E-10</v>
      </c>
      <c r="X301" s="391">
        <f t="shared" si="498"/>
        <v>3E-10</v>
      </c>
      <c r="Y301" s="391"/>
      <c r="Z301" s="391">
        <f t="shared" si="499"/>
        <v>5.0000000000000003E-10</v>
      </c>
      <c r="AA301" s="391">
        <f t="shared" si="500"/>
        <v>6E-10</v>
      </c>
      <c r="AB301" s="391">
        <f t="shared" si="501"/>
        <v>6.9999999999999996E-10</v>
      </c>
      <c r="AC301" s="391">
        <f t="shared" si="502"/>
        <v>8.0000000000000003E-10</v>
      </c>
      <c r="AD301" s="391">
        <f t="shared" si="503"/>
        <v>8.9999999999999999E-10</v>
      </c>
      <c r="AE301" s="391">
        <f t="shared" si="504"/>
        <v>0</v>
      </c>
      <c r="AF301" s="117">
        <f t="shared" si="435"/>
        <v>1E-10</v>
      </c>
      <c r="AG301" s="117">
        <f t="shared" si="436"/>
        <v>99.000000000200004</v>
      </c>
      <c r="AH301" s="117">
        <f t="shared" si="437"/>
        <v>99.000000000300005</v>
      </c>
      <c r="AI301" s="117">
        <f t="shared" si="438"/>
        <v>0</v>
      </c>
      <c r="AJ301" s="117">
        <f t="shared" si="439"/>
        <v>5.0000000000000003E-10</v>
      </c>
      <c r="AK301" s="117">
        <f t="shared" si="440"/>
        <v>6E-10</v>
      </c>
      <c r="AL301" s="117">
        <f t="shared" si="441"/>
        <v>6.9999999999999996E-10</v>
      </c>
      <c r="AM301" s="117">
        <f t="shared" si="442"/>
        <v>8.0000000000000003E-10</v>
      </c>
      <c r="AN301" s="117">
        <f t="shared" si="443"/>
        <v>8.9999999999999999E-10</v>
      </c>
      <c r="AO301" s="117">
        <f t="shared" si="444"/>
        <v>0</v>
      </c>
      <c r="AP301" s="495" t="b">
        <f t="shared" si="505"/>
        <v>0</v>
      </c>
      <c r="AQ301" s="495" t="b">
        <f t="shared" si="505"/>
        <v>1</v>
      </c>
      <c r="AR301" s="495" t="b">
        <f t="shared" si="505"/>
        <v>1</v>
      </c>
      <c r="AS301" s="495"/>
      <c r="AT301" s="495" t="b">
        <f t="shared" si="506"/>
        <v>0</v>
      </c>
      <c r="AU301" s="495" t="b">
        <f t="shared" si="506"/>
        <v>0</v>
      </c>
      <c r="AV301" s="495" t="b">
        <f t="shared" si="506"/>
        <v>1</v>
      </c>
      <c r="AW301" s="495" t="b">
        <f t="shared" si="506"/>
        <v>1</v>
      </c>
      <c r="AX301" s="495" t="b">
        <f t="shared" si="506"/>
        <v>1</v>
      </c>
      <c r="AY301" s="495" t="b">
        <f t="shared" si="506"/>
        <v>0</v>
      </c>
      <c r="BA301" s="334" t="str">
        <f>'Reference Score Calculation'!N278</f>
        <v>/</v>
      </c>
      <c r="BB301" s="334" t="str">
        <f>'Reference Score Calculation'!O278</f>
        <v>/</v>
      </c>
      <c r="BC301" s="334"/>
      <c r="BD301" s="334"/>
      <c r="BE301" s="334"/>
      <c r="BF301" s="334"/>
      <c r="BG301" s="334" t="s">
        <v>324</v>
      </c>
      <c r="BI301" s="334" t="b">
        <v>1</v>
      </c>
      <c r="BJ301" s="334" t="b">
        <v>1</v>
      </c>
      <c r="BS301" s="385"/>
      <c r="BT301" s="393" t="str">
        <f>P$1</f>
        <v>請選擇第一選修科</v>
      </c>
      <c r="BU301" s="393" t="str">
        <f>Q$1</f>
        <v>請選擇第二選修科</v>
      </c>
      <c r="BV301" s="393" t="str">
        <f>R$1</f>
        <v>請選擇第三選修科</v>
      </c>
      <c r="BW301" s="393" t="str">
        <f>S$1</f>
        <v>請選擇第四選修科</v>
      </c>
      <c r="BX301" s="392" t="str">
        <f>O$1</f>
        <v>數學延伸</v>
      </c>
      <c r="BY301" s="392"/>
      <c r="BZ301" s="396" t="s">
        <v>332</v>
      </c>
      <c r="CA301" s="385"/>
      <c r="CB301" s="396" t="s">
        <v>333</v>
      </c>
      <c r="CC301" s="385"/>
      <c r="CD301" s="385"/>
      <c r="CE301" s="392"/>
      <c r="CF301" s="392"/>
      <c r="CG301" s="392"/>
      <c r="CH301" s="392"/>
      <c r="CI301" s="392"/>
      <c r="CJ301" s="392"/>
      <c r="CK301" s="392"/>
      <c r="CL301" s="392"/>
      <c r="CM301" s="392"/>
      <c r="CN301" s="392"/>
      <c r="CO301" s="392"/>
      <c r="CP301" s="392"/>
      <c r="CQ301" s="392"/>
      <c r="CR301" s="392"/>
      <c r="CS301" s="392"/>
    </row>
    <row r="302" spans="1:97" s="384" customFormat="1">
      <c r="A302" s="117"/>
      <c r="B302" s="384" t="str">
        <f>'Reference Score Calculation'!B279</f>
        <v>JS6353</v>
      </c>
      <c r="C302" s="389" t="str">
        <f>'Reference Score Calculation'!E279</f>
        <v>工學學士(土木工程)</v>
      </c>
      <c r="D302" s="334"/>
      <c r="E302" s="390" t="str">
        <f>'Reference Score Calculation'!F279</f>
        <v>25年新科目</v>
      </c>
      <c r="F302" s="404" t="str">
        <f>'Reference Score Calculation'!AC279</f>
        <v>Best 5</v>
      </c>
      <c r="G302" s="334" t="str">
        <f>入學要求!AB288</f>
        <v>v</v>
      </c>
      <c r="H302" s="334" t="str">
        <f>入學要求!AC288</f>
        <v>E</v>
      </c>
      <c r="I302" s="334" t="str">
        <f>入學要求!AD288</f>
        <v>NO</v>
      </c>
      <c r="J302" s="391">
        <f t="shared" si="425"/>
        <v>2.9000000000000003E-9</v>
      </c>
      <c r="K302" s="489">
        <v>1</v>
      </c>
      <c r="L302" s="489">
        <v>1</v>
      </c>
      <c r="M302" s="489">
        <v>1</v>
      </c>
      <c r="N302" s="489"/>
      <c r="O302" s="489">
        <v>1</v>
      </c>
      <c r="P302" s="489">
        <v>1</v>
      </c>
      <c r="Q302" s="489">
        <v>1</v>
      </c>
      <c r="R302" s="489">
        <v>1</v>
      </c>
      <c r="S302" s="489">
        <v>1</v>
      </c>
      <c r="T302" s="489">
        <v>1</v>
      </c>
      <c r="U302" s="398"/>
      <c r="V302" s="391">
        <f t="shared" si="496"/>
        <v>1E-10</v>
      </c>
      <c r="W302" s="391">
        <f t="shared" si="497"/>
        <v>2.0000000000000001E-10</v>
      </c>
      <c r="X302" s="391">
        <f t="shared" si="498"/>
        <v>3E-10</v>
      </c>
      <c r="Y302" s="391"/>
      <c r="Z302" s="391">
        <f t="shared" si="499"/>
        <v>5.0000000000000003E-10</v>
      </c>
      <c r="AA302" s="391">
        <f t="shared" si="500"/>
        <v>6E-10</v>
      </c>
      <c r="AB302" s="391">
        <f t="shared" si="501"/>
        <v>6.9999999999999996E-10</v>
      </c>
      <c r="AC302" s="391">
        <f t="shared" si="502"/>
        <v>8.0000000000000003E-10</v>
      </c>
      <c r="AD302" s="391">
        <f t="shared" si="503"/>
        <v>8.9999999999999999E-10</v>
      </c>
      <c r="AE302" s="391">
        <f t="shared" si="504"/>
        <v>0</v>
      </c>
      <c r="AF302" s="117">
        <f t="shared" si="435"/>
        <v>1E-10</v>
      </c>
      <c r="AG302" s="117">
        <f t="shared" si="436"/>
        <v>99.000000000200004</v>
      </c>
      <c r="AH302" s="117">
        <f t="shared" si="437"/>
        <v>99.000000000300005</v>
      </c>
      <c r="AI302" s="117">
        <f t="shared" si="438"/>
        <v>0</v>
      </c>
      <c r="AJ302" s="117">
        <f t="shared" si="439"/>
        <v>5.0000000000000003E-10</v>
      </c>
      <c r="AK302" s="117">
        <f t="shared" si="440"/>
        <v>6E-10</v>
      </c>
      <c r="AL302" s="117">
        <f t="shared" si="441"/>
        <v>6.9999999999999996E-10</v>
      </c>
      <c r="AM302" s="117">
        <f t="shared" si="442"/>
        <v>8.0000000000000003E-10</v>
      </c>
      <c r="AN302" s="117">
        <f t="shared" si="443"/>
        <v>8.9999999999999999E-10</v>
      </c>
      <c r="AO302" s="117">
        <f t="shared" si="444"/>
        <v>0</v>
      </c>
      <c r="AP302" s="495" t="b">
        <f t="shared" si="505"/>
        <v>0</v>
      </c>
      <c r="AQ302" s="495" t="b">
        <f t="shared" si="505"/>
        <v>1</v>
      </c>
      <c r="AR302" s="495" t="b">
        <f t="shared" si="505"/>
        <v>1</v>
      </c>
      <c r="AS302" s="495"/>
      <c r="AT302" s="495" t="b">
        <f t="shared" si="506"/>
        <v>0</v>
      </c>
      <c r="AU302" s="495" t="b">
        <f t="shared" si="506"/>
        <v>0</v>
      </c>
      <c r="AV302" s="495" t="b">
        <f t="shared" si="506"/>
        <v>1</v>
      </c>
      <c r="AW302" s="495" t="b">
        <f t="shared" si="506"/>
        <v>1</v>
      </c>
      <c r="AX302" s="495" t="b">
        <f t="shared" si="506"/>
        <v>1</v>
      </c>
      <c r="AY302" s="495" t="b">
        <f t="shared" si="506"/>
        <v>0</v>
      </c>
      <c r="BA302" s="334" t="str">
        <f>'Reference Score Calculation'!N279</f>
        <v>/</v>
      </c>
      <c r="BB302" s="334" t="str">
        <f>'Reference Score Calculation'!O279</f>
        <v>/</v>
      </c>
      <c r="BC302" s="334"/>
      <c r="BD302" s="334"/>
      <c r="BE302" s="334"/>
      <c r="BF302" s="334"/>
      <c r="BG302" s="334" t="s">
        <v>324</v>
      </c>
      <c r="BI302" s="334" t="b">
        <v>1</v>
      </c>
      <c r="BJ302" s="334" t="b">
        <v>1</v>
      </c>
      <c r="BS302" s="385" t="s">
        <v>2813</v>
      </c>
      <c r="BT302" s="390">
        <f>IF(OR(P$1="物理",P$1="化學",P$1="生物",P$1="資訊及通訊科技",P$1="經濟"),P$8,0)</f>
        <v>0</v>
      </c>
      <c r="BU302" s="390">
        <f>IF(OR(Q$1="物理",Q$1="化學",Q$1="生物",Q$1="資訊及通訊科技",Q$1="經濟"),Q$8,0)</f>
        <v>0</v>
      </c>
      <c r="BV302" s="390">
        <f>IF(OR(R$1="物理",R$1="化學",R$1="生物",R$1="資訊及通訊科技",R$1="經濟"),R$8,0)</f>
        <v>0</v>
      </c>
      <c r="BW302" s="390">
        <f>IF(OR(S$1="物理",S$1="化學",S$1="生物",S$1="資訊及通訊科技",S$1="經濟"),S$8,0)</f>
        <v>0</v>
      </c>
      <c r="BX302" s="334">
        <f>O$8</f>
        <v>5.0000000000000003E-10</v>
      </c>
      <c r="BY302" s="392"/>
      <c r="BZ302" s="384" t="str">
        <f>INDEX(BT301:BX301,MATCH(LARGE(BT302:BX302,1),BT302:BX302,0))</f>
        <v>數學延伸</v>
      </c>
      <c r="CA302" s="384">
        <f>LARGE((BT302:BX302),1)</f>
        <v>5.0000000000000003E-10</v>
      </c>
      <c r="CB302" s="384" t="str">
        <f>INDEX(BT301:BX301,MATCH(LARGE(BT302:BX302,2),BT302:BX302,0))</f>
        <v>請選擇第一選修科</v>
      </c>
      <c r="CC302" s="384">
        <f>LARGE((BT302:BX302),2)</f>
        <v>0</v>
      </c>
      <c r="CD302" s="385"/>
      <c r="CE302" s="392"/>
      <c r="CF302" s="392"/>
      <c r="CG302" s="392"/>
      <c r="CH302" s="392"/>
      <c r="CI302" s="392"/>
      <c r="CJ302" s="392"/>
      <c r="CK302" s="392"/>
      <c r="CL302" s="392"/>
      <c r="CM302" s="392"/>
      <c r="CN302" s="392"/>
      <c r="CO302" s="392"/>
      <c r="CP302" s="392"/>
      <c r="CQ302" s="392"/>
      <c r="CR302" s="392"/>
      <c r="CS302" s="392"/>
    </row>
    <row r="303" spans="1:97" s="384" customFormat="1">
      <c r="A303" s="117"/>
      <c r="B303" s="384" t="str">
        <f>'Reference Score Calculation'!B280</f>
        <v>JS6377</v>
      </c>
      <c r="C303" s="389" t="str">
        <f>'Reference Score Calculation'!E280</f>
        <v>工學學士與人工智能理學碩士聯合課程</v>
      </c>
      <c r="D303" s="334"/>
      <c r="E303" s="390" t="str">
        <f>'Reference Score Calculation'!F280</f>
        <v>25年新科目</v>
      </c>
      <c r="F303" s="404" t="str">
        <f>'Reference Score Calculation'!AC280</f>
        <v>Best 5</v>
      </c>
      <c r="G303" s="334" t="str">
        <f>入學要求!AB289</f>
        <v>v</v>
      </c>
      <c r="H303" s="334" t="str">
        <f>入學要求!AC289</f>
        <v>E</v>
      </c>
      <c r="I303" s="334" t="str">
        <f>入學要求!AD289</f>
        <v>NO</v>
      </c>
      <c r="J303" s="391">
        <f t="shared" si="425"/>
        <v>2.9000000000000003E-9</v>
      </c>
      <c r="K303" s="489">
        <v>1</v>
      </c>
      <c r="L303" s="489">
        <v>1</v>
      </c>
      <c r="M303" s="489">
        <v>1</v>
      </c>
      <c r="N303" s="489"/>
      <c r="O303" s="489">
        <v>1</v>
      </c>
      <c r="P303" s="489">
        <v>1</v>
      </c>
      <c r="Q303" s="489">
        <v>1</v>
      </c>
      <c r="R303" s="489">
        <v>1</v>
      </c>
      <c r="S303" s="489">
        <v>1</v>
      </c>
      <c r="T303" s="489">
        <v>1</v>
      </c>
      <c r="U303" s="398"/>
      <c r="V303" s="391">
        <f t="shared" si="496"/>
        <v>1E-10</v>
      </c>
      <c r="W303" s="391">
        <f t="shared" si="497"/>
        <v>2.0000000000000001E-10</v>
      </c>
      <c r="X303" s="391">
        <f t="shared" si="498"/>
        <v>3E-10</v>
      </c>
      <c r="Y303" s="391"/>
      <c r="Z303" s="391">
        <f t="shared" si="499"/>
        <v>5.0000000000000003E-10</v>
      </c>
      <c r="AA303" s="391">
        <f t="shared" si="500"/>
        <v>6E-10</v>
      </c>
      <c r="AB303" s="391">
        <f t="shared" si="501"/>
        <v>6.9999999999999996E-10</v>
      </c>
      <c r="AC303" s="391">
        <f t="shared" si="502"/>
        <v>8.0000000000000003E-10</v>
      </c>
      <c r="AD303" s="391">
        <f t="shared" si="503"/>
        <v>8.9999999999999999E-10</v>
      </c>
      <c r="AE303" s="391">
        <f t="shared" si="504"/>
        <v>0</v>
      </c>
      <c r="AF303" s="117">
        <f t="shared" si="435"/>
        <v>1E-10</v>
      </c>
      <c r="AG303" s="117">
        <f t="shared" si="436"/>
        <v>99.000000000200004</v>
      </c>
      <c r="AH303" s="117">
        <f t="shared" si="437"/>
        <v>99.000000000300005</v>
      </c>
      <c r="AI303" s="117">
        <f t="shared" si="438"/>
        <v>0</v>
      </c>
      <c r="AJ303" s="117">
        <f t="shared" si="439"/>
        <v>5.0000000000000003E-10</v>
      </c>
      <c r="AK303" s="117">
        <f t="shared" si="440"/>
        <v>6E-10</v>
      </c>
      <c r="AL303" s="117">
        <f t="shared" si="441"/>
        <v>6.9999999999999996E-10</v>
      </c>
      <c r="AM303" s="117">
        <f t="shared" si="442"/>
        <v>8.0000000000000003E-10</v>
      </c>
      <c r="AN303" s="117">
        <f t="shared" si="443"/>
        <v>8.9999999999999999E-10</v>
      </c>
      <c r="AO303" s="117">
        <f t="shared" si="444"/>
        <v>0</v>
      </c>
      <c r="AP303" s="495" t="b">
        <f t="shared" si="505"/>
        <v>0</v>
      </c>
      <c r="AQ303" s="495" t="b">
        <f t="shared" si="505"/>
        <v>1</v>
      </c>
      <c r="AR303" s="495" t="b">
        <f t="shared" si="505"/>
        <v>1</v>
      </c>
      <c r="AS303" s="495"/>
      <c r="AT303" s="495" t="b">
        <f t="shared" si="506"/>
        <v>0</v>
      </c>
      <c r="AU303" s="495" t="b">
        <f t="shared" si="506"/>
        <v>0</v>
      </c>
      <c r="AV303" s="495" t="b">
        <f t="shared" si="506"/>
        <v>1</v>
      </c>
      <c r="AW303" s="495" t="b">
        <f t="shared" si="506"/>
        <v>1</v>
      </c>
      <c r="AX303" s="495" t="b">
        <f t="shared" si="506"/>
        <v>1</v>
      </c>
      <c r="AY303" s="495" t="b">
        <f t="shared" si="506"/>
        <v>0</v>
      </c>
      <c r="BA303" s="334" t="str">
        <f>'Reference Score Calculation'!N280</f>
        <v>/</v>
      </c>
      <c r="BB303" s="334" t="str">
        <f>'Reference Score Calculation'!O280</f>
        <v>/</v>
      </c>
      <c r="BC303" s="334"/>
      <c r="BD303" s="334"/>
      <c r="BE303" s="334"/>
      <c r="BF303" s="334"/>
      <c r="BG303" s="334" t="s">
        <v>324</v>
      </c>
      <c r="BI303" s="334" t="b">
        <v>1</v>
      </c>
      <c r="BJ303" s="334" t="b">
        <v>1</v>
      </c>
      <c r="BS303" s="385" t="s">
        <v>2847</v>
      </c>
      <c r="BT303" s="395" t="s">
        <v>3153</v>
      </c>
      <c r="BU303" s="394"/>
      <c r="BV303" s="392"/>
      <c r="BW303" s="392"/>
      <c r="BX303" s="392"/>
      <c r="BY303" s="392"/>
      <c r="BZ303" s="385"/>
      <c r="CA303" s="385"/>
      <c r="CB303" s="394"/>
      <c r="CC303" s="394"/>
      <c r="CD303" s="385"/>
      <c r="CE303" s="392"/>
      <c r="CF303" s="392"/>
      <c r="CG303" s="392"/>
      <c r="CH303" s="392"/>
      <c r="CI303" s="392"/>
      <c r="CJ303" s="392"/>
      <c r="CK303" s="392"/>
      <c r="CL303" s="392"/>
      <c r="CM303" s="392"/>
      <c r="CN303" s="392"/>
      <c r="CO303" s="392"/>
      <c r="CP303" s="392"/>
      <c r="CQ303" s="392"/>
      <c r="CR303" s="392"/>
      <c r="CS303" s="392"/>
    </row>
    <row r="304" spans="1:97" s="384" customFormat="1">
      <c r="A304" s="117"/>
      <c r="B304" s="384" t="str">
        <f>'Reference Score Calculation'!B281</f>
        <v>JS6925</v>
      </c>
      <c r="C304" s="389" t="str">
        <f>'Reference Score Calculation'!E281</f>
        <v>工學學士(生物醫學工程)</v>
      </c>
      <c r="D304" s="334"/>
      <c r="E304" s="390" t="str">
        <f>'Reference Score Calculation'!F281</f>
        <v>Best 5</v>
      </c>
      <c r="F304" s="404" t="str">
        <f>'Reference Score Calculation'!AC281</f>
        <v>Best 5</v>
      </c>
      <c r="G304" s="334" t="str">
        <f>入學要求!AB290</f>
        <v>v</v>
      </c>
      <c r="H304" s="334" t="str">
        <f>入學要求!AC290</f>
        <v>E</v>
      </c>
      <c r="I304" s="334" t="str">
        <f>入學要求!AD290</f>
        <v>NO</v>
      </c>
      <c r="J304" s="391">
        <f t="shared" si="425"/>
        <v>2.9000000000000003E-9</v>
      </c>
      <c r="K304" s="489">
        <v>1</v>
      </c>
      <c r="L304" s="489">
        <v>1</v>
      </c>
      <c r="M304" s="489">
        <v>1</v>
      </c>
      <c r="N304" s="489"/>
      <c r="O304" s="489">
        <v>1</v>
      </c>
      <c r="P304" s="489">
        <v>1</v>
      </c>
      <c r="Q304" s="489">
        <v>1</v>
      </c>
      <c r="R304" s="489">
        <v>1</v>
      </c>
      <c r="S304" s="489">
        <v>1</v>
      </c>
      <c r="T304" s="489">
        <v>1</v>
      </c>
      <c r="U304" s="398"/>
      <c r="V304" s="391">
        <f t="shared" si="496"/>
        <v>1E-10</v>
      </c>
      <c r="W304" s="391">
        <f t="shared" si="497"/>
        <v>2.0000000000000001E-10</v>
      </c>
      <c r="X304" s="391">
        <f t="shared" si="498"/>
        <v>3E-10</v>
      </c>
      <c r="Y304" s="391"/>
      <c r="Z304" s="391">
        <f t="shared" si="499"/>
        <v>5.0000000000000003E-10</v>
      </c>
      <c r="AA304" s="391">
        <f t="shared" si="500"/>
        <v>6E-10</v>
      </c>
      <c r="AB304" s="391">
        <f t="shared" si="501"/>
        <v>6.9999999999999996E-10</v>
      </c>
      <c r="AC304" s="391">
        <f t="shared" si="502"/>
        <v>8.0000000000000003E-10</v>
      </c>
      <c r="AD304" s="391">
        <f t="shared" si="503"/>
        <v>8.9999999999999999E-10</v>
      </c>
      <c r="AE304" s="391">
        <f t="shared" si="504"/>
        <v>0</v>
      </c>
      <c r="AF304" s="117">
        <f t="shared" si="435"/>
        <v>1E-10</v>
      </c>
      <c r="AG304" s="117">
        <f t="shared" si="436"/>
        <v>99.000000000200004</v>
      </c>
      <c r="AH304" s="117">
        <f t="shared" si="437"/>
        <v>99.000000000300005</v>
      </c>
      <c r="AI304" s="117">
        <f t="shared" si="438"/>
        <v>0</v>
      </c>
      <c r="AJ304" s="117">
        <f t="shared" si="439"/>
        <v>5.0000000000000003E-10</v>
      </c>
      <c r="AK304" s="117">
        <f t="shared" si="440"/>
        <v>6E-10</v>
      </c>
      <c r="AL304" s="117">
        <f t="shared" si="441"/>
        <v>6.9999999999999996E-10</v>
      </c>
      <c r="AM304" s="117">
        <f t="shared" si="442"/>
        <v>8.0000000000000003E-10</v>
      </c>
      <c r="AN304" s="117">
        <f t="shared" si="443"/>
        <v>8.9999999999999999E-10</v>
      </c>
      <c r="AO304" s="117">
        <f t="shared" si="444"/>
        <v>0</v>
      </c>
      <c r="AP304" s="391" t="b">
        <f t="shared" ref="AP304:AR305" si="507">IF($E304="Best 5", IF(AF304&gt;LARGE(($AF304:$AO304),6),TRUE), IF($E304="Best 6",IF(AF304&gt;LARGE(($AF304:$AO304),7),TRUE)))</f>
        <v>0</v>
      </c>
      <c r="AQ304" s="391" t="b">
        <f t="shared" si="507"/>
        <v>1</v>
      </c>
      <c r="AR304" s="391" t="b">
        <f t="shared" si="507"/>
        <v>1</v>
      </c>
      <c r="AS304" s="391"/>
      <c r="AT304" s="391" t="b">
        <f t="shared" ref="AT304:AY305" si="508">IF($E304="Best 5", IF(AJ304&gt;LARGE(($AF304:$AO304),6),TRUE), IF($E304="Best 6",IF(AJ304&gt;LARGE(($AF304:$AO304),7),TRUE)))</f>
        <v>0</v>
      </c>
      <c r="AU304" s="391" t="b">
        <f t="shared" si="508"/>
        <v>0</v>
      </c>
      <c r="AV304" s="391" t="b">
        <f t="shared" si="508"/>
        <v>1</v>
      </c>
      <c r="AW304" s="391" t="b">
        <f t="shared" si="508"/>
        <v>1</v>
      </c>
      <c r="AX304" s="391" t="b">
        <f t="shared" si="508"/>
        <v>1</v>
      </c>
      <c r="AY304" s="391" t="b">
        <f t="shared" si="508"/>
        <v>0</v>
      </c>
      <c r="BA304" s="334" t="str">
        <f>'Reference Score Calculation'!N281</f>
        <v>最佳五科必須包括︰英文、數學</v>
      </c>
      <c r="BB304" s="334" t="str">
        <f>'Reference Score Calculation'!O281</f>
        <v>可包含 M1/2 或丙類科目於計算內</v>
      </c>
      <c r="BC304" s="334"/>
      <c r="BD304" s="334"/>
      <c r="BE304" s="334"/>
      <c r="BF304" s="334"/>
      <c r="BG304" s="334" t="s">
        <v>324</v>
      </c>
      <c r="BH304" s="334"/>
      <c r="BI304" s="334" t="b">
        <v>1</v>
      </c>
      <c r="BJ304" s="334" t="b">
        <v>1</v>
      </c>
      <c r="BK304" s="334"/>
      <c r="BL304" s="334"/>
      <c r="BM304" s="334"/>
      <c r="BN304" s="334"/>
      <c r="BO304" s="334"/>
      <c r="BP304" s="334"/>
      <c r="BQ304" s="334"/>
      <c r="BR304" s="334"/>
      <c r="BS304" s="385"/>
      <c r="BT304" s="395"/>
      <c r="BU304" s="394"/>
      <c r="BV304" s="392"/>
      <c r="BW304" s="392"/>
      <c r="BX304" s="392"/>
      <c r="BY304" s="392"/>
      <c r="BZ304" s="385"/>
      <c r="CA304" s="385"/>
      <c r="CB304" s="394"/>
      <c r="CC304" s="385"/>
      <c r="CD304" s="385"/>
      <c r="CE304" s="385"/>
      <c r="CF304" s="385"/>
      <c r="CG304" s="385"/>
      <c r="CH304" s="385"/>
      <c r="CI304" s="385"/>
      <c r="CJ304" s="385"/>
      <c r="CK304" s="385"/>
      <c r="CL304" s="385"/>
      <c r="CM304" s="385"/>
      <c r="CN304" s="392"/>
      <c r="CO304" s="392"/>
      <c r="CP304" s="392"/>
      <c r="CQ304" s="392"/>
      <c r="CR304" s="392"/>
      <c r="CS304" s="392"/>
    </row>
    <row r="305" spans="1:97" s="384" customFormat="1">
      <c r="A305" s="117"/>
      <c r="B305" s="384" t="str">
        <f>'Reference Score Calculation'!B282</f>
        <v>JS6937</v>
      </c>
      <c r="C305" s="389" t="str">
        <f>'Reference Score Calculation'!E282</f>
        <v>環球工程與商業課程</v>
      </c>
      <c r="D305" s="334"/>
      <c r="E305" s="390" t="str">
        <f>'Reference Score Calculation'!F282</f>
        <v>Best 5</v>
      </c>
      <c r="F305" s="404" t="str">
        <f>'Reference Score Calculation'!AC282</f>
        <v>Best 5</v>
      </c>
      <c r="G305" s="334" t="str">
        <f>入學要求!AB291</f>
        <v>v</v>
      </c>
      <c r="H305" s="334" t="str">
        <f>入學要求!AC291</f>
        <v>E</v>
      </c>
      <c r="I305" s="334" t="str">
        <f>入學要求!AD291</f>
        <v>NO</v>
      </c>
      <c r="J305" s="391">
        <f t="shared" si="425"/>
        <v>2.9000000000000003E-9</v>
      </c>
      <c r="K305" s="489">
        <v>1</v>
      </c>
      <c r="L305" s="489">
        <v>1</v>
      </c>
      <c r="M305" s="489">
        <v>1</v>
      </c>
      <c r="N305" s="489"/>
      <c r="O305" s="489">
        <v>1</v>
      </c>
      <c r="P305" s="489">
        <v>1</v>
      </c>
      <c r="Q305" s="489">
        <v>1</v>
      </c>
      <c r="R305" s="489">
        <v>1</v>
      </c>
      <c r="S305" s="489">
        <v>1</v>
      </c>
      <c r="T305" s="489">
        <v>1</v>
      </c>
      <c r="U305" s="398"/>
      <c r="V305" s="391">
        <f t="shared" si="496"/>
        <v>1E-10</v>
      </c>
      <c r="W305" s="391">
        <f t="shared" si="497"/>
        <v>2.0000000000000001E-10</v>
      </c>
      <c r="X305" s="391">
        <f t="shared" si="498"/>
        <v>3E-10</v>
      </c>
      <c r="Y305" s="391"/>
      <c r="Z305" s="391">
        <f t="shared" si="499"/>
        <v>5.0000000000000003E-10</v>
      </c>
      <c r="AA305" s="391">
        <f t="shared" si="500"/>
        <v>6E-10</v>
      </c>
      <c r="AB305" s="391">
        <f t="shared" si="501"/>
        <v>6.9999999999999996E-10</v>
      </c>
      <c r="AC305" s="391">
        <f t="shared" si="502"/>
        <v>8.0000000000000003E-10</v>
      </c>
      <c r="AD305" s="391">
        <f t="shared" si="503"/>
        <v>8.9999999999999999E-10</v>
      </c>
      <c r="AE305" s="391">
        <f t="shared" si="504"/>
        <v>0</v>
      </c>
      <c r="AF305" s="117">
        <f t="shared" si="435"/>
        <v>1E-10</v>
      </c>
      <c r="AG305" s="117">
        <f t="shared" si="436"/>
        <v>99.000000000200004</v>
      </c>
      <c r="AH305" s="117">
        <f t="shared" si="437"/>
        <v>99.000000000300005</v>
      </c>
      <c r="AI305" s="117">
        <f t="shared" si="438"/>
        <v>0</v>
      </c>
      <c r="AJ305" s="117">
        <f t="shared" si="439"/>
        <v>5.0000000000000003E-10</v>
      </c>
      <c r="AK305" s="117">
        <f t="shared" si="440"/>
        <v>6E-10</v>
      </c>
      <c r="AL305" s="117">
        <f t="shared" si="441"/>
        <v>6.9999999999999996E-10</v>
      </c>
      <c r="AM305" s="117">
        <f t="shared" si="442"/>
        <v>8.0000000000000003E-10</v>
      </c>
      <c r="AN305" s="117">
        <f t="shared" si="443"/>
        <v>8.9999999999999999E-10</v>
      </c>
      <c r="AO305" s="117">
        <f t="shared" si="444"/>
        <v>0</v>
      </c>
      <c r="AP305" s="391" t="b">
        <f t="shared" si="507"/>
        <v>0</v>
      </c>
      <c r="AQ305" s="391" t="b">
        <f t="shared" si="507"/>
        <v>1</v>
      </c>
      <c r="AR305" s="391" t="b">
        <f t="shared" si="507"/>
        <v>1</v>
      </c>
      <c r="AS305" s="391"/>
      <c r="AT305" s="391" t="b">
        <f t="shared" si="508"/>
        <v>0</v>
      </c>
      <c r="AU305" s="391" t="b">
        <f t="shared" si="508"/>
        <v>0</v>
      </c>
      <c r="AV305" s="391" t="b">
        <f t="shared" si="508"/>
        <v>1</v>
      </c>
      <c r="AW305" s="391" t="b">
        <f t="shared" si="508"/>
        <v>1</v>
      </c>
      <c r="AX305" s="391" t="b">
        <f t="shared" si="508"/>
        <v>1</v>
      </c>
      <c r="AY305" s="391" t="b">
        <f t="shared" si="508"/>
        <v>0</v>
      </c>
      <c r="BA305" s="334" t="str">
        <f>'Reference Score Calculation'!N282</f>
        <v>最佳五科必須包括︰英文、數學</v>
      </c>
      <c r="BB305" s="334" t="str">
        <f>'Reference Score Calculation'!O282</f>
        <v>可包含 M1/2 或丙類科目於計算內</v>
      </c>
      <c r="BC305" s="334"/>
      <c r="BD305" s="334"/>
      <c r="BE305" s="334"/>
      <c r="BF305" s="334"/>
      <c r="BG305" s="334" t="s">
        <v>324</v>
      </c>
      <c r="BH305" s="334"/>
      <c r="BI305" s="334" t="b">
        <v>1</v>
      </c>
      <c r="BJ305" s="334" t="b">
        <v>1</v>
      </c>
      <c r="BK305" s="334"/>
      <c r="BL305" s="334"/>
      <c r="BM305" s="334"/>
      <c r="BN305" s="334"/>
      <c r="BO305" s="334"/>
      <c r="BP305" s="334"/>
      <c r="BQ305" s="334"/>
      <c r="BR305" s="334"/>
      <c r="BS305" s="392"/>
      <c r="BT305" s="392"/>
      <c r="BU305" s="392"/>
      <c r="BV305" s="392"/>
      <c r="BW305" s="392"/>
      <c r="BX305" s="392"/>
      <c r="BY305" s="392"/>
      <c r="BZ305" s="392"/>
      <c r="CA305" s="392"/>
      <c r="CB305" s="392"/>
      <c r="CC305" s="392"/>
      <c r="CD305" s="392"/>
      <c r="CE305" s="392"/>
      <c r="CF305" s="392"/>
      <c r="CG305" s="392"/>
      <c r="CH305" s="392"/>
      <c r="CI305" s="392"/>
      <c r="CJ305" s="392"/>
      <c r="CK305" s="392"/>
      <c r="CL305" s="392"/>
      <c r="CM305" s="392"/>
      <c r="CN305" s="392"/>
      <c r="CO305" s="392"/>
      <c r="CP305" s="392"/>
      <c r="CQ305" s="392"/>
      <c r="CR305" s="392"/>
      <c r="CS305" s="392"/>
    </row>
    <row r="306" spans="1:97" s="384" customFormat="1">
      <c r="A306" s="117"/>
      <c r="B306" s="384" t="str">
        <f>'Reference Score Calculation'!B283</f>
        <v>JS6987</v>
      </c>
      <c r="C306" s="389" t="str">
        <f>'Reference Score Calculation'!E283</f>
        <v>工學學士(計算機工程/電機工程/電子工程)</v>
      </c>
      <c r="D306" s="334"/>
      <c r="E306" s="390" t="str">
        <f>'Reference Score Calculation'!F283</f>
        <v>25年新科目</v>
      </c>
      <c r="F306" s="404" t="str">
        <f>'Reference Score Calculation'!AC283</f>
        <v>Best 5</v>
      </c>
      <c r="G306" s="334" t="str">
        <f>入學要求!AB292</f>
        <v>v</v>
      </c>
      <c r="H306" s="334" t="str">
        <f>入學要求!AC292</f>
        <v>E</v>
      </c>
      <c r="I306" s="334" t="str">
        <f>入學要求!AD292</f>
        <v>NO</v>
      </c>
      <c r="J306" s="391">
        <f t="shared" si="425"/>
        <v>2.9000000000000003E-9</v>
      </c>
      <c r="K306" s="489">
        <v>1</v>
      </c>
      <c r="L306" s="489">
        <v>1</v>
      </c>
      <c r="M306" s="489">
        <v>1</v>
      </c>
      <c r="N306" s="489"/>
      <c r="O306" s="489">
        <v>1</v>
      </c>
      <c r="P306" s="489">
        <v>1</v>
      </c>
      <c r="Q306" s="489">
        <v>1</v>
      </c>
      <c r="R306" s="489">
        <v>1</v>
      </c>
      <c r="S306" s="489">
        <v>1</v>
      </c>
      <c r="T306" s="489">
        <v>1</v>
      </c>
      <c r="U306" s="398"/>
      <c r="V306" s="391">
        <f t="shared" si="496"/>
        <v>1E-10</v>
      </c>
      <c r="W306" s="391">
        <f t="shared" si="497"/>
        <v>2.0000000000000001E-10</v>
      </c>
      <c r="X306" s="391">
        <f t="shared" si="498"/>
        <v>3E-10</v>
      </c>
      <c r="Y306" s="391"/>
      <c r="Z306" s="391">
        <f t="shared" si="499"/>
        <v>5.0000000000000003E-10</v>
      </c>
      <c r="AA306" s="391">
        <f t="shared" si="500"/>
        <v>6E-10</v>
      </c>
      <c r="AB306" s="391">
        <f t="shared" si="501"/>
        <v>6.9999999999999996E-10</v>
      </c>
      <c r="AC306" s="391">
        <f t="shared" si="502"/>
        <v>8.0000000000000003E-10</v>
      </c>
      <c r="AD306" s="391">
        <f t="shared" si="503"/>
        <v>8.9999999999999999E-10</v>
      </c>
      <c r="AE306" s="391">
        <f t="shared" si="504"/>
        <v>0</v>
      </c>
      <c r="AF306" s="117">
        <f t="shared" si="435"/>
        <v>1E-10</v>
      </c>
      <c r="AG306" s="117">
        <f t="shared" si="436"/>
        <v>99.000000000200004</v>
      </c>
      <c r="AH306" s="117">
        <f t="shared" si="437"/>
        <v>99.000000000300005</v>
      </c>
      <c r="AI306" s="117">
        <f t="shared" si="438"/>
        <v>0</v>
      </c>
      <c r="AJ306" s="117">
        <f t="shared" si="439"/>
        <v>5.0000000000000003E-10</v>
      </c>
      <c r="AK306" s="117">
        <f t="shared" si="440"/>
        <v>6E-10</v>
      </c>
      <c r="AL306" s="117">
        <f t="shared" si="441"/>
        <v>6.9999999999999996E-10</v>
      </c>
      <c r="AM306" s="117">
        <f t="shared" si="442"/>
        <v>8.0000000000000003E-10</v>
      </c>
      <c r="AN306" s="117">
        <f t="shared" si="443"/>
        <v>8.9999999999999999E-10</v>
      </c>
      <c r="AO306" s="117">
        <f t="shared" si="444"/>
        <v>0</v>
      </c>
      <c r="AP306" s="495" t="b">
        <f>IF($F306="Best 5", IF(AF306&gt;LARGE(($AF306:$AO306),6),TRUE), IF($F306="Best 6",IF(AF306&gt;LARGE(($AF306:$AO306),7),TRUE)))</f>
        <v>0</v>
      </c>
      <c r="AQ306" s="495" t="b">
        <f>IF($F306="Best 5", IF(AG306&gt;LARGE(($AF306:$AO306),6),TRUE), IF($F306="Best 6",IF(AG306&gt;LARGE(($AF306:$AO306),7),TRUE)))</f>
        <v>1</v>
      </c>
      <c r="AR306" s="495" t="b">
        <f>IF($F306="Best 5", IF(AH306&gt;LARGE(($AF306:$AO306),6),TRUE), IF($F306="Best 6",IF(AH306&gt;LARGE(($AF306:$AO306),7),TRUE)))</f>
        <v>1</v>
      </c>
      <c r="AS306" s="495"/>
      <c r="AT306" s="495" t="b">
        <f t="shared" ref="AT306:AY306" si="509">IF($F306="Best 5", IF(AJ306&gt;LARGE(($AF306:$AO306),6),TRUE), IF($F306="Best 6",IF(AJ306&gt;LARGE(($AF306:$AO306),7),TRUE)))</f>
        <v>0</v>
      </c>
      <c r="AU306" s="495" t="b">
        <f t="shared" si="509"/>
        <v>0</v>
      </c>
      <c r="AV306" s="495" t="b">
        <f t="shared" si="509"/>
        <v>1</v>
      </c>
      <c r="AW306" s="495" t="b">
        <f t="shared" si="509"/>
        <v>1</v>
      </c>
      <c r="AX306" s="495" t="b">
        <f t="shared" si="509"/>
        <v>1</v>
      </c>
      <c r="AY306" s="495" t="b">
        <f t="shared" si="509"/>
        <v>0</v>
      </c>
      <c r="BA306" s="334"/>
      <c r="BB306" s="334"/>
      <c r="BC306" s="334"/>
      <c r="BD306" s="334"/>
      <c r="BE306" s="334"/>
      <c r="BF306" s="334"/>
      <c r="BG306" s="334" t="s">
        <v>324</v>
      </c>
      <c r="BH306" s="334"/>
      <c r="BI306" s="334" t="b">
        <v>1</v>
      </c>
      <c r="BJ306" s="334" t="b">
        <v>1</v>
      </c>
      <c r="BK306" s="334"/>
      <c r="BL306" s="334"/>
      <c r="BM306" s="334"/>
      <c r="BN306" s="334"/>
      <c r="BO306" s="334"/>
      <c r="BP306" s="334"/>
      <c r="BQ306" s="334"/>
      <c r="BR306" s="334"/>
      <c r="BS306" s="392"/>
      <c r="BT306" s="392"/>
      <c r="BU306" s="392"/>
      <c r="BV306" s="392"/>
      <c r="BW306" s="392"/>
      <c r="BX306" s="392"/>
      <c r="BY306" s="392"/>
      <c r="BZ306" s="392"/>
      <c r="CA306" s="392"/>
      <c r="CB306" s="392"/>
      <c r="CC306" s="392"/>
      <c r="CD306" s="392"/>
      <c r="CE306" s="392"/>
      <c r="CF306" s="392"/>
      <c r="CG306" s="392"/>
      <c r="CH306" s="392"/>
      <c r="CI306" s="392"/>
      <c r="CJ306" s="392"/>
      <c r="CK306" s="392"/>
      <c r="CL306" s="392"/>
      <c r="CM306" s="392"/>
      <c r="CN306" s="392"/>
      <c r="CO306" s="392"/>
      <c r="CP306" s="392"/>
      <c r="CQ306" s="392"/>
      <c r="CR306" s="392"/>
      <c r="CS306" s="392"/>
    </row>
    <row r="307" spans="1:97" s="384" customFormat="1">
      <c r="A307" s="117"/>
      <c r="B307" s="384" t="str">
        <f>'Reference Score Calculation'!B284</f>
        <v>JS6078</v>
      </c>
      <c r="C307" s="389" t="str">
        <f>'Reference Score Calculation'!E284</f>
        <v>文學士及法學士</v>
      </c>
      <c r="D307" s="334"/>
      <c r="E307" s="390" t="str">
        <f>'Reference Score Calculation'!F284</f>
        <v>Best 6</v>
      </c>
      <c r="F307" s="404" t="str">
        <f>'Reference Score Calculation'!AC284</f>
        <v>Best 6</v>
      </c>
      <c r="G307" s="334" t="str">
        <f>入學要求!AB293</f>
        <v>v</v>
      </c>
      <c r="H307" s="334" t="str">
        <f>入學要求!AC293</f>
        <v>NO</v>
      </c>
      <c r="I307" s="334" t="str">
        <f>入學要求!AD293</f>
        <v>NO</v>
      </c>
      <c r="J307" s="391">
        <f t="shared" si="425"/>
        <v>3.7E-9</v>
      </c>
      <c r="K307" s="489">
        <v>1</v>
      </c>
      <c r="L307" s="489">
        <v>1</v>
      </c>
      <c r="M307" s="489">
        <v>1</v>
      </c>
      <c r="N307" s="489"/>
      <c r="O307" s="489">
        <v>1</v>
      </c>
      <c r="P307" s="489">
        <v>1</v>
      </c>
      <c r="Q307" s="489">
        <v>1</v>
      </c>
      <c r="R307" s="489">
        <v>1</v>
      </c>
      <c r="S307" s="489">
        <v>1</v>
      </c>
      <c r="T307" s="489">
        <v>1</v>
      </c>
      <c r="U307" s="398"/>
      <c r="V307" s="391">
        <f t="shared" si="496"/>
        <v>1E-10</v>
      </c>
      <c r="W307" s="391">
        <f t="shared" si="497"/>
        <v>2.0000000000000001E-10</v>
      </c>
      <c r="X307" s="391">
        <f t="shared" si="498"/>
        <v>3E-10</v>
      </c>
      <c r="Y307" s="391"/>
      <c r="Z307" s="391">
        <f t="shared" si="499"/>
        <v>5.0000000000000003E-10</v>
      </c>
      <c r="AA307" s="391">
        <f t="shared" si="500"/>
        <v>6E-10</v>
      </c>
      <c r="AB307" s="391">
        <f t="shared" si="501"/>
        <v>6.9999999999999996E-10</v>
      </c>
      <c r="AC307" s="391">
        <f t="shared" si="502"/>
        <v>8.0000000000000003E-10</v>
      </c>
      <c r="AD307" s="391">
        <f t="shared" si="503"/>
        <v>8.9999999999999999E-10</v>
      </c>
      <c r="AE307" s="391">
        <f t="shared" ref="AE307:AE311" si="510">IF(H307="E",IF($T$8 &gt; $O$8,$T$8*T307,0),0)</f>
        <v>0</v>
      </c>
      <c r="AF307" s="117">
        <f t="shared" si="435"/>
        <v>1E-10</v>
      </c>
      <c r="AG307" s="117">
        <f t="shared" si="436"/>
        <v>99.000000000200004</v>
      </c>
      <c r="AH307" s="117">
        <f t="shared" si="437"/>
        <v>3E-10</v>
      </c>
      <c r="AI307" s="117">
        <f t="shared" si="438"/>
        <v>0</v>
      </c>
      <c r="AJ307" s="117">
        <f t="shared" si="439"/>
        <v>5.0000000000000003E-10</v>
      </c>
      <c r="AK307" s="117">
        <f t="shared" si="440"/>
        <v>6E-10</v>
      </c>
      <c r="AL307" s="117">
        <f t="shared" si="441"/>
        <v>6.9999999999999996E-10</v>
      </c>
      <c r="AM307" s="117">
        <f t="shared" si="442"/>
        <v>8.0000000000000003E-10</v>
      </c>
      <c r="AN307" s="117">
        <f t="shared" si="443"/>
        <v>8.9999999999999999E-10</v>
      </c>
      <c r="AO307" s="117">
        <f t="shared" si="444"/>
        <v>0</v>
      </c>
      <c r="AP307" s="391" t="b">
        <f t="shared" ref="AP307:AP323" si="511">IF($E307="Best 5", IF(AF307&gt;LARGE(($AF307:$AO307),6),TRUE), IF($E307="Best 6",IF(AF307&gt;LARGE(($AF307:$AO307),7),TRUE)))</f>
        <v>0</v>
      </c>
      <c r="AQ307" s="391" t="b">
        <f t="shared" ref="AQ307:AQ323" si="512">IF($E307="Best 5", IF(AG307&gt;LARGE(($AF307:$AO307),6),TRUE), IF($E307="Best 6",IF(AG307&gt;LARGE(($AF307:$AO307),7),TRUE)))</f>
        <v>1</v>
      </c>
      <c r="AR307" s="391" t="b">
        <f t="shared" ref="AR307:AR323" si="513">IF($E307="Best 5", IF(AH307&gt;LARGE(($AF307:$AO307),6),TRUE), IF($E307="Best 6",IF(AH307&gt;LARGE(($AF307:$AO307),7),TRUE)))</f>
        <v>0</v>
      </c>
      <c r="AS307" s="391"/>
      <c r="AT307" s="391" t="b">
        <f t="shared" ref="AT307:AT323" si="514">IF($E307="Best 5", IF(AJ307&gt;LARGE(($AF307:$AO307),6),TRUE), IF($E307="Best 6",IF(AJ307&gt;LARGE(($AF307:$AO307),7),TRUE)))</f>
        <v>1</v>
      </c>
      <c r="AU307" s="391" t="b">
        <f t="shared" ref="AU307:AU323" si="515">IF($E307="Best 5", IF(AK307&gt;LARGE(($AF307:$AO307),6),TRUE), IF($E307="Best 6",IF(AK307&gt;LARGE(($AF307:$AO307),7),TRUE)))</f>
        <v>1</v>
      </c>
      <c r="AV307" s="391" t="b">
        <f t="shared" ref="AV307:AV323" si="516">IF($E307="Best 5", IF(AL307&gt;LARGE(($AF307:$AO307),6),TRUE), IF($E307="Best 6",IF(AL307&gt;LARGE(($AF307:$AO307),7),TRUE)))</f>
        <v>1</v>
      </c>
      <c r="AW307" s="391" t="b">
        <f t="shared" ref="AW307:AW323" si="517">IF($E307="Best 5", IF(AM307&gt;LARGE(($AF307:$AO307),6),TRUE), IF($E307="Best 6",IF(AM307&gt;LARGE(($AF307:$AO307),7),TRUE)))</f>
        <v>1</v>
      </c>
      <c r="AX307" s="391" t="b">
        <f t="shared" ref="AX307:AX323" si="518">IF($E307="Best 5", IF(AN307&gt;LARGE(($AF307:$AO307),6),TRUE), IF($E307="Best 6",IF(AN307&gt;LARGE(($AF307:$AO307),7),TRUE)))</f>
        <v>1</v>
      </c>
      <c r="AY307" s="391" t="b">
        <f t="shared" ref="AY307:AY323" si="519">IF($E307="Best 5", IF(AO307&gt;LARGE(($AF307:$AO307),6),TRUE), IF($E307="Best 6",IF(AO307&gt;LARGE(($AF307:$AO307),7),TRUE)))</f>
        <v>0</v>
      </c>
      <c r="BA307" s="334" t="str">
        <f>'Reference Score Calculation'!N284</f>
        <v>最佳六科必須包括︰英文</v>
      </c>
      <c r="BB307" s="334" t="str">
        <f>'Reference Score Calculation'!O284</f>
        <v>/</v>
      </c>
      <c r="BC307" s="334"/>
      <c r="BD307" s="334"/>
      <c r="BE307" s="334"/>
      <c r="BF307" s="334"/>
      <c r="BG307" s="334" t="s">
        <v>324</v>
      </c>
      <c r="BH307" s="334"/>
      <c r="BI307" s="334" t="b">
        <v>1</v>
      </c>
      <c r="BJ307" s="334"/>
      <c r="BK307" s="334"/>
      <c r="BL307" s="334"/>
      <c r="BM307" s="334"/>
      <c r="BN307" s="334"/>
      <c r="BO307" s="334"/>
      <c r="BP307" s="334"/>
      <c r="BQ307" s="334"/>
      <c r="BR307" s="334"/>
      <c r="BS307" s="392"/>
      <c r="BT307" s="392"/>
      <c r="BU307" s="392"/>
      <c r="BV307" s="392"/>
      <c r="BW307" s="392"/>
      <c r="BX307" s="392"/>
      <c r="BY307" s="392"/>
      <c r="BZ307" s="392"/>
      <c r="CA307" s="392"/>
      <c r="CB307" s="392"/>
      <c r="CC307" s="392"/>
      <c r="CD307" s="392"/>
      <c r="CE307" s="392"/>
      <c r="CF307" s="392"/>
      <c r="CG307" s="392"/>
      <c r="CH307" s="392"/>
      <c r="CI307" s="392"/>
      <c r="CJ307" s="392"/>
      <c r="CK307" s="392"/>
      <c r="CL307" s="392"/>
      <c r="CM307" s="392"/>
      <c r="CN307" s="392"/>
      <c r="CO307" s="392"/>
      <c r="CP307" s="392"/>
      <c r="CQ307" s="392"/>
      <c r="CR307" s="392"/>
      <c r="CS307" s="392"/>
    </row>
    <row r="308" spans="1:97" s="384" customFormat="1">
      <c r="A308" s="117"/>
      <c r="B308" s="384" t="str">
        <f>'Reference Score Calculation'!B285</f>
        <v>JS6406</v>
      </c>
      <c r="C308" s="389" t="str">
        <f>'Reference Score Calculation'!E285</f>
        <v>法學士</v>
      </c>
      <c r="D308" s="334"/>
      <c r="E308" s="390" t="str">
        <f>'Reference Score Calculation'!F285</f>
        <v>Best 6</v>
      </c>
      <c r="F308" s="404" t="str">
        <f>'Reference Score Calculation'!AC285</f>
        <v>Best 6</v>
      </c>
      <c r="G308" s="334" t="str">
        <f>入學要求!AB294</f>
        <v>v</v>
      </c>
      <c r="H308" s="334" t="str">
        <f>入學要求!AC294</f>
        <v>NO</v>
      </c>
      <c r="I308" s="334" t="str">
        <f>入學要求!AD294</f>
        <v>NO</v>
      </c>
      <c r="J308" s="391">
        <f t="shared" ref="J308:J330" si="520">SUMIF(AP308:AY308,TRUE,V308:AE308)+BE308</f>
        <v>3.7E-9</v>
      </c>
      <c r="K308" s="489">
        <v>1</v>
      </c>
      <c r="L308" s="489">
        <v>1</v>
      </c>
      <c r="M308" s="489">
        <v>1</v>
      </c>
      <c r="N308" s="489"/>
      <c r="O308" s="489">
        <v>1</v>
      </c>
      <c r="P308" s="489">
        <v>1</v>
      </c>
      <c r="Q308" s="489">
        <v>1</v>
      </c>
      <c r="R308" s="489">
        <v>1</v>
      </c>
      <c r="S308" s="489">
        <v>1</v>
      </c>
      <c r="T308" s="489">
        <v>1</v>
      </c>
      <c r="U308" s="398"/>
      <c r="V308" s="391">
        <f t="shared" si="496"/>
        <v>1E-10</v>
      </c>
      <c r="W308" s="391">
        <f t="shared" si="497"/>
        <v>2.0000000000000001E-10</v>
      </c>
      <c r="X308" s="391">
        <f t="shared" si="498"/>
        <v>3E-10</v>
      </c>
      <c r="Y308" s="391"/>
      <c r="Z308" s="391">
        <f t="shared" si="499"/>
        <v>5.0000000000000003E-10</v>
      </c>
      <c r="AA308" s="391">
        <f t="shared" si="500"/>
        <v>6E-10</v>
      </c>
      <c r="AB308" s="391">
        <f t="shared" si="501"/>
        <v>6.9999999999999996E-10</v>
      </c>
      <c r="AC308" s="391">
        <f t="shared" si="502"/>
        <v>8.0000000000000003E-10</v>
      </c>
      <c r="AD308" s="391">
        <f t="shared" si="503"/>
        <v>8.9999999999999999E-10</v>
      </c>
      <c r="AE308" s="391">
        <f t="shared" si="510"/>
        <v>0</v>
      </c>
      <c r="AF308" s="117">
        <f t="shared" ref="AF308:AF330" si="521">IF(BH308=TRUE,V308+99,V308)</f>
        <v>1E-10</v>
      </c>
      <c r="AG308" s="117">
        <f t="shared" ref="AG308:AG330" si="522">IF(BI308=TRUE,W308+99,W308)</f>
        <v>99.000000000200004</v>
      </c>
      <c r="AH308" s="117">
        <f t="shared" ref="AH308:AH330" si="523">IF(BJ308=TRUE,X308+99,X308)</f>
        <v>3E-10</v>
      </c>
      <c r="AI308" s="117">
        <f t="shared" ref="AI308:AI330" si="524">IF(BK308=TRUE,Y308+99,Y308)</f>
        <v>0</v>
      </c>
      <c r="AJ308" s="117">
        <f t="shared" ref="AJ308:AJ330" si="525">IF(BL308=TRUE,Z308+99,Z308)</f>
        <v>5.0000000000000003E-10</v>
      </c>
      <c r="AK308" s="117">
        <f t="shared" ref="AK308:AK330" si="526">IF(BM308=TRUE,AA308+99,AA308)</f>
        <v>6E-10</v>
      </c>
      <c r="AL308" s="117">
        <f t="shared" ref="AL308:AL330" si="527">IF(BN308=TRUE,AB308+99,AB308)</f>
        <v>6.9999999999999996E-10</v>
      </c>
      <c r="AM308" s="117">
        <f t="shared" ref="AM308:AM330" si="528">IF(BO308=TRUE,AC308+99,AC308)</f>
        <v>8.0000000000000003E-10</v>
      </c>
      <c r="AN308" s="117">
        <f t="shared" ref="AN308:AN330" si="529">IF(BP308=TRUE,AD308+99,AD308)</f>
        <v>8.9999999999999999E-10</v>
      </c>
      <c r="AO308" s="117">
        <f t="shared" ref="AO308:AO330" si="530">IF(BQ308=TRUE,AE308+99,AE308)</f>
        <v>0</v>
      </c>
      <c r="AP308" s="391" t="b">
        <f t="shared" si="511"/>
        <v>0</v>
      </c>
      <c r="AQ308" s="391" t="b">
        <f t="shared" si="512"/>
        <v>1</v>
      </c>
      <c r="AR308" s="391" t="b">
        <f t="shared" si="513"/>
        <v>0</v>
      </c>
      <c r="AS308" s="391"/>
      <c r="AT308" s="391" t="b">
        <f t="shared" si="514"/>
        <v>1</v>
      </c>
      <c r="AU308" s="391" t="b">
        <f t="shared" si="515"/>
        <v>1</v>
      </c>
      <c r="AV308" s="391" t="b">
        <f t="shared" si="516"/>
        <v>1</v>
      </c>
      <c r="AW308" s="391" t="b">
        <f t="shared" si="517"/>
        <v>1</v>
      </c>
      <c r="AX308" s="391" t="b">
        <f t="shared" si="518"/>
        <v>1</v>
      </c>
      <c r="AY308" s="391" t="b">
        <f t="shared" si="519"/>
        <v>0</v>
      </c>
      <c r="BA308" s="334" t="str">
        <f>'Reference Score Calculation'!N285</f>
        <v>最佳六科必須包括︰英文</v>
      </c>
      <c r="BB308" s="334" t="str">
        <f>'Reference Score Calculation'!O285</f>
        <v>/</v>
      </c>
      <c r="BC308" s="334"/>
      <c r="BD308" s="334"/>
      <c r="BE308" s="334"/>
      <c r="BF308" s="334"/>
      <c r="BG308" s="334" t="s">
        <v>324</v>
      </c>
      <c r="BH308" s="334"/>
      <c r="BI308" s="334" t="b">
        <v>1</v>
      </c>
      <c r="BJ308" s="334"/>
      <c r="BK308" s="334"/>
      <c r="BL308" s="334"/>
      <c r="BM308" s="334"/>
      <c r="BN308" s="334"/>
      <c r="BO308" s="334"/>
      <c r="BP308" s="334"/>
      <c r="BQ308" s="334"/>
      <c r="BR308" s="334"/>
      <c r="BS308" s="392"/>
      <c r="BT308" s="392"/>
      <c r="BU308" s="392"/>
      <c r="BV308" s="392"/>
      <c r="BW308" s="392"/>
      <c r="BX308" s="392"/>
      <c r="BY308" s="392"/>
      <c r="BZ308" s="392"/>
      <c r="CA308" s="392"/>
      <c r="CB308" s="392"/>
      <c r="CC308" s="392"/>
      <c r="CD308" s="392"/>
      <c r="CE308" s="392"/>
      <c r="CF308" s="392"/>
      <c r="CG308" s="392"/>
      <c r="CH308" s="392"/>
      <c r="CI308" s="392"/>
      <c r="CJ308" s="392"/>
      <c r="CK308" s="392"/>
      <c r="CL308" s="392"/>
      <c r="CM308" s="392"/>
      <c r="CN308" s="392"/>
      <c r="CO308" s="392"/>
      <c r="CP308" s="392"/>
      <c r="CQ308" s="392"/>
      <c r="CR308" s="392"/>
      <c r="CS308" s="392"/>
    </row>
    <row r="309" spans="1:97" s="384" customFormat="1">
      <c r="A309" s="117"/>
      <c r="B309" s="384" t="str">
        <f>'Reference Score Calculation'!B286</f>
        <v>JS6418</v>
      </c>
      <c r="C309" s="389" t="str">
        <f>'Reference Score Calculation'!E286</f>
        <v>護理學學士菁英領袖培育專修組別</v>
      </c>
      <c r="D309" s="334"/>
      <c r="E309" s="390" t="str">
        <f>'Reference Score Calculation'!F286</f>
        <v>Best 5</v>
      </c>
      <c r="F309" s="404" t="str">
        <f>'Reference Score Calculation'!AC286</f>
        <v>Best 5</v>
      </c>
      <c r="G309" s="334" t="str">
        <f>入學要求!AB295</f>
        <v>v</v>
      </c>
      <c r="H309" s="334" t="str">
        <f>入學要求!AC295</f>
        <v>E</v>
      </c>
      <c r="I309" s="334" t="str">
        <f>入學要求!AD295</f>
        <v>NO</v>
      </c>
      <c r="J309" s="391">
        <f t="shared" si="520"/>
        <v>3.65E-9</v>
      </c>
      <c r="K309" s="489">
        <f>IF($BV$317=K$1,0.5,1)</f>
        <v>1</v>
      </c>
      <c r="L309" s="489">
        <v>1</v>
      </c>
      <c r="M309" s="489">
        <f>IF($BV$317=M$1,0.5,1)</f>
        <v>1</v>
      </c>
      <c r="N309" s="489"/>
      <c r="O309" s="489">
        <v>1</v>
      </c>
      <c r="P309" s="489">
        <v>1</v>
      </c>
      <c r="Q309" s="489">
        <v>1</v>
      </c>
      <c r="R309" s="489">
        <v>1</v>
      </c>
      <c r="S309" s="489">
        <v>1</v>
      </c>
      <c r="T309" s="489">
        <v>1</v>
      </c>
      <c r="U309" s="391"/>
      <c r="V309" s="391">
        <f t="shared" si="496"/>
        <v>1E-10</v>
      </c>
      <c r="W309" s="391">
        <f t="shared" si="497"/>
        <v>2.0000000000000001E-10</v>
      </c>
      <c r="X309" s="391">
        <f t="shared" si="498"/>
        <v>3E-10</v>
      </c>
      <c r="Y309" s="391"/>
      <c r="Z309" s="391">
        <f>IF($O$8&gt;$T$8,O$8*O309,0)</f>
        <v>5.0000000000000003E-10</v>
      </c>
      <c r="AA309" s="391">
        <f>P$8*P309</f>
        <v>6E-10</v>
      </c>
      <c r="AB309" s="391">
        <f>Q$8*Q309</f>
        <v>6.9999999999999996E-10</v>
      </c>
      <c r="AC309" s="391">
        <f>R$8*R309</f>
        <v>8.0000000000000003E-10</v>
      </c>
      <c r="AD309" s="391">
        <f>S$8*S309</f>
        <v>8.9999999999999999E-10</v>
      </c>
      <c r="AE309" s="391">
        <f t="shared" si="510"/>
        <v>0</v>
      </c>
      <c r="AF309" s="117">
        <f t="shared" si="521"/>
        <v>1E-10</v>
      </c>
      <c r="AG309" s="117">
        <f t="shared" si="522"/>
        <v>2.0000000000000001E-10</v>
      </c>
      <c r="AH309" s="117">
        <f t="shared" si="523"/>
        <v>3E-10</v>
      </c>
      <c r="AI309" s="117">
        <f t="shared" si="524"/>
        <v>0</v>
      </c>
      <c r="AJ309" s="117">
        <f t="shared" si="525"/>
        <v>5.0000000000000003E-10</v>
      </c>
      <c r="AK309" s="117">
        <f t="shared" si="526"/>
        <v>6E-10</v>
      </c>
      <c r="AL309" s="117">
        <f t="shared" si="527"/>
        <v>6.9999999999999996E-10</v>
      </c>
      <c r="AM309" s="117">
        <f t="shared" si="528"/>
        <v>8.0000000000000003E-10</v>
      </c>
      <c r="AN309" s="117">
        <f t="shared" si="529"/>
        <v>8.9999999999999999E-10</v>
      </c>
      <c r="AO309" s="117">
        <f t="shared" si="530"/>
        <v>0</v>
      </c>
      <c r="AP309" s="391" t="b">
        <f t="shared" si="511"/>
        <v>0</v>
      </c>
      <c r="AQ309" s="391" t="b">
        <f t="shared" si="512"/>
        <v>0</v>
      </c>
      <c r="AR309" s="391" t="b">
        <f t="shared" si="513"/>
        <v>0</v>
      </c>
      <c r="AS309" s="391"/>
      <c r="AT309" s="391" t="b">
        <f t="shared" si="514"/>
        <v>1</v>
      </c>
      <c r="AU309" s="391" t="b">
        <f t="shared" si="515"/>
        <v>1</v>
      </c>
      <c r="AV309" s="391" t="b">
        <f t="shared" si="516"/>
        <v>1</v>
      </c>
      <c r="AW309" s="391" t="b">
        <f t="shared" si="517"/>
        <v>1</v>
      </c>
      <c r="AX309" s="391" t="b">
        <f t="shared" si="518"/>
        <v>1</v>
      </c>
      <c r="AY309" s="391" t="b">
        <f t="shared" si="519"/>
        <v>0</v>
      </c>
      <c r="BA309" s="334" t="str">
        <f>'Reference Score Calculation'!N286</f>
        <v>如同學有修讀六科，第六科成績 (x0.5) 會額外加上原有的Best 5分數</v>
      </c>
      <c r="BB309" s="334" t="str">
        <f>'Reference Score Calculation'!O286</f>
        <v>可包含 M1/2 或丙類科目 (較高者) 於計算內</v>
      </c>
      <c r="BC309" s="334" t="str">
        <f t="shared" si="484"/>
        <v>數學</v>
      </c>
      <c r="BD309" s="334">
        <f t="shared" si="478"/>
        <v>3E-10</v>
      </c>
      <c r="BE309" s="334">
        <f>BD309*0.5</f>
        <v>1.5E-10</v>
      </c>
      <c r="BF309" s="334" t="str">
        <f>_xlfn.CONCAT("Best 5總分 + ",BE309)</f>
        <v>Best 5總分 + 0.00000000015</v>
      </c>
      <c r="BG309" s="334" t="s">
        <v>324</v>
      </c>
      <c r="BH309" s="334"/>
      <c r="BI309" s="334"/>
      <c r="BJ309" s="334"/>
      <c r="BK309" s="334"/>
      <c r="BL309" s="334"/>
      <c r="BM309" s="334"/>
      <c r="BN309" s="334"/>
      <c r="BO309" s="334"/>
      <c r="BP309" s="334"/>
      <c r="BQ309" s="334"/>
      <c r="BR309" s="334"/>
      <c r="BS309" s="392"/>
      <c r="BT309" s="392"/>
      <c r="BU309" s="392"/>
      <c r="BV309" s="392"/>
      <c r="BW309" s="392"/>
      <c r="BX309" s="392"/>
      <c r="BY309" s="392"/>
      <c r="BZ309" s="392"/>
      <c r="CA309" s="392"/>
      <c r="CB309" s="392"/>
      <c r="CC309" s="392"/>
      <c r="CD309" s="392"/>
      <c r="CE309" s="392"/>
      <c r="CF309" s="392"/>
      <c r="CG309" s="392"/>
      <c r="CH309" s="392"/>
      <c r="CI309" s="392"/>
      <c r="CJ309" s="392"/>
      <c r="CK309" s="392"/>
      <c r="CL309" s="392"/>
      <c r="CM309" s="392"/>
      <c r="CN309" s="392"/>
      <c r="CO309" s="392"/>
      <c r="CP309" s="392"/>
      <c r="CQ309" s="392"/>
      <c r="CR309" s="392"/>
      <c r="CS309" s="392"/>
    </row>
    <row r="310" spans="1:97" s="384" customFormat="1">
      <c r="A310" s="117"/>
      <c r="B310" s="384" t="str">
        <f>'Reference Score Calculation'!B287</f>
        <v>JS6456</v>
      </c>
      <c r="C310" s="389" t="str">
        <f>'Reference Score Calculation'!E287</f>
        <v>內外全科醫學士</v>
      </c>
      <c r="D310" s="334"/>
      <c r="E310" s="390" t="str">
        <f>'Reference Score Calculation'!F287</f>
        <v>Best 6</v>
      </c>
      <c r="F310" s="404" t="str">
        <f>'Reference Score Calculation'!AC287</f>
        <v>Best 6</v>
      </c>
      <c r="G310" s="334" t="str">
        <f>入學要求!AB296</f>
        <v>v</v>
      </c>
      <c r="H310" s="334" t="str">
        <f>入學要求!AC296</f>
        <v>NO</v>
      </c>
      <c r="I310" s="334" t="str">
        <f>入學要求!AD296</f>
        <v>NO</v>
      </c>
      <c r="J310" s="391">
        <f t="shared" si="520"/>
        <v>3.8000000000000001E-9</v>
      </c>
      <c r="K310" s="489">
        <v>1</v>
      </c>
      <c r="L310" s="489">
        <v>1</v>
      </c>
      <c r="M310" s="489">
        <v>1</v>
      </c>
      <c r="N310" s="489"/>
      <c r="O310" s="489">
        <v>1</v>
      </c>
      <c r="P310" s="489">
        <v>1</v>
      </c>
      <c r="Q310" s="489">
        <v>1</v>
      </c>
      <c r="R310" s="489">
        <v>1</v>
      </c>
      <c r="S310" s="489">
        <v>1</v>
      </c>
      <c r="T310" s="489">
        <v>1</v>
      </c>
      <c r="U310" s="398"/>
      <c r="V310" s="391">
        <f>IF(K$15,K$8*K310*0.9,K$8*K310)</f>
        <v>1E-10</v>
      </c>
      <c r="W310" s="391">
        <f>IF(L$15,L$8*L310*0.9,L$8*L310)</f>
        <v>2.0000000000000001E-10</v>
      </c>
      <c r="X310" s="391">
        <f>IF(M$15,M$8*M310*0.9,M$8*M310)</f>
        <v>3E-10</v>
      </c>
      <c r="Y310" s="391"/>
      <c r="Z310" s="391">
        <f>IF(O$15,O$8*O310*0.9,O$8*O310)</f>
        <v>5.0000000000000003E-10</v>
      </c>
      <c r="AA310" s="391">
        <f>IF(P$15,P$8*P310*0.9,P$8*P310)</f>
        <v>6E-10</v>
      </c>
      <c r="AB310" s="391">
        <f>IF(Q$15,Q$8*Q310*0.9,Q$8*Q310)</f>
        <v>6.9999999999999996E-10</v>
      </c>
      <c r="AC310" s="391">
        <f>IF(R$15,R$8*R310*0.9,R$8*R310)</f>
        <v>8.0000000000000003E-10</v>
      </c>
      <c r="AD310" s="391">
        <f>IF(S$15,S$8*S310*0.9,S$8*S310)</f>
        <v>8.9999999999999999E-10</v>
      </c>
      <c r="AE310" s="391">
        <f t="shared" si="510"/>
        <v>0</v>
      </c>
      <c r="AF310" s="117">
        <f t="shared" si="521"/>
        <v>1E-10</v>
      </c>
      <c r="AG310" s="117">
        <f t="shared" si="522"/>
        <v>2.0000000000000001E-10</v>
      </c>
      <c r="AH310" s="117">
        <f t="shared" si="523"/>
        <v>3E-10</v>
      </c>
      <c r="AI310" s="117">
        <f t="shared" si="524"/>
        <v>0</v>
      </c>
      <c r="AJ310" s="117">
        <f t="shared" si="525"/>
        <v>5.0000000000000003E-10</v>
      </c>
      <c r="AK310" s="117">
        <f t="shared" si="526"/>
        <v>6E-10</v>
      </c>
      <c r="AL310" s="117">
        <f t="shared" si="527"/>
        <v>6.9999999999999996E-10</v>
      </c>
      <c r="AM310" s="117">
        <f t="shared" si="528"/>
        <v>8.0000000000000003E-10</v>
      </c>
      <c r="AN310" s="117">
        <f t="shared" si="529"/>
        <v>8.9999999999999999E-10</v>
      </c>
      <c r="AO310" s="117">
        <f t="shared" si="530"/>
        <v>0</v>
      </c>
      <c r="AP310" s="391" t="b">
        <f t="shared" si="511"/>
        <v>0</v>
      </c>
      <c r="AQ310" s="391" t="b">
        <f t="shared" si="512"/>
        <v>0</v>
      </c>
      <c r="AR310" s="391" t="b">
        <f t="shared" si="513"/>
        <v>1</v>
      </c>
      <c r="AS310" s="391"/>
      <c r="AT310" s="391" t="b">
        <f t="shared" si="514"/>
        <v>1</v>
      </c>
      <c r="AU310" s="391" t="b">
        <f t="shared" si="515"/>
        <v>1</v>
      </c>
      <c r="AV310" s="391" t="b">
        <f t="shared" si="516"/>
        <v>1</v>
      </c>
      <c r="AW310" s="391" t="b">
        <f t="shared" si="517"/>
        <v>1</v>
      </c>
      <c r="AX310" s="391" t="b">
        <f t="shared" si="518"/>
        <v>1</v>
      </c>
      <c r="AY310" s="391" t="b">
        <f t="shared" si="519"/>
        <v>0</v>
      </c>
      <c r="AZ310" s="397">
        <v>0.1</v>
      </c>
      <c r="BA310" s="334" t="str">
        <f>'Reference Score Calculation'!N287</f>
        <v>/</v>
      </c>
      <c r="BB310" s="334" t="str">
        <f>'Reference Score Calculation'!O287</f>
        <v>/</v>
      </c>
      <c r="BC310" s="334"/>
      <c r="BD310" s="334"/>
      <c r="BE310" s="334"/>
      <c r="BF310" s="334"/>
      <c r="BG310" s="334" t="s">
        <v>324</v>
      </c>
      <c r="BH310" s="334"/>
      <c r="BI310" s="334"/>
      <c r="BJ310" s="334"/>
      <c r="BK310" s="334"/>
      <c r="BL310" s="334"/>
      <c r="BM310" s="334"/>
      <c r="BN310" s="334"/>
      <c r="BO310" s="334"/>
      <c r="BP310" s="334"/>
      <c r="BQ310" s="334"/>
      <c r="BR310" s="334"/>
      <c r="BS310" s="392"/>
      <c r="BT310" s="392"/>
      <c r="BU310" s="392"/>
      <c r="BV310" s="392"/>
      <c r="BW310" s="392"/>
      <c r="BX310" s="392"/>
      <c r="BY310" s="392"/>
      <c r="BZ310" s="392"/>
      <c r="CA310" s="392"/>
      <c r="CB310" s="392"/>
      <c r="CC310" s="392"/>
      <c r="CD310" s="392"/>
      <c r="CE310" s="392"/>
      <c r="CF310" s="392"/>
      <c r="CG310" s="392"/>
      <c r="CH310" s="392"/>
      <c r="CI310" s="392"/>
      <c r="CJ310" s="392"/>
      <c r="CK310" s="392"/>
      <c r="CL310" s="392"/>
      <c r="CM310" s="392"/>
      <c r="CN310" s="392"/>
      <c r="CO310" s="392"/>
      <c r="CP310" s="392"/>
      <c r="CQ310" s="392"/>
      <c r="CR310" s="392"/>
      <c r="CS310" s="392"/>
    </row>
    <row r="311" spans="1:97" s="384" customFormat="1">
      <c r="A311" s="117"/>
      <c r="B311" s="384" t="str">
        <f>'Reference Score Calculation'!B288</f>
        <v>JS6468</v>
      </c>
      <c r="C311" s="389" t="str">
        <f>'Reference Score Calculation'!E288</f>
        <v>護理學學士</v>
      </c>
      <c r="D311" s="334"/>
      <c r="E311" s="390" t="str">
        <f>'Reference Score Calculation'!F288</f>
        <v>Best 5</v>
      </c>
      <c r="F311" s="404" t="str">
        <f>'Reference Score Calculation'!AC288</f>
        <v>Best 5</v>
      </c>
      <c r="G311" s="334" t="str">
        <f>入學要求!AB297</f>
        <v>v</v>
      </c>
      <c r="H311" s="334" t="str">
        <f>入學要求!AC297</f>
        <v>E</v>
      </c>
      <c r="I311" s="334" t="str">
        <f>入學要求!AD297</f>
        <v>NO</v>
      </c>
      <c r="J311" s="391">
        <f t="shared" si="520"/>
        <v>3.65E-9</v>
      </c>
      <c r="K311" s="489">
        <f>IF($BV$317=K$1,0.5,1)</f>
        <v>1</v>
      </c>
      <c r="L311" s="489">
        <v>1</v>
      </c>
      <c r="M311" s="489">
        <f>IF($BV$317=M$1,0.5,1)</f>
        <v>1</v>
      </c>
      <c r="N311" s="489"/>
      <c r="O311" s="489">
        <v>1</v>
      </c>
      <c r="P311" s="489">
        <v>1</v>
      </c>
      <c r="Q311" s="489">
        <v>1</v>
      </c>
      <c r="R311" s="489">
        <v>1</v>
      </c>
      <c r="S311" s="489">
        <v>1</v>
      </c>
      <c r="T311" s="489">
        <v>1</v>
      </c>
      <c r="U311" s="391"/>
      <c r="V311" s="391">
        <f t="shared" ref="V311:X312" si="531">K$8*K311</f>
        <v>1E-10</v>
      </c>
      <c r="W311" s="391">
        <f t="shared" si="531"/>
        <v>2.0000000000000001E-10</v>
      </c>
      <c r="X311" s="391">
        <f t="shared" si="531"/>
        <v>3E-10</v>
      </c>
      <c r="Y311" s="391"/>
      <c r="Z311" s="391">
        <f>IF($O$8&gt;$T$8,O$8*O311,0)</f>
        <v>5.0000000000000003E-10</v>
      </c>
      <c r="AA311" s="391">
        <f t="shared" ref="AA311:AD312" si="532">P$8*P311</f>
        <v>6E-10</v>
      </c>
      <c r="AB311" s="391">
        <f t="shared" si="532"/>
        <v>6.9999999999999996E-10</v>
      </c>
      <c r="AC311" s="391">
        <f t="shared" si="532"/>
        <v>8.0000000000000003E-10</v>
      </c>
      <c r="AD311" s="391">
        <f t="shared" si="532"/>
        <v>8.9999999999999999E-10</v>
      </c>
      <c r="AE311" s="391">
        <f t="shared" si="510"/>
        <v>0</v>
      </c>
      <c r="AF311" s="117">
        <f t="shared" si="521"/>
        <v>1E-10</v>
      </c>
      <c r="AG311" s="117">
        <f t="shared" si="522"/>
        <v>2.0000000000000001E-10</v>
      </c>
      <c r="AH311" s="117">
        <f t="shared" si="523"/>
        <v>3E-10</v>
      </c>
      <c r="AI311" s="117">
        <f t="shared" si="524"/>
        <v>0</v>
      </c>
      <c r="AJ311" s="117">
        <f t="shared" si="525"/>
        <v>5.0000000000000003E-10</v>
      </c>
      <c r="AK311" s="117">
        <f t="shared" si="526"/>
        <v>6E-10</v>
      </c>
      <c r="AL311" s="117">
        <f t="shared" si="527"/>
        <v>6.9999999999999996E-10</v>
      </c>
      <c r="AM311" s="117">
        <f t="shared" si="528"/>
        <v>8.0000000000000003E-10</v>
      </c>
      <c r="AN311" s="117">
        <f t="shared" si="529"/>
        <v>8.9999999999999999E-10</v>
      </c>
      <c r="AO311" s="117">
        <f t="shared" si="530"/>
        <v>0</v>
      </c>
      <c r="AP311" s="391" t="b">
        <f t="shared" si="511"/>
        <v>0</v>
      </c>
      <c r="AQ311" s="391" t="b">
        <f t="shared" si="512"/>
        <v>0</v>
      </c>
      <c r="AR311" s="391" t="b">
        <f t="shared" si="513"/>
        <v>0</v>
      </c>
      <c r="AS311" s="391"/>
      <c r="AT311" s="391" t="b">
        <f t="shared" si="514"/>
        <v>1</v>
      </c>
      <c r="AU311" s="391" t="b">
        <f t="shared" si="515"/>
        <v>1</v>
      </c>
      <c r="AV311" s="391" t="b">
        <f t="shared" si="516"/>
        <v>1</v>
      </c>
      <c r="AW311" s="391" t="b">
        <f t="shared" si="517"/>
        <v>1</v>
      </c>
      <c r="AX311" s="391" t="b">
        <f t="shared" si="518"/>
        <v>1</v>
      </c>
      <c r="AY311" s="391" t="b">
        <f t="shared" si="519"/>
        <v>0</v>
      </c>
      <c r="BA311" s="334" t="str">
        <f>'Reference Score Calculation'!N288</f>
        <v>如同學有修讀六科，第六科成績 (x0.5) 會額外加上原有的Best 5分數</v>
      </c>
      <c r="BB311" s="334" t="str">
        <f>'Reference Score Calculation'!O288</f>
        <v>可包含 M1/2 或丙類科目 (較高者) 於計算內</v>
      </c>
      <c r="BC311" s="334" t="str">
        <f t="shared" si="484"/>
        <v>數學</v>
      </c>
      <c r="BD311" s="334">
        <f t="shared" si="478"/>
        <v>3E-10</v>
      </c>
      <c r="BE311" s="334">
        <f>BD311*0.5</f>
        <v>1.5E-10</v>
      </c>
      <c r="BF311" s="334" t="str">
        <f>_xlfn.CONCAT("Best 5總分 + ",BE311)</f>
        <v>Best 5總分 + 0.00000000015</v>
      </c>
      <c r="BG311" s="334" t="s">
        <v>324</v>
      </c>
      <c r="BH311" s="334"/>
      <c r="BI311" s="334"/>
      <c r="BJ311" s="334"/>
      <c r="BK311" s="334"/>
      <c r="BL311" s="334"/>
      <c r="BM311" s="334"/>
      <c r="BN311" s="334"/>
      <c r="BO311" s="334"/>
      <c r="BP311" s="334"/>
      <c r="BQ311" s="334"/>
      <c r="BR311" s="334"/>
      <c r="BS311" s="392"/>
      <c r="BT311" s="392"/>
      <c r="BU311" s="392"/>
      <c r="BV311" s="392"/>
      <c r="BW311" s="392"/>
      <c r="BX311" s="392"/>
      <c r="BY311" s="392"/>
      <c r="BZ311" s="392"/>
      <c r="CA311" s="392"/>
      <c r="CB311" s="392"/>
      <c r="CC311" s="392"/>
      <c r="CD311" s="392"/>
      <c r="CE311" s="392"/>
      <c r="CF311" s="392"/>
      <c r="CG311" s="392"/>
      <c r="CH311" s="392"/>
      <c r="CI311" s="392"/>
      <c r="CJ311" s="392"/>
      <c r="CK311" s="392"/>
      <c r="CL311" s="392"/>
      <c r="CM311" s="392"/>
      <c r="CN311" s="392"/>
      <c r="CO311" s="392"/>
      <c r="CP311" s="392"/>
      <c r="CQ311" s="392"/>
      <c r="CR311" s="392"/>
      <c r="CS311" s="392"/>
    </row>
    <row r="312" spans="1:97" s="384" customFormat="1">
      <c r="A312" s="117"/>
      <c r="B312" s="384" t="str">
        <f>'Reference Score Calculation'!B289</f>
        <v>JS6482</v>
      </c>
      <c r="C312" s="389" t="str">
        <f>'Reference Score Calculation'!E289</f>
        <v>中醫全科學士</v>
      </c>
      <c r="D312" s="334"/>
      <c r="E312" s="390" t="str">
        <f>'Reference Score Calculation'!F289</f>
        <v>Best 5</v>
      </c>
      <c r="F312" s="404" t="str">
        <f>'Reference Score Calculation'!AC289</f>
        <v>Best 5</v>
      </c>
      <c r="G312" s="334" t="str">
        <f>入學要求!AB298</f>
        <v>v</v>
      </c>
      <c r="H312" s="334" t="str">
        <f>入學要求!AC298</f>
        <v>E</v>
      </c>
      <c r="I312" s="334" t="str">
        <f>入學要求!AD298</f>
        <v>NO</v>
      </c>
      <c r="J312" s="391">
        <f t="shared" si="520"/>
        <v>3.65E-9</v>
      </c>
      <c r="K312" s="489">
        <f>IF($BV$317=K$1,0.5,1)</f>
        <v>1</v>
      </c>
      <c r="L312" s="489">
        <v>1</v>
      </c>
      <c r="M312" s="489">
        <f>IF($BV$317=M$1,0.5,1)</f>
        <v>1</v>
      </c>
      <c r="N312" s="489"/>
      <c r="O312" s="489">
        <v>1</v>
      </c>
      <c r="P312" s="489">
        <v>1</v>
      </c>
      <c r="Q312" s="489">
        <v>1</v>
      </c>
      <c r="R312" s="489">
        <v>1</v>
      </c>
      <c r="S312" s="489">
        <v>1</v>
      </c>
      <c r="T312" s="489">
        <v>1</v>
      </c>
      <c r="U312" s="391"/>
      <c r="V312" s="391">
        <f t="shared" si="531"/>
        <v>1E-10</v>
      </c>
      <c r="W312" s="391">
        <f t="shared" si="531"/>
        <v>2.0000000000000001E-10</v>
      </c>
      <c r="X312" s="391">
        <f t="shared" si="531"/>
        <v>3E-10</v>
      </c>
      <c r="Y312" s="391"/>
      <c r="Z312" s="391">
        <f>IF($O$8&gt;$T$8,O$8*O312,0)</f>
        <v>5.0000000000000003E-10</v>
      </c>
      <c r="AA312" s="391">
        <f t="shared" si="532"/>
        <v>6E-10</v>
      </c>
      <c r="AB312" s="391">
        <f t="shared" si="532"/>
        <v>6.9999999999999996E-10</v>
      </c>
      <c r="AC312" s="391">
        <f t="shared" si="532"/>
        <v>8.0000000000000003E-10</v>
      </c>
      <c r="AD312" s="391">
        <f t="shared" si="532"/>
        <v>8.9999999999999999E-10</v>
      </c>
      <c r="AE312" s="391">
        <f t="shared" ref="AE312:AE327" si="533">IF(H312="E",IF($T$8 &gt; $O$8,$T$8*T312,0),0)</f>
        <v>0</v>
      </c>
      <c r="AF312" s="117">
        <f t="shared" si="521"/>
        <v>1E-10</v>
      </c>
      <c r="AG312" s="117">
        <f t="shared" si="522"/>
        <v>2.0000000000000001E-10</v>
      </c>
      <c r="AH312" s="117">
        <f t="shared" si="523"/>
        <v>3E-10</v>
      </c>
      <c r="AI312" s="117">
        <f t="shared" si="524"/>
        <v>0</v>
      </c>
      <c r="AJ312" s="117">
        <f t="shared" si="525"/>
        <v>5.0000000000000003E-10</v>
      </c>
      <c r="AK312" s="117">
        <f t="shared" si="526"/>
        <v>6E-10</v>
      </c>
      <c r="AL312" s="117">
        <f t="shared" si="527"/>
        <v>6.9999999999999996E-10</v>
      </c>
      <c r="AM312" s="117">
        <f t="shared" si="528"/>
        <v>8.0000000000000003E-10</v>
      </c>
      <c r="AN312" s="117">
        <f t="shared" si="529"/>
        <v>8.9999999999999999E-10</v>
      </c>
      <c r="AO312" s="117">
        <f t="shared" si="530"/>
        <v>0</v>
      </c>
      <c r="AP312" s="391" t="b">
        <f t="shared" si="511"/>
        <v>0</v>
      </c>
      <c r="AQ312" s="391" t="b">
        <f t="shared" si="512"/>
        <v>0</v>
      </c>
      <c r="AR312" s="391" t="b">
        <f t="shared" si="513"/>
        <v>0</v>
      </c>
      <c r="AS312" s="391"/>
      <c r="AT312" s="391" t="b">
        <f t="shared" si="514"/>
        <v>1</v>
      </c>
      <c r="AU312" s="391" t="b">
        <f t="shared" si="515"/>
        <v>1</v>
      </c>
      <c r="AV312" s="391" t="b">
        <f t="shared" si="516"/>
        <v>1</v>
      </c>
      <c r="AW312" s="391" t="b">
        <f t="shared" si="517"/>
        <v>1</v>
      </c>
      <c r="AX312" s="391" t="b">
        <f t="shared" si="518"/>
        <v>1</v>
      </c>
      <c r="AY312" s="391" t="b">
        <f t="shared" si="519"/>
        <v>0</v>
      </c>
      <c r="BA312" s="334" t="str">
        <f>'Reference Score Calculation'!N289</f>
        <v>如同學有修讀六科，第六科成績 (x0.5) 會額外加上原有的Best 5分數</v>
      </c>
      <c r="BB312" s="334" t="str">
        <f>'Reference Score Calculation'!O289</f>
        <v>可包含 M1/2 或丙類科目 (較高者) 於計算內</v>
      </c>
      <c r="BC312" s="334" t="str">
        <f t="shared" si="484"/>
        <v>數學</v>
      </c>
      <c r="BD312" s="334">
        <f t="shared" si="478"/>
        <v>3E-10</v>
      </c>
      <c r="BE312" s="334">
        <f>BD312*0.5</f>
        <v>1.5E-10</v>
      </c>
      <c r="BF312" s="334" t="str">
        <f>_xlfn.CONCAT("Best 5總分 + ",BE312)</f>
        <v>Best 5總分 + 0.00000000015</v>
      </c>
      <c r="BG312" s="334" t="s">
        <v>324</v>
      </c>
      <c r="BH312" s="334"/>
      <c r="BI312" s="334"/>
      <c r="BJ312" s="334"/>
      <c r="BK312" s="334"/>
      <c r="BL312" s="334"/>
      <c r="BM312" s="334"/>
      <c r="BN312" s="334"/>
      <c r="BO312" s="334"/>
      <c r="BP312" s="334"/>
      <c r="BQ312" s="334"/>
      <c r="BR312" s="334"/>
      <c r="BS312" s="392"/>
      <c r="BT312" s="392"/>
      <c r="BU312" s="392"/>
      <c r="BV312" s="392"/>
      <c r="BW312" s="392"/>
      <c r="BX312" s="392"/>
      <c r="BY312" s="392"/>
      <c r="BZ312" s="392"/>
      <c r="CA312" s="392"/>
      <c r="CB312" s="392"/>
      <c r="CC312" s="392"/>
      <c r="CD312" s="392"/>
      <c r="CE312" s="392"/>
      <c r="CF312" s="392"/>
      <c r="CG312" s="392"/>
      <c r="CH312" s="392"/>
      <c r="CI312" s="392"/>
      <c r="CJ312" s="392"/>
      <c r="CK312" s="392"/>
      <c r="CL312" s="392"/>
      <c r="CM312" s="392"/>
      <c r="CN312" s="392"/>
      <c r="CO312" s="392"/>
      <c r="CP312" s="392"/>
      <c r="CQ312" s="392"/>
      <c r="CR312" s="392"/>
      <c r="CS312" s="392"/>
    </row>
    <row r="313" spans="1:97" s="384" customFormat="1">
      <c r="A313" s="117"/>
      <c r="B313" s="384" t="str">
        <f>'Reference Score Calculation'!B290</f>
        <v>JS6494</v>
      </c>
      <c r="C313" s="389" t="str">
        <f>'Reference Score Calculation'!E290</f>
        <v>藥劑學學士</v>
      </c>
      <c r="D313" s="334"/>
      <c r="E313" s="390" t="str">
        <f>'Reference Score Calculation'!F290</f>
        <v>Best 6</v>
      </c>
      <c r="F313" s="404" t="str">
        <f>'Reference Score Calculation'!AC290</f>
        <v>Best 6</v>
      </c>
      <c r="G313" s="334" t="str">
        <f>入學要求!AB299</f>
        <v>v</v>
      </c>
      <c r="H313" s="334" t="str">
        <f>入學要求!AC299</f>
        <v>NO</v>
      </c>
      <c r="I313" s="334" t="str">
        <f>入學要求!AD299</f>
        <v>NO</v>
      </c>
      <c r="J313" s="391">
        <f t="shared" si="520"/>
        <v>3.8000000000000001E-9</v>
      </c>
      <c r="K313" s="489">
        <v>1</v>
      </c>
      <c r="L313" s="489">
        <v>1</v>
      </c>
      <c r="M313" s="489">
        <v>1</v>
      </c>
      <c r="N313" s="489"/>
      <c r="O313" s="489">
        <v>1</v>
      </c>
      <c r="P313" s="489">
        <v>1</v>
      </c>
      <c r="Q313" s="489">
        <v>1</v>
      </c>
      <c r="R313" s="489">
        <v>1</v>
      </c>
      <c r="S313" s="489">
        <v>1</v>
      </c>
      <c r="T313" s="489">
        <v>1</v>
      </c>
      <c r="U313" s="398"/>
      <c r="V313" s="391">
        <f t="shared" ref="V313:X314" si="534">IF(K$15,K$8*K313*0.9,K$8*K313)</f>
        <v>1E-10</v>
      </c>
      <c r="W313" s="391">
        <f t="shared" si="534"/>
        <v>2.0000000000000001E-10</v>
      </c>
      <c r="X313" s="391">
        <f t="shared" si="534"/>
        <v>3E-10</v>
      </c>
      <c r="Y313" s="391"/>
      <c r="Z313" s="391">
        <f t="shared" ref="Z313:AD314" si="535">IF(O$15,O$8*O313*0.9,O$8*O313)</f>
        <v>5.0000000000000003E-10</v>
      </c>
      <c r="AA313" s="391">
        <f t="shared" si="535"/>
        <v>6E-10</v>
      </c>
      <c r="AB313" s="391">
        <f t="shared" si="535"/>
        <v>6.9999999999999996E-10</v>
      </c>
      <c r="AC313" s="391">
        <f t="shared" si="535"/>
        <v>8.0000000000000003E-10</v>
      </c>
      <c r="AD313" s="391">
        <f t="shared" si="535"/>
        <v>8.9999999999999999E-10</v>
      </c>
      <c r="AE313" s="391">
        <f t="shared" si="533"/>
        <v>0</v>
      </c>
      <c r="AF313" s="117">
        <f t="shared" si="521"/>
        <v>1E-10</v>
      </c>
      <c r="AG313" s="117">
        <f t="shared" si="522"/>
        <v>2.0000000000000001E-10</v>
      </c>
      <c r="AH313" s="117">
        <f t="shared" si="523"/>
        <v>3E-10</v>
      </c>
      <c r="AI313" s="117">
        <f t="shared" si="524"/>
        <v>0</v>
      </c>
      <c r="AJ313" s="117">
        <f t="shared" si="525"/>
        <v>5.0000000000000003E-10</v>
      </c>
      <c r="AK313" s="117">
        <f t="shared" si="526"/>
        <v>6E-10</v>
      </c>
      <c r="AL313" s="117">
        <f t="shared" si="527"/>
        <v>6.9999999999999996E-10</v>
      </c>
      <c r="AM313" s="117">
        <f t="shared" si="528"/>
        <v>8.0000000000000003E-10</v>
      </c>
      <c r="AN313" s="117">
        <f t="shared" si="529"/>
        <v>8.9999999999999999E-10</v>
      </c>
      <c r="AO313" s="117">
        <f t="shared" si="530"/>
        <v>0</v>
      </c>
      <c r="AP313" s="391" t="b">
        <f t="shared" si="511"/>
        <v>0</v>
      </c>
      <c r="AQ313" s="391" t="b">
        <f t="shared" si="512"/>
        <v>0</v>
      </c>
      <c r="AR313" s="391" t="b">
        <f t="shared" si="513"/>
        <v>1</v>
      </c>
      <c r="AS313" s="391"/>
      <c r="AT313" s="391" t="b">
        <f t="shared" si="514"/>
        <v>1</v>
      </c>
      <c r="AU313" s="391" t="b">
        <f t="shared" si="515"/>
        <v>1</v>
      </c>
      <c r="AV313" s="391" t="b">
        <f t="shared" si="516"/>
        <v>1</v>
      </c>
      <c r="AW313" s="391" t="b">
        <f t="shared" si="517"/>
        <v>1</v>
      </c>
      <c r="AX313" s="391" t="b">
        <f t="shared" si="518"/>
        <v>1</v>
      </c>
      <c r="AY313" s="391" t="b">
        <f t="shared" si="519"/>
        <v>0</v>
      </c>
      <c r="AZ313" s="397">
        <v>0.1</v>
      </c>
      <c r="BA313" s="334" t="str">
        <f>'Reference Score Calculation'!N290</f>
        <v>/</v>
      </c>
      <c r="BB313" s="334" t="str">
        <f>'Reference Score Calculation'!O290</f>
        <v>/</v>
      </c>
      <c r="BC313" s="334"/>
      <c r="BD313" s="334"/>
      <c r="BE313" s="334"/>
      <c r="BF313" s="334"/>
      <c r="BG313" s="334" t="s">
        <v>324</v>
      </c>
      <c r="BH313" s="334"/>
      <c r="BI313" s="334"/>
      <c r="BJ313" s="334"/>
      <c r="BK313" s="334"/>
      <c r="BL313" s="334"/>
      <c r="BM313" s="334"/>
      <c r="BN313" s="334"/>
      <c r="BO313" s="334"/>
      <c r="BP313" s="334"/>
      <c r="BQ313" s="334"/>
      <c r="BR313" s="334"/>
    </row>
    <row r="314" spans="1:97" s="384" customFormat="1">
      <c r="A314" s="117"/>
      <c r="B314" s="384" t="str">
        <f>'Reference Score Calculation'!B291</f>
        <v>JS6949</v>
      </c>
      <c r="C314" s="389" t="str">
        <f>'Reference Score Calculation'!E291</f>
        <v>生物醫學學士</v>
      </c>
      <c r="D314" s="334"/>
      <c r="E314" s="390" t="str">
        <f>'Reference Score Calculation'!F291</f>
        <v>Best 6</v>
      </c>
      <c r="F314" s="404" t="str">
        <f>'Reference Score Calculation'!AC291</f>
        <v>Best 6</v>
      </c>
      <c r="G314" s="334" t="str">
        <f>入學要求!AB300</f>
        <v>v</v>
      </c>
      <c r="H314" s="334" t="str">
        <f>入學要求!AC300</f>
        <v>NO</v>
      </c>
      <c r="I314" s="334" t="str">
        <f>入學要求!AD300</f>
        <v>NO</v>
      </c>
      <c r="J314" s="391">
        <f t="shared" si="520"/>
        <v>3.8000000000000001E-9</v>
      </c>
      <c r="K314" s="489">
        <v>1</v>
      </c>
      <c r="L314" s="489">
        <v>1</v>
      </c>
      <c r="M314" s="489">
        <v>1</v>
      </c>
      <c r="N314" s="489"/>
      <c r="O314" s="489">
        <v>1</v>
      </c>
      <c r="P314" s="489">
        <v>1</v>
      </c>
      <c r="Q314" s="489">
        <v>1</v>
      </c>
      <c r="R314" s="489">
        <v>1</v>
      </c>
      <c r="S314" s="489">
        <v>1</v>
      </c>
      <c r="T314" s="489">
        <v>1</v>
      </c>
      <c r="U314" s="398"/>
      <c r="V314" s="391">
        <f t="shared" si="534"/>
        <v>1E-10</v>
      </c>
      <c r="W314" s="391">
        <f t="shared" si="534"/>
        <v>2.0000000000000001E-10</v>
      </c>
      <c r="X314" s="391">
        <f t="shared" si="534"/>
        <v>3E-10</v>
      </c>
      <c r="Y314" s="391"/>
      <c r="Z314" s="391">
        <f t="shared" si="535"/>
        <v>5.0000000000000003E-10</v>
      </c>
      <c r="AA314" s="391">
        <f t="shared" si="535"/>
        <v>6E-10</v>
      </c>
      <c r="AB314" s="391">
        <f t="shared" si="535"/>
        <v>6.9999999999999996E-10</v>
      </c>
      <c r="AC314" s="391">
        <f t="shared" si="535"/>
        <v>8.0000000000000003E-10</v>
      </c>
      <c r="AD314" s="391">
        <f t="shared" si="535"/>
        <v>8.9999999999999999E-10</v>
      </c>
      <c r="AE314" s="391">
        <f t="shared" si="533"/>
        <v>0</v>
      </c>
      <c r="AF314" s="117">
        <f t="shared" si="521"/>
        <v>1E-10</v>
      </c>
      <c r="AG314" s="117">
        <f t="shared" si="522"/>
        <v>2.0000000000000001E-10</v>
      </c>
      <c r="AH314" s="117">
        <f t="shared" si="523"/>
        <v>3E-10</v>
      </c>
      <c r="AI314" s="117">
        <f t="shared" si="524"/>
        <v>0</v>
      </c>
      <c r="AJ314" s="117">
        <f t="shared" si="525"/>
        <v>5.0000000000000003E-10</v>
      </c>
      <c r="AK314" s="117">
        <f t="shared" si="526"/>
        <v>6E-10</v>
      </c>
      <c r="AL314" s="117">
        <f t="shared" si="527"/>
        <v>6.9999999999999996E-10</v>
      </c>
      <c r="AM314" s="117">
        <f t="shared" si="528"/>
        <v>8.0000000000000003E-10</v>
      </c>
      <c r="AN314" s="117">
        <f t="shared" si="529"/>
        <v>8.9999999999999999E-10</v>
      </c>
      <c r="AO314" s="117">
        <f t="shared" si="530"/>
        <v>0</v>
      </c>
      <c r="AP314" s="391" t="b">
        <f t="shared" si="511"/>
        <v>0</v>
      </c>
      <c r="AQ314" s="391" t="b">
        <f t="shared" si="512"/>
        <v>0</v>
      </c>
      <c r="AR314" s="391" t="b">
        <f t="shared" si="513"/>
        <v>1</v>
      </c>
      <c r="AS314" s="391"/>
      <c r="AT314" s="391" t="b">
        <f t="shared" si="514"/>
        <v>1</v>
      </c>
      <c r="AU314" s="391" t="b">
        <f t="shared" si="515"/>
        <v>1</v>
      </c>
      <c r="AV314" s="391" t="b">
        <f t="shared" si="516"/>
        <v>1</v>
      </c>
      <c r="AW314" s="391" t="b">
        <f t="shared" si="517"/>
        <v>1</v>
      </c>
      <c r="AX314" s="391" t="b">
        <f t="shared" si="518"/>
        <v>1</v>
      </c>
      <c r="AY314" s="391" t="b">
        <f t="shared" si="519"/>
        <v>0</v>
      </c>
      <c r="AZ314" s="397">
        <v>0.1</v>
      </c>
      <c r="BA314" s="334" t="str">
        <f>'Reference Score Calculation'!N291</f>
        <v>/</v>
      </c>
      <c r="BB314" s="334" t="str">
        <f>'Reference Score Calculation'!O291</f>
        <v>/</v>
      </c>
      <c r="BC314" s="334"/>
      <c r="BD314" s="334"/>
      <c r="BE314" s="334"/>
      <c r="BF314" s="334"/>
      <c r="BG314" s="334" t="s">
        <v>324</v>
      </c>
      <c r="BH314" s="334"/>
      <c r="BI314" s="334"/>
      <c r="BJ314" s="334"/>
      <c r="BK314" s="334"/>
      <c r="BL314" s="334"/>
      <c r="BM314" s="334"/>
      <c r="BN314" s="334"/>
      <c r="BO314" s="334"/>
      <c r="BP314" s="334"/>
      <c r="BQ314" s="334"/>
      <c r="BR314" s="334"/>
    </row>
    <row r="315" spans="1:97" s="384" customFormat="1">
      <c r="A315" s="117"/>
      <c r="B315" s="384" t="str">
        <f>'Reference Score Calculation'!B292</f>
        <v>JS6688</v>
      </c>
      <c r="C315" s="389" t="str">
        <f>'Reference Score Calculation'!E292</f>
        <v>科研專才啟導課程(雙學位課程)</v>
      </c>
      <c r="D315" s="334"/>
      <c r="E315" s="390" t="str">
        <f>'Reference Score Calculation'!F292</f>
        <v>Best 5</v>
      </c>
      <c r="F315" s="404" t="str">
        <f>'Reference Score Calculation'!AC292</f>
        <v>Best 5</v>
      </c>
      <c r="G315" s="334" t="str">
        <f>入學要求!AB301</f>
        <v>v</v>
      </c>
      <c r="H315" s="334" t="str">
        <f>入學要求!AC301</f>
        <v>NO</v>
      </c>
      <c r="I315" s="334" t="str">
        <f>入學要求!AD301</f>
        <v>NO</v>
      </c>
      <c r="J315" s="391">
        <f t="shared" si="520"/>
        <v>2.7499999999999998E-9</v>
      </c>
      <c r="K315" s="489">
        <v>1</v>
      </c>
      <c r="L315" s="489">
        <v>1</v>
      </c>
      <c r="M315" s="489">
        <v>1</v>
      </c>
      <c r="N315" s="489"/>
      <c r="O315" s="489">
        <v>1.5</v>
      </c>
      <c r="P315" s="489">
        <f>IF(OR(P$1="化學",P$1="生物",P$1="物理"),1.5,1)</f>
        <v>1</v>
      </c>
      <c r="Q315" s="489">
        <f t="shared" ref="Q315:S315" si="536">IF(OR(Q$1="化學",Q$1="生物",Q$1="物理"),1.5,1)</f>
        <v>1</v>
      </c>
      <c r="R315" s="489">
        <f t="shared" si="536"/>
        <v>1</v>
      </c>
      <c r="S315" s="489">
        <f t="shared" si="536"/>
        <v>1</v>
      </c>
      <c r="T315" s="489">
        <v>1</v>
      </c>
      <c r="U315" s="398"/>
      <c r="V315" s="391">
        <f t="shared" ref="V315:V330" si="537">K$8*K315</f>
        <v>1E-10</v>
      </c>
      <c r="W315" s="391">
        <f t="shared" ref="W315:W330" si="538">L$8*L315</f>
        <v>2.0000000000000001E-10</v>
      </c>
      <c r="X315" s="391">
        <f t="shared" ref="X315:X330" si="539">M$8*M315</f>
        <v>3E-10</v>
      </c>
      <c r="Y315" s="391"/>
      <c r="Z315" s="391">
        <f t="shared" ref="Z315:AD318" si="540">O$8*O315</f>
        <v>7.500000000000001E-10</v>
      </c>
      <c r="AA315" s="391">
        <f t="shared" si="540"/>
        <v>6E-10</v>
      </c>
      <c r="AB315" s="391">
        <f t="shared" si="540"/>
        <v>6.9999999999999996E-10</v>
      </c>
      <c r="AC315" s="391">
        <f t="shared" si="540"/>
        <v>8.0000000000000003E-10</v>
      </c>
      <c r="AD315" s="391">
        <f t="shared" si="540"/>
        <v>8.9999999999999999E-10</v>
      </c>
      <c r="AE315" s="391">
        <f t="shared" si="533"/>
        <v>0</v>
      </c>
      <c r="AF315" s="117">
        <f t="shared" si="521"/>
        <v>1E-10</v>
      </c>
      <c r="AG315" s="117">
        <f t="shared" si="522"/>
        <v>99.000000000200004</v>
      </c>
      <c r="AH315" s="117">
        <f t="shared" si="523"/>
        <v>99.000000000300005</v>
      </c>
      <c r="AI315" s="117">
        <f t="shared" si="524"/>
        <v>0</v>
      </c>
      <c r="AJ315" s="117">
        <f t="shared" si="525"/>
        <v>99.000000000750006</v>
      </c>
      <c r="AK315" s="117">
        <f t="shared" si="526"/>
        <v>99.000000000599996</v>
      </c>
      <c r="AL315" s="117">
        <f t="shared" si="527"/>
        <v>6.9999999999999996E-10</v>
      </c>
      <c r="AM315" s="117">
        <f t="shared" si="528"/>
        <v>8.0000000000000003E-10</v>
      </c>
      <c r="AN315" s="117">
        <f t="shared" si="529"/>
        <v>99.000000000900002</v>
      </c>
      <c r="AO315" s="117">
        <f t="shared" si="530"/>
        <v>0</v>
      </c>
      <c r="AP315" s="391" t="b">
        <f t="shared" si="511"/>
        <v>0</v>
      </c>
      <c r="AQ315" s="391" t="b">
        <f t="shared" si="512"/>
        <v>1</v>
      </c>
      <c r="AR315" s="391" t="b">
        <f t="shared" si="513"/>
        <v>1</v>
      </c>
      <c r="AS315" s="391"/>
      <c r="AT315" s="391" t="b">
        <f t="shared" si="514"/>
        <v>1</v>
      </c>
      <c r="AU315" s="391" t="b">
        <f t="shared" si="515"/>
        <v>1</v>
      </c>
      <c r="AV315" s="391" t="b">
        <f t="shared" si="516"/>
        <v>0</v>
      </c>
      <c r="AW315" s="391" t="b">
        <f t="shared" si="517"/>
        <v>0</v>
      </c>
      <c r="AX315" s="391" t="b">
        <f t="shared" si="518"/>
        <v>1</v>
      </c>
      <c r="AY315" s="391" t="b">
        <f t="shared" si="519"/>
        <v>0</v>
      </c>
      <c r="BA315" s="334" t="str">
        <f>'Reference Score Calculation'!N292</f>
        <v>最佳五科必須包括︰英文、數學、最佳兩科理科*</v>
      </c>
      <c r="BB315" s="334" t="str">
        <f>'Reference Score Calculation'!O292</f>
        <v>*理科: M1/2、生物、化學、物理、組合科學</v>
      </c>
      <c r="BC315" s="334"/>
      <c r="BD315" s="334"/>
      <c r="BE315" s="334"/>
      <c r="BF315" s="334"/>
      <c r="BG315" s="334" t="s">
        <v>324</v>
      </c>
      <c r="BH315" s="334" t="b">
        <f t="shared" ref="BH315:BQ315" si="541">CE291</f>
        <v>0</v>
      </c>
      <c r="BI315" s="334" t="b">
        <f t="shared" si="541"/>
        <v>1</v>
      </c>
      <c r="BJ315" s="334" t="b">
        <f t="shared" si="541"/>
        <v>1</v>
      </c>
      <c r="BK315" s="334">
        <f t="shared" si="541"/>
        <v>0</v>
      </c>
      <c r="BL315" s="334" t="b">
        <f t="shared" si="541"/>
        <v>1</v>
      </c>
      <c r="BM315" s="334" t="b">
        <f t="shared" si="541"/>
        <v>1</v>
      </c>
      <c r="BN315" s="334" t="b">
        <f t="shared" si="541"/>
        <v>0</v>
      </c>
      <c r="BO315" s="334" t="b">
        <f t="shared" si="541"/>
        <v>0</v>
      </c>
      <c r="BP315" s="334" t="b">
        <f t="shared" si="541"/>
        <v>1</v>
      </c>
      <c r="BQ315" s="334">
        <f t="shared" si="541"/>
        <v>0</v>
      </c>
      <c r="BR315" s="334" t="s">
        <v>549</v>
      </c>
    </row>
    <row r="316" spans="1:97" s="384" customFormat="1">
      <c r="A316" s="117"/>
      <c r="B316" s="384" t="str">
        <f>'Reference Score Calculation'!B293</f>
        <v>JS6729</v>
      </c>
      <c r="C316" s="389" t="str">
        <f>'Reference Score Calculation'!E293</f>
        <v>理學士(精算學)</v>
      </c>
      <c r="D316" s="334"/>
      <c r="E316" s="390" t="str">
        <f>'Reference Score Calculation'!F293</f>
        <v>Best 5</v>
      </c>
      <c r="F316" s="404" t="str">
        <f>'Reference Score Calculation'!AC293</f>
        <v>Best 5</v>
      </c>
      <c r="G316" s="334" t="str">
        <f>入學要求!AB302</f>
        <v>v</v>
      </c>
      <c r="H316" s="334" t="str">
        <f>入學要求!AC302</f>
        <v>NO</v>
      </c>
      <c r="I316" s="334" t="str">
        <f>入學要求!AD302</f>
        <v>NO</v>
      </c>
      <c r="J316" s="391">
        <f t="shared" si="520"/>
        <v>2.9000000000000003E-9</v>
      </c>
      <c r="K316" s="489">
        <v>1</v>
      </c>
      <c r="L316" s="489">
        <v>1.2</v>
      </c>
      <c r="M316" s="489">
        <v>1.2</v>
      </c>
      <c r="N316" s="489"/>
      <c r="O316" s="489">
        <v>1.2</v>
      </c>
      <c r="P316" s="489">
        <v>1</v>
      </c>
      <c r="Q316" s="489">
        <v>1</v>
      </c>
      <c r="R316" s="489">
        <v>1</v>
      </c>
      <c r="S316" s="489">
        <v>1</v>
      </c>
      <c r="T316" s="489">
        <v>1</v>
      </c>
      <c r="U316" s="398"/>
      <c r="V316" s="391">
        <f t="shared" si="537"/>
        <v>1E-10</v>
      </c>
      <c r="W316" s="391">
        <f t="shared" si="538"/>
        <v>2.4E-10</v>
      </c>
      <c r="X316" s="391">
        <f t="shared" si="539"/>
        <v>3.6E-10</v>
      </c>
      <c r="Y316" s="391"/>
      <c r="Z316" s="391">
        <f t="shared" si="540"/>
        <v>6E-10</v>
      </c>
      <c r="AA316" s="391">
        <f t="shared" si="540"/>
        <v>6E-10</v>
      </c>
      <c r="AB316" s="391">
        <f t="shared" si="540"/>
        <v>6.9999999999999996E-10</v>
      </c>
      <c r="AC316" s="391">
        <f t="shared" si="540"/>
        <v>8.0000000000000003E-10</v>
      </c>
      <c r="AD316" s="391">
        <f t="shared" si="540"/>
        <v>8.9999999999999999E-10</v>
      </c>
      <c r="AE316" s="391">
        <f t="shared" si="533"/>
        <v>0</v>
      </c>
      <c r="AF316" s="117">
        <f t="shared" si="521"/>
        <v>1E-10</v>
      </c>
      <c r="AG316" s="117">
        <f t="shared" si="522"/>
        <v>99.000000000239993</v>
      </c>
      <c r="AH316" s="117">
        <f t="shared" si="523"/>
        <v>99.000000000360004</v>
      </c>
      <c r="AI316" s="117">
        <f t="shared" si="524"/>
        <v>0</v>
      </c>
      <c r="AJ316" s="117">
        <f t="shared" si="525"/>
        <v>99.000000000599996</v>
      </c>
      <c r="AK316" s="117">
        <f t="shared" si="526"/>
        <v>6E-10</v>
      </c>
      <c r="AL316" s="117">
        <f t="shared" si="527"/>
        <v>6.9999999999999996E-10</v>
      </c>
      <c r="AM316" s="117">
        <f t="shared" si="528"/>
        <v>8.0000000000000003E-10</v>
      </c>
      <c r="AN316" s="117">
        <f t="shared" si="529"/>
        <v>8.9999999999999999E-10</v>
      </c>
      <c r="AO316" s="117">
        <f t="shared" si="530"/>
        <v>0</v>
      </c>
      <c r="AP316" s="391" t="b">
        <f t="shared" si="511"/>
        <v>0</v>
      </c>
      <c r="AQ316" s="391" t="b">
        <f t="shared" si="512"/>
        <v>1</v>
      </c>
      <c r="AR316" s="391" t="b">
        <f t="shared" si="513"/>
        <v>1</v>
      </c>
      <c r="AS316" s="391"/>
      <c r="AT316" s="391" t="b">
        <f t="shared" si="514"/>
        <v>1</v>
      </c>
      <c r="AU316" s="391" t="b">
        <f t="shared" si="515"/>
        <v>0</v>
      </c>
      <c r="AV316" s="391" t="b">
        <f t="shared" si="516"/>
        <v>0</v>
      </c>
      <c r="AW316" s="391" t="b">
        <f t="shared" si="517"/>
        <v>1</v>
      </c>
      <c r="AX316" s="391" t="b">
        <f t="shared" si="518"/>
        <v>1</v>
      </c>
      <c r="AY316" s="391" t="b">
        <f t="shared" si="519"/>
        <v>0</v>
      </c>
      <c r="BA316" s="334" t="str">
        <f>'Reference Score Calculation'!N293</f>
        <v>最佳五科必須包括︰英文、數學、M1/2</v>
      </c>
      <c r="BB316" s="334" t="str">
        <f>'Reference Score Calculation'!O293</f>
        <v>/</v>
      </c>
      <c r="BC316" s="334"/>
      <c r="BD316" s="334"/>
      <c r="BE316" s="334"/>
      <c r="BF316" s="334"/>
      <c r="BG316" s="334" t="s">
        <v>324</v>
      </c>
      <c r="BH316" s="334"/>
      <c r="BI316" s="334" t="b">
        <v>1</v>
      </c>
      <c r="BJ316" s="334" t="b">
        <v>1</v>
      </c>
      <c r="BK316" s="334"/>
      <c r="BL316" s="334" t="b">
        <v>1</v>
      </c>
      <c r="BM316" s="334"/>
      <c r="BN316" s="334"/>
      <c r="BO316" s="334"/>
      <c r="BP316" s="334"/>
      <c r="BQ316" s="334"/>
      <c r="BR316" s="334"/>
    </row>
    <row r="317" spans="1:97" s="384" customFormat="1">
      <c r="A317" s="117"/>
      <c r="B317" s="384" t="str">
        <f>'Reference Score Calculation'!B294</f>
        <v>JS6858</v>
      </c>
      <c r="C317" s="389" t="str">
        <f>'Reference Score Calculation'!E294</f>
        <v>理學士及法學士(雙學位課程)</v>
      </c>
      <c r="D317" s="334"/>
      <c r="E317" s="390" t="str">
        <f>'Reference Score Calculation'!F294</f>
        <v>Best 6</v>
      </c>
      <c r="F317" s="404" t="str">
        <f>'Reference Score Calculation'!AC294</f>
        <v>Best 6</v>
      </c>
      <c r="G317" s="334" t="str">
        <f>入學要求!AB303</f>
        <v>v</v>
      </c>
      <c r="H317" s="334" t="str">
        <f>入學要求!AC303</f>
        <v>NO</v>
      </c>
      <c r="I317" s="334" t="str">
        <f>入學要求!AD303</f>
        <v>NO</v>
      </c>
      <c r="J317" s="391">
        <f t="shared" si="520"/>
        <v>5.0000000000000001E-9</v>
      </c>
      <c r="K317" s="489">
        <v>1</v>
      </c>
      <c r="L317" s="489">
        <v>2</v>
      </c>
      <c r="M317" s="489">
        <f>IF($M$8&gt;$O$8,2,1)</f>
        <v>1</v>
      </c>
      <c r="N317" s="489"/>
      <c r="O317" s="489">
        <f>IF($M$8&gt;$O$8,1,2)</f>
        <v>2</v>
      </c>
      <c r="P317" s="489">
        <f>IF(P$1=$BZ$294,2,1)</f>
        <v>2</v>
      </c>
      <c r="Q317" s="489">
        <f>IF(Q$1=$BZ$294,2,1)</f>
        <v>1</v>
      </c>
      <c r="R317" s="489">
        <f>IF(R$1=$BZ$294,2,1)</f>
        <v>1</v>
      </c>
      <c r="S317" s="489">
        <f>IF(S$1=$BZ$294,2,1)</f>
        <v>1</v>
      </c>
      <c r="T317" s="489">
        <v>1</v>
      </c>
      <c r="U317" s="398"/>
      <c r="V317" s="391">
        <f t="shared" si="537"/>
        <v>1E-10</v>
      </c>
      <c r="W317" s="391">
        <f t="shared" si="538"/>
        <v>4.0000000000000001E-10</v>
      </c>
      <c r="X317" s="391">
        <f t="shared" si="539"/>
        <v>3E-10</v>
      </c>
      <c r="Y317" s="391"/>
      <c r="Z317" s="391">
        <f t="shared" si="540"/>
        <v>1.0000000000000001E-9</v>
      </c>
      <c r="AA317" s="391">
        <f t="shared" si="540"/>
        <v>1.2E-9</v>
      </c>
      <c r="AB317" s="391">
        <f t="shared" si="540"/>
        <v>6.9999999999999996E-10</v>
      </c>
      <c r="AC317" s="391">
        <f t="shared" si="540"/>
        <v>8.0000000000000003E-10</v>
      </c>
      <c r="AD317" s="391">
        <f t="shared" si="540"/>
        <v>8.9999999999999999E-10</v>
      </c>
      <c r="AE317" s="391">
        <f t="shared" si="533"/>
        <v>0</v>
      </c>
      <c r="AF317" s="117">
        <f t="shared" si="521"/>
        <v>1E-10</v>
      </c>
      <c r="AG317" s="117">
        <f t="shared" si="522"/>
        <v>99.000000000399993</v>
      </c>
      <c r="AH317" s="117">
        <f t="shared" si="523"/>
        <v>3E-10</v>
      </c>
      <c r="AI317" s="117">
        <f t="shared" si="524"/>
        <v>0</v>
      </c>
      <c r="AJ317" s="117">
        <f t="shared" si="525"/>
        <v>99.000000001000004</v>
      </c>
      <c r="AK317" s="117">
        <f t="shared" si="526"/>
        <v>99.000000001199993</v>
      </c>
      <c r="AL317" s="117">
        <f t="shared" si="527"/>
        <v>99.000000000699998</v>
      </c>
      <c r="AM317" s="117">
        <f t="shared" si="528"/>
        <v>99.0000000008</v>
      </c>
      <c r="AN317" s="117">
        <f t="shared" si="529"/>
        <v>99.000000000900002</v>
      </c>
      <c r="AO317" s="117">
        <f t="shared" si="530"/>
        <v>0</v>
      </c>
      <c r="AP317" s="391" t="b">
        <f t="shared" si="511"/>
        <v>0</v>
      </c>
      <c r="AQ317" s="391" t="b">
        <f t="shared" si="512"/>
        <v>1</v>
      </c>
      <c r="AR317" s="391" t="b">
        <f t="shared" si="513"/>
        <v>0</v>
      </c>
      <c r="AS317" s="391"/>
      <c r="AT317" s="391" t="b">
        <f t="shared" si="514"/>
        <v>1</v>
      </c>
      <c r="AU317" s="391" t="b">
        <f t="shared" si="515"/>
        <v>1</v>
      </c>
      <c r="AV317" s="391" t="b">
        <f t="shared" si="516"/>
        <v>1</v>
      </c>
      <c r="AW317" s="391" t="b">
        <f t="shared" si="517"/>
        <v>1</v>
      </c>
      <c r="AX317" s="391" t="b">
        <f t="shared" si="518"/>
        <v>1</v>
      </c>
      <c r="AY317" s="391" t="b">
        <f t="shared" si="519"/>
        <v>0</v>
      </c>
      <c r="BA317" s="334" t="str">
        <f>'Reference Score Calculation'!N294</f>
        <v>最佳六科必須包括︰英文、[數學或M1/2]、最佳理科*</v>
      </c>
      <c r="BB317" s="334" t="str">
        <f>'Reference Score Calculation'!O294</f>
        <v>*理科: 生物、化學、物理、組合科學、綜合科學</v>
      </c>
      <c r="BC317" s="334"/>
      <c r="BD317" s="334"/>
      <c r="BE317" s="334"/>
      <c r="BF317" s="334"/>
      <c r="BG317" s="334" t="s">
        <v>324</v>
      </c>
      <c r="BH317" s="334" t="b">
        <f t="shared" ref="BH317:BQ317" si="542">CG295</f>
        <v>0</v>
      </c>
      <c r="BI317" s="334" t="b">
        <f t="shared" si="542"/>
        <v>1</v>
      </c>
      <c r="BJ317" s="334" t="b">
        <f t="shared" si="542"/>
        <v>0</v>
      </c>
      <c r="BK317" s="334">
        <f t="shared" si="542"/>
        <v>0</v>
      </c>
      <c r="BL317" s="334" t="b">
        <f t="shared" si="542"/>
        <v>1</v>
      </c>
      <c r="BM317" s="334" t="b">
        <f t="shared" si="542"/>
        <v>1</v>
      </c>
      <c r="BN317" s="334" t="b">
        <f t="shared" si="542"/>
        <v>1</v>
      </c>
      <c r="BO317" s="334" t="b">
        <f t="shared" si="542"/>
        <v>1</v>
      </c>
      <c r="BP317" s="334" t="b">
        <f t="shared" si="542"/>
        <v>1</v>
      </c>
      <c r="BQ317" s="334">
        <f t="shared" si="542"/>
        <v>0</v>
      </c>
      <c r="BR317" s="334" t="s">
        <v>492</v>
      </c>
    </row>
    <row r="318" spans="1:97" s="384" customFormat="1">
      <c r="A318" s="117"/>
      <c r="B318" s="384" t="str">
        <f>'Reference Score Calculation'!B295</f>
        <v>JS6901</v>
      </c>
      <c r="C318" s="389" t="str">
        <f>'Reference Score Calculation'!E295</f>
        <v>理學士</v>
      </c>
      <c r="D318" s="334"/>
      <c r="E318" s="390" t="str">
        <f>'Reference Score Calculation'!F295</f>
        <v>Best 5</v>
      </c>
      <c r="F318" s="404" t="str">
        <f>'Reference Score Calculation'!AC295</f>
        <v>Best 5</v>
      </c>
      <c r="G318" s="334" t="str">
        <f>入學要求!AB304</f>
        <v>v</v>
      </c>
      <c r="H318" s="334" t="str">
        <f>入學要求!AC304</f>
        <v>NO</v>
      </c>
      <c r="I318" s="334" t="str">
        <f>入學要求!AD304</f>
        <v>NO</v>
      </c>
      <c r="J318" s="391">
        <f t="shared" si="520"/>
        <v>2.9499999999999999E-9</v>
      </c>
      <c r="K318" s="489">
        <v>1</v>
      </c>
      <c r="L318" s="489">
        <v>1</v>
      </c>
      <c r="M318" s="489">
        <v>1.5</v>
      </c>
      <c r="N318" s="489"/>
      <c r="O318" s="489">
        <v>1.5</v>
      </c>
      <c r="P318" s="489">
        <f>IF(OR(P$1="化學",P$1="生物",P$1="物理"),1.5,1)</f>
        <v>1</v>
      </c>
      <c r="Q318" s="489">
        <f>IF(OR(Q$1="化學",Q$1="生物",Q$1="物理"),1.5,1)</f>
        <v>1</v>
      </c>
      <c r="R318" s="489">
        <f t="shared" ref="R318:S318" si="543">IF(OR(R$1="化學",R$1="生物",R$1="物理"),1.5,1)</f>
        <v>1</v>
      </c>
      <c r="S318" s="489">
        <f t="shared" si="543"/>
        <v>1</v>
      </c>
      <c r="T318" s="489">
        <v>1</v>
      </c>
      <c r="U318" s="398"/>
      <c r="V318" s="391">
        <f t="shared" si="537"/>
        <v>1E-10</v>
      </c>
      <c r="W318" s="391">
        <f t="shared" si="538"/>
        <v>2.0000000000000001E-10</v>
      </c>
      <c r="X318" s="391">
        <f t="shared" si="539"/>
        <v>4.5E-10</v>
      </c>
      <c r="Y318" s="391"/>
      <c r="Z318" s="391">
        <f t="shared" si="540"/>
        <v>7.500000000000001E-10</v>
      </c>
      <c r="AA318" s="391">
        <f t="shared" si="540"/>
        <v>6E-10</v>
      </c>
      <c r="AB318" s="391">
        <f t="shared" si="540"/>
        <v>6.9999999999999996E-10</v>
      </c>
      <c r="AC318" s="391">
        <f t="shared" si="540"/>
        <v>8.0000000000000003E-10</v>
      </c>
      <c r="AD318" s="391">
        <f t="shared" si="540"/>
        <v>8.9999999999999999E-10</v>
      </c>
      <c r="AE318" s="391">
        <f t="shared" si="533"/>
        <v>0</v>
      </c>
      <c r="AF318" s="117">
        <f t="shared" si="521"/>
        <v>1E-10</v>
      </c>
      <c r="AG318" s="117">
        <f t="shared" si="522"/>
        <v>99.000000000200004</v>
      </c>
      <c r="AH318" s="117">
        <f t="shared" si="523"/>
        <v>99.000000000450001</v>
      </c>
      <c r="AI318" s="117">
        <f t="shared" si="524"/>
        <v>0</v>
      </c>
      <c r="AJ318" s="117">
        <f t="shared" si="525"/>
        <v>7.500000000000001E-10</v>
      </c>
      <c r="AK318" s="117">
        <f t="shared" si="526"/>
        <v>99.000000000599996</v>
      </c>
      <c r="AL318" s="117">
        <f t="shared" si="527"/>
        <v>6.9999999999999996E-10</v>
      </c>
      <c r="AM318" s="117">
        <f t="shared" si="528"/>
        <v>99.0000000008</v>
      </c>
      <c r="AN318" s="117">
        <f t="shared" si="529"/>
        <v>99.000000000900002</v>
      </c>
      <c r="AO318" s="117">
        <f t="shared" si="530"/>
        <v>0</v>
      </c>
      <c r="AP318" s="391" t="b">
        <f t="shared" si="511"/>
        <v>0</v>
      </c>
      <c r="AQ318" s="391" t="b">
        <f t="shared" si="512"/>
        <v>1</v>
      </c>
      <c r="AR318" s="391" t="b">
        <f t="shared" si="513"/>
        <v>1</v>
      </c>
      <c r="AS318" s="391"/>
      <c r="AT318" s="391" t="b">
        <f t="shared" si="514"/>
        <v>0</v>
      </c>
      <c r="AU318" s="391" t="b">
        <f t="shared" si="515"/>
        <v>1</v>
      </c>
      <c r="AV318" s="391" t="b">
        <f t="shared" si="516"/>
        <v>0</v>
      </c>
      <c r="AW318" s="391" t="b">
        <f t="shared" si="517"/>
        <v>1</v>
      </c>
      <c r="AX318" s="391" t="b">
        <f t="shared" si="518"/>
        <v>1</v>
      </c>
      <c r="AY318" s="391" t="b">
        <f t="shared" si="519"/>
        <v>0</v>
      </c>
      <c r="BA318" s="334" t="str">
        <f>'Reference Score Calculation'!N295</f>
        <v>最佳五科必須包括︰英文、數學、最佳理科*</v>
      </c>
      <c r="BB318" s="334" t="str">
        <f>'Reference Score Calculation'!O295</f>
        <v>*理科: 生物、化學、物理、組合科學、綜合科學</v>
      </c>
      <c r="BC318" s="334"/>
      <c r="BD318" s="334"/>
      <c r="BE318" s="334"/>
      <c r="BF318" s="334"/>
      <c r="BG318" s="334" t="s">
        <v>324</v>
      </c>
      <c r="BH318" s="334" t="b">
        <f t="shared" ref="BH318:BQ318" si="544">CC299</f>
        <v>0</v>
      </c>
      <c r="BI318" s="334" t="b">
        <f t="shared" si="544"/>
        <v>1</v>
      </c>
      <c r="BJ318" s="334" t="b">
        <f t="shared" si="544"/>
        <v>1</v>
      </c>
      <c r="BK318" s="334">
        <f t="shared" si="544"/>
        <v>0</v>
      </c>
      <c r="BL318" s="334" t="b">
        <f t="shared" si="544"/>
        <v>0</v>
      </c>
      <c r="BM318" s="334" t="b">
        <f t="shared" si="544"/>
        <v>1</v>
      </c>
      <c r="BN318" s="334" t="b">
        <f t="shared" si="544"/>
        <v>0</v>
      </c>
      <c r="BO318" s="334" t="b">
        <f t="shared" si="544"/>
        <v>1</v>
      </c>
      <c r="BP318" s="334" t="b">
        <f t="shared" si="544"/>
        <v>1</v>
      </c>
      <c r="BQ318" s="334">
        <f t="shared" si="544"/>
        <v>0</v>
      </c>
      <c r="BR318" s="334"/>
    </row>
    <row r="319" spans="1:97" s="384" customFormat="1">
      <c r="A319" s="117"/>
      <c r="B319" s="384" t="str">
        <f>'Reference Score Calculation'!B296</f>
        <v>JS6705</v>
      </c>
      <c r="C319" s="389" t="str">
        <f>'Reference Score Calculation'!E296</f>
        <v>心理學學士</v>
      </c>
      <c r="D319" s="334"/>
      <c r="E319" s="390" t="str">
        <f>'Reference Score Calculation'!F296</f>
        <v>Best 5</v>
      </c>
      <c r="F319" s="404" t="str">
        <f>'Reference Score Calculation'!AC296</f>
        <v>Best 5</v>
      </c>
      <c r="G319" s="334" t="str">
        <f>入學要求!AB305</f>
        <v>v</v>
      </c>
      <c r="H319" s="334" t="str">
        <f>入學要求!AC305</f>
        <v>E</v>
      </c>
      <c r="I319" s="334" t="str">
        <f>入學要求!AD305</f>
        <v>NO</v>
      </c>
      <c r="J319" s="391">
        <f t="shared" si="520"/>
        <v>3.4999999999999999E-9</v>
      </c>
      <c r="K319" s="489">
        <v>1</v>
      </c>
      <c r="L319" s="489">
        <v>1</v>
      </c>
      <c r="M319" s="489">
        <v>1</v>
      </c>
      <c r="N319" s="489"/>
      <c r="O319" s="489">
        <v>1</v>
      </c>
      <c r="P319" s="489">
        <v>1</v>
      </c>
      <c r="Q319" s="489">
        <v>1</v>
      </c>
      <c r="R319" s="489">
        <v>1</v>
      </c>
      <c r="S319" s="489">
        <v>1</v>
      </c>
      <c r="T319" s="489">
        <v>1</v>
      </c>
      <c r="U319" s="398"/>
      <c r="V319" s="391">
        <f t="shared" si="537"/>
        <v>1E-10</v>
      </c>
      <c r="W319" s="391">
        <f t="shared" si="538"/>
        <v>2.0000000000000001E-10</v>
      </c>
      <c r="X319" s="391">
        <f t="shared" si="539"/>
        <v>3E-10</v>
      </c>
      <c r="Y319" s="391"/>
      <c r="Z319" s="391">
        <f>IF($O$8&gt;$T$8,O$8*O319,0)</f>
        <v>5.0000000000000003E-10</v>
      </c>
      <c r="AA319" s="391">
        <f t="shared" ref="AA319:AA330" si="545">P$8*P319</f>
        <v>6E-10</v>
      </c>
      <c r="AB319" s="391">
        <f t="shared" ref="AB319:AB330" si="546">Q$8*Q319</f>
        <v>6.9999999999999996E-10</v>
      </c>
      <c r="AC319" s="391">
        <f t="shared" ref="AC319:AC330" si="547">R$8*R319</f>
        <v>8.0000000000000003E-10</v>
      </c>
      <c r="AD319" s="391">
        <f t="shared" ref="AD319:AD330" si="548">S$8*S319</f>
        <v>8.9999999999999999E-10</v>
      </c>
      <c r="AE319" s="391">
        <f t="shared" si="533"/>
        <v>0</v>
      </c>
      <c r="AF319" s="117">
        <f t="shared" si="521"/>
        <v>1E-10</v>
      </c>
      <c r="AG319" s="117">
        <f t="shared" si="522"/>
        <v>2.0000000000000001E-10</v>
      </c>
      <c r="AH319" s="117">
        <f t="shared" si="523"/>
        <v>3E-10</v>
      </c>
      <c r="AI319" s="117">
        <f t="shared" si="524"/>
        <v>0</v>
      </c>
      <c r="AJ319" s="117">
        <f t="shared" si="525"/>
        <v>5.0000000000000003E-10</v>
      </c>
      <c r="AK319" s="117">
        <f t="shared" si="526"/>
        <v>6E-10</v>
      </c>
      <c r="AL319" s="117">
        <f t="shared" si="527"/>
        <v>6.9999999999999996E-10</v>
      </c>
      <c r="AM319" s="117">
        <f t="shared" si="528"/>
        <v>8.0000000000000003E-10</v>
      </c>
      <c r="AN319" s="117">
        <f t="shared" si="529"/>
        <v>8.9999999999999999E-10</v>
      </c>
      <c r="AO319" s="117">
        <f t="shared" si="530"/>
        <v>0</v>
      </c>
      <c r="AP319" s="391" t="b">
        <f t="shared" si="511"/>
        <v>0</v>
      </c>
      <c r="AQ319" s="391" t="b">
        <f t="shared" si="512"/>
        <v>0</v>
      </c>
      <c r="AR319" s="391" t="b">
        <f t="shared" si="513"/>
        <v>0</v>
      </c>
      <c r="AS319" s="391"/>
      <c r="AT319" s="391" t="b">
        <f t="shared" si="514"/>
        <v>1</v>
      </c>
      <c r="AU319" s="391" t="b">
        <f t="shared" si="515"/>
        <v>1</v>
      </c>
      <c r="AV319" s="391" t="b">
        <f t="shared" si="516"/>
        <v>1</v>
      </c>
      <c r="AW319" s="391" t="b">
        <f t="shared" si="517"/>
        <v>1</v>
      </c>
      <c r="AX319" s="391" t="b">
        <f t="shared" si="518"/>
        <v>1</v>
      </c>
      <c r="AY319" s="391" t="b">
        <f t="shared" si="519"/>
        <v>0</v>
      </c>
      <c r="BA319" s="334" t="str">
        <f>'Reference Score Calculation'!N296</f>
        <v>可包含 M1/2 或丙類科目 (較高者) 於計算內</v>
      </c>
      <c r="BB319" s="334" t="str">
        <f>'Reference Score Calculation'!O296</f>
        <v>/</v>
      </c>
      <c r="BC319" s="334"/>
      <c r="BD319" s="334"/>
      <c r="BE319" s="334"/>
      <c r="BF319" s="334"/>
      <c r="BG319" s="334" t="s">
        <v>324</v>
      </c>
      <c r="BH319" s="334"/>
      <c r="BI319" s="334"/>
      <c r="BJ319" s="334"/>
      <c r="BK319" s="334"/>
      <c r="BL319" s="334"/>
      <c r="BM319" s="334"/>
      <c r="BN319" s="334"/>
      <c r="BO319" s="334"/>
      <c r="BP319" s="334"/>
      <c r="BQ319" s="334"/>
      <c r="BR319" s="334"/>
    </row>
    <row r="320" spans="1:97" s="384" customFormat="1">
      <c r="A320" s="117"/>
      <c r="B320" s="384" t="str">
        <f>'Reference Score Calculation'!B297</f>
        <v>JS6717</v>
      </c>
      <c r="C320" s="389" t="str">
        <f>'Reference Score Calculation'!E297</f>
        <v>社會科學學士</v>
      </c>
      <c r="D320" s="334"/>
      <c r="E320" s="390" t="str">
        <f>'Reference Score Calculation'!F297</f>
        <v>Best 5</v>
      </c>
      <c r="F320" s="404" t="str">
        <f>'Reference Score Calculation'!AC297</f>
        <v>Best 5</v>
      </c>
      <c r="G320" s="334" t="str">
        <f>入學要求!AB306</f>
        <v>v</v>
      </c>
      <c r="H320" s="334" t="str">
        <f>入學要求!AC306</f>
        <v>E</v>
      </c>
      <c r="I320" s="334" t="str">
        <f>入學要求!AD306</f>
        <v>NO</v>
      </c>
      <c r="J320" s="391">
        <f t="shared" si="520"/>
        <v>3.4999999999999999E-9</v>
      </c>
      <c r="K320" s="489">
        <v>1</v>
      </c>
      <c r="L320" s="489">
        <v>1</v>
      </c>
      <c r="M320" s="489">
        <v>1</v>
      </c>
      <c r="N320" s="489"/>
      <c r="O320" s="489">
        <v>1</v>
      </c>
      <c r="P320" s="489">
        <v>1</v>
      </c>
      <c r="Q320" s="489">
        <v>1</v>
      </c>
      <c r="R320" s="489">
        <v>1</v>
      </c>
      <c r="S320" s="489">
        <v>1</v>
      </c>
      <c r="T320" s="489">
        <v>1</v>
      </c>
      <c r="U320" s="398"/>
      <c r="V320" s="391">
        <f t="shared" si="537"/>
        <v>1E-10</v>
      </c>
      <c r="W320" s="391">
        <f t="shared" si="538"/>
        <v>2.0000000000000001E-10</v>
      </c>
      <c r="X320" s="391">
        <f t="shared" si="539"/>
        <v>3E-10</v>
      </c>
      <c r="Y320" s="391"/>
      <c r="Z320" s="391">
        <f>IF($O$8&gt;$T$8,O$8*O320,0)</f>
        <v>5.0000000000000003E-10</v>
      </c>
      <c r="AA320" s="391">
        <f t="shared" si="545"/>
        <v>6E-10</v>
      </c>
      <c r="AB320" s="391">
        <f t="shared" si="546"/>
        <v>6.9999999999999996E-10</v>
      </c>
      <c r="AC320" s="391">
        <f t="shared" si="547"/>
        <v>8.0000000000000003E-10</v>
      </c>
      <c r="AD320" s="391">
        <f t="shared" si="548"/>
        <v>8.9999999999999999E-10</v>
      </c>
      <c r="AE320" s="391">
        <f t="shared" si="533"/>
        <v>0</v>
      </c>
      <c r="AF320" s="117">
        <f t="shared" si="521"/>
        <v>1E-10</v>
      </c>
      <c r="AG320" s="117">
        <f t="shared" si="522"/>
        <v>2.0000000000000001E-10</v>
      </c>
      <c r="AH320" s="117">
        <f t="shared" si="523"/>
        <v>3E-10</v>
      </c>
      <c r="AI320" s="117">
        <f t="shared" si="524"/>
        <v>0</v>
      </c>
      <c r="AJ320" s="117">
        <f t="shared" si="525"/>
        <v>5.0000000000000003E-10</v>
      </c>
      <c r="AK320" s="117">
        <f t="shared" si="526"/>
        <v>6E-10</v>
      </c>
      <c r="AL320" s="117">
        <f t="shared" si="527"/>
        <v>6.9999999999999996E-10</v>
      </c>
      <c r="AM320" s="117">
        <f t="shared" si="528"/>
        <v>8.0000000000000003E-10</v>
      </c>
      <c r="AN320" s="117">
        <f t="shared" si="529"/>
        <v>8.9999999999999999E-10</v>
      </c>
      <c r="AO320" s="117">
        <f t="shared" si="530"/>
        <v>0</v>
      </c>
      <c r="AP320" s="391" t="b">
        <f t="shared" si="511"/>
        <v>0</v>
      </c>
      <c r="AQ320" s="391" t="b">
        <f t="shared" si="512"/>
        <v>0</v>
      </c>
      <c r="AR320" s="391" t="b">
        <f t="shared" si="513"/>
        <v>0</v>
      </c>
      <c r="AS320" s="391"/>
      <c r="AT320" s="391" t="b">
        <f t="shared" si="514"/>
        <v>1</v>
      </c>
      <c r="AU320" s="391" t="b">
        <f t="shared" si="515"/>
        <v>1</v>
      </c>
      <c r="AV320" s="391" t="b">
        <f t="shared" si="516"/>
        <v>1</v>
      </c>
      <c r="AW320" s="391" t="b">
        <f t="shared" si="517"/>
        <v>1</v>
      </c>
      <c r="AX320" s="391" t="b">
        <f t="shared" si="518"/>
        <v>1</v>
      </c>
      <c r="AY320" s="391" t="b">
        <f t="shared" si="519"/>
        <v>0</v>
      </c>
      <c r="BA320" s="334" t="str">
        <f>'Reference Score Calculation'!N297</f>
        <v>可包含 M1/2 或丙類科目 (較高者) 於計算內</v>
      </c>
      <c r="BB320" s="334" t="str">
        <f>'Reference Score Calculation'!O297</f>
        <v>/</v>
      </c>
      <c r="BC320" s="334"/>
      <c r="BD320" s="334"/>
      <c r="BE320" s="334"/>
      <c r="BF320" s="334"/>
      <c r="BG320" s="334" t="s">
        <v>324</v>
      </c>
      <c r="BH320" s="334"/>
      <c r="BI320" s="334"/>
      <c r="BJ320" s="334"/>
      <c r="BK320" s="334"/>
      <c r="BL320" s="334"/>
      <c r="BM320" s="334"/>
      <c r="BN320" s="334"/>
      <c r="BO320" s="334"/>
      <c r="BP320" s="334"/>
      <c r="BQ320" s="334"/>
      <c r="BR320" s="334"/>
    </row>
    <row r="321" spans="1:97" s="384" customFormat="1">
      <c r="A321" s="117"/>
      <c r="B321" s="384" t="str">
        <f>'Reference Score Calculation'!B298</f>
        <v>JS6731</v>
      </c>
      <c r="C321" s="389" t="str">
        <f>'Reference Score Calculation'!E298</f>
        <v>社會工作學學士</v>
      </c>
      <c r="D321" s="334"/>
      <c r="E321" s="390" t="str">
        <f>'Reference Score Calculation'!F298</f>
        <v>Best 5</v>
      </c>
      <c r="F321" s="404" t="str">
        <f>'Reference Score Calculation'!AC298</f>
        <v>Best 5</v>
      </c>
      <c r="G321" s="334" t="str">
        <f>入學要求!AB307</f>
        <v>v</v>
      </c>
      <c r="H321" s="334" t="str">
        <f>入學要求!AC307</f>
        <v>E</v>
      </c>
      <c r="I321" s="334" t="str">
        <f>入學要求!AD307</f>
        <v>NO</v>
      </c>
      <c r="J321" s="391">
        <f t="shared" si="520"/>
        <v>3.4999999999999999E-9</v>
      </c>
      <c r="K321" s="489">
        <v>1</v>
      </c>
      <c r="L321" s="489">
        <v>1</v>
      </c>
      <c r="M321" s="489">
        <v>1</v>
      </c>
      <c r="N321" s="489"/>
      <c r="O321" s="489">
        <v>1</v>
      </c>
      <c r="P321" s="489">
        <v>1</v>
      </c>
      <c r="Q321" s="489">
        <v>1</v>
      </c>
      <c r="R321" s="489">
        <v>1</v>
      </c>
      <c r="S321" s="489">
        <v>1</v>
      </c>
      <c r="T321" s="489">
        <v>1</v>
      </c>
      <c r="U321" s="398"/>
      <c r="V321" s="391">
        <f t="shared" si="537"/>
        <v>1E-10</v>
      </c>
      <c r="W321" s="391">
        <f t="shared" si="538"/>
        <v>2.0000000000000001E-10</v>
      </c>
      <c r="X321" s="391">
        <f t="shared" si="539"/>
        <v>3E-10</v>
      </c>
      <c r="Y321" s="391"/>
      <c r="Z321" s="391">
        <f>IF($O$8&gt;$T$8,O$8*O321,0)</f>
        <v>5.0000000000000003E-10</v>
      </c>
      <c r="AA321" s="391">
        <f t="shared" si="545"/>
        <v>6E-10</v>
      </c>
      <c r="AB321" s="391">
        <f t="shared" si="546"/>
        <v>6.9999999999999996E-10</v>
      </c>
      <c r="AC321" s="391">
        <f t="shared" si="547"/>
        <v>8.0000000000000003E-10</v>
      </c>
      <c r="AD321" s="391">
        <f t="shared" si="548"/>
        <v>8.9999999999999999E-10</v>
      </c>
      <c r="AE321" s="391">
        <f t="shared" si="533"/>
        <v>0</v>
      </c>
      <c r="AF321" s="117">
        <f t="shared" si="521"/>
        <v>1E-10</v>
      </c>
      <c r="AG321" s="117">
        <f t="shared" si="522"/>
        <v>2.0000000000000001E-10</v>
      </c>
      <c r="AH321" s="117">
        <f t="shared" si="523"/>
        <v>3E-10</v>
      </c>
      <c r="AI321" s="117">
        <f t="shared" si="524"/>
        <v>0</v>
      </c>
      <c r="AJ321" s="117">
        <f t="shared" si="525"/>
        <v>5.0000000000000003E-10</v>
      </c>
      <c r="AK321" s="117">
        <f t="shared" si="526"/>
        <v>6E-10</v>
      </c>
      <c r="AL321" s="117">
        <f t="shared" si="527"/>
        <v>6.9999999999999996E-10</v>
      </c>
      <c r="AM321" s="117">
        <f t="shared" si="528"/>
        <v>8.0000000000000003E-10</v>
      </c>
      <c r="AN321" s="117">
        <f t="shared" si="529"/>
        <v>8.9999999999999999E-10</v>
      </c>
      <c r="AO321" s="117">
        <f t="shared" si="530"/>
        <v>0</v>
      </c>
      <c r="AP321" s="391" t="b">
        <f t="shared" si="511"/>
        <v>0</v>
      </c>
      <c r="AQ321" s="391" t="b">
        <f t="shared" si="512"/>
        <v>0</v>
      </c>
      <c r="AR321" s="391" t="b">
        <f t="shared" si="513"/>
        <v>0</v>
      </c>
      <c r="AS321" s="391"/>
      <c r="AT321" s="391" t="b">
        <f t="shared" si="514"/>
        <v>1</v>
      </c>
      <c r="AU321" s="391" t="b">
        <f t="shared" si="515"/>
        <v>1</v>
      </c>
      <c r="AV321" s="391" t="b">
        <f t="shared" si="516"/>
        <v>1</v>
      </c>
      <c r="AW321" s="391" t="b">
        <f t="shared" si="517"/>
        <v>1</v>
      </c>
      <c r="AX321" s="391" t="b">
        <f t="shared" si="518"/>
        <v>1</v>
      </c>
      <c r="AY321" s="391" t="b">
        <f t="shared" si="519"/>
        <v>0</v>
      </c>
      <c r="BA321" s="334" t="str">
        <f>'Reference Score Calculation'!N298</f>
        <v>可包含 M1/2 或丙類科目 (較高者) 於計算內</v>
      </c>
      <c r="BB321" s="334" t="str">
        <f>'Reference Score Calculation'!O298</f>
        <v>/</v>
      </c>
      <c r="BC321" s="334"/>
      <c r="BD321" s="334"/>
      <c r="BE321" s="334"/>
      <c r="BF321" s="334"/>
      <c r="BG321" s="334" t="s">
        <v>324</v>
      </c>
      <c r="BH321" s="334"/>
      <c r="BI321" s="334"/>
      <c r="BJ321" s="334"/>
      <c r="BK321" s="334"/>
      <c r="BL321" s="334"/>
      <c r="BM321" s="334"/>
      <c r="BN321" s="334"/>
      <c r="BO321" s="334"/>
      <c r="BP321" s="334"/>
      <c r="BQ321" s="334"/>
      <c r="BR321" s="334"/>
    </row>
    <row r="322" spans="1:97" s="384" customFormat="1">
      <c r="A322" s="117"/>
      <c r="B322" s="384" t="str">
        <f>'Reference Score Calculation'!B299</f>
        <v>JS6810</v>
      </c>
      <c r="C322" s="389" t="str">
        <f>'Reference Score Calculation'!E299</f>
        <v>社會科學學士(政治學與法學)及法學士(雙學位課程)</v>
      </c>
      <c r="D322" s="334"/>
      <c r="E322" s="390" t="str">
        <f>'Reference Score Calculation'!F299</f>
        <v>Best 6</v>
      </c>
      <c r="F322" s="404" t="str">
        <f>'Reference Score Calculation'!AC299</f>
        <v>Best 6</v>
      </c>
      <c r="G322" s="334" t="str">
        <f>入學要求!AB308</f>
        <v>v</v>
      </c>
      <c r="H322" s="334" t="str">
        <f>入學要求!AC308</f>
        <v>NO</v>
      </c>
      <c r="I322" s="334" t="str">
        <f>入學要求!AD308</f>
        <v>NO</v>
      </c>
      <c r="J322" s="391">
        <f t="shared" si="520"/>
        <v>3.8000000000000001E-9</v>
      </c>
      <c r="K322" s="489">
        <v>1</v>
      </c>
      <c r="L322" s="489">
        <v>1</v>
      </c>
      <c r="M322" s="489">
        <v>1</v>
      </c>
      <c r="N322" s="489"/>
      <c r="O322" s="489">
        <v>1</v>
      </c>
      <c r="P322" s="489">
        <v>1</v>
      </c>
      <c r="Q322" s="489">
        <v>1</v>
      </c>
      <c r="R322" s="489">
        <v>1</v>
      </c>
      <c r="S322" s="489">
        <v>1</v>
      </c>
      <c r="T322" s="489">
        <v>1</v>
      </c>
      <c r="U322" s="398"/>
      <c r="V322" s="391">
        <f t="shared" si="537"/>
        <v>1E-10</v>
      </c>
      <c r="W322" s="391">
        <f t="shared" si="538"/>
        <v>2.0000000000000001E-10</v>
      </c>
      <c r="X322" s="391">
        <f t="shared" si="539"/>
        <v>3E-10</v>
      </c>
      <c r="Y322" s="391"/>
      <c r="Z322" s="391">
        <f>O$8*O322</f>
        <v>5.0000000000000003E-10</v>
      </c>
      <c r="AA322" s="391">
        <f t="shared" si="545"/>
        <v>6E-10</v>
      </c>
      <c r="AB322" s="391">
        <f t="shared" si="546"/>
        <v>6.9999999999999996E-10</v>
      </c>
      <c r="AC322" s="391">
        <f t="shared" si="547"/>
        <v>8.0000000000000003E-10</v>
      </c>
      <c r="AD322" s="391">
        <f t="shared" si="548"/>
        <v>8.9999999999999999E-10</v>
      </c>
      <c r="AE322" s="391">
        <f t="shared" si="533"/>
        <v>0</v>
      </c>
      <c r="AF322" s="117">
        <f t="shared" si="521"/>
        <v>1E-10</v>
      </c>
      <c r="AG322" s="117">
        <f t="shared" si="522"/>
        <v>2.0000000000000001E-10</v>
      </c>
      <c r="AH322" s="117">
        <f t="shared" si="523"/>
        <v>3E-10</v>
      </c>
      <c r="AI322" s="117">
        <f t="shared" si="524"/>
        <v>0</v>
      </c>
      <c r="AJ322" s="117">
        <f t="shared" si="525"/>
        <v>5.0000000000000003E-10</v>
      </c>
      <c r="AK322" s="117">
        <f t="shared" si="526"/>
        <v>6E-10</v>
      </c>
      <c r="AL322" s="117">
        <f t="shared" si="527"/>
        <v>6.9999999999999996E-10</v>
      </c>
      <c r="AM322" s="117">
        <f t="shared" si="528"/>
        <v>8.0000000000000003E-10</v>
      </c>
      <c r="AN322" s="117">
        <f t="shared" si="529"/>
        <v>8.9999999999999999E-10</v>
      </c>
      <c r="AO322" s="117">
        <f t="shared" si="530"/>
        <v>0</v>
      </c>
      <c r="AP322" s="391" t="b">
        <f t="shared" si="511"/>
        <v>0</v>
      </c>
      <c r="AQ322" s="391" t="b">
        <f t="shared" si="512"/>
        <v>0</v>
      </c>
      <c r="AR322" s="391" t="b">
        <f t="shared" si="513"/>
        <v>1</v>
      </c>
      <c r="AS322" s="391"/>
      <c r="AT322" s="391" t="b">
        <f t="shared" si="514"/>
        <v>1</v>
      </c>
      <c r="AU322" s="391" t="b">
        <f t="shared" si="515"/>
        <v>1</v>
      </c>
      <c r="AV322" s="391" t="b">
        <f t="shared" si="516"/>
        <v>1</v>
      </c>
      <c r="AW322" s="391" t="b">
        <f t="shared" si="517"/>
        <v>1</v>
      </c>
      <c r="AX322" s="391" t="b">
        <f t="shared" si="518"/>
        <v>1</v>
      </c>
      <c r="AY322" s="391" t="b">
        <f t="shared" si="519"/>
        <v>0</v>
      </c>
      <c r="BA322" s="334" t="str">
        <f>'Reference Score Calculation'!N299</f>
        <v>/</v>
      </c>
      <c r="BB322" s="334" t="str">
        <f>'Reference Score Calculation'!O299</f>
        <v>/</v>
      </c>
      <c r="BC322" s="334"/>
      <c r="BD322" s="334"/>
      <c r="BE322" s="334"/>
      <c r="BF322" s="334"/>
      <c r="BG322" s="334" t="s">
        <v>324</v>
      </c>
      <c r="BH322" s="334"/>
      <c r="BI322" s="334"/>
      <c r="BJ322" s="334"/>
      <c r="BK322" s="334"/>
      <c r="BL322" s="334"/>
      <c r="BM322" s="334"/>
      <c r="BN322" s="334"/>
      <c r="BO322" s="334"/>
      <c r="BP322" s="334"/>
      <c r="BQ322" s="334"/>
      <c r="BR322" s="334"/>
    </row>
    <row r="323" spans="1:97" s="384" customFormat="1">
      <c r="A323" s="117"/>
      <c r="B323" s="384" t="str">
        <f>'Reference Score Calculation'!B300</f>
        <v>JS6822</v>
      </c>
      <c r="C323" s="389" t="str">
        <f>'Reference Score Calculation'!E300</f>
        <v>新聞學學士</v>
      </c>
      <c r="D323" s="334"/>
      <c r="E323" s="390" t="str">
        <f>'Reference Score Calculation'!F300</f>
        <v>Best 5</v>
      </c>
      <c r="F323" s="404" t="str">
        <f>'Reference Score Calculation'!AC300</f>
        <v>Best 5</v>
      </c>
      <c r="G323" s="334" t="str">
        <f>入學要求!AB309</f>
        <v>v</v>
      </c>
      <c r="H323" s="334" t="str">
        <f>入學要求!AC309</f>
        <v>E</v>
      </c>
      <c r="I323" s="334" t="str">
        <f>入學要求!AD309</f>
        <v>NO</v>
      </c>
      <c r="J323" s="391">
        <f t="shared" si="520"/>
        <v>3.4999999999999999E-9</v>
      </c>
      <c r="K323" s="489">
        <v>1</v>
      </c>
      <c r="L323" s="489">
        <v>1</v>
      </c>
      <c r="M323" s="489">
        <v>1</v>
      </c>
      <c r="N323" s="489"/>
      <c r="O323" s="489">
        <v>1</v>
      </c>
      <c r="P323" s="489">
        <v>1</v>
      </c>
      <c r="Q323" s="489">
        <v>1</v>
      </c>
      <c r="R323" s="489">
        <v>1</v>
      </c>
      <c r="S323" s="489">
        <v>1</v>
      </c>
      <c r="T323" s="489">
        <v>1</v>
      </c>
      <c r="U323" s="398"/>
      <c r="V323" s="391">
        <f t="shared" si="537"/>
        <v>1E-10</v>
      </c>
      <c r="W323" s="391">
        <f t="shared" si="538"/>
        <v>2.0000000000000001E-10</v>
      </c>
      <c r="X323" s="391">
        <f t="shared" si="539"/>
        <v>3E-10</v>
      </c>
      <c r="Y323" s="391"/>
      <c r="Z323" s="391">
        <f>IF($O$8&gt;$T$8,O$8*O323,0)</f>
        <v>5.0000000000000003E-10</v>
      </c>
      <c r="AA323" s="391">
        <f t="shared" si="545"/>
        <v>6E-10</v>
      </c>
      <c r="AB323" s="391">
        <f t="shared" si="546"/>
        <v>6.9999999999999996E-10</v>
      </c>
      <c r="AC323" s="391">
        <f t="shared" si="547"/>
        <v>8.0000000000000003E-10</v>
      </c>
      <c r="AD323" s="391">
        <f t="shared" si="548"/>
        <v>8.9999999999999999E-10</v>
      </c>
      <c r="AE323" s="391">
        <f t="shared" si="533"/>
        <v>0</v>
      </c>
      <c r="AF323" s="117">
        <f t="shared" si="521"/>
        <v>1E-10</v>
      </c>
      <c r="AG323" s="117">
        <f t="shared" si="522"/>
        <v>2.0000000000000001E-10</v>
      </c>
      <c r="AH323" s="117">
        <f t="shared" si="523"/>
        <v>3E-10</v>
      </c>
      <c r="AI323" s="117">
        <f t="shared" si="524"/>
        <v>0</v>
      </c>
      <c r="AJ323" s="117">
        <f t="shared" si="525"/>
        <v>5.0000000000000003E-10</v>
      </c>
      <c r="AK323" s="117">
        <f t="shared" si="526"/>
        <v>6E-10</v>
      </c>
      <c r="AL323" s="117">
        <f t="shared" si="527"/>
        <v>6.9999999999999996E-10</v>
      </c>
      <c r="AM323" s="117">
        <f t="shared" si="528"/>
        <v>8.0000000000000003E-10</v>
      </c>
      <c r="AN323" s="117">
        <f t="shared" si="529"/>
        <v>8.9999999999999999E-10</v>
      </c>
      <c r="AO323" s="117">
        <f t="shared" si="530"/>
        <v>0</v>
      </c>
      <c r="AP323" s="391" t="b">
        <f t="shared" si="511"/>
        <v>0</v>
      </c>
      <c r="AQ323" s="391" t="b">
        <f t="shared" si="512"/>
        <v>0</v>
      </c>
      <c r="AR323" s="391" t="b">
        <f t="shared" si="513"/>
        <v>0</v>
      </c>
      <c r="AS323" s="391"/>
      <c r="AT323" s="391" t="b">
        <f t="shared" si="514"/>
        <v>1</v>
      </c>
      <c r="AU323" s="391" t="b">
        <f t="shared" si="515"/>
        <v>1</v>
      </c>
      <c r="AV323" s="391" t="b">
        <f t="shared" si="516"/>
        <v>1</v>
      </c>
      <c r="AW323" s="391" t="b">
        <f t="shared" si="517"/>
        <v>1</v>
      </c>
      <c r="AX323" s="391" t="b">
        <f t="shared" si="518"/>
        <v>1</v>
      </c>
      <c r="AY323" s="391" t="b">
        <f t="shared" si="519"/>
        <v>0</v>
      </c>
      <c r="BA323" s="334" t="str">
        <f>'Reference Score Calculation'!N300</f>
        <v>可包含 M1/2 或丙類科目 (較高者) 於計算內</v>
      </c>
      <c r="BB323" s="334" t="str">
        <f>'Reference Score Calculation'!O300</f>
        <v>/</v>
      </c>
      <c r="BC323" s="334"/>
      <c r="BD323" s="334"/>
      <c r="BE323" s="334"/>
      <c r="BF323" s="334"/>
      <c r="BG323" s="334" t="s">
        <v>324</v>
      </c>
      <c r="BH323" s="334"/>
      <c r="BI323" s="334"/>
      <c r="BJ323" s="334"/>
      <c r="BK323" s="334"/>
      <c r="BL323" s="334"/>
      <c r="BM323" s="334"/>
      <c r="BN323" s="334"/>
      <c r="BO323" s="334"/>
      <c r="BP323" s="334"/>
      <c r="BQ323" s="334"/>
      <c r="BR323" s="334"/>
    </row>
    <row r="324" spans="1:97" s="384" customFormat="1">
      <c r="A324" s="117"/>
      <c r="B324" s="384" t="str">
        <f>'Reference Score Calculation'!B301</f>
        <v>JS6779</v>
      </c>
      <c r="C324" s="389" t="str">
        <f>'Reference Score Calculation'!E301</f>
        <v>統計決策科學</v>
      </c>
      <c r="D324" s="334"/>
      <c r="E324" s="390" t="str">
        <f>'Reference Score Calculation'!F301</f>
        <v>25年新科目</v>
      </c>
      <c r="F324" s="404" t="str">
        <f>'Reference Score Calculation'!AC301</f>
        <v>Best 5</v>
      </c>
      <c r="G324" s="334" t="str">
        <f>入學要求!AB310</f>
        <v>v</v>
      </c>
      <c r="H324" s="334" t="str">
        <f>入學要求!AC310</f>
        <v>NO</v>
      </c>
      <c r="I324" s="334" t="str">
        <f>入學要求!AD310</f>
        <v>NO</v>
      </c>
      <c r="J324" s="391">
        <f t="shared" si="520"/>
        <v>3.4500000000000003E-9</v>
      </c>
      <c r="K324" s="496">
        <v>1</v>
      </c>
      <c r="L324" s="496">
        <v>1</v>
      </c>
      <c r="M324" s="496">
        <v>1.5</v>
      </c>
      <c r="N324" s="496"/>
      <c r="O324" s="496">
        <v>1</v>
      </c>
      <c r="P324" s="496">
        <v>1</v>
      </c>
      <c r="Q324" s="496">
        <v>1</v>
      </c>
      <c r="R324" s="496">
        <v>1</v>
      </c>
      <c r="S324" s="496">
        <v>1</v>
      </c>
      <c r="T324" s="496">
        <v>1</v>
      </c>
      <c r="U324" s="391"/>
      <c r="V324" s="391">
        <f t="shared" si="537"/>
        <v>1E-10</v>
      </c>
      <c r="W324" s="391">
        <f t="shared" si="538"/>
        <v>2.0000000000000001E-10</v>
      </c>
      <c r="X324" s="391">
        <f t="shared" si="539"/>
        <v>4.5E-10</v>
      </c>
      <c r="Y324" s="391"/>
      <c r="Z324" s="391">
        <f>IF($O$8&gt;$T$8,O$8*O324,0)</f>
        <v>5.0000000000000003E-10</v>
      </c>
      <c r="AA324" s="391">
        <f t="shared" si="545"/>
        <v>6E-10</v>
      </c>
      <c r="AB324" s="391">
        <f t="shared" si="546"/>
        <v>6.9999999999999996E-10</v>
      </c>
      <c r="AC324" s="391">
        <f t="shared" si="547"/>
        <v>8.0000000000000003E-10</v>
      </c>
      <c r="AD324" s="391">
        <f t="shared" si="548"/>
        <v>8.9999999999999999E-10</v>
      </c>
      <c r="AE324" s="391">
        <f t="shared" si="533"/>
        <v>0</v>
      </c>
      <c r="AF324" s="117">
        <f t="shared" si="521"/>
        <v>1E-10</v>
      </c>
      <c r="AG324" s="117">
        <f t="shared" si="522"/>
        <v>2.0000000000000001E-10</v>
      </c>
      <c r="AH324" s="117">
        <f t="shared" si="523"/>
        <v>99.000000000450001</v>
      </c>
      <c r="AI324" s="117">
        <f t="shared" si="524"/>
        <v>0</v>
      </c>
      <c r="AJ324" s="117">
        <f t="shared" si="525"/>
        <v>5.0000000000000003E-10</v>
      </c>
      <c r="AK324" s="117">
        <f t="shared" si="526"/>
        <v>6E-10</v>
      </c>
      <c r="AL324" s="117">
        <f t="shared" si="527"/>
        <v>6.9999999999999996E-10</v>
      </c>
      <c r="AM324" s="117">
        <f t="shared" si="528"/>
        <v>8.0000000000000003E-10</v>
      </c>
      <c r="AN324" s="117">
        <f t="shared" si="529"/>
        <v>8.9999999999999999E-10</v>
      </c>
      <c r="AO324" s="117">
        <f t="shared" si="530"/>
        <v>0</v>
      </c>
      <c r="AP324" s="495" t="b">
        <f t="shared" ref="AP324:AR325" si="549">IF($F324="Best 5", IF(AF324&gt;LARGE(($AF324:$AO324),6),TRUE), IF($F324="Best 6",IF(AF324&gt;LARGE(($AF324:$AO324),7),TRUE)))</f>
        <v>0</v>
      </c>
      <c r="AQ324" s="495" t="b">
        <f t="shared" si="549"/>
        <v>0</v>
      </c>
      <c r="AR324" s="495" t="b">
        <f t="shared" si="549"/>
        <v>1</v>
      </c>
      <c r="AS324" s="495"/>
      <c r="AT324" s="495" t="b">
        <f t="shared" ref="AT324:AY325" si="550">IF($F324="Best 5", IF(AJ324&gt;LARGE(($AF324:$AO324),6),TRUE), IF($F324="Best 6",IF(AJ324&gt;LARGE(($AF324:$AO324),7),TRUE)))</f>
        <v>0</v>
      </c>
      <c r="AU324" s="495" t="b">
        <f t="shared" si="550"/>
        <v>1</v>
      </c>
      <c r="AV324" s="495" t="b">
        <f t="shared" si="550"/>
        <v>1</v>
      </c>
      <c r="AW324" s="495" t="b">
        <f t="shared" si="550"/>
        <v>1</v>
      </c>
      <c r="AX324" s="495" t="b">
        <f t="shared" si="550"/>
        <v>1</v>
      </c>
      <c r="AY324" s="495" t="b">
        <f t="shared" si="550"/>
        <v>0</v>
      </c>
      <c r="BA324" s="334" t="str">
        <f>'Reference Score Calculation'!N301</f>
        <v>/</v>
      </c>
      <c r="BB324" s="334" t="str">
        <f>'Reference Score Calculation'!O301</f>
        <v>/</v>
      </c>
      <c r="BC324" s="334"/>
      <c r="BD324" s="334"/>
      <c r="BE324" s="334"/>
      <c r="BF324" s="334"/>
      <c r="BG324" s="334" t="s">
        <v>324</v>
      </c>
      <c r="BH324" s="334"/>
      <c r="BI324" s="334"/>
      <c r="BJ324" s="334" t="b">
        <v>1</v>
      </c>
      <c r="BK324" s="334"/>
      <c r="BL324" s="334"/>
      <c r="BM324" s="334"/>
      <c r="BN324" s="334"/>
      <c r="BO324" s="334"/>
      <c r="BP324" s="334"/>
      <c r="BQ324" s="334"/>
      <c r="BR324" s="334"/>
    </row>
    <row r="325" spans="1:97" s="384" customFormat="1">
      <c r="A325" s="117"/>
      <c r="B325" s="384" t="str">
        <f>'Reference Score Calculation'!B302</f>
        <v>JS6999</v>
      </c>
      <c r="C325" s="389" t="str">
        <f>'Reference Score Calculation'!E302</f>
        <v>計算與數據科學</v>
      </c>
      <c r="D325" s="334"/>
      <c r="E325" s="390" t="str">
        <f>'Reference Score Calculation'!F302</f>
        <v>25年新科目</v>
      </c>
      <c r="F325" s="404" t="str">
        <f>'Reference Score Calculation'!AC302</f>
        <v>Best 5</v>
      </c>
      <c r="G325" s="334" t="str">
        <f>入學要求!AB311</f>
        <v>v</v>
      </c>
      <c r="H325" s="334" t="str">
        <f>入學要求!AC311</f>
        <v>NO</v>
      </c>
      <c r="I325" s="334" t="str">
        <f>入學要求!AD311</f>
        <v>NO</v>
      </c>
      <c r="J325" s="391">
        <f t="shared" si="520"/>
        <v>3.2500000000000002E-9</v>
      </c>
      <c r="K325" s="496">
        <v>1</v>
      </c>
      <c r="L325" s="496">
        <v>1</v>
      </c>
      <c r="M325" s="496">
        <v>1.5</v>
      </c>
      <c r="N325" s="496"/>
      <c r="O325" s="496">
        <f t="shared" ref="O325:T325" si="551">IF(OR(O$1=$BZ$302,O$1=$CB$302),1.5,1)</f>
        <v>1.5</v>
      </c>
      <c r="P325" s="496">
        <f t="shared" si="551"/>
        <v>1.5</v>
      </c>
      <c r="Q325" s="496">
        <f t="shared" si="551"/>
        <v>1</v>
      </c>
      <c r="R325" s="496">
        <f t="shared" si="551"/>
        <v>1</v>
      </c>
      <c r="S325" s="496">
        <f t="shared" si="551"/>
        <v>1</v>
      </c>
      <c r="T325" s="496">
        <f t="shared" si="551"/>
        <v>1</v>
      </c>
      <c r="U325" s="391"/>
      <c r="V325" s="391">
        <f t="shared" si="537"/>
        <v>1E-10</v>
      </c>
      <c r="W325" s="391">
        <f t="shared" si="538"/>
        <v>2.0000000000000001E-10</v>
      </c>
      <c r="X325" s="391">
        <f t="shared" si="539"/>
        <v>4.5E-10</v>
      </c>
      <c r="Y325" s="391"/>
      <c r="Z325" s="391">
        <f>IF($O$8&gt;$T$8,O$8*O325,0)</f>
        <v>7.500000000000001E-10</v>
      </c>
      <c r="AA325" s="391">
        <f t="shared" si="545"/>
        <v>8.9999999999999999E-10</v>
      </c>
      <c r="AB325" s="391">
        <f t="shared" si="546"/>
        <v>6.9999999999999996E-10</v>
      </c>
      <c r="AC325" s="391">
        <f t="shared" si="547"/>
        <v>8.0000000000000003E-10</v>
      </c>
      <c r="AD325" s="391">
        <f t="shared" si="548"/>
        <v>8.9999999999999999E-10</v>
      </c>
      <c r="AE325" s="391">
        <f t="shared" si="533"/>
        <v>0</v>
      </c>
      <c r="AF325" s="117">
        <f t="shared" si="521"/>
        <v>1E-10</v>
      </c>
      <c r="AG325" s="117">
        <f t="shared" si="522"/>
        <v>99.000000000200004</v>
      </c>
      <c r="AH325" s="117">
        <f t="shared" si="523"/>
        <v>99.000000000450001</v>
      </c>
      <c r="AI325" s="117">
        <f t="shared" si="524"/>
        <v>0</v>
      </c>
      <c r="AJ325" s="117">
        <f t="shared" si="525"/>
        <v>7.500000000000001E-10</v>
      </c>
      <c r="AK325" s="117">
        <f t="shared" si="526"/>
        <v>8.9999999999999999E-10</v>
      </c>
      <c r="AL325" s="117">
        <f t="shared" si="527"/>
        <v>6.9999999999999996E-10</v>
      </c>
      <c r="AM325" s="117">
        <f t="shared" si="528"/>
        <v>8.0000000000000003E-10</v>
      </c>
      <c r="AN325" s="117">
        <f t="shared" si="529"/>
        <v>8.9999999999999999E-10</v>
      </c>
      <c r="AO325" s="117">
        <f t="shared" si="530"/>
        <v>0</v>
      </c>
      <c r="AP325" s="495" t="b">
        <f t="shared" si="549"/>
        <v>0</v>
      </c>
      <c r="AQ325" s="495" t="b">
        <f t="shared" si="549"/>
        <v>1</v>
      </c>
      <c r="AR325" s="495" t="b">
        <f t="shared" si="549"/>
        <v>1</v>
      </c>
      <c r="AS325" s="495"/>
      <c r="AT325" s="495" t="b">
        <f t="shared" si="550"/>
        <v>0</v>
      </c>
      <c r="AU325" s="495" t="b">
        <f t="shared" si="550"/>
        <v>1</v>
      </c>
      <c r="AV325" s="495" t="b">
        <f t="shared" si="550"/>
        <v>0</v>
      </c>
      <c r="AW325" s="495" t="b">
        <f t="shared" si="550"/>
        <v>1</v>
      </c>
      <c r="AX325" s="495" t="b">
        <f t="shared" si="550"/>
        <v>1</v>
      </c>
      <c r="AY325" s="495" t="b">
        <f t="shared" si="550"/>
        <v>0</v>
      </c>
      <c r="BA325" s="334" t="str">
        <f>'Reference Score Calculation'!N302</f>
        <v>/</v>
      </c>
      <c r="BB325" s="334" t="str">
        <f>'Reference Score Calculation'!O302</f>
        <v>/</v>
      </c>
      <c r="BC325" s="334"/>
      <c r="BD325" s="334"/>
      <c r="BE325" s="334"/>
      <c r="BF325" s="334"/>
      <c r="BG325" s="334" t="s">
        <v>324</v>
      </c>
      <c r="BH325" s="334"/>
      <c r="BI325" s="334" t="b">
        <v>1</v>
      </c>
      <c r="BJ325" s="334" t="b">
        <v>1</v>
      </c>
      <c r="BK325" s="334"/>
      <c r="BL325" s="334"/>
      <c r="BM325" s="334"/>
      <c r="BN325" s="334"/>
      <c r="BO325" s="334"/>
      <c r="BP325" s="334"/>
      <c r="BQ325" s="334"/>
      <c r="BR325" s="334"/>
    </row>
    <row r="326" spans="1:97" s="384" customFormat="1">
      <c r="A326" s="117"/>
      <c r="B326" s="384" t="str">
        <f>'Reference Score Calculation'!B303</f>
        <v>JS6224</v>
      </c>
      <c r="C326" s="389" t="str">
        <f>'Reference Score Calculation'!E303</f>
        <v>文理學士(應用人工智能)</v>
      </c>
      <c r="D326" s="334"/>
      <c r="E326" s="390" t="str">
        <f>'Reference Score Calculation'!F303</f>
        <v>Best 5</v>
      </c>
      <c r="F326" s="404" t="str">
        <f>'Reference Score Calculation'!AC303</f>
        <v>Best 5</v>
      </c>
      <c r="G326" s="334" t="str">
        <f>入學要求!AB312</f>
        <v>v</v>
      </c>
      <c r="H326" s="334" t="str">
        <f>入學要求!AC312</f>
        <v>NO</v>
      </c>
      <c r="I326" s="334" t="str">
        <f>入學要求!AD312</f>
        <v>NO</v>
      </c>
      <c r="J326" s="391">
        <f t="shared" si="520"/>
        <v>3.7E-9</v>
      </c>
      <c r="K326" s="489">
        <v>1</v>
      </c>
      <c r="L326" s="489">
        <v>2</v>
      </c>
      <c r="M326" s="489">
        <v>2</v>
      </c>
      <c r="N326" s="489"/>
      <c r="O326" s="489">
        <v>2</v>
      </c>
      <c r="P326" s="489">
        <f>IF(OR(P$1="化學",P$1="生物",P$1="物理",P$1="資訊及通訊科技"),1.5,1)</f>
        <v>1</v>
      </c>
      <c r="Q326" s="489">
        <f t="shared" ref="Q326:S326" si="552">IF(OR(Q$1="化學",Q$1="生物",Q$1="物理",Q$1="資訊及通訊科技"),1.5,1)</f>
        <v>1</v>
      </c>
      <c r="R326" s="489">
        <f t="shared" si="552"/>
        <v>1</v>
      </c>
      <c r="S326" s="489">
        <f t="shared" si="552"/>
        <v>1</v>
      </c>
      <c r="T326" s="489">
        <f>IF(OR(T$1="化學",T$1="生物",T$1="組合科學(物理、化學)",T$1="組合科學(生物、化學)",T$1="組合科學(物理、生物)",T$1="物理",T$1="綜合科學",T$1="資訊及通訊科技"),1.5,1)</f>
        <v>1</v>
      </c>
      <c r="U326" s="398"/>
      <c r="V326" s="391">
        <f t="shared" si="537"/>
        <v>1E-10</v>
      </c>
      <c r="W326" s="391">
        <f t="shared" si="538"/>
        <v>4.0000000000000001E-10</v>
      </c>
      <c r="X326" s="391">
        <f t="shared" si="539"/>
        <v>6E-10</v>
      </c>
      <c r="Y326" s="391"/>
      <c r="Z326" s="391">
        <f>O$8*O326</f>
        <v>1.0000000000000001E-9</v>
      </c>
      <c r="AA326" s="391">
        <f t="shared" si="545"/>
        <v>6E-10</v>
      </c>
      <c r="AB326" s="391">
        <f t="shared" si="546"/>
        <v>6.9999999999999996E-10</v>
      </c>
      <c r="AC326" s="391">
        <f t="shared" si="547"/>
        <v>8.0000000000000003E-10</v>
      </c>
      <c r="AD326" s="391">
        <f t="shared" si="548"/>
        <v>8.9999999999999999E-10</v>
      </c>
      <c r="AE326" s="391">
        <f t="shared" si="533"/>
        <v>0</v>
      </c>
      <c r="AF326" s="117">
        <f t="shared" si="521"/>
        <v>1E-10</v>
      </c>
      <c r="AG326" s="117">
        <f t="shared" si="522"/>
        <v>99.000000000399993</v>
      </c>
      <c r="AH326" s="117">
        <f t="shared" si="523"/>
        <v>99.000000000599996</v>
      </c>
      <c r="AI326" s="117">
        <f t="shared" si="524"/>
        <v>0</v>
      </c>
      <c r="AJ326" s="117">
        <f t="shared" si="525"/>
        <v>99.000000001000004</v>
      </c>
      <c r="AK326" s="117">
        <f t="shared" si="526"/>
        <v>6E-10</v>
      </c>
      <c r="AL326" s="117">
        <f t="shared" si="527"/>
        <v>6.9999999999999996E-10</v>
      </c>
      <c r="AM326" s="117">
        <f t="shared" si="528"/>
        <v>8.0000000000000003E-10</v>
      </c>
      <c r="AN326" s="117">
        <f t="shared" si="529"/>
        <v>8.9999999999999999E-10</v>
      </c>
      <c r="AO326" s="117">
        <f t="shared" si="530"/>
        <v>0</v>
      </c>
      <c r="AP326" s="391" t="b">
        <f t="shared" ref="AP326:AR329" si="553">IF($E326="Best 5", IF(AF326&gt;LARGE(($AF326:$AO326),6),TRUE), IF($E326="Best 6",IF(AF326&gt;LARGE(($AF326:$AO326),7),TRUE)))</f>
        <v>0</v>
      </c>
      <c r="AQ326" s="391" t="b">
        <f t="shared" si="553"/>
        <v>1</v>
      </c>
      <c r="AR326" s="391" t="b">
        <f t="shared" si="553"/>
        <v>1</v>
      </c>
      <c r="AS326" s="391"/>
      <c r="AT326" s="391" t="b">
        <f t="shared" ref="AT326:AY329" si="554">IF($E326="Best 5", IF(AJ326&gt;LARGE(($AF326:$AO326),6),TRUE), IF($E326="Best 6",IF(AJ326&gt;LARGE(($AF326:$AO326),7),TRUE)))</f>
        <v>1</v>
      </c>
      <c r="AU326" s="391" t="b">
        <f t="shared" si="554"/>
        <v>0</v>
      </c>
      <c r="AV326" s="391" t="b">
        <f t="shared" si="554"/>
        <v>0</v>
      </c>
      <c r="AW326" s="391" t="b">
        <f t="shared" si="554"/>
        <v>1</v>
      </c>
      <c r="AX326" s="391" t="b">
        <f t="shared" si="554"/>
        <v>1</v>
      </c>
      <c r="AY326" s="391" t="b">
        <f t="shared" si="554"/>
        <v>0</v>
      </c>
      <c r="BA326" s="334" t="str">
        <f>'Reference Score Calculation'!N303</f>
        <v>最佳五科必須包括︰英文、數學、M1/2</v>
      </c>
      <c r="BB326" s="334" t="str">
        <f>'Reference Score Calculation'!O303</f>
        <v>/</v>
      </c>
      <c r="BC326" s="334"/>
      <c r="BD326" s="334"/>
      <c r="BE326" s="334"/>
      <c r="BF326" s="334"/>
      <c r="BG326" s="334" t="s">
        <v>324</v>
      </c>
      <c r="BH326" s="334"/>
      <c r="BI326" s="334" t="b">
        <v>1</v>
      </c>
      <c r="BJ326" s="334" t="b">
        <v>1</v>
      </c>
      <c r="BK326" s="334"/>
      <c r="BL326" s="334" t="b">
        <v>1</v>
      </c>
      <c r="BM326" s="334"/>
      <c r="BN326" s="334"/>
      <c r="BO326" s="334"/>
      <c r="BP326" s="334"/>
      <c r="BQ326" s="334"/>
      <c r="BR326" s="334"/>
    </row>
    <row r="327" spans="1:97" s="384" customFormat="1">
      <c r="A327" s="117"/>
      <c r="B327" s="384" t="str">
        <f>'Reference Score Calculation'!B304</f>
        <v>JS6236</v>
      </c>
      <c r="C327" s="389" t="str">
        <f>'Reference Score Calculation'!E304</f>
        <v>文理學士(設計＋)</v>
      </c>
      <c r="D327" s="334"/>
      <c r="E327" s="390" t="str">
        <f>'Reference Score Calculation'!F304</f>
        <v>Best 5</v>
      </c>
      <c r="F327" s="404" t="str">
        <f>'Reference Score Calculation'!AC304</f>
        <v>Best 5</v>
      </c>
      <c r="G327" s="334" t="str">
        <f>入學要求!AB313</f>
        <v>v</v>
      </c>
      <c r="H327" s="334" t="str">
        <f>入學要求!AC313</f>
        <v>E</v>
      </c>
      <c r="I327" s="334" t="str">
        <f>入學要求!AD313</f>
        <v>NO</v>
      </c>
      <c r="J327" s="391">
        <f t="shared" si="520"/>
        <v>3.4999999999999999E-9</v>
      </c>
      <c r="K327" s="489">
        <v>1</v>
      </c>
      <c r="L327" s="489">
        <v>1</v>
      </c>
      <c r="M327" s="489">
        <v>1</v>
      </c>
      <c r="N327" s="489"/>
      <c r="O327" s="489">
        <v>1</v>
      </c>
      <c r="P327" s="489">
        <v>1</v>
      </c>
      <c r="Q327" s="489">
        <v>1</v>
      </c>
      <c r="R327" s="489">
        <v>1</v>
      </c>
      <c r="S327" s="489">
        <v>1</v>
      </c>
      <c r="T327" s="489">
        <v>1</v>
      </c>
      <c r="U327" s="398"/>
      <c r="V327" s="391">
        <f t="shared" si="537"/>
        <v>1E-10</v>
      </c>
      <c r="W327" s="391">
        <f t="shared" si="538"/>
        <v>2.0000000000000001E-10</v>
      </c>
      <c r="X327" s="391">
        <f t="shared" si="539"/>
        <v>3E-10</v>
      </c>
      <c r="Y327" s="391"/>
      <c r="Z327" s="391">
        <f>IF($O$8&gt;$T$8,O$8*O327,0)</f>
        <v>5.0000000000000003E-10</v>
      </c>
      <c r="AA327" s="391">
        <f t="shared" si="545"/>
        <v>6E-10</v>
      </c>
      <c r="AB327" s="391">
        <f t="shared" si="546"/>
        <v>6.9999999999999996E-10</v>
      </c>
      <c r="AC327" s="391">
        <f t="shared" si="547"/>
        <v>8.0000000000000003E-10</v>
      </c>
      <c r="AD327" s="391">
        <f t="shared" si="548"/>
        <v>8.9999999999999999E-10</v>
      </c>
      <c r="AE327" s="391">
        <f t="shared" si="533"/>
        <v>0</v>
      </c>
      <c r="AF327" s="117">
        <f t="shared" si="521"/>
        <v>1E-10</v>
      </c>
      <c r="AG327" s="117">
        <f t="shared" si="522"/>
        <v>2.0000000000000001E-10</v>
      </c>
      <c r="AH327" s="117">
        <f t="shared" si="523"/>
        <v>3E-10</v>
      </c>
      <c r="AI327" s="117">
        <f t="shared" si="524"/>
        <v>0</v>
      </c>
      <c r="AJ327" s="117">
        <f t="shared" si="525"/>
        <v>5.0000000000000003E-10</v>
      </c>
      <c r="AK327" s="117">
        <f t="shared" si="526"/>
        <v>6E-10</v>
      </c>
      <c r="AL327" s="117">
        <f t="shared" si="527"/>
        <v>6.9999999999999996E-10</v>
      </c>
      <c r="AM327" s="117">
        <f t="shared" si="528"/>
        <v>8.0000000000000003E-10</v>
      </c>
      <c r="AN327" s="117">
        <f t="shared" si="529"/>
        <v>8.9999999999999999E-10</v>
      </c>
      <c r="AO327" s="117">
        <f t="shared" si="530"/>
        <v>0</v>
      </c>
      <c r="AP327" s="391" t="b">
        <f t="shared" si="553"/>
        <v>0</v>
      </c>
      <c r="AQ327" s="391" t="b">
        <f t="shared" si="553"/>
        <v>0</v>
      </c>
      <c r="AR327" s="391" t="b">
        <f t="shared" si="553"/>
        <v>0</v>
      </c>
      <c r="AS327" s="391"/>
      <c r="AT327" s="391" t="b">
        <f t="shared" si="554"/>
        <v>1</v>
      </c>
      <c r="AU327" s="391" t="b">
        <f t="shared" si="554"/>
        <v>1</v>
      </c>
      <c r="AV327" s="391" t="b">
        <f t="shared" si="554"/>
        <v>1</v>
      </c>
      <c r="AW327" s="391" t="b">
        <f t="shared" si="554"/>
        <v>1</v>
      </c>
      <c r="AX327" s="391" t="b">
        <f t="shared" si="554"/>
        <v>1</v>
      </c>
      <c r="AY327" s="391" t="b">
        <f t="shared" si="554"/>
        <v>0</v>
      </c>
      <c r="BA327" s="334" t="str">
        <f>'Reference Score Calculation'!N304</f>
        <v>可包含 M1/2 或丙類科目 (較高者) 於計算內</v>
      </c>
      <c r="BB327" s="334" t="str">
        <f>'Reference Score Calculation'!O304</f>
        <v>/</v>
      </c>
      <c r="BC327" s="334"/>
      <c r="BD327" s="334"/>
      <c r="BE327" s="334"/>
      <c r="BF327" s="334"/>
      <c r="BG327" s="334" t="s">
        <v>324</v>
      </c>
      <c r="BH327" s="334"/>
      <c r="BI327" s="334"/>
      <c r="BJ327" s="334"/>
      <c r="BK327" s="334"/>
      <c r="BL327" s="334"/>
      <c r="BM327" s="334"/>
      <c r="BN327" s="334"/>
      <c r="BO327" s="334"/>
      <c r="BP327" s="334"/>
      <c r="BQ327" s="334"/>
      <c r="BR327" s="334"/>
    </row>
    <row r="328" spans="1:97" s="384" customFormat="1">
      <c r="A328" s="117"/>
      <c r="B328" s="384" t="str">
        <f>'Reference Score Calculation'!B305</f>
        <v>JS6248</v>
      </c>
      <c r="C328" s="389" t="str">
        <f>'Reference Score Calculation'!E305</f>
        <v>文理學士(金融科技)</v>
      </c>
      <c r="D328" s="334"/>
      <c r="E328" s="390" t="str">
        <f>'Reference Score Calculation'!F305</f>
        <v>Best 5</v>
      </c>
      <c r="F328" s="404" t="str">
        <f>'Reference Score Calculation'!AC305</f>
        <v>Best 5</v>
      </c>
      <c r="G328" s="334" t="str">
        <f>入學要求!AB314</f>
        <v>v</v>
      </c>
      <c r="H328" s="334" t="str">
        <f>入學要求!AC314</f>
        <v>E</v>
      </c>
      <c r="I328" s="334" t="str">
        <f>入學要求!AD314</f>
        <v>NO</v>
      </c>
      <c r="J328" s="391">
        <f t="shared" si="520"/>
        <v>2.9000000000000003E-9</v>
      </c>
      <c r="K328" s="489">
        <v>1</v>
      </c>
      <c r="L328" s="489">
        <v>1</v>
      </c>
      <c r="M328" s="489">
        <v>1</v>
      </c>
      <c r="N328" s="489"/>
      <c r="O328" s="489">
        <v>1</v>
      </c>
      <c r="P328" s="489">
        <v>1</v>
      </c>
      <c r="Q328" s="489">
        <v>1</v>
      </c>
      <c r="R328" s="489">
        <v>1</v>
      </c>
      <c r="S328" s="489">
        <v>1</v>
      </c>
      <c r="T328" s="489">
        <v>1</v>
      </c>
      <c r="U328" s="398"/>
      <c r="V328" s="391">
        <f t="shared" si="537"/>
        <v>1E-10</v>
      </c>
      <c r="W328" s="391">
        <f t="shared" si="538"/>
        <v>2.0000000000000001E-10</v>
      </c>
      <c r="X328" s="391">
        <f t="shared" si="539"/>
        <v>3E-10</v>
      </c>
      <c r="Y328" s="391"/>
      <c r="Z328" s="391">
        <f>O$8*O328</f>
        <v>5.0000000000000003E-10</v>
      </c>
      <c r="AA328" s="391">
        <f t="shared" si="545"/>
        <v>6E-10</v>
      </c>
      <c r="AB328" s="391">
        <f t="shared" si="546"/>
        <v>6.9999999999999996E-10</v>
      </c>
      <c r="AC328" s="391">
        <f t="shared" si="547"/>
        <v>8.0000000000000003E-10</v>
      </c>
      <c r="AD328" s="391">
        <f t="shared" si="548"/>
        <v>8.9999999999999999E-10</v>
      </c>
      <c r="AE328" s="391">
        <f>IF(H328="E",$T$8*T328,0)</f>
        <v>0</v>
      </c>
      <c r="AF328" s="117">
        <f t="shared" si="521"/>
        <v>1E-10</v>
      </c>
      <c r="AG328" s="117">
        <f t="shared" si="522"/>
        <v>99.000000000200004</v>
      </c>
      <c r="AH328" s="117">
        <f t="shared" si="523"/>
        <v>99.000000000300005</v>
      </c>
      <c r="AI328" s="117">
        <f t="shared" si="524"/>
        <v>0</v>
      </c>
      <c r="AJ328" s="117">
        <f t="shared" si="525"/>
        <v>5.0000000000000003E-10</v>
      </c>
      <c r="AK328" s="117">
        <f t="shared" si="526"/>
        <v>6E-10</v>
      </c>
      <c r="AL328" s="117">
        <f t="shared" si="527"/>
        <v>6.9999999999999996E-10</v>
      </c>
      <c r="AM328" s="117">
        <f t="shared" si="528"/>
        <v>8.0000000000000003E-10</v>
      </c>
      <c r="AN328" s="117">
        <f t="shared" si="529"/>
        <v>8.9999999999999999E-10</v>
      </c>
      <c r="AO328" s="117">
        <f t="shared" si="530"/>
        <v>0</v>
      </c>
      <c r="AP328" s="391" t="b">
        <f t="shared" si="553"/>
        <v>0</v>
      </c>
      <c r="AQ328" s="391" t="b">
        <f t="shared" si="553"/>
        <v>1</v>
      </c>
      <c r="AR328" s="391" t="b">
        <f t="shared" si="553"/>
        <v>1</v>
      </c>
      <c r="AS328" s="391"/>
      <c r="AT328" s="391" t="b">
        <f t="shared" si="554"/>
        <v>0</v>
      </c>
      <c r="AU328" s="391" t="b">
        <f t="shared" si="554"/>
        <v>0</v>
      </c>
      <c r="AV328" s="391" t="b">
        <f t="shared" si="554"/>
        <v>1</v>
      </c>
      <c r="AW328" s="391" t="b">
        <f t="shared" si="554"/>
        <v>1</v>
      </c>
      <c r="AX328" s="391" t="b">
        <f t="shared" si="554"/>
        <v>1</v>
      </c>
      <c r="AY328" s="391" t="b">
        <f t="shared" si="554"/>
        <v>0</v>
      </c>
      <c r="BA328" s="334" t="str">
        <f>'Reference Score Calculation'!N305</f>
        <v>最佳五科必須包括︰英文、數學</v>
      </c>
      <c r="BB328" s="334" t="str">
        <f>'Reference Score Calculation'!O305</f>
        <v>可包含 M1/2 或丙類科目於計算內</v>
      </c>
      <c r="BC328" s="334"/>
      <c r="BD328" s="334"/>
      <c r="BE328" s="334"/>
      <c r="BF328" s="334"/>
      <c r="BG328" s="334" t="s">
        <v>324</v>
      </c>
      <c r="BH328" s="334"/>
      <c r="BI328" s="334" t="b">
        <v>1</v>
      </c>
      <c r="BJ328" s="334" t="b">
        <v>1</v>
      </c>
      <c r="BK328" s="334"/>
      <c r="BL328" s="334"/>
      <c r="BM328" s="334"/>
      <c r="BN328" s="334"/>
      <c r="BO328" s="334"/>
      <c r="BP328" s="334"/>
      <c r="BQ328" s="334"/>
      <c r="BR328" s="334"/>
    </row>
    <row r="329" spans="1:97" s="384" customFormat="1">
      <c r="A329" s="117"/>
      <c r="B329" s="384" t="str">
        <f>'Reference Score Calculation'!B306</f>
        <v>JS6250</v>
      </c>
      <c r="C329" s="389" t="str">
        <f>'Reference Score Calculation'!E306</f>
        <v>文理學士(環球衞生及發展)</v>
      </c>
      <c r="D329" s="334"/>
      <c r="E329" s="390" t="str">
        <f>'Reference Score Calculation'!F306</f>
        <v>Best 5</v>
      </c>
      <c r="F329" s="404" t="str">
        <f>'Reference Score Calculation'!AC306</f>
        <v>Best 5</v>
      </c>
      <c r="G329" s="334" t="str">
        <f>入學要求!AB315</f>
        <v>v</v>
      </c>
      <c r="H329" s="334" t="str">
        <f>入學要求!AC315</f>
        <v>E</v>
      </c>
      <c r="I329" s="334" t="str">
        <f>入學要求!AD315</f>
        <v>NO</v>
      </c>
      <c r="J329" s="391">
        <f t="shared" si="520"/>
        <v>3.4999999999999999E-9</v>
      </c>
      <c r="K329" s="489">
        <v>1</v>
      </c>
      <c r="L329" s="489">
        <v>1</v>
      </c>
      <c r="M329" s="489">
        <v>1</v>
      </c>
      <c r="N329" s="489"/>
      <c r="O329" s="489">
        <v>1</v>
      </c>
      <c r="P329" s="489">
        <v>1</v>
      </c>
      <c r="Q329" s="489">
        <v>1</v>
      </c>
      <c r="R329" s="489">
        <v>1</v>
      </c>
      <c r="S329" s="489">
        <v>1</v>
      </c>
      <c r="T329" s="489">
        <v>1</v>
      </c>
      <c r="U329" s="398"/>
      <c r="V329" s="391">
        <f t="shared" si="537"/>
        <v>1E-10</v>
      </c>
      <c r="W329" s="391">
        <f t="shared" si="538"/>
        <v>2.0000000000000001E-10</v>
      </c>
      <c r="X329" s="391">
        <f t="shared" si="539"/>
        <v>3E-10</v>
      </c>
      <c r="Y329" s="391"/>
      <c r="Z329" s="391">
        <f>IF($O$8&gt;$T$8,O$8*O329,0)</f>
        <v>5.0000000000000003E-10</v>
      </c>
      <c r="AA329" s="391">
        <f t="shared" si="545"/>
        <v>6E-10</v>
      </c>
      <c r="AB329" s="391">
        <f t="shared" si="546"/>
        <v>6.9999999999999996E-10</v>
      </c>
      <c r="AC329" s="391">
        <f t="shared" si="547"/>
        <v>8.0000000000000003E-10</v>
      </c>
      <c r="AD329" s="391">
        <f t="shared" si="548"/>
        <v>8.9999999999999999E-10</v>
      </c>
      <c r="AE329" s="391">
        <f>IF(H329="E",IF($T$8 &gt; $O$8,$T$8*T329,0),0)</f>
        <v>0</v>
      </c>
      <c r="AF329" s="117">
        <f t="shared" si="521"/>
        <v>1E-10</v>
      </c>
      <c r="AG329" s="117">
        <f t="shared" si="522"/>
        <v>2.0000000000000001E-10</v>
      </c>
      <c r="AH329" s="117">
        <f t="shared" si="523"/>
        <v>3E-10</v>
      </c>
      <c r="AI329" s="117">
        <f t="shared" si="524"/>
        <v>0</v>
      </c>
      <c r="AJ329" s="117">
        <f t="shared" si="525"/>
        <v>5.0000000000000003E-10</v>
      </c>
      <c r="AK329" s="117">
        <f t="shared" si="526"/>
        <v>6E-10</v>
      </c>
      <c r="AL329" s="117">
        <f t="shared" si="527"/>
        <v>6.9999999999999996E-10</v>
      </c>
      <c r="AM329" s="117">
        <f t="shared" si="528"/>
        <v>8.0000000000000003E-10</v>
      </c>
      <c r="AN329" s="117">
        <f t="shared" si="529"/>
        <v>8.9999999999999999E-10</v>
      </c>
      <c r="AO329" s="117">
        <f t="shared" si="530"/>
        <v>0</v>
      </c>
      <c r="AP329" s="391" t="b">
        <f t="shared" si="553"/>
        <v>0</v>
      </c>
      <c r="AQ329" s="391" t="b">
        <f t="shared" si="553"/>
        <v>0</v>
      </c>
      <c r="AR329" s="391" t="b">
        <f t="shared" si="553"/>
        <v>0</v>
      </c>
      <c r="AS329" s="391"/>
      <c r="AT329" s="391" t="b">
        <f t="shared" si="554"/>
        <v>1</v>
      </c>
      <c r="AU329" s="391" t="b">
        <f t="shared" si="554"/>
        <v>1</v>
      </c>
      <c r="AV329" s="391" t="b">
        <f t="shared" si="554"/>
        <v>1</v>
      </c>
      <c r="AW329" s="391" t="b">
        <f t="shared" si="554"/>
        <v>1</v>
      </c>
      <c r="AX329" s="391" t="b">
        <f t="shared" si="554"/>
        <v>1</v>
      </c>
      <c r="AY329" s="391" t="b">
        <f t="shared" si="554"/>
        <v>0</v>
      </c>
      <c r="BA329" s="334" t="str">
        <f>'Reference Score Calculation'!N306</f>
        <v>可包含 M1/2 或丙類科目 (較高者) 於計算內</v>
      </c>
      <c r="BB329" s="334" t="str">
        <f>'Reference Score Calculation'!O306</f>
        <v>/</v>
      </c>
      <c r="BC329" s="334"/>
      <c r="BD329" s="334"/>
      <c r="BE329" s="334"/>
      <c r="BF329" s="334"/>
      <c r="BG329" s="334" t="s">
        <v>324</v>
      </c>
      <c r="BH329" s="334"/>
      <c r="BI329" s="334"/>
      <c r="BJ329" s="334"/>
      <c r="BK329" s="334"/>
      <c r="BL329" s="334"/>
      <c r="BM329" s="334"/>
      <c r="BN329" s="334"/>
      <c r="BO329" s="334"/>
      <c r="BP329" s="334"/>
      <c r="BQ329" s="334"/>
      <c r="BR329" s="334"/>
    </row>
    <row r="330" spans="1:97" s="384" customFormat="1">
      <c r="A330" s="117"/>
      <c r="B330" s="384" t="str">
        <f>'Reference Score Calculation'!B307</f>
        <v>JS6602</v>
      </c>
      <c r="C330" s="389" t="str">
        <f>'Reference Score Calculation'!E307</f>
        <v>理學士(創新與科技)</v>
      </c>
      <c r="D330" s="334"/>
      <c r="E330" s="390" t="str">
        <f>'Reference Score Calculation'!F307</f>
        <v>25年新科目</v>
      </c>
      <c r="F330" s="404" t="str">
        <f>'Reference Score Calculation'!AC307</f>
        <v>Best 6</v>
      </c>
      <c r="G330" s="334" t="str">
        <f>入學要求!AB316</f>
        <v>v</v>
      </c>
      <c r="H330" s="334" t="str">
        <f>入學要求!AC316</f>
        <v>E</v>
      </c>
      <c r="I330" s="334" t="str">
        <f>入學要求!AD316</f>
        <v>NO</v>
      </c>
      <c r="J330" s="391">
        <f t="shared" si="520"/>
        <v>5.6000000000000005E-9</v>
      </c>
      <c r="K330" s="489">
        <v>1.5</v>
      </c>
      <c r="L330" s="489">
        <v>2</v>
      </c>
      <c r="M330" s="489">
        <v>2</v>
      </c>
      <c r="N330" s="489"/>
      <c r="O330" s="489">
        <v>2</v>
      </c>
      <c r="P330" s="489">
        <f>IF(OR(P$1="化學",P$1="生物",P$1="組合科學(物理、化學)",P$1="組合科學(生物、化學)",P$1="組合科學(物理、生物)",P$1="物理",P$1="綜合科學",P$1="科技與生活",P$1="設計與應用科技",P$1="資訊及通訊科技"),2,1.5)</f>
        <v>1.5</v>
      </c>
      <c r="Q330" s="489">
        <f t="shared" ref="Q330:S330" si="555">IF(OR(Q$1="化學",Q$1="生物",Q$1="組合科學(物理、化學)",Q$1="組合科學(生物、化學)",Q$1="組合科學(物理、生物)",Q$1="物理",Q$1="綜合科學",Q$1="科技與生活",Q$1="設計與應用科技",Q$1="資訊及通訊科技"),2,1.5)</f>
        <v>1.5</v>
      </c>
      <c r="R330" s="489">
        <f t="shared" si="555"/>
        <v>1.5</v>
      </c>
      <c r="S330" s="489">
        <f t="shared" si="555"/>
        <v>1.5</v>
      </c>
      <c r="T330" s="489">
        <v>1.5</v>
      </c>
      <c r="U330" s="398"/>
      <c r="V330" s="391">
        <f t="shared" si="537"/>
        <v>1.5E-10</v>
      </c>
      <c r="W330" s="391">
        <f t="shared" si="538"/>
        <v>4.0000000000000001E-10</v>
      </c>
      <c r="X330" s="391">
        <f t="shared" si="539"/>
        <v>6E-10</v>
      </c>
      <c r="Y330" s="391"/>
      <c r="Z330" s="391">
        <f>IF($O$8&gt;$T$8,O$8*O330,0)</f>
        <v>1.0000000000000001E-9</v>
      </c>
      <c r="AA330" s="391">
        <f t="shared" si="545"/>
        <v>8.9999999999999999E-10</v>
      </c>
      <c r="AB330" s="391">
        <f t="shared" si="546"/>
        <v>1.0499999999999999E-9</v>
      </c>
      <c r="AC330" s="391">
        <f t="shared" si="547"/>
        <v>1.2E-9</v>
      </c>
      <c r="AD330" s="391">
        <f t="shared" si="548"/>
        <v>1.3500000000000001E-9</v>
      </c>
      <c r="AE330" s="391">
        <f>IF(H330="E",IF($T$8 &gt; $O$8,$T$8*T330,0),0)</f>
        <v>0</v>
      </c>
      <c r="AF330" s="117">
        <f t="shared" si="521"/>
        <v>1.5E-10</v>
      </c>
      <c r="AG330" s="117">
        <f t="shared" si="522"/>
        <v>99.000000000399993</v>
      </c>
      <c r="AH330" s="117">
        <f t="shared" si="523"/>
        <v>99.000000000599996</v>
      </c>
      <c r="AI330" s="117">
        <f t="shared" si="524"/>
        <v>0</v>
      </c>
      <c r="AJ330" s="117">
        <f t="shared" si="525"/>
        <v>1.0000000000000001E-9</v>
      </c>
      <c r="AK330" s="117">
        <f t="shared" si="526"/>
        <v>8.9999999999999999E-10</v>
      </c>
      <c r="AL330" s="117">
        <f t="shared" si="527"/>
        <v>1.0499999999999999E-9</v>
      </c>
      <c r="AM330" s="117">
        <f t="shared" si="528"/>
        <v>1.2E-9</v>
      </c>
      <c r="AN330" s="117">
        <f t="shared" si="529"/>
        <v>1.3500000000000001E-9</v>
      </c>
      <c r="AO330" s="117">
        <f t="shared" si="530"/>
        <v>0</v>
      </c>
      <c r="AP330" s="495" t="b">
        <f>IF($F330="Best 5", IF(AF330&gt;LARGE(($AF330:$AO330),6),TRUE), IF($F330="Best 6",IF(AF330&gt;LARGE(($AF330:$AO330),7),TRUE)))</f>
        <v>0</v>
      </c>
      <c r="AQ330" s="495" t="b">
        <f>IF($F330="Best 5", IF(AG330&gt;LARGE(($AF330:$AO330),6),TRUE), IF($F330="Best 6",IF(AG330&gt;LARGE(($AF330:$AO330),7),TRUE)))</f>
        <v>1</v>
      </c>
      <c r="AR330" s="495" t="b">
        <f>IF($F330="Best 5", IF(AH330&gt;LARGE(($AF330:$AO330),6),TRUE), IF($F330="Best 6",IF(AH330&gt;LARGE(($AF330:$AO330),7),TRUE)))</f>
        <v>1</v>
      </c>
      <c r="AS330" s="495"/>
      <c r="AT330" s="495" t="b">
        <f t="shared" ref="AT330:AY330" si="556">IF($F330="Best 5", IF(AJ330&gt;LARGE(($AF330:$AO330),6),TRUE), IF($F330="Best 6",IF(AJ330&gt;LARGE(($AF330:$AO330),7),TRUE)))</f>
        <v>1</v>
      </c>
      <c r="AU330" s="495" t="b">
        <f t="shared" si="556"/>
        <v>0</v>
      </c>
      <c r="AV330" s="495" t="b">
        <f t="shared" si="556"/>
        <v>1</v>
      </c>
      <c r="AW330" s="495" t="b">
        <f t="shared" si="556"/>
        <v>1</v>
      </c>
      <c r="AX330" s="495" t="b">
        <f t="shared" si="556"/>
        <v>1</v>
      </c>
      <c r="AY330" s="495" t="b">
        <f t="shared" si="556"/>
        <v>0</v>
      </c>
      <c r="BA330" s="334" t="str">
        <f>'Reference Score Calculation'!N307</f>
        <v>/</v>
      </c>
      <c r="BB330" s="334" t="str">
        <f>'Reference Score Calculation'!O307</f>
        <v>/</v>
      </c>
      <c r="BC330" s="334"/>
      <c r="BD330" s="334"/>
      <c r="BE330" s="334"/>
      <c r="BF330" s="334"/>
      <c r="BG330" s="334" t="s">
        <v>324</v>
      </c>
      <c r="BH330" s="334"/>
      <c r="BI330" s="334" t="b">
        <v>1</v>
      </c>
      <c r="BJ330" s="334" t="b">
        <v>1</v>
      </c>
      <c r="BK330" s="334"/>
      <c r="BL330" s="334"/>
      <c r="BM330" s="334"/>
      <c r="BN330" s="334"/>
      <c r="BO330" s="334"/>
      <c r="BP330" s="334"/>
      <c r="BQ330" s="334"/>
      <c r="BR330" s="334"/>
    </row>
    <row r="331" spans="1:97" s="384" customFormat="1">
      <c r="A331" s="117"/>
      <c r="B331" s="117"/>
      <c r="C331" s="358" t="s">
        <v>3154</v>
      </c>
      <c r="D331" s="117"/>
      <c r="E331" s="129"/>
      <c r="F331" s="129"/>
      <c r="G331" s="117"/>
      <c r="H331" s="117"/>
      <c r="I331" s="117"/>
      <c r="J331" s="117"/>
      <c r="K331" s="117"/>
      <c r="L331" s="117"/>
      <c r="M331" s="117"/>
      <c r="N331" s="117"/>
      <c r="O331" s="117"/>
      <c r="P331" s="117"/>
      <c r="Q331" s="117"/>
      <c r="R331" s="117"/>
      <c r="S331" s="117"/>
      <c r="T331" s="117"/>
      <c r="U331" s="117"/>
      <c r="V331" s="117"/>
      <c r="W331" s="117"/>
      <c r="X331" s="117"/>
      <c r="Y331" s="117"/>
      <c r="Z331" s="117"/>
      <c r="AA331" s="117"/>
      <c r="AB331" s="117"/>
      <c r="AC331" s="117"/>
      <c r="AD331" s="117"/>
      <c r="AE331" s="117"/>
      <c r="AF331" s="117"/>
      <c r="AG331" s="117"/>
      <c r="AH331" s="117"/>
      <c r="AI331" s="117"/>
      <c r="AJ331" s="117"/>
      <c r="AK331" s="117"/>
      <c r="AL331" s="117"/>
      <c r="AM331" s="117"/>
      <c r="AN331" s="117"/>
      <c r="AO331" s="117"/>
      <c r="AP331" s="117"/>
      <c r="AQ331" s="117"/>
      <c r="AR331" s="117"/>
      <c r="AS331" s="117"/>
      <c r="AT331" s="117"/>
      <c r="AU331" s="117"/>
      <c r="AV331" s="117"/>
      <c r="AW331" s="117"/>
      <c r="AX331" s="117"/>
      <c r="AY331" s="117"/>
      <c r="AZ331" s="117"/>
      <c r="BA331" s="93"/>
      <c r="BB331" s="93"/>
      <c r="BC331" s="93"/>
      <c r="BD331" s="93"/>
      <c r="BE331" s="93"/>
      <c r="BF331" s="93"/>
      <c r="BG331" s="117"/>
      <c r="BH331" s="117"/>
      <c r="BI331" s="117"/>
      <c r="BJ331" s="117"/>
      <c r="BK331" s="117"/>
      <c r="BL331" s="117"/>
      <c r="BM331" s="117"/>
      <c r="BN331" s="117"/>
      <c r="BO331" s="117"/>
      <c r="BP331" s="117"/>
      <c r="BQ331" s="117"/>
      <c r="BR331" s="117"/>
    </row>
    <row r="332" spans="1:97">
      <c r="B332" s="141" t="s">
        <v>370</v>
      </c>
      <c r="C332" s="405"/>
      <c r="D332" s="142"/>
      <c r="E332" s="147"/>
      <c r="F332" s="400"/>
      <c r="G332" s="19" t="s">
        <v>267</v>
      </c>
      <c r="H332" s="19" t="s">
        <v>268</v>
      </c>
      <c r="I332" s="19" t="s">
        <v>269</v>
      </c>
      <c r="J332" s="130" t="s">
        <v>217</v>
      </c>
      <c r="K332" s="130" t="s">
        <v>246</v>
      </c>
      <c r="L332" s="130" t="s">
        <v>247</v>
      </c>
      <c r="M332" s="130" t="s">
        <v>248</v>
      </c>
      <c r="N332" s="130"/>
      <c r="O332" s="130" t="s">
        <v>250</v>
      </c>
      <c r="P332" s="130" t="s">
        <v>251</v>
      </c>
      <c r="Q332" s="130" t="s">
        <v>252</v>
      </c>
      <c r="R332" s="130" t="s">
        <v>253</v>
      </c>
      <c r="S332" s="130" t="s">
        <v>254</v>
      </c>
      <c r="T332" s="130" t="s">
        <v>288</v>
      </c>
      <c r="U332" s="141"/>
      <c r="V332" s="130" t="str">
        <f t="shared" ref="V332:AE332" si="557">K$1</f>
        <v>中國語文</v>
      </c>
      <c r="W332" s="130" t="str">
        <f t="shared" si="557"/>
        <v>英國語文</v>
      </c>
      <c r="X332" s="130" t="str">
        <f t="shared" si="557"/>
        <v>數學</v>
      </c>
      <c r="Y332" s="130"/>
      <c r="Z332" s="130" t="str">
        <f t="shared" si="557"/>
        <v>數學延伸</v>
      </c>
      <c r="AA332" s="130" t="str">
        <f t="shared" si="557"/>
        <v>請選擇第一選修科</v>
      </c>
      <c r="AB332" s="130" t="str">
        <f t="shared" si="557"/>
        <v>請選擇第二選修科</v>
      </c>
      <c r="AC332" s="130" t="str">
        <f t="shared" si="557"/>
        <v>請選擇第三選修科</v>
      </c>
      <c r="AD332" s="130" t="str">
        <f t="shared" si="557"/>
        <v>請選擇第四選修科</v>
      </c>
      <c r="AE332" s="130" t="str">
        <f t="shared" si="557"/>
        <v>請選擇語言科目</v>
      </c>
      <c r="AF332" s="117" t="str">
        <f t="shared" ref="AF332:AF333" si="558">V332</f>
        <v>中國語文</v>
      </c>
      <c r="AG332" s="117" t="str">
        <f t="shared" ref="AG332:AG333" si="559">W332</f>
        <v>英國語文</v>
      </c>
      <c r="AH332" s="117" t="str">
        <f t="shared" ref="AH332:AH333" si="560">X332</f>
        <v>數學</v>
      </c>
      <c r="AJ332" s="117" t="str">
        <f t="shared" ref="AJ332:AJ333" si="561">Z332</f>
        <v>數學延伸</v>
      </c>
      <c r="AK332" s="117" t="str">
        <f t="shared" ref="AK332:AK333" si="562">AA332</f>
        <v>請選擇第一選修科</v>
      </c>
      <c r="AL332" s="117" t="str">
        <f t="shared" ref="AL332:AL333" si="563">AB332</f>
        <v>請選擇第二選修科</v>
      </c>
      <c r="AM332" s="117" t="str">
        <f t="shared" ref="AM332:AM333" si="564">AC332</f>
        <v>請選擇第三選修科</v>
      </c>
      <c r="AN332" s="117" t="str">
        <f t="shared" ref="AN332:AN333" si="565">AD332</f>
        <v>請選擇第四選修科</v>
      </c>
      <c r="AO332" s="117" t="str">
        <f t="shared" ref="AO332:AO333" si="566">AE332</f>
        <v>請選擇語言科目</v>
      </c>
      <c r="AP332" s="130" t="s">
        <v>256</v>
      </c>
      <c r="AQ332" s="130" t="s">
        <v>257</v>
      </c>
      <c r="AR332" s="130" t="s">
        <v>258</v>
      </c>
      <c r="AS332" s="130"/>
      <c r="AT332" s="130" t="s">
        <v>259</v>
      </c>
      <c r="AU332" s="130" t="s">
        <v>260</v>
      </c>
      <c r="AV332" s="130" t="s">
        <v>261</v>
      </c>
      <c r="AW332" s="130" t="s">
        <v>262</v>
      </c>
      <c r="AX332" s="130" t="s">
        <v>263</v>
      </c>
      <c r="AY332" s="130" t="s">
        <v>289</v>
      </c>
      <c r="AZ332" s="142"/>
      <c r="BA332" s="93"/>
      <c r="BB332" s="93"/>
      <c r="BC332" s="93"/>
      <c r="BD332" s="93"/>
      <c r="BE332" s="93"/>
      <c r="BF332" s="93"/>
      <c r="BG332" s="142"/>
      <c r="BH332" s="142"/>
      <c r="BI332" s="142"/>
      <c r="BJ332" s="142"/>
      <c r="BK332" s="142"/>
      <c r="BL332" s="142"/>
      <c r="BM332" s="142"/>
      <c r="BN332" s="142"/>
      <c r="BO332" s="142"/>
      <c r="BP332" s="142"/>
      <c r="BQ332" s="142"/>
      <c r="BR332" s="142"/>
    </row>
    <row r="333" spans="1:97" s="142" customFormat="1">
      <c r="A333" s="117" t="s">
        <v>371</v>
      </c>
      <c r="B333" s="117" t="str">
        <f>'Reference Score Calculation'!B310</f>
        <v>JS7101</v>
      </c>
      <c r="C333" s="117" t="str">
        <f>'Reference Score Calculation'!E310</f>
        <v>中文(榮譽)文學士</v>
      </c>
      <c r="D333" s="117"/>
      <c r="E333" s="132" t="str">
        <f>'Reference Score Calculation'!F310</f>
        <v>Best 5</v>
      </c>
      <c r="F333" s="132" t="str">
        <f>'Reference Score Calculation'!AC310</f>
        <v>Best 5</v>
      </c>
      <c r="G333" s="117" t="str">
        <f>入學要求!AB319</f>
        <v>v</v>
      </c>
      <c r="H333" s="117" t="str">
        <f>入學要求!AC319</f>
        <v>E</v>
      </c>
      <c r="I333" s="117" t="str">
        <f>入學要求!AD319</f>
        <v>NO</v>
      </c>
      <c r="J333" s="117">
        <f t="shared" ref="J333:J355" si="567">SUMIF(AP333:AY333,TRUE,V333:AE333)</f>
        <v>3.4999999999999999E-9</v>
      </c>
      <c r="K333" s="459">
        <v>1.5</v>
      </c>
      <c r="L333" s="459">
        <v>1.5</v>
      </c>
      <c r="M333" s="459">
        <v>1</v>
      </c>
      <c r="N333" s="459"/>
      <c r="O333" s="503">
        <v>1</v>
      </c>
      <c r="P333" s="459">
        <f>IF(P$1=BT336,1.5,1)</f>
        <v>1</v>
      </c>
      <c r="Q333" s="459">
        <f>IF(Q$1=BU336,1.5,1)</f>
        <v>1</v>
      </c>
      <c r="R333" s="459">
        <f>IF(R$1=BV336,1.5,1)</f>
        <v>1</v>
      </c>
      <c r="S333" s="459">
        <f>IF(S$1=BW336,1.5,1)</f>
        <v>1</v>
      </c>
      <c r="T333" s="459">
        <v>1</v>
      </c>
      <c r="U333" s="117"/>
      <c r="V333" s="117">
        <f>K$9*K333</f>
        <v>1.5E-10</v>
      </c>
      <c r="W333" s="117">
        <f>L$9*L333</f>
        <v>3E-10</v>
      </c>
      <c r="X333" s="117">
        <f>M$9*M333</f>
        <v>3E-10</v>
      </c>
      <c r="Y333" s="117"/>
      <c r="Z333" s="117">
        <f>IF(G333="v",O$9*O333,0)</f>
        <v>5.0000000000000003E-10</v>
      </c>
      <c r="AA333" s="117">
        <f>P$9*P333</f>
        <v>6E-10</v>
      </c>
      <c r="AB333" s="117">
        <f>Q$9*Q333</f>
        <v>6.9999999999999996E-10</v>
      </c>
      <c r="AC333" s="117">
        <f>R$9*R333</f>
        <v>8.0000000000000003E-10</v>
      </c>
      <c r="AD333" s="117">
        <f>S$9*S333</f>
        <v>8.9999999999999999E-10</v>
      </c>
      <c r="AE333" s="117">
        <f>IF(H333="E",T$9*T333,0)</f>
        <v>0</v>
      </c>
      <c r="AF333" s="117">
        <f t="shared" si="558"/>
        <v>1.5E-10</v>
      </c>
      <c r="AG333" s="117">
        <f t="shared" si="559"/>
        <v>3E-10</v>
      </c>
      <c r="AH333" s="117">
        <f t="shared" si="560"/>
        <v>3E-10</v>
      </c>
      <c r="AI333" s="117"/>
      <c r="AJ333" s="117">
        <f t="shared" si="561"/>
        <v>5.0000000000000003E-10</v>
      </c>
      <c r="AK333" s="117">
        <f t="shared" si="562"/>
        <v>6E-10</v>
      </c>
      <c r="AL333" s="117">
        <f t="shared" si="563"/>
        <v>6.9999999999999996E-10</v>
      </c>
      <c r="AM333" s="117">
        <f t="shared" si="564"/>
        <v>8.0000000000000003E-10</v>
      </c>
      <c r="AN333" s="117">
        <f t="shared" si="565"/>
        <v>8.9999999999999999E-10</v>
      </c>
      <c r="AO333" s="117">
        <f t="shared" si="566"/>
        <v>0</v>
      </c>
      <c r="AP333" s="117" t="b">
        <f t="shared" ref="AP333:AR336" si="568">IF(V333&gt;LARGE(($V333:$AE333),6),TRUE)</f>
        <v>0</v>
      </c>
      <c r="AQ333" s="117" t="b">
        <f t="shared" si="568"/>
        <v>0</v>
      </c>
      <c r="AR333" s="117" t="b">
        <f t="shared" si="568"/>
        <v>0</v>
      </c>
      <c r="AS333" s="130"/>
      <c r="AT333" s="117" t="b">
        <f t="shared" ref="AT333:AY336" si="569">IF(Z333&gt;LARGE(($V333:$AE333),6),TRUE)</f>
        <v>1</v>
      </c>
      <c r="AU333" s="117" t="b">
        <f t="shared" si="569"/>
        <v>1</v>
      </c>
      <c r="AV333" s="117" t="b">
        <f t="shared" si="569"/>
        <v>1</v>
      </c>
      <c r="AW333" s="117" t="b">
        <f t="shared" si="569"/>
        <v>1</v>
      </c>
      <c r="AX333" s="117" t="b">
        <f t="shared" si="569"/>
        <v>1</v>
      </c>
      <c r="AY333" s="117" t="b">
        <f t="shared" si="569"/>
        <v>0</v>
      </c>
      <c r="AZ333" s="117"/>
      <c r="BA333" s="93"/>
      <c r="BB333" s="93"/>
      <c r="BC333" s="93"/>
      <c r="BD333" s="93"/>
      <c r="BE333" s="93"/>
      <c r="BF333" s="93"/>
      <c r="BG333" s="117"/>
      <c r="BH333" s="2"/>
      <c r="BI333" s="2"/>
      <c r="BJ333" s="2"/>
      <c r="BK333" s="2"/>
      <c r="BL333" s="2"/>
      <c r="BM333" s="2"/>
      <c r="BN333" s="2"/>
      <c r="BO333" s="2"/>
      <c r="BP333" s="2"/>
      <c r="BQ333" s="2"/>
      <c r="BR333" s="2"/>
      <c r="BS333" s="123" t="s">
        <v>232</v>
      </c>
      <c r="BT333" s="121" t="s">
        <v>270</v>
      </c>
      <c r="BU333" s="102"/>
      <c r="BV333" s="115"/>
      <c r="BW333" s="115"/>
      <c r="BX333" s="115"/>
      <c r="BY333" s="115"/>
      <c r="BZ333" s="115"/>
      <c r="CA333" s="115"/>
      <c r="CB333" s="115"/>
      <c r="CC333" s="115"/>
      <c r="CD333" s="115"/>
      <c r="CE333" s="115"/>
      <c r="CF333" s="115"/>
      <c r="CG333" s="115"/>
      <c r="CH333" s="115"/>
      <c r="CI333" s="115"/>
      <c r="CJ333" s="115"/>
      <c r="CK333" s="115"/>
      <c r="CL333" s="115"/>
      <c r="CM333" s="115"/>
      <c r="CN333" s="115"/>
      <c r="CO333" s="115"/>
      <c r="CP333" s="115"/>
      <c r="CQ333" s="115"/>
      <c r="CR333" s="115"/>
      <c r="CS333" s="115"/>
    </row>
    <row r="334" spans="1:97">
      <c r="A334" s="117" t="s">
        <v>1569</v>
      </c>
      <c r="B334" s="117" t="str">
        <f>'Reference Score Calculation'!B311</f>
        <v>JS7123</v>
      </c>
      <c r="C334" s="117" t="str">
        <f>'Reference Score Calculation'!E311</f>
        <v>環球可持續發展(榮譽)博雅學士</v>
      </c>
      <c r="E334" s="504" t="str">
        <f>'Reference Score Calculation'!F311</f>
        <v>Best 5</v>
      </c>
      <c r="F334" s="132" t="str">
        <f>'Reference Score Calculation'!AC311</f>
        <v>Best 5</v>
      </c>
      <c r="G334" s="117" t="str">
        <f>入學要求!AB320</f>
        <v>v</v>
      </c>
      <c r="H334" s="117" t="str">
        <f>入學要求!AC320</f>
        <v>E</v>
      </c>
      <c r="I334" s="117" t="str">
        <f>入學要求!AD320</f>
        <v>NO</v>
      </c>
      <c r="J334" s="117">
        <f t="shared" si="567"/>
        <v>3.4999999999999999E-9</v>
      </c>
      <c r="K334" s="459">
        <v>1</v>
      </c>
      <c r="L334" s="459">
        <v>2</v>
      </c>
      <c r="M334" s="459">
        <v>1</v>
      </c>
      <c r="N334" s="459"/>
      <c r="O334" s="503">
        <v>1</v>
      </c>
      <c r="P334" s="459">
        <f>IF(P$1="地理",1.5,IF(OR(P$1="生物",P$1="企業、會計與財務概論",P$1="設計與應用科技",P$1="經濟",P$1="健康管理與社會關懷",P$1="科技與生活",P$1="旅遊與款待"),1.2,1))</f>
        <v>1</v>
      </c>
      <c r="Q334" s="459">
        <f t="shared" ref="Q334:S334" si="570">IF(Q$1="地理",1.5,IF(OR(Q$1="生物",Q$1="企業、會計與財務概論",Q$1="設計與應用科技",Q$1="經濟",Q$1="健康管理與社會關懷",Q$1="科技與生活",Q$1="旅遊與款待"),1.2,1))</f>
        <v>1</v>
      </c>
      <c r="R334" s="459">
        <f t="shared" si="570"/>
        <v>1</v>
      </c>
      <c r="S334" s="459">
        <f t="shared" si="570"/>
        <v>1</v>
      </c>
      <c r="T334" s="459">
        <v>1</v>
      </c>
      <c r="V334" s="117">
        <f t="shared" ref="V334:V355" si="571">K$9*K334</f>
        <v>1E-10</v>
      </c>
      <c r="W334" s="117">
        <f t="shared" ref="W334:W355" si="572">L$9*L334</f>
        <v>4.0000000000000001E-10</v>
      </c>
      <c r="X334" s="117">
        <f t="shared" ref="X334:X355" si="573">M$9*M334</f>
        <v>3E-10</v>
      </c>
      <c r="Z334" s="117">
        <f t="shared" ref="Z334:Z355" si="574">IF(G334="v",O$9*O334,0)</f>
        <v>5.0000000000000003E-10</v>
      </c>
      <c r="AA334" s="117">
        <f t="shared" ref="AA334:AA355" si="575">P$9*P334</f>
        <v>6E-10</v>
      </c>
      <c r="AB334" s="117">
        <f t="shared" ref="AB334:AB355" si="576">Q$9*Q334</f>
        <v>6.9999999999999996E-10</v>
      </c>
      <c r="AC334" s="117">
        <f t="shared" ref="AC334:AC355" si="577">R$9*R334</f>
        <v>8.0000000000000003E-10</v>
      </c>
      <c r="AD334" s="117">
        <f t="shared" ref="AD334:AD355" si="578">S$9*S334</f>
        <v>8.9999999999999999E-10</v>
      </c>
      <c r="AE334" s="117">
        <f t="shared" ref="AE334:AE355" si="579">IF(H334="E",T$9*T334,0)</f>
        <v>0</v>
      </c>
      <c r="AF334" s="117">
        <f t="shared" ref="AF334:AF355" si="580">V334</f>
        <v>1E-10</v>
      </c>
      <c r="AG334" s="117">
        <f t="shared" ref="AG334:AG355" si="581">W334</f>
        <v>4.0000000000000001E-10</v>
      </c>
      <c r="AH334" s="117">
        <f t="shared" ref="AH334:AH355" si="582">X334</f>
        <v>3E-10</v>
      </c>
      <c r="AJ334" s="117">
        <f t="shared" ref="AJ334:AJ355" si="583">Z334</f>
        <v>5.0000000000000003E-10</v>
      </c>
      <c r="AK334" s="117">
        <f t="shared" ref="AK334:AK355" si="584">AA334</f>
        <v>6E-10</v>
      </c>
      <c r="AL334" s="117">
        <f t="shared" ref="AL334:AL355" si="585">AB334</f>
        <v>6.9999999999999996E-10</v>
      </c>
      <c r="AM334" s="117">
        <f t="shared" ref="AM334:AM355" si="586">AC334</f>
        <v>8.0000000000000003E-10</v>
      </c>
      <c r="AN334" s="117">
        <f t="shared" ref="AN334:AN355" si="587">AD334</f>
        <v>8.9999999999999999E-10</v>
      </c>
      <c r="AO334" s="117">
        <f t="shared" ref="AO334:AO355" si="588">AE334</f>
        <v>0</v>
      </c>
      <c r="AP334" s="117" t="b">
        <f t="shared" si="568"/>
        <v>0</v>
      </c>
      <c r="AQ334" s="117" t="b">
        <f t="shared" si="568"/>
        <v>0</v>
      </c>
      <c r="AR334" s="117" t="b">
        <f t="shared" si="568"/>
        <v>0</v>
      </c>
      <c r="AS334" s="130"/>
      <c r="AT334" s="117" t="b">
        <f t="shared" si="569"/>
        <v>1</v>
      </c>
      <c r="AU334" s="117" t="b">
        <f t="shared" si="569"/>
        <v>1</v>
      </c>
      <c r="AV334" s="117" t="b">
        <f t="shared" si="569"/>
        <v>1</v>
      </c>
      <c r="AW334" s="117" t="b">
        <f t="shared" si="569"/>
        <v>1</v>
      </c>
      <c r="AX334" s="117" t="b">
        <f t="shared" si="569"/>
        <v>1</v>
      </c>
      <c r="AY334" s="117" t="b">
        <f t="shared" si="569"/>
        <v>0</v>
      </c>
      <c r="BA334" s="93"/>
      <c r="BB334" s="93"/>
      <c r="BC334" s="93"/>
      <c r="BD334" s="93"/>
      <c r="BE334" s="93"/>
      <c r="BF334" s="93"/>
      <c r="BH334" s="2"/>
      <c r="BI334" s="2"/>
      <c r="BJ334" s="2"/>
      <c r="BK334" s="2"/>
      <c r="BL334" s="2"/>
      <c r="BM334" s="2"/>
      <c r="BN334" s="2"/>
      <c r="BO334" s="2"/>
      <c r="BP334" s="2"/>
      <c r="BQ334" s="2"/>
      <c r="BR334" s="2"/>
      <c r="BS334" s="115"/>
      <c r="BT334" s="101"/>
      <c r="BU334" s="102"/>
      <c r="BV334" s="115"/>
      <c r="BW334" s="115"/>
      <c r="BX334" s="115"/>
      <c r="BY334" s="115"/>
      <c r="BZ334" s="115"/>
      <c r="CA334" s="115"/>
      <c r="CB334" s="115"/>
      <c r="CC334" s="115"/>
      <c r="CD334" s="115"/>
      <c r="CE334" s="115"/>
      <c r="CF334" s="115"/>
      <c r="CG334" s="115"/>
      <c r="CH334" s="115"/>
      <c r="CI334" s="115"/>
      <c r="CJ334" s="115"/>
      <c r="CK334" s="115"/>
      <c r="CL334" s="115"/>
      <c r="CM334" s="115"/>
      <c r="CN334" s="115"/>
      <c r="CO334" s="115"/>
      <c r="CP334" s="115"/>
      <c r="CQ334" s="115"/>
      <c r="CR334" s="115"/>
      <c r="CS334" s="115"/>
    </row>
    <row r="335" spans="1:97">
      <c r="A335" s="117" t="s">
        <v>1573</v>
      </c>
      <c r="B335" s="117" t="str">
        <f>'Reference Score Calculation'!B312</f>
        <v>JS7133</v>
      </c>
      <c r="C335" s="117" t="str">
        <f>'Reference Score Calculation'!E312</f>
        <v>動畫及數碼藝術(榮譽)文學士</v>
      </c>
      <c r="E335" s="132" t="str">
        <f>'Reference Score Calculation'!F312</f>
        <v>Best 5</v>
      </c>
      <c r="F335" s="132" t="str">
        <f>'Reference Score Calculation'!AC312</f>
        <v>Best 5</v>
      </c>
      <c r="G335" s="117" t="str">
        <f>入學要求!AB321</f>
        <v>v</v>
      </c>
      <c r="H335" s="117" t="str">
        <f>入學要求!AC321</f>
        <v>E</v>
      </c>
      <c r="I335" s="117" t="str">
        <f>入學要求!AD321</f>
        <v>NO</v>
      </c>
      <c r="J335" s="117">
        <f t="shared" si="567"/>
        <v>3.4999999999999999E-9</v>
      </c>
      <c r="K335" s="459">
        <v>1.5</v>
      </c>
      <c r="L335" s="459">
        <v>1.5</v>
      </c>
      <c r="M335" s="459">
        <v>1</v>
      </c>
      <c r="N335" s="459"/>
      <c r="O335" s="503">
        <v>1</v>
      </c>
      <c r="P335" s="459">
        <f>IF(OR(P$1="視覺藝術",P$1="資訊及通訊科技"),1.5,1)</f>
        <v>1</v>
      </c>
      <c r="Q335" s="459">
        <f t="shared" ref="Q335:S335" si="589">IF(OR(Q$1="視覺藝術",Q$1="資訊及通訊科技"),1.5,1)</f>
        <v>1</v>
      </c>
      <c r="R335" s="459">
        <f t="shared" si="589"/>
        <v>1</v>
      </c>
      <c r="S335" s="459">
        <f t="shared" si="589"/>
        <v>1</v>
      </c>
      <c r="T335" s="459">
        <v>1</v>
      </c>
      <c r="V335" s="117">
        <f t="shared" si="571"/>
        <v>1.5E-10</v>
      </c>
      <c r="W335" s="117">
        <f t="shared" si="572"/>
        <v>3E-10</v>
      </c>
      <c r="X335" s="117">
        <f t="shared" si="573"/>
        <v>3E-10</v>
      </c>
      <c r="Z335" s="117">
        <f t="shared" si="574"/>
        <v>5.0000000000000003E-10</v>
      </c>
      <c r="AA335" s="117">
        <f t="shared" si="575"/>
        <v>6E-10</v>
      </c>
      <c r="AB335" s="117">
        <f t="shared" si="576"/>
        <v>6.9999999999999996E-10</v>
      </c>
      <c r="AC335" s="117">
        <f t="shared" si="577"/>
        <v>8.0000000000000003E-10</v>
      </c>
      <c r="AD335" s="117">
        <f t="shared" si="578"/>
        <v>8.9999999999999999E-10</v>
      </c>
      <c r="AE335" s="117">
        <f t="shared" si="579"/>
        <v>0</v>
      </c>
      <c r="AF335" s="117">
        <f t="shared" si="580"/>
        <v>1.5E-10</v>
      </c>
      <c r="AG335" s="117">
        <f t="shared" si="581"/>
        <v>3E-10</v>
      </c>
      <c r="AH335" s="117">
        <f t="shared" si="582"/>
        <v>3E-10</v>
      </c>
      <c r="AJ335" s="117">
        <f t="shared" si="583"/>
        <v>5.0000000000000003E-10</v>
      </c>
      <c r="AK335" s="117">
        <f t="shared" si="584"/>
        <v>6E-10</v>
      </c>
      <c r="AL335" s="117">
        <f t="shared" si="585"/>
        <v>6.9999999999999996E-10</v>
      </c>
      <c r="AM335" s="117">
        <f t="shared" si="586"/>
        <v>8.0000000000000003E-10</v>
      </c>
      <c r="AN335" s="117">
        <f t="shared" si="587"/>
        <v>8.9999999999999999E-10</v>
      </c>
      <c r="AO335" s="117">
        <f t="shared" si="588"/>
        <v>0</v>
      </c>
      <c r="AP335" s="117" t="b">
        <f t="shared" si="568"/>
        <v>0</v>
      </c>
      <c r="AQ335" s="117" t="b">
        <f t="shared" si="568"/>
        <v>0</v>
      </c>
      <c r="AR335" s="117" t="b">
        <f t="shared" si="568"/>
        <v>0</v>
      </c>
      <c r="AS335" s="130"/>
      <c r="AT335" s="117" t="b">
        <f t="shared" si="569"/>
        <v>1</v>
      </c>
      <c r="AU335" s="117" t="b">
        <f t="shared" si="569"/>
        <v>1</v>
      </c>
      <c r="AV335" s="117" t="b">
        <f t="shared" si="569"/>
        <v>1</v>
      </c>
      <c r="AW335" s="117" t="b">
        <f t="shared" si="569"/>
        <v>1</v>
      </c>
      <c r="AX335" s="117" t="b">
        <f t="shared" si="569"/>
        <v>1</v>
      </c>
      <c r="AY335" s="117" t="b">
        <f t="shared" si="569"/>
        <v>0</v>
      </c>
      <c r="BA335" s="93"/>
      <c r="BB335" s="93"/>
      <c r="BC335" s="93"/>
      <c r="BD335" s="93"/>
      <c r="BE335" s="93"/>
      <c r="BF335" s="93"/>
      <c r="BS335" s="116" t="s">
        <v>371</v>
      </c>
      <c r="BT335" s="101" t="s">
        <v>372</v>
      </c>
      <c r="BU335" s="102"/>
      <c r="BV335" s="115"/>
      <c r="BW335" s="115"/>
      <c r="BX335" s="115"/>
      <c r="BY335" s="115"/>
      <c r="BZ335" s="115"/>
      <c r="CA335" s="115"/>
      <c r="CB335" s="101" t="str">
        <f>P$1</f>
        <v>請選擇第一選修科</v>
      </c>
      <c r="CC335" s="101" t="str">
        <f>Q$1</f>
        <v>請選擇第二選修科</v>
      </c>
      <c r="CD335" s="101" t="str">
        <f>R$1</f>
        <v>請選擇第三選修科</v>
      </c>
      <c r="CE335" s="101" t="str">
        <f>S$1</f>
        <v>請選擇第四選修科</v>
      </c>
      <c r="CF335" s="115"/>
      <c r="CG335" s="115"/>
      <c r="CH335" s="115"/>
      <c r="CI335" s="115"/>
      <c r="CJ335" s="115"/>
      <c r="CK335" s="115"/>
      <c r="CL335" s="115"/>
      <c r="CM335" s="115"/>
      <c r="CN335" s="115"/>
      <c r="CO335" s="115"/>
      <c r="CP335" s="115"/>
      <c r="CQ335" s="115"/>
      <c r="CR335" s="115"/>
      <c r="CS335" s="115"/>
    </row>
    <row r="336" spans="1:97">
      <c r="A336" s="117" t="s">
        <v>1581</v>
      </c>
      <c r="B336" s="117" t="str">
        <f>'Reference Score Calculation'!B313</f>
        <v>JS7204</v>
      </c>
      <c r="C336" s="117" t="str">
        <f>'Reference Score Calculation'!E313</f>
        <v>翻譯(榮譽)文學士</v>
      </c>
      <c r="E336" s="132" t="str">
        <f>'Reference Score Calculation'!F313</f>
        <v>Best 5</v>
      </c>
      <c r="F336" s="132" t="str">
        <f>'Reference Score Calculation'!AC313</f>
        <v>Best 5</v>
      </c>
      <c r="G336" s="117" t="str">
        <f>入學要求!AB322</f>
        <v>v</v>
      </c>
      <c r="H336" s="117" t="str">
        <f>入學要求!AC322</f>
        <v>E</v>
      </c>
      <c r="I336" s="117" t="str">
        <f>入學要求!AD322</f>
        <v>NO</v>
      </c>
      <c r="J336" s="117">
        <f t="shared" si="567"/>
        <v>3.4999999999999999E-9</v>
      </c>
      <c r="K336" s="459">
        <v>1.5</v>
      </c>
      <c r="L336" s="459">
        <v>2</v>
      </c>
      <c r="M336" s="459">
        <v>1</v>
      </c>
      <c r="N336" s="459"/>
      <c r="O336" s="503">
        <v>1</v>
      </c>
      <c r="P336" s="459">
        <f>IF(OR(P$1="英語文學",P$1="中國文學"),1.5,1)</f>
        <v>1</v>
      </c>
      <c r="Q336" s="459">
        <f>IF(OR(Q$1="英語文學",Q$1="中國文學"),1.5,1)</f>
        <v>1</v>
      </c>
      <c r="R336" s="459">
        <f>IF(OR(R$1="英語文學",R$1="中國文學"),1.5,1)</f>
        <v>1</v>
      </c>
      <c r="S336" s="459">
        <f>IF(OR(S$1="英語文學",S$1="中國文學"),1.5,1)</f>
        <v>1</v>
      </c>
      <c r="T336" s="459">
        <v>1</v>
      </c>
      <c r="V336" s="117">
        <f t="shared" si="571"/>
        <v>1.5E-10</v>
      </c>
      <c r="W336" s="117">
        <f t="shared" si="572"/>
        <v>4.0000000000000001E-10</v>
      </c>
      <c r="X336" s="117">
        <f t="shared" si="573"/>
        <v>3E-10</v>
      </c>
      <c r="Z336" s="117">
        <f t="shared" si="574"/>
        <v>5.0000000000000003E-10</v>
      </c>
      <c r="AA336" s="117">
        <f t="shared" si="575"/>
        <v>6E-10</v>
      </c>
      <c r="AB336" s="117">
        <f t="shared" si="576"/>
        <v>6.9999999999999996E-10</v>
      </c>
      <c r="AC336" s="117">
        <f t="shared" si="577"/>
        <v>8.0000000000000003E-10</v>
      </c>
      <c r="AD336" s="117">
        <f t="shared" si="578"/>
        <v>8.9999999999999999E-10</v>
      </c>
      <c r="AE336" s="117">
        <f t="shared" si="579"/>
        <v>0</v>
      </c>
      <c r="AF336" s="117">
        <f t="shared" si="580"/>
        <v>1.5E-10</v>
      </c>
      <c r="AG336" s="117">
        <f t="shared" si="581"/>
        <v>4.0000000000000001E-10</v>
      </c>
      <c r="AH336" s="117">
        <f t="shared" si="582"/>
        <v>3E-10</v>
      </c>
      <c r="AJ336" s="117">
        <f t="shared" si="583"/>
        <v>5.0000000000000003E-10</v>
      </c>
      <c r="AK336" s="117">
        <f t="shared" si="584"/>
        <v>6E-10</v>
      </c>
      <c r="AL336" s="117">
        <f t="shared" si="585"/>
        <v>6.9999999999999996E-10</v>
      </c>
      <c r="AM336" s="117">
        <f t="shared" si="586"/>
        <v>8.0000000000000003E-10</v>
      </c>
      <c r="AN336" s="117">
        <f t="shared" si="587"/>
        <v>8.9999999999999999E-10</v>
      </c>
      <c r="AO336" s="117">
        <f t="shared" si="588"/>
        <v>0</v>
      </c>
      <c r="AP336" s="117" t="b">
        <f t="shared" si="568"/>
        <v>0</v>
      </c>
      <c r="AQ336" s="117" t="b">
        <f t="shared" si="568"/>
        <v>0</v>
      </c>
      <c r="AR336" s="117" t="b">
        <f t="shared" si="568"/>
        <v>0</v>
      </c>
      <c r="AS336" s="130"/>
      <c r="AT336" s="117" t="b">
        <f t="shared" si="569"/>
        <v>1</v>
      </c>
      <c r="AU336" s="117" t="b">
        <f t="shared" si="569"/>
        <v>1</v>
      </c>
      <c r="AV336" s="117" t="b">
        <f t="shared" si="569"/>
        <v>1</v>
      </c>
      <c r="AW336" s="117" t="b">
        <f t="shared" si="569"/>
        <v>1</v>
      </c>
      <c r="AX336" s="117" t="b">
        <f t="shared" si="569"/>
        <v>1</v>
      </c>
      <c r="AY336" s="117" t="b">
        <f t="shared" si="569"/>
        <v>0</v>
      </c>
      <c r="BA336" s="93"/>
      <c r="BB336" s="93"/>
      <c r="BC336" s="93"/>
      <c r="BD336" s="93"/>
      <c r="BE336" s="93"/>
      <c r="BF336" s="93"/>
      <c r="BS336" s="116"/>
      <c r="BT336" s="21" t="str">
        <f>IF(BV336&gt;0,INDEX(CB335:CE335,MATCH(LARGE(CB336:CE336,1),CB336:CE336,0)),"無")</f>
        <v>無</v>
      </c>
      <c r="BU336" s="16"/>
      <c r="BV336" s="2">
        <f>LARGE(CB336:CE336,1)</f>
        <v>0</v>
      </c>
      <c r="BW336" s="115"/>
      <c r="BX336" s="115"/>
      <c r="BY336" s="115"/>
      <c r="BZ336" s="115"/>
      <c r="CA336" s="115"/>
      <c r="CB336" s="21">
        <f>IF(OR(P$1="中國歷史",P$1="中國文學"),P$7,0)</f>
        <v>0</v>
      </c>
      <c r="CC336" s="21">
        <f>IF(OR(Q$1="中國歷史",Q$1="中國文學"),Q$7,0)</f>
        <v>0</v>
      </c>
      <c r="CD336" s="21">
        <f>IF(OR(R$1="中國歷史",R$1="中國文學"),R$7,0)</f>
        <v>0</v>
      </c>
      <c r="CE336" s="21">
        <f>IF(OR(S$1="中國歷史",S$1="中國文學"),S$7,0)</f>
        <v>0</v>
      </c>
      <c r="CF336" s="115"/>
      <c r="CG336" s="115"/>
      <c r="CH336" s="115"/>
      <c r="CI336" s="115"/>
      <c r="CJ336" s="115"/>
      <c r="CK336" s="115"/>
      <c r="CL336" s="115"/>
      <c r="CM336" s="115"/>
      <c r="CN336" s="115"/>
      <c r="CO336" s="115"/>
      <c r="CP336" s="115"/>
      <c r="CQ336" s="115"/>
      <c r="CR336" s="115"/>
      <c r="CS336" s="115"/>
    </row>
    <row r="337" spans="1:97">
      <c r="A337" s="117" t="s">
        <v>2625</v>
      </c>
      <c r="B337" s="117" t="str">
        <f>'Reference Score Calculation'!B314</f>
        <v>JS7211</v>
      </c>
      <c r="C337" s="117" t="str">
        <f>'Reference Score Calculation'!E314</f>
        <v>工商管理(榮譽)學士 – 會計與企業管治</v>
      </c>
      <c r="E337" s="132" t="str">
        <f>'Reference Score Calculation'!F314</f>
        <v>25年新科目</v>
      </c>
      <c r="F337" s="132" t="str">
        <f>'Reference Score Calculation'!AC314</f>
        <v>Best 5</v>
      </c>
      <c r="G337" s="117" t="str">
        <f>入學要求!AB323</f>
        <v>v</v>
      </c>
      <c r="H337" s="117" t="str">
        <f>入學要求!AC323</f>
        <v>E</v>
      </c>
      <c r="I337" s="117" t="str">
        <f>入學要求!AD323</f>
        <v>NO</v>
      </c>
      <c r="J337" s="117">
        <f t="shared" si="567"/>
        <v>3.1500000000000001E-9</v>
      </c>
      <c r="K337" s="459">
        <v>1</v>
      </c>
      <c r="L337" s="459">
        <v>2</v>
      </c>
      <c r="M337" s="459">
        <v>2</v>
      </c>
      <c r="N337" s="459"/>
      <c r="O337" s="503">
        <v>1.5</v>
      </c>
      <c r="P337" s="459">
        <f>IF(P$1="企業、會計與財務概論",1.5,1)</f>
        <v>1</v>
      </c>
      <c r="Q337" s="459">
        <f t="shared" ref="Q337:S337" si="590">IF(Q$1="企業、會計與財務概論",1.5,1)</f>
        <v>1</v>
      </c>
      <c r="R337" s="459">
        <f t="shared" si="590"/>
        <v>1</v>
      </c>
      <c r="S337" s="459">
        <f t="shared" si="590"/>
        <v>1</v>
      </c>
      <c r="T337" s="459">
        <v>1</v>
      </c>
      <c r="V337" s="117">
        <f t="shared" si="571"/>
        <v>1E-10</v>
      </c>
      <c r="W337" s="117">
        <f t="shared" si="572"/>
        <v>4.0000000000000001E-10</v>
      </c>
      <c r="X337" s="117">
        <f t="shared" si="573"/>
        <v>6E-10</v>
      </c>
      <c r="Z337" s="117">
        <f t="shared" si="574"/>
        <v>7.500000000000001E-10</v>
      </c>
      <c r="AA337" s="117">
        <f t="shared" si="575"/>
        <v>6E-10</v>
      </c>
      <c r="AB337" s="117">
        <f t="shared" si="576"/>
        <v>6.9999999999999996E-10</v>
      </c>
      <c r="AC337" s="117">
        <f t="shared" si="577"/>
        <v>8.0000000000000003E-10</v>
      </c>
      <c r="AD337" s="117">
        <f t="shared" si="578"/>
        <v>8.9999999999999999E-10</v>
      </c>
      <c r="AE337" s="117">
        <f t="shared" si="579"/>
        <v>0</v>
      </c>
      <c r="AF337" s="117">
        <f t="shared" si="580"/>
        <v>1E-10</v>
      </c>
      <c r="AG337" s="117">
        <f t="shared" si="581"/>
        <v>4.0000000000000001E-10</v>
      </c>
      <c r="AH337" s="117">
        <f t="shared" si="582"/>
        <v>6E-10</v>
      </c>
      <c r="AJ337" s="117">
        <f t="shared" si="583"/>
        <v>7.500000000000001E-10</v>
      </c>
      <c r="AK337" s="117">
        <f t="shared" si="584"/>
        <v>6E-10</v>
      </c>
      <c r="AL337" s="117">
        <f t="shared" si="585"/>
        <v>6.9999999999999996E-10</v>
      </c>
      <c r="AM337" s="117">
        <f t="shared" si="586"/>
        <v>8.0000000000000003E-10</v>
      </c>
      <c r="AN337" s="117">
        <f t="shared" si="587"/>
        <v>8.9999999999999999E-10</v>
      </c>
      <c r="AO337" s="117">
        <f t="shared" si="588"/>
        <v>0</v>
      </c>
      <c r="AP337" s="438" t="b">
        <f>IF(V337&gt;LARGE(($V337:$AE337),6),TRUE)</f>
        <v>0</v>
      </c>
      <c r="AQ337" s="438" t="b">
        <f t="shared" ref="AQ337:AY341" si="591">IF(W337&gt;LARGE(($V337:$AE337),6),TRUE)</f>
        <v>0</v>
      </c>
      <c r="AR337" s="438" t="b">
        <f t="shared" si="591"/>
        <v>0</v>
      </c>
      <c r="AS337" s="130"/>
      <c r="AT337" s="438" t="b">
        <f t="shared" si="591"/>
        <v>1</v>
      </c>
      <c r="AU337" s="438" t="b">
        <f t="shared" si="591"/>
        <v>0</v>
      </c>
      <c r="AV337" s="438" t="b">
        <f t="shared" si="591"/>
        <v>1</v>
      </c>
      <c r="AW337" s="438" t="b">
        <f t="shared" si="591"/>
        <v>1</v>
      </c>
      <c r="AX337" s="438" t="b">
        <f t="shared" si="591"/>
        <v>1</v>
      </c>
      <c r="AY337" s="438" t="b">
        <f t="shared" si="591"/>
        <v>0</v>
      </c>
      <c r="BA337" s="93"/>
      <c r="BB337" s="93"/>
      <c r="BC337" s="93"/>
      <c r="BD337" s="93"/>
      <c r="BE337" s="93"/>
      <c r="BF337" s="93"/>
      <c r="BS337" s="116"/>
      <c r="BT337" s="101"/>
      <c r="BU337" s="102"/>
      <c r="BV337" s="115"/>
      <c r="BW337" s="115"/>
      <c r="BX337" s="115"/>
      <c r="BY337" s="115"/>
      <c r="BZ337" s="115"/>
      <c r="CA337" s="115"/>
      <c r="CB337" s="163" t="s">
        <v>373</v>
      </c>
      <c r="CC337" s="102"/>
      <c r="CD337" s="115"/>
      <c r="CE337" s="115"/>
      <c r="CF337" s="115"/>
      <c r="CG337" s="115"/>
      <c r="CH337" s="115"/>
      <c r="CI337" s="115"/>
      <c r="CJ337" s="115"/>
      <c r="CK337" s="115"/>
      <c r="CL337" s="115"/>
      <c r="CM337" s="115"/>
      <c r="CN337" s="115"/>
      <c r="CO337" s="115"/>
      <c r="CP337" s="115"/>
      <c r="CQ337" s="115"/>
      <c r="CR337" s="115"/>
      <c r="CS337" s="115"/>
    </row>
    <row r="338" spans="1:97">
      <c r="A338" s="117" t="s">
        <v>2628</v>
      </c>
      <c r="B338" s="117" t="str">
        <f>'Reference Score Calculation'!B315</f>
        <v>JS7212</v>
      </c>
      <c r="C338" s="117" t="str">
        <f>'Reference Score Calculation'!E315</f>
        <v>工商管理(榮譽)學士 – 商業分析與創新</v>
      </c>
      <c r="E338" s="132" t="str">
        <f>'Reference Score Calculation'!F315</f>
        <v>25年新科目</v>
      </c>
      <c r="F338" s="132" t="str">
        <f>'Reference Score Calculation'!AC315</f>
        <v>Best 5</v>
      </c>
      <c r="G338" s="117" t="str">
        <f>入學要求!AB324</f>
        <v>v</v>
      </c>
      <c r="H338" s="117" t="str">
        <f>入學要求!AC324</f>
        <v>E</v>
      </c>
      <c r="I338" s="117" t="str">
        <f>入學要求!AD324</f>
        <v>NO</v>
      </c>
      <c r="J338" s="117">
        <f t="shared" si="567"/>
        <v>3.1500000000000001E-9</v>
      </c>
      <c r="K338" s="459">
        <v>1</v>
      </c>
      <c r="L338" s="459">
        <v>2</v>
      </c>
      <c r="M338" s="459">
        <v>2</v>
      </c>
      <c r="N338" s="459"/>
      <c r="O338" s="503">
        <v>1.5</v>
      </c>
      <c r="P338" s="459">
        <f>IF(OR(P$1="資訊及通訊科技"),1.5,1)</f>
        <v>1</v>
      </c>
      <c r="Q338" s="459">
        <f t="shared" ref="Q338:S338" si="592">IF(OR(Q$1="資訊及通訊科技"),1.5,1)</f>
        <v>1</v>
      </c>
      <c r="R338" s="459">
        <f t="shared" si="592"/>
        <v>1</v>
      </c>
      <c r="S338" s="459">
        <f t="shared" si="592"/>
        <v>1</v>
      </c>
      <c r="T338" s="459">
        <v>1</v>
      </c>
      <c r="V338" s="117">
        <f t="shared" si="571"/>
        <v>1E-10</v>
      </c>
      <c r="W338" s="117">
        <f t="shared" si="572"/>
        <v>4.0000000000000001E-10</v>
      </c>
      <c r="X338" s="117">
        <f t="shared" si="573"/>
        <v>6E-10</v>
      </c>
      <c r="Z338" s="117">
        <f t="shared" si="574"/>
        <v>7.500000000000001E-10</v>
      </c>
      <c r="AA338" s="117">
        <f t="shared" si="575"/>
        <v>6E-10</v>
      </c>
      <c r="AB338" s="117">
        <f t="shared" si="576"/>
        <v>6.9999999999999996E-10</v>
      </c>
      <c r="AC338" s="117">
        <f t="shared" si="577"/>
        <v>8.0000000000000003E-10</v>
      </c>
      <c r="AD338" s="117">
        <f t="shared" si="578"/>
        <v>8.9999999999999999E-10</v>
      </c>
      <c r="AE338" s="117">
        <f t="shared" si="579"/>
        <v>0</v>
      </c>
      <c r="AF338" s="117">
        <f t="shared" si="580"/>
        <v>1E-10</v>
      </c>
      <c r="AG338" s="117">
        <f t="shared" si="581"/>
        <v>4.0000000000000001E-10</v>
      </c>
      <c r="AH338" s="117">
        <f t="shared" si="582"/>
        <v>6E-10</v>
      </c>
      <c r="AJ338" s="117">
        <f t="shared" si="583"/>
        <v>7.500000000000001E-10</v>
      </c>
      <c r="AK338" s="117">
        <f t="shared" si="584"/>
        <v>6E-10</v>
      </c>
      <c r="AL338" s="117">
        <f t="shared" si="585"/>
        <v>6.9999999999999996E-10</v>
      </c>
      <c r="AM338" s="117">
        <f t="shared" si="586"/>
        <v>8.0000000000000003E-10</v>
      </c>
      <c r="AN338" s="117">
        <f t="shared" si="587"/>
        <v>8.9999999999999999E-10</v>
      </c>
      <c r="AO338" s="117">
        <f t="shared" si="588"/>
        <v>0</v>
      </c>
      <c r="AP338" s="438" t="b">
        <f t="shared" ref="AP338:AP341" si="593">IF(V338&gt;LARGE(($V338:$AE338),6),TRUE)</f>
        <v>0</v>
      </c>
      <c r="AQ338" s="438" t="b">
        <f t="shared" si="591"/>
        <v>0</v>
      </c>
      <c r="AR338" s="438" t="b">
        <f t="shared" si="591"/>
        <v>0</v>
      </c>
      <c r="AS338" s="130"/>
      <c r="AT338" s="438" t="b">
        <f t="shared" si="591"/>
        <v>1</v>
      </c>
      <c r="AU338" s="438" t="b">
        <f t="shared" si="591"/>
        <v>0</v>
      </c>
      <c r="AV338" s="438" t="b">
        <f t="shared" si="591"/>
        <v>1</v>
      </c>
      <c r="AW338" s="438" t="b">
        <f t="shared" si="591"/>
        <v>1</v>
      </c>
      <c r="AX338" s="438" t="b">
        <f t="shared" si="591"/>
        <v>1</v>
      </c>
      <c r="AY338" s="438" t="b">
        <f t="shared" si="591"/>
        <v>0</v>
      </c>
      <c r="BA338" s="93"/>
      <c r="BB338" s="93"/>
      <c r="BC338" s="93"/>
      <c r="BD338" s="93"/>
      <c r="BE338" s="93"/>
      <c r="BF338" s="93"/>
      <c r="BS338" s="116"/>
      <c r="BT338" s="101"/>
      <c r="BU338" s="102"/>
      <c r="BV338" s="115"/>
      <c r="BW338" s="115"/>
      <c r="BX338" s="115"/>
      <c r="BY338" s="115"/>
      <c r="BZ338" s="115"/>
      <c r="CA338" s="115"/>
      <c r="CB338" s="163"/>
      <c r="CC338" s="102"/>
      <c r="CD338" s="115"/>
      <c r="CE338" s="115"/>
      <c r="CF338" s="115"/>
      <c r="CG338" s="115"/>
      <c r="CH338" s="115"/>
      <c r="CI338" s="115"/>
      <c r="CJ338" s="115"/>
      <c r="CK338" s="115"/>
      <c r="CL338" s="115"/>
      <c r="CM338" s="115"/>
      <c r="CN338" s="115"/>
      <c r="CO338" s="115"/>
      <c r="CP338" s="115"/>
      <c r="CQ338" s="115"/>
      <c r="CR338" s="115"/>
      <c r="CS338" s="115"/>
    </row>
    <row r="339" spans="1:97">
      <c r="A339" s="117" t="s">
        <v>2631</v>
      </c>
      <c r="B339" s="117" t="str">
        <f>'Reference Score Calculation'!B316</f>
        <v>JS7213</v>
      </c>
      <c r="C339" s="117" t="str">
        <f>'Reference Score Calculation'!E316</f>
        <v>工商管理(榮譽)學士 – 金融</v>
      </c>
      <c r="E339" s="132" t="str">
        <f>'Reference Score Calculation'!F316</f>
        <v>25年新科目</v>
      </c>
      <c r="F339" s="132" t="str">
        <f>'Reference Score Calculation'!AC316</f>
        <v>Best 5</v>
      </c>
      <c r="G339" s="117" t="str">
        <f>入學要求!AB325</f>
        <v>v</v>
      </c>
      <c r="H339" s="117" t="str">
        <f>入學要求!AC325</f>
        <v>E</v>
      </c>
      <c r="I339" s="117" t="str">
        <f>入學要求!AD325</f>
        <v>NO</v>
      </c>
      <c r="J339" s="117">
        <f t="shared" si="567"/>
        <v>3.1500000000000001E-9</v>
      </c>
      <c r="K339" s="459">
        <v>1</v>
      </c>
      <c r="L339" s="459">
        <v>2</v>
      </c>
      <c r="M339" s="459">
        <v>2</v>
      </c>
      <c r="N339" s="459"/>
      <c r="O339" s="503">
        <v>1.5</v>
      </c>
      <c r="P339" s="459">
        <f>IF(OR(P$1="企業、會計與財務概論",P$1="資訊及通訊科技",P$1="經濟"),1.5,1)</f>
        <v>1</v>
      </c>
      <c r="Q339" s="459">
        <f t="shared" ref="Q339:S341" si="594">IF(OR(Q$1="企業、會計與財務概論",Q$1="資訊及通訊科技",Q$1="經濟"),1.5,1)</f>
        <v>1</v>
      </c>
      <c r="R339" s="459">
        <f t="shared" si="594"/>
        <v>1</v>
      </c>
      <c r="S339" s="459">
        <f t="shared" si="594"/>
        <v>1</v>
      </c>
      <c r="T339" s="459">
        <v>1</v>
      </c>
      <c r="V339" s="117">
        <f t="shared" si="571"/>
        <v>1E-10</v>
      </c>
      <c r="W339" s="117">
        <f t="shared" si="572"/>
        <v>4.0000000000000001E-10</v>
      </c>
      <c r="X339" s="117">
        <f t="shared" si="573"/>
        <v>6E-10</v>
      </c>
      <c r="Z339" s="117">
        <f t="shared" si="574"/>
        <v>7.500000000000001E-10</v>
      </c>
      <c r="AA339" s="117">
        <f t="shared" si="575"/>
        <v>6E-10</v>
      </c>
      <c r="AB339" s="117">
        <f t="shared" si="576"/>
        <v>6.9999999999999996E-10</v>
      </c>
      <c r="AC339" s="117">
        <f t="shared" si="577"/>
        <v>8.0000000000000003E-10</v>
      </c>
      <c r="AD339" s="117">
        <f t="shared" si="578"/>
        <v>8.9999999999999999E-10</v>
      </c>
      <c r="AE339" s="117">
        <f t="shared" si="579"/>
        <v>0</v>
      </c>
      <c r="AF339" s="117">
        <f t="shared" si="580"/>
        <v>1E-10</v>
      </c>
      <c r="AG339" s="117">
        <f t="shared" si="581"/>
        <v>4.0000000000000001E-10</v>
      </c>
      <c r="AH339" s="117">
        <f t="shared" si="582"/>
        <v>6E-10</v>
      </c>
      <c r="AJ339" s="117">
        <f t="shared" si="583"/>
        <v>7.500000000000001E-10</v>
      </c>
      <c r="AK339" s="117">
        <f t="shared" si="584"/>
        <v>6E-10</v>
      </c>
      <c r="AL339" s="117">
        <f t="shared" si="585"/>
        <v>6.9999999999999996E-10</v>
      </c>
      <c r="AM339" s="117">
        <f t="shared" si="586"/>
        <v>8.0000000000000003E-10</v>
      </c>
      <c r="AN339" s="117">
        <f t="shared" si="587"/>
        <v>8.9999999999999999E-10</v>
      </c>
      <c r="AO339" s="117">
        <f t="shared" si="588"/>
        <v>0</v>
      </c>
      <c r="AP339" s="438" t="b">
        <f t="shared" si="593"/>
        <v>0</v>
      </c>
      <c r="AQ339" s="438" t="b">
        <f t="shared" si="591"/>
        <v>0</v>
      </c>
      <c r="AR339" s="438" t="b">
        <f t="shared" si="591"/>
        <v>0</v>
      </c>
      <c r="AS339" s="130"/>
      <c r="AT339" s="438" t="b">
        <f t="shared" si="591"/>
        <v>1</v>
      </c>
      <c r="AU339" s="438" t="b">
        <f t="shared" si="591"/>
        <v>0</v>
      </c>
      <c r="AV339" s="438" t="b">
        <f t="shared" si="591"/>
        <v>1</v>
      </c>
      <c r="AW339" s="438" t="b">
        <f t="shared" si="591"/>
        <v>1</v>
      </c>
      <c r="AX339" s="438" t="b">
        <f t="shared" si="591"/>
        <v>1</v>
      </c>
      <c r="AY339" s="438" t="b">
        <f t="shared" si="591"/>
        <v>0</v>
      </c>
      <c r="BA339" s="93"/>
      <c r="BB339" s="93"/>
      <c r="BC339" s="93"/>
      <c r="BD339" s="93"/>
      <c r="BE339" s="93"/>
      <c r="BF339" s="93"/>
      <c r="BS339" s="116"/>
      <c r="BT339" s="101"/>
      <c r="BU339" s="102"/>
      <c r="BV339" s="115"/>
      <c r="BW339" s="115"/>
      <c r="BX339" s="115"/>
      <c r="BY339" s="115"/>
      <c r="BZ339" s="115"/>
      <c r="CA339" s="115"/>
      <c r="CB339" s="163"/>
      <c r="CC339" s="102"/>
      <c r="CD339" s="115"/>
      <c r="CE339" s="115"/>
      <c r="CF339" s="115"/>
      <c r="CG339" s="115"/>
      <c r="CH339" s="115"/>
      <c r="CI339" s="115"/>
      <c r="CJ339" s="115"/>
      <c r="CK339" s="115"/>
      <c r="CL339" s="115"/>
      <c r="CM339" s="115"/>
      <c r="CN339" s="115"/>
      <c r="CO339" s="115"/>
      <c r="CP339" s="115"/>
      <c r="CQ339" s="115"/>
      <c r="CR339" s="115"/>
      <c r="CS339" s="115"/>
    </row>
    <row r="340" spans="1:97">
      <c r="A340" s="117" t="s">
        <v>2634</v>
      </c>
      <c r="B340" s="117" t="str">
        <f>'Reference Score Calculation'!B317</f>
        <v>JS7214</v>
      </c>
      <c r="C340" s="117" t="str">
        <f>'Reference Score Calculation'!E317</f>
        <v>工商管理(榮譽)學士 – 人力資源管理與分析</v>
      </c>
      <c r="E340" s="132" t="str">
        <f>'Reference Score Calculation'!F317</f>
        <v>25年新科目</v>
      </c>
      <c r="F340" s="132" t="str">
        <f>'Reference Score Calculation'!AC317</f>
        <v>Best 5</v>
      </c>
      <c r="G340" s="117" t="str">
        <f>入學要求!AB326</f>
        <v>v</v>
      </c>
      <c r="H340" s="117" t="str">
        <f>入學要求!AC326</f>
        <v>E</v>
      </c>
      <c r="I340" s="117" t="str">
        <f>入學要求!AD326</f>
        <v>NO</v>
      </c>
      <c r="J340" s="117">
        <f t="shared" si="567"/>
        <v>3.1500000000000001E-9</v>
      </c>
      <c r="K340" s="459">
        <v>1</v>
      </c>
      <c r="L340" s="459">
        <v>2</v>
      </c>
      <c r="M340" s="459">
        <v>2</v>
      </c>
      <c r="N340" s="459"/>
      <c r="O340" s="503">
        <v>1.5</v>
      </c>
      <c r="P340" s="459">
        <f t="shared" ref="P340:P341" si="595">IF(OR(P$1="企業、會計與財務概論",P$1="資訊及通訊科技",P$1="經濟"),1.5,1)</f>
        <v>1</v>
      </c>
      <c r="Q340" s="459">
        <f t="shared" si="594"/>
        <v>1</v>
      </c>
      <c r="R340" s="459">
        <f t="shared" si="594"/>
        <v>1</v>
      </c>
      <c r="S340" s="459">
        <f t="shared" si="594"/>
        <v>1</v>
      </c>
      <c r="T340" s="459">
        <v>1</v>
      </c>
      <c r="V340" s="117">
        <f t="shared" si="571"/>
        <v>1E-10</v>
      </c>
      <c r="W340" s="117">
        <f t="shared" si="572"/>
        <v>4.0000000000000001E-10</v>
      </c>
      <c r="X340" s="117">
        <f t="shared" si="573"/>
        <v>6E-10</v>
      </c>
      <c r="Z340" s="117">
        <f t="shared" si="574"/>
        <v>7.500000000000001E-10</v>
      </c>
      <c r="AA340" s="117">
        <f t="shared" si="575"/>
        <v>6E-10</v>
      </c>
      <c r="AB340" s="117">
        <f t="shared" si="576"/>
        <v>6.9999999999999996E-10</v>
      </c>
      <c r="AC340" s="117">
        <f t="shared" si="577"/>
        <v>8.0000000000000003E-10</v>
      </c>
      <c r="AD340" s="117">
        <f t="shared" si="578"/>
        <v>8.9999999999999999E-10</v>
      </c>
      <c r="AE340" s="117">
        <f t="shared" si="579"/>
        <v>0</v>
      </c>
      <c r="AF340" s="117">
        <f t="shared" si="580"/>
        <v>1E-10</v>
      </c>
      <c r="AG340" s="117">
        <f t="shared" si="581"/>
        <v>4.0000000000000001E-10</v>
      </c>
      <c r="AH340" s="117">
        <f t="shared" si="582"/>
        <v>6E-10</v>
      </c>
      <c r="AJ340" s="117">
        <f t="shared" si="583"/>
        <v>7.500000000000001E-10</v>
      </c>
      <c r="AK340" s="117">
        <f t="shared" si="584"/>
        <v>6E-10</v>
      </c>
      <c r="AL340" s="117">
        <f t="shared" si="585"/>
        <v>6.9999999999999996E-10</v>
      </c>
      <c r="AM340" s="117">
        <f t="shared" si="586"/>
        <v>8.0000000000000003E-10</v>
      </c>
      <c r="AN340" s="117">
        <f t="shared" si="587"/>
        <v>8.9999999999999999E-10</v>
      </c>
      <c r="AO340" s="117">
        <f t="shared" si="588"/>
        <v>0</v>
      </c>
      <c r="AP340" s="438" t="b">
        <f t="shared" si="593"/>
        <v>0</v>
      </c>
      <c r="AQ340" s="438" t="b">
        <f t="shared" si="591"/>
        <v>0</v>
      </c>
      <c r="AR340" s="438" t="b">
        <f t="shared" si="591"/>
        <v>0</v>
      </c>
      <c r="AS340" s="130"/>
      <c r="AT340" s="438" t="b">
        <f t="shared" si="591"/>
        <v>1</v>
      </c>
      <c r="AU340" s="438" t="b">
        <f t="shared" si="591"/>
        <v>0</v>
      </c>
      <c r="AV340" s="438" t="b">
        <f t="shared" si="591"/>
        <v>1</v>
      </c>
      <c r="AW340" s="438" t="b">
        <f t="shared" si="591"/>
        <v>1</v>
      </c>
      <c r="AX340" s="438" t="b">
        <f t="shared" si="591"/>
        <v>1</v>
      </c>
      <c r="AY340" s="438" t="b">
        <f t="shared" si="591"/>
        <v>0</v>
      </c>
      <c r="BA340" s="93"/>
      <c r="BB340" s="93"/>
      <c r="BC340" s="93"/>
      <c r="BD340" s="93"/>
      <c r="BE340" s="93"/>
      <c r="BF340" s="93"/>
      <c r="BS340" s="116"/>
      <c r="BT340" s="101"/>
      <c r="BU340" s="102"/>
      <c r="BV340" s="115"/>
      <c r="BW340" s="115"/>
      <c r="BX340" s="115"/>
      <c r="BY340" s="115"/>
      <c r="BZ340" s="115"/>
      <c r="CA340" s="115"/>
      <c r="CB340" s="163"/>
      <c r="CC340" s="102"/>
      <c r="CD340" s="115"/>
      <c r="CE340" s="115"/>
      <c r="CF340" s="115"/>
      <c r="CG340" s="115"/>
      <c r="CH340" s="115"/>
      <c r="CI340" s="115"/>
      <c r="CJ340" s="115"/>
      <c r="CK340" s="115"/>
      <c r="CL340" s="115"/>
      <c r="CM340" s="115"/>
      <c r="CN340" s="115"/>
      <c r="CO340" s="115"/>
      <c r="CP340" s="115"/>
      <c r="CQ340" s="115"/>
      <c r="CR340" s="115"/>
      <c r="CS340" s="115"/>
    </row>
    <row r="341" spans="1:97">
      <c r="A341" s="117" t="s">
        <v>2637</v>
      </c>
      <c r="B341" s="117" t="str">
        <f>'Reference Score Calculation'!B318</f>
        <v>JS7215</v>
      </c>
      <c r="C341" s="117" t="str">
        <f>'Reference Score Calculation'!E318</f>
        <v>工商管理(榮譽)學士 – 市場學與社交媒體</v>
      </c>
      <c r="E341" s="132" t="str">
        <f>'Reference Score Calculation'!F318</f>
        <v>25年新科目</v>
      </c>
      <c r="F341" s="132" t="str">
        <f>'Reference Score Calculation'!AC318</f>
        <v>Best 5</v>
      </c>
      <c r="G341" s="117" t="str">
        <f>入學要求!AB327</f>
        <v>v</v>
      </c>
      <c r="H341" s="117" t="str">
        <f>入學要求!AC327</f>
        <v>E</v>
      </c>
      <c r="I341" s="117" t="str">
        <f>入學要求!AD327</f>
        <v>NO</v>
      </c>
      <c r="J341" s="117">
        <f t="shared" si="567"/>
        <v>3.1500000000000001E-9</v>
      </c>
      <c r="K341" s="459">
        <v>1</v>
      </c>
      <c r="L341" s="459">
        <v>2</v>
      </c>
      <c r="M341" s="459">
        <v>2</v>
      </c>
      <c r="N341" s="459"/>
      <c r="O341" s="503">
        <v>1.5</v>
      </c>
      <c r="P341" s="459">
        <f t="shared" si="595"/>
        <v>1</v>
      </c>
      <c r="Q341" s="459">
        <f t="shared" si="594"/>
        <v>1</v>
      </c>
      <c r="R341" s="459">
        <f t="shared" si="594"/>
        <v>1</v>
      </c>
      <c r="S341" s="459">
        <f t="shared" si="594"/>
        <v>1</v>
      </c>
      <c r="T341" s="459">
        <v>1</v>
      </c>
      <c r="V341" s="117">
        <f t="shared" si="571"/>
        <v>1E-10</v>
      </c>
      <c r="W341" s="117">
        <f t="shared" si="572"/>
        <v>4.0000000000000001E-10</v>
      </c>
      <c r="X341" s="117">
        <f t="shared" si="573"/>
        <v>6E-10</v>
      </c>
      <c r="Z341" s="117">
        <f t="shared" si="574"/>
        <v>7.500000000000001E-10</v>
      </c>
      <c r="AA341" s="117">
        <f t="shared" si="575"/>
        <v>6E-10</v>
      </c>
      <c r="AB341" s="117">
        <f t="shared" si="576"/>
        <v>6.9999999999999996E-10</v>
      </c>
      <c r="AC341" s="117">
        <f t="shared" si="577"/>
        <v>8.0000000000000003E-10</v>
      </c>
      <c r="AD341" s="117">
        <f t="shared" si="578"/>
        <v>8.9999999999999999E-10</v>
      </c>
      <c r="AE341" s="117">
        <f t="shared" si="579"/>
        <v>0</v>
      </c>
      <c r="AF341" s="117">
        <f t="shared" si="580"/>
        <v>1E-10</v>
      </c>
      <c r="AG341" s="117">
        <f t="shared" si="581"/>
        <v>4.0000000000000001E-10</v>
      </c>
      <c r="AH341" s="117">
        <f t="shared" si="582"/>
        <v>6E-10</v>
      </c>
      <c r="AJ341" s="117">
        <f t="shared" si="583"/>
        <v>7.500000000000001E-10</v>
      </c>
      <c r="AK341" s="117">
        <f t="shared" si="584"/>
        <v>6E-10</v>
      </c>
      <c r="AL341" s="117">
        <f t="shared" si="585"/>
        <v>6.9999999999999996E-10</v>
      </c>
      <c r="AM341" s="117">
        <f t="shared" si="586"/>
        <v>8.0000000000000003E-10</v>
      </c>
      <c r="AN341" s="117">
        <f t="shared" si="587"/>
        <v>8.9999999999999999E-10</v>
      </c>
      <c r="AO341" s="117">
        <f t="shared" si="588"/>
        <v>0</v>
      </c>
      <c r="AP341" s="438" t="b">
        <f t="shared" si="593"/>
        <v>0</v>
      </c>
      <c r="AQ341" s="438" t="b">
        <f t="shared" si="591"/>
        <v>0</v>
      </c>
      <c r="AR341" s="438" t="b">
        <f t="shared" si="591"/>
        <v>0</v>
      </c>
      <c r="AS341" s="130"/>
      <c r="AT341" s="438" t="b">
        <f t="shared" si="591"/>
        <v>1</v>
      </c>
      <c r="AU341" s="438" t="b">
        <f t="shared" si="591"/>
        <v>0</v>
      </c>
      <c r="AV341" s="438" t="b">
        <f t="shared" si="591"/>
        <v>1</v>
      </c>
      <c r="AW341" s="438" t="b">
        <f t="shared" si="591"/>
        <v>1</v>
      </c>
      <c r="AX341" s="438" t="b">
        <f t="shared" si="591"/>
        <v>1</v>
      </c>
      <c r="AY341" s="438" t="b">
        <f t="shared" si="591"/>
        <v>0</v>
      </c>
      <c r="BA341" s="93"/>
      <c r="BB341" s="93"/>
      <c r="BC341" s="93"/>
      <c r="BD341" s="93"/>
      <c r="BE341" s="93"/>
      <c r="BF341" s="93"/>
      <c r="BS341" s="116"/>
      <c r="BT341" s="101"/>
      <c r="BU341" s="102"/>
      <c r="BV341" s="115"/>
      <c r="BW341" s="115"/>
      <c r="BX341" s="115"/>
      <c r="BY341" s="115"/>
      <c r="BZ341" s="115"/>
      <c r="CA341" s="115"/>
      <c r="CB341" s="163"/>
      <c r="CC341" s="102"/>
      <c r="CD341" s="115"/>
      <c r="CE341" s="115"/>
      <c r="CF341" s="115"/>
      <c r="CG341" s="115"/>
      <c r="CH341" s="115"/>
      <c r="CI341" s="115"/>
      <c r="CJ341" s="115"/>
      <c r="CK341" s="115"/>
      <c r="CL341" s="115"/>
      <c r="CM341" s="115"/>
      <c r="CN341" s="115"/>
      <c r="CO341" s="115"/>
      <c r="CP341" s="115"/>
      <c r="CQ341" s="115"/>
      <c r="CR341" s="115"/>
      <c r="CS341" s="115"/>
    </row>
    <row r="342" spans="1:97">
      <c r="A342" s="117" t="s">
        <v>1585</v>
      </c>
      <c r="B342" s="117" t="str">
        <f>'Reference Score Calculation'!B319</f>
        <v>JS7216</v>
      </c>
      <c r="C342" s="117" t="str">
        <f>'Reference Score Calculation'!E319</f>
        <v>工商管理(榮譽)學士 - 風險及保險管理</v>
      </c>
      <c r="E342" s="132" t="str">
        <f>'Reference Score Calculation'!F319</f>
        <v>Best 5</v>
      </c>
      <c r="F342" s="132" t="str">
        <f>'Reference Score Calculation'!AC319</f>
        <v>Best 5</v>
      </c>
      <c r="G342" s="117" t="str">
        <f>入學要求!AB328</f>
        <v>v</v>
      </c>
      <c r="H342" s="117" t="str">
        <f>入學要求!AC328</f>
        <v>E</v>
      </c>
      <c r="I342" s="117" t="str">
        <f>入學要求!AD328</f>
        <v>NO</v>
      </c>
      <c r="J342" s="117">
        <f t="shared" si="567"/>
        <v>3.4999999999999999E-9</v>
      </c>
      <c r="K342" s="459">
        <v>1</v>
      </c>
      <c r="L342" s="459">
        <v>2</v>
      </c>
      <c r="M342" s="459">
        <v>1.5</v>
      </c>
      <c r="N342" s="459"/>
      <c r="O342" s="503">
        <v>1</v>
      </c>
      <c r="P342" s="459">
        <v>1</v>
      </c>
      <c r="Q342" s="459">
        <v>1</v>
      </c>
      <c r="R342" s="459">
        <v>1</v>
      </c>
      <c r="S342" s="459">
        <v>1</v>
      </c>
      <c r="T342" s="459">
        <v>1</v>
      </c>
      <c r="V342" s="117">
        <f t="shared" si="571"/>
        <v>1E-10</v>
      </c>
      <c r="W342" s="117">
        <f t="shared" si="572"/>
        <v>4.0000000000000001E-10</v>
      </c>
      <c r="X342" s="117">
        <f t="shared" si="573"/>
        <v>4.5E-10</v>
      </c>
      <c r="Z342" s="117">
        <f t="shared" si="574"/>
        <v>5.0000000000000003E-10</v>
      </c>
      <c r="AA342" s="117">
        <f t="shared" si="575"/>
        <v>6E-10</v>
      </c>
      <c r="AB342" s="117">
        <f t="shared" si="576"/>
        <v>6.9999999999999996E-10</v>
      </c>
      <c r="AC342" s="117">
        <f t="shared" si="577"/>
        <v>8.0000000000000003E-10</v>
      </c>
      <c r="AD342" s="117">
        <f t="shared" si="578"/>
        <v>8.9999999999999999E-10</v>
      </c>
      <c r="AE342" s="117">
        <f t="shared" si="579"/>
        <v>0</v>
      </c>
      <c r="AF342" s="117">
        <f t="shared" si="580"/>
        <v>1E-10</v>
      </c>
      <c r="AG342" s="117">
        <f t="shared" si="581"/>
        <v>4.0000000000000001E-10</v>
      </c>
      <c r="AH342" s="117">
        <f t="shared" si="582"/>
        <v>4.5E-10</v>
      </c>
      <c r="AJ342" s="117">
        <f t="shared" si="583"/>
        <v>5.0000000000000003E-10</v>
      </c>
      <c r="AK342" s="117">
        <f t="shared" si="584"/>
        <v>6E-10</v>
      </c>
      <c r="AL342" s="117">
        <f t="shared" si="585"/>
        <v>6.9999999999999996E-10</v>
      </c>
      <c r="AM342" s="117">
        <f t="shared" si="586"/>
        <v>8.0000000000000003E-10</v>
      </c>
      <c r="AN342" s="117">
        <f t="shared" si="587"/>
        <v>8.9999999999999999E-10</v>
      </c>
      <c r="AO342" s="117">
        <f t="shared" si="588"/>
        <v>0</v>
      </c>
      <c r="AP342" s="117" t="b">
        <f t="shared" ref="AP342:AP355" si="596">IF(V342&gt;LARGE(($V342:$AE342),6),TRUE)</f>
        <v>0</v>
      </c>
      <c r="AQ342" s="117" t="b">
        <f t="shared" ref="AQ342:AQ355" si="597">IF(W342&gt;LARGE(($V342:$AE342),6),TRUE)</f>
        <v>0</v>
      </c>
      <c r="AR342" s="117" t="b">
        <f t="shared" ref="AR342:AR355" si="598">IF(X342&gt;LARGE(($V342:$AE342),6),TRUE)</f>
        <v>0</v>
      </c>
      <c r="AS342" s="130"/>
      <c r="AT342" s="117" t="b">
        <f t="shared" ref="AT342:AT355" si="599">IF(Z342&gt;LARGE(($V342:$AE342),6),TRUE)</f>
        <v>1</v>
      </c>
      <c r="AU342" s="117" t="b">
        <f t="shared" ref="AU342:AU355" si="600">IF(AA342&gt;LARGE(($V342:$AE342),6),TRUE)</f>
        <v>1</v>
      </c>
      <c r="AV342" s="117" t="b">
        <f t="shared" ref="AV342:AV355" si="601">IF(AB342&gt;LARGE(($V342:$AE342),6),TRUE)</f>
        <v>1</v>
      </c>
      <c r="AW342" s="117" t="b">
        <f t="shared" ref="AW342:AW355" si="602">IF(AC342&gt;LARGE(($V342:$AE342),6),TRUE)</f>
        <v>1</v>
      </c>
      <c r="AX342" s="117" t="b">
        <f t="shared" ref="AX342:AX355" si="603">IF(AD342&gt;LARGE(($V342:$AE342),6),TRUE)</f>
        <v>1</v>
      </c>
      <c r="AY342" s="117" t="b">
        <f t="shared" ref="AY342:AY355" si="604">IF(AE342&gt;LARGE(($V342:$AE342),6),TRUE)</f>
        <v>0</v>
      </c>
      <c r="BA342" s="93"/>
      <c r="BB342" s="93"/>
      <c r="BC342" s="93"/>
      <c r="BD342" s="93"/>
      <c r="BE342" s="93"/>
      <c r="BF342" s="93"/>
    </row>
    <row r="343" spans="1:97">
      <c r="A343" s="139" t="s">
        <v>1588</v>
      </c>
      <c r="B343" s="117" t="str">
        <f>'Reference Score Calculation'!B320</f>
        <v>JS7225</v>
      </c>
      <c r="C343" s="117" t="str">
        <f>'Reference Score Calculation'!E320</f>
        <v>數據科學(榮譽)理學士</v>
      </c>
      <c r="E343" s="132" t="str">
        <f>'Reference Score Calculation'!F320</f>
        <v>Best 5</v>
      </c>
      <c r="F343" s="132" t="str">
        <f>'Reference Score Calculation'!AC320</f>
        <v>Best 5</v>
      </c>
      <c r="G343" s="117" t="str">
        <f>入學要求!AB329</f>
        <v>v</v>
      </c>
      <c r="H343" s="117" t="str">
        <f>入學要求!AC329</f>
        <v>E</v>
      </c>
      <c r="I343" s="117" t="str">
        <f>入學要求!AD329</f>
        <v>NO</v>
      </c>
      <c r="J343" s="117">
        <f t="shared" si="567"/>
        <v>3.3999999999999998E-9</v>
      </c>
      <c r="K343" s="459">
        <v>1</v>
      </c>
      <c r="L343" s="459">
        <v>2</v>
      </c>
      <c r="M343" s="459">
        <v>2</v>
      </c>
      <c r="N343" s="459"/>
      <c r="O343" s="503">
        <v>2</v>
      </c>
      <c r="P343" s="459">
        <f>IF(OR(P$1="化學",P$1="資訊及通訊科技"),2,IF(P$1="物理",1.25,1))</f>
        <v>1</v>
      </c>
      <c r="Q343" s="459">
        <f t="shared" ref="Q343:S343" si="605">IF(OR(Q$1="化學",Q$1="資訊及通訊科技"),2,IF(Q$1="物理",1.25,1))</f>
        <v>1</v>
      </c>
      <c r="R343" s="459">
        <f t="shared" si="605"/>
        <v>1</v>
      </c>
      <c r="S343" s="459">
        <f t="shared" si="605"/>
        <v>1</v>
      </c>
      <c r="T343" s="459">
        <v>1</v>
      </c>
      <c r="V343" s="117">
        <f t="shared" si="571"/>
        <v>1E-10</v>
      </c>
      <c r="W343" s="117">
        <f t="shared" si="572"/>
        <v>4.0000000000000001E-10</v>
      </c>
      <c r="X343" s="117">
        <f t="shared" si="573"/>
        <v>6E-10</v>
      </c>
      <c r="Z343" s="117">
        <f t="shared" si="574"/>
        <v>1.0000000000000001E-9</v>
      </c>
      <c r="AA343" s="117">
        <f t="shared" si="575"/>
        <v>6E-10</v>
      </c>
      <c r="AB343" s="117">
        <f t="shared" si="576"/>
        <v>6.9999999999999996E-10</v>
      </c>
      <c r="AC343" s="117">
        <f t="shared" si="577"/>
        <v>8.0000000000000003E-10</v>
      </c>
      <c r="AD343" s="117">
        <f t="shared" si="578"/>
        <v>8.9999999999999999E-10</v>
      </c>
      <c r="AE343" s="117">
        <f t="shared" si="579"/>
        <v>0</v>
      </c>
      <c r="AF343" s="117">
        <f t="shared" si="580"/>
        <v>1E-10</v>
      </c>
      <c r="AG343" s="117">
        <f t="shared" si="581"/>
        <v>4.0000000000000001E-10</v>
      </c>
      <c r="AH343" s="117">
        <f t="shared" si="582"/>
        <v>6E-10</v>
      </c>
      <c r="AJ343" s="117">
        <f t="shared" si="583"/>
        <v>1.0000000000000001E-9</v>
      </c>
      <c r="AK343" s="117">
        <f t="shared" si="584"/>
        <v>6E-10</v>
      </c>
      <c r="AL343" s="117">
        <f t="shared" si="585"/>
        <v>6.9999999999999996E-10</v>
      </c>
      <c r="AM343" s="117">
        <f t="shared" si="586"/>
        <v>8.0000000000000003E-10</v>
      </c>
      <c r="AN343" s="117">
        <f t="shared" si="587"/>
        <v>8.9999999999999999E-10</v>
      </c>
      <c r="AO343" s="117">
        <f t="shared" si="588"/>
        <v>0</v>
      </c>
      <c r="AP343" s="117" t="b">
        <f t="shared" si="596"/>
        <v>0</v>
      </c>
      <c r="AQ343" s="117" t="b">
        <f t="shared" si="597"/>
        <v>0</v>
      </c>
      <c r="AR343" s="117" t="b">
        <f t="shared" si="598"/>
        <v>0</v>
      </c>
      <c r="AS343" s="130"/>
      <c r="AT343" s="117" t="b">
        <f t="shared" si="599"/>
        <v>1</v>
      </c>
      <c r="AU343" s="117" t="b">
        <f t="shared" si="600"/>
        <v>0</v>
      </c>
      <c r="AV343" s="117" t="b">
        <f t="shared" si="601"/>
        <v>1</v>
      </c>
      <c r="AW343" s="117" t="b">
        <f t="shared" si="602"/>
        <v>1</v>
      </c>
      <c r="AX343" s="117" t="b">
        <f t="shared" si="603"/>
        <v>1</v>
      </c>
      <c r="AY343" s="117" t="b">
        <f t="shared" si="604"/>
        <v>0</v>
      </c>
      <c r="BA343" s="93"/>
      <c r="BB343" s="93"/>
      <c r="BC343" s="93"/>
      <c r="BD343" s="93"/>
      <c r="BE343" s="93"/>
      <c r="BF343" s="93"/>
    </row>
    <row r="344" spans="1:97">
      <c r="A344" s="139" t="s">
        <v>1591</v>
      </c>
      <c r="B344" s="117" t="str">
        <f>'Reference Score Calculation'!B321</f>
        <v>JS7301</v>
      </c>
      <c r="C344" s="117" t="str">
        <f>'Reference Score Calculation'!E321</f>
        <v>社會科學(榮譽)學士 - 經濟學</v>
      </c>
      <c r="E344" s="132" t="str">
        <f>'Reference Score Calculation'!F321</f>
        <v>Best 5</v>
      </c>
      <c r="F344" s="132" t="str">
        <f>'Reference Score Calculation'!AC321</f>
        <v>Best 5</v>
      </c>
      <c r="G344" s="117" t="str">
        <f>入學要求!AB330</f>
        <v>v</v>
      </c>
      <c r="H344" s="117" t="str">
        <f>入學要求!AC330</f>
        <v>E</v>
      </c>
      <c r="I344" s="117" t="str">
        <f>入學要求!AD330</f>
        <v>NO</v>
      </c>
      <c r="J344" s="117">
        <f t="shared" si="567"/>
        <v>3.4999999999999999E-9</v>
      </c>
      <c r="K344" s="459">
        <v>1</v>
      </c>
      <c r="L344" s="459">
        <v>2</v>
      </c>
      <c r="M344" s="459">
        <v>1.5</v>
      </c>
      <c r="N344" s="459"/>
      <c r="O344" s="503">
        <v>1</v>
      </c>
      <c r="P344" s="459">
        <f>IF(P$1="經濟",1.5,1)</f>
        <v>1</v>
      </c>
      <c r="Q344" s="459">
        <f>IF(Q$1="經濟",1.5,1)</f>
        <v>1</v>
      </c>
      <c r="R344" s="459">
        <f>IF(R$1="經濟",1.5,1)</f>
        <v>1</v>
      </c>
      <c r="S344" s="459">
        <f>IF(S$1="經濟",1.5,1)</f>
        <v>1</v>
      </c>
      <c r="T344" s="459">
        <v>1</v>
      </c>
      <c r="V344" s="117">
        <f t="shared" si="571"/>
        <v>1E-10</v>
      </c>
      <c r="W344" s="117">
        <f t="shared" si="572"/>
        <v>4.0000000000000001E-10</v>
      </c>
      <c r="X344" s="117">
        <f t="shared" si="573"/>
        <v>4.5E-10</v>
      </c>
      <c r="Z344" s="117">
        <f t="shared" si="574"/>
        <v>5.0000000000000003E-10</v>
      </c>
      <c r="AA344" s="117">
        <f t="shared" si="575"/>
        <v>6E-10</v>
      </c>
      <c r="AB344" s="117">
        <f t="shared" si="576"/>
        <v>6.9999999999999996E-10</v>
      </c>
      <c r="AC344" s="117">
        <f t="shared" si="577"/>
        <v>8.0000000000000003E-10</v>
      </c>
      <c r="AD344" s="117">
        <f t="shared" si="578"/>
        <v>8.9999999999999999E-10</v>
      </c>
      <c r="AE344" s="117">
        <f t="shared" si="579"/>
        <v>0</v>
      </c>
      <c r="AF344" s="117">
        <f t="shared" si="580"/>
        <v>1E-10</v>
      </c>
      <c r="AG344" s="117">
        <f t="shared" si="581"/>
        <v>4.0000000000000001E-10</v>
      </c>
      <c r="AH344" s="117">
        <f t="shared" si="582"/>
        <v>4.5E-10</v>
      </c>
      <c r="AJ344" s="117">
        <f t="shared" si="583"/>
        <v>5.0000000000000003E-10</v>
      </c>
      <c r="AK344" s="117">
        <f t="shared" si="584"/>
        <v>6E-10</v>
      </c>
      <c r="AL344" s="117">
        <f t="shared" si="585"/>
        <v>6.9999999999999996E-10</v>
      </c>
      <c r="AM344" s="117">
        <f t="shared" si="586"/>
        <v>8.0000000000000003E-10</v>
      </c>
      <c r="AN344" s="117">
        <f t="shared" si="587"/>
        <v>8.9999999999999999E-10</v>
      </c>
      <c r="AO344" s="117">
        <f t="shared" si="588"/>
        <v>0</v>
      </c>
      <c r="AP344" s="117" t="b">
        <f t="shared" si="596"/>
        <v>0</v>
      </c>
      <c r="AQ344" s="117" t="b">
        <f t="shared" si="597"/>
        <v>0</v>
      </c>
      <c r="AR344" s="117" t="b">
        <f t="shared" si="598"/>
        <v>0</v>
      </c>
      <c r="AS344" s="130"/>
      <c r="AT344" s="117" t="b">
        <f t="shared" si="599"/>
        <v>1</v>
      </c>
      <c r="AU344" s="117" t="b">
        <f t="shared" si="600"/>
        <v>1</v>
      </c>
      <c r="AV344" s="117" t="b">
        <f t="shared" si="601"/>
        <v>1</v>
      </c>
      <c r="AW344" s="117" t="b">
        <f t="shared" si="602"/>
        <v>1</v>
      </c>
      <c r="AX344" s="117" t="b">
        <f t="shared" si="603"/>
        <v>1</v>
      </c>
      <c r="AY344" s="117" t="b">
        <f t="shared" si="604"/>
        <v>0</v>
      </c>
      <c r="BA344" s="93"/>
      <c r="BB344" s="93"/>
      <c r="BC344" s="93"/>
      <c r="BD344" s="93"/>
      <c r="BE344" s="93"/>
      <c r="BF344" s="93"/>
    </row>
    <row r="345" spans="1:97">
      <c r="A345" s="139" t="s">
        <v>1594</v>
      </c>
      <c r="B345" s="117" t="str">
        <f>'Reference Score Calculation'!B322</f>
        <v>JS7302</v>
      </c>
      <c r="C345" s="117" t="str">
        <f>'Reference Score Calculation'!E322</f>
        <v>社會科學(榮譽)學士 - 政府與國際事務學</v>
      </c>
      <c r="E345" s="132" t="str">
        <f>'Reference Score Calculation'!F322</f>
        <v>Best 5</v>
      </c>
      <c r="F345" s="132" t="str">
        <f>'Reference Score Calculation'!AC322</f>
        <v>Best 5</v>
      </c>
      <c r="G345" s="117" t="str">
        <f>入學要求!AB331</f>
        <v>v</v>
      </c>
      <c r="H345" s="117" t="str">
        <f>入學要求!AC331</f>
        <v>E</v>
      </c>
      <c r="I345" s="117" t="str">
        <f>入學要求!AD331</f>
        <v>NO</v>
      </c>
      <c r="J345" s="117">
        <f t="shared" si="567"/>
        <v>3.7500000000000005E-9</v>
      </c>
      <c r="K345" s="459">
        <v>1</v>
      </c>
      <c r="L345" s="459">
        <v>2</v>
      </c>
      <c r="M345" s="459">
        <v>1.5</v>
      </c>
      <c r="N345" s="459"/>
      <c r="O345" s="503">
        <v>1.5</v>
      </c>
      <c r="P345" s="459">
        <f>IF(OR(P$1="中國歷史",P$1="地理",P$1="歷史"),1.5,1)</f>
        <v>1</v>
      </c>
      <c r="Q345" s="459">
        <f>IF(OR(Q$1="中國歷史",Q$1="地理",Q$1="歷史"),1.5,1)</f>
        <v>1</v>
      </c>
      <c r="R345" s="459">
        <f>IF(OR(R$1="中國歷史",R$1="地理",R$1="歷史"),1.5,1)</f>
        <v>1</v>
      </c>
      <c r="S345" s="459">
        <f>IF(OR(S$1="中國歷史",S$1="地理",S$1="歷史"),1.5,1)</f>
        <v>1</v>
      </c>
      <c r="T345" s="459">
        <v>1</v>
      </c>
      <c r="V345" s="117">
        <f t="shared" si="571"/>
        <v>1E-10</v>
      </c>
      <c r="W345" s="117">
        <f t="shared" si="572"/>
        <v>4.0000000000000001E-10</v>
      </c>
      <c r="X345" s="117">
        <f t="shared" si="573"/>
        <v>4.5E-10</v>
      </c>
      <c r="Z345" s="117">
        <f t="shared" si="574"/>
        <v>7.500000000000001E-10</v>
      </c>
      <c r="AA345" s="117">
        <f t="shared" si="575"/>
        <v>6E-10</v>
      </c>
      <c r="AB345" s="117">
        <f t="shared" si="576"/>
        <v>6.9999999999999996E-10</v>
      </c>
      <c r="AC345" s="117">
        <f t="shared" si="577"/>
        <v>8.0000000000000003E-10</v>
      </c>
      <c r="AD345" s="117">
        <f t="shared" si="578"/>
        <v>8.9999999999999999E-10</v>
      </c>
      <c r="AE345" s="117">
        <f t="shared" si="579"/>
        <v>0</v>
      </c>
      <c r="AF345" s="117">
        <f t="shared" si="580"/>
        <v>1E-10</v>
      </c>
      <c r="AG345" s="117">
        <f t="shared" si="581"/>
        <v>4.0000000000000001E-10</v>
      </c>
      <c r="AH345" s="117">
        <f t="shared" si="582"/>
        <v>4.5E-10</v>
      </c>
      <c r="AJ345" s="117">
        <f t="shared" si="583"/>
        <v>7.500000000000001E-10</v>
      </c>
      <c r="AK345" s="117">
        <f t="shared" si="584"/>
        <v>6E-10</v>
      </c>
      <c r="AL345" s="117">
        <f t="shared" si="585"/>
        <v>6.9999999999999996E-10</v>
      </c>
      <c r="AM345" s="117">
        <f t="shared" si="586"/>
        <v>8.0000000000000003E-10</v>
      </c>
      <c r="AN345" s="117">
        <f t="shared" si="587"/>
        <v>8.9999999999999999E-10</v>
      </c>
      <c r="AO345" s="117">
        <f t="shared" si="588"/>
        <v>0</v>
      </c>
      <c r="AP345" s="117" t="b">
        <f t="shared" si="596"/>
        <v>0</v>
      </c>
      <c r="AQ345" s="117" t="b">
        <f t="shared" si="597"/>
        <v>0</v>
      </c>
      <c r="AR345" s="117" t="b">
        <f t="shared" si="598"/>
        <v>0</v>
      </c>
      <c r="AS345" s="130"/>
      <c r="AT345" s="117" t="b">
        <f t="shared" si="599"/>
        <v>1</v>
      </c>
      <c r="AU345" s="117" t="b">
        <f t="shared" si="600"/>
        <v>1</v>
      </c>
      <c r="AV345" s="117" t="b">
        <f t="shared" si="601"/>
        <v>1</v>
      </c>
      <c r="AW345" s="117" t="b">
        <f t="shared" si="602"/>
        <v>1</v>
      </c>
      <c r="AX345" s="117" t="b">
        <f t="shared" si="603"/>
        <v>1</v>
      </c>
      <c r="AY345" s="117" t="b">
        <f t="shared" si="604"/>
        <v>0</v>
      </c>
      <c r="BA345" s="93"/>
      <c r="BB345" s="93"/>
      <c r="BC345" s="93"/>
      <c r="BD345" s="93"/>
      <c r="BE345" s="93"/>
      <c r="BF345" s="93"/>
    </row>
    <row r="346" spans="1:97">
      <c r="A346" s="139" t="s">
        <v>1597</v>
      </c>
      <c r="B346" s="117" t="str">
        <f>'Reference Score Calculation'!B323</f>
        <v>JS7303</v>
      </c>
      <c r="C346" s="117" t="str">
        <f>'Reference Score Calculation'!E323</f>
        <v>社會科學(榮譽)學士 - 心理學</v>
      </c>
      <c r="E346" s="132" t="str">
        <f>'Reference Score Calculation'!F323</f>
        <v>Best 5</v>
      </c>
      <c r="F346" s="132" t="str">
        <f>'Reference Score Calculation'!AC323</f>
        <v>Best 5</v>
      </c>
      <c r="G346" s="117" t="str">
        <f>入學要求!AB332</f>
        <v>v</v>
      </c>
      <c r="H346" s="117" t="str">
        <f>入學要求!AC332</f>
        <v>E</v>
      </c>
      <c r="I346" s="117" t="str">
        <f>入學要求!AD332</f>
        <v>NO</v>
      </c>
      <c r="J346" s="117">
        <f t="shared" si="567"/>
        <v>3.4999999999999999E-9</v>
      </c>
      <c r="K346" s="459">
        <v>1</v>
      </c>
      <c r="L346" s="459">
        <v>2</v>
      </c>
      <c r="M346" s="459">
        <v>1.5</v>
      </c>
      <c r="N346" s="459"/>
      <c r="O346" s="503">
        <v>1</v>
      </c>
      <c r="P346" s="459">
        <v>1</v>
      </c>
      <c r="Q346" s="459">
        <v>1</v>
      </c>
      <c r="R346" s="459">
        <v>1</v>
      </c>
      <c r="S346" s="459">
        <v>1</v>
      </c>
      <c r="T346" s="459">
        <v>1</v>
      </c>
      <c r="V346" s="117">
        <f t="shared" si="571"/>
        <v>1E-10</v>
      </c>
      <c r="W346" s="117">
        <f t="shared" si="572"/>
        <v>4.0000000000000001E-10</v>
      </c>
      <c r="X346" s="117">
        <f t="shared" si="573"/>
        <v>4.5E-10</v>
      </c>
      <c r="Z346" s="117">
        <f t="shared" si="574"/>
        <v>5.0000000000000003E-10</v>
      </c>
      <c r="AA346" s="117">
        <f t="shared" si="575"/>
        <v>6E-10</v>
      </c>
      <c r="AB346" s="117">
        <f t="shared" si="576"/>
        <v>6.9999999999999996E-10</v>
      </c>
      <c r="AC346" s="117">
        <f t="shared" si="577"/>
        <v>8.0000000000000003E-10</v>
      </c>
      <c r="AD346" s="117">
        <f t="shared" si="578"/>
        <v>8.9999999999999999E-10</v>
      </c>
      <c r="AE346" s="117">
        <f t="shared" si="579"/>
        <v>0</v>
      </c>
      <c r="AF346" s="117">
        <f t="shared" si="580"/>
        <v>1E-10</v>
      </c>
      <c r="AG346" s="117">
        <f t="shared" si="581"/>
        <v>4.0000000000000001E-10</v>
      </c>
      <c r="AH346" s="117">
        <f t="shared" si="582"/>
        <v>4.5E-10</v>
      </c>
      <c r="AJ346" s="117">
        <f t="shared" si="583"/>
        <v>5.0000000000000003E-10</v>
      </c>
      <c r="AK346" s="117">
        <f t="shared" si="584"/>
        <v>6E-10</v>
      </c>
      <c r="AL346" s="117">
        <f t="shared" si="585"/>
        <v>6.9999999999999996E-10</v>
      </c>
      <c r="AM346" s="117">
        <f t="shared" si="586"/>
        <v>8.0000000000000003E-10</v>
      </c>
      <c r="AN346" s="117">
        <f t="shared" si="587"/>
        <v>8.9999999999999999E-10</v>
      </c>
      <c r="AO346" s="117">
        <f t="shared" si="588"/>
        <v>0</v>
      </c>
      <c r="AP346" s="117" t="b">
        <f t="shared" si="596"/>
        <v>0</v>
      </c>
      <c r="AQ346" s="117" t="b">
        <f t="shared" si="597"/>
        <v>0</v>
      </c>
      <c r="AR346" s="117" t="b">
        <f t="shared" si="598"/>
        <v>0</v>
      </c>
      <c r="AS346" s="130"/>
      <c r="AT346" s="117" t="b">
        <f t="shared" si="599"/>
        <v>1</v>
      </c>
      <c r="AU346" s="117" t="b">
        <f t="shared" si="600"/>
        <v>1</v>
      </c>
      <c r="AV346" s="117" t="b">
        <f t="shared" si="601"/>
        <v>1</v>
      </c>
      <c r="AW346" s="117" t="b">
        <f t="shared" si="602"/>
        <v>1</v>
      </c>
      <c r="AX346" s="117" t="b">
        <f t="shared" si="603"/>
        <v>1</v>
      </c>
      <c r="AY346" s="117" t="b">
        <f t="shared" si="604"/>
        <v>0</v>
      </c>
      <c r="BA346" s="93"/>
      <c r="BB346" s="93"/>
      <c r="BC346" s="93"/>
      <c r="BD346" s="93"/>
      <c r="BE346" s="93"/>
      <c r="BF346" s="93"/>
    </row>
    <row r="347" spans="1:97">
      <c r="A347" s="139" t="s">
        <v>1600</v>
      </c>
      <c r="B347" s="117" t="str">
        <f>'Reference Score Calculation'!B324</f>
        <v>JS7304</v>
      </c>
      <c r="C347" s="117" t="str">
        <f>'Reference Score Calculation'!E324</f>
        <v>社會科學(榮譽)學士 - 社會學</v>
      </c>
      <c r="E347" s="132" t="str">
        <f>'Reference Score Calculation'!F324</f>
        <v>Best 5</v>
      </c>
      <c r="F347" s="132" t="str">
        <f>'Reference Score Calculation'!AC324</f>
        <v>Best 5</v>
      </c>
      <c r="G347" s="117" t="str">
        <f>入學要求!AB333</f>
        <v>v</v>
      </c>
      <c r="H347" s="117" t="str">
        <f>入學要求!AC333</f>
        <v>E</v>
      </c>
      <c r="I347" s="117" t="str">
        <f>入學要求!AD333</f>
        <v>NO</v>
      </c>
      <c r="J347" s="117">
        <f t="shared" si="567"/>
        <v>3.4999999999999999E-9</v>
      </c>
      <c r="K347" s="459">
        <v>1</v>
      </c>
      <c r="L347" s="459">
        <v>2</v>
      </c>
      <c r="M347" s="459">
        <v>1.5</v>
      </c>
      <c r="N347" s="459"/>
      <c r="O347" s="503">
        <v>1</v>
      </c>
      <c r="P347" s="459">
        <v>1</v>
      </c>
      <c r="Q347" s="459">
        <v>1</v>
      </c>
      <c r="R347" s="459">
        <v>1</v>
      </c>
      <c r="S347" s="459">
        <v>1</v>
      </c>
      <c r="T347" s="459">
        <v>1</v>
      </c>
      <c r="V347" s="117">
        <f t="shared" si="571"/>
        <v>1E-10</v>
      </c>
      <c r="W347" s="117">
        <f t="shared" si="572"/>
        <v>4.0000000000000001E-10</v>
      </c>
      <c r="X347" s="117">
        <f t="shared" si="573"/>
        <v>4.5E-10</v>
      </c>
      <c r="Z347" s="117">
        <f t="shared" si="574"/>
        <v>5.0000000000000003E-10</v>
      </c>
      <c r="AA347" s="117">
        <f t="shared" si="575"/>
        <v>6E-10</v>
      </c>
      <c r="AB347" s="117">
        <f t="shared" si="576"/>
        <v>6.9999999999999996E-10</v>
      </c>
      <c r="AC347" s="117">
        <f t="shared" si="577"/>
        <v>8.0000000000000003E-10</v>
      </c>
      <c r="AD347" s="117">
        <f t="shared" si="578"/>
        <v>8.9999999999999999E-10</v>
      </c>
      <c r="AE347" s="117">
        <f t="shared" si="579"/>
        <v>0</v>
      </c>
      <c r="AF347" s="117">
        <f t="shared" si="580"/>
        <v>1E-10</v>
      </c>
      <c r="AG347" s="117">
        <f t="shared" si="581"/>
        <v>4.0000000000000001E-10</v>
      </c>
      <c r="AH347" s="117">
        <f t="shared" si="582"/>
        <v>4.5E-10</v>
      </c>
      <c r="AJ347" s="117">
        <f t="shared" si="583"/>
        <v>5.0000000000000003E-10</v>
      </c>
      <c r="AK347" s="117">
        <f t="shared" si="584"/>
        <v>6E-10</v>
      </c>
      <c r="AL347" s="117">
        <f t="shared" si="585"/>
        <v>6.9999999999999996E-10</v>
      </c>
      <c r="AM347" s="117">
        <f t="shared" si="586"/>
        <v>8.0000000000000003E-10</v>
      </c>
      <c r="AN347" s="117">
        <f t="shared" si="587"/>
        <v>8.9999999999999999E-10</v>
      </c>
      <c r="AO347" s="117">
        <f t="shared" si="588"/>
        <v>0</v>
      </c>
      <c r="AP347" s="117" t="b">
        <f t="shared" si="596"/>
        <v>0</v>
      </c>
      <c r="AQ347" s="117" t="b">
        <f t="shared" si="597"/>
        <v>0</v>
      </c>
      <c r="AR347" s="117" t="b">
        <f t="shared" si="598"/>
        <v>0</v>
      </c>
      <c r="AS347" s="130"/>
      <c r="AT347" s="117" t="b">
        <f t="shared" si="599"/>
        <v>1</v>
      </c>
      <c r="AU347" s="117" t="b">
        <f t="shared" si="600"/>
        <v>1</v>
      </c>
      <c r="AV347" s="117" t="b">
        <f t="shared" si="601"/>
        <v>1</v>
      </c>
      <c r="AW347" s="117" t="b">
        <f t="shared" si="602"/>
        <v>1</v>
      </c>
      <c r="AX347" s="117" t="b">
        <f t="shared" si="603"/>
        <v>1</v>
      </c>
      <c r="AY347" s="117" t="b">
        <f t="shared" si="604"/>
        <v>0</v>
      </c>
      <c r="BA347" s="93"/>
      <c r="BB347" s="93"/>
      <c r="BC347" s="93"/>
      <c r="BD347" s="93"/>
      <c r="BE347" s="93"/>
      <c r="BF347" s="93"/>
    </row>
    <row r="348" spans="1:97">
      <c r="A348" s="139" t="s">
        <v>1603</v>
      </c>
      <c r="B348" s="117" t="str">
        <f>'Reference Score Calculation'!B325</f>
        <v>JS7305</v>
      </c>
      <c r="C348" s="117" t="str">
        <f>'Reference Score Calculation'!E325</f>
        <v>社會科學(榮譽)學士 - 健康及社會服務管理</v>
      </c>
      <c r="E348" s="132" t="str">
        <f>'Reference Score Calculation'!F325</f>
        <v>Best 5</v>
      </c>
      <c r="F348" s="132" t="str">
        <f>'Reference Score Calculation'!AC325</f>
        <v>Best 5</v>
      </c>
      <c r="G348" s="117" t="str">
        <f>入學要求!AB334</f>
        <v>v</v>
      </c>
      <c r="H348" s="117" t="str">
        <f>入學要求!AC334</f>
        <v>E</v>
      </c>
      <c r="I348" s="117" t="str">
        <f>入學要求!AD334</f>
        <v>NO</v>
      </c>
      <c r="J348" s="117">
        <f t="shared" si="567"/>
        <v>3.4999999999999999E-9</v>
      </c>
      <c r="K348" s="459">
        <v>1</v>
      </c>
      <c r="L348" s="459">
        <v>1.5</v>
      </c>
      <c r="M348" s="459">
        <v>1</v>
      </c>
      <c r="N348" s="459"/>
      <c r="O348" s="503">
        <v>1</v>
      </c>
      <c r="P348" s="459">
        <f>IF(OR(P$1="倫理與宗教",P$1="健康管理與社會關懷"),1.5,1)</f>
        <v>1</v>
      </c>
      <c r="Q348" s="459">
        <f>IF(OR(Q$1="倫理與宗教",Q$1="健康管理與社會關懷"),1.5,1)</f>
        <v>1</v>
      </c>
      <c r="R348" s="459">
        <f>IF(OR(R$1="倫理與宗教",R$1="健康管理與社會關懷"),1.5,1)</f>
        <v>1</v>
      </c>
      <c r="S348" s="459">
        <f>IF(OR(S$1="倫理與宗教",S$1="健康管理與社會關懷"),1.5,1)</f>
        <v>1</v>
      </c>
      <c r="T348" s="459">
        <v>1</v>
      </c>
      <c r="V348" s="117">
        <f t="shared" si="571"/>
        <v>1E-10</v>
      </c>
      <c r="W348" s="117">
        <f t="shared" si="572"/>
        <v>3E-10</v>
      </c>
      <c r="X348" s="117">
        <f t="shared" si="573"/>
        <v>3E-10</v>
      </c>
      <c r="Z348" s="117">
        <f t="shared" si="574"/>
        <v>5.0000000000000003E-10</v>
      </c>
      <c r="AA348" s="117">
        <f t="shared" si="575"/>
        <v>6E-10</v>
      </c>
      <c r="AB348" s="117">
        <f t="shared" si="576"/>
        <v>6.9999999999999996E-10</v>
      </c>
      <c r="AC348" s="117">
        <f t="shared" si="577"/>
        <v>8.0000000000000003E-10</v>
      </c>
      <c r="AD348" s="117">
        <f t="shared" si="578"/>
        <v>8.9999999999999999E-10</v>
      </c>
      <c r="AE348" s="117">
        <f t="shared" si="579"/>
        <v>0</v>
      </c>
      <c r="AF348" s="117">
        <f t="shared" si="580"/>
        <v>1E-10</v>
      </c>
      <c r="AG348" s="117">
        <f t="shared" si="581"/>
        <v>3E-10</v>
      </c>
      <c r="AH348" s="117">
        <f t="shared" si="582"/>
        <v>3E-10</v>
      </c>
      <c r="AJ348" s="117">
        <f t="shared" si="583"/>
        <v>5.0000000000000003E-10</v>
      </c>
      <c r="AK348" s="117">
        <f t="shared" si="584"/>
        <v>6E-10</v>
      </c>
      <c r="AL348" s="117">
        <f t="shared" si="585"/>
        <v>6.9999999999999996E-10</v>
      </c>
      <c r="AM348" s="117">
        <f t="shared" si="586"/>
        <v>8.0000000000000003E-10</v>
      </c>
      <c r="AN348" s="117">
        <f t="shared" si="587"/>
        <v>8.9999999999999999E-10</v>
      </c>
      <c r="AO348" s="117">
        <f t="shared" si="588"/>
        <v>0</v>
      </c>
      <c r="AP348" s="117" t="b">
        <f t="shared" si="596"/>
        <v>0</v>
      </c>
      <c r="AQ348" s="117" t="b">
        <f t="shared" si="597"/>
        <v>0</v>
      </c>
      <c r="AR348" s="117" t="b">
        <f t="shared" si="598"/>
        <v>0</v>
      </c>
      <c r="AS348" s="130"/>
      <c r="AT348" s="117" t="b">
        <f t="shared" si="599"/>
        <v>1</v>
      </c>
      <c r="AU348" s="117" t="b">
        <f t="shared" si="600"/>
        <v>1</v>
      </c>
      <c r="AV348" s="117" t="b">
        <f t="shared" si="601"/>
        <v>1</v>
      </c>
      <c r="AW348" s="117" t="b">
        <f t="shared" si="602"/>
        <v>1</v>
      </c>
      <c r="AX348" s="117" t="b">
        <f t="shared" si="603"/>
        <v>1</v>
      </c>
      <c r="AY348" s="117" t="b">
        <f t="shared" si="604"/>
        <v>0</v>
      </c>
      <c r="BA348" s="93"/>
      <c r="BB348" s="93"/>
      <c r="BC348" s="93"/>
      <c r="BD348" s="93"/>
      <c r="BE348" s="93"/>
      <c r="BF348" s="93"/>
    </row>
    <row r="349" spans="1:97">
      <c r="A349" s="139" t="s">
        <v>1606</v>
      </c>
      <c r="B349" s="117" t="str">
        <f>'Reference Score Calculation'!B326</f>
        <v>JS7306</v>
      </c>
      <c r="C349" s="117" t="str">
        <f>'Reference Score Calculation'!E326</f>
        <v>社會科學(榮譽)學士 - 社會與公共政策研究</v>
      </c>
      <c r="E349" s="132" t="str">
        <f>'Reference Score Calculation'!F326</f>
        <v>Best 5</v>
      </c>
      <c r="F349" s="132" t="str">
        <f>'Reference Score Calculation'!AC326</f>
        <v>Best 5</v>
      </c>
      <c r="G349" s="117" t="str">
        <f>入學要求!AB335</f>
        <v>v</v>
      </c>
      <c r="H349" s="117" t="str">
        <f>入學要求!AC335</f>
        <v>E</v>
      </c>
      <c r="I349" s="117" t="str">
        <f>入學要求!AD335</f>
        <v>NO</v>
      </c>
      <c r="J349" s="117">
        <f t="shared" si="567"/>
        <v>3.7500000000000005E-9</v>
      </c>
      <c r="K349" s="459">
        <v>1</v>
      </c>
      <c r="L349" s="459">
        <v>2</v>
      </c>
      <c r="M349" s="459">
        <v>1.5</v>
      </c>
      <c r="N349" s="459"/>
      <c r="O349" s="503">
        <v>1.5</v>
      </c>
      <c r="P349" s="459">
        <v>1</v>
      </c>
      <c r="Q349" s="459">
        <v>1</v>
      </c>
      <c r="R349" s="459">
        <v>1</v>
      </c>
      <c r="S349" s="459">
        <v>1</v>
      </c>
      <c r="T349" s="459">
        <v>1</v>
      </c>
      <c r="V349" s="117">
        <f t="shared" si="571"/>
        <v>1E-10</v>
      </c>
      <c r="W349" s="117">
        <f t="shared" si="572"/>
        <v>4.0000000000000001E-10</v>
      </c>
      <c r="X349" s="117">
        <f t="shared" si="573"/>
        <v>4.5E-10</v>
      </c>
      <c r="Z349" s="117">
        <f t="shared" si="574"/>
        <v>7.500000000000001E-10</v>
      </c>
      <c r="AA349" s="117">
        <f t="shared" si="575"/>
        <v>6E-10</v>
      </c>
      <c r="AB349" s="117">
        <f t="shared" si="576"/>
        <v>6.9999999999999996E-10</v>
      </c>
      <c r="AC349" s="117">
        <f t="shared" si="577"/>
        <v>8.0000000000000003E-10</v>
      </c>
      <c r="AD349" s="117">
        <f t="shared" si="578"/>
        <v>8.9999999999999999E-10</v>
      </c>
      <c r="AE349" s="117">
        <f t="shared" si="579"/>
        <v>0</v>
      </c>
      <c r="AF349" s="117">
        <f t="shared" si="580"/>
        <v>1E-10</v>
      </c>
      <c r="AG349" s="117">
        <f t="shared" si="581"/>
        <v>4.0000000000000001E-10</v>
      </c>
      <c r="AH349" s="117">
        <f t="shared" si="582"/>
        <v>4.5E-10</v>
      </c>
      <c r="AJ349" s="117">
        <f t="shared" si="583"/>
        <v>7.500000000000001E-10</v>
      </c>
      <c r="AK349" s="117">
        <f t="shared" si="584"/>
        <v>6E-10</v>
      </c>
      <c r="AL349" s="117">
        <f t="shared" si="585"/>
        <v>6.9999999999999996E-10</v>
      </c>
      <c r="AM349" s="117">
        <f t="shared" si="586"/>
        <v>8.0000000000000003E-10</v>
      </c>
      <c r="AN349" s="117">
        <f t="shared" si="587"/>
        <v>8.9999999999999999E-10</v>
      </c>
      <c r="AO349" s="117">
        <f t="shared" si="588"/>
        <v>0</v>
      </c>
      <c r="AP349" s="117" t="b">
        <f t="shared" si="596"/>
        <v>0</v>
      </c>
      <c r="AQ349" s="117" t="b">
        <f t="shared" si="597"/>
        <v>0</v>
      </c>
      <c r="AR349" s="117" t="b">
        <f t="shared" si="598"/>
        <v>0</v>
      </c>
      <c r="AS349" s="130"/>
      <c r="AT349" s="117" t="b">
        <f t="shared" si="599"/>
        <v>1</v>
      </c>
      <c r="AU349" s="117" t="b">
        <f t="shared" si="600"/>
        <v>1</v>
      </c>
      <c r="AV349" s="117" t="b">
        <f t="shared" si="601"/>
        <v>1</v>
      </c>
      <c r="AW349" s="117" t="b">
        <f t="shared" si="602"/>
        <v>1</v>
      </c>
      <c r="AX349" s="117" t="b">
        <f t="shared" si="603"/>
        <v>1</v>
      </c>
      <c r="AY349" s="117" t="b">
        <f t="shared" si="604"/>
        <v>0</v>
      </c>
      <c r="BA349" s="93"/>
      <c r="BB349" s="93"/>
      <c r="BC349" s="93"/>
      <c r="BD349" s="93"/>
      <c r="BE349" s="93"/>
      <c r="BF349" s="93"/>
    </row>
    <row r="350" spans="1:97">
      <c r="A350" s="139" t="s">
        <v>2641</v>
      </c>
      <c r="B350" s="117" t="str">
        <f>'Reference Score Calculation'!B327</f>
        <v>JS7307</v>
      </c>
      <c r="C350" s="117" t="str">
        <f>'Reference Score Calculation'!E327</f>
        <v>社會科學(榮譽)學士 - 社會數據科學</v>
      </c>
      <c r="E350" s="132" t="str">
        <f>'Reference Score Calculation'!F327</f>
        <v>25年新科目</v>
      </c>
      <c r="F350" s="132" t="str">
        <f>'Reference Score Calculation'!AC327</f>
        <v>Best 5</v>
      </c>
      <c r="G350" s="117" t="str">
        <f>入學要求!AB336</f>
        <v>v</v>
      </c>
      <c r="H350" s="117" t="str">
        <f>入學要求!AC336</f>
        <v>E</v>
      </c>
      <c r="I350" s="117" t="str">
        <f>入學要求!AD336</f>
        <v>NO</v>
      </c>
      <c r="J350" s="117">
        <f t="shared" si="567"/>
        <v>3.7500000000000005E-9</v>
      </c>
      <c r="K350" s="459">
        <v>1</v>
      </c>
      <c r="L350" s="459">
        <v>2</v>
      </c>
      <c r="M350" s="459">
        <v>1.5</v>
      </c>
      <c r="N350" s="459"/>
      <c r="O350" s="503">
        <v>1.5</v>
      </c>
      <c r="P350" s="459">
        <f>IF(OR(P$1="資訊及通訊科技"),1.5,1)</f>
        <v>1</v>
      </c>
      <c r="Q350" s="459">
        <f t="shared" ref="Q350:S350" si="606">IF(OR(Q$1="資訊及通訊科技"),1.5,1)</f>
        <v>1</v>
      </c>
      <c r="R350" s="459">
        <f t="shared" si="606"/>
        <v>1</v>
      </c>
      <c r="S350" s="459">
        <f t="shared" si="606"/>
        <v>1</v>
      </c>
      <c r="T350" s="459">
        <v>1</v>
      </c>
      <c r="V350" s="117">
        <f t="shared" si="571"/>
        <v>1E-10</v>
      </c>
      <c r="W350" s="117">
        <f t="shared" si="572"/>
        <v>4.0000000000000001E-10</v>
      </c>
      <c r="X350" s="117">
        <f t="shared" si="573"/>
        <v>4.5E-10</v>
      </c>
      <c r="Z350" s="117">
        <f t="shared" si="574"/>
        <v>7.500000000000001E-10</v>
      </c>
      <c r="AA350" s="117">
        <f t="shared" si="575"/>
        <v>6E-10</v>
      </c>
      <c r="AB350" s="117">
        <f t="shared" si="576"/>
        <v>6.9999999999999996E-10</v>
      </c>
      <c r="AC350" s="117">
        <f t="shared" si="577"/>
        <v>8.0000000000000003E-10</v>
      </c>
      <c r="AD350" s="117">
        <f t="shared" si="578"/>
        <v>8.9999999999999999E-10</v>
      </c>
      <c r="AE350" s="117">
        <f t="shared" si="579"/>
        <v>0</v>
      </c>
      <c r="AF350" s="117">
        <f t="shared" si="580"/>
        <v>1E-10</v>
      </c>
      <c r="AG350" s="117">
        <f t="shared" si="581"/>
        <v>4.0000000000000001E-10</v>
      </c>
      <c r="AH350" s="117">
        <f t="shared" si="582"/>
        <v>4.5E-10</v>
      </c>
      <c r="AJ350" s="117">
        <f t="shared" si="583"/>
        <v>7.500000000000001E-10</v>
      </c>
      <c r="AK350" s="117">
        <f t="shared" si="584"/>
        <v>6E-10</v>
      </c>
      <c r="AL350" s="117">
        <f t="shared" si="585"/>
        <v>6.9999999999999996E-10</v>
      </c>
      <c r="AM350" s="117">
        <f t="shared" si="586"/>
        <v>8.0000000000000003E-10</v>
      </c>
      <c r="AN350" s="117">
        <f t="shared" si="587"/>
        <v>8.9999999999999999E-10</v>
      </c>
      <c r="AO350" s="117">
        <f t="shared" si="588"/>
        <v>0</v>
      </c>
      <c r="AP350" s="117" t="b">
        <f t="shared" si="596"/>
        <v>0</v>
      </c>
      <c r="AQ350" s="117" t="b">
        <f t="shared" si="597"/>
        <v>0</v>
      </c>
      <c r="AR350" s="117" t="b">
        <f t="shared" si="598"/>
        <v>0</v>
      </c>
      <c r="AS350" s="130"/>
      <c r="AT350" s="117" t="b">
        <f t="shared" si="599"/>
        <v>1</v>
      </c>
      <c r="AU350" s="117" t="b">
        <f t="shared" si="600"/>
        <v>1</v>
      </c>
      <c r="AV350" s="117" t="b">
        <f t="shared" si="601"/>
        <v>1</v>
      </c>
      <c r="AW350" s="117" t="b">
        <f t="shared" si="602"/>
        <v>1</v>
      </c>
      <c r="AX350" s="117" t="b">
        <f t="shared" si="603"/>
        <v>1</v>
      </c>
      <c r="AY350" s="117" t="b">
        <f t="shared" si="604"/>
        <v>0</v>
      </c>
      <c r="BA350" s="93"/>
      <c r="BB350" s="93"/>
      <c r="BC350" s="93"/>
      <c r="BD350" s="93"/>
      <c r="BE350" s="93"/>
      <c r="BF350" s="93"/>
    </row>
    <row r="351" spans="1:97">
      <c r="A351" s="139" t="s">
        <v>1609</v>
      </c>
      <c r="B351" s="117" t="str">
        <f>'Reference Score Calculation'!B328</f>
        <v>JS7503</v>
      </c>
      <c r="C351" s="117" t="str">
        <f>'Reference Score Calculation'!E328</f>
        <v>英語語言文學課程(榮譽)文學士</v>
      </c>
      <c r="E351" s="132" t="str">
        <f>'Reference Score Calculation'!F328</f>
        <v>Best 5</v>
      </c>
      <c r="F351" s="132" t="str">
        <f>'Reference Score Calculation'!AC328</f>
        <v>Best 5</v>
      </c>
      <c r="G351" s="117" t="str">
        <f>入學要求!AB337</f>
        <v>v</v>
      </c>
      <c r="H351" s="117" t="str">
        <f>入學要求!AC337</f>
        <v>E</v>
      </c>
      <c r="I351" s="117" t="str">
        <f>入學要求!AD337</f>
        <v>NO</v>
      </c>
      <c r="J351" s="117">
        <f t="shared" si="567"/>
        <v>3.0000000000000004E-9</v>
      </c>
      <c r="K351" s="459">
        <v>1.5</v>
      </c>
      <c r="L351" s="459">
        <v>2.5</v>
      </c>
      <c r="M351" s="459">
        <v>1</v>
      </c>
      <c r="N351" s="459"/>
      <c r="O351" s="503">
        <v>1</v>
      </c>
      <c r="P351" s="459">
        <f>IF(P$1="英語文學",1.5,1)</f>
        <v>1</v>
      </c>
      <c r="Q351" s="459">
        <f>IF(Q$1="英語文學",1.5,1)</f>
        <v>1</v>
      </c>
      <c r="R351" s="459">
        <f>IF(R$1="英語文學",1.5,1)</f>
        <v>1</v>
      </c>
      <c r="S351" s="459">
        <f>IF(S$1="英語文學",1.5,1)</f>
        <v>1</v>
      </c>
      <c r="T351" s="459">
        <v>1</v>
      </c>
      <c r="V351" s="117">
        <f t="shared" si="571"/>
        <v>1.5E-10</v>
      </c>
      <c r="W351" s="117">
        <f t="shared" si="572"/>
        <v>5.0000000000000003E-10</v>
      </c>
      <c r="X351" s="117">
        <f t="shared" si="573"/>
        <v>3E-10</v>
      </c>
      <c r="Z351" s="117">
        <f t="shared" si="574"/>
        <v>5.0000000000000003E-10</v>
      </c>
      <c r="AA351" s="117">
        <f t="shared" si="575"/>
        <v>6E-10</v>
      </c>
      <c r="AB351" s="117">
        <f t="shared" si="576"/>
        <v>6.9999999999999996E-10</v>
      </c>
      <c r="AC351" s="117">
        <f t="shared" si="577"/>
        <v>8.0000000000000003E-10</v>
      </c>
      <c r="AD351" s="117">
        <f t="shared" si="578"/>
        <v>8.9999999999999999E-10</v>
      </c>
      <c r="AE351" s="117">
        <f t="shared" si="579"/>
        <v>0</v>
      </c>
      <c r="AF351" s="117">
        <f t="shared" si="580"/>
        <v>1.5E-10</v>
      </c>
      <c r="AG351" s="117">
        <f t="shared" si="581"/>
        <v>5.0000000000000003E-10</v>
      </c>
      <c r="AH351" s="117">
        <f t="shared" si="582"/>
        <v>3E-10</v>
      </c>
      <c r="AJ351" s="117">
        <f t="shared" si="583"/>
        <v>5.0000000000000003E-10</v>
      </c>
      <c r="AK351" s="117">
        <f t="shared" si="584"/>
        <v>6E-10</v>
      </c>
      <c r="AL351" s="117">
        <f t="shared" si="585"/>
        <v>6.9999999999999996E-10</v>
      </c>
      <c r="AM351" s="117">
        <f t="shared" si="586"/>
        <v>8.0000000000000003E-10</v>
      </c>
      <c r="AN351" s="117">
        <f t="shared" si="587"/>
        <v>8.9999999999999999E-10</v>
      </c>
      <c r="AO351" s="117">
        <f t="shared" si="588"/>
        <v>0</v>
      </c>
      <c r="AP351" s="117" t="b">
        <f t="shared" si="596"/>
        <v>0</v>
      </c>
      <c r="AQ351" s="117" t="b">
        <f t="shared" si="597"/>
        <v>0</v>
      </c>
      <c r="AR351" s="117" t="b">
        <f t="shared" si="598"/>
        <v>0</v>
      </c>
      <c r="AS351" s="130"/>
      <c r="AT351" s="117" t="b">
        <f t="shared" si="599"/>
        <v>0</v>
      </c>
      <c r="AU351" s="117" t="b">
        <f t="shared" si="600"/>
        <v>1</v>
      </c>
      <c r="AV351" s="117" t="b">
        <f t="shared" si="601"/>
        <v>1</v>
      </c>
      <c r="AW351" s="117" t="b">
        <f t="shared" si="602"/>
        <v>1</v>
      </c>
      <c r="AX351" s="117" t="b">
        <f t="shared" si="603"/>
        <v>1</v>
      </c>
      <c r="AY351" s="117" t="b">
        <f t="shared" si="604"/>
        <v>0</v>
      </c>
      <c r="BA351" s="93"/>
      <c r="BB351" s="93"/>
      <c r="BC351" s="93"/>
      <c r="BD351" s="93"/>
      <c r="BE351" s="93"/>
      <c r="BF351" s="93"/>
    </row>
    <row r="352" spans="1:97">
      <c r="A352" s="139" t="s">
        <v>1613</v>
      </c>
      <c r="B352" s="117" t="str">
        <f>'Reference Score Calculation'!B329</f>
        <v>JS7606</v>
      </c>
      <c r="C352" s="117" t="str">
        <f>'Reference Score Calculation'!E329</f>
        <v>文化研究(榮譽)文學士</v>
      </c>
      <c r="E352" s="132" t="str">
        <f>'Reference Score Calculation'!F329</f>
        <v>Best 5</v>
      </c>
      <c r="F352" s="132" t="str">
        <f>'Reference Score Calculation'!AC329</f>
        <v>Best 5</v>
      </c>
      <c r="G352" s="117" t="str">
        <f>入學要求!AB338</f>
        <v>v</v>
      </c>
      <c r="H352" s="117" t="str">
        <f>入學要求!AC338</f>
        <v>E</v>
      </c>
      <c r="I352" s="117" t="str">
        <f>入學要求!AD338</f>
        <v>NO</v>
      </c>
      <c r="J352" s="117">
        <f t="shared" si="567"/>
        <v>3.4999999999999999E-9</v>
      </c>
      <c r="K352" s="459">
        <v>1.5</v>
      </c>
      <c r="L352" s="459">
        <v>2</v>
      </c>
      <c r="M352" s="459">
        <v>1</v>
      </c>
      <c r="N352" s="459"/>
      <c r="O352" s="503">
        <v>1</v>
      </c>
      <c r="P352" s="459">
        <v>1</v>
      </c>
      <c r="Q352" s="459">
        <v>1</v>
      </c>
      <c r="R352" s="459">
        <v>1</v>
      </c>
      <c r="S352" s="459">
        <v>1</v>
      </c>
      <c r="T352" s="459">
        <v>1</v>
      </c>
      <c r="V352" s="117">
        <f t="shared" si="571"/>
        <v>1.5E-10</v>
      </c>
      <c r="W352" s="117">
        <f t="shared" si="572"/>
        <v>4.0000000000000001E-10</v>
      </c>
      <c r="X352" s="117">
        <f t="shared" si="573"/>
        <v>3E-10</v>
      </c>
      <c r="Z352" s="117">
        <f t="shared" si="574"/>
        <v>5.0000000000000003E-10</v>
      </c>
      <c r="AA352" s="117">
        <f t="shared" si="575"/>
        <v>6E-10</v>
      </c>
      <c r="AB352" s="117">
        <f t="shared" si="576"/>
        <v>6.9999999999999996E-10</v>
      </c>
      <c r="AC352" s="117">
        <f t="shared" si="577"/>
        <v>8.0000000000000003E-10</v>
      </c>
      <c r="AD352" s="117">
        <f t="shared" si="578"/>
        <v>8.9999999999999999E-10</v>
      </c>
      <c r="AE352" s="117">
        <f t="shared" si="579"/>
        <v>0</v>
      </c>
      <c r="AF352" s="117">
        <f t="shared" si="580"/>
        <v>1.5E-10</v>
      </c>
      <c r="AG352" s="117">
        <f t="shared" si="581"/>
        <v>4.0000000000000001E-10</v>
      </c>
      <c r="AH352" s="117">
        <f t="shared" si="582"/>
        <v>3E-10</v>
      </c>
      <c r="AJ352" s="117">
        <f t="shared" si="583"/>
        <v>5.0000000000000003E-10</v>
      </c>
      <c r="AK352" s="117">
        <f t="shared" si="584"/>
        <v>6E-10</v>
      </c>
      <c r="AL352" s="117">
        <f t="shared" si="585"/>
        <v>6.9999999999999996E-10</v>
      </c>
      <c r="AM352" s="117">
        <f t="shared" si="586"/>
        <v>8.0000000000000003E-10</v>
      </c>
      <c r="AN352" s="117">
        <f t="shared" si="587"/>
        <v>8.9999999999999999E-10</v>
      </c>
      <c r="AO352" s="117">
        <f t="shared" si="588"/>
        <v>0</v>
      </c>
      <c r="AP352" s="117" t="b">
        <f t="shared" si="596"/>
        <v>0</v>
      </c>
      <c r="AQ352" s="117" t="b">
        <f t="shared" si="597"/>
        <v>0</v>
      </c>
      <c r="AR352" s="117" t="b">
        <f t="shared" si="598"/>
        <v>0</v>
      </c>
      <c r="AS352" s="130"/>
      <c r="AT352" s="117" t="b">
        <f t="shared" si="599"/>
        <v>1</v>
      </c>
      <c r="AU352" s="117" t="b">
        <f t="shared" si="600"/>
        <v>1</v>
      </c>
      <c r="AV352" s="117" t="b">
        <f t="shared" si="601"/>
        <v>1</v>
      </c>
      <c r="AW352" s="117" t="b">
        <f t="shared" si="602"/>
        <v>1</v>
      </c>
      <c r="AX352" s="117" t="b">
        <f t="shared" si="603"/>
        <v>1</v>
      </c>
      <c r="AY352" s="117" t="b">
        <f t="shared" si="604"/>
        <v>0</v>
      </c>
      <c r="BA352" s="93"/>
      <c r="BB352" s="93"/>
      <c r="BC352" s="93"/>
      <c r="BD352" s="93"/>
      <c r="BE352" s="93"/>
      <c r="BF352" s="93"/>
    </row>
    <row r="353" spans="1:70">
      <c r="A353" s="139" t="s">
        <v>1616</v>
      </c>
      <c r="B353" s="117" t="str">
        <f>'Reference Score Calculation'!B330</f>
        <v>JS7709</v>
      </c>
      <c r="C353" s="117" t="str">
        <f>'Reference Score Calculation'!E330</f>
        <v>歷史(榮譽)文學士</v>
      </c>
      <c r="E353" s="132" t="str">
        <f>'Reference Score Calculation'!F330</f>
        <v>Best 5</v>
      </c>
      <c r="F353" s="132" t="str">
        <f>'Reference Score Calculation'!AC330</f>
        <v>Best 5</v>
      </c>
      <c r="G353" s="117" t="str">
        <f>入學要求!AB339</f>
        <v>v</v>
      </c>
      <c r="H353" s="117" t="str">
        <f>入學要求!AC339</f>
        <v>E</v>
      </c>
      <c r="I353" s="117" t="str">
        <f>入學要求!AD339</f>
        <v>NO</v>
      </c>
      <c r="J353" s="117">
        <f t="shared" si="567"/>
        <v>3.4999999999999999E-9</v>
      </c>
      <c r="K353" s="459">
        <v>1.5</v>
      </c>
      <c r="L353" s="459">
        <v>2</v>
      </c>
      <c r="M353" s="459">
        <v>1</v>
      </c>
      <c r="N353" s="459"/>
      <c r="O353" s="503">
        <v>1</v>
      </c>
      <c r="P353" s="459">
        <f>IF(OR(P$1="中國歷史",P$1="歷史"),1.2,1)</f>
        <v>1</v>
      </c>
      <c r="Q353" s="459">
        <f>IF(OR(Q$1="中國歷史",Q$1="歷史"),1.2,1)</f>
        <v>1</v>
      </c>
      <c r="R353" s="459">
        <f>IF(OR(R$1="中國歷史",R$1="歷史"),1.2,1)</f>
        <v>1</v>
      </c>
      <c r="S353" s="459">
        <f>IF(OR(S$1="中國歷史",S$1="歷史"),1.2,1)</f>
        <v>1</v>
      </c>
      <c r="T353" s="459">
        <v>1</v>
      </c>
      <c r="V353" s="117">
        <f t="shared" si="571"/>
        <v>1.5E-10</v>
      </c>
      <c r="W353" s="117">
        <f t="shared" si="572"/>
        <v>4.0000000000000001E-10</v>
      </c>
      <c r="X353" s="117">
        <f t="shared" si="573"/>
        <v>3E-10</v>
      </c>
      <c r="Z353" s="117">
        <f t="shared" si="574"/>
        <v>5.0000000000000003E-10</v>
      </c>
      <c r="AA353" s="117">
        <f t="shared" si="575"/>
        <v>6E-10</v>
      </c>
      <c r="AB353" s="117">
        <f t="shared" si="576"/>
        <v>6.9999999999999996E-10</v>
      </c>
      <c r="AC353" s="117">
        <f t="shared" si="577"/>
        <v>8.0000000000000003E-10</v>
      </c>
      <c r="AD353" s="117">
        <f t="shared" si="578"/>
        <v>8.9999999999999999E-10</v>
      </c>
      <c r="AE353" s="117">
        <f t="shared" si="579"/>
        <v>0</v>
      </c>
      <c r="AF353" s="117">
        <f t="shared" si="580"/>
        <v>1.5E-10</v>
      </c>
      <c r="AG353" s="117">
        <f t="shared" si="581"/>
        <v>4.0000000000000001E-10</v>
      </c>
      <c r="AH353" s="117">
        <f t="shared" si="582"/>
        <v>3E-10</v>
      </c>
      <c r="AJ353" s="117">
        <f t="shared" si="583"/>
        <v>5.0000000000000003E-10</v>
      </c>
      <c r="AK353" s="117">
        <f t="shared" si="584"/>
        <v>6E-10</v>
      </c>
      <c r="AL353" s="117">
        <f t="shared" si="585"/>
        <v>6.9999999999999996E-10</v>
      </c>
      <c r="AM353" s="117">
        <f t="shared" si="586"/>
        <v>8.0000000000000003E-10</v>
      </c>
      <c r="AN353" s="117">
        <f t="shared" si="587"/>
        <v>8.9999999999999999E-10</v>
      </c>
      <c r="AO353" s="117">
        <f t="shared" si="588"/>
        <v>0</v>
      </c>
      <c r="AP353" s="117" t="b">
        <f t="shared" si="596"/>
        <v>0</v>
      </c>
      <c r="AQ353" s="117" t="b">
        <f t="shared" si="597"/>
        <v>0</v>
      </c>
      <c r="AR353" s="117" t="b">
        <f t="shared" si="598"/>
        <v>0</v>
      </c>
      <c r="AS353" s="130"/>
      <c r="AT353" s="117" t="b">
        <f t="shared" si="599"/>
        <v>1</v>
      </c>
      <c r="AU353" s="117" t="b">
        <f t="shared" si="600"/>
        <v>1</v>
      </c>
      <c r="AV353" s="117" t="b">
        <f t="shared" si="601"/>
        <v>1</v>
      </c>
      <c r="AW353" s="117" t="b">
        <f t="shared" si="602"/>
        <v>1</v>
      </c>
      <c r="AX353" s="117" t="b">
        <f t="shared" si="603"/>
        <v>1</v>
      </c>
      <c r="AY353" s="117" t="b">
        <f t="shared" si="604"/>
        <v>0</v>
      </c>
      <c r="BA353" s="93"/>
      <c r="BB353" s="93"/>
      <c r="BC353" s="93"/>
      <c r="BD353" s="93"/>
      <c r="BE353" s="93"/>
      <c r="BF353" s="93"/>
    </row>
    <row r="354" spans="1:70">
      <c r="A354" s="139" t="s">
        <v>1620</v>
      </c>
      <c r="B354" s="117" t="str">
        <f>'Reference Score Calculation'!B331</f>
        <v>JS7802</v>
      </c>
      <c r="C354" s="117" t="str">
        <f>'Reference Score Calculation'!E331</f>
        <v>哲學(榮譽)文學士</v>
      </c>
      <c r="E354" s="132" t="str">
        <f>'Reference Score Calculation'!F331</f>
        <v>Best 5</v>
      </c>
      <c r="F354" s="132" t="str">
        <f>'Reference Score Calculation'!AC331</f>
        <v>Best 5</v>
      </c>
      <c r="G354" s="117" t="str">
        <f>入學要求!AB340</f>
        <v>v</v>
      </c>
      <c r="H354" s="117" t="str">
        <f>入學要求!AC340</f>
        <v>E</v>
      </c>
      <c r="I354" s="117" t="str">
        <f>入學要求!AD340</f>
        <v>NO</v>
      </c>
      <c r="J354" s="117">
        <f t="shared" si="567"/>
        <v>3.4999999999999999E-9</v>
      </c>
      <c r="K354" s="459">
        <v>1.5</v>
      </c>
      <c r="L354" s="459">
        <v>2</v>
      </c>
      <c r="M354" s="459">
        <v>1.5</v>
      </c>
      <c r="N354" s="459"/>
      <c r="O354" s="503">
        <v>1</v>
      </c>
      <c r="P354" s="459">
        <v>1</v>
      </c>
      <c r="Q354" s="459">
        <v>1</v>
      </c>
      <c r="R354" s="459">
        <v>1</v>
      </c>
      <c r="S354" s="459">
        <v>1</v>
      </c>
      <c r="T354" s="459">
        <v>1</v>
      </c>
      <c r="V354" s="117">
        <f t="shared" si="571"/>
        <v>1.5E-10</v>
      </c>
      <c r="W354" s="117">
        <f t="shared" si="572"/>
        <v>4.0000000000000001E-10</v>
      </c>
      <c r="X354" s="117">
        <f t="shared" si="573"/>
        <v>4.5E-10</v>
      </c>
      <c r="Z354" s="117">
        <f t="shared" si="574"/>
        <v>5.0000000000000003E-10</v>
      </c>
      <c r="AA354" s="117">
        <f t="shared" si="575"/>
        <v>6E-10</v>
      </c>
      <c r="AB354" s="117">
        <f t="shared" si="576"/>
        <v>6.9999999999999996E-10</v>
      </c>
      <c r="AC354" s="117">
        <f t="shared" si="577"/>
        <v>8.0000000000000003E-10</v>
      </c>
      <c r="AD354" s="117">
        <f t="shared" si="578"/>
        <v>8.9999999999999999E-10</v>
      </c>
      <c r="AE354" s="117">
        <f t="shared" si="579"/>
        <v>0</v>
      </c>
      <c r="AF354" s="117">
        <f t="shared" si="580"/>
        <v>1.5E-10</v>
      </c>
      <c r="AG354" s="117">
        <f t="shared" si="581"/>
        <v>4.0000000000000001E-10</v>
      </c>
      <c r="AH354" s="117">
        <f t="shared" si="582"/>
        <v>4.5E-10</v>
      </c>
      <c r="AJ354" s="117">
        <f t="shared" si="583"/>
        <v>5.0000000000000003E-10</v>
      </c>
      <c r="AK354" s="117">
        <f t="shared" si="584"/>
        <v>6E-10</v>
      </c>
      <c r="AL354" s="117">
        <f t="shared" si="585"/>
        <v>6.9999999999999996E-10</v>
      </c>
      <c r="AM354" s="117">
        <f t="shared" si="586"/>
        <v>8.0000000000000003E-10</v>
      </c>
      <c r="AN354" s="117">
        <f t="shared" si="587"/>
        <v>8.9999999999999999E-10</v>
      </c>
      <c r="AO354" s="117">
        <f t="shared" si="588"/>
        <v>0</v>
      </c>
      <c r="AP354" s="117" t="b">
        <f t="shared" si="596"/>
        <v>0</v>
      </c>
      <c r="AQ354" s="117" t="b">
        <f t="shared" si="597"/>
        <v>0</v>
      </c>
      <c r="AR354" s="117" t="b">
        <f t="shared" si="598"/>
        <v>0</v>
      </c>
      <c r="AS354" s="130"/>
      <c r="AT354" s="117" t="b">
        <f t="shared" si="599"/>
        <v>1</v>
      </c>
      <c r="AU354" s="117" t="b">
        <f t="shared" si="600"/>
        <v>1</v>
      </c>
      <c r="AV354" s="117" t="b">
        <f t="shared" si="601"/>
        <v>1</v>
      </c>
      <c r="AW354" s="117" t="b">
        <f t="shared" si="602"/>
        <v>1</v>
      </c>
      <c r="AX354" s="117" t="b">
        <f t="shared" si="603"/>
        <v>1</v>
      </c>
      <c r="AY354" s="117" t="b">
        <f t="shared" si="604"/>
        <v>0</v>
      </c>
      <c r="BA354" s="93"/>
      <c r="BB354" s="93"/>
      <c r="BC354" s="93"/>
      <c r="BD354" s="93"/>
      <c r="BE354" s="93"/>
      <c r="BF354" s="93"/>
    </row>
    <row r="355" spans="1:70">
      <c r="A355" s="139" t="s">
        <v>1623</v>
      </c>
      <c r="B355" s="117" t="str">
        <f>'Reference Score Calculation'!B332</f>
        <v>JS7905</v>
      </c>
      <c r="C355" s="117" t="str">
        <f>'Reference Score Calculation'!E332</f>
        <v>電影與視覺藝術(榮譽)文學士</v>
      </c>
      <c r="E355" s="132" t="str">
        <f>'Reference Score Calculation'!F332</f>
        <v>Best 5</v>
      </c>
      <c r="F355" s="132" t="str">
        <f>'Reference Score Calculation'!AC332</f>
        <v>Best 5</v>
      </c>
      <c r="G355" s="117" t="str">
        <f>入學要求!AB341</f>
        <v>v</v>
      </c>
      <c r="H355" s="117" t="str">
        <f>入學要求!AC341</f>
        <v>E</v>
      </c>
      <c r="I355" s="117" t="str">
        <f>入學要求!AD341</f>
        <v>NO</v>
      </c>
      <c r="J355" s="117">
        <f t="shared" si="567"/>
        <v>3.4999999999999999E-9</v>
      </c>
      <c r="K355" s="459">
        <v>2</v>
      </c>
      <c r="L355" s="459">
        <v>2</v>
      </c>
      <c r="M355" s="459">
        <v>1</v>
      </c>
      <c r="N355" s="459"/>
      <c r="O355" s="503">
        <v>1</v>
      </c>
      <c r="P355" s="459">
        <f>IF(OR(P$1="視覺藝術",P$1="資訊及通訊科技"),1.5,1)</f>
        <v>1</v>
      </c>
      <c r="Q355" s="459">
        <f t="shared" ref="Q355:S355" si="607">IF(OR(Q$1="視覺藝術",Q$1="資訊及通訊科技"),1.5,1)</f>
        <v>1</v>
      </c>
      <c r="R355" s="459">
        <f t="shared" si="607"/>
        <v>1</v>
      </c>
      <c r="S355" s="459">
        <f t="shared" si="607"/>
        <v>1</v>
      </c>
      <c r="T355" s="459">
        <v>1</v>
      </c>
      <c r="V355" s="117">
        <f t="shared" si="571"/>
        <v>2.0000000000000001E-10</v>
      </c>
      <c r="W355" s="117">
        <f t="shared" si="572"/>
        <v>4.0000000000000001E-10</v>
      </c>
      <c r="X355" s="117">
        <f t="shared" si="573"/>
        <v>3E-10</v>
      </c>
      <c r="Z355" s="117">
        <f t="shared" si="574"/>
        <v>5.0000000000000003E-10</v>
      </c>
      <c r="AA355" s="117">
        <f t="shared" si="575"/>
        <v>6E-10</v>
      </c>
      <c r="AB355" s="117">
        <f t="shared" si="576"/>
        <v>6.9999999999999996E-10</v>
      </c>
      <c r="AC355" s="117">
        <f t="shared" si="577"/>
        <v>8.0000000000000003E-10</v>
      </c>
      <c r="AD355" s="117">
        <f t="shared" si="578"/>
        <v>8.9999999999999999E-10</v>
      </c>
      <c r="AE355" s="117">
        <f t="shared" si="579"/>
        <v>0</v>
      </c>
      <c r="AF355" s="117">
        <f t="shared" si="580"/>
        <v>2.0000000000000001E-10</v>
      </c>
      <c r="AG355" s="117">
        <f t="shared" si="581"/>
        <v>4.0000000000000001E-10</v>
      </c>
      <c r="AH355" s="117">
        <f t="shared" si="582"/>
        <v>3E-10</v>
      </c>
      <c r="AJ355" s="117">
        <f t="shared" si="583"/>
        <v>5.0000000000000003E-10</v>
      </c>
      <c r="AK355" s="117">
        <f t="shared" si="584"/>
        <v>6E-10</v>
      </c>
      <c r="AL355" s="117">
        <f t="shared" si="585"/>
        <v>6.9999999999999996E-10</v>
      </c>
      <c r="AM355" s="117">
        <f t="shared" si="586"/>
        <v>8.0000000000000003E-10</v>
      </c>
      <c r="AN355" s="117">
        <f t="shared" si="587"/>
        <v>8.9999999999999999E-10</v>
      </c>
      <c r="AO355" s="117">
        <f t="shared" si="588"/>
        <v>0</v>
      </c>
      <c r="AP355" s="117" t="b">
        <f t="shared" si="596"/>
        <v>0</v>
      </c>
      <c r="AQ355" s="117" t="b">
        <f t="shared" si="597"/>
        <v>0</v>
      </c>
      <c r="AR355" s="117" t="b">
        <f t="shared" si="598"/>
        <v>0</v>
      </c>
      <c r="AS355" s="130"/>
      <c r="AT355" s="117" t="b">
        <f t="shared" si="599"/>
        <v>1</v>
      </c>
      <c r="AU355" s="117" t="b">
        <f t="shared" si="600"/>
        <v>1</v>
      </c>
      <c r="AV355" s="117" t="b">
        <f t="shared" si="601"/>
        <v>1</v>
      </c>
      <c r="AW355" s="117" t="b">
        <f t="shared" si="602"/>
        <v>1</v>
      </c>
      <c r="AX355" s="117" t="b">
        <f t="shared" si="603"/>
        <v>1</v>
      </c>
      <c r="AY355" s="117" t="b">
        <f t="shared" si="604"/>
        <v>0</v>
      </c>
      <c r="BA355" s="93"/>
      <c r="BB355" s="93"/>
      <c r="BC355" s="93"/>
      <c r="BD355" s="93"/>
      <c r="BE355" s="93"/>
      <c r="BF355" s="93"/>
    </row>
    <row r="356" spans="1:70">
      <c r="A356" s="139"/>
      <c r="C356" s="358" t="s">
        <v>3166</v>
      </c>
    </row>
    <row r="357" spans="1:70">
      <c r="A357" s="139"/>
      <c r="B357" s="141" t="s">
        <v>374</v>
      </c>
      <c r="C357" s="405"/>
      <c r="D357" s="142"/>
      <c r="E357" s="143"/>
      <c r="F357" s="400"/>
      <c r="G357" s="19" t="s">
        <v>267</v>
      </c>
      <c r="H357" s="19" t="s">
        <v>268</v>
      </c>
      <c r="I357" s="19" t="s">
        <v>269</v>
      </c>
      <c r="J357" s="130" t="s">
        <v>217</v>
      </c>
      <c r="K357" s="130" t="s">
        <v>246</v>
      </c>
      <c r="L357" s="130" t="s">
        <v>247</v>
      </c>
      <c r="M357" s="130" t="s">
        <v>248</v>
      </c>
      <c r="N357" s="130"/>
      <c r="O357" s="130" t="s">
        <v>250</v>
      </c>
      <c r="P357" s="130" t="s">
        <v>251</v>
      </c>
      <c r="Q357" s="130" t="s">
        <v>252</v>
      </c>
      <c r="R357" s="130" t="s">
        <v>253</v>
      </c>
      <c r="S357" s="130" t="s">
        <v>254</v>
      </c>
      <c r="T357" s="130" t="s">
        <v>288</v>
      </c>
      <c r="U357" s="141"/>
      <c r="V357" s="130" t="str">
        <f t="shared" ref="V357" si="608">K$1</f>
        <v>中國語文</v>
      </c>
      <c r="W357" s="130" t="str">
        <f t="shared" ref="W357" si="609">L$1</f>
        <v>英國語文</v>
      </c>
      <c r="X357" s="130" t="str">
        <f t="shared" ref="X357" si="610">M$1</f>
        <v>數學</v>
      </c>
      <c r="Y357" s="130"/>
      <c r="Z357" s="130" t="str">
        <f t="shared" ref="Z357" si="611">O$1</f>
        <v>數學延伸</v>
      </c>
      <c r="AA357" s="130" t="str">
        <f t="shared" ref="AA357" si="612">P$1</f>
        <v>請選擇第一選修科</v>
      </c>
      <c r="AB357" s="130" t="str">
        <f t="shared" ref="AB357" si="613">Q$1</f>
        <v>請選擇第二選修科</v>
      </c>
      <c r="AC357" s="130" t="str">
        <f t="shared" ref="AC357" si="614">R$1</f>
        <v>請選擇第三選修科</v>
      </c>
      <c r="AD357" s="130" t="str">
        <f t="shared" ref="AD357" si="615">S$1</f>
        <v>請選擇第四選修科</v>
      </c>
      <c r="AE357" s="130" t="str">
        <f t="shared" ref="AE357" si="616">T$1</f>
        <v>請選擇語言科目</v>
      </c>
      <c r="AF357" s="117" t="str">
        <f t="shared" ref="AF357:AF358" si="617">V357</f>
        <v>中國語文</v>
      </c>
      <c r="AG357" s="117" t="str">
        <f t="shared" ref="AG357:AG358" si="618">W357</f>
        <v>英國語文</v>
      </c>
      <c r="AH357" s="117" t="str">
        <f t="shared" ref="AH357:AH358" si="619">X357</f>
        <v>數學</v>
      </c>
      <c r="AJ357" s="117" t="str">
        <f t="shared" ref="AJ357:AJ358" si="620">Z357</f>
        <v>數學延伸</v>
      </c>
      <c r="AK357" s="117" t="str">
        <f t="shared" ref="AK357:AK358" si="621">AA357</f>
        <v>請選擇第一選修科</v>
      </c>
      <c r="AL357" s="117" t="str">
        <f t="shared" ref="AL357:AL358" si="622">AB357</f>
        <v>請選擇第二選修科</v>
      </c>
      <c r="AM357" s="117" t="str">
        <f t="shared" ref="AM357:AM358" si="623">AC357</f>
        <v>請選擇第三選修科</v>
      </c>
      <c r="AN357" s="117" t="str">
        <f t="shared" ref="AN357:AN358" si="624">AD357</f>
        <v>請選擇第四選修科</v>
      </c>
      <c r="AO357" s="117" t="str">
        <f t="shared" ref="AO357:AO358" si="625">AE357</f>
        <v>請選擇語言科目</v>
      </c>
      <c r="AP357" s="130" t="s">
        <v>256</v>
      </c>
      <c r="AQ357" s="130" t="s">
        <v>257</v>
      </c>
      <c r="AR357" s="130" t="s">
        <v>258</v>
      </c>
      <c r="AS357" s="130"/>
      <c r="AT357" s="130" t="s">
        <v>259</v>
      </c>
      <c r="AU357" s="130" t="s">
        <v>260</v>
      </c>
      <c r="AV357" s="130" t="s">
        <v>261</v>
      </c>
      <c r="AW357" s="130" t="s">
        <v>262</v>
      </c>
      <c r="AX357" s="130" t="s">
        <v>263</v>
      </c>
      <c r="AY357" s="130" t="s">
        <v>289</v>
      </c>
      <c r="AZ357" s="142"/>
      <c r="BA357" s="142"/>
      <c r="BB357" s="142"/>
      <c r="BC357" s="142"/>
      <c r="BD357" s="142"/>
      <c r="BE357" s="142"/>
      <c r="BF357" s="142"/>
      <c r="BG357" s="142"/>
      <c r="BH357" s="142"/>
      <c r="BI357" s="142"/>
      <c r="BJ357" s="142"/>
      <c r="BK357" s="142"/>
      <c r="BL357" s="142"/>
      <c r="BM357" s="142"/>
      <c r="BN357" s="142"/>
      <c r="BO357" s="142"/>
      <c r="BP357" s="142"/>
      <c r="BQ357" s="142"/>
      <c r="BR357" s="142"/>
    </row>
    <row r="358" spans="1:70" s="142" customFormat="1">
      <c r="A358" s="139" t="s">
        <v>2664</v>
      </c>
      <c r="B358" s="117" t="str">
        <f>'Reference Score Calculation'!B335</f>
        <v>JS8003</v>
      </c>
      <c r="C358" s="117" t="str">
        <f>'Reference Score Calculation'!E335</f>
        <v>數碼中國文化與傳意榮譽文學士及中文教育榮譽學士</v>
      </c>
      <c r="D358" s="117"/>
      <c r="E358" s="129" t="str">
        <f>'Reference Score Calculation'!F335</f>
        <v>Best 5</v>
      </c>
      <c r="F358" s="129" t="str">
        <f>'Reference Score Calculation'!AC335</f>
        <v>Best 5</v>
      </c>
      <c r="G358" s="117" t="str">
        <f>入學要求!AB344</f>
        <v>v</v>
      </c>
      <c r="H358" s="117" t="str">
        <f>入學要求!AC344</f>
        <v>E</v>
      </c>
      <c r="I358" s="117" t="str">
        <f>入學要求!AD344</f>
        <v>v</v>
      </c>
      <c r="J358" s="117">
        <f t="shared" ref="J358:J383" si="626">SUMIF(AP358:AY358,TRUE,V358:AE358)</f>
        <v>3.4999999999999999E-9</v>
      </c>
      <c r="K358" s="505">
        <v>1.5</v>
      </c>
      <c r="L358" s="505">
        <v>1.5</v>
      </c>
      <c r="M358" s="505">
        <v>1</v>
      </c>
      <c r="N358" s="505"/>
      <c r="O358" s="505">
        <v>1</v>
      </c>
      <c r="P358" s="505">
        <f>IF(P$1="中國文學",1.5,1)</f>
        <v>1</v>
      </c>
      <c r="Q358" s="505">
        <f t="shared" ref="Q358:S358" si="627">IF(Q$1="中國文學",1.5,1)</f>
        <v>1</v>
      </c>
      <c r="R358" s="505">
        <f t="shared" si="627"/>
        <v>1</v>
      </c>
      <c r="S358" s="505">
        <f t="shared" si="627"/>
        <v>1</v>
      </c>
      <c r="T358" s="505">
        <v>1</v>
      </c>
      <c r="U358" s="117"/>
      <c r="V358" s="117">
        <f t="shared" ref="V358" si="628">K$9*K358</f>
        <v>1.5E-10</v>
      </c>
      <c r="W358" s="117">
        <f t="shared" ref="W358" si="629">L$9*L358</f>
        <v>3E-10</v>
      </c>
      <c r="X358" s="117">
        <f t="shared" ref="X358" si="630">M$9*M358</f>
        <v>3E-10</v>
      </c>
      <c r="Y358" s="117"/>
      <c r="Z358" s="117">
        <f t="shared" ref="Z358" si="631">IF(G358="v",O$9*O358,0)</f>
        <v>5.0000000000000003E-10</v>
      </c>
      <c r="AA358" s="117">
        <f t="shared" ref="AA358" si="632">P$9*P358</f>
        <v>6E-10</v>
      </c>
      <c r="AB358" s="117">
        <f t="shared" ref="AB358" si="633">Q$9*Q358</f>
        <v>6.9999999999999996E-10</v>
      </c>
      <c r="AC358" s="117">
        <f t="shared" ref="AC358" si="634">R$9*R358</f>
        <v>8.0000000000000003E-10</v>
      </c>
      <c r="AD358" s="117">
        <f t="shared" ref="AD358" si="635">S$9*S358</f>
        <v>8.9999999999999999E-10</v>
      </c>
      <c r="AE358" s="117">
        <f t="shared" ref="AE358" si="636">IF(H358="E",T$9*T358,0)</f>
        <v>0</v>
      </c>
      <c r="AF358" s="117">
        <f t="shared" si="617"/>
        <v>1.5E-10</v>
      </c>
      <c r="AG358" s="117">
        <f t="shared" si="618"/>
        <v>3E-10</v>
      </c>
      <c r="AH358" s="117">
        <f t="shared" si="619"/>
        <v>3E-10</v>
      </c>
      <c r="AI358" s="117"/>
      <c r="AJ358" s="117">
        <f t="shared" si="620"/>
        <v>5.0000000000000003E-10</v>
      </c>
      <c r="AK358" s="117">
        <f t="shared" si="621"/>
        <v>6E-10</v>
      </c>
      <c r="AL358" s="117">
        <f t="shared" si="622"/>
        <v>6.9999999999999996E-10</v>
      </c>
      <c r="AM358" s="117">
        <f t="shared" si="623"/>
        <v>8.0000000000000003E-10</v>
      </c>
      <c r="AN358" s="117">
        <f t="shared" si="624"/>
        <v>8.9999999999999999E-10</v>
      </c>
      <c r="AO358" s="117">
        <f t="shared" si="625"/>
        <v>0</v>
      </c>
      <c r="AP358" s="117" t="b">
        <f>IF(V358&gt;LARGE(($V358:$AE358),6),TRUE)</f>
        <v>0</v>
      </c>
      <c r="AQ358" s="117" t="b">
        <f>IF(W358&gt;LARGE(($V358:$AE358),6),TRUE)</f>
        <v>0</v>
      </c>
      <c r="AR358" s="117" t="b">
        <f>IF(X358&gt;LARGE(($V358:$AE358),6),TRUE)</f>
        <v>0</v>
      </c>
      <c r="AS358" s="130"/>
      <c r="AT358" s="117" t="b">
        <f t="shared" ref="AT358:AY358" si="637">IF(Z358&gt;LARGE(($V358:$AE358),6),TRUE)</f>
        <v>1</v>
      </c>
      <c r="AU358" s="117" t="b">
        <f t="shared" si="637"/>
        <v>1</v>
      </c>
      <c r="AV358" s="117" t="b">
        <f t="shared" si="637"/>
        <v>1</v>
      </c>
      <c r="AW358" s="117" t="b">
        <f t="shared" si="637"/>
        <v>1</v>
      </c>
      <c r="AX358" s="117" t="b">
        <f t="shared" si="637"/>
        <v>1</v>
      </c>
      <c r="AY358" s="117" t="b">
        <f t="shared" si="637"/>
        <v>0</v>
      </c>
      <c r="AZ358" s="117"/>
      <c r="BA358" s="117"/>
      <c r="BB358" s="117"/>
      <c r="BC358" s="117"/>
      <c r="BD358" s="117"/>
      <c r="BE358" s="117"/>
      <c r="BF358" s="117"/>
      <c r="BG358" s="117"/>
      <c r="BH358" s="117"/>
      <c r="BI358" s="117"/>
      <c r="BJ358" s="117"/>
      <c r="BK358" s="117"/>
      <c r="BL358" s="117"/>
      <c r="BM358" s="117"/>
      <c r="BN358" s="117"/>
      <c r="BO358" s="117"/>
      <c r="BP358" s="117"/>
      <c r="BQ358" s="117"/>
      <c r="BR358" s="117"/>
    </row>
    <row r="359" spans="1:70">
      <c r="A359" s="139" t="s">
        <v>2667</v>
      </c>
      <c r="B359" s="117" t="str">
        <f>'Reference Score Calculation'!B336</f>
        <v>JS8004</v>
      </c>
      <c r="C359" s="117" t="str">
        <f>'Reference Score Calculation'!E336</f>
        <v>英語研究及數碼傳訊榮譽文學士及英文教育榮譽學士</v>
      </c>
      <c r="E359" s="129" t="str">
        <f>'Reference Score Calculation'!F336</f>
        <v>Best 5</v>
      </c>
      <c r="F359" s="129" t="str">
        <f>'Reference Score Calculation'!AC336</f>
        <v>Best 5</v>
      </c>
      <c r="G359" s="117" t="str">
        <f>入學要求!AB345</f>
        <v>v</v>
      </c>
      <c r="H359" s="117" t="str">
        <f>入學要求!AC345</f>
        <v>E</v>
      </c>
      <c r="I359" s="117" t="str">
        <f>入學要求!AD345</f>
        <v>v</v>
      </c>
      <c r="J359" s="117">
        <f t="shared" si="626"/>
        <v>3.4999999999999999E-9</v>
      </c>
      <c r="K359" s="505">
        <v>1</v>
      </c>
      <c r="L359" s="505">
        <v>1.5</v>
      </c>
      <c r="M359" s="505">
        <v>1</v>
      </c>
      <c r="N359" s="505"/>
      <c r="O359" s="505">
        <v>1</v>
      </c>
      <c r="P359" s="505">
        <f>IF(P$1="英語文學",1.5,1)</f>
        <v>1</v>
      </c>
      <c r="Q359" s="505">
        <f t="shared" ref="Q359:S359" si="638">IF(Q$1="英語文學",1.5,1)</f>
        <v>1</v>
      </c>
      <c r="R359" s="505">
        <f t="shared" si="638"/>
        <v>1</v>
      </c>
      <c r="S359" s="505">
        <f t="shared" si="638"/>
        <v>1</v>
      </c>
      <c r="T359" s="505">
        <v>1</v>
      </c>
      <c r="U359" s="131"/>
      <c r="V359" s="117">
        <f t="shared" ref="V359:V383" si="639">K$9*K359</f>
        <v>1E-10</v>
      </c>
      <c r="W359" s="117">
        <f t="shared" ref="W359:W383" si="640">L$9*L359</f>
        <v>3E-10</v>
      </c>
      <c r="X359" s="117">
        <f t="shared" ref="X359:X383" si="641">M$9*M359</f>
        <v>3E-10</v>
      </c>
      <c r="Z359" s="117">
        <f t="shared" ref="Z359:Z383" si="642">IF(G359="v",O$9*O359,0)</f>
        <v>5.0000000000000003E-10</v>
      </c>
      <c r="AA359" s="117">
        <f t="shared" ref="AA359:AA383" si="643">P$9*P359</f>
        <v>6E-10</v>
      </c>
      <c r="AB359" s="117">
        <f t="shared" ref="AB359:AB383" si="644">Q$9*Q359</f>
        <v>6.9999999999999996E-10</v>
      </c>
      <c r="AC359" s="117">
        <f t="shared" ref="AC359:AC383" si="645">R$9*R359</f>
        <v>8.0000000000000003E-10</v>
      </c>
      <c r="AD359" s="117">
        <f t="shared" ref="AD359:AD383" si="646">S$9*S359</f>
        <v>8.9999999999999999E-10</v>
      </c>
      <c r="AE359" s="117">
        <f t="shared" ref="AE359:AE383" si="647">IF(H359="E",T$9*T359,0)</f>
        <v>0</v>
      </c>
      <c r="AF359" s="117">
        <f t="shared" ref="AF359:AF383" si="648">V359</f>
        <v>1E-10</v>
      </c>
      <c r="AG359" s="117">
        <f t="shared" ref="AG359:AG383" si="649">W359</f>
        <v>3E-10</v>
      </c>
      <c r="AH359" s="117">
        <f t="shared" ref="AH359:AH383" si="650">X359</f>
        <v>3E-10</v>
      </c>
      <c r="AJ359" s="117">
        <f t="shared" ref="AJ359:AJ383" si="651">Z359</f>
        <v>5.0000000000000003E-10</v>
      </c>
      <c r="AK359" s="117">
        <f t="shared" ref="AK359:AK383" si="652">AA359</f>
        <v>6E-10</v>
      </c>
      <c r="AL359" s="117">
        <f t="shared" ref="AL359:AL383" si="653">AB359</f>
        <v>6.9999999999999996E-10</v>
      </c>
      <c r="AM359" s="117">
        <f t="shared" ref="AM359:AM383" si="654">AC359</f>
        <v>8.0000000000000003E-10</v>
      </c>
      <c r="AN359" s="117">
        <f t="shared" ref="AN359:AN383" si="655">AD359</f>
        <v>8.9999999999999999E-10</v>
      </c>
      <c r="AO359" s="117">
        <f t="shared" ref="AO359:AO383" si="656">AE359</f>
        <v>0</v>
      </c>
      <c r="AP359" s="117" t="b">
        <f t="shared" ref="AP359:AP383" si="657">IF(V359&gt;LARGE(($V359:$AE359),6),TRUE)</f>
        <v>0</v>
      </c>
      <c r="AQ359" s="117" t="b">
        <f t="shared" ref="AQ359:AQ383" si="658">IF(W359&gt;LARGE(($V359:$AE359),6),TRUE)</f>
        <v>0</v>
      </c>
      <c r="AR359" s="117" t="b">
        <f t="shared" ref="AR359:AR383" si="659">IF(X359&gt;LARGE(($V359:$AE359),6),TRUE)</f>
        <v>0</v>
      </c>
      <c r="AS359" s="130"/>
      <c r="AT359" s="117" t="b">
        <f t="shared" ref="AT359:AT383" si="660">IF(Z359&gt;LARGE(($V359:$AE359),6),TRUE)</f>
        <v>1</v>
      </c>
      <c r="AU359" s="117" t="b">
        <f t="shared" ref="AU359:AU383" si="661">IF(AA359&gt;LARGE(($V359:$AE359),6),TRUE)</f>
        <v>1</v>
      </c>
      <c r="AV359" s="117" t="b">
        <f t="shared" ref="AV359:AV383" si="662">IF(AB359&gt;LARGE(($V359:$AE359),6),TRUE)</f>
        <v>1</v>
      </c>
      <c r="AW359" s="117" t="b">
        <f t="shared" ref="AW359:AW383" si="663">IF(AC359&gt;LARGE(($V359:$AE359),6),TRUE)</f>
        <v>1</v>
      </c>
      <c r="AX359" s="117" t="b">
        <f t="shared" ref="AX359:AX383" si="664">IF(AD359&gt;LARGE(($V359:$AE359),6),TRUE)</f>
        <v>1</v>
      </c>
      <c r="AY359" s="117" t="b">
        <f t="shared" ref="AY359:AY383" si="665">IF(AE359&gt;LARGE(($V359:$AE359),6),TRUE)</f>
        <v>0</v>
      </c>
    </row>
    <row r="360" spans="1:70">
      <c r="A360" s="139" t="s">
        <v>2694</v>
      </c>
      <c r="B360" s="117" t="str">
        <f>'Reference Score Calculation'!B337</f>
        <v>JS8013</v>
      </c>
      <c r="C360" s="117" t="str">
        <f>'Reference Score Calculation'!E337</f>
        <v>社會學與社區研究榮譽社會科學學士及小學人文科教育榮譽學士</v>
      </c>
      <c r="E360" s="129" t="str">
        <f>'Reference Score Calculation'!F337</f>
        <v>Best 5</v>
      </c>
      <c r="F360" s="129" t="str">
        <f>'Reference Score Calculation'!AC337</f>
        <v>Best 5</v>
      </c>
      <c r="G360" s="117" t="str">
        <f>入學要求!AB346</f>
        <v>v</v>
      </c>
      <c r="H360" s="117" t="str">
        <f>入學要求!AC346</f>
        <v>E</v>
      </c>
      <c r="I360" s="117" t="str">
        <f>入學要求!AD346</f>
        <v>v</v>
      </c>
      <c r="J360" s="117">
        <f t="shared" si="626"/>
        <v>3.4999999999999999E-9</v>
      </c>
      <c r="K360" s="505">
        <v>1</v>
      </c>
      <c r="L360" s="505">
        <v>1</v>
      </c>
      <c r="M360" s="505">
        <v>1</v>
      </c>
      <c r="N360" s="505"/>
      <c r="O360" s="505">
        <v>1</v>
      </c>
      <c r="P360" s="505">
        <v>1</v>
      </c>
      <c r="Q360" s="505">
        <v>1</v>
      </c>
      <c r="R360" s="505">
        <v>1</v>
      </c>
      <c r="S360" s="505">
        <v>1</v>
      </c>
      <c r="T360" s="505">
        <v>1</v>
      </c>
      <c r="U360" s="131"/>
      <c r="V360" s="117">
        <f t="shared" si="639"/>
        <v>1E-10</v>
      </c>
      <c r="W360" s="117">
        <f t="shared" si="640"/>
        <v>2.0000000000000001E-10</v>
      </c>
      <c r="X360" s="117">
        <f t="shared" si="641"/>
        <v>3E-10</v>
      </c>
      <c r="Z360" s="117">
        <f t="shared" si="642"/>
        <v>5.0000000000000003E-10</v>
      </c>
      <c r="AA360" s="117">
        <f t="shared" si="643"/>
        <v>6E-10</v>
      </c>
      <c r="AB360" s="117">
        <f t="shared" si="644"/>
        <v>6.9999999999999996E-10</v>
      </c>
      <c r="AC360" s="117">
        <f t="shared" si="645"/>
        <v>8.0000000000000003E-10</v>
      </c>
      <c r="AD360" s="117">
        <f t="shared" si="646"/>
        <v>8.9999999999999999E-10</v>
      </c>
      <c r="AE360" s="117">
        <f t="shared" si="647"/>
        <v>0</v>
      </c>
      <c r="AF360" s="117">
        <f t="shared" si="648"/>
        <v>1E-10</v>
      </c>
      <c r="AG360" s="117">
        <f t="shared" si="649"/>
        <v>2.0000000000000001E-10</v>
      </c>
      <c r="AH360" s="117">
        <f t="shared" si="650"/>
        <v>3E-10</v>
      </c>
      <c r="AJ360" s="117">
        <f t="shared" si="651"/>
        <v>5.0000000000000003E-10</v>
      </c>
      <c r="AK360" s="117">
        <f t="shared" si="652"/>
        <v>6E-10</v>
      </c>
      <c r="AL360" s="117">
        <f t="shared" si="653"/>
        <v>6.9999999999999996E-10</v>
      </c>
      <c r="AM360" s="117">
        <f t="shared" si="654"/>
        <v>8.0000000000000003E-10</v>
      </c>
      <c r="AN360" s="117">
        <f t="shared" si="655"/>
        <v>8.9999999999999999E-10</v>
      </c>
      <c r="AO360" s="117">
        <f t="shared" si="656"/>
        <v>0</v>
      </c>
      <c r="AP360" s="117" t="b">
        <f t="shared" si="657"/>
        <v>0</v>
      </c>
      <c r="AQ360" s="117" t="b">
        <f t="shared" si="658"/>
        <v>0</v>
      </c>
      <c r="AR360" s="117" t="b">
        <f t="shared" si="659"/>
        <v>0</v>
      </c>
      <c r="AS360" s="130"/>
      <c r="AT360" s="117" t="b">
        <f t="shared" si="660"/>
        <v>1</v>
      </c>
      <c r="AU360" s="117" t="b">
        <f t="shared" si="661"/>
        <v>1</v>
      </c>
      <c r="AV360" s="117" t="b">
        <f t="shared" si="662"/>
        <v>1</v>
      </c>
      <c r="AW360" s="117" t="b">
        <f t="shared" si="663"/>
        <v>1</v>
      </c>
      <c r="AX360" s="117" t="b">
        <f t="shared" si="664"/>
        <v>1</v>
      </c>
      <c r="AY360" s="117" t="b">
        <f t="shared" si="665"/>
        <v>0</v>
      </c>
    </row>
    <row r="361" spans="1:70">
      <c r="A361" s="139" t="s">
        <v>2682</v>
      </c>
      <c r="B361" s="117" t="str">
        <f>'Reference Score Calculation'!B338</f>
        <v>JS8009</v>
      </c>
      <c r="C361" s="117" t="str">
        <f>'Reference Score Calculation'!E338</f>
        <v>人工智能與教育科技榮譽理學士及小學數學教育榮譽學士</v>
      </c>
      <c r="E361" s="129" t="str">
        <f>'Reference Score Calculation'!F338</f>
        <v>Best 5</v>
      </c>
      <c r="F361" s="129" t="str">
        <f>'Reference Score Calculation'!AC338</f>
        <v>Best 5</v>
      </c>
      <c r="G361" s="117" t="str">
        <f>入學要求!AB347</f>
        <v>v</v>
      </c>
      <c r="H361" s="117" t="str">
        <f>入學要求!AC347</f>
        <v>E</v>
      </c>
      <c r="I361" s="117" t="str">
        <f>入學要求!AD347</f>
        <v>v</v>
      </c>
      <c r="J361" s="117">
        <f t="shared" si="626"/>
        <v>3.7500000000000005E-9</v>
      </c>
      <c r="K361" s="505">
        <v>1</v>
      </c>
      <c r="L361" s="505">
        <v>1.5</v>
      </c>
      <c r="M361" s="505">
        <v>1.5</v>
      </c>
      <c r="N361" s="505"/>
      <c r="O361" s="505">
        <v>1.5</v>
      </c>
      <c r="P361" s="505">
        <f>IF(P$1="物理",1.5,1)</f>
        <v>1</v>
      </c>
      <c r="Q361" s="505">
        <f t="shared" ref="Q361:S361" si="666">IF(Q$1="物理",1.5,1)</f>
        <v>1</v>
      </c>
      <c r="R361" s="505">
        <f t="shared" si="666"/>
        <v>1</v>
      </c>
      <c r="S361" s="505">
        <f t="shared" si="666"/>
        <v>1</v>
      </c>
      <c r="T361" s="505">
        <v>1</v>
      </c>
      <c r="U361" s="131"/>
      <c r="V361" s="117">
        <f t="shared" si="639"/>
        <v>1E-10</v>
      </c>
      <c r="W361" s="117">
        <f t="shared" si="640"/>
        <v>3E-10</v>
      </c>
      <c r="X361" s="117">
        <f t="shared" si="641"/>
        <v>4.5E-10</v>
      </c>
      <c r="Z361" s="117">
        <f t="shared" si="642"/>
        <v>7.500000000000001E-10</v>
      </c>
      <c r="AA361" s="117">
        <f t="shared" si="643"/>
        <v>6E-10</v>
      </c>
      <c r="AB361" s="117">
        <f t="shared" si="644"/>
        <v>6.9999999999999996E-10</v>
      </c>
      <c r="AC361" s="117">
        <f t="shared" si="645"/>
        <v>8.0000000000000003E-10</v>
      </c>
      <c r="AD361" s="117">
        <f t="shared" si="646"/>
        <v>8.9999999999999999E-10</v>
      </c>
      <c r="AE361" s="117">
        <f t="shared" si="647"/>
        <v>0</v>
      </c>
      <c r="AF361" s="117">
        <f t="shared" si="648"/>
        <v>1E-10</v>
      </c>
      <c r="AG361" s="117">
        <f t="shared" si="649"/>
        <v>3E-10</v>
      </c>
      <c r="AH361" s="117">
        <f t="shared" si="650"/>
        <v>4.5E-10</v>
      </c>
      <c r="AJ361" s="117">
        <f t="shared" si="651"/>
        <v>7.500000000000001E-10</v>
      </c>
      <c r="AK361" s="117">
        <f t="shared" si="652"/>
        <v>6E-10</v>
      </c>
      <c r="AL361" s="117">
        <f t="shared" si="653"/>
        <v>6.9999999999999996E-10</v>
      </c>
      <c r="AM361" s="117">
        <f t="shared" si="654"/>
        <v>8.0000000000000003E-10</v>
      </c>
      <c r="AN361" s="117">
        <f t="shared" si="655"/>
        <v>8.9999999999999999E-10</v>
      </c>
      <c r="AO361" s="117">
        <f t="shared" si="656"/>
        <v>0</v>
      </c>
      <c r="AP361" s="117" t="b">
        <f t="shared" si="657"/>
        <v>0</v>
      </c>
      <c r="AQ361" s="117" t="b">
        <f t="shared" si="658"/>
        <v>0</v>
      </c>
      <c r="AR361" s="117" t="b">
        <f t="shared" si="659"/>
        <v>0</v>
      </c>
      <c r="AS361" s="130"/>
      <c r="AT361" s="117" t="b">
        <f t="shared" si="660"/>
        <v>1</v>
      </c>
      <c r="AU361" s="117" t="b">
        <f t="shared" si="661"/>
        <v>1</v>
      </c>
      <c r="AV361" s="117" t="b">
        <f t="shared" si="662"/>
        <v>1</v>
      </c>
      <c r="AW361" s="117" t="b">
        <f t="shared" si="663"/>
        <v>1</v>
      </c>
      <c r="AX361" s="117" t="b">
        <f t="shared" si="664"/>
        <v>1</v>
      </c>
      <c r="AY361" s="117" t="b">
        <f t="shared" si="665"/>
        <v>0</v>
      </c>
    </row>
    <row r="362" spans="1:70">
      <c r="A362" s="139" t="s">
        <v>2685</v>
      </c>
      <c r="B362" s="117" t="str">
        <f>'Reference Score Calculation'!B339</f>
        <v>JS8010</v>
      </c>
      <c r="C362" s="117" t="str">
        <f>'Reference Score Calculation'!E339</f>
        <v>運動科學及教練榮譽理學士及體育教育榮譽學士</v>
      </c>
      <c r="E362" s="129" t="str">
        <f>'Reference Score Calculation'!F339</f>
        <v>Best 5</v>
      </c>
      <c r="F362" s="129" t="str">
        <f>'Reference Score Calculation'!AC339</f>
        <v>Best 5</v>
      </c>
      <c r="G362" s="117" t="str">
        <f>入學要求!AB348</f>
        <v>v</v>
      </c>
      <c r="H362" s="117" t="str">
        <f>入學要求!AC348</f>
        <v>E</v>
      </c>
      <c r="I362" s="117" t="str">
        <f>入學要求!AD348</f>
        <v>v</v>
      </c>
      <c r="J362" s="117">
        <f t="shared" si="626"/>
        <v>3.4999999999999999E-9</v>
      </c>
      <c r="K362" s="505">
        <v>1</v>
      </c>
      <c r="L362" s="505">
        <v>1</v>
      </c>
      <c r="M362" s="505">
        <v>1</v>
      </c>
      <c r="N362" s="505"/>
      <c r="O362" s="505">
        <v>1</v>
      </c>
      <c r="P362" s="505">
        <f>IF(P$1="體育",1.5,1)</f>
        <v>1</v>
      </c>
      <c r="Q362" s="505">
        <f t="shared" ref="Q362:S362" si="667">IF(Q$1="體育",1.5,1)</f>
        <v>1</v>
      </c>
      <c r="R362" s="505">
        <f t="shared" si="667"/>
        <v>1</v>
      </c>
      <c r="S362" s="505">
        <f t="shared" si="667"/>
        <v>1</v>
      </c>
      <c r="T362" s="505">
        <v>1</v>
      </c>
      <c r="U362" s="131"/>
      <c r="V362" s="117">
        <f t="shared" si="639"/>
        <v>1E-10</v>
      </c>
      <c r="W362" s="117">
        <f t="shared" si="640"/>
        <v>2.0000000000000001E-10</v>
      </c>
      <c r="X362" s="117">
        <f t="shared" si="641"/>
        <v>3E-10</v>
      </c>
      <c r="Z362" s="117">
        <f t="shared" si="642"/>
        <v>5.0000000000000003E-10</v>
      </c>
      <c r="AA362" s="117">
        <f t="shared" si="643"/>
        <v>6E-10</v>
      </c>
      <c r="AB362" s="117">
        <f t="shared" si="644"/>
        <v>6.9999999999999996E-10</v>
      </c>
      <c r="AC362" s="117">
        <f t="shared" si="645"/>
        <v>8.0000000000000003E-10</v>
      </c>
      <c r="AD362" s="117">
        <f t="shared" si="646"/>
        <v>8.9999999999999999E-10</v>
      </c>
      <c r="AE362" s="117">
        <f t="shared" si="647"/>
        <v>0</v>
      </c>
      <c r="AF362" s="117">
        <f t="shared" si="648"/>
        <v>1E-10</v>
      </c>
      <c r="AG362" s="117">
        <f t="shared" si="649"/>
        <v>2.0000000000000001E-10</v>
      </c>
      <c r="AH362" s="117">
        <f t="shared" si="650"/>
        <v>3E-10</v>
      </c>
      <c r="AJ362" s="117">
        <f t="shared" si="651"/>
        <v>5.0000000000000003E-10</v>
      </c>
      <c r="AK362" s="117">
        <f t="shared" si="652"/>
        <v>6E-10</v>
      </c>
      <c r="AL362" s="117">
        <f t="shared" si="653"/>
        <v>6.9999999999999996E-10</v>
      </c>
      <c r="AM362" s="117">
        <f t="shared" si="654"/>
        <v>8.0000000000000003E-10</v>
      </c>
      <c r="AN362" s="117">
        <f t="shared" si="655"/>
        <v>8.9999999999999999E-10</v>
      </c>
      <c r="AO362" s="117">
        <f t="shared" si="656"/>
        <v>0</v>
      </c>
      <c r="AP362" s="117" t="b">
        <f t="shared" si="657"/>
        <v>0</v>
      </c>
      <c r="AQ362" s="117" t="b">
        <f t="shared" si="658"/>
        <v>0</v>
      </c>
      <c r="AR362" s="117" t="b">
        <f t="shared" si="659"/>
        <v>0</v>
      </c>
      <c r="AS362" s="130"/>
      <c r="AT362" s="117" t="b">
        <f t="shared" si="660"/>
        <v>1</v>
      </c>
      <c r="AU362" s="117" t="b">
        <f t="shared" si="661"/>
        <v>1</v>
      </c>
      <c r="AV362" s="117" t="b">
        <f t="shared" si="662"/>
        <v>1</v>
      </c>
      <c r="AW362" s="117" t="b">
        <f t="shared" si="663"/>
        <v>1</v>
      </c>
      <c r="AX362" s="117" t="b">
        <f t="shared" si="664"/>
        <v>1</v>
      </c>
      <c r="AY362" s="117" t="b">
        <f t="shared" si="665"/>
        <v>0</v>
      </c>
    </row>
    <row r="363" spans="1:70">
      <c r="A363" s="139" t="s">
        <v>2679</v>
      </c>
      <c r="B363" s="117" t="str">
        <f>'Reference Score Calculation'!B340</f>
        <v>JS8008</v>
      </c>
      <c r="C363" s="117" t="str">
        <f>'Reference Score Calculation'!E340</f>
        <v>人工智能與教育科技榮譽理學士及資訊及通訊科技及小學科學教育榮譽學士</v>
      </c>
      <c r="E363" s="129" t="str">
        <f>'Reference Score Calculation'!F340</f>
        <v>Best 5</v>
      </c>
      <c r="F363" s="129" t="str">
        <f>'Reference Score Calculation'!AC340</f>
        <v>Best 5</v>
      </c>
      <c r="G363" s="117" t="str">
        <f>入學要求!AB349</f>
        <v>v</v>
      </c>
      <c r="H363" s="117" t="str">
        <f>入學要求!AC349</f>
        <v>E</v>
      </c>
      <c r="I363" s="117" t="str">
        <f>入學要求!AD349</f>
        <v>v</v>
      </c>
      <c r="J363" s="117">
        <f t="shared" si="626"/>
        <v>3.7500000000000005E-9</v>
      </c>
      <c r="K363" s="505">
        <v>1</v>
      </c>
      <c r="L363" s="505">
        <v>1</v>
      </c>
      <c r="M363" s="505">
        <v>1.5</v>
      </c>
      <c r="N363" s="505"/>
      <c r="O363" s="505">
        <v>1.5</v>
      </c>
      <c r="P363" s="505">
        <f>IF(OR(P$1="化學",P$1="生物",P$1="組合科學(物理、化學)",P$1="組合科學(生物、化學)",P$1="組合科學(物理、生物)",P$1="物理",P$1="綜合科學",P$1="資訊及通訊科技"),1.5,1)</f>
        <v>1</v>
      </c>
      <c r="Q363" s="505">
        <f t="shared" ref="Q363:S363" si="668">IF(OR(Q$1="化學",Q$1="生物",Q$1="組合科學(物理、化學)",Q$1="組合科學(生物、化學)",Q$1="組合科學(物理、生物)",Q$1="物理",Q$1="綜合科學",Q$1="資訊及通訊科技"),1.5,1)</f>
        <v>1</v>
      </c>
      <c r="R363" s="505">
        <f t="shared" si="668"/>
        <v>1</v>
      </c>
      <c r="S363" s="505">
        <f t="shared" si="668"/>
        <v>1</v>
      </c>
      <c r="T363" s="505">
        <v>1</v>
      </c>
      <c r="U363" s="131"/>
      <c r="V363" s="117">
        <f t="shared" si="639"/>
        <v>1E-10</v>
      </c>
      <c r="W363" s="117">
        <f t="shared" si="640"/>
        <v>2.0000000000000001E-10</v>
      </c>
      <c r="X363" s="117">
        <f t="shared" si="641"/>
        <v>4.5E-10</v>
      </c>
      <c r="Z363" s="117">
        <f t="shared" si="642"/>
        <v>7.500000000000001E-10</v>
      </c>
      <c r="AA363" s="117">
        <f t="shared" si="643"/>
        <v>6E-10</v>
      </c>
      <c r="AB363" s="117">
        <f t="shared" si="644"/>
        <v>6.9999999999999996E-10</v>
      </c>
      <c r="AC363" s="117">
        <f t="shared" si="645"/>
        <v>8.0000000000000003E-10</v>
      </c>
      <c r="AD363" s="117">
        <f t="shared" si="646"/>
        <v>8.9999999999999999E-10</v>
      </c>
      <c r="AE363" s="117">
        <f t="shared" si="647"/>
        <v>0</v>
      </c>
      <c r="AF363" s="117">
        <f t="shared" si="648"/>
        <v>1E-10</v>
      </c>
      <c r="AG363" s="117">
        <f t="shared" si="649"/>
        <v>2.0000000000000001E-10</v>
      </c>
      <c r="AH363" s="117">
        <f t="shared" si="650"/>
        <v>4.5E-10</v>
      </c>
      <c r="AJ363" s="117">
        <f t="shared" si="651"/>
        <v>7.500000000000001E-10</v>
      </c>
      <c r="AK363" s="117">
        <f t="shared" si="652"/>
        <v>6E-10</v>
      </c>
      <c r="AL363" s="117">
        <f t="shared" si="653"/>
        <v>6.9999999999999996E-10</v>
      </c>
      <c r="AM363" s="117">
        <f t="shared" si="654"/>
        <v>8.0000000000000003E-10</v>
      </c>
      <c r="AN363" s="117">
        <f t="shared" si="655"/>
        <v>8.9999999999999999E-10</v>
      </c>
      <c r="AO363" s="117">
        <f t="shared" si="656"/>
        <v>0</v>
      </c>
      <c r="AP363" s="117" t="b">
        <f t="shared" si="657"/>
        <v>0</v>
      </c>
      <c r="AQ363" s="117" t="b">
        <f t="shared" si="658"/>
        <v>0</v>
      </c>
      <c r="AR363" s="117" t="b">
        <f t="shared" si="659"/>
        <v>0</v>
      </c>
      <c r="AS363" s="130"/>
      <c r="AT363" s="117" t="b">
        <f t="shared" si="660"/>
        <v>1</v>
      </c>
      <c r="AU363" s="117" t="b">
        <f t="shared" si="661"/>
        <v>1</v>
      </c>
      <c r="AV363" s="117" t="b">
        <f t="shared" si="662"/>
        <v>1</v>
      </c>
      <c r="AW363" s="117" t="b">
        <f t="shared" si="663"/>
        <v>1</v>
      </c>
      <c r="AX363" s="117" t="b">
        <f t="shared" si="664"/>
        <v>1</v>
      </c>
      <c r="AY363" s="117" t="b">
        <f t="shared" si="665"/>
        <v>0</v>
      </c>
    </row>
    <row r="364" spans="1:70">
      <c r="A364" s="139" t="s">
        <v>2676</v>
      </c>
      <c r="B364" s="117" t="str">
        <f>'Reference Score Calculation'!B341</f>
        <v>JS8007</v>
      </c>
      <c r="C364" s="117" t="str">
        <f>'Reference Score Calculation'!E341</f>
        <v>個人理財榮譽文學士及企業、會計與財務概論教育榮譽學士</v>
      </c>
      <c r="E364" s="129" t="str">
        <f>'Reference Score Calculation'!F341</f>
        <v>Best 5</v>
      </c>
      <c r="F364" s="129" t="str">
        <f>'Reference Score Calculation'!AC341</f>
        <v>Best 5</v>
      </c>
      <c r="G364" s="117" t="str">
        <f>入學要求!AB350</f>
        <v>v</v>
      </c>
      <c r="H364" s="117" t="str">
        <f>入學要求!AC350</f>
        <v>E</v>
      </c>
      <c r="I364" s="117" t="str">
        <f>入學要求!AD350</f>
        <v>v</v>
      </c>
      <c r="J364" s="117">
        <f t="shared" si="626"/>
        <v>3.4999999999999999E-9</v>
      </c>
      <c r="K364" s="505">
        <v>1</v>
      </c>
      <c r="L364" s="505">
        <v>1</v>
      </c>
      <c r="M364" s="505">
        <v>1</v>
      </c>
      <c r="N364" s="505"/>
      <c r="O364" s="505">
        <v>1</v>
      </c>
      <c r="P364" s="505">
        <f>IF(P$1="企業、會計與財務概論",1.2,1)</f>
        <v>1</v>
      </c>
      <c r="Q364" s="505">
        <f t="shared" ref="Q364:S364" si="669">IF(Q$1="企業、會計與財務概論",1.2,1)</f>
        <v>1</v>
      </c>
      <c r="R364" s="505">
        <f t="shared" si="669"/>
        <v>1</v>
      </c>
      <c r="S364" s="505">
        <f t="shared" si="669"/>
        <v>1</v>
      </c>
      <c r="T364" s="505">
        <v>1</v>
      </c>
      <c r="U364" s="131"/>
      <c r="V364" s="117">
        <f t="shared" si="639"/>
        <v>1E-10</v>
      </c>
      <c r="W364" s="117">
        <f t="shared" si="640"/>
        <v>2.0000000000000001E-10</v>
      </c>
      <c r="X364" s="117">
        <f t="shared" si="641"/>
        <v>3E-10</v>
      </c>
      <c r="Z364" s="117">
        <f t="shared" si="642"/>
        <v>5.0000000000000003E-10</v>
      </c>
      <c r="AA364" s="117">
        <f t="shared" si="643"/>
        <v>6E-10</v>
      </c>
      <c r="AB364" s="117">
        <f t="shared" si="644"/>
        <v>6.9999999999999996E-10</v>
      </c>
      <c r="AC364" s="117">
        <f t="shared" si="645"/>
        <v>8.0000000000000003E-10</v>
      </c>
      <c r="AD364" s="117">
        <f t="shared" si="646"/>
        <v>8.9999999999999999E-10</v>
      </c>
      <c r="AE364" s="117">
        <f t="shared" si="647"/>
        <v>0</v>
      </c>
      <c r="AF364" s="117">
        <f t="shared" si="648"/>
        <v>1E-10</v>
      </c>
      <c r="AG364" s="117">
        <f t="shared" si="649"/>
        <v>2.0000000000000001E-10</v>
      </c>
      <c r="AH364" s="117">
        <f t="shared" si="650"/>
        <v>3E-10</v>
      </c>
      <c r="AJ364" s="117">
        <f t="shared" si="651"/>
        <v>5.0000000000000003E-10</v>
      </c>
      <c r="AK364" s="117">
        <f t="shared" si="652"/>
        <v>6E-10</v>
      </c>
      <c r="AL364" s="117">
        <f t="shared" si="653"/>
        <v>6.9999999999999996E-10</v>
      </c>
      <c r="AM364" s="117">
        <f t="shared" si="654"/>
        <v>8.0000000000000003E-10</v>
      </c>
      <c r="AN364" s="117">
        <f t="shared" si="655"/>
        <v>8.9999999999999999E-10</v>
      </c>
      <c r="AO364" s="117">
        <f t="shared" si="656"/>
        <v>0</v>
      </c>
      <c r="AP364" s="117" t="b">
        <f t="shared" si="657"/>
        <v>0</v>
      </c>
      <c r="AQ364" s="117" t="b">
        <f t="shared" si="658"/>
        <v>0</v>
      </c>
      <c r="AR364" s="117" t="b">
        <f t="shared" si="659"/>
        <v>0</v>
      </c>
      <c r="AS364" s="130"/>
      <c r="AT364" s="117" t="b">
        <f t="shared" si="660"/>
        <v>1</v>
      </c>
      <c r="AU364" s="117" t="b">
        <f t="shared" si="661"/>
        <v>1</v>
      </c>
      <c r="AV364" s="117" t="b">
        <f t="shared" si="662"/>
        <v>1</v>
      </c>
      <c r="AW364" s="117" t="b">
        <f t="shared" si="663"/>
        <v>1</v>
      </c>
      <c r="AX364" s="117" t="b">
        <f t="shared" si="664"/>
        <v>1</v>
      </c>
      <c r="AY364" s="117" t="b">
        <f t="shared" si="665"/>
        <v>0</v>
      </c>
    </row>
    <row r="365" spans="1:70">
      <c r="A365" s="139" t="s">
        <v>2670</v>
      </c>
      <c r="B365" s="117" t="str">
        <f>'Reference Score Calculation'!B342</f>
        <v>JS8005</v>
      </c>
      <c r="C365" s="117" t="str">
        <f>'Reference Score Calculation'!E342</f>
        <v>文化傳承教育與藝術管理榮譽文學士及中國歷史教育榮譽學士</v>
      </c>
      <c r="E365" s="129" t="str">
        <f>'Reference Score Calculation'!F342</f>
        <v>Best 5</v>
      </c>
      <c r="F365" s="129" t="str">
        <f>'Reference Score Calculation'!AC342</f>
        <v>Best 5</v>
      </c>
      <c r="G365" s="117" t="str">
        <f>入學要求!AB351</f>
        <v>v</v>
      </c>
      <c r="H365" s="117" t="str">
        <f>入學要求!AC351</f>
        <v>E</v>
      </c>
      <c r="I365" s="117" t="str">
        <f>入學要求!AD351</f>
        <v>v</v>
      </c>
      <c r="J365" s="117">
        <f t="shared" si="626"/>
        <v>3.4999999999999999E-9</v>
      </c>
      <c r="K365" s="505">
        <v>1</v>
      </c>
      <c r="L365" s="505">
        <v>1</v>
      </c>
      <c r="M365" s="505">
        <v>1</v>
      </c>
      <c r="N365" s="505"/>
      <c r="O365" s="505">
        <v>1</v>
      </c>
      <c r="P365" s="505">
        <f>IF(P$1="歷史",1.5,1)</f>
        <v>1</v>
      </c>
      <c r="Q365" s="505">
        <f t="shared" ref="Q365:S365" si="670">IF(Q$1="歷史",1.5,1)</f>
        <v>1</v>
      </c>
      <c r="R365" s="505">
        <f t="shared" si="670"/>
        <v>1</v>
      </c>
      <c r="S365" s="505">
        <f t="shared" si="670"/>
        <v>1</v>
      </c>
      <c r="T365" s="505">
        <v>1</v>
      </c>
      <c r="U365" s="131"/>
      <c r="V365" s="117">
        <f t="shared" si="639"/>
        <v>1E-10</v>
      </c>
      <c r="W365" s="117">
        <f t="shared" si="640"/>
        <v>2.0000000000000001E-10</v>
      </c>
      <c r="X365" s="117">
        <f t="shared" si="641"/>
        <v>3E-10</v>
      </c>
      <c r="Z365" s="117">
        <f t="shared" si="642"/>
        <v>5.0000000000000003E-10</v>
      </c>
      <c r="AA365" s="117">
        <f t="shared" si="643"/>
        <v>6E-10</v>
      </c>
      <c r="AB365" s="117">
        <f t="shared" si="644"/>
        <v>6.9999999999999996E-10</v>
      </c>
      <c r="AC365" s="117">
        <f t="shared" si="645"/>
        <v>8.0000000000000003E-10</v>
      </c>
      <c r="AD365" s="117">
        <f t="shared" si="646"/>
        <v>8.9999999999999999E-10</v>
      </c>
      <c r="AE365" s="117">
        <f t="shared" si="647"/>
        <v>0</v>
      </c>
      <c r="AF365" s="117">
        <f t="shared" si="648"/>
        <v>1E-10</v>
      </c>
      <c r="AG365" s="117">
        <f t="shared" si="649"/>
        <v>2.0000000000000001E-10</v>
      </c>
      <c r="AH365" s="117">
        <f t="shared" si="650"/>
        <v>3E-10</v>
      </c>
      <c r="AJ365" s="117">
        <f t="shared" si="651"/>
        <v>5.0000000000000003E-10</v>
      </c>
      <c r="AK365" s="117">
        <f t="shared" si="652"/>
        <v>6E-10</v>
      </c>
      <c r="AL365" s="117">
        <f t="shared" si="653"/>
        <v>6.9999999999999996E-10</v>
      </c>
      <c r="AM365" s="117">
        <f t="shared" si="654"/>
        <v>8.0000000000000003E-10</v>
      </c>
      <c r="AN365" s="117">
        <f t="shared" si="655"/>
        <v>8.9999999999999999E-10</v>
      </c>
      <c r="AO365" s="117">
        <f t="shared" si="656"/>
        <v>0</v>
      </c>
      <c r="AP365" s="117" t="b">
        <f t="shared" si="657"/>
        <v>0</v>
      </c>
      <c r="AQ365" s="117" t="b">
        <f t="shared" si="658"/>
        <v>0</v>
      </c>
      <c r="AR365" s="117" t="b">
        <f t="shared" si="659"/>
        <v>0</v>
      </c>
      <c r="AS365" s="130"/>
      <c r="AT365" s="117" t="b">
        <f t="shared" si="660"/>
        <v>1</v>
      </c>
      <c r="AU365" s="117" t="b">
        <f t="shared" si="661"/>
        <v>1</v>
      </c>
      <c r="AV365" s="117" t="b">
        <f t="shared" si="662"/>
        <v>1</v>
      </c>
      <c r="AW365" s="117" t="b">
        <f t="shared" si="663"/>
        <v>1</v>
      </c>
      <c r="AX365" s="117" t="b">
        <f t="shared" si="664"/>
        <v>1</v>
      </c>
      <c r="AY365" s="117" t="b">
        <f t="shared" si="665"/>
        <v>0</v>
      </c>
    </row>
    <row r="366" spans="1:70">
      <c r="A366" s="139" t="s">
        <v>2673</v>
      </c>
      <c r="B366" s="117" t="str">
        <f>'Reference Score Calculation'!B343</f>
        <v>JS8006</v>
      </c>
      <c r="C366" s="117" t="str">
        <f>'Reference Score Calculation'!E343</f>
        <v>心理學榮譽社會科學學士及幼兒教育榮譽學士</v>
      </c>
      <c r="E366" s="129" t="str">
        <f>'Reference Score Calculation'!F343</f>
        <v>Best 5</v>
      </c>
      <c r="F366" s="129" t="str">
        <f>'Reference Score Calculation'!AC343</f>
        <v>Best 5</v>
      </c>
      <c r="G366" s="117" t="str">
        <f>入學要求!AB352</f>
        <v>v</v>
      </c>
      <c r="H366" s="117" t="str">
        <f>入學要求!AC352</f>
        <v>E</v>
      </c>
      <c r="I366" s="117" t="str">
        <f>入學要求!AD352</f>
        <v>v</v>
      </c>
      <c r="J366" s="117">
        <f t="shared" si="626"/>
        <v>3.4999999999999999E-9</v>
      </c>
      <c r="K366" s="505">
        <v>1.5</v>
      </c>
      <c r="L366" s="505">
        <v>1.5</v>
      </c>
      <c r="M366" s="505">
        <v>1</v>
      </c>
      <c r="N366" s="505"/>
      <c r="O366" s="505">
        <v>1</v>
      </c>
      <c r="P366" s="505">
        <v>1</v>
      </c>
      <c r="Q366" s="505">
        <v>1</v>
      </c>
      <c r="R366" s="505">
        <v>1</v>
      </c>
      <c r="S366" s="505">
        <v>1</v>
      </c>
      <c r="T366" s="505">
        <v>1</v>
      </c>
      <c r="U366" s="131"/>
      <c r="V366" s="117">
        <f t="shared" si="639"/>
        <v>1.5E-10</v>
      </c>
      <c r="W366" s="117">
        <f t="shared" si="640"/>
        <v>3E-10</v>
      </c>
      <c r="X366" s="117">
        <f t="shared" si="641"/>
        <v>3E-10</v>
      </c>
      <c r="Z366" s="117">
        <f t="shared" si="642"/>
        <v>5.0000000000000003E-10</v>
      </c>
      <c r="AA366" s="117">
        <f t="shared" si="643"/>
        <v>6E-10</v>
      </c>
      <c r="AB366" s="117">
        <f t="shared" si="644"/>
        <v>6.9999999999999996E-10</v>
      </c>
      <c r="AC366" s="117">
        <f t="shared" si="645"/>
        <v>8.0000000000000003E-10</v>
      </c>
      <c r="AD366" s="117">
        <f t="shared" si="646"/>
        <v>8.9999999999999999E-10</v>
      </c>
      <c r="AE366" s="117">
        <f t="shared" si="647"/>
        <v>0</v>
      </c>
      <c r="AF366" s="117">
        <f t="shared" si="648"/>
        <v>1.5E-10</v>
      </c>
      <c r="AG366" s="117">
        <f t="shared" si="649"/>
        <v>3E-10</v>
      </c>
      <c r="AH366" s="117">
        <f t="shared" si="650"/>
        <v>3E-10</v>
      </c>
      <c r="AJ366" s="117">
        <f t="shared" si="651"/>
        <v>5.0000000000000003E-10</v>
      </c>
      <c r="AK366" s="117">
        <f t="shared" si="652"/>
        <v>6E-10</v>
      </c>
      <c r="AL366" s="117">
        <f t="shared" si="653"/>
        <v>6.9999999999999996E-10</v>
      </c>
      <c r="AM366" s="117">
        <f t="shared" si="654"/>
        <v>8.0000000000000003E-10</v>
      </c>
      <c r="AN366" s="117">
        <f t="shared" si="655"/>
        <v>8.9999999999999999E-10</v>
      </c>
      <c r="AO366" s="117">
        <f t="shared" si="656"/>
        <v>0</v>
      </c>
      <c r="AP366" s="117" t="b">
        <f t="shared" si="657"/>
        <v>0</v>
      </c>
      <c r="AQ366" s="117" t="b">
        <f t="shared" si="658"/>
        <v>0</v>
      </c>
      <c r="AR366" s="117" t="b">
        <f t="shared" si="659"/>
        <v>0</v>
      </c>
      <c r="AS366" s="130"/>
      <c r="AT366" s="117" t="b">
        <f t="shared" si="660"/>
        <v>1</v>
      </c>
      <c r="AU366" s="117" t="b">
        <f t="shared" si="661"/>
        <v>1</v>
      </c>
      <c r="AV366" s="117" t="b">
        <f t="shared" si="662"/>
        <v>1</v>
      </c>
      <c r="AW366" s="117" t="b">
        <f t="shared" si="663"/>
        <v>1</v>
      </c>
      <c r="AX366" s="117" t="b">
        <f t="shared" si="664"/>
        <v>1</v>
      </c>
      <c r="AY366" s="117" t="b">
        <f t="shared" si="665"/>
        <v>0</v>
      </c>
    </row>
    <row r="367" spans="1:70">
      <c r="A367" s="139" t="s">
        <v>2691</v>
      </c>
      <c r="B367" s="117" t="str">
        <f>'Reference Score Calculation'!B344</f>
        <v>JS8012</v>
      </c>
      <c r="C367" s="117" t="str">
        <f>'Reference Score Calculation'!E344</f>
        <v>社會學與社區研究榮譽社會科學學士及地理教育榮譽學士</v>
      </c>
      <c r="E367" s="129" t="str">
        <f>'Reference Score Calculation'!F344</f>
        <v>Best 5</v>
      </c>
      <c r="F367" s="129" t="str">
        <f>'Reference Score Calculation'!AC344</f>
        <v>Best 5</v>
      </c>
      <c r="G367" s="117" t="str">
        <f>入學要求!AB353</f>
        <v>v</v>
      </c>
      <c r="H367" s="117" t="str">
        <f>入學要求!AC353</f>
        <v>E</v>
      </c>
      <c r="I367" s="117" t="str">
        <f>入學要求!AD353</f>
        <v>v</v>
      </c>
      <c r="J367" s="117">
        <f t="shared" si="626"/>
        <v>3.4999999999999999E-9</v>
      </c>
      <c r="K367" s="505">
        <v>1</v>
      </c>
      <c r="L367" s="505">
        <v>1.5</v>
      </c>
      <c r="M367" s="505">
        <v>1</v>
      </c>
      <c r="N367" s="505"/>
      <c r="O367" s="505">
        <v>1</v>
      </c>
      <c r="P367" s="505">
        <f>IF(P$1="地理",1.5,1)</f>
        <v>1</v>
      </c>
      <c r="Q367" s="505">
        <f t="shared" ref="Q367:S367" si="671">IF(Q$1="地理",1.5,1)</f>
        <v>1</v>
      </c>
      <c r="R367" s="505">
        <f t="shared" si="671"/>
        <v>1</v>
      </c>
      <c r="S367" s="505">
        <f t="shared" si="671"/>
        <v>1</v>
      </c>
      <c r="T367" s="505">
        <v>1</v>
      </c>
      <c r="U367" s="131"/>
      <c r="V367" s="117">
        <f t="shared" si="639"/>
        <v>1E-10</v>
      </c>
      <c r="W367" s="117">
        <f t="shared" si="640"/>
        <v>3E-10</v>
      </c>
      <c r="X367" s="117">
        <f t="shared" si="641"/>
        <v>3E-10</v>
      </c>
      <c r="Z367" s="117">
        <f t="shared" si="642"/>
        <v>5.0000000000000003E-10</v>
      </c>
      <c r="AA367" s="117">
        <f t="shared" si="643"/>
        <v>6E-10</v>
      </c>
      <c r="AB367" s="117">
        <f t="shared" si="644"/>
        <v>6.9999999999999996E-10</v>
      </c>
      <c r="AC367" s="117">
        <f t="shared" si="645"/>
        <v>8.0000000000000003E-10</v>
      </c>
      <c r="AD367" s="117">
        <f t="shared" si="646"/>
        <v>8.9999999999999999E-10</v>
      </c>
      <c r="AE367" s="117">
        <f t="shared" si="647"/>
        <v>0</v>
      </c>
      <c r="AF367" s="117">
        <f t="shared" si="648"/>
        <v>1E-10</v>
      </c>
      <c r="AG367" s="117">
        <f t="shared" si="649"/>
        <v>3E-10</v>
      </c>
      <c r="AH367" s="117">
        <f t="shared" si="650"/>
        <v>3E-10</v>
      </c>
      <c r="AJ367" s="117">
        <f t="shared" si="651"/>
        <v>5.0000000000000003E-10</v>
      </c>
      <c r="AK367" s="117">
        <f t="shared" si="652"/>
        <v>6E-10</v>
      </c>
      <c r="AL367" s="117">
        <f t="shared" si="653"/>
        <v>6.9999999999999996E-10</v>
      </c>
      <c r="AM367" s="117">
        <f t="shared" si="654"/>
        <v>8.0000000000000003E-10</v>
      </c>
      <c r="AN367" s="117">
        <f t="shared" si="655"/>
        <v>8.9999999999999999E-10</v>
      </c>
      <c r="AO367" s="117">
        <f t="shared" si="656"/>
        <v>0</v>
      </c>
      <c r="AP367" s="117" t="b">
        <f t="shared" si="657"/>
        <v>0</v>
      </c>
      <c r="AQ367" s="117" t="b">
        <f t="shared" si="658"/>
        <v>0</v>
      </c>
      <c r="AR367" s="117" t="b">
        <f t="shared" si="659"/>
        <v>0</v>
      </c>
      <c r="AS367" s="130"/>
      <c r="AT367" s="117" t="b">
        <f t="shared" si="660"/>
        <v>1</v>
      </c>
      <c r="AU367" s="117" t="b">
        <f t="shared" si="661"/>
        <v>1</v>
      </c>
      <c r="AV367" s="117" t="b">
        <f t="shared" si="662"/>
        <v>1</v>
      </c>
      <c r="AW367" s="117" t="b">
        <f t="shared" si="663"/>
        <v>1</v>
      </c>
      <c r="AX367" s="117" t="b">
        <f t="shared" si="664"/>
        <v>1</v>
      </c>
      <c r="AY367" s="117" t="b">
        <f t="shared" si="665"/>
        <v>0</v>
      </c>
    </row>
    <row r="368" spans="1:70">
      <c r="A368" s="139" t="s">
        <v>2688</v>
      </c>
      <c r="B368" s="117" t="str">
        <f>'Reference Score Calculation'!B345</f>
        <v>JS8011</v>
      </c>
      <c r="C368" s="117" t="str">
        <f>'Reference Score Calculation'!E345</f>
        <v>綜合環境管理榮譽理學士及科學教育榮譽學士</v>
      </c>
      <c r="E368" s="129" t="str">
        <f>'Reference Score Calculation'!F345</f>
        <v>Best 5</v>
      </c>
      <c r="F368" s="129" t="str">
        <f>'Reference Score Calculation'!AC345</f>
        <v>Best 5</v>
      </c>
      <c r="G368" s="117" t="str">
        <f>入學要求!AB354</f>
        <v>v</v>
      </c>
      <c r="H368" s="117" t="str">
        <f>入學要求!AC354</f>
        <v>E</v>
      </c>
      <c r="I368" s="117" t="str">
        <f>入學要求!AD354</f>
        <v>v</v>
      </c>
      <c r="J368" s="117">
        <f t="shared" si="626"/>
        <v>3.4999999999999999E-9</v>
      </c>
      <c r="K368" s="505">
        <v>1</v>
      </c>
      <c r="L368" s="505">
        <v>1</v>
      </c>
      <c r="M368" s="505">
        <v>1</v>
      </c>
      <c r="N368" s="505"/>
      <c r="O368" s="505">
        <v>1</v>
      </c>
      <c r="P368" s="505">
        <f>IF(P$1="生物",1.5,1)</f>
        <v>1</v>
      </c>
      <c r="Q368" s="505">
        <f t="shared" ref="Q368:S368" si="672">IF(Q$1="生物",1.5,1)</f>
        <v>1</v>
      </c>
      <c r="R368" s="505">
        <f t="shared" si="672"/>
        <v>1</v>
      </c>
      <c r="S368" s="505">
        <f t="shared" si="672"/>
        <v>1</v>
      </c>
      <c r="T368" s="505">
        <v>1</v>
      </c>
      <c r="U368" s="131"/>
      <c r="V368" s="117">
        <f t="shared" si="639"/>
        <v>1E-10</v>
      </c>
      <c r="W368" s="117">
        <f t="shared" si="640"/>
        <v>2.0000000000000001E-10</v>
      </c>
      <c r="X368" s="117">
        <f t="shared" si="641"/>
        <v>3E-10</v>
      </c>
      <c r="Z368" s="117">
        <f t="shared" si="642"/>
        <v>5.0000000000000003E-10</v>
      </c>
      <c r="AA368" s="117">
        <f t="shared" si="643"/>
        <v>6E-10</v>
      </c>
      <c r="AB368" s="117">
        <f t="shared" si="644"/>
        <v>6.9999999999999996E-10</v>
      </c>
      <c r="AC368" s="117">
        <f t="shared" si="645"/>
        <v>8.0000000000000003E-10</v>
      </c>
      <c r="AD368" s="117">
        <f t="shared" si="646"/>
        <v>8.9999999999999999E-10</v>
      </c>
      <c r="AE368" s="117">
        <f t="shared" si="647"/>
        <v>0</v>
      </c>
      <c r="AF368" s="117">
        <f t="shared" si="648"/>
        <v>1E-10</v>
      </c>
      <c r="AG368" s="117">
        <f t="shared" si="649"/>
        <v>2.0000000000000001E-10</v>
      </c>
      <c r="AH368" s="117">
        <f t="shared" si="650"/>
        <v>3E-10</v>
      </c>
      <c r="AJ368" s="117">
        <f t="shared" si="651"/>
        <v>5.0000000000000003E-10</v>
      </c>
      <c r="AK368" s="117">
        <f t="shared" si="652"/>
        <v>6E-10</v>
      </c>
      <c r="AL368" s="117">
        <f t="shared" si="653"/>
        <v>6.9999999999999996E-10</v>
      </c>
      <c r="AM368" s="117">
        <f t="shared" si="654"/>
        <v>8.0000000000000003E-10</v>
      </c>
      <c r="AN368" s="117">
        <f t="shared" si="655"/>
        <v>8.9999999999999999E-10</v>
      </c>
      <c r="AO368" s="117">
        <f t="shared" si="656"/>
        <v>0</v>
      </c>
      <c r="AP368" s="117" t="b">
        <f t="shared" si="657"/>
        <v>0</v>
      </c>
      <c r="AQ368" s="117" t="b">
        <f t="shared" si="658"/>
        <v>0</v>
      </c>
      <c r="AR368" s="117" t="b">
        <f t="shared" si="659"/>
        <v>0</v>
      </c>
      <c r="AS368" s="130"/>
      <c r="AT368" s="117" t="b">
        <f t="shared" si="660"/>
        <v>1</v>
      </c>
      <c r="AU368" s="117" t="b">
        <f t="shared" si="661"/>
        <v>1</v>
      </c>
      <c r="AV368" s="117" t="b">
        <f t="shared" si="662"/>
        <v>1</v>
      </c>
      <c r="AW368" s="117" t="b">
        <f t="shared" si="663"/>
        <v>1</v>
      </c>
      <c r="AX368" s="117" t="b">
        <f t="shared" si="664"/>
        <v>1</v>
      </c>
      <c r="AY368" s="117" t="b">
        <f t="shared" si="665"/>
        <v>0</v>
      </c>
    </row>
    <row r="369" spans="1:51">
      <c r="A369" s="139" t="s">
        <v>1664</v>
      </c>
      <c r="B369" s="117" t="str">
        <f>'Reference Score Calculation'!B346</f>
        <v>JS8507</v>
      </c>
      <c r="C369" s="117" t="str">
        <f>'Reference Score Calculation'!E346</f>
        <v>幼兒教育高級文憑</v>
      </c>
      <c r="E369" s="129" t="str">
        <f>'Reference Score Calculation'!F346</f>
        <v>Best 5</v>
      </c>
      <c r="F369" s="129" t="str">
        <f>'Reference Score Calculation'!AC346</f>
        <v>Best 5</v>
      </c>
      <c r="G369" s="117" t="str">
        <f>入學要求!AB355</f>
        <v>v</v>
      </c>
      <c r="H369" s="117" t="str">
        <f>入學要求!AC355</f>
        <v>E</v>
      </c>
      <c r="I369" s="117" t="str">
        <f>入學要求!AD355</f>
        <v>v</v>
      </c>
      <c r="J369" s="117">
        <f t="shared" si="626"/>
        <v>3.4999999999999999E-9</v>
      </c>
      <c r="K369" s="505">
        <v>1.5</v>
      </c>
      <c r="L369" s="505">
        <v>1.5</v>
      </c>
      <c r="M369" s="505">
        <v>1</v>
      </c>
      <c r="N369" s="505"/>
      <c r="O369" s="505">
        <v>1</v>
      </c>
      <c r="P369" s="505">
        <v>1</v>
      </c>
      <c r="Q369" s="505">
        <v>1</v>
      </c>
      <c r="R369" s="505">
        <v>1</v>
      </c>
      <c r="S369" s="505">
        <v>1</v>
      </c>
      <c r="T369" s="505">
        <v>1</v>
      </c>
      <c r="U369" s="131"/>
      <c r="V369" s="117">
        <f t="shared" si="639"/>
        <v>1.5E-10</v>
      </c>
      <c r="W369" s="117">
        <f t="shared" si="640"/>
        <v>3E-10</v>
      </c>
      <c r="X369" s="117">
        <f t="shared" si="641"/>
        <v>3E-10</v>
      </c>
      <c r="Z369" s="117">
        <f t="shared" si="642"/>
        <v>5.0000000000000003E-10</v>
      </c>
      <c r="AA369" s="117">
        <f t="shared" si="643"/>
        <v>6E-10</v>
      </c>
      <c r="AB369" s="117">
        <f t="shared" si="644"/>
        <v>6.9999999999999996E-10</v>
      </c>
      <c r="AC369" s="117">
        <f t="shared" si="645"/>
        <v>8.0000000000000003E-10</v>
      </c>
      <c r="AD369" s="117">
        <f t="shared" si="646"/>
        <v>8.9999999999999999E-10</v>
      </c>
      <c r="AE369" s="117">
        <f t="shared" si="647"/>
        <v>0</v>
      </c>
      <c r="AF369" s="117">
        <f t="shared" si="648"/>
        <v>1.5E-10</v>
      </c>
      <c r="AG369" s="117">
        <f t="shared" si="649"/>
        <v>3E-10</v>
      </c>
      <c r="AH369" s="117">
        <f t="shared" si="650"/>
        <v>3E-10</v>
      </c>
      <c r="AJ369" s="117">
        <f t="shared" si="651"/>
        <v>5.0000000000000003E-10</v>
      </c>
      <c r="AK369" s="117">
        <f t="shared" si="652"/>
        <v>6E-10</v>
      </c>
      <c r="AL369" s="117">
        <f t="shared" si="653"/>
        <v>6.9999999999999996E-10</v>
      </c>
      <c r="AM369" s="117">
        <f t="shared" si="654"/>
        <v>8.0000000000000003E-10</v>
      </c>
      <c r="AN369" s="117">
        <f t="shared" si="655"/>
        <v>8.9999999999999999E-10</v>
      </c>
      <c r="AO369" s="117">
        <f t="shared" si="656"/>
        <v>0</v>
      </c>
      <c r="AP369" s="117" t="b">
        <f t="shared" si="657"/>
        <v>0</v>
      </c>
      <c r="AQ369" s="117" t="b">
        <f t="shared" si="658"/>
        <v>0</v>
      </c>
      <c r="AR369" s="117" t="b">
        <f t="shared" si="659"/>
        <v>0</v>
      </c>
      <c r="AS369" s="130"/>
      <c r="AT369" s="117" t="b">
        <f t="shared" si="660"/>
        <v>1</v>
      </c>
      <c r="AU369" s="117" t="b">
        <f t="shared" si="661"/>
        <v>1</v>
      </c>
      <c r="AV369" s="117" t="b">
        <f t="shared" si="662"/>
        <v>1</v>
      </c>
      <c r="AW369" s="117" t="b">
        <f t="shared" si="663"/>
        <v>1</v>
      </c>
      <c r="AX369" s="117" t="b">
        <f t="shared" si="664"/>
        <v>1</v>
      </c>
      <c r="AY369" s="117" t="b">
        <f t="shared" si="665"/>
        <v>0</v>
      </c>
    </row>
    <row r="370" spans="1:51">
      <c r="A370" s="139" t="s">
        <v>2697</v>
      </c>
      <c r="B370" s="117" t="str">
        <f>'Reference Score Calculation'!B347</f>
        <v>JS8674</v>
      </c>
      <c r="C370" s="117" t="str">
        <f>'Reference Score Calculation'!E347</f>
        <v>數碼中國文化與傳意榮譽文學士</v>
      </c>
      <c r="E370" s="129" t="str">
        <f>'Reference Score Calculation'!F347</f>
        <v>Best 5</v>
      </c>
      <c r="F370" s="129" t="str">
        <f>'Reference Score Calculation'!AC347</f>
        <v>Best 5</v>
      </c>
      <c r="G370" s="117" t="str">
        <f>入學要求!AB356</f>
        <v>v</v>
      </c>
      <c r="H370" s="117" t="str">
        <f>入學要求!AC356</f>
        <v>E</v>
      </c>
      <c r="I370" s="117" t="str">
        <f>入學要求!AD356</f>
        <v>v</v>
      </c>
      <c r="J370" s="117">
        <f t="shared" si="626"/>
        <v>3.4999999999999999E-9</v>
      </c>
      <c r="K370" s="505">
        <v>1.5</v>
      </c>
      <c r="L370" s="505">
        <v>1</v>
      </c>
      <c r="M370" s="505">
        <v>1</v>
      </c>
      <c r="N370" s="505"/>
      <c r="O370" s="505">
        <v>1</v>
      </c>
      <c r="P370" s="505">
        <f>IF(P$1="中國文學",1.5,1)</f>
        <v>1</v>
      </c>
      <c r="Q370" s="505">
        <f t="shared" ref="Q370:S370" si="673">IF(Q$1="中國文學",1.5,1)</f>
        <v>1</v>
      </c>
      <c r="R370" s="505">
        <f t="shared" si="673"/>
        <v>1</v>
      </c>
      <c r="S370" s="505">
        <f t="shared" si="673"/>
        <v>1</v>
      </c>
      <c r="T370" s="505">
        <v>1</v>
      </c>
      <c r="U370" s="131"/>
      <c r="V370" s="117">
        <f t="shared" si="639"/>
        <v>1.5E-10</v>
      </c>
      <c r="W370" s="117">
        <f t="shared" si="640"/>
        <v>2.0000000000000001E-10</v>
      </c>
      <c r="X370" s="117">
        <f t="shared" si="641"/>
        <v>3E-10</v>
      </c>
      <c r="Z370" s="117">
        <f t="shared" si="642"/>
        <v>5.0000000000000003E-10</v>
      </c>
      <c r="AA370" s="117">
        <f t="shared" si="643"/>
        <v>6E-10</v>
      </c>
      <c r="AB370" s="117">
        <f t="shared" si="644"/>
        <v>6.9999999999999996E-10</v>
      </c>
      <c r="AC370" s="117">
        <f t="shared" si="645"/>
        <v>8.0000000000000003E-10</v>
      </c>
      <c r="AD370" s="117">
        <f t="shared" si="646"/>
        <v>8.9999999999999999E-10</v>
      </c>
      <c r="AE370" s="117">
        <f t="shared" si="647"/>
        <v>0</v>
      </c>
      <c r="AF370" s="117">
        <f t="shared" si="648"/>
        <v>1.5E-10</v>
      </c>
      <c r="AG370" s="117">
        <f t="shared" si="649"/>
        <v>2.0000000000000001E-10</v>
      </c>
      <c r="AH370" s="117">
        <f t="shared" si="650"/>
        <v>3E-10</v>
      </c>
      <c r="AJ370" s="117">
        <f t="shared" si="651"/>
        <v>5.0000000000000003E-10</v>
      </c>
      <c r="AK370" s="117">
        <f t="shared" si="652"/>
        <v>6E-10</v>
      </c>
      <c r="AL370" s="117">
        <f t="shared" si="653"/>
        <v>6.9999999999999996E-10</v>
      </c>
      <c r="AM370" s="117">
        <f t="shared" si="654"/>
        <v>8.0000000000000003E-10</v>
      </c>
      <c r="AN370" s="117">
        <f t="shared" si="655"/>
        <v>8.9999999999999999E-10</v>
      </c>
      <c r="AO370" s="117">
        <f t="shared" si="656"/>
        <v>0</v>
      </c>
      <c r="AP370" s="117" t="b">
        <f t="shared" si="657"/>
        <v>0</v>
      </c>
      <c r="AQ370" s="117" t="b">
        <f t="shared" si="658"/>
        <v>0</v>
      </c>
      <c r="AR370" s="117" t="b">
        <f t="shared" si="659"/>
        <v>0</v>
      </c>
      <c r="AS370" s="130"/>
      <c r="AT370" s="117" t="b">
        <f t="shared" si="660"/>
        <v>1</v>
      </c>
      <c r="AU370" s="117" t="b">
        <f t="shared" si="661"/>
        <v>1</v>
      </c>
      <c r="AV370" s="117" t="b">
        <f t="shared" si="662"/>
        <v>1</v>
      </c>
      <c r="AW370" s="117" t="b">
        <f t="shared" si="663"/>
        <v>1</v>
      </c>
      <c r="AX370" s="117" t="b">
        <f t="shared" si="664"/>
        <v>1</v>
      </c>
      <c r="AY370" s="117" t="b">
        <f t="shared" si="665"/>
        <v>0</v>
      </c>
    </row>
    <row r="371" spans="1:51">
      <c r="A371" s="139" t="s">
        <v>2700</v>
      </c>
      <c r="B371" s="117" t="str">
        <f>'Reference Score Calculation'!B348</f>
        <v>JS8685</v>
      </c>
      <c r="C371" s="117" t="str">
        <f>'Reference Score Calculation'!E348</f>
        <v>創意藝術與數碼藝術榮譽文學士 (音樂)</v>
      </c>
      <c r="E371" s="129" t="str">
        <f>'Reference Score Calculation'!F348</f>
        <v>Best 5</v>
      </c>
      <c r="F371" s="129" t="str">
        <f>'Reference Score Calculation'!AC348</f>
        <v>Best 5</v>
      </c>
      <c r="G371" s="117" t="str">
        <f>入學要求!AB357</f>
        <v>v</v>
      </c>
      <c r="H371" s="117" t="str">
        <f>入學要求!AC357</f>
        <v>E</v>
      </c>
      <c r="I371" s="117" t="str">
        <f>入學要求!AD357</f>
        <v>v</v>
      </c>
      <c r="J371" s="117">
        <f t="shared" si="626"/>
        <v>3.4999999999999999E-9</v>
      </c>
      <c r="K371" s="505">
        <v>1</v>
      </c>
      <c r="L371" s="505">
        <v>1</v>
      </c>
      <c r="M371" s="505">
        <v>1</v>
      </c>
      <c r="N371" s="505"/>
      <c r="O371" s="505">
        <v>1</v>
      </c>
      <c r="P371" s="505">
        <f>IF(P$1="音樂",1.5,1)</f>
        <v>1</v>
      </c>
      <c r="Q371" s="505">
        <f t="shared" ref="Q371:S371" si="674">IF(Q$1="音樂",1.5,1)</f>
        <v>1</v>
      </c>
      <c r="R371" s="505">
        <f t="shared" si="674"/>
        <v>1</v>
      </c>
      <c r="S371" s="505">
        <f t="shared" si="674"/>
        <v>1</v>
      </c>
      <c r="T371" s="505">
        <v>1</v>
      </c>
      <c r="U371" s="131"/>
      <c r="V371" s="117">
        <f t="shared" si="639"/>
        <v>1E-10</v>
      </c>
      <c r="W371" s="117">
        <f t="shared" si="640"/>
        <v>2.0000000000000001E-10</v>
      </c>
      <c r="X371" s="117">
        <f t="shared" si="641"/>
        <v>3E-10</v>
      </c>
      <c r="Z371" s="117">
        <f t="shared" si="642"/>
        <v>5.0000000000000003E-10</v>
      </c>
      <c r="AA371" s="117">
        <f t="shared" si="643"/>
        <v>6E-10</v>
      </c>
      <c r="AB371" s="117">
        <f t="shared" si="644"/>
        <v>6.9999999999999996E-10</v>
      </c>
      <c r="AC371" s="117">
        <f t="shared" si="645"/>
        <v>8.0000000000000003E-10</v>
      </c>
      <c r="AD371" s="117">
        <f t="shared" si="646"/>
        <v>8.9999999999999999E-10</v>
      </c>
      <c r="AE371" s="117">
        <f t="shared" si="647"/>
        <v>0</v>
      </c>
      <c r="AF371" s="117">
        <f t="shared" si="648"/>
        <v>1E-10</v>
      </c>
      <c r="AG371" s="117">
        <f t="shared" si="649"/>
        <v>2.0000000000000001E-10</v>
      </c>
      <c r="AH371" s="117">
        <f t="shared" si="650"/>
        <v>3E-10</v>
      </c>
      <c r="AJ371" s="117">
        <f t="shared" si="651"/>
        <v>5.0000000000000003E-10</v>
      </c>
      <c r="AK371" s="117">
        <f t="shared" si="652"/>
        <v>6E-10</v>
      </c>
      <c r="AL371" s="117">
        <f t="shared" si="653"/>
        <v>6.9999999999999996E-10</v>
      </c>
      <c r="AM371" s="117">
        <f t="shared" si="654"/>
        <v>8.0000000000000003E-10</v>
      </c>
      <c r="AN371" s="117">
        <f t="shared" si="655"/>
        <v>8.9999999999999999E-10</v>
      </c>
      <c r="AO371" s="117">
        <f t="shared" si="656"/>
        <v>0</v>
      </c>
      <c r="AP371" s="117" t="b">
        <f t="shared" si="657"/>
        <v>0</v>
      </c>
      <c r="AQ371" s="117" t="b">
        <f t="shared" si="658"/>
        <v>0</v>
      </c>
      <c r="AR371" s="117" t="b">
        <f t="shared" si="659"/>
        <v>0</v>
      </c>
      <c r="AS371" s="130"/>
      <c r="AT371" s="117" t="b">
        <f t="shared" si="660"/>
        <v>1</v>
      </c>
      <c r="AU371" s="117" t="b">
        <f t="shared" si="661"/>
        <v>1</v>
      </c>
      <c r="AV371" s="117" t="b">
        <f t="shared" si="662"/>
        <v>1</v>
      </c>
      <c r="AW371" s="117" t="b">
        <f t="shared" si="663"/>
        <v>1</v>
      </c>
      <c r="AX371" s="117" t="b">
        <f t="shared" si="664"/>
        <v>1</v>
      </c>
      <c r="AY371" s="117" t="b">
        <f t="shared" si="665"/>
        <v>0</v>
      </c>
    </row>
    <row r="372" spans="1:51">
      <c r="A372" s="139" t="s">
        <v>2703</v>
      </c>
      <c r="B372" s="117" t="str">
        <f>'Reference Score Calculation'!B349</f>
        <v>JS8686</v>
      </c>
      <c r="C372" s="117" t="str">
        <f>'Reference Score Calculation'!E349</f>
        <v>創意藝術與數碼藝術榮譽文學士 (視覺藝術)</v>
      </c>
      <c r="E372" s="129" t="str">
        <f>'Reference Score Calculation'!F349</f>
        <v>Best 5</v>
      </c>
      <c r="F372" s="129" t="str">
        <f>'Reference Score Calculation'!AC349</f>
        <v>Best 5</v>
      </c>
      <c r="G372" s="117" t="str">
        <f>入學要求!AB358</f>
        <v>v</v>
      </c>
      <c r="H372" s="117" t="str">
        <f>入學要求!AC358</f>
        <v>E</v>
      </c>
      <c r="I372" s="117" t="str">
        <f>入學要求!AD358</f>
        <v>v</v>
      </c>
      <c r="J372" s="117">
        <f t="shared" si="626"/>
        <v>3.4999999999999999E-9</v>
      </c>
      <c r="K372" s="505">
        <v>1</v>
      </c>
      <c r="L372" s="505">
        <v>1</v>
      </c>
      <c r="M372" s="505">
        <v>1</v>
      </c>
      <c r="N372" s="505"/>
      <c r="O372" s="505">
        <v>1</v>
      </c>
      <c r="P372" s="505">
        <f>IF(P$1="視覺藝術",1.5,1)</f>
        <v>1</v>
      </c>
      <c r="Q372" s="505">
        <f t="shared" ref="Q372:S372" si="675">IF(Q$1="視覺藝術",1.5,1)</f>
        <v>1</v>
      </c>
      <c r="R372" s="505">
        <f t="shared" si="675"/>
        <v>1</v>
      </c>
      <c r="S372" s="505">
        <f t="shared" si="675"/>
        <v>1</v>
      </c>
      <c r="T372" s="505">
        <v>1</v>
      </c>
      <c r="U372" s="131"/>
      <c r="V372" s="117">
        <f t="shared" si="639"/>
        <v>1E-10</v>
      </c>
      <c r="W372" s="117">
        <f t="shared" si="640"/>
        <v>2.0000000000000001E-10</v>
      </c>
      <c r="X372" s="117">
        <f t="shared" si="641"/>
        <v>3E-10</v>
      </c>
      <c r="Z372" s="117">
        <f t="shared" si="642"/>
        <v>5.0000000000000003E-10</v>
      </c>
      <c r="AA372" s="117">
        <f t="shared" si="643"/>
        <v>6E-10</v>
      </c>
      <c r="AB372" s="117">
        <f t="shared" si="644"/>
        <v>6.9999999999999996E-10</v>
      </c>
      <c r="AC372" s="117">
        <f t="shared" si="645"/>
        <v>8.0000000000000003E-10</v>
      </c>
      <c r="AD372" s="117">
        <f t="shared" si="646"/>
        <v>8.9999999999999999E-10</v>
      </c>
      <c r="AE372" s="117">
        <f t="shared" si="647"/>
        <v>0</v>
      </c>
      <c r="AF372" s="117">
        <f t="shared" si="648"/>
        <v>1E-10</v>
      </c>
      <c r="AG372" s="117">
        <f t="shared" si="649"/>
        <v>2.0000000000000001E-10</v>
      </c>
      <c r="AH372" s="117">
        <f t="shared" si="650"/>
        <v>3E-10</v>
      </c>
      <c r="AJ372" s="117">
        <f t="shared" si="651"/>
        <v>5.0000000000000003E-10</v>
      </c>
      <c r="AK372" s="117">
        <f t="shared" si="652"/>
        <v>6E-10</v>
      </c>
      <c r="AL372" s="117">
        <f t="shared" si="653"/>
        <v>6.9999999999999996E-10</v>
      </c>
      <c r="AM372" s="117">
        <f t="shared" si="654"/>
        <v>8.0000000000000003E-10</v>
      </c>
      <c r="AN372" s="117">
        <f t="shared" si="655"/>
        <v>8.9999999999999999E-10</v>
      </c>
      <c r="AO372" s="117">
        <f t="shared" si="656"/>
        <v>0</v>
      </c>
      <c r="AP372" s="117" t="b">
        <f t="shared" si="657"/>
        <v>0</v>
      </c>
      <c r="AQ372" s="117" t="b">
        <f t="shared" si="658"/>
        <v>0</v>
      </c>
      <c r="AR372" s="117" t="b">
        <f t="shared" si="659"/>
        <v>0</v>
      </c>
      <c r="AS372" s="130"/>
      <c r="AT372" s="117" t="b">
        <f t="shared" si="660"/>
        <v>1</v>
      </c>
      <c r="AU372" s="117" t="b">
        <f t="shared" si="661"/>
        <v>1</v>
      </c>
      <c r="AV372" s="117" t="b">
        <f t="shared" si="662"/>
        <v>1</v>
      </c>
      <c r="AW372" s="117" t="b">
        <f t="shared" si="663"/>
        <v>1</v>
      </c>
      <c r="AX372" s="117" t="b">
        <f t="shared" si="664"/>
        <v>1</v>
      </c>
      <c r="AY372" s="117" t="b">
        <f t="shared" si="665"/>
        <v>0</v>
      </c>
    </row>
    <row r="373" spans="1:51">
      <c r="A373" s="139" t="s">
        <v>1679</v>
      </c>
      <c r="B373" s="117" t="str">
        <f>'Reference Score Calculation'!B350</f>
        <v>JS8651</v>
      </c>
      <c r="C373" s="117" t="str">
        <f>'Reference Score Calculation'!E350</f>
        <v>心理學榮譽社會科學學士</v>
      </c>
      <c r="E373" s="129" t="str">
        <f>'Reference Score Calculation'!F350</f>
        <v>Best 5</v>
      </c>
      <c r="F373" s="129" t="str">
        <f>'Reference Score Calculation'!AC350</f>
        <v>Best 5</v>
      </c>
      <c r="G373" s="117" t="str">
        <f>入學要求!AB359</f>
        <v>v</v>
      </c>
      <c r="H373" s="117" t="str">
        <f>入學要求!AC359</f>
        <v>E</v>
      </c>
      <c r="I373" s="117" t="str">
        <f>入學要求!AD359</f>
        <v>v</v>
      </c>
      <c r="J373" s="117">
        <f t="shared" si="626"/>
        <v>3.4999999999999999E-9</v>
      </c>
      <c r="K373" s="505">
        <v>1</v>
      </c>
      <c r="L373" s="505">
        <v>1</v>
      </c>
      <c r="M373" s="505">
        <v>1</v>
      </c>
      <c r="N373" s="505"/>
      <c r="O373" s="505">
        <v>1</v>
      </c>
      <c r="P373" s="505">
        <v>1</v>
      </c>
      <c r="Q373" s="505">
        <v>1</v>
      </c>
      <c r="R373" s="505">
        <v>1</v>
      </c>
      <c r="S373" s="505">
        <v>1</v>
      </c>
      <c r="T373" s="505">
        <v>1</v>
      </c>
      <c r="U373" s="131"/>
      <c r="V373" s="117">
        <f t="shared" si="639"/>
        <v>1E-10</v>
      </c>
      <c r="W373" s="117">
        <f t="shared" si="640"/>
        <v>2.0000000000000001E-10</v>
      </c>
      <c r="X373" s="117">
        <f t="shared" si="641"/>
        <v>3E-10</v>
      </c>
      <c r="Z373" s="117">
        <f t="shared" si="642"/>
        <v>5.0000000000000003E-10</v>
      </c>
      <c r="AA373" s="117">
        <f t="shared" si="643"/>
        <v>6E-10</v>
      </c>
      <c r="AB373" s="117">
        <f t="shared" si="644"/>
        <v>6.9999999999999996E-10</v>
      </c>
      <c r="AC373" s="117">
        <f t="shared" si="645"/>
        <v>8.0000000000000003E-10</v>
      </c>
      <c r="AD373" s="117">
        <f t="shared" si="646"/>
        <v>8.9999999999999999E-10</v>
      </c>
      <c r="AE373" s="117">
        <f t="shared" si="647"/>
        <v>0</v>
      </c>
      <c r="AF373" s="117">
        <f t="shared" si="648"/>
        <v>1E-10</v>
      </c>
      <c r="AG373" s="117">
        <f t="shared" si="649"/>
        <v>2.0000000000000001E-10</v>
      </c>
      <c r="AH373" s="117">
        <f t="shared" si="650"/>
        <v>3E-10</v>
      </c>
      <c r="AJ373" s="117">
        <f t="shared" si="651"/>
        <v>5.0000000000000003E-10</v>
      </c>
      <c r="AK373" s="117">
        <f t="shared" si="652"/>
        <v>6E-10</v>
      </c>
      <c r="AL373" s="117">
        <f t="shared" si="653"/>
        <v>6.9999999999999996E-10</v>
      </c>
      <c r="AM373" s="117">
        <f t="shared" si="654"/>
        <v>8.0000000000000003E-10</v>
      </c>
      <c r="AN373" s="117">
        <f t="shared" si="655"/>
        <v>8.9999999999999999E-10</v>
      </c>
      <c r="AO373" s="117">
        <f t="shared" si="656"/>
        <v>0</v>
      </c>
      <c r="AP373" s="117" t="b">
        <f t="shared" si="657"/>
        <v>0</v>
      </c>
      <c r="AQ373" s="117" t="b">
        <f t="shared" si="658"/>
        <v>0</v>
      </c>
      <c r="AR373" s="117" t="b">
        <f t="shared" si="659"/>
        <v>0</v>
      </c>
      <c r="AS373" s="130"/>
      <c r="AT373" s="117" t="b">
        <f t="shared" si="660"/>
        <v>1</v>
      </c>
      <c r="AU373" s="117" t="b">
        <f t="shared" si="661"/>
        <v>1</v>
      </c>
      <c r="AV373" s="117" t="b">
        <f t="shared" si="662"/>
        <v>1</v>
      </c>
      <c r="AW373" s="117" t="b">
        <f t="shared" si="663"/>
        <v>1</v>
      </c>
      <c r="AX373" s="117" t="b">
        <f t="shared" si="664"/>
        <v>1</v>
      </c>
      <c r="AY373" s="117" t="b">
        <f t="shared" si="665"/>
        <v>0</v>
      </c>
    </row>
    <row r="374" spans="1:51">
      <c r="A374" s="139" t="s">
        <v>1682</v>
      </c>
      <c r="B374" s="117" t="str">
        <f>'Reference Score Calculation'!B351</f>
        <v>JS8663</v>
      </c>
      <c r="C374" s="117" t="str">
        <f>'Reference Score Calculation'!E351</f>
        <v>特殊教育榮譽文學士</v>
      </c>
      <c r="E374" s="129" t="str">
        <f>'Reference Score Calculation'!F351</f>
        <v>Best 5</v>
      </c>
      <c r="F374" s="129" t="str">
        <f>'Reference Score Calculation'!AC351</f>
        <v>Best 5</v>
      </c>
      <c r="G374" s="117" t="str">
        <f>入學要求!AB360</f>
        <v>v</v>
      </c>
      <c r="H374" s="117" t="str">
        <f>入學要求!AC360</f>
        <v>E</v>
      </c>
      <c r="I374" s="117" t="str">
        <f>入學要求!AD360</f>
        <v>v</v>
      </c>
      <c r="J374" s="117">
        <f t="shared" si="626"/>
        <v>3.4999999999999999E-9</v>
      </c>
      <c r="K374" s="505">
        <v>1.5</v>
      </c>
      <c r="L374" s="505">
        <v>1.5</v>
      </c>
      <c r="M374" s="505">
        <v>1</v>
      </c>
      <c r="N374" s="505"/>
      <c r="O374" s="505">
        <v>1</v>
      </c>
      <c r="P374" s="505">
        <v>1</v>
      </c>
      <c r="Q374" s="505">
        <v>1</v>
      </c>
      <c r="R374" s="505">
        <v>1</v>
      </c>
      <c r="S374" s="505">
        <v>1</v>
      </c>
      <c r="T374" s="505">
        <v>1</v>
      </c>
      <c r="U374" s="131"/>
      <c r="V374" s="117">
        <f t="shared" si="639"/>
        <v>1.5E-10</v>
      </c>
      <c r="W374" s="117">
        <f t="shared" si="640"/>
        <v>3E-10</v>
      </c>
      <c r="X374" s="117">
        <f t="shared" si="641"/>
        <v>3E-10</v>
      </c>
      <c r="Z374" s="117">
        <f t="shared" si="642"/>
        <v>5.0000000000000003E-10</v>
      </c>
      <c r="AA374" s="117">
        <f t="shared" si="643"/>
        <v>6E-10</v>
      </c>
      <c r="AB374" s="117">
        <f t="shared" si="644"/>
        <v>6.9999999999999996E-10</v>
      </c>
      <c r="AC374" s="117">
        <f t="shared" si="645"/>
        <v>8.0000000000000003E-10</v>
      </c>
      <c r="AD374" s="117">
        <f t="shared" si="646"/>
        <v>8.9999999999999999E-10</v>
      </c>
      <c r="AE374" s="117">
        <f t="shared" si="647"/>
        <v>0</v>
      </c>
      <c r="AF374" s="117">
        <f t="shared" si="648"/>
        <v>1.5E-10</v>
      </c>
      <c r="AG374" s="117">
        <f t="shared" si="649"/>
        <v>3E-10</v>
      </c>
      <c r="AH374" s="117">
        <f t="shared" si="650"/>
        <v>3E-10</v>
      </c>
      <c r="AJ374" s="117">
        <f t="shared" si="651"/>
        <v>5.0000000000000003E-10</v>
      </c>
      <c r="AK374" s="117">
        <f t="shared" si="652"/>
        <v>6E-10</v>
      </c>
      <c r="AL374" s="117">
        <f t="shared" si="653"/>
        <v>6.9999999999999996E-10</v>
      </c>
      <c r="AM374" s="117">
        <f t="shared" si="654"/>
        <v>8.0000000000000003E-10</v>
      </c>
      <c r="AN374" s="117">
        <f t="shared" si="655"/>
        <v>8.9999999999999999E-10</v>
      </c>
      <c r="AO374" s="117">
        <f t="shared" si="656"/>
        <v>0</v>
      </c>
      <c r="AP374" s="117" t="b">
        <f t="shared" si="657"/>
        <v>0</v>
      </c>
      <c r="AQ374" s="117" t="b">
        <f t="shared" si="658"/>
        <v>0</v>
      </c>
      <c r="AR374" s="117" t="b">
        <f t="shared" si="659"/>
        <v>0</v>
      </c>
      <c r="AS374" s="130"/>
      <c r="AT374" s="117" t="b">
        <f t="shared" si="660"/>
        <v>1</v>
      </c>
      <c r="AU374" s="117" t="b">
        <f t="shared" si="661"/>
        <v>1</v>
      </c>
      <c r="AV374" s="117" t="b">
        <f t="shared" si="662"/>
        <v>1</v>
      </c>
      <c r="AW374" s="117" t="b">
        <f t="shared" si="663"/>
        <v>1</v>
      </c>
      <c r="AX374" s="117" t="b">
        <f t="shared" si="664"/>
        <v>1</v>
      </c>
      <c r="AY374" s="117" t="b">
        <f t="shared" si="665"/>
        <v>0</v>
      </c>
    </row>
    <row r="375" spans="1:51">
      <c r="A375" s="139" t="s">
        <v>2132</v>
      </c>
      <c r="B375" s="117" t="str">
        <f>'Reference Score Calculation'!B352</f>
        <v>JS8675</v>
      </c>
      <c r="C375" s="117" t="str">
        <f>'Reference Score Calculation'!E352</f>
        <v>英語研究及數碼傳訊榮譽文學士</v>
      </c>
      <c r="E375" s="129" t="str">
        <f>'Reference Score Calculation'!F352</f>
        <v>Best 5</v>
      </c>
      <c r="F375" s="129" t="str">
        <f>'Reference Score Calculation'!AC352</f>
        <v>Best 5</v>
      </c>
      <c r="G375" s="117" t="str">
        <f>入學要求!AB362</f>
        <v>v</v>
      </c>
      <c r="H375" s="117" t="str">
        <f>入學要求!AC362</f>
        <v>E</v>
      </c>
      <c r="I375" s="117" t="str">
        <f>入學要求!AD362</f>
        <v>v</v>
      </c>
      <c r="J375" s="117">
        <f t="shared" si="626"/>
        <v>3.4999999999999999E-9</v>
      </c>
      <c r="K375" s="505">
        <v>1</v>
      </c>
      <c r="L375" s="505">
        <v>1.5</v>
      </c>
      <c r="M375" s="505">
        <v>1</v>
      </c>
      <c r="N375" s="505"/>
      <c r="O375" s="505">
        <v>1</v>
      </c>
      <c r="P375" s="505">
        <f>IF(OR(P$1="英語文學",P$1="資訊及通訊科技"),1.5,1)</f>
        <v>1</v>
      </c>
      <c r="Q375" s="505">
        <f t="shared" ref="Q375:S375" si="676">IF(OR(Q$1="英語文學",Q$1="資訊及通訊科技"),1.5,1)</f>
        <v>1</v>
      </c>
      <c r="R375" s="505">
        <f t="shared" si="676"/>
        <v>1</v>
      </c>
      <c r="S375" s="505">
        <f t="shared" si="676"/>
        <v>1</v>
      </c>
      <c r="T375" s="505">
        <v>1</v>
      </c>
      <c r="U375" s="131"/>
      <c r="V375" s="117">
        <f t="shared" si="639"/>
        <v>1E-10</v>
      </c>
      <c r="W375" s="117">
        <f t="shared" si="640"/>
        <v>3E-10</v>
      </c>
      <c r="X375" s="117">
        <f t="shared" si="641"/>
        <v>3E-10</v>
      </c>
      <c r="Z375" s="117">
        <f t="shared" si="642"/>
        <v>5.0000000000000003E-10</v>
      </c>
      <c r="AA375" s="117">
        <f t="shared" si="643"/>
        <v>6E-10</v>
      </c>
      <c r="AB375" s="117">
        <f t="shared" si="644"/>
        <v>6.9999999999999996E-10</v>
      </c>
      <c r="AC375" s="117">
        <f t="shared" si="645"/>
        <v>8.0000000000000003E-10</v>
      </c>
      <c r="AD375" s="117">
        <f t="shared" si="646"/>
        <v>8.9999999999999999E-10</v>
      </c>
      <c r="AE375" s="117">
        <f t="shared" si="647"/>
        <v>0</v>
      </c>
      <c r="AF375" s="117">
        <f t="shared" si="648"/>
        <v>1E-10</v>
      </c>
      <c r="AG375" s="117">
        <f t="shared" si="649"/>
        <v>3E-10</v>
      </c>
      <c r="AH375" s="117">
        <f t="shared" si="650"/>
        <v>3E-10</v>
      </c>
      <c r="AJ375" s="117">
        <f t="shared" si="651"/>
        <v>5.0000000000000003E-10</v>
      </c>
      <c r="AK375" s="117">
        <f t="shared" si="652"/>
        <v>6E-10</v>
      </c>
      <c r="AL375" s="117">
        <f t="shared" si="653"/>
        <v>6.9999999999999996E-10</v>
      </c>
      <c r="AM375" s="117">
        <f t="shared" si="654"/>
        <v>8.0000000000000003E-10</v>
      </c>
      <c r="AN375" s="117">
        <f t="shared" si="655"/>
        <v>8.9999999999999999E-10</v>
      </c>
      <c r="AO375" s="117">
        <f t="shared" si="656"/>
        <v>0</v>
      </c>
      <c r="AP375" s="117" t="b">
        <f t="shared" si="657"/>
        <v>0</v>
      </c>
      <c r="AQ375" s="117" t="b">
        <f t="shared" si="658"/>
        <v>0</v>
      </c>
      <c r="AR375" s="117" t="b">
        <f t="shared" si="659"/>
        <v>0</v>
      </c>
      <c r="AS375" s="130"/>
      <c r="AT375" s="117" t="b">
        <f t="shared" si="660"/>
        <v>1</v>
      </c>
      <c r="AU375" s="117" t="b">
        <f t="shared" si="661"/>
        <v>1</v>
      </c>
      <c r="AV375" s="117" t="b">
        <f t="shared" si="662"/>
        <v>1</v>
      </c>
      <c r="AW375" s="117" t="b">
        <f t="shared" si="663"/>
        <v>1</v>
      </c>
      <c r="AX375" s="117" t="b">
        <f t="shared" si="664"/>
        <v>1</v>
      </c>
      <c r="AY375" s="117" t="b">
        <f t="shared" si="665"/>
        <v>0</v>
      </c>
    </row>
    <row r="376" spans="1:51">
      <c r="A376" s="139" t="s">
        <v>2130</v>
      </c>
      <c r="B376" s="117" t="str">
        <f>'Reference Score Calculation'!B353</f>
        <v>JS8687</v>
      </c>
      <c r="C376" s="117" t="str">
        <f>'Reference Score Calculation'!E353</f>
        <v>文化傳承教育與藝術管理榮譽文學士</v>
      </c>
      <c r="E376" s="129" t="str">
        <f>'Reference Score Calculation'!F353</f>
        <v>Best 5</v>
      </c>
      <c r="F376" s="129" t="str">
        <f>'Reference Score Calculation'!AC353</f>
        <v>Best 5</v>
      </c>
      <c r="G376" s="117" t="str">
        <f>入學要求!AB362</f>
        <v>v</v>
      </c>
      <c r="H376" s="117" t="str">
        <f>入學要求!AC362</f>
        <v>E</v>
      </c>
      <c r="I376" s="117" t="str">
        <f>入學要求!AD362</f>
        <v>v</v>
      </c>
      <c r="J376" s="117">
        <f t="shared" si="626"/>
        <v>3.4999999999999999E-9</v>
      </c>
      <c r="K376" s="505">
        <v>1.5</v>
      </c>
      <c r="L376" s="505">
        <v>1.5</v>
      </c>
      <c r="M376" s="505">
        <v>1</v>
      </c>
      <c r="N376" s="505"/>
      <c r="O376" s="505">
        <v>1</v>
      </c>
      <c r="P376" s="505">
        <f>IF(OR(P$1="中國歷史",P$1="歷史",P$1="設計與應用科技",P$1="視覺藝術"),1.5,1)</f>
        <v>1</v>
      </c>
      <c r="Q376" s="505">
        <f t="shared" ref="Q376:S376" si="677">IF(OR(Q$1="中國歷史",Q$1="歷史",Q$1="設計與應用科技",Q$1="視覺藝術"),1.5,1)</f>
        <v>1</v>
      </c>
      <c r="R376" s="505">
        <f t="shared" si="677"/>
        <v>1</v>
      </c>
      <c r="S376" s="505">
        <f t="shared" si="677"/>
        <v>1</v>
      </c>
      <c r="T376" s="505">
        <v>1</v>
      </c>
      <c r="U376" s="131"/>
      <c r="V376" s="117">
        <f t="shared" si="639"/>
        <v>1.5E-10</v>
      </c>
      <c r="W376" s="117">
        <f t="shared" si="640"/>
        <v>3E-10</v>
      </c>
      <c r="X376" s="117">
        <f t="shared" si="641"/>
        <v>3E-10</v>
      </c>
      <c r="Z376" s="117">
        <f t="shared" si="642"/>
        <v>5.0000000000000003E-10</v>
      </c>
      <c r="AA376" s="117">
        <f t="shared" si="643"/>
        <v>6E-10</v>
      </c>
      <c r="AB376" s="117">
        <f t="shared" si="644"/>
        <v>6.9999999999999996E-10</v>
      </c>
      <c r="AC376" s="117">
        <f t="shared" si="645"/>
        <v>8.0000000000000003E-10</v>
      </c>
      <c r="AD376" s="117">
        <f t="shared" si="646"/>
        <v>8.9999999999999999E-10</v>
      </c>
      <c r="AE376" s="117">
        <f t="shared" si="647"/>
        <v>0</v>
      </c>
      <c r="AF376" s="117">
        <f t="shared" si="648"/>
        <v>1.5E-10</v>
      </c>
      <c r="AG376" s="117">
        <f t="shared" si="649"/>
        <v>3E-10</v>
      </c>
      <c r="AH376" s="117">
        <f t="shared" si="650"/>
        <v>3E-10</v>
      </c>
      <c r="AJ376" s="117">
        <f t="shared" si="651"/>
        <v>5.0000000000000003E-10</v>
      </c>
      <c r="AK376" s="117">
        <f t="shared" si="652"/>
        <v>6E-10</v>
      </c>
      <c r="AL376" s="117">
        <f t="shared" si="653"/>
        <v>6.9999999999999996E-10</v>
      </c>
      <c r="AM376" s="117">
        <f t="shared" si="654"/>
        <v>8.0000000000000003E-10</v>
      </c>
      <c r="AN376" s="117">
        <f t="shared" si="655"/>
        <v>8.9999999999999999E-10</v>
      </c>
      <c r="AO376" s="117">
        <f t="shared" si="656"/>
        <v>0</v>
      </c>
      <c r="AP376" s="117" t="b">
        <f t="shared" si="657"/>
        <v>0</v>
      </c>
      <c r="AQ376" s="117" t="b">
        <f t="shared" si="658"/>
        <v>0</v>
      </c>
      <c r="AR376" s="117" t="b">
        <f t="shared" si="659"/>
        <v>0</v>
      </c>
      <c r="AS376" s="130"/>
      <c r="AT376" s="117" t="b">
        <f t="shared" si="660"/>
        <v>1</v>
      </c>
      <c r="AU376" s="117" t="b">
        <f t="shared" si="661"/>
        <v>1</v>
      </c>
      <c r="AV376" s="117" t="b">
        <f t="shared" si="662"/>
        <v>1</v>
      </c>
      <c r="AW376" s="117" t="b">
        <f t="shared" si="663"/>
        <v>1</v>
      </c>
      <c r="AX376" s="117" t="b">
        <f t="shared" si="664"/>
        <v>1</v>
      </c>
      <c r="AY376" s="117" t="b">
        <f t="shared" si="665"/>
        <v>0</v>
      </c>
    </row>
    <row r="377" spans="1:51">
      <c r="A377" s="139" t="s">
        <v>2706</v>
      </c>
      <c r="B377" s="117" t="str">
        <f>'Reference Score Calculation'!B354</f>
        <v>JS8688</v>
      </c>
      <c r="C377" s="117" t="str">
        <f>'Reference Score Calculation'!E354</f>
        <v>個人理財榮譽文學士</v>
      </c>
      <c r="E377" s="129" t="str">
        <f>'Reference Score Calculation'!F354</f>
        <v>25年新科目</v>
      </c>
      <c r="F377" s="129" t="str">
        <f>'Reference Score Calculation'!AC354</f>
        <v>Best 5</v>
      </c>
      <c r="G377" s="117" t="str">
        <f>入學要求!AB363</f>
        <v>v</v>
      </c>
      <c r="H377" s="117" t="str">
        <f>入學要求!AC363</f>
        <v>E</v>
      </c>
      <c r="I377" s="117" t="str">
        <f>入學要求!AD363</f>
        <v>v</v>
      </c>
      <c r="J377" s="117">
        <f t="shared" si="626"/>
        <v>3.4999999999999999E-9</v>
      </c>
      <c r="K377" s="505">
        <v>1</v>
      </c>
      <c r="L377" s="505">
        <v>1</v>
      </c>
      <c r="M377" s="505">
        <v>1</v>
      </c>
      <c r="N377" s="505"/>
      <c r="O377" s="505">
        <v>1</v>
      </c>
      <c r="P377" s="505">
        <v>1</v>
      </c>
      <c r="Q377" s="505">
        <v>1</v>
      </c>
      <c r="R377" s="505">
        <v>1</v>
      </c>
      <c r="S377" s="505">
        <v>1</v>
      </c>
      <c r="T377" s="505">
        <v>1</v>
      </c>
      <c r="U377" s="131"/>
      <c r="V377" s="117">
        <f t="shared" si="639"/>
        <v>1E-10</v>
      </c>
      <c r="W377" s="117">
        <f t="shared" si="640"/>
        <v>2.0000000000000001E-10</v>
      </c>
      <c r="X377" s="117">
        <f t="shared" si="641"/>
        <v>3E-10</v>
      </c>
      <c r="Z377" s="117">
        <f t="shared" si="642"/>
        <v>5.0000000000000003E-10</v>
      </c>
      <c r="AA377" s="117">
        <f t="shared" si="643"/>
        <v>6E-10</v>
      </c>
      <c r="AB377" s="117">
        <f t="shared" si="644"/>
        <v>6.9999999999999996E-10</v>
      </c>
      <c r="AC377" s="117">
        <f t="shared" si="645"/>
        <v>8.0000000000000003E-10</v>
      </c>
      <c r="AD377" s="117">
        <f t="shared" si="646"/>
        <v>8.9999999999999999E-10</v>
      </c>
      <c r="AE377" s="117">
        <f t="shared" si="647"/>
        <v>0</v>
      </c>
      <c r="AF377" s="117">
        <f t="shared" si="648"/>
        <v>1E-10</v>
      </c>
      <c r="AG377" s="117">
        <f t="shared" si="649"/>
        <v>2.0000000000000001E-10</v>
      </c>
      <c r="AH377" s="117">
        <f t="shared" si="650"/>
        <v>3E-10</v>
      </c>
      <c r="AJ377" s="117">
        <f t="shared" si="651"/>
        <v>5.0000000000000003E-10</v>
      </c>
      <c r="AK377" s="117">
        <f t="shared" si="652"/>
        <v>6E-10</v>
      </c>
      <c r="AL377" s="117">
        <f t="shared" si="653"/>
        <v>6.9999999999999996E-10</v>
      </c>
      <c r="AM377" s="117">
        <f t="shared" si="654"/>
        <v>8.0000000000000003E-10</v>
      </c>
      <c r="AN377" s="117">
        <f t="shared" si="655"/>
        <v>8.9999999999999999E-10</v>
      </c>
      <c r="AO377" s="117">
        <f t="shared" si="656"/>
        <v>0</v>
      </c>
      <c r="AP377" s="117" t="b">
        <f t="shared" si="657"/>
        <v>0</v>
      </c>
      <c r="AQ377" s="117" t="b">
        <f t="shared" si="658"/>
        <v>0</v>
      </c>
      <c r="AR377" s="117" t="b">
        <f t="shared" si="659"/>
        <v>0</v>
      </c>
      <c r="AS377" s="130"/>
      <c r="AT377" s="117" t="b">
        <f t="shared" si="660"/>
        <v>1</v>
      </c>
      <c r="AU377" s="117" t="b">
        <f t="shared" si="661"/>
        <v>1</v>
      </c>
      <c r="AV377" s="117" t="b">
        <f t="shared" si="662"/>
        <v>1</v>
      </c>
      <c r="AW377" s="117" t="b">
        <f t="shared" si="663"/>
        <v>1</v>
      </c>
      <c r="AX377" s="117" t="b">
        <f t="shared" si="664"/>
        <v>1</v>
      </c>
      <c r="AY377" s="117" t="b">
        <f t="shared" si="665"/>
        <v>0</v>
      </c>
    </row>
    <row r="378" spans="1:51">
      <c r="A378" s="139" t="s">
        <v>1686</v>
      </c>
      <c r="B378" s="117" t="str">
        <f>'Reference Score Calculation'!B355</f>
        <v>JS8702</v>
      </c>
      <c r="C378" s="117" t="str">
        <f>'Reference Score Calculation'!E355</f>
        <v>綜合環境管理榮譽理學士</v>
      </c>
      <c r="E378" s="129" t="str">
        <f>'Reference Score Calculation'!F355</f>
        <v>Best 5</v>
      </c>
      <c r="F378" s="129" t="str">
        <f>'Reference Score Calculation'!AC355</f>
        <v>Best 5</v>
      </c>
      <c r="G378" s="117" t="str">
        <f>入學要求!AB364</f>
        <v>v</v>
      </c>
      <c r="H378" s="117" t="str">
        <f>入學要求!AC364</f>
        <v>E</v>
      </c>
      <c r="I378" s="117" t="str">
        <f>入學要求!AD364</f>
        <v>v</v>
      </c>
      <c r="J378" s="117">
        <f t="shared" si="626"/>
        <v>3.4999999999999999E-9</v>
      </c>
      <c r="K378" s="505">
        <v>1</v>
      </c>
      <c r="L378" s="505">
        <v>1</v>
      </c>
      <c r="M378" s="505">
        <v>1.5</v>
      </c>
      <c r="N378" s="505"/>
      <c r="O378" s="505">
        <v>1</v>
      </c>
      <c r="P378" s="505">
        <f>IF(OR(P$1="生物",P$1="化學"),1.5,IF(OR(P$1="地理",P$1="物理"),1.2,1))</f>
        <v>1</v>
      </c>
      <c r="Q378" s="505">
        <f t="shared" ref="Q378:S378" si="678">IF(OR(Q$1="生物",Q$1="化學"),1.5,IF(OR(Q$1="地理",Q$1="物理"),1.2,1))</f>
        <v>1</v>
      </c>
      <c r="R378" s="505">
        <f t="shared" si="678"/>
        <v>1</v>
      </c>
      <c r="S378" s="505">
        <f t="shared" si="678"/>
        <v>1</v>
      </c>
      <c r="T378" s="505">
        <v>1</v>
      </c>
      <c r="U378" s="131"/>
      <c r="V378" s="117">
        <f t="shared" si="639"/>
        <v>1E-10</v>
      </c>
      <c r="W378" s="117">
        <f t="shared" si="640"/>
        <v>2.0000000000000001E-10</v>
      </c>
      <c r="X378" s="117">
        <f t="shared" si="641"/>
        <v>4.5E-10</v>
      </c>
      <c r="Z378" s="117">
        <f t="shared" si="642"/>
        <v>5.0000000000000003E-10</v>
      </c>
      <c r="AA378" s="117">
        <f t="shared" si="643"/>
        <v>6E-10</v>
      </c>
      <c r="AB378" s="117">
        <f t="shared" si="644"/>
        <v>6.9999999999999996E-10</v>
      </c>
      <c r="AC378" s="117">
        <f t="shared" si="645"/>
        <v>8.0000000000000003E-10</v>
      </c>
      <c r="AD378" s="117">
        <f t="shared" si="646"/>
        <v>8.9999999999999999E-10</v>
      </c>
      <c r="AE378" s="117">
        <f t="shared" si="647"/>
        <v>0</v>
      </c>
      <c r="AF378" s="117">
        <f t="shared" si="648"/>
        <v>1E-10</v>
      </c>
      <c r="AG378" s="117">
        <f t="shared" si="649"/>
        <v>2.0000000000000001E-10</v>
      </c>
      <c r="AH378" s="117">
        <f t="shared" si="650"/>
        <v>4.5E-10</v>
      </c>
      <c r="AJ378" s="117">
        <f t="shared" si="651"/>
        <v>5.0000000000000003E-10</v>
      </c>
      <c r="AK378" s="117">
        <f t="shared" si="652"/>
        <v>6E-10</v>
      </c>
      <c r="AL378" s="117">
        <f t="shared" si="653"/>
        <v>6.9999999999999996E-10</v>
      </c>
      <c r="AM378" s="117">
        <f t="shared" si="654"/>
        <v>8.0000000000000003E-10</v>
      </c>
      <c r="AN378" s="117">
        <f t="shared" si="655"/>
        <v>8.9999999999999999E-10</v>
      </c>
      <c r="AO378" s="117">
        <f t="shared" si="656"/>
        <v>0</v>
      </c>
      <c r="AP378" s="117" t="b">
        <f t="shared" si="657"/>
        <v>0</v>
      </c>
      <c r="AQ378" s="117" t="b">
        <f t="shared" si="658"/>
        <v>0</v>
      </c>
      <c r="AR378" s="117" t="b">
        <f t="shared" si="659"/>
        <v>0</v>
      </c>
      <c r="AS378" s="130"/>
      <c r="AT378" s="117" t="b">
        <f t="shared" si="660"/>
        <v>1</v>
      </c>
      <c r="AU378" s="117" t="b">
        <f t="shared" si="661"/>
        <v>1</v>
      </c>
      <c r="AV378" s="117" t="b">
        <f t="shared" si="662"/>
        <v>1</v>
      </c>
      <c r="AW378" s="117" t="b">
        <f t="shared" si="663"/>
        <v>1</v>
      </c>
      <c r="AX378" s="117" t="b">
        <f t="shared" si="664"/>
        <v>1</v>
      </c>
      <c r="AY378" s="117" t="b">
        <f t="shared" si="665"/>
        <v>0</v>
      </c>
    </row>
    <row r="379" spans="1:51">
      <c r="A379" s="139" t="s">
        <v>1689</v>
      </c>
      <c r="B379" s="117" t="str">
        <f>'Reference Score Calculation'!B356</f>
        <v>JS8714</v>
      </c>
      <c r="C379" s="117" t="str">
        <f>'Reference Score Calculation'!E356</f>
        <v>人工智能與教育科技榮譽理學士</v>
      </c>
      <c r="E379" s="129" t="str">
        <f>'Reference Score Calculation'!F356</f>
        <v>Best 5</v>
      </c>
      <c r="F379" s="129" t="str">
        <f>'Reference Score Calculation'!AC356</f>
        <v>Best 5</v>
      </c>
      <c r="G379" s="117" t="str">
        <f>入學要求!AB365</f>
        <v>v</v>
      </c>
      <c r="H379" s="117" t="str">
        <f>入學要求!AC365</f>
        <v>E</v>
      </c>
      <c r="I379" s="117" t="str">
        <f>入學要求!AD365</f>
        <v>v</v>
      </c>
      <c r="J379" s="117">
        <f t="shared" si="626"/>
        <v>3.7500000000000005E-9</v>
      </c>
      <c r="K379" s="505">
        <v>1</v>
      </c>
      <c r="L379" s="505">
        <v>1</v>
      </c>
      <c r="M379" s="505">
        <v>1.5</v>
      </c>
      <c r="N379" s="505"/>
      <c r="O379" s="505">
        <v>1.5</v>
      </c>
      <c r="P379" s="505">
        <f>IF(OR(P$1="化學",P$1="生物",P$1="組合科學(物理、化學)",P$1="組合科學(生物、化學)",P$1="組合科學(物理、生物)",P$1="物理",P$1="綜合科學",P$1="資訊及通訊科技",P$1="設計與應用科技"),1.5,1)</f>
        <v>1</v>
      </c>
      <c r="Q379" s="505">
        <f t="shared" ref="Q379:R379" si="679">IF(OR(Q$1="化學",Q$1="生物",Q$1="組合科學(物理、化學)",Q$1="組合科學(生物、化學)",Q$1="組合科學(物理、生物)",Q$1="物理",Q$1="綜合科學",Q$1="資訊及通訊科技",Q$1="設計與應用科技"),1.5,1)</f>
        <v>1</v>
      </c>
      <c r="R379" s="505">
        <f t="shared" si="679"/>
        <v>1</v>
      </c>
      <c r="S379" s="505">
        <f>IF(OR(S$1="化學",S$1="生物",S$1="組合科學(物理、化學)",S$1="組合科學(生物、化學)",S$1="組合科學(物理、生物)",S$1="物理",S$1="綜合科學",S$1="資訊及通訊科技",S$1="設計與應用科技"),1.5,1)</f>
        <v>1</v>
      </c>
      <c r="T379" s="505">
        <v>1</v>
      </c>
      <c r="U379" s="131"/>
      <c r="V379" s="117">
        <f t="shared" si="639"/>
        <v>1E-10</v>
      </c>
      <c r="W379" s="117">
        <f t="shared" si="640"/>
        <v>2.0000000000000001E-10</v>
      </c>
      <c r="X379" s="117">
        <f t="shared" si="641"/>
        <v>4.5E-10</v>
      </c>
      <c r="Z379" s="117">
        <f t="shared" si="642"/>
        <v>7.500000000000001E-10</v>
      </c>
      <c r="AA379" s="117">
        <f t="shared" si="643"/>
        <v>6E-10</v>
      </c>
      <c r="AB379" s="117">
        <f t="shared" si="644"/>
        <v>6.9999999999999996E-10</v>
      </c>
      <c r="AC379" s="117">
        <f t="shared" si="645"/>
        <v>8.0000000000000003E-10</v>
      </c>
      <c r="AD379" s="117">
        <f t="shared" si="646"/>
        <v>8.9999999999999999E-10</v>
      </c>
      <c r="AE379" s="117">
        <f t="shared" si="647"/>
        <v>0</v>
      </c>
      <c r="AF379" s="117">
        <f t="shared" si="648"/>
        <v>1E-10</v>
      </c>
      <c r="AG379" s="117">
        <f t="shared" si="649"/>
        <v>2.0000000000000001E-10</v>
      </c>
      <c r="AH379" s="117">
        <f t="shared" si="650"/>
        <v>4.5E-10</v>
      </c>
      <c r="AJ379" s="117">
        <f t="shared" si="651"/>
        <v>7.500000000000001E-10</v>
      </c>
      <c r="AK379" s="117">
        <f t="shared" si="652"/>
        <v>6E-10</v>
      </c>
      <c r="AL379" s="117">
        <f t="shared" si="653"/>
        <v>6.9999999999999996E-10</v>
      </c>
      <c r="AM379" s="117">
        <f t="shared" si="654"/>
        <v>8.0000000000000003E-10</v>
      </c>
      <c r="AN379" s="117">
        <f t="shared" si="655"/>
        <v>8.9999999999999999E-10</v>
      </c>
      <c r="AO379" s="117">
        <f t="shared" si="656"/>
        <v>0</v>
      </c>
      <c r="AP379" s="117" t="b">
        <f t="shared" si="657"/>
        <v>0</v>
      </c>
      <c r="AQ379" s="117" t="b">
        <f t="shared" si="658"/>
        <v>0</v>
      </c>
      <c r="AR379" s="117" t="b">
        <f t="shared" si="659"/>
        <v>0</v>
      </c>
      <c r="AS379" s="130"/>
      <c r="AT379" s="117" t="b">
        <f t="shared" si="660"/>
        <v>1</v>
      </c>
      <c r="AU379" s="117" t="b">
        <f t="shared" si="661"/>
        <v>1</v>
      </c>
      <c r="AV379" s="117" t="b">
        <f t="shared" si="662"/>
        <v>1</v>
      </c>
      <c r="AW379" s="117" t="b">
        <f t="shared" si="663"/>
        <v>1</v>
      </c>
      <c r="AX379" s="117" t="b">
        <f t="shared" si="664"/>
        <v>1</v>
      </c>
      <c r="AY379" s="117" t="b">
        <f t="shared" si="665"/>
        <v>0</v>
      </c>
    </row>
    <row r="380" spans="1:51">
      <c r="A380" s="139" t="s">
        <v>1692</v>
      </c>
      <c r="B380" s="117" t="str">
        <f>'Reference Score Calculation'!B357</f>
        <v>JS8726</v>
      </c>
      <c r="C380" s="117" t="str">
        <f>'Reference Score Calculation'!E357</f>
        <v>運動科學及教練榮譽理學士</v>
      </c>
      <c r="E380" s="129" t="str">
        <f>'Reference Score Calculation'!F357</f>
        <v>Best 5</v>
      </c>
      <c r="F380" s="129" t="str">
        <f>'Reference Score Calculation'!AC357</f>
        <v>Best 5</v>
      </c>
      <c r="G380" s="117" t="str">
        <f>入學要求!AB366</f>
        <v>v</v>
      </c>
      <c r="H380" s="117" t="str">
        <f>入學要求!AC366</f>
        <v>E</v>
      </c>
      <c r="I380" s="117" t="str">
        <f>入學要求!AD366</f>
        <v>v</v>
      </c>
      <c r="J380" s="117">
        <f t="shared" si="626"/>
        <v>3.7500000000000005E-9</v>
      </c>
      <c r="K380" s="505">
        <v>1.5</v>
      </c>
      <c r="L380" s="505">
        <v>1.5</v>
      </c>
      <c r="M380" s="505">
        <v>1.5</v>
      </c>
      <c r="N380" s="505"/>
      <c r="O380" s="505">
        <v>1.5</v>
      </c>
      <c r="P380" s="505">
        <f>IF(OR(P$1="生物",P$1="體育"),2,IF(OR(P$1="資訊及通訊科技",P$1="設計與應用科技"),1.5,1))</f>
        <v>1</v>
      </c>
      <c r="Q380" s="505">
        <f t="shared" ref="Q380:S380" si="680">IF(OR(Q$1="生物",Q$1="體育"),2,IF(OR(Q$1="資訊及通訊科技",Q$1="設計與應用科技"),1.5,1))</f>
        <v>1</v>
      </c>
      <c r="R380" s="505">
        <f t="shared" si="680"/>
        <v>1</v>
      </c>
      <c r="S380" s="505">
        <f t="shared" si="680"/>
        <v>1</v>
      </c>
      <c r="T380" s="505">
        <v>1</v>
      </c>
      <c r="U380" s="131"/>
      <c r="V380" s="117">
        <f t="shared" si="639"/>
        <v>1.5E-10</v>
      </c>
      <c r="W380" s="117">
        <f t="shared" si="640"/>
        <v>3E-10</v>
      </c>
      <c r="X380" s="117">
        <f t="shared" si="641"/>
        <v>4.5E-10</v>
      </c>
      <c r="Z380" s="117">
        <f t="shared" si="642"/>
        <v>7.500000000000001E-10</v>
      </c>
      <c r="AA380" s="117">
        <f t="shared" si="643"/>
        <v>6E-10</v>
      </c>
      <c r="AB380" s="117">
        <f t="shared" si="644"/>
        <v>6.9999999999999996E-10</v>
      </c>
      <c r="AC380" s="117">
        <f t="shared" si="645"/>
        <v>8.0000000000000003E-10</v>
      </c>
      <c r="AD380" s="117">
        <f t="shared" si="646"/>
        <v>8.9999999999999999E-10</v>
      </c>
      <c r="AE380" s="117">
        <f t="shared" si="647"/>
        <v>0</v>
      </c>
      <c r="AF380" s="117">
        <f t="shared" si="648"/>
        <v>1.5E-10</v>
      </c>
      <c r="AG380" s="117">
        <f t="shared" si="649"/>
        <v>3E-10</v>
      </c>
      <c r="AH380" s="117">
        <f t="shared" si="650"/>
        <v>4.5E-10</v>
      </c>
      <c r="AJ380" s="117">
        <f t="shared" si="651"/>
        <v>7.500000000000001E-10</v>
      </c>
      <c r="AK380" s="117">
        <f t="shared" si="652"/>
        <v>6E-10</v>
      </c>
      <c r="AL380" s="117">
        <f t="shared" si="653"/>
        <v>6.9999999999999996E-10</v>
      </c>
      <c r="AM380" s="117">
        <f t="shared" si="654"/>
        <v>8.0000000000000003E-10</v>
      </c>
      <c r="AN380" s="117">
        <f t="shared" si="655"/>
        <v>8.9999999999999999E-10</v>
      </c>
      <c r="AO380" s="117">
        <f t="shared" si="656"/>
        <v>0</v>
      </c>
      <c r="AP380" s="117" t="b">
        <f t="shared" si="657"/>
        <v>0</v>
      </c>
      <c r="AQ380" s="117" t="b">
        <f t="shared" si="658"/>
        <v>0</v>
      </c>
      <c r="AR380" s="117" t="b">
        <f t="shared" si="659"/>
        <v>0</v>
      </c>
      <c r="AS380" s="130"/>
      <c r="AT380" s="117" t="b">
        <f t="shared" si="660"/>
        <v>1</v>
      </c>
      <c r="AU380" s="117" t="b">
        <f t="shared" si="661"/>
        <v>1</v>
      </c>
      <c r="AV380" s="117" t="b">
        <f t="shared" si="662"/>
        <v>1</v>
      </c>
      <c r="AW380" s="117" t="b">
        <f t="shared" si="663"/>
        <v>1</v>
      </c>
      <c r="AX380" s="117" t="b">
        <f t="shared" si="664"/>
        <v>1</v>
      </c>
      <c r="AY380" s="117" t="b">
        <f t="shared" si="665"/>
        <v>0</v>
      </c>
    </row>
    <row r="381" spans="1:51">
      <c r="A381" s="139" t="s">
        <v>2709</v>
      </c>
      <c r="B381" s="117" t="str">
        <f>'Reference Score Calculation'!B358</f>
        <v>JS8727</v>
      </c>
      <c r="C381" s="117" t="str">
        <f>'Reference Score Calculation'!E358</f>
        <v>言語病理學及復康榮譽理學士</v>
      </c>
      <c r="E381" s="129" t="str">
        <f>'Reference Score Calculation'!F358</f>
        <v>25年新科目</v>
      </c>
      <c r="F381" s="129" t="str">
        <f>'Reference Score Calculation'!AC358</f>
        <v>Best 5</v>
      </c>
      <c r="G381" s="117" t="str">
        <f>入學要求!AB367</f>
        <v>v</v>
      </c>
      <c r="H381" s="117" t="str">
        <f>入學要求!AC367</f>
        <v>E</v>
      </c>
      <c r="I381" s="117" t="str">
        <f>入學要求!AD367</f>
        <v>v</v>
      </c>
      <c r="J381" s="117">
        <f t="shared" si="626"/>
        <v>3.4999999999999999E-9</v>
      </c>
      <c r="K381" s="505">
        <v>1.5</v>
      </c>
      <c r="L381" s="505">
        <v>1.5</v>
      </c>
      <c r="M381" s="505">
        <v>1</v>
      </c>
      <c r="N381" s="505"/>
      <c r="O381" s="505">
        <v>1</v>
      </c>
      <c r="P381" s="505">
        <v>1</v>
      </c>
      <c r="Q381" s="505">
        <v>1</v>
      </c>
      <c r="R381" s="505">
        <v>1</v>
      </c>
      <c r="S381" s="505">
        <v>1</v>
      </c>
      <c r="T381" s="505">
        <v>1</v>
      </c>
      <c r="U381" s="131"/>
      <c r="V381" s="117">
        <f t="shared" si="639"/>
        <v>1.5E-10</v>
      </c>
      <c r="W381" s="117">
        <f t="shared" si="640"/>
        <v>3E-10</v>
      </c>
      <c r="X381" s="117">
        <f t="shared" si="641"/>
        <v>3E-10</v>
      </c>
      <c r="Z381" s="117">
        <f t="shared" si="642"/>
        <v>5.0000000000000003E-10</v>
      </c>
      <c r="AA381" s="117">
        <f t="shared" si="643"/>
        <v>6E-10</v>
      </c>
      <c r="AB381" s="117">
        <f t="shared" si="644"/>
        <v>6.9999999999999996E-10</v>
      </c>
      <c r="AC381" s="117">
        <f t="shared" si="645"/>
        <v>8.0000000000000003E-10</v>
      </c>
      <c r="AD381" s="117">
        <f t="shared" si="646"/>
        <v>8.9999999999999999E-10</v>
      </c>
      <c r="AE381" s="117">
        <f t="shared" si="647"/>
        <v>0</v>
      </c>
      <c r="AF381" s="117">
        <f t="shared" si="648"/>
        <v>1.5E-10</v>
      </c>
      <c r="AG381" s="117">
        <f t="shared" si="649"/>
        <v>3E-10</v>
      </c>
      <c r="AH381" s="117">
        <f t="shared" si="650"/>
        <v>3E-10</v>
      </c>
      <c r="AJ381" s="117">
        <f t="shared" si="651"/>
        <v>5.0000000000000003E-10</v>
      </c>
      <c r="AK381" s="117">
        <f t="shared" si="652"/>
        <v>6E-10</v>
      </c>
      <c r="AL381" s="117">
        <f t="shared" si="653"/>
        <v>6.9999999999999996E-10</v>
      </c>
      <c r="AM381" s="117">
        <f t="shared" si="654"/>
        <v>8.0000000000000003E-10</v>
      </c>
      <c r="AN381" s="117">
        <f t="shared" si="655"/>
        <v>8.9999999999999999E-10</v>
      </c>
      <c r="AO381" s="117">
        <f t="shared" si="656"/>
        <v>0</v>
      </c>
      <c r="AP381" s="117" t="b">
        <f t="shared" si="657"/>
        <v>0</v>
      </c>
      <c r="AQ381" s="117" t="b">
        <f t="shared" si="658"/>
        <v>0</v>
      </c>
      <c r="AR381" s="117" t="b">
        <f t="shared" si="659"/>
        <v>0</v>
      </c>
      <c r="AS381" s="130"/>
      <c r="AT381" s="117" t="b">
        <f t="shared" si="660"/>
        <v>1</v>
      </c>
      <c r="AU381" s="117" t="b">
        <f t="shared" si="661"/>
        <v>1</v>
      </c>
      <c r="AV381" s="117" t="b">
        <f t="shared" si="662"/>
        <v>1</v>
      </c>
      <c r="AW381" s="117" t="b">
        <f t="shared" si="663"/>
        <v>1</v>
      </c>
      <c r="AX381" s="117" t="b">
        <f t="shared" si="664"/>
        <v>1</v>
      </c>
      <c r="AY381" s="117" t="b">
        <f t="shared" si="665"/>
        <v>0</v>
      </c>
    </row>
    <row r="382" spans="1:51">
      <c r="A382" s="139" t="s">
        <v>2658</v>
      </c>
      <c r="B382" s="117" t="str">
        <f>'Reference Score Calculation'!B359</f>
        <v>JS8001</v>
      </c>
      <c r="C382" s="117" t="str">
        <f>'Reference Score Calculation'!E359</f>
        <v>創意藝術與數碼藝術榮譽文學士及音樂教育榮譽學士</v>
      </c>
      <c r="E382" s="129" t="str">
        <f>'Reference Score Calculation'!F359</f>
        <v>Best 5</v>
      </c>
      <c r="F382" s="129" t="str">
        <f>'Reference Score Calculation'!AC359</f>
        <v>Best 5</v>
      </c>
      <c r="G382" s="117" t="str">
        <f>入學要求!AB368</f>
        <v>v</v>
      </c>
      <c r="H382" s="117" t="str">
        <f>入學要求!AC368</f>
        <v>E</v>
      </c>
      <c r="I382" s="117" t="str">
        <f>入學要求!AD368</f>
        <v>v</v>
      </c>
      <c r="J382" s="117">
        <f t="shared" si="626"/>
        <v>3.4999999999999999E-9</v>
      </c>
      <c r="K382" s="505">
        <v>1</v>
      </c>
      <c r="L382" s="505">
        <v>1</v>
      </c>
      <c r="M382" s="505">
        <v>1</v>
      </c>
      <c r="N382" s="505"/>
      <c r="O382" s="505">
        <v>1</v>
      </c>
      <c r="P382" s="505">
        <f>IF(P$1="音樂",1.5,1)</f>
        <v>1</v>
      </c>
      <c r="Q382" s="505">
        <f t="shared" ref="Q382:S382" si="681">IF(Q$1="音樂",1.5,1)</f>
        <v>1</v>
      </c>
      <c r="R382" s="505">
        <f t="shared" si="681"/>
        <v>1</v>
      </c>
      <c r="S382" s="505">
        <f t="shared" si="681"/>
        <v>1</v>
      </c>
      <c r="T382" s="505">
        <v>1</v>
      </c>
      <c r="U382" s="131"/>
      <c r="V382" s="117">
        <f t="shared" si="639"/>
        <v>1E-10</v>
      </c>
      <c r="W382" s="117">
        <f t="shared" si="640"/>
        <v>2.0000000000000001E-10</v>
      </c>
      <c r="X382" s="117">
        <f t="shared" si="641"/>
        <v>3E-10</v>
      </c>
      <c r="Z382" s="117">
        <f t="shared" si="642"/>
        <v>5.0000000000000003E-10</v>
      </c>
      <c r="AA382" s="117">
        <f t="shared" si="643"/>
        <v>6E-10</v>
      </c>
      <c r="AB382" s="117">
        <f t="shared" si="644"/>
        <v>6.9999999999999996E-10</v>
      </c>
      <c r="AC382" s="117">
        <f t="shared" si="645"/>
        <v>8.0000000000000003E-10</v>
      </c>
      <c r="AD382" s="117">
        <f t="shared" si="646"/>
        <v>8.9999999999999999E-10</v>
      </c>
      <c r="AE382" s="117">
        <f t="shared" si="647"/>
        <v>0</v>
      </c>
      <c r="AF382" s="117">
        <f t="shared" si="648"/>
        <v>1E-10</v>
      </c>
      <c r="AG382" s="117">
        <f t="shared" si="649"/>
        <v>2.0000000000000001E-10</v>
      </c>
      <c r="AH382" s="117">
        <f t="shared" si="650"/>
        <v>3E-10</v>
      </c>
      <c r="AJ382" s="117">
        <f t="shared" si="651"/>
        <v>5.0000000000000003E-10</v>
      </c>
      <c r="AK382" s="117">
        <f t="shared" si="652"/>
        <v>6E-10</v>
      </c>
      <c r="AL382" s="117">
        <f t="shared" si="653"/>
        <v>6.9999999999999996E-10</v>
      </c>
      <c r="AM382" s="117">
        <f t="shared" si="654"/>
        <v>8.0000000000000003E-10</v>
      </c>
      <c r="AN382" s="117">
        <f t="shared" si="655"/>
        <v>8.9999999999999999E-10</v>
      </c>
      <c r="AO382" s="117">
        <f t="shared" si="656"/>
        <v>0</v>
      </c>
      <c r="AP382" s="117" t="b">
        <f t="shared" si="657"/>
        <v>0</v>
      </c>
      <c r="AQ382" s="117" t="b">
        <f t="shared" si="658"/>
        <v>0</v>
      </c>
      <c r="AR382" s="117" t="b">
        <f t="shared" si="659"/>
        <v>0</v>
      </c>
      <c r="AS382" s="130"/>
      <c r="AT382" s="117" t="b">
        <f t="shared" si="660"/>
        <v>1</v>
      </c>
      <c r="AU382" s="117" t="b">
        <f t="shared" si="661"/>
        <v>1</v>
      </c>
      <c r="AV382" s="117" t="b">
        <f t="shared" si="662"/>
        <v>1</v>
      </c>
      <c r="AW382" s="117" t="b">
        <f t="shared" si="663"/>
        <v>1</v>
      </c>
      <c r="AX382" s="117" t="b">
        <f t="shared" si="664"/>
        <v>1</v>
      </c>
      <c r="AY382" s="117" t="b">
        <f t="shared" si="665"/>
        <v>0</v>
      </c>
    </row>
    <row r="383" spans="1:51">
      <c r="A383" s="139" t="s">
        <v>2661</v>
      </c>
      <c r="B383" s="117" t="str">
        <f>'Reference Score Calculation'!B360</f>
        <v>JS8002</v>
      </c>
      <c r="C383" s="117" t="str">
        <f>'Reference Score Calculation'!E360</f>
        <v>創意藝術與數碼藝術榮譽文學士及視覺藝術教育榮譽學士</v>
      </c>
      <c r="E383" s="129" t="str">
        <f>'Reference Score Calculation'!F360</f>
        <v>Best 5</v>
      </c>
      <c r="F383" s="129" t="str">
        <f>'Reference Score Calculation'!AC360</f>
        <v>Best 5</v>
      </c>
      <c r="G383" s="117" t="str">
        <f>入學要求!AB369</f>
        <v>v</v>
      </c>
      <c r="H383" s="117" t="str">
        <f>入學要求!AC369</f>
        <v>E</v>
      </c>
      <c r="I383" s="117" t="str">
        <f>入學要求!AD369</f>
        <v>v</v>
      </c>
      <c r="J383" s="117">
        <f t="shared" si="626"/>
        <v>3.4999999999999999E-9</v>
      </c>
      <c r="K383" s="505">
        <v>1</v>
      </c>
      <c r="L383" s="505">
        <v>1</v>
      </c>
      <c r="M383" s="505">
        <v>1</v>
      </c>
      <c r="N383" s="505"/>
      <c r="O383" s="505">
        <v>1</v>
      </c>
      <c r="P383" s="505">
        <f>IF(P$1="視覺藝術",1.5,1)</f>
        <v>1</v>
      </c>
      <c r="Q383" s="505">
        <f t="shared" ref="Q383:S383" si="682">IF(Q$1="視覺藝術",1.5,1)</f>
        <v>1</v>
      </c>
      <c r="R383" s="505">
        <f t="shared" si="682"/>
        <v>1</v>
      </c>
      <c r="S383" s="505">
        <f t="shared" si="682"/>
        <v>1</v>
      </c>
      <c r="T383" s="505">
        <v>1</v>
      </c>
      <c r="U383" s="131"/>
      <c r="V383" s="117">
        <f t="shared" si="639"/>
        <v>1E-10</v>
      </c>
      <c r="W383" s="117">
        <f t="shared" si="640"/>
        <v>2.0000000000000001E-10</v>
      </c>
      <c r="X383" s="117">
        <f t="shared" si="641"/>
        <v>3E-10</v>
      </c>
      <c r="Z383" s="117">
        <f t="shared" si="642"/>
        <v>5.0000000000000003E-10</v>
      </c>
      <c r="AA383" s="117">
        <f t="shared" si="643"/>
        <v>6E-10</v>
      </c>
      <c r="AB383" s="117">
        <f t="shared" si="644"/>
        <v>6.9999999999999996E-10</v>
      </c>
      <c r="AC383" s="117">
        <f t="shared" si="645"/>
        <v>8.0000000000000003E-10</v>
      </c>
      <c r="AD383" s="117">
        <f t="shared" si="646"/>
        <v>8.9999999999999999E-10</v>
      </c>
      <c r="AE383" s="117">
        <f t="shared" si="647"/>
        <v>0</v>
      </c>
      <c r="AF383" s="117">
        <f t="shared" si="648"/>
        <v>1E-10</v>
      </c>
      <c r="AG383" s="117">
        <f t="shared" si="649"/>
        <v>2.0000000000000001E-10</v>
      </c>
      <c r="AH383" s="117">
        <f t="shared" si="650"/>
        <v>3E-10</v>
      </c>
      <c r="AJ383" s="117">
        <f t="shared" si="651"/>
        <v>5.0000000000000003E-10</v>
      </c>
      <c r="AK383" s="117">
        <f t="shared" si="652"/>
        <v>6E-10</v>
      </c>
      <c r="AL383" s="117">
        <f t="shared" si="653"/>
        <v>6.9999999999999996E-10</v>
      </c>
      <c r="AM383" s="117">
        <f t="shared" si="654"/>
        <v>8.0000000000000003E-10</v>
      </c>
      <c r="AN383" s="117">
        <f t="shared" si="655"/>
        <v>8.9999999999999999E-10</v>
      </c>
      <c r="AO383" s="117">
        <f t="shared" si="656"/>
        <v>0</v>
      </c>
      <c r="AP383" s="117" t="b">
        <f t="shared" si="657"/>
        <v>0</v>
      </c>
      <c r="AQ383" s="117" t="b">
        <f t="shared" si="658"/>
        <v>0</v>
      </c>
      <c r="AR383" s="117" t="b">
        <f t="shared" si="659"/>
        <v>0</v>
      </c>
      <c r="AS383" s="130"/>
      <c r="AT383" s="117" t="b">
        <f t="shared" si="660"/>
        <v>1</v>
      </c>
      <c r="AU383" s="117" t="b">
        <f t="shared" si="661"/>
        <v>1</v>
      </c>
      <c r="AV383" s="117" t="b">
        <f t="shared" si="662"/>
        <v>1</v>
      </c>
      <c r="AW383" s="117" t="b">
        <f t="shared" si="663"/>
        <v>1</v>
      </c>
      <c r="AX383" s="117" t="b">
        <f t="shared" si="664"/>
        <v>1</v>
      </c>
      <c r="AY383" s="117" t="b">
        <f t="shared" si="665"/>
        <v>0</v>
      </c>
    </row>
    <row r="384" spans="1:51">
      <c r="C384" s="358"/>
    </row>
    <row r="385" spans="1:72">
      <c r="A385" s="139"/>
      <c r="B385" s="141" t="s">
        <v>237</v>
      </c>
      <c r="C385" s="405"/>
      <c r="D385" s="142"/>
      <c r="E385" s="143"/>
      <c r="F385" s="400"/>
      <c r="G385" s="19" t="s">
        <v>267</v>
      </c>
      <c r="H385" s="19" t="s">
        <v>268</v>
      </c>
      <c r="I385" s="19" t="s">
        <v>269</v>
      </c>
      <c r="J385" s="130" t="s">
        <v>217</v>
      </c>
      <c r="K385" s="130" t="s">
        <v>246</v>
      </c>
      <c r="L385" s="130" t="s">
        <v>247</v>
      </c>
      <c r="M385" s="130" t="s">
        <v>248</v>
      </c>
      <c r="N385" s="130"/>
      <c r="O385" s="130" t="s">
        <v>250</v>
      </c>
      <c r="P385" s="130" t="s">
        <v>251</v>
      </c>
      <c r="Q385" s="130" t="s">
        <v>252</v>
      </c>
      <c r="R385" s="130" t="s">
        <v>253</v>
      </c>
      <c r="S385" s="130" t="s">
        <v>254</v>
      </c>
      <c r="T385" s="130" t="s">
        <v>288</v>
      </c>
      <c r="U385" s="141"/>
      <c r="V385" s="130" t="str">
        <f t="shared" ref="V385:AE385" si="683">K$1</f>
        <v>中國語文</v>
      </c>
      <c r="W385" s="130" t="str">
        <f t="shared" si="683"/>
        <v>英國語文</v>
      </c>
      <c r="X385" s="130" t="str">
        <f t="shared" si="683"/>
        <v>數學</v>
      </c>
      <c r="Y385" s="130"/>
      <c r="Z385" s="130" t="str">
        <f t="shared" si="683"/>
        <v>數學延伸</v>
      </c>
      <c r="AA385" s="130" t="str">
        <f t="shared" si="683"/>
        <v>請選擇第一選修科</v>
      </c>
      <c r="AB385" s="130" t="str">
        <f t="shared" si="683"/>
        <v>請選擇第二選修科</v>
      </c>
      <c r="AC385" s="130" t="str">
        <f t="shared" si="683"/>
        <v>請選擇第三選修科</v>
      </c>
      <c r="AD385" s="130" t="str">
        <f t="shared" si="683"/>
        <v>請選擇第四選修科</v>
      </c>
      <c r="AE385" s="130" t="str">
        <f t="shared" si="683"/>
        <v>請選擇語言科目</v>
      </c>
      <c r="AF385" s="117" t="str">
        <f t="shared" ref="AF385:AF419" si="684">V385</f>
        <v>中國語文</v>
      </c>
      <c r="AG385" s="117" t="str">
        <f t="shared" ref="AG385:AG419" si="685">W385</f>
        <v>英國語文</v>
      </c>
      <c r="AH385" s="117" t="str">
        <f t="shared" ref="AH385:AH419" si="686">X385</f>
        <v>數學</v>
      </c>
      <c r="AJ385" s="117" t="str">
        <f t="shared" ref="AJ385:AJ419" si="687">Z385</f>
        <v>數學延伸</v>
      </c>
      <c r="AK385" s="117" t="str">
        <f t="shared" ref="AK385:AK419" si="688">AA385</f>
        <v>請選擇第一選修科</v>
      </c>
      <c r="AL385" s="117" t="str">
        <f t="shared" ref="AL385:AL419" si="689">AB385</f>
        <v>請選擇第二選修科</v>
      </c>
      <c r="AM385" s="117" t="str">
        <f t="shared" ref="AM385:AM419" si="690">AC385</f>
        <v>請選擇第三選修科</v>
      </c>
      <c r="AN385" s="117" t="str">
        <f t="shared" ref="AN385:AN419" si="691">AD385</f>
        <v>請選擇第四選修科</v>
      </c>
      <c r="AO385" s="117" t="str">
        <f t="shared" ref="AO385:AO419" si="692">AE385</f>
        <v>請選擇語言科目</v>
      </c>
      <c r="AP385" s="130" t="s">
        <v>256</v>
      </c>
      <c r="AQ385" s="130" t="s">
        <v>257</v>
      </c>
      <c r="AR385" s="130" t="s">
        <v>258</v>
      </c>
      <c r="AS385" s="130"/>
      <c r="AT385" s="130" t="s">
        <v>259</v>
      </c>
      <c r="AU385" s="130" t="s">
        <v>260</v>
      </c>
      <c r="AV385" s="130" t="s">
        <v>261</v>
      </c>
      <c r="AW385" s="130" t="s">
        <v>262</v>
      </c>
      <c r="AX385" s="130" t="s">
        <v>263</v>
      </c>
      <c r="AY385" s="130" t="s">
        <v>289</v>
      </c>
      <c r="AZ385" s="142"/>
      <c r="BA385" s="142"/>
      <c r="BB385" s="142"/>
      <c r="BC385" s="142"/>
      <c r="BD385" s="142"/>
      <c r="BE385" s="142"/>
      <c r="BF385" s="142"/>
      <c r="BG385" s="142"/>
      <c r="BH385" s="142"/>
      <c r="BI385" s="142"/>
      <c r="BJ385" s="142"/>
      <c r="BK385" s="142"/>
      <c r="BL385" s="142"/>
      <c r="BM385" s="142"/>
      <c r="BN385" s="142"/>
      <c r="BO385" s="142"/>
      <c r="BP385" s="142"/>
      <c r="BQ385" s="142"/>
      <c r="BR385" s="142"/>
    </row>
    <row r="386" spans="1:72" s="142" customFormat="1">
      <c r="A386" s="139" t="str">
        <f>'Reference Score Calculation'!B363</f>
        <v>JS9009</v>
      </c>
      <c r="B386" s="117" t="str">
        <f>'Reference Score Calculation'!B363</f>
        <v>JS9009</v>
      </c>
      <c r="C386" s="129" t="str">
        <f>'Reference Score Calculation'!E363</f>
        <v>社會科學榮譽學士</v>
      </c>
      <c r="D386" s="129"/>
      <c r="E386" s="412" t="str">
        <f>'Reference Score Calculation'!F363</f>
        <v>Best 5</v>
      </c>
      <c r="F386" s="140"/>
      <c r="G386" s="117" t="str">
        <f>入學要求!AB372</f>
        <v>v</v>
      </c>
      <c r="H386" s="117" t="str">
        <f>入學要求!AC372</f>
        <v>E</v>
      </c>
      <c r="I386" s="117" t="str">
        <f>入學要求!AD372</f>
        <v>v</v>
      </c>
      <c r="J386" s="117">
        <f t="shared" ref="J386:J411" si="693">SUMIF(AP386:AY386,TRUE,V386:AE386)</f>
        <v>3.2999999999999998E-9</v>
      </c>
      <c r="K386" s="117">
        <v>1</v>
      </c>
      <c r="L386" s="117">
        <v>1</v>
      </c>
      <c r="M386" s="117">
        <v>1</v>
      </c>
      <c r="N386" s="117"/>
      <c r="O386" s="117">
        <v>1</v>
      </c>
      <c r="P386" s="117">
        <v>1</v>
      </c>
      <c r="Q386" s="117">
        <v>1</v>
      </c>
      <c r="R386" s="117">
        <v>1</v>
      </c>
      <c r="S386" s="117">
        <v>1</v>
      </c>
      <c r="T386" s="117">
        <v>1</v>
      </c>
      <c r="U386" s="117"/>
      <c r="V386" s="117">
        <f t="shared" ref="V386:V413" si="694">K$11*K386</f>
        <v>1E-10</v>
      </c>
      <c r="W386" s="117">
        <f t="shared" ref="W386:W413" si="695">L$11*L386</f>
        <v>2.0000000000000001E-10</v>
      </c>
      <c r="X386" s="117">
        <f t="shared" ref="X386:X413" si="696">M$11*M386</f>
        <v>3E-10</v>
      </c>
      <c r="Y386" s="117"/>
      <c r="Z386" s="117">
        <f t="shared" ref="Z386:Z413" si="697">O$11*O386</f>
        <v>0</v>
      </c>
      <c r="AA386" s="117">
        <f t="shared" ref="AA386:AA413" si="698">P$11*P386</f>
        <v>6E-10</v>
      </c>
      <c r="AB386" s="117">
        <f t="shared" ref="AB386:AB413" si="699">Q$11*Q386</f>
        <v>6.9999999999999996E-10</v>
      </c>
      <c r="AC386" s="117">
        <f t="shared" ref="AC386:AC413" si="700">R$11*R386</f>
        <v>8.0000000000000003E-10</v>
      </c>
      <c r="AD386" s="117">
        <f t="shared" ref="AD386:AD413" si="701">S$11*S386</f>
        <v>8.9999999999999999E-10</v>
      </c>
      <c r="AE386" s="117">
        <f t="shared" ref="AE386:AE413" si="702">T$11*T386</f>
        <v>0</v>
      </c>
      <c r="AF386" s="117">
        <f t="shared" si="684"/>
        <v>1E-10</v>
      </c>
      <c r="AG386" s="117">
        <f t="shared" si="685"/>
        <v>2.0000000000000001E-10</v>
      </c>
      <c r="AH386" s="117">
        <f t="shared" si="686"/>
        <v>3E-10</v>
      </c>
      <c r="AI386" s="117"/>
      <c r="AJ386" s="117">
        <f t="shared" si="687"/>
        <v>0</v>
      </c>
      <c r="AK386" s="117">
        <f t="shared" si="688"/>
        <v>6E-10</v>
      </c>
      <c r="AL386" s="117">
        <f t="shared" si="689"/>
        <v>6.9999999999999996E-10</v>
      </c>
      <c r="AM386" s="117">
        <f t="shared" si="690"/>
        <v>8.0000000000000003E-10</v>
      </c>
      <c r="AN386" s="117">
        <f t="shared" si="691"/>
        <v>8.9999999999999999E-10</v>
      </c>
      <c r="AO386" s="117">
        <f t="shared" si="692"/>
        <v>0</v>
      </c>
      <c r="AP386" s="117" t="b">
        <f t="shared" ref="AP386:AP413" si="703">IF(V386&gt;LARGE($V386:$AE386,6),TRUE)</f>
        <v>0</v>
      </c>
      <c r="AQ386" s="117" t="b">
        <f t="shared" ref="AQ386:AQ413" si="704">IF(W386&gt;LARGE($V386:$AE386,6),TRUE)</f>
        <v>0</v>
      </c>
      <c r="AR386" s="117" t="b">
        <f t="shared" ref="AR386:AR413" si="705">IF(X386&gt;LARGE($V386:$AE386,6),TRUE)</f>
        <v>1</v>
      </c>
      <c r="AS386" s="117"/>
      <c r="AT386" s="117" t="b">
        <f t="shared" ref="AT386:AT413" si="706">IF(Z386&gt;LARGE($V386:$AE386,6),TRUE)</f>
        <v>0</v>
      </c>
      <c r="AU386" s="117" t="b">
        <f t="shared" ref="AU386:AU413" si="707">IF(AA386&gt;LARGE($V386:$AE386,6),TRUE)</f>
        <v>1</v>
      </c>
      <c r="AV386" s="117" t="b">
        <f t="shared" ref="AV386:AV413" si="708">IF(AB386&gt;LARGE($V386:$AE386,6),TRUE)</f>
        <v>1</v>
      </c>
      <c r="AW386" s="117" t="b">
        <f t="shared" ref="AW386:AW413" si="709">IF(AC386&gt;LARGE($V386:$AE386,6),TRUE)</f>
        <v>1</v>
      </c>
      <c r="AX386" s="117" t="b">
        <f t="shared" ref="AX386:AX413" si="710">IF(AD386&gt;LARGE($V386:$AE386,6),TRUE)</f>
        <v>1</v>
      </c>
      <c r="AY386" s="117" t="b">
        <f t="shared" ref="AY386:AY413" si="711">IF(AE386&gt;LARGE($V386:$AE386,6),TRUE)</f>
        <v>0</v>
      </c>
      <c r="AZ386" s="117"/>
      <c r="BA386" s="117"/>
      <c r="BB386" s="117"/>
      <c r="BC386" s="117"/>
      <c r="BD386" s="117"/>
      <c r="BE386" s="117"/>
      <c r="BF386" s="117"/>
      <c r="BG386" s="117"/>
      <c r="BH386" s="117"/>
      <c r="BI386" s="117"/>
      <c r="BJ386" s="117"/>
      <c r="BK386" s="117"/>
      <c r="BL386" s="117"/>
      <c r="BM386" s="117"/>
      <c r="BN386" s="117"/>
      <c r="BO386" s="117"/>
      <c r="BP386" s="117"/>
      <c r="BQ386" s="117"/>
      <c r="BR386" s="117"/>
      <c r="BS386" s="130"/>
      <c r="BT386" s="130"/>
    </row>
    <row r="387" spans="1:72">
      <c r="A387" s="139" t="str">
        <f>'Reference Score Calculation'!B364</f>
        <v>JS9010</v>
      </c>
      <c r="B387" s="117" t="str">
        <f>'Reference Score Calculation'!B364</f>
        <v>JS9010</v>
      </c>
      <c r="C387" s="129" t="str">
        <f>'Reference Score Calculation'!E364</f>
        <v>心理學榮譽社會科學學士</v>
      </c>
      <c r="D387" s="129"/>
      <c r="E387" s="412" t="str">
        <f>'Reference Score Calculation'!F364</f>
        <v>Best 5</v>
      </c>
      <c r="F387" s="140"/>
      <c r="G387" s="117" t="str">
        <f>入學要求!AB373</f>
        <v>v</v>
      </c>
      <c r="H387" s="117" t="str">
        <f>入學要求!AC373</f>
        <v>E</v>
      </c>
      <c r="I387" s="117" t="str">
        <f>入學要求!AD373</f>
        <v>v</v>
      </c>
      <c r="J387" s="117">
        <f t="shared" si="693"/>
        <v>3.2999999999999998E-9</v>
      </c>
      <c r="K387" s="117">
        <v>1</v>
      </c>
      <c r="L387" s="117">
        <v>1</v>
      </c>
      <c r="M387" s="117">
        <v>1</v>
      </c>
      <c r="O387" s="117">
        <v>1</v>
      </c>
      <c r="P387" s="117">
        <v>1</v>
      </c>
      <c r="Q387" s="117">
        <v>1</v>
      </c>
      <c r="R387" s="117">
        <v>1</v>
      </c>
      <c r="S387" s="117">
        <v>1</v>
      </c>
      <c r="T387" s="117">
        <v>1</v>
      </c>
      <c r="V387" s="117">
        <f t="shared" si="694"/>
        <v>1E-10</v>
      </c>
      <c r="W387" s="117">
        <f t="shared" si="695"/>
        <v>2.0000000000000001E-10</v>
      </c>
      <c r="X387" s="117">
        <f t="shared" si="696"/>
        <v>3E-10</v>
      </c>
      <c r="Z387" s="117">
        <f t="shared" si="697"/>
        <v>0</v>
      </c>
      <c r="AA387" s="117">
        <f t="shared" si="698"/>
        <v>6E-10</v>
      </c>
      <c r="AB387" s="117">
        <f t="shared" si="699"/>
        <v>6.9999999999999996E-10</v>
      </c>
      <c r="AC387" s="117">
        <f t="shared" si="700"/>
        <v>8.0000000000000003E-10</v>
      </c>
      <c r="AD387" s="117">
        <f t="shared" si="701"/>
        <v>8.9999999999999999E-10</v>
      </c>
      <c r="AE387" s="117">
        <f t="shared" si="702"/>
        <v>0</v>
      </c>
      <c r="AF387" s="117">
        <f t="shared" si="684"/>
        <v>1E-10</v>
      </c>
      <c r="AG387" s="117">
        <f t="shared" si="685"/>
        <v>2.0000000000000001E-10</v>
      </c>
      <c r="AH387" s="117">
        <f t="shared" si="686"/>
        <v>3E-10</v>
      </c>
      <c r="AJ387" s="117">
        <f t="shared" si="687"/>
        <v>0</v>
      </c>
      <c r="AK387" s="117">
        <f t="shared" si="688"/>
        <v>6E-10</v>
      </c>
      <c r="AL387" s="117">
        <f t="shared" si="689"/>
        <v>6.9999999999999996E-10</v>
      </c>
      <c r="AM387" s="117">
        <f t="shared" si="690"/>
        <v>8.0000000000000003E-10</v>
      </c>
      <c r="AN387" s="117">
        <f t="shared" si="691"/>
        <v>8.9999999999999999E-10</v>
      </c>
      <c r="AO387" s="117">
        <f t="shared" si="692"/>
        <v>0</v>
      </c>
      <c r="AP387" s="117" t="b">
        <f t="shared" si="703"/>
        <v>0</v>
      </c>
      <c r="AQ387" s="117" t="b">
        <f t="shared" si="704"/>
        <v>0</v>
      </c>
      <c r="AR387" s="117" t="b">
        <f t="shared" si="705"/>
        <v>1</v>
      </c>
      <c r="AT387" s="117" t="b">
        <f t="shared" si="706"/>
        <v>0</v>
      </c>
      <c r="AU387" s="117" t="b">
        <f t="shared" si="707"/>
        <v>1</v>
      </c>
      <c r="AV387" s="117" t="b">
        <f t="shared" si="708"/>
        <v>1</v>
      </c>
      <c r="AW387" s="117" t="b">
        <f t="shared" si="709"/>
        <v>1</v>
      </c>
      <c r="AX387" s="117" t="b">
        <f t="shared" si="710"/>
        <v>1</v>
      </c>
      <c r="AY387" s="117" t="b">
        <f t="shared" si="711"/>
        <v>0</v>
      </c>
    </row>
    <row r="388" spans="1:72">
      <c r="A388" s="139" t="str">
        <f>'Reference Score Calculation'!B365</f>
        <v>JS9011</v>
      </c>
      <c r="B388" s="117" t="str">
        <f>'Reference Score Calculation'!B365</f>
        <v>JS9011</v>
      </c>
      <c r="C388" s="129" t="str">
        <f>'Reference Score Calculation'!E365</f>
        <v>中文榮譽文學士</v>
      </c>
      <c r="D388" s="129"/>
      <c r="E388" s="412" t="str">
        <f>'Reference Score Calculation'!F365</f>
        <v>Best 5</v>
      </c>
      <c r="F388" s="130"/>
      <c r="G388" s="117" t="str">
        <f>入學要求!AB374</f>
        <v>v</v>
      </c>
      <c r="H388" s="117" t="str">
        <f>入學要求!AC374</f>
        <v>E</v>
      </c>
      <c r="I388" s="117" t="str">
        <f>入學要求!AD374</f>
        <v>v</v>
      </c>
      <c r="J388" s="117">
        <f t="shared" si="693"/>
        <v>3.2999999999999998E-9</v>
      </c>
      <c r="K388" s="117">
        <v>2</v>
      </c>
      <c r="L388" s="117">
        <v>1</v>
      </c>
      <c r="M388" s="117">
        <v>1</v>
      </c>
      <c r="O388" s="117">
        <v>1</v>
      </c>
      <c r="P388" s="117">
        <v>1</v>
      </c>
      <c r="Q388" s="117">
        <v>1</v>
      </c>
      <c r="R388" s="117">
        <v>1</v>
      </c>
      <c r="S388" s="117">
        <v>1</v>
      </c>
      <c r="T388" s="117">
        <v>1</v>
      </c>
      <c r="V388" s="117">
        <f t="shared" si="694"/>
        <v>2.0000000000000001E-10</v>
      </c>
      <c r="W388" s="117">
        <f t="shared" si="695"/>
        <v>2.0000000000000001E-10</v>
      </c>
      <c r="X388" s="117">
        <f t="shared" si="696"/>
        <v>3E-10</v>
      </c>
      <c r="Z388" s="117">
        <f t="shared" si="697"/>
        <v>0</v>
      </c>
      <c r="AA388" s="117">
        <f t="shared" si="698"/>
        <v>6E-10</v>
      </c>
      <c r="AB388" s="117">
        <f t="shared" si="699"/>
        <v>6.9999999999999996E-10</v>
      </c>
      <c r="AC388" s="117">
        <f t="shared" si="700"/>
        <v>8.0000000000000003E-10</v>
      </c>
      <c r="AD388" s="117">
        <f t="shared" si="701"/>
        <v>8.9999999999999999E-10</v>
      </c>
      <c r="AE388" s="117">
        <f t="shared" si="702"/>
        <v>0</v>
      </c>
      <c r="AF388" s="117">
        <f t="shared" si="684"/>
        <v>2.0000000000000001E-10</v>
      </c>
      <c r="AG388" s="117">
        <f t="shared" si="685"/>
        <v>2.0000000000000001E-10</v>
      </c>
      <c r="AH388" s="117">
        <f t="shared" si="686"/>
        <v>3E-10</v>
      </c>
      <c r="AJ388" s="117">
        <f t="shared" si="687"/>
        <v>0</v>
      </c>
      <c r="AK388" s="117">
        <f t="shared" si="688"/>
        <v>6E-10</v>
      </c>
      <c r="AL388" s="117">
        <f t="shared" si="689"/>
        <v>6.9999999999999996E-10</v>
      </c>
      <c r="AM388" s="117">
        <f t="shared" si="690"/>
        <v>8.0000000000000003E-10</v>
      </c>
      <c r="AN388" s="117">
        <f t="shared" si="691"/>
        <v>8.9999999999999999E-10</v>
      </c>
      <c r="AO388" s="117">
        <f t="shared" si="692"/>
        <v>0</v>
      </c>
      <c r="AP388" s="117" t="b">
        <f t="shared" si="703"/>
        <v>0</v>
      </c>
      <c r="AQ388" s="117" t="b">
        <f t="shared" si="704"/>
        <v>0</v>
      </c>
      <c r="AR388" s="117" t="b">
        <f t="shared" si="705"/>
        <v>1</v>
      </c>
      <c r="AT388" s="117" t="b">
        <f t="shared" si="706"/>
        <v>0</v>
      </c>
      <c r="AU388" s="117" t="b">
        <f t="shared" si="707"/>
        <v>1</v>
      </c>
      <c r="AV388" s="117" t="b">
        <f t="shared" si="708"/>
        <v>1</v>
      </c>
      <c r="AW388" s="117" t="b">
        <f t="shared" si="709"/>
        <v>1</v>
      </c>
      <c r="AX388" s="117" t="b">
        <f t="shared" si="710"/>
        <v>1</v>
      </c>
      <c r="AY388" s="117" t="b">
        <f t="shared" si="711"/>
        <v>0</v>
      </c>
    </row>
    <row r="389" spans="1:72">
      <c r="A389" s="139" t="str">
        <f>'Reference Score Calculation'!B366</f>
        <v>JS9013</v>
      </c>
      <c r="B389" s="117" t="str">
        <f>'Reference Score Calculation'!B366</f>
        <v>JS9013</v>
      </c>
      <c r="C389" s="129" t="str">
        <f>'Reference Score Calculation'!E366</f>
        <v>語言研究與翻譯榮譽文學士</v>
      </c>
      <c r="D389" s="129"/>
      <c r="E389" s="412" t="str">
        <f>'Reference Score Calculation'!F366</f>
        <v>Best 5</v>
      </c>
      <c r="F389" s="130"/>
      <c r="G389" s="117" t="str">
        <f>入學要求!AB375</f>
        <v>v</v>
      </c>
      <c r="H389" s="117" t="str">
        <f>入學要求!AC375</f>
        <v>E</v>
      </c>
      <c r="I389" s="117" t="str">
        <f>入學要求!AD375</f>
        <v>v</v>
      </c>
      <c r="J389" s="117">
        <f t="shared" si="693"/>
        <v>3.0000000000000004E-9</v>
      </c>
      <c r="K389" s="117">
        <v>1.5</v>
      </c>
      <c r="L389" s="117">
        <v>1.5</v>
      </c>
      <c r="M389" s="117">
        <v>1</v>
      </c>
      <c r="O389" s="117">
        <v>1</v>
      </c>
      <c r="P389" s="117">
        <v>1</v>
      </c>
      <c r="Q389" s="117">
        <v>1</v>
      </c>
      <c r="R389" s="117">
        <v>1</v>
      </c>
      <c r="S389" s="117">
        <v>1</v>
      </c>
      <c r="T389" s="117">
        <v>1</v>
      </c>
      <c r="V389" s="117">
        <f t="shared" si="694"/>
        <v>1.5E-10</v>
      </c>
      <c r="W389" s="117">
        <f t="shared" si="695"/>
        <v>3E-10</v>
      </c>
      <c r="X389" s="117">
        <f t="shared" si="696"/>
        <v>3E-10</v>
      </c>
      <c r="Z389" s="117">
        <f t="shared" si="697"/>
        <v>0</v>
      </c>
      <c r="AA389" s="117">
        <f t="shared" si="698"/>
        <v>6E-10</v>
      </c>
      <c r="AB389" s="117">
        <f t="shared" si="699"/>
        <v>6.9999999999999996E-10</v>
      </c>
      <c r="AC389" s="117">
        <f t="shared" si="700"/>
        <v>8.0000000000000003E-10</v>
      </c>
      <c r="AD389" s="117">
        <f t="shared" si="701"/>
        <v>8.9999999999999999E-10</v>
      </c>
      <c r="AE389" s="117">
        <f t="shared" si="702"/>
        <v>0</v>
      </c>
      <c r="AF389" s="117">
        <f t="shared" si="684"/>
        <v>1.5E-10</v>
      </c>
      <c r="AG389" s="117">
        <f t="shared" si="685"/>
        <v>3E-10</v>
      </c>
      <c r="AH389" s="117">
        <f t="shared" si="686"/>
        <v>3E-10</v>
      </c>
      <c r="AJ389" s="117">
        <f t="shared" si="687"/>
        <v>0</v>
      </c>
      <c r="AK389" s="117">
        <f t="shared" si="688"/>
        <v>6E-10</v>
      </c>
      <c r="AL389" s="117">
        <f t="shared" si="689"/>
        <v>6.9999999999999996E-10</v>
      </c>
      <c r="AM389" s="117">
        <f t="shared" si="690"/>
        <v>8.0000000000000003E-10</v>
      </c>
      <c r="AN389" s="117">
        <f t="shared" si="691"/>
        <v>8.9999999999999999E-10</v>
      </c>
      <c r="AO389" s="117">
        <f t="shared" si="692"/>
        <v>0</v>
      </c>
      <c r="AP389" s="117" t="b">
        <f t="shared" si="703"/>
        <v>0</v>
      </c>
      <c r="AQ389" s="117" t="b">
        <f t="shared" si="704"/>
        <v>0</v>
      </c>
      <c r="AR389" s="117" t="b">
        <f t="shared" si="705"/>
        <v>0</v>
      </c>
      <c r="AT389" s="117" t="b">
        <f t="shared" si="706"/>
        <v>0</v>
      </c>
      <c r="AU389" s="117" t="b">
        <f t="shared" si="707"/>
        <v>1</v>
      </c>
      <c r="AV389" s="117" t="b">
        <f t="shared" si="708"/>
        <v>1</v>
      </c>
      <c r="AW389" s="117" t="b">
        <f t="shared" si="709"/>
        <v>1</v>
      </c>
      <c r="AX389" s="117" t="b">
        <f t="shared" si="710"/>
        <v>1</v>
      </c>
      <c r="AY389" s="117" t="b">
        <f t="shared" si="711"/>
        <v>0</v>
      </c>
    </row>
    <row r="390" spans="1:72">
      <c r="A390" s="139" t="str">
        <f>'Reference Score Calculation'!B367</f>
        <v>JS9016</v>
      </c>
      <c r="B390" s="117" t="str">
        <f>'Reference Score Calculation'!B367</f>
        <v>JS9016</v>
      </c>
      <c r="C390" s="129" t="str">
        <f>'Reference Score Calculation'!E367</f>
        <v>創意廣告及媒體設計榮譽文學士</v>
      </c>
      <c r="D390" s="129"/>
      <c r="E390" s="412" t="str">
        <f>'Reference Score Calculation'!F367</f>
        <v>Best 5</v>
      </c>
      <c r="F390" s="130"/>
      <c r="G390" s="117" t="str">
        <f>入學要求!AB376</f>
        <v>v</v>
      </c>
      <c r="H390" s="117" t="str">
        <f>入學要求!AC376</f>
        <v>E</v>
      </c>
      <c r="I390" s="117" t="str">
        <f>入學要求!AD376</f>
        <v>v</v>
      </c>
      <c r="J390" s="117">
        <f t="shared" si="693"/>
        <v>3.0000000000000004E-9</v>
      </c>
      <c r="K390" s="117">
        <v>1.5</v>
      </c>
      <c r="L390" s="117">
        <v>1.5</v>
      </c>
      <c r="M390" s="117">
        <v>1</v>
      </c>
      <c r="O390" s="117">
        <v>1</v>
      </c>
      <c r="P390" s="117">
        <v>1</v>
      </c>
      <c r="Q390" s="117">
        <v>1</v>
      </c>
      <c r="R390" s="117">
        <v>1</v>
      </c>
      <c r="S390" s="117">
        <v>1</v>
      </c>
      <c r="T390" s="117">
        <v>1</v>
      </c>
      <c r="V390" s="117">
        <f t="shared" si="694"/>
        <v>1.5E-10</v>
      </c>
      <c r="W390" s="117">
        <f t="shared" si="695"/>
        <v>3E-10</v>
      </c>
      <c r="X390" s="117">
        <f t="shared" si="696"/>
        <v>3E-10</v>
      </c>
      <c r="Z390" s="117">
        <f t="shared" si="697"/>
        <v>0</v>
      </c>
      <c r="AA390" s="117">
        <f t="shared" si="698"/>
        <v>6E-10</v>
      </c>
      <c r="AB390" s="117">
        <f t="shared" si="699"/>
        <v>6.9999999999999996E-10</v>
      </c>
      <c r="AC390" s="117">
        <f t="shared" si="700"/>
        <v>8.0000000000000003E-10</v>
      </c>
      <c r="AD390" s="117">
        <f t="shared" si="701"/>
        <v>8.9999999999999999E-10</v>
      </c>
      <c r="AE390" s="117">
        <f t="shared" si="702"/>
        <v>0</v>
      </c>
      <c r="AF390" s="117">
        <f t="shared" si="684"/>
        <v>1.5E-10</v>
      </c>
      <c r="AG390" s="117">
        <f t="shared" si="685"/>
        <v>3E-10</v>
      </c>
      <c r="AH390" s="117">
        <f t="shared" si="686"/>
        <v>3E-10</v>
      </c>
      <c r="AJ390" s="117">
        <f t="shared" si="687"/>
        <v>0</v>
      </c>
      <c r="AK390" s="117">
        <f t="shared" si="688"/>
        <v>6E-10</v>
      </c>
      <c r="AL390" s="117">
        <f t="shared" si="689"/>
        <v>6.9999999999999996E-10</v>
      </c>
      <c r="AM390" s="117">
        <f t="shared" si="690"/>
        <v>8.0000000000000003E-10</v>
      </c>
      <c r="AN390" s="117">
        <f t="shared" si="691"/>
        <v>8.9999999999999999E-10</v>
      </c>
      <c r="AO390" s="117">
        <f t="shared" si="692"/>
        <v>0</v>
      </c>
      <c r="AP390" s="117" t="b">
        <f t="shared" si="703"/>
        <v>0</v>
      </c>
      <c r="AQ390" s="117" t="b">
        <f t="shared" si="704"/>
        <v>0</v>
      </c>
      <c r="AR390" s="117" t="b">
        <f t="shared" si="705"/>
        <v>0</v>
      </c>
      <c r="AT390" s="117" t="b">
        <f t="shared" si="706"/>
        <v>0</v>
      </c>
      <c r="AU390" s="117" t="b">
        <f t="shared" si="707"/>
        <v>1</v>
      </c>
      <c r="AV390" s="117" t="b">
        <f t="shared" si="708"/>
        <v>1</v>
      </c>
      <c r="AW390" s="117" t="b">
        <f t="shared" si="709"/>
        <v>1</v>
      </c>
      <c r="AX390" s="117" t="b">
        <f t="shared" si="710"/>
        <v>1</v>
      </c>
      <c r="AY390" s="117" t="b">
        <f t="shared" si="711"/>
        <v>0</v>
      </c>
    </row>
    <row r="391" spans="1:72">
      <c r="A391" s="139" t="str">
        <f>'Reference Score Calculation'!B368</f>
        <v>JS9019</v>
      </c>
      <c r="B391" s="117" t="str">
        <f>'Reference Score Calculation'!B368</f>
        <v>JS9019</v>
      </c>
      <c r="C391" s="129" t="str">
        <f>'Reference Score Calculation'!E368</f>
        <v>英語及文化榮譽文學士</v>
      </c>
      <c r="D391" s="129"/>
      <c r="E391" s="412" t="str">
        <f>'Reference Score Calculation'!F368</f>
        <v>Best 5</v>
      </c>
      <c r="F391" s="117"/>
      <c r="G391" s="117" t="str">
        <f>入學要求!AB377</f>
        <v>v</v>
      </c>
      <c r="H391" s="117" t="str">
        <f>入學要求!AC377</f>
        <v>E</v>
      </c>
      <c r="I391" s="117" t="str">
        <f>入學要求!AD377</f>
        <v>v</v>
      </c>
      <c r="J391" s="117">
        <f t="shared" si="693"/>
        <v>3.2999999999999998E-9</v>
      </c>
      <c r="K391" s="117">
        <v>1</v>
      </c>
      <c r="L391" s="117">
        <v>1</v>
      </c>
      <c r="M391" s="117">
        <v>1</v>
      </c>
      <c r="O391" s="117">
        <v>1</v>
      </c>
      <c r="P391" s="117">
        <v>1</v>
      </c>
      <c r="Q391" s="117">
        <v>1</v>
      </c>
      <c r="R391" s="117">
        <v>1</v>
      </c>
      <c r="S391" s="117">
        <v>1</v>
      </c>
      <c r="T391" s="117">
        <v>1</v>
      </c>
      <c r="V391" s="117">
        <f t="shared" si="694"/>
        <v>1E-10</v>
      </c>
      <c r="W391" s="117">
        <f t="shared" si="695"/>
        <v>2.0000000000000001E-10</v>
      </c>
      <c r="X391" s="117">
        <f t="shared" si="696"/>
        <v>3E-10</v>
      </c>
      <c r="Z391" s="117">
        <f t="shared" si="697"/>
        <v>0</v>
      </c>
      <c r="AA391" s="117">
        <f t="shared" si="698"/>
        <v>6E-10</v>
      </c>
      <c r="AB391" s="117">
        <f t="shared" si="699"/>
        <v>6.9999999999999996E-10</v>
      </c>
      <c r="AC391" s="117">
        <f t="shared" si="700"/>
        <v>8.0000000000000003E-10</v>
      </c>
      <c r="AD391" s="117">
        <f t="shared" si="701"/>
        <v>8.9999999999999999E-10</v>
      </c>
      <c r="AE391" s="117">
        <f t="shared" si="702"/>
        <v>0</v>
      </c>
      <c r="AF391" s="117">
        <f t="shared" si="684"/>
        <v>1E-10</v>
      </c>
      <c r="AG391" s="117">
        <f t="shared" si="685"/>
        <v>2.0000000000000001E-10</v>
      </c>
      <c r="AH391" s="117">
        <f t="shared" si="686"/>
        <v>3E-10</v>
      </c>
      <c r="AJ391" s="117">
        <f t="shared" si="687"/>
        <v>0</v>
      </c>
      <c r="AK391" s="117">
        <f t="shared" si="688"/>
        <v>6E-10</v>
      </c>
      <c r="AL391" s="117">
        <f t="shared" si="689"/>
        <v>6.9999999999999996E-10</v>
      </c>
      <c r="AM391" s="117">
        <f t="shared" si="690"/>
        <v>8.0000000000000003E-10</v>
      </c>
      <c r="AN391" s="117">
        <f t="shared" si="691"/>
        <v>8.9999999999999999E-10</v>
      </c>
      <c r="AO391" s="117">
        <f t="shared" si="692"/>
        <v>0</v>
      </c>
      <c r="AP391" s="117" t="b">
        <f t="shared" si="703"/>
        <v>0</v>
      </c>
      <c r="AQ391" s="117" t="b">
        <f t="shared" si="704"/>
        <v>0</v>
      </c>
      <c r="AR391" s="117" t="b">
        <f t="shared" si="705"/>
        <v>1</v>
      </c>
      <c r="AT391" s="117" t="b">
        <f t="shared" si="706"/>
        <v>0</v>
      </c>
      <c r="AU391" s="117" t="b">
        <f t="shared" si="707"/>
        <v>1</v>
      </c>
      <c r="AV391" s="117" t="b">
        <f t="shared" si="708"/>
        <v>1</v>
      </c>
      <c r="AW391" s="117" t="b">
        <f t="shared" si="709"/>
        <v>1</v>
      </c>
      <c r="AX391" s="117" t="b">
        <f t="shared" si="710"/>
        <v>1</v>
      </c>
      <c r="AY391" s="117" t="b">
        <f t="shared" si="711"/>
        <v>0</v>
      </c>
    </row>
    <row r="392" spans="1:72">
      <c r="A392" s="139" t="str">
        <f>'Reference Score Calculation'!B369</f>
        <v>JS9220</v>
      </c>
      <c r="B392" s="117" t="str">
        <f>'Reference Score Calculation'!B369</f>
        <v>JS9220</v>
      </c>
      <c r="C392" s="129" t="str">
        <f>'Reference Score Calculation'!E369</f>
        <v>專業會計榮譽工商管理學士</v>
      </c>
      <c r="D392" s="129"/>
      <c r="E392" s="412" t="str">
        <f>'Reference Score Calculation'!F369</f>
        <v>Best 5</v>
      </c>
      <c r="F392" s="117"/>
      <c r="G392" s="117" t="str">
        <f>入學要求!AB378</f>
        <v>v</v>
      </c>
      <c r="H392" s="117" t="str">
        <f>入學要求!AC378</f>
        <v>E</v>
      </c>
      <c r="I392" s="117" t="str">
        <f>入學要求!AD378</f>
        <v>v</v>
      </c>
      <c r="J392" s="117">
        <f t="shared" si="693"/>
        <v>3.2999999999999998E-9</v>
      </c>
      <c r="K392" s="117">
        <v>1</v>
      </c>
      <c r="L392" s="117">
        <v>1</v>
      </c>
      <c r="M392" s="117">
        <v>1</v>
      </c>
      <c r="O392" s="117">
        <v>1</v>
      </c>
      <c r="P392" s="117">
        <v>1</v>
      </c>
      <c r="Q392" s="117">
        <v>1</v>
      </c>
      <c r="R392" s="117">
        <v>1</v>
      </c>
      <c r="S392" s="117">
        <v>1</v>
      </c>
      <c r="T392" s="117">
        <v>1</v>
      </c>
      <c r="V392" s="117">
        <f t="shared" si="694"/>
        <v>1E-10</v>
      </c>
      <c r="W392" s="117">
        <f t="shared" si="695"/>
        <v>2.0000000000000001E-10</v>
      </c>
      <c r="X392" s="117">
        <f t="shared" si="696"/>
        <v>3E-10</v>
      </c>
      <c r="Z392" s="117">
        <f t="shared" si="697"/>
        <v>0</v>
      </c>
      <c r="AA392" s="117">
        <f t="shared" si="698"/>
        <v>6E-10</v>
      </c>
      <c r="AB392" s="117">
        <f t="shared" si="699"/>
        <v>6.9999999999999996E-10</v>
      </c>
      <c r="AC392" s="117">
        <f t="shared" si="700"/>
        <v>8.0000000000000003E-10</v>
      </c>
      <c r="AD392" s="117">
        <f t="shared" si="701"/>
        <v>8.9999999999999999E-10</v>
      </c>
      <c r="AE392" s="117">
        <f t="shared" si="702"/>
        <v>0</v>
      </c>
      <c r="AF392" s="117">
        <f t="shared" si="684"/>
        <v>1E-10</v>
      </c>
      <c r="AG392" s="117">
        <f t="shared" si="685"/>
        <v>2.0000000000000001E-10</v>
      </c>
      <c r="AH392" s="117">
        <f t="shared" si="686"/>
        <v>3E-10</v>
      </c>
      <c r="AJ392" s="117">
        <f t="shared" si="687"/>
        <v>0</v>
      </c>
      <c r="AK392" s="117">
        <f t="shared" si="688"/>
        <v>6E-10</v>
      </c>
      <c r="AL392" s="117">
        <f t="shared" si="689"/>
        <v>6.9999999999999996E-10</v>
      </c>
      <c r="AM392" s="117">
        <f t="shared" si="690"/>
        <v>8.0000000000000003E-10</v>
      </c>
      <c r="AN392" s="117">
        <f t="shared" si="691"/>
        <v>8.9999999999999999E-10</v>
      </c>
      <c r="AO392" s="117">
        <f t="shared" si="692"/>
        <v>0</v>
      </c>
      <c r="AP392" s="117" t="b">
        <f t="shared" si="703"/>
        <v>0</v>
      </c>
      <c r="AQ392" s="117" t="b">
        <f t="shared" si="704"/>
        <v>0</v>
      </c>
      <c r="AR392" s="117" t="b">
        <f t="shared" si="705"/>
        <v>1</v>
      </c>
      <c r="AT392" s="117" t="b">
        <f t="shared" si="706"/>
        <v>0</v>
      </c>
      <c r="AU392" s="117" t="b">
        <f t="shared" si="707"/>
        <v>1</v>
      </c>
      <c r="AV392" s="117" t="b">
        <f t="shared" si="708"/>
        <v>1</v>
      </c>
      <c r="AW392" s="117" t="b">
        <f t="shared" si="709"/>
        <v>1</v>
      </c>
      <c r="AX392" s="117" t="b">
        <f t="shared" si="710"/>
        <v>1</v>
      </c>
      <c r="AY392" s="117" t="b">
        <f t="shared" si="711"/>
        <v>0</v>
      </c>
    </row>
    <row r="393" spans="1:72">
      <c r="A393" s="139" t="str">
        <f>'Reference Score Calculation'!B370</f>
        <v>JS9230</v>
      </c>
      <c r="B393" s="117" t="str">
        <f>'Reference Score Calculation'!B370</f>
        <v>JS9230</v>
      </c>
      <c r="C393" s="129" t="str">
        <f>'Reference Score Calculation'!E370</f>
        <v>商業管理學榮譽工商管理學士</v>
      </c>
      <c r="D393" s="129"/>
      <c r="E393" s="412" t="str">
        <f>'Reference Score Calculation'!F370</f>
        <v>Best 5</v>
      </c>
      <c r="F393" s="117"/>
      <c r="G393" s="117" t="str">
        <f>入學要求!AB379</f>
        <v>v</v>
      </c>
      <c r="H393" s="117" t="str">
        <f>入學要求!AC379</f>
        <v>E</v>
      </c>
      <c r="I393" s="117" t="str">
        <f>入學要求!AD379</f>
        <v>v</v>
      </c>
      <c r="J393" s="117">
        <f t="shared" si="693"/>
        <v>3.2999999999999998E-9</v>
      </c>
      <c r="K393" s="117">
        <v>1</v>
      </c>
      <c r="L393" s="117">
        <v>1</v>
      </c>
      <c r="M393" s="117">
        <v>1</v>
      </c>
      <c r="O393" s="117">
        <v>1</v>
      </c>
      <c r="P393" s="117">
        <v>1</v>
      </c>
      <c r="Q393" s="117">
        <v>1</v>
      </c>
      <c r="R393" s="117">
        <v>1</v>
      </c>
      <c r="S393" s="117">
        <v>1</v>
      </c>
      <c r="T393" s="117">
        <v>1</v>
      </c>
      <c r="V393" s="117">
        <f t="shared" si="694"/>
        <v>1E-10</v>
      </c>
      <c r="W393" s="117">
        <f t="shared" si="695"/>
        <v>2.0000000000000001E-10</v>
      </c>
      <c r="X393" s="117">
        <f t="shared" si="696"/>
        <v>3E-10</v>
      </c>
      <c r="Z393" s="117">
        <f t="shared" si="697"/>
        <v>0</v>
      </c>
      <c r="AA393" s="117">
        <f t="shared" si="698"/>
        <v>6E-10</v>
      </c>
      <c r="AB393" s="117">
        <f t="shared" si="699"/>
        <v>6.9999999999999996E-10</v>
      </c>
      <c r="AC393" s="117">
        <f t="shared" si="700"/>
        <v>8.0000000000000003E-10</v>
      </c>
      <c r="AD393" s="117">
        <f t="shared" si="701"/>
        <v>8.9999999999999999E-10</v>
      </c>
      <c r="AE393" s="117">
        <f t="shared" si="702"/>
        <v>0</v>
      </c>
      <c r="AF393" s="117">
        <f t="shared" si="684"/>
        <v>1E-10</v>
      </c>
      <c r="AG393" s="117">
        <f t="shared" si="685"/>
        <v>2.0000000000000001E-10</v>
      </c>
      <c r="AH393" s="117">
        <f t="shared" si="686"/>
        <v>3E-10</v>
      </c>
      <c r="AJ393" s="117">
        <f t="shared" si="687"/>
        <v>0</v>
      </c>
      <c r="AK393" s="117">
        <f t="shared" si="688"/>
        <v>6E-10</v>
      </c>
      <c r="AL393" s="117">
        <f t="shared" si="689"/>
        <v>6.9999999999999996E-10</v>
      </c>
      <c r="AM393" s="117">
        <f t="shared" si="690"/>
        <v>8.0000000000000003E-10</v>
      </c>
      <c r="AN393" s="117">
        <f t="shared" si="691"/>
        <v>8.9999999999999999E-10</v>
      </c>
      <c r="AO393" s="117">
        <f t="shared" si="692"/>
        <v>0</v>
      </c>
      <c r="AP393" s="117" t="b">
        <f t="shared" si="703"/>
        <v>0</v>
      </c>
      <c r="AQ393" s="117" t="b">
        <f t="shared" si="704"/>
        <v>0</v>
      </c>
      <c r="AR393" s="117" t="b">
        <f t="shared" si="705"/>
        <v>1</v>
      </c>
      <c r="AT393" s="117" t="b">
        <f t="shared" si="706"/>
        <v>0</v>
      </c>
      <c r="AU393" s="117" t="b">
        <f t="shared" si="707"/>
        <v>1</v>
      </c>
      <c r="AV393" s="117" t="b">
        <f t="shared" si="708"/>
        <v>1</v>
      </c>
      <c r="AW393" s="117" t="b">
        <f t="shared" si="709"/>
        <v>1</v>
      </c>
      <c r="AX393" s="117" t="b">
        <f t="shared" si="710"/>
        <v>1</v>
      </c>
      <c r="AY393" s="117" t="b">
        <f t="shared" si="711"/>
        <v>0</v>
      </c>
    </row>
    <row r="394" spans="1:72">
      <c r="A394" s="139" t="str">
        <f>'Reference Score Calculation'!B371</f>
        <v>JS9240</v>
      </c>
      <c r="B394" s="117" t="str">
        <f>'Reference Score Calculation'!B371</f>
        <v>JS9240</v>
      </c>
      <c r="C394" s="129" t="str">
        <f>'Reference Score Calculation'!E371</f>
        <v>環球商業及市場學榮譽工商管理學士</v>
      </c>
      <c r="D394" s="129"/>
      <c r="E394" s="412" t="str">
        <f>'Reference Score Calculation'!F371</f>
        <v>Best 5</v>
      </c>
      <c r="F394" s="117"/>
      <c r="G394" s="117" t="str">
        <f>入學要求!AB380</f>
        <v>v</v>
      </c>
      <c r="H394" s="117" t="str">
        <f>入學要求!AC380</f>
        <v>E</v>
      </c>
      <c r="I394" s="117" t="str">
        <f>入學要求!AD380</f>
        <v>v</v>
      </c>
      <c r="J394" s="117">
        <f t="shared" si="693"/>
        <v>3.2999999999999998E-9</v>
      </c>
      <c r="K394" s="117">
        <v>1</v>
      </c>
      <c r="L394" s="117">
        <v>1</v>
      </c>
      <c r="M394" s="117">
        <v>1</v>
      </c>
      <c r="O394" s="117">
        <v>1</v>
      </c>
      <c r="P394" s="117">
        <v>1</v>
      </c>
      <c r="Q394" s="117">
        <v>1</v>
      </c>
      <c r="R394" s="117">
        <v>1</v>
      </c>
      <c r="S394" s="117">
        <v>1</v>
      </c>
      <c r="T394" s="117">
        <v>1</v>
      </c>
      <c r="V394" s="117">
        <f t="shared" si="694"/>
        <v>1E-10</v>
      </c>
      <c r="W394" s="117">
        <f t="shared" si="695"/>
        <v>2.0000000000000001E-10</v>
      </c>
      <c r="X394" s="117">
        <f t="shared" si="696"/>
        <v>3E-10</v>
      </c>
      <c r="Z394" s="117">
        <f t="shared" si="697"/>
        <v>0</v>
      </c>
      <c r="AA394" s="117">
        <f t="shared" si="698"/>
        <v>6E-10</v>
      </c>
      <c r="AB394" s="117">
        <f t="shared" si="699"/>
        <v>6.9999999999999996E-10</v>
      </c>
      <c r="AC394" s="117">
        <f t="shared" si="700"/>
        <v>8.0000000000000003E-10</v>
      </c>
      <c r="AD394" s="117">
        <f t="shared" si="701"/>
        <v>8.9999999999999999E-10</v>
      </c>
      <c r="AE394" s="117">
        <f t="shared" si="702"/>
        <v>0</v>
      </c>
      <c r="AF394" s="117">
        <f t="shared" si="684"/>
        <v>1E-10</v>
      </c>
      <c r="AG394" s="117">
        <f t="shared" si="685"/>
        <v>2.0000000000000001E-10</v>
      </c>
      <c r="AH394" s="117">
        <f t="shared" si="686"/>
        <v>3E-10</v>
      </c>
      <c r="AJ394" s="117">
        <f t="shared" si="687"/>
        <v>0</v>
      </c>
      <c r="AK394" s="117">
        <f t="shared" si="688"/>
        <v>6E-10</v>
      </c>
      <c r="AL394" s="117">
        <f t="shared" si="689"/>
        <v>6.9999999999999996E-10</v>
      </c>
      <c r="AM394" s="117">
        <f t="shared" si="690"/>
        <v>8.0000000000000003E-10</v>
      </c>
      <c r="AN394" s="117">
        <f t="shared" si="691"/>
        <v>8.9999999999999999E-10</v>
      </c>
      <c r="AO394" s="117">
        <f t="shared" si="692"/>
        <v>0</v>
      </c>
      <c r="AP394" s="117" t="b">
        <f t="shared" si="703"/>
        <v>0</v>
      </c>
      <c r="AQ394" s="117" t="b">
        <f t="shared" si="704"/>
        <v>0</v>
      </c>
      <c r="AR394" s="117" t="b">
        <f t="shared" si="705"/>
        <v>1</v>
      </c>
      <c r="AT394" s="117" t="b">
        <f t="shared" si="706"/>
        <v>0</v>
      </c>
      <c r="AU394" s="117" t="b">
        <f t="shared" si="707"/>
        <v>1</v>
      </c>
      <c r="AV394" s="117" t="b">
        <f t="shared" si="708"/>
        <v>1</v>
      </c>
      <c r="AW394" s="117" t="b">
        <f t="shared" si="709"/>
        <v>1</v>
      </c>
      <c r="AX394" s="117" t="b">
        <f t="shared" si="710"/>
        <v>1</v>
      </c>
      <c r="AY394" s="117" t="b">
        <f t="shared" si="711"/>
        <v>0</v>
      </c>
    </row>
    <row r="395" spans="1:72">
      <c r="A395" s="139" t="str">
        <f>'Reference Score Calculation'!B372</f>
        <v>JS9262</v>
      </c>
      <c r="B395" s="117" t="str">
        <f>'Reference Score Calculation'!B372</f>
        <v>JS9262</v>
      </c>
      <c r="C395" s="129" t="str">
        <f>'Reference Score Calculation'!E372</f>
        <v>人力資源管理學榮譽工商管理學士</v>
      </c>
      <c r="D395" s="129"/>
      <c r="E395" s="412" t="str">
        <f>'Reference Score Calculation'!F372</f>
        <v>Best 5</v>
      </c>
      <c r="F395" s="140"/>
      <c r="G395" s="117" t="str">
        <f>入學要求!AB381</f>
        <v>v</v>
      </c>
      <c r="H395" s="117" t="str">
        <f>入學要求!AC381</f>
        <v>E</v>
      </c>
      <c r="I395" s="117" t="str">
        <f>入學要求!AD381</f>
        <v>v</v>
      </c>
      <c r="J395" s="117">
        <f t="shared" si="693"/>
        <v>3.2999999999999998E-9</v>
      </c>
      <c r="K395" s="117">
        <v>1</v>
      </c>
      <c r="L395" s="117">
        <v>1</v>
      </c>
      <c r="M395" s="117">
        <v>1</v>
      </c>
      <c r="O395" s="117">
        <v>1</v>
      </c>
      <c r="P395" s="117">
        <v>1</v>
      </c>
      <c r="Q395" s="117">
        <v>1</v>
      </c>
      <c r="R395" s="117">
        <v>1</v>
      </c>
      <c r="S395" s="117">
        <v>1</v>
      </c>
      <c r="T395" s="117">
        <v>1</v>
      </c>
      <c r="V395" s="117">
        <f t="shared" si="694"/>
        <v>1E-10</v>
      </c>
      <c r="W395" s="117">
        <f t="shared" si="695"/>
        <v>2.0000000000000001E-10</v>
      </c>
      <c r="X395" s="117">
        <f t="shared" si="696"/>
        <v>3E-10</v>
      </c>
      <c r="Z395" s="117">
        <f t="shared" si="697"/>
        <v>0</v>
      </c>
      <c r="AA395" s="117">
        <f t="shared" si="698"/>
        <v>6E-10</v>
      </c>
      <c r="AB395" s="117">
        <f t="shared" si="699"/>
        <v>6.9999999999999996E-10</v>
      </c>
      <c r="AC395" s="117">
        <f t="shared" si="700"/>
        <v>8.0000000000000003E-10</v>
      </c>
      <c r="AD395" s="117">
        <f t="shared" si="701"/>
        <v>8.9999999999999999E-10</v>
      </c>
      <c r="AE395" s="117">
        <f t="shared" si="702"/>
        <v>0</v>
      </c>
      <c r="AF395" s="117">
        <f t="shared" si="684"/>
        <v>1E-10</v>
      </c>
      <c r="AG395" s="117">
        <f t="shared" si="685"/>
        <v>2.0000000000000001E-10</v>
      </c>
      <c r="AH395" s="117">
        <f t="shared" si="686"/>
        <v>3E-10</v>
      </c>
      <c r="AJ395" s="117">
        <f t="shared" si="687"/>
        <v>0</v>
      </c>
      <c r="AK395" s="117">
        <f t="shared" si="688"/>
        <v>6E-10</v>
      </c>
      <c r="AL395" s="117">
        <f t="shared" si="689"/>
        <v>6.9999999999999996E-10</v>
      </c>
      <c r="AM395" s="117">
        <f t="shared" si="690"/>
        <v>8.0000000000000003E-10</v>
      </c>
      <c r="AN395" s="117">
        <f t="shared" si="691"/>
        <v>8.9999999999999999E-10</v>
      </c>
      <c r="AO395" s="117">
        <f t="shared" si="692"/>
        <v>0</v>
      </c>
      <c r="AP395" s="117" t="b">
        <f t="shared" si="703"/>
        <v>0</v>
      </c>
      <c r="AQ395" s="117" t="b">
        <f t="shared" si="704"/>
        <v>0</v>
      </c>
      <c r="AR395" s="117" t="b">
        <f t="shared" si="705"/>
        <v>1</v>
      </c>
      <c r="AT395" s="117" t="b">
        <f t="shared" si="706"/>
        <v>0</v>
      </c>
      <c r="AU395" s="117" t="b">
        <f t="shared" si="707"/>
        <v>1</v>
      </c>
      <c r="AV395" s="117" t="b">
        <f t="shared" si="708"/>
        <v>1</v>
      </c>
      <c r="AW395" s="117" t="b">
        <f t="shared" si="709"/>
        <v>1</v>
      </c>
      <c r="AX395" s="117" t="b">
        <f t="shared" si="710"/>
        <v>1</v>
      </c>
      <c r="AY395" s="117" t="b">
        <f t="shared" si="711"/>
        <v>0</v>
      </c>
    </row>
    <row r="396" spans="1:72">
      <c r="A396" s="139" t="str">
        <f>'Reference Score Calculation'!B373</f>
        <v>JS9266</v>
      </c>
      <c r="B396" s="117" t="str">
        <f>'Reference Score Calculation'!B373</f>
        <v>JS9266</v>
      </c>
      <c r="C396" s="129" t="str">
        <f>'Reference Score Calculation'!E373</f>
        <v>市場學榮譽工商管理學士</v>
      </c>
      <c r="D396" s="129"/>
      <c r="E396" s="412" t="str">
        <f>'Reference Score Calculation'!F373</f>
        <v>Best 5</v>
      </c>
      <c r="F396" s="140"/>
      <c r="G396" s="117" t="str">
        <f>入學要求!AB382</f>
        <v>v</v>
      </c>
      <c r="H396" s="117" t="str">
        <f>入學要求!AC382</f>
        <v>E</v>
      </c>
      <c r="I396" s="117" t="str">
        <f>入學要求!AD382</f>
        <v>v</v>
      </c>
      <c r="J396" s="117">
        <f t="shared" si="693"/>
        <v>3.2999999999999998E-9</v>
      </c>
      <c r="K396" s="117">
        <v>1</v>
      </c>
      <c r="L396" s="117">
        <v>1</v>
      </c>
      <c r="M396" s="117">
        <v>1</v>
      </c>
      <c r="O396" s="117">
        <v>1</v>
      </c>
      <c r="P396" s="117">
        <v>1</v>
      </c>
      <c r="Q396" s="117">
        <v>1</v>
      </c>
      <c r="R396" s="117">
        <v>1</v>
      </c>
      <c r="S396" s="117">
        <v>1</v>
      </c>
      <c r="T396" s="117">
        <v>1</v>
      </c>
      <c r="V396" s="117">
        <f t="shared" si="694"/>
        <v>1E-10</v>
      </c>
      <c r="W396" s="117">
        <f t="shared" si="695"/>
        <v>2.0000000000000001E-10</v>
      </c>
      <c r="X396" s="117">
        <f t="shared" si="696"/>
        <v>3E-10</v>
      </c>
      <c r="Z396" s="117">
        <f t="shared" si="697"/>
        <v>0</v>
      </c>
      <c r="AA396" s="117">
        <f t="shared" si="698"/>
        <v>6E-10</v>
      </c>
      <c r="AB396" s="117">
        <f t="shared" si="699"/>
        <v>6.9999999999999996E-10</v>
      </c>
      <c r="AC396" s="117">
        <f t="shared" si="700"/>
        <v>8.0000000000000003E-10</v>
      </c>
      <c r="AD396" s="117">
        <f t="shared" si="701"/>
        <v>8.9999999999999999E-10</v>
      </c>
      <c r="AE396" s="117">
        <f t="shared" si="702"/>
        <v>0</v>
      </c>
      <c r="AF396" s="117">
        <f t="shared" si="684"/>
        <v>1E-10</v>
      </c>
      <c r="AG396" s="117">
        <f t="shared" si="685"/>
        <v>2.0000000000000001E-10</v>
      </c>
      <c r="AH396" s="117">
        <f t="shared" si="686"/>
        <v>3E-10</v>
      </c>
      <c r="AJ396" s="117">
        <f t="shared" si="687"/>
        <v>0</v>
      </c>
      <c r="AK396" s="117">
        <f t="shared" si="688"/>
        <v>6E-10</v>
      </c>
      <c r="AL396" s="117">
        <f t="shared" si="689"/>
        <v>6.9999999999999996E-10</v>
      </c>
      <c r="AM396" s="117">
        <f t="shared" si="690"/>
        <v>8.0000000000000003E-10</v>
      </c>
      <c r="AN396" s="117">
        <f t="shared" si="691"/>
        <v>8.9999999999999999E-10</v>
      </c>
      <c r="AO396" s="117">
        <f t="shared" si="692"/>
        <v>0</v>
      </c>
      <c r="AP396" s="117" t="b">
        <f t="shared" si="703"/>
        <v>0</v>
      </c>
      <c r="AQ396" s="117" t="b">
        <f t="shared" si="704"/>
        <v>0</v>
      </c>
      <c r="AR396" s="117" t="b">
        <f t="shared" si="705"/>
        <v>1</v>
      </c>
      <c r="AT396" s="117" t="b">
        <f t="shared" si="706"/>
        <v>0</v>
      </c>
      <c r="AU396" s="117" t="b">
        <f t="shared" si="707"/>
        <v>1</v>
      </c>
      <c r="AV396" s="117" t="b">
        <f t="shared" si="708"/>
        <v>1</v>
      </c>
      <c r="AW396" s="117" t="b">
        <f t="shared" si="709"/>
        <v>1</v>
      </c>
      <c r="AX396" s="117" t="b">
        <f t="shared" si="710"/>
        <v>1</v>
      </c>
      <c r="AY396" s="117" t="b">
        <f t="shared" si="711"/>
        <v>0</v>
      </c>
    </row>
    <row r="397" spans="1:72">
      <c r="A397" s="139" t="str">
        <f>'Reference Score Calculation'!B374</f>
        <v>JS9276</v>
      </c>
      <c r="B397" s="117" t="str">
        <f>'Reference Score Calculation'!B374</f>
        <v>JS9276</v>
      </c>
      <c r="C397" s="129" t="str">
        <f>'Reference Score Calculation'!E374</f>
        <v>房地產及測量學榮譽工商管理學士</v>
      </c>
      <c r="D397" s="129"/>
      <c r="E397" s="412" t="str">
        <f>'Reference Score Calculation'!F374</f>
        <v>25年新科目</v>
      </c>
      <c r="F397" s="140"/>
      <c r="G397" s="117" t="str">
        <f>入學要求!AB383</f>
        <v>v</v>
      </c>
      <c r="H397" s="117" t="str">
        <f>入學要求!AC383</f>
        <v>E</v>
      </c>
      <c r="I397" s="117" t="str">
        <f>入學要求!AD383</f>
        <v>v</v>
      </c>
      <c r="J397" s="117">
        <f t="shared" ref="J397" si="712">SUMIF(AP397:AY397,TRUE,V397:AE397)</f>
        <v>3.2999999999999998E-9</v>
      </c>
      <c r="K397" s="117">
        <v>1</v>
      </c>
      <c r="L397" s="117">
        <v>1</v>
      </c>
      <c r="M397" s="117">
        <v>1</v>
      </c>
      <c r="O397" s="117">
        <v>1</v>
      </c>
      <c r="P397" s="117">
        <v>1</v>
      </c>
      <c r="Q397" s="117">
        <v>1</v>
      </c>
      <c r="R397" s="117">
        <v>1</v>
      </c>
      <c r="S397" s="117">
        <v>1</v>
      </c>
      <c r="T397" s="117">
        <v>1</v>
      </c>
      <c r="V397" s="117">
        <f t="shared" si="694"/>
        <v>1E-10</v>
      </c>
      <c r="W397" s="117">
        <f t="shared" si="695"/>
        <v>2.0000000000000001E-10</v>
      </c>
      <c r="X397" s="117">
        <f t="shared" si="696"/>
        <v>3E-10</v>
      </c>
      <c r="Z397" s="117">
        <f t="shared" si="697"/>
        <v>0</v>
      </c>
      <c r="AA397" s="117">
        <f t="shared" si="698"/>
        <v>6E-10</v>
      </c>
      <c r="AB397" s="117">
        <f t="shared" si="699"/>
        <v>6.9999999999999996E-10</v>
      </c>
      <c r="AC397" s="117">
        <f t="shared" si="700"/>
        <v>8.0000000000000003E-10</v>
      </c>
      <c r="AD397" s="117">
        <f t="shared" si="701"/>
        <v>8.9999999999999999E-10</v>
      </c>
      <c r="AE397" s="117">
        <f t="shared" si="702"/>
        <v>0</v>
      </c>
      <c r="AF397" s="117">
        <f t="shared" ref="AF397" si="713">V397</f>
        <v>1E-10</v>
      </c>
      <c r="AG397" s="117">
        <f t="shared" ref="AG397" si="714">W397</f>
        <v>2.0000000000000001E-10</v>
      </c>
      <c r="AH397" s="117">
        <f t="shared" ref="AH397" si="715">X397</f>
        <v>3E-10</v>
      </c>
      <c r="AJ397" s="117">
        <f t="shared" ref="AJ397" si="716">Z397</f>
        <v>0</v>
      </c>
      <c r="AK397" s="117">
        <f t="shared" ref="AK397" si="717">AA397</f>
        <v>6E-10</v>
      </c>
      <c r="AL397" s="117">
        <f t="shared" ref="AL397" si="718">AB397</f>
        <v>6.9999999999999996E-10</v>
      </c>
      <c r="AM397" s="117">
        <f t="shared" ref="AM397" si="719">AC397</f>
        <v>8.0000000000000003E-10</v>
      </c>
      <c r="AN397" s="117">
        <f t="shared" ref="AN397" si="720">AD397</f>
        <v>8.9999999999999999E-10</v>
      </c>
      <c r="AO397" s="117">
        <f t="shared" ref="AO397" si="721">AE397</f>
        <v>0</v>
      </c>
      <c r="AP397" s="117" t="b">
        <f t="shared" si="703"/>
        <v>0</v>
      </c>
      <c r="AQ397" s="117" t="b">
        <f t="shared" si="704"/>
        <v>0</v>
      </c>
      <c r="AR397" s="117" t="b">
        <f t="shared" si="705"/>
        <v>1</v>
      </c>
      <c r="AT397" s="117" t="b">
        <f t="shared" si="706"/>
        <v>0</v>
      </c>
      <c r="AU397" s="117" t="b">
        <f t="shared" si="707"/>
        <v>1</v>
      </c>
      <c r="AV397" s="117" t="b">
        <f t="shared" si="708"/>
        <v>1</v>
      </c>
      <c r="AW397" s="117" t="b">
        <f t="shared" si="709"/>
        <v>1</v>
      </c>
      <c r="AX397" s="117" t="b">
        <f t="shared" si="710"/>
        <v>1</v>
      </c>
      <c r="AY397" s="117" t="b">
        <f t="shared" si="711"/>
        <v>0</v>
      </c>
    </row>
    <row r="398" spans="1:72">
      <c r="A398" s="139" t="str">
        <f>'Reference Score Calculation'!B375</f>
        <v>JS9280</v>
      </c>
      <c r="B398" s="117" t="str">
        <f>'Reference Score Calculation'!B375</f>
        <v>JS9280</v>
      </c>
      <c r="C398" s="129" t="str">
        <f>'Reference Score Calculation'!E375</f>
        <v>應用心理學榮譽學士，商業管理榮譽學士</v>
      </c>
      <c r="D398" s="129"/>
      <c r="E398" s="412" t="str">
        <f>'Reference Score Calculation'!F375</f>
        <v>Best 5</v>
      </c>
      <c r="F398" s="117"/>
      <c r="G398" s="117" t="str">
        <f>入學要求!AB384</f>
        <v>v</v>
      </c>
      <c r="H398" s="117" t="str">
        <f>入學要求!AC384</f>
        <v>E</v>
      </c>
      <c r="I398" s="117" t="str">
        <f>入學要求!AD384</f>
        <v>v</v>
      </c>
      <c r="J398" s="117">
        <f t="shared" si="693"/>
        <v>3.2999999999999998E-9</v>
      </c>
      <c r="K398" s="117">
        <v>1</v>
      </c>
      <c r="L398" s="117">
        <v>1</v>
      </c>
      <c r="M398" s="117">
        <v>1</v>
      </c>
      <c r="O398" s="117">
        <v>1</v>
      </c>
      <c r="P398" s="117">
        <v>1</v>
      </c>
      <c r="Q398" s="117">
        <v>1</v>
      </c>
      <c r="R398" s="117">
        <v>1</v>
      </c>
      <c r="S398" s="117">
        <v>1</v>
      </c>
      <c r="T398" s="117">
        <v>1</v>
      </c>
      <c r="V398" s="117">
        <f t="shared" si="694"/>
        <v>1E-10</v>
      </c>
      <c r="W398" s="117">
        <f t="shared" si="695"/>
        <v>2.0000000000000001E-10</v>
      </c>
      <c r="X398" s="117">
        <f t="shared" si="696"/>
        <v>3E-10</v>
      </c>
      <c r="Z398" s="117">
        <f t="shared" si="697"/>
        <v>0</v>
      </c>
      <c r="AA398" s="117">
        <f t="shared" si="698"/>
        <v>6E-10</v>
      </c>
      <c r="AB398" s="117">
        <f t="shared" si="699"/>
        <v>6.9999999999999996E-10</v>
      </c>
      <c r="AC398" s="117">
        <f t="shared" si="700"/>
        <v>8.0000000000000003E-10</v>
      </c>
      <c r="AD398" s="117">
        <f t="shared" si="701"/>
        <v>8.9999999999999999E-10</v>
      </c>
      <c r="AE398" s="117">
        <f t="shared" si="702"/>
        <v>0</v>
      </c>
      <c r="AF398" s="117">
        <f t="shared" si="684"/>
        <v>1E-10</v>
      </c>
      <c r="AG398" s="117">
        <f t="shared" si="685"/>
        <v>2.0000000000000001E-10</v>
      </c>
      <c r="AH398" s="117">
        <f t="shared" si="686"/>
        <v>3E-10</v>
      </c>
      <c r="AJ398" s="117">
        <f t="shared" si="687"/>
        <v>0</v>
      </c>
      <c r="AK398" s="117">
        <f t="shared" si="688"/>
        <v>6E-10</v>
      </c>
      <c r="AL398" s="117">
        <f t="shared" si="689"/>
        <v>6.9999999999999996E-10</v>
      </c>
      <c r="AM398" s="117">
        <f t="shared" si="690"/>
        <v>8.0000000000000003E-10</v>
      </c>
      <c r="AN398" s="117">
        <f t="shared" si="691"/>
        <v>8.9999999999999999E-10</v>
      </c>
      <c r="AO398" s="117">
        <f t="shared" si="692"/>
        <v>0</v>
      </c>
      <c r="AP398" s="117" t="b">
        <f t="shared" si="703"/>
        <v>0</v>
      </c>
      <c r="AQ398" s="117" t="b">
        <f t="shared" si="704"/>
        <v>0</v>
      </c>
      <c r="AR398" s="117" t="b">
        <f t="shared" si="705"/>
        <v>1</v>
      </c>
      <c r="AT398" s="117" t="b">
        <f t="shared" si="706"/>
        <v>0</v>
      </c>
      <c r="AU398" s="117" t="b">
        <f t="shared" si="707"/>
        <v>1</v>
      </c>
      <c r="AV398" s="117" t="b">
        <f t="shared" si="708"/>
        <v>1</v>
      </c>
      <c r="AW398" s="117" t="b">
        <f t="shared" si="709"/>
        <v>1</v>
      </c>
      <c r="AX398" s="117" t="b">
        <f t="shared" si="710"/>
        <v>1</v>
      </c>
      <c r="AY398" s="117" t="b">
        <f t="shared" si="711"/>
        <v>0</v>
      </c>
    </row>
    <row r="399" spans="1:72">
      <c r="A399" s="139" t="str">
        <f>'Reference Score Calculation'!B376</f>
        <v>JS9291</v>
      </c>
      <c r="B399" s="117" t="str">
        <f>'Reference Score Calculation'!B376</f>
        <v>JS9291</v>
      </c>
      <c r="C399" s="129" t="str">
        <f>'Reference Score Calculation'!E376</f>
        <v>酒店及可持續旅遊管理榮譽工商管理學士</v>
      </c>
      <c r="D399" s="129"/>
      <c r="E399" s="412" t="str">
        <f>'Reference Score Calculation'!F376</f>
        <v>Best 5</v>
      </c>
      <c r="F399" s="117"/>
      <c r="G399" s="117" t="str">
        <f>入學要求!AB385</f>
        <v>v</v>
      </c>
      <c r="H399" s="117" t="str">
        <f>入學要求!AC385</f>
        <v>E</v>
      </c>
      <c r="I399" s="117" t="str">
        <f>入學要求!AD385</f>
        <v>v</v>
      </c>
      <c r="J399" s="117">
        <f t="shared" si="693"/>
        <v>3.2999999999999998E-9</v>
      </c>
      <c r="K399" s="117">
        <v>1</v>
      </c>
      <c r="L399" s="117">
        <v>1</v>
      </c>
      <c r="M399" s="117">
        <v>1</v>
      </c>
      <c r="O399" s="117">
        <v>1</v>
      </c>
      <c r="P399" s="117">
        <v>1</v>
      </c>
      <c r="Q399" s="117">
        <v>1</v>
      </c>
      <c r="R399" s="117">
        <v>1</v>
      </c>
      <c r="S399" s="117">
        <v>1</v>
      </c>
      <c r="T399" s="117">
        <v>1</v>
      </c>
      <c r="V399" s="117">
        <f t="shared" si="694"/>
        <v>1E-10</v>
      </c>
      <c r="W399" s="117">
        <f t="shared" si="695"/>
        <v>2.0000000000000001E-10</v>
      </c>
      <c r="X399" s="117">
        <f t="shared" si="696"/>
        <v>3E-10</v>
      </c>
      <c r="Z399" s="117">
        <f t="shared" si="697"/>
        <v>0</v>
      </c>
      <c r="AA399" s="117">
        <f t="shared" si="698"/>
        <v>6E-10</v>
      </c>
      <c r="AB399" s="117">
        <f t="shared" si="699"/>
        <v>6.9999999999999996E-10</v>
      </c>
      <c r="AC399" s="117">
        <f t="shared" si="700"/>
        <v>8.0000000000000003E-10</v>
      </c>
      <c r="AD399" s="117">
        <f t="shared" si="701"/>
        <v>8.9999999999999999E-10</v>
      </c>
      <c r="AE399" s="117">
        <f t="shared" si="702"/>
        <v>0</v>
      </c>
      <c r="AF399" s="117">
        <f t="shared" si="684"/>
        <v>1E-10</v>
      </c>
      <c r="AG399" s="117">
        <f t="shared" si="685"/>
        <v>2.0000000000000001E-10</v>
      </c>
      <c r="AH399" s="117">
        <f t="shared" si="686"/>
        <v>3E-10</v>
      </c>
      <c r="AJ399" s="117">
        <f t="shared" si="687"/>
        <v>0</v>
      </c>
      <c r="AK399" s="117">
        <f t="shared" si="688"/>
        <v>6E-10</v>
      </c>
      <c r="AL399" s="117">
        <f t="shared" si="689"/>
        <v>6.9999999999999996E-10</v>
      </c>
      <c r="AM399" s="117">
        <f t="shared" si="690"/>
        <v>8.0000000000000003E-10</v>
      </c>
      <c r="AN399" s="117">
        <f t="shared" si="691"/>
        <v>8.9999999999999999E-10</v>
      </c>
      <c r="AO399" s="117">
        <f t="shared" si="692"/>
        <v>0</v>
      </c>
      <c r="AP399" s="117" t="b">
        <f t="shared" si="703"/>
        <v>0</v>
      </c>
      <c r="AQ399" s="117" t="b">
        <f t="shared" si="704"/>
        <v>0</v>
      </c>
      <c r="AR399" s="117" t="b">
        <f t="shared" si="705"/>
        <v>1</v>
      </c>
      <c r="AT399" s="117" t="b">
        <f t="shared" si="706"/>
        <v>0</v>
      </c>
      <c r="AU399" s="117" t="b">
        <f t="shared" si="707"/>
        <v>1</v>
      </c>
      <c r="AV399" s="117" t="b">
        <f t="shared" si="708"/>
        <v>1</v>
      </c>
      <c r="AW399" s="117" t="b">
        <f t="shared" si="709"/>
        <v>1</v>
      </c>
      <c r="AX399" s="117" t="b">
        <f t="shared" si="710"/>
        <v>1</v>
      </c>
      <c r="AY399" s="117" t="b">
        <f t="shared" si="711"/>
        <v>0</v>
      </c>
    </row>
    <row r="400" spans="1:72">
      <c r="A400" s="139" t="str">
        <f>'Reference Score Calculation'!B377</f>
        <v>JS9294</v>
      </c>
      <c r="B400" s="117" t="str">
        <f>'Reference Score Calculation'!B377</f>
        <v>JS9294</v>
      </c>
      <c r="C400" s="129" t="str">
        <f>'Reference Score Calculation'!E377</f>
        <v>運動及電競運動管理榮譽工商管理學士</v>
      </c>
      <c r="D400" s="129"/>
      <c r="E400" s="412" t="str">
        <f>'Reference Score Calculation'!F377</f>
        <v>Best 5</v>
      </c>
      <c r="F400" s="117"/>
      <c r="G400" s="117" t="str">
        <f>入學要求!AB386</f>
        <v>v</v>
      </c>
      <c r="H400" s="117" t="str">
        <f>入學要求!AC386</f>
        <v>E</v>
      </c>
      <c r="I400" s="117" t="str">
        <f>入學要求!AD386</f>
        <v>v</v>
      </c>
      <c r="J400" s="117">
        <f t="shared" si="693"/>
        <v>3.2999999999999998E-9</v>
      </c>
      <c r="K400" s="117">
        <v>1</v>
      </c>
      <c r="L400" s="117">
        <v>1</v>
      </c>
      <c r="M400" s="117">
        <v>1</v>
      </c>
      <c r="O400" s="117">
        <v>1</v>
      </c>
      <c r="P400" s="117">
        <v>1</v>
      </c>
      <c r="Q400" s="117">
        <v>1</v>
      </c>
      <c r="R400" s="117">
        <v>1</v>
      </c>
      <c r="S400" s="117">
        <v>1</v>
      </c>
      <c r="T400" s="117">
        <v>1</v>
      </c>
      <c r="V400" s="117">
        <f t="shared" si="694"/>
        <v>1E-10</v>
      </c>
      <c r="W400" s="117">
        <f t="shared" si="695"/>
        <v>2.0000000000000001E-10</v>
      </c>
      <c r="X400" s="117">
        <f t="shared" si="696"/>
        <v>3E-10</v>
      </c>
      <c r="Z400" s="117">
        <f t="shared" si="697"/>
        <v>0</v>
      </c>
      <c r="AA400" s="117">
        <f t="shared" si="698"/>
        <v>6E-10</v>
      </c>
      <c r="AB400" s="117">
        <f t="shared" si="699"/>
        <v>6.9999999999999996E-10</v>
      </c>
      <c r="AC400" s="117">
        <f t="shared" si="700"/>
        <v>8.0000000000000003E-10</v>
      </c>
      <c r="AD400" s="117">
        <f t="shared" si="701"/>
        <v>8.9999999999999999E-10</v>
      </c>
      <c r="AE400" s="117">
        <f t="shared" si="702"/>
        <v>0</v>
      </c>
      <c r="AF400" s="117">
        <f t="shared" si="684"/>
        <v>1E-10</v>
      </c>
      <c r="AG400" s="117">
        <f t="shared" si="685"/>
        <v>2.0000000000000001E-10</v>
      </c>
      <c r="AH400" s="117">
        <f t="shared" si="686"/>
        <v>3E-10</v>
      </c>
      <c r="AJ400" s="117">
        <f t="shared" si="687"/>
        <v>0</v>
      </c>
      <c r="AK400" s="117">
        <f t="shared" si="688"/>
        <v>6E-10</v>
      </c>
      <c r="AL400" s="117">
        <f t="shared" si="689"/>
        <v>6.9999999999999996E-10</v>
      </c>
      <c r="AM400" s="117">
        <f t="shared" si="690"/>
        <v>8.0000000000000003E-10</v>
      </c>
      <c r="AN400" s="117">
        <f t="shared" si="691"/>
        <v>8.9999999999999999E-10</v>
      </c>
      <c r="AO400" s="117">
        <f t="shared" si="692"/>
        <v>0</v>
      </c>
      <c r="AP400" s="117" t="b">
        <f t="shared" si="703"/>
        <v>0</v>
      </c>
      <c r="AQ400" s="117" t="b">
        <f t="shared" si="704"/>
        <v>0</v>
      </c>
      <c r="AR400" s="117" t="b">
        <f t="shared" si="705"/>
        <v>1</v>
      </c>
      <c r="AT400" s="117" t="b">
        <f t="shared" si="706"/>
        <v>0</v>
      </c>
      <c r="AU400" s="117" t="b">
        <f t="shared" si="707"/>
        <v>1</v>
      </c>
      <c r="AV400" s="117" t="b">
        <f t="shared" si="708"/>
        <v>1</v>
      </c>
      <c r="AW400" s="117" t="b">
        <f t="shared" si="709"/>
        <v>1</v>
      </c>
      <c r="AX400" s="117" t="b">
        <f t="shared" si="710"/>
        <v>1</v>
      </c>
      <c r="AY400" s="117" t="b">
        <f t="shared" si="711"/>
        <v>0</v>
      </c>
    </row>
    <row r="401" spans="1:51">
      <c r="A401" s="139" t="str">
        <f>'Reference Score Calculation'!B378</f>
        <v>JS9520</v>
      </c>
      <c r="B401" s="117" t="str">
        <f>'Reference Score Calculation'!B378</f>
        <v>JS9520</v>
      </c>
      <c r="C401" s="129" t="str">
        <f>'Reference Score Calculation'!E378</f>
        <v>教育榮譽學士（普通話及中文教育）及語言研究榮譽學士（漢語語言學研究）</v>
      </c>
      <c r="D401" s="129"/>
      <c r="E401" s="412" t="str">
        <f>'Reference Score Calculation'!F378</f>
        <v>Best 5</v>
      </c>
      <c r="F401" s="117"/>
      <c r="G401" s="117" t="str">
        <f>入學要求!AB387</f>
        <v>v</v>
      </c>
      <c r="H401" s="117" t="str">
        <f>入學要求!AC387</f>
        <v>E</v>
      </c>
      <c r="I401" s="117" t="str">
        <f>入學要求!AD387</f>
        <v>v</v>
      </c>
      <c r="J401" s="117">
        <f t="shared" si="693"/>
        <v>3.2999999999999998E-9</v>
      </c>
      <c r="K401" s="117">
        <v>1</v>
      </c>
      <c r="L401" s="117">
        <v>1</v>
      </c>
      <c r="M401" s="117">
        <v>1</v>
      </c>
      <c r="O401" s="117">
        <v>1</v>
      </c>
      <c r="P401" s="117">
        <v>1</v>
      </c>
      <c r="Q401" s="117">
        <v>1</v>
      </c>
      <c r="R401" s="117">
        <v>1</v>
      </c>
      <c r="S401" s="117">
        <v>1</v>
      </c>
      <c r="T401" s="117">
        <v>1</v>
      </c>
      <c r="V401" s="117">
        <f t="shared" si="694"/>
        <v>1E-10</v>
      </c>
      <c r="W401" s="117">
        <f t="shared" si="695"/>
        <v>2.0000000000000001E-10</v>
      </c>
      <c r="X401" s="117">
        <f t="shared" si="696"/>
        <v>3E-10</v>
      </c>
      <c r="Z401" s="117">
        <f t="shared" si="697"/>
        <v>0</v>
      </c>
      <c r="AA401" s="117">
        <f t="shared" si="698"/>
        <v>6E-10</v>
      </c>
      <c r="AB401" s="117">
        <f t="shared" si="699"/>
        <v>6.9999999999999996E-10</v>
      </c>
      <c r="AC401" s="117">
        <f t="shared" si="700"/>
        <v>8.0000000000000003E-10</v>
      </c>
      <c r="AD401" s="117">
        <f t="shared" si="701"/>
        <v>8.9999999999999999E-10</v>
      </c>
      <c r="AE401" s="117">
        <f t="shared" si="702"/>
        <v>0</v>
      </c>
      <c r="AF401" s="117">
        <f t="shared" si="684"/>
        <v>1E-10</v>
      </c>
      <c r="AG401" s="117">
        <f t="shared" si="685"/>
        <v>2.0000000000000001E-10</v>
      </c>
      <c r="AH401" s="117">
        <f t="shared" si="686"/>
        <v>3E-10</v>
      </c>
      <c r="AJ401" s="117">
        <f t="shared" si="687"/>
        <v>0</v>
      </c>
      <c r="AK401" s="117">
        <f t="shared" si="688"/>
        <v>6E-10</v>
      </c>
      <c r="AL401" s="117">
        <f t="shared" si="689"/>
        <v>6.9999999999999996E-10</v>
      </c>
      <c r="AM401" s="117">
        <f t="shared" si="690"/>
        <v>8.0000000000000003E-10</v>
      </c>
      <c r="AN401" s="117">
        <f t="shared" si="691"/>
        <v>8.9999999999999999E-10</v>
      </c>
      <c r="AO401" s="117">
        <f t="shared" si="692"/>
        <v>0</v>
      </c>
      <c r="AP401" s="117" t="b">
        <f t="shared" si="703"/>
        <v>0</v>
      </c>
      <c r="AQ401" s="117" t="b">
        <f t="shared" si="704"/>
        <v>0</v>
      </c>
      <c r="AR401" s="117" t="b">
        <f t="shared" si="705"/>
        <v>1</v>
      </c>
      <c r="AT401" s="117" t="b">
        <f t="shared" si="706"/>
        <v>0</v>
      </c>
      <c r="AU401" s="117" t="b">
        <f t="shared" si="707"/>
        <v>1</v>
      </c>
      <c r="AV401" s="117" t="b">
        <f t="shared" si="708"/>
        <v>1</v>
      </c>
      <c r="AW401" s="117" t="b">
        <f t="shared" si="709"/>
        <v>1</v>
      </c>
      <c r="AX401" s="117" t="b">
        <f t="shared" si="710"/>
        <v>1</v>
      </c>
      <c r="AY401" s="117" t="b">
        <f t="shared" si="711"/>
        <v>0</v>
      </c>
    </row>
    <row r="402" spans="1:51">
      <c r="A402" s="139" t="str">
        <f>'Reference Score Calculation'!B379</f>
        <v>JS9530</v>
      </c>
      <c r="B402" s="117" t="str">
        <f>'Reference Score Calculation'!B379</f>
        <v>JS9530</v>
      </c>
      <c r="C402" s="129" t="str">
        <f>'Reference Score Calculation'!E379</f>
        <v>英語教學榮譽教育學士及英語研究榮譽學士</v>
      </c>
      <c r="D402" s="129"/>
      <c r="E402" s="412" t="str">
        <f>'Reference Score Calculation'!F379</f>
        <v>Best 5</v>
      </c>
      <c r="F402" s="130"/>
      <c r="G402" s="117" t="str">
        <f>入學要求!AB388</f>
        <v>v</v>
      </c>
      <c r="H402" s="117" t="str">
        <f>入學要求!AC388</f>
        <v>E</v>
      </c>
      <c r="I402" s="117" t="str">
        <f>入學要求!AD388</f>
        <v>v</v>
      </c>
      <c r="J402" s="117">
        <f t="shared" si="693"/>
        <v>3.3999999999999998E-9</v>
      </c>
      <c r="K402" s="117">
        <v>1</v>
      </c>
      <c r="L402" s="117">
        <v>2</v>
      </c>
      <c r="M402" s="117">
        <v>1</v>
      </c>
      <c r="O402" s="117">
        <v>1</v>
      </c>
      <c r="P402" s="117">
        <v>1</v>
      </c>
      <c r="Q402" s="117">
        <v>1</v>
      </c>
      <c r="R402" s="117">
        <v>1</v>
      </c>
      <c r="S402" s="117">
        <v>1</v>
      </c>
      <c r="T402" s="117">
        <v>1</v>
      </c>
      <c r="V402" s="117">
        <f t="shared" si="694"/>
        <v>1E-10</v>
      </c>
      <c r="W402" s="117">
        <f t="shared" si="695"/>
        <v>4.0000000000000001E-10</v>
      </c>
      <c r="X402" s="117">
        <f t="shared" si="696"/>
        <v>3E-10</v>
      </c>
      <c r="Z402" s="117">
        <f t="shared" si="697"/>
        <v>0</v>
      </c>
      <c r="AA402" s="117">
        <f t="shared" si="698"/>
        <v>6E-10</v>
      </c>
      <c r="AB402" s="117">
        <f t="shared" si="699"/>
        <v>6.9999999999999996E-10</v>
      </c>
      <c r="AC402" s="117">
        <f t="shared" si="700"/>
        <v>8.0000000000000003E-10</v>
      </c>
      <c r="AD402" s="117">
        <f t="shared" si="701"/>
        <v>8.9999999999999999E-10</v>
      </c>
      <c r="AE402" s="117">
        <f t="shared" si="702"/>
        <v>0</v>
      </c>
      <c r="AF402" s="117">
        <f t="shared" si="684"/>
        <v>1E-10</v>
      </c>
      <c r="AG402" s="117">
        <f t="shared" si="685"/>
        <v>4.0000000000000001E-10</v>
      </c>
      <c r="AH402" s="117">
        <f t="shared" si="686"/>
        <v>3E-10</v>
      </c>
      <c r="AJ402" s="117">
        <f t="shared" si="687"/>
        <v>0</v>
      </c>
      <c r="AK402" s="117">
        <f t="shared" si="688"/>
        <v>6E-10</v>
      </c>
      <c r="AL402" s="117">
        <f t="shared" si="689"/>
        <v>6.9999999999999996E-10</v>
      </c>
      <c r="AM402" s="117">
        <f t="shared" si="690"/>
        <v>8.0000000000000003E-10</v>
      </c>
      <c r="AN402" s="117">
        <f t="shared" si="691"/>
        <v>8.9999999999999999E-10</v>
      </c>
      <c r="AO402" s="117">
        <f t="shared" si="692"/>
        <v>0</v>
      </c>
      <c r="AP402" s="117" t="b">
        <f t="shared" si="703"/>
        <v>0</v>
      </c>
      <c r="AQ402" s="117" t="b">
        <f t="shared" si="704"/>
        <v>1</v>
      </c>
      <c r="AR402" s="117" t="b">
        <f t="shared" si="705"/>
        <v>0</v>
      </c>
      <c r="AT402" s="117" t="b">
        <f t="shared" si="706"/>
        <v>0</v>
      </c>
      <c r="AU402" s="117" t="b">
        <f t="shared" si="707"/>
        <v>1</v>
      </c>
      <c r="AV402" s="117" t="b">
        <f t="shared" si="708"/>
        <v>1</v>
      </c>
      <c r="AW402" s="117" t="b">
        <f t="shared" si="709"/>
        <v>1</v>
      </c>
      <c r="AX402" s="117" t="b">
        <f t="shared" si="710"/>
        <v>1</v>
      </c>
      <c r="AY402" s="117" t="b">
        <f t="shared" si="711"/>
        <v>0</v>
      </c>
    </row>
    <row r="403" spans="1:51">
      <c r="A403" s="139" t="str">
        <f>'Reference Score Calculation'!B380</f>
        <v>JS9540</v>
      </c>
      <c r="B403" s="117" t="str">
        <f>'Reference Score Calculation'!B380</f>
        <v>JS9540</v>
      </c>
      <c r="C403" s="129" t="str">
        <f>'Reference Score Calculation'!E380</f>
        <v>英語研究榮譽學士</v>
      </c>
      <c r="D403" s="129"/>
      <c r="E403" s="412" t="str">
        <f>'Reference Score Calculation'!F380</f>
        <v>Best 5</v>
      </c>
      <c r="F403" s="130"/>
      <c r="G403" s="117" t="str">
        <f>入學要求!AB389</f>
        <v>v</v>
      </c>
      <c r="H403" s="117" t="str">
        <f>入學要求!AC389</f>
        <v>E</v>
      </c>
      <c r="I403" s="117" t="str">
        <f>入學要求!AD389</f>
        <v>v</v>
      </c>
      <c r="J403" s="117">
        <f t="shared" si="693"/>
        <v>3.3999999999999998E-9</v>
      </c>
      <c r="K403" s="117">
        <v>1</v>
      </c>
      <c r="L403" s="117">
        <v>2</v>
      </c>
      <c r="M403" s="117">
        <v>1</v>
      </c>
      <c r="O403" s="117">
        <v>1</v>
      </c>
      <c r="P403" s="117">
        <v>1</v>
      </c>
      <c r="Q403" s="117">
        <v>1</v>
      </c>
      <c r="R403" s="117">
        <v>1</v>
      </c>
      <c r="S403" s="117">
        <v>1</v>
      </c>
      <c r="T403" s="117">
        <v>1</v>
      </c>
      <c r="V403" s="117">
        <f t="shared" si="694"/>
        <v>1E-10</v>
      </c>
      <c r="W403" s="117">
        <f t="shared" si="695"/>
        <v>4.0000000000000001E-10</v>
      </c>
      <c r="X403" s="117">
        <f t="shared" si="696"/>
        <v>3E-10</v>
      </c>
      <c r="Z403" s="117">
        <f t="shared" si="697"/>
        <v>0</v>
      </c>
      <c r="AA403" s="117">
        <f t="shared" si="698"/>
        <v>6E-10</v>
      </c>
      <c r="AB403" s="117">
        <f t="shared" si="699"/>
        <v>6.9999999999999996E-10</v>
      </c>
      <c r="AC403" s="117">
        <f t="shared" si="700"/>
        <v>8.0000000000000003E-10</v>
      </c>
      <c r="AD403" s="117">
        <f t="shared" si="701"/>
        <v>8.9999999999999999E-10</v>
      </c>
      <c r="AE403" s="117">
        <f t="shared" si="702"/>
        <v>0</v>
      </c>
      <c r="AF403" s="117">
        <f t="shared" si="684"/>
        <v>1E-10</v>
      </c>
      <c r="AG403" s="117">
        <f t="shared" si="685"/>
        <v>4.0000000000000001E-10</v>
      </c>
      <c r="AH403" s="117">
        <f t="shared" si="686"/>
        <v>3E-10</v>
      </c>
      <c r="AJ403" s="117">
        <f t="shared" si="687"/>
        <v>0</v>
      </c>
      <c r="AK403" s="117">
        <f t="shared" si="688"/>
        <v>6E-10</v>
      </c>
      <c r="AL403" s="117">
        <f t="shared" si="689"/>
        <v>6.9999999999999996E-10</v>
      </c>
      <c r="AM403" s="117">
        <f t="shared" si="690"/>
        <v>8.0000000000000003E-10</v>
      </c>
      <c r="AN403" s="117">
        <f t="shared" si="691"/>
        <v>8.9999999999999999E-10</v>
      </c>
      <c r="AO403" s="117">
        <f t="shared" si="692"/>
        <v>0</v>
      </c>
      <c r="AP403" s="117" t="b">
        <f t="shared" si="703"/>
        <v>0</v>
      </c>
      <c r="AQ403" s="117" t="b">
        <f t="shared" si="704"/>
        <v>1</v>
      </c>
      <c r="AR403" s="117" t="b">
        <f t="shared" si="705"/>
        <v>0</v>
      </c>
      <c r="AT403" s="117" t="b">
        <f t="shared" si="706"/>
        <v>0</v>
      </c>
      <c r="AU403" s="117" t="b">
        <f t="shared" si="707"/>
        <v>1</v>
      </c>
      <c r="AV403" s="117" t="b">
        <f t="shared" si="708"/>
        <v>1</v>
      </c>
      <c r="AW403" s="117" t="b">
        <f t="shared" si="709"/>
        <v>1</v>
      </c>
      <c r="AX403" s="117" t="b">
        <f t="shared" si="710"/>
        <v>1</v>
      </c>
      <c r="AY403" s="117" t="b">
        <f t="shared" si="711"/>
        <v>0</v>
      </c>
    </row>
    <row r="404" spans="1:51">
      <c r="A404" s="139" t="str">
        <f>'Reference Score Calculation'!B381</f>
        <v>JS9550</v>
      </c>
      <c r="B404" s="117" t="str">
        <f>'Reference Score Calculation'!B381</f>
        <v>JS9550</v>
      </c>
      <c r="C404" s="129" t="str">
        <f>'Reference Score Calculation'!E381</f>
        <v>語言研究榮譽學士（應用中國語言）</v>
      </c>
      <c r="D404" s="129"/>
      <c r="E404" s="412" t="str">
        <f>'Reference Score Calculation'!F381</f>
        <v>Best 5</v>
      </c>
      <c r="F404" s="130"/>
      <c r="G404" s="117" t="str">
        <f>入學要求!AB390</f>
        <v>v</v>
      </c>
      <c r="H404" s="117" t="str">
        <f>入學要求!AC390</f>
        <v>E</v>
      </c>
      <c r="I404" s="117" t="str">
        <f>入學要求!AD390</f>
        <v>v</v>
      </c>
      <c r="J404" s="117">
        <f t="shared" si="693"/>
        <v>3.2999999999999998E-9</v>
      </c>
      <c r="K404" s="117">
        <v>2</v>
      </c>
      <c r="L404" s="117">
        <v>1</v>
      </c>
      <c r="M404" s="117">
        <v>1</v>
      </c>
      <c r="O404" s="117">
        <v>1</v>
      </c>
      <c r="P404" s="117">
        <f t="shared" ref="P404:S406" si="722">IF(P$1="中國文學",2,1)</f>
        <v>1</v>
      </c>
      <c r="Q404" s="117">
        <f t="shared" si="722"/>
        <v>1</v>
      </c>
      <c r="R404" s="117">
        <f t="shared" si="722"/>
        <v>1</v>
      </c>
      <c r="S404" s="117">
        <f t="shared" si="722"/>
        <v>1</v>
      </c>
      <c r="T404" s="117">
        <v>1</v>
      </c>
      <c r="V404" s="117">
        <f t="shared" si="694"/>
        <v>2.0000000000000001E-10</v>
      </c>
      <c r="W404" s="117">
        <f t="shared" si="695"/>
        <v>2.0000000000000001E-10</v>
      </c>
      <c r="X404" s="117">
        <f t="shared" si="696"/>
        <v>3E-10</v>
      </c>
      <c r="Z404" s="117">
        <f t="shared" si="697"/>
        <v>0</v>
      </c>
      <c r="AA404" s="117">
        <f t="shared" si="698"/>
        <v>6E-10</v>
      </c>
      <c r="AB404" s="117">
        <f t="shared" si="699"/>
        <v>6.9999999999999996E-10</v>
      </c>
      <c r="AC404" s="117">
        <f t="shared" si="700"/>
        <v>8.0000000000000003E-10</v>
      </c>
      <c r="AD404" s="117">
        <f t="shared" si="701"/>
        <v>8.9999999999999999E-10</v>
      </c>
      <c r="AE404" s="117">
        <f t="shared" si="702"/>
        <v>0</v>
      </c>
      <c r="AF404" s="117">
        <f t="shared" si="684"/>
        <v>2.0000000000000001E-10</v>
      </c>
      <c r="AG404" s="117">
        <f t="shared" si="685"/>
        <v>2.0000000000000001E-10</v>
      </c>
      <c r="AH404" s="117">
        <f t="shared" si="686"/>
        <v>3E-10</v>
      </c>
      <c r="AJ404" s="117">
        <f t="shared" si="687"/>
        <v>0</v>
      </c>
      <c r="AK404" s="117">
        <f t="shared" si="688"/>
        <v>6E-10</v>
      </c>
      <c r="AL404" s="117">
        <f t="shared" si="689"/>
        <v>6.9999999999999996E-10</v>
      </c>
      <c r="AM404" s="117">
        <f t="shared" si="690"/>
        <v>8.0000000000000003E-10</v>
      </c>
      <c r="AN404" s="117">
        <f t="shared" si="691"/>
        <v>8.9999999999999999E-10</v>
      </c>
      <c r="AO404" s="117">
        <f t="shared" si="692"/>
        <v>0</v>
      </c>
      <c r="AP404" s="117" t="b">
        <f t="shared" si="703"/>
        <v>0</v>
      </c>
      <c r="AQ404" s="117" t="b">
        <f t="shared" si="704"/>
        <v>0</v>
      </c>
      <c r="AR404" s="117" t="b">
        <f t="shared" si="705"/>
        <v>1</v>
      </c>
      <c r="AT404" s="117" t="b">
        <f t="shared" si="706"/>
        <v>0</v>
      </c>
      <c r="AU404" s="117" t="b">
        <f t="shared" si="707"/>
        <v>1</v>
      </c>
      <c r="AV404" s="117" t="b">
        <f t="shared" si="708"/>
        <v>1</v>
      </c>
      <c r="AW404" s="117" t="b">
        <f t="shared" si="709"/>
        <v>1</v>
      </c>
      <c r="AX404" s="117" t="b">
        <f t="shared" si="710"/>
        <v>1</v>
      </c>
      <c r="AY404" s="117" t="b">
        <f t="shared" si="711"/>
        <v>0</v>
      </c>
    </row>
    <row r="405" spans="1:51">
      <c r="A405" s="139" t="str">
        <f>'Reference Score Calculation'!B382</f>
        <v>JS9555</v>
      </c>
      <c r="B405" s="117" t="str">
        <f>'Reference Score Calculation'!B382</f>
        <v>JS9555</v>
      </c>
      <c r="C405" s="129" t="str">
        <f>'Reference Score Calculation'!E382</f>
        <v>雙語研究及應用戲劇語言研究榮譽學士</v>
      </c>
      <c r="D405" s="129"/>
      <c r="E405" s="412" t="str">
        <f>'Reference Score Calculation'!F382</f>
        <v>25年新科目</v>
      </c>
      <c r="F405" s="130"/>
      <c r="G405" s="117" t="str">
        <f>入學要求!AB391</f>
        <v>v</v>
      </c>
      <c r="H405" s="117" t="str">
        <f>入學要求!AC391</f>
        <v>E</v>
      </c>
      <c r="I405" s="117" t="str">
        <f>入學要求!AD391</f>
        <v>v</v>
      </c>
      <c r="J405" s="117">
        <f t="shared" si="693"/>
        <v>3.2999999999999998E-9</v>
      </c>
      <c r="K405" s="117">
        <v>1</v>
      </c>
      <c r="L405" s="117">
        <v>1</v>
      </c>
      <c r="M405" s="117">
        <v>1</v>
      </c>
      <c r="O405" s="117">
        <v>1</v>
      </c>
      <c r="P405" s="117">
        <v>1</v>
      </c>
      <c r="Q405" s="117">
        <v>1</v>
      </c>
      <c r="R405" s="117">
        <v>1</v>
      </c>
      <c r="S405" s="117">
        <v>1</v>
      </c>
      <c r="T405" s="117">
        <v>1</v>
      </c>
      <c r="V405" s="117">
        <f t="shared" si="694"/>
        <v>1E-10</v>
      </c>
      <c r="W405" s="117">
        <f t="shared" si="695"/>
        <v>2.0000000000000001E-10</v>
      </c>
      <c r="X405" s="117">
        <f t="shared" si="696"/>
        <v>3E-10</v>
      </c>
      <c r="Z405" s="117">
        <f t="shared" si="697"/>
        <v>0</v>
      </c>
      <c r="AA405" s="117">
        <f t="shared" si="698"/>
        <v>6E-10</v>
      </c>
      <c r="AB405" s="117">
        <f t="shared" si="699"/>
        <v>6.9999999999999996E-10</v>
      </c>
      <c r="AC405" s="117">
        <f t="shared" si="700"/>
        <v>8.0000000000000003E-10</v>
      </c>
      <c r="AD405" s="117">
        <f t="shared" si="701"/>
        <v>8.9999999999999999E-10</v>
      </c>
      <c r="AE405" s="117">
        <f t="shared" si="702"/>
        <v>0</v>
      </c>
      <c r="AF405" s="117">
        <f t="shared" ref="AF405" si="723">V405</f>
        <v>1E-10</v>
      </c>
      <c r="AG405" s="117">
        <f t="shared" ref="AG405" si="724">W405</f>
        <v>2.0000000000000001E-10</v>
      </c>
      <c r="AH405" s="117">
        <f t="shared" ref="AH405" si="725">X405</f>
        <v>3E-10</v>
      </c>
      <c r="AJ405" s="117">
        <f t="shared" ref="AJ405" si="726">Z405</f>
        <v>0</v>
      </c>
      <c r="AK405" s="117">
        <f t="shared" ref="AK405" si="727">AA405</f>
        <v>6E-10</v>
      </c>
      <c r="AL405" s="117">
        <f t="shared" ref="AL405" si="728">AB405</f>
        <v>6.9999999999999996E-10</v>
      </c>
      <c r="AM405" s="117">
        <f t="shared" ref="AM405" si="729">AC405</f>
        <v>8.0000000000000003E-10</v>
      </c>
      <c r="AN405" s="117">
        <f t="shared" ref="AN405" si="730">AD405</f>
        <v>8.9999999999999999E-10</v>
      </c>
      <c r="AO405" s="117">
        <f t="shared" ref="AO405" si="731">AE405</f>
        <v>0</v>
      </c>
      <c r="AP405" s="117" t="b">
        <f t="shared" si="703"/>
        <v>0</v>
      </c>
      <c r="AQ405" s="117" t="b">
        <f t="shared" si="704"/>
        <v>0</v>
      </c>
      <c r="AR405" s="117" t="b">
        <f t="shared" si="705"/>
        <v>1</v>
      </c>
      <c r="AT405" s="117" t="b">
        <f t="shared" si="706"/>
        <v>0</v>
      </c>
      <c r="AU405" s="117" t="b">
        <f t="shared" si="707"/>
        <v>1</v>
      </c>
      <c r="AV405" s="117" t="b">
        <f t="shared" si="708"/>
        <v>1</v>
      </c>
      <c r="AW405" s="117" t="b">
        <f t="shared" si="709"/>
        <v>1</v>
      </c>
      <c r="AX405" s="117" t="b">
        <f t="shared" si="710"/>
        <v>1</v>
      </c>
      <c r="AY405" s="117" t="b">
        <f t="shared" si="711"/>
        <v>0</v>
      </c>
    </row>
    <row r="406" spans="1:51">
      <c r="A406" s="139" t="str">
        <f>'Reference Score Calculation'!B383</f>
        <v>JS9560</v>
      </c>
      <c r="B406" s="117" t="str">
        <f>'Reference Score Calculation'!B383</f>
        <v>JS9560</v>
      </c>
      <c r="C406" s="129" t="str">
        <f>'Reference Score Calculation'!E383</f>
        <v>教育榮譽學士（中國語文教學）及語言研究榮譽學士（應用中國語言）</v>
      </c>
      <c r="D406" s="129"/>
      <c r="E406" s="412" t="str">
        <f>'Reference Score Calculation'!F383</f>
        <v>Best 5</v>
      </c>
      <c r="F406" s="130"/>
      <c r="G406" s="117" t="str">
        <f>入學要求!AB392</f>
        <v>v</v>
      </c>
      <c r="H406" s="117" t="str">
        <f>入學要求!AC392</f>
        <v>E</v>
      </c>
      <c r="I406" s="117" t="str">
        <f>入學要求!AD392</f>
        <v>v</v>
      </c>
      <c r="J406" s="117">
        <f t="shared" si="693"/>
        <v>3.2999999999999998E-9</v>
      </c>
      <c r="K406" s="117">
        <v>2</v>
      </c>
      <c r="L406" s="117">
        <v>1</v>
      </c>
      <c r="M406" s="117">
        <v>1</v>
      </c>
      <c r="O406" s="117">
        <v>1</v>
      </c>
      <c r="P406" s="117">
        <f t="shared" si="722"/>
        <v>1</v>
      </c>
      <c r="Q406" s="117">
        <f t="shared" si="722"/>
        <v>1</v>
      </c>
      <c r="R406" s="117">
        <f t="shared" si="722"/>
        <v>1</v>
      </c>
      <c r="S406" s="117">
        <f t="shared" si="722"/>
        <v>1</v>
      </c>
      <c r="T406" s="117">
        <v>1</v>
      </c>
      <c r="V406" s="117">
        <f t="shared" si="694"/>
        <v>2.0000000000000001E-10</v>
      </c>
      <c r="W406" s="117">
        <f t="shared" si="695"/>
        <v>2.0000000000000001E-10</v>
      </c>
      <c r="X406" s="117">
        <f t="shared" si="696"/>
        <v>3E-10</v>
      </c>
      <c r="Z406" s="117">
        <f t="shared" si="697"/>
        <v>0</v>
      </c>
      <c r="AA406" s="117">
        <f t="shared" si="698"/>
        <v>6E-10</v>
      </c>
      <c r="AB406" s="117">
        <f t="shared" si="699"/>
        <v>6.9999999999999996E-10</v>
      </c>
      <c r="AC406" s="117">
        <f t="shared" si="700"/>
        <v>8.0000000000000003E-10</v>
      </c>
      <c r="AD406" s="117">
        <f t="shared" si="701"/>
        <v>8.9999999999999999E-10</v>
      </c>
      <c r="AE406" s="117">
        <f t="shared" si="702"/>
        <v>0</v>
      </c>
      <c r="AF406" s="117">
        <f t="shared" si="684"/>
        <v>2.0000000000000001E-10</v>
      </c>
      <c r="AG406" s="117">
        <f t="shared" si="685"/>
        <v>2.0000000000000001E-10</v>
      </c>
      <c r="AH406" s="117">
        <f t="shared" si="686"/>
        <v>3E-10</v>
      </c>
      <c r="AJ406" s="117">
        <f t="shared" si="687"/>
        <v>0</v>
      </c>
      <c r="AK406" s="117">
        <f t="shared" si="688"/>
        <v>6E-10</v>
      </c>
      <c r="AL406" s="117">
        <f t="shared" si="689"/>
        <v>6.9999999999999996E-10</v>
      </c>
      <c r="AM406" s="117">
        <f t="shared" si="690"/>
        <v>8.0000000000000003E-10</v>
      </c>
      <c r="AN406" s="117">
        <f t="shared" si="691"/>
        <v>8.9999999999999999E-10</v>
      </c>
      <c r="AO406" s="117">
        <f t="shared" si="692"/>
        <v>0</v>
      </c>
      <c r="AP406" s="117" t="b">
        <f t="shared" si="703"/>
        <v>0</v>
      </c>
      <c r="AQ406" s="117" t="b">
        <f t="shared" si="704"/>
        <v>0</v>
      </c>
      <c r="AR406" s="117" t="b">
        <f t="shared" si="705"/>
        <v>1</v>
      </c>
      <c r="AT406" s="117" t="b">
        <f t="shared" si="706"/>
        <v>0</v>
      </c>
      <c r="AU406" s="117" t="b">
        <f t="shared" si="707"/>
        <v>1</v>
      </c>
      <c r="AV406" s="117" t="b">
        <f t="shared" si="708"/>
        <v>1</v>
      </c>
      <c r="AW406" s="117" t="b">
        <f t="shared" si="709"/>
        <v>1</v>
      </c>
      <c r="AX406" s="117" t="b">
        <f t="shared" si="710"/>
        <v>1</v>
      </c>
      <c r="AY406" s="117" t="b">
        <f t="shared" si="711"/>
        <v>0</v>
      </c>
    </row>
    <row r="407" spans="1:51">
      <c r="A407" s="139" t="str">
        <f>'Reference Score Calculation'!B384</f>
        <v>JS9580</v>
      </c>
      <c r="B407" s="117" t="str">
        <f>'Reference Score Calculation'!B384</f>
        <v>JS9580</v>
      </c>
      <c r="C407" s="129" t="str">
        <f>'Reference Score Calculation'!E384</f>
        <v>教育榮譽學士（幼兒教育：領導及特殊教育需要）</v>
      </c>
      <c r="D407" s="129"/>
      <c r="E407" s="412" t="str">
        <f>'Reference Score Calculation'!F384</f>
        <v>Best 5</v>
      </c>
      <c r="F407" s="130"/>
      <c r="G407" s="117" t="str">
        <f>入學要求!AB393</f>
        <v>v</v>
      </c>
      <c r="H407" s="117" t="str">
        <f>入學要求!AC393</f>
        <v>E</v>
      </c>
      <c r="I407" s="117" t="str">
        <f>入學要求!AD393</f>
        <v>v</v>
      </c>
      <c r="J407" s="117">
        <f t="shared" si="693"/>
        <v>3.2999999999999998E-9</v>
      </c>
      <c r="K407" s="117">
        <v>1</v>
      </c>
      <c r="L407" s="117">
        <v>1</v>
      </c>
      <c r="M407" s="117">
        <v>1</v>
      </c>
      <c r="O407" s="117">
        <v>1</v>
      </c>
      <c r="P407" s="117">
        <v>1</v>
      </c>
      <c r="Q407" s="117">
        <v>1</v>
      </c>
      <c r="R407" s="117">
        <v>1</v>
      </c>
      <c r="S407" s="117">
        <v>1</v>
      </c>
      <c r="T407" s="117">
        <v>1</v>
      </c>
      <c r="V407" s="117">
        <f t="shared" si="694"/>
        <v>1E-10</v>
      </c>
      <c r="W407" s="117">
        <f t="shared" si="695"/>
        <v>2.0000000000000001E-10</v>
      </c>
      <c r="X407" s="117">
        <f t="shared" si="696"/>
        <v>3E-10</v>
      </c>
      <c r="Z407" s="117">
        <f t="shared" si="697"/>
        <v>0</v>
      </c>
      <c r="AA407" s="117">
        <f t="shared" si="698"/>
        <v>6E-10</v>
      </c>
      <c r="AB407" s="117">
        <f t="shared" si="699"/>
        <v>6.9999999999999996E-10</v>
      </c>
      <c r="AC407" s="117">
        <f t="shared" si="700"/>
        <v>8.0000000000000003E-10</v>
      </c>
      <c r="AD407" s="117">
        <f t="shared" si="701"/>
        <v>8.9999999999999999E-10</v>
      </c>
      <c r="AE407" s="117">
        <f t="shared" si="702"/>
        <v>0</v>
      </c>
      <c r="AF407" s="117">
        <f t="shared" si="684"/>
        <v>1E-10</v>
      </c>
      <c r="AG407" s="117">
        <f t="shared" si="685"/>
        <v>2.0000000000000001E-10</v>
      </c>
      <c r="AH407" s="117">
        <f t="shared" si="686"/>
        <v>3E-10</v>
      </c>
      <c r="AJ407" s="117">
        <f t="shared" si="687"/>
        <v>0</v>
      </c>
      <c r="AK407" s="117">
        <f t="shared" si="688"/>
        <v>6E-10</v>
      </c>
      <c r="AL407" s="117">
        <f t="shared" si="689"/>
        <v>6.9999999999999996E-10</v>
      </c>
      <c r="AM407" s="117">
        <f t="shared" si="690"/>
        <v>8.0000000000000003E-10</v>
      </c>
      <c r="AN407" s="117">
        <f t="shared" si="691"/>
        <v>8.9999999999999999E-10</v>
      </c>
      <c r="AO407" s="117">
        <f t="shared" si="692"/>
        <v>0</v>
      </c>
      <c r="AP407" s="117" t="b">
        <f t="shared" si="703"/>
        <v>0</v>
      </c>
      <c r="AQ407" s="117" t="b">
        <f t="shared" si="704"/>
        <v>0</v>
      </c>
      <c r="AR407" s="117" t="b">
        <f t="shared" si="705"/>
        <v>1</v>
      </c>
      <c r="AT407" s="117" t="b">
        <f t="shared" si="706"/>
        <v>0</v>
      </c>
      <c r="AU407" s="117" t="b">
        <f t="shared" si="707"/>
        <v>1</v>
      </c>
      <c r="AV407" s="117" t="b">
        <f t="shared" si="708"/>
        <v>1</v>
      </c>
      <c r="AW407" s="117" t="b">
        <f t="shared" si="709"/>
        <v>1</v>
      </c>
      <c r="AX407" s="117" t="b">
        <f t="shared" si="710"/>
        <v>1</v>
      </c>
      <c r="AY407" s="117" t="b">
        <f t="shared" si="711"/>
        <v>0</v>
      </c>
    </row>
    <row r="408" spans="1:51">
      <c r="A408" s="139" t="str">
        <f>'Reference Score Calculation'!B385</f>
        <v>JS9719</v>
      </c>
      <c r="B408" s="117" t="str">
        <f>'Reference Score Calculation'!B385</f>
        <v>JS9719</v>
      </c>
      <c r="C408" s="129" t="str">
        <f>'Reference Score Calculation'!E385</f>
        <v>網路及電腦安全榮譽理學士</v>
      </c>
      <c r="D408" s="129"/>
      <c r="E408" s="412" t="str">
        <f>'Reference Score Calculation'!F385</f>
        <v>Best 5</v>
      </c>
      <c r="F408" s="117"/>
      <c r="G408" s="117" t="str">
        <f>入學要求!AB394</f>
        <v>v</v>
      </c>
      <c r="H408" s="117" t="str">
        <f>入學要求!AC394</f>
        <v>E</v>
      </c>
      <c r="I408" s="117" t="str">
        <f>入學要求!AD394</f>
        <v>v</v>
      </c>
      <c r="J408" s="117">
        <f t="shared" si="693"/>
        <v>3.2999999999999998E-9</v>
      </c>
      <c r="K408" s="117">
        <v>1</v>
      </c>
      <c r="L408" s="117">
        <v>1</v>
      </c>
      <c r="M408" s="117">
        <v>1</v>
      </c>
      <c r="O408" s="117">
        <v>1</v>
      </c>
      <c r="P408" s="117">
        <v>1</v>
      </c>
      <c r="Q408" s="117">
        <v>1</v>
      </c>
      <c r="R408" s="117">
        <v>1</v>
      </c>
      <c r="S408" s="117">
        <v>1</v>
      </c>
      <c r="T408" s="117">
        <v>1</v>
      </c>
      <c r="V408" s="117">
        <f t="shared" si="694"/>
        <v>1E-10</v>
      </c>
      <c r="W408" s="117">
        <f t="shared" si="695"/>
        <v>2.0000000000000001E-10</v>
      </c>
      <c r="X408" s="117">
        <f t="shared" si="696"/>
        <v>3E-10</v>
      </c>
      <c r="Z408" s="117">
        <f t="shared" si="697"/>
        <v>0</v>
      </c>
      <c r="AA408" s="117">
        <f t="shared" si="698"/>
        <v>6E-10</v>
      </c>
      <c r="AB408" s="117">
        <f t="shared" si="699"/>
        <v>6.9999999999999996E-10</v>
      </c>
      <c r="AC408" s="117">
        <f t="shared" si="700"/>
        <v>8.0000000000000003E-10</v>
      </c>
      <c r="AD408" s="117">
        <f t="shared" si="701"/>
        <v>8.9999999999999999E-10</v>
      </c>
      <c r="AE408" s="117">
        <f t="shared" si="702"/>
        <v>0</v>
      </c>
      <c r="AF408" s="117">
        <f t="shared" si="684"/>
        <v>1E-10</v>
      </c>
      <c r="AG408" s="117">
        <f t="shared" si="685"/>
        <v>2.0000000000000001E-10</v>
      </c>
      <c r="AH408" s="117">
        <f t="shared" si="686"/>
        <v>3E-10</v>
      </c>
      <c r="AJ408" s="117">
        <f t="shared" si="687"/>
        <v>0</v>
      </c>
      <c r="AK408" s="117">
        <f t="shared" si="688"/>
        <v>6E-10</v>
      </c>
      <c r="AL408" s="117">
        <f t="shared" si="689"/>
        <v>6.9999999999999996E-10</v>
      </c>
      <c r="AM408" s="117">
        <f t="shared" si="690"/>
        <v>8.0000000000000003E-10</v>
      </c>
      <c r="AN408" s="117">
        <f t="shared" si="691"/>
        <v>8.9999999999999999E-10</v>
      </c>
      <c r="AO408" s="117">
        <f t="shared" si="692"/>
        <v>0</v>
      </c>
      <c r="AP408" s="117" t="b">
        <f t="shared" si="703"/>
        <v>0</v>
      </c>
      <c r="AQ408" s="117" t="b">
        <f t="shared" si="704"/>
        <v>0</v>
      </c>
      <c r="AR408" s="117" t="b">
        <f t="shared" si="705"/>
        <v>1</v>
      </c>
      <c r="AT408" s="117" t="b">
        <f t="shared" si="706"/>
        <v>0</v>
      </c>
      <c r="AU408" s="117" t="b">
        <f t="shared" si="707"/>
        <v>1</v>
      </c>
      <c r="AV408" s="117" t="b">
        <f t="shared" si="708"/>
        <v>1</v>
      </c>
      <c r="AW408" s="117" t="b">
        <f t="shared" si="709"/>
        <v>1</v>
      </c>
      <c r="AX408" s="117" t="b">
        <f t="shared" si="710"/>
        <v>1</v>
      </c>
      <c r="AY408" s="117" t="b">
        <f t="shared" si="711"/>
        <v>0</v>
      </c>
    </row>
    <row r="409" spans="1:51">
      <c r="A409" s="139" t="str">
        <f>'Reference Score Calculation'!B386</f>
        <v>JS9720</v>
      </c>
      <c r="B409" s="117" t="str">
        <f>'Reference Score Calculation'!B386</f>
        <v>JS9720</v>
      </c>
      <c r="C409" s="129" t="str">
        <f>'Reference Score Calculation'!E386</f>
        <v>電子及電腦工程學榮譽工學士</v>
      </c>
      <c r="D409" s="129"/>
      <c r="E409" s="412" t="str">
        <f>'Reference Score Calculation'!F386</f>
        <v>Best 5</v>
      </c>
      <c r="F409" s="117"/>
      <c r="G409" s="117" t="str">
        <f>入學要求!AB395</f>
        <v>v</v>
      </c>
      <c r="H409" s="117" t="str">
        <f>入學要求!AC395</f>
        <v>E</v>
      </c>
      <c r="I409" s="117" t="str">
        <f>入學要求!AD395</f>
        <v>v</v>
      </c>
      <c r="J409" s="117">
        <f t="shared" si="693"/>
        <v>3.2999999999999998E-9</v>
      </c>
      <c r="K409" s="117">
        <v>1</v>
      </c>
      <c r="L409" s="117">
        <v>1</v>
      </c>
      <c r="M409" s="117">
        <v>1</v>
      </c>
      <c r="O409" s="117">
        <v>1</v>
      </c>
      <c r="P409" s="117">
        <v>1</v>
      </c>
      <c r="Q409" s="117">
        <v>1</v>
      </c>
      <c r="R409" s="117">
        <v>1</v>
      </c>
      <c r="S409" s="117">
        <v>1</v>
      </c>
      <c r="T409" s="117">
        <v>1</v>
      </c>
      <c r="V409" s="117">
        <f t="shared" si="694"/>
        <v>1E-10</v>
      </c>
      <c r="W409" s="117">
        <f t="shared" si="695"/>
        <v>2.0000000000000001E-10</v>
      </c>
      <c r="X409" s="117">
        <f t="shared" si="696"/>
        <v>3E-10</v>
      </c>
      <c r="Z409" s="117">
        <f t="shared" si="697"/>
        <v>0</v>
      </c>
      <c r="AA409" s="117">
        <f t="shared" si="698"/>
        <v>6E-10</v>
      </c>
      <c r="AB409" s="117">
        <f t="shared" si="699"/>
        <v>6.9999999999999996E-10</v>
      </c>
      <c r="AC409" s="117">
        <f t="shared" si="700"/>
        <v>8.0000000000000003E-10</v>
      </c>
      <c r="AD409" s="117">
        <f t="shared" si="701"/>
        <v>8.9999999999999999E-10</v>
      </c>
      <c r="AE409" s="117">
        <f t="shared" si="702"/>
        <v>0</v>
      </c>
      <c r="AF409" s="117">
        <f t="shared" si="684"/>
        <v>1E-10</v>
      </c>
      <c r="AG409" s="117">
        <f t="shared" si="685"/>
        <v>2.0000000000000001E-10</v>
      </c>
      <c r="AH409" s="117">
        <f t="shared" si="686"/>
        <v>3E-10</v>
      </c>
      <c r="AJ409" s="117">
        <f t="shared" si="687"/>
        <v>0</v>
      </c>
      <c r="AK409" s="117">
        <f t="shared" si="688"/>
        <v>6E-10</v>
      </c>
      <c r="AL409" s="117">
        <f t="shared" si="689"/>
        <v>6.9999999999999996E-10</v>
      </c>
      <c r="AM409" s="117">
        <f t="shared" si="690"/>
        <v>8.0000000000000003E-10</v>
      </c>
      <c r="AN409" s="117">
        <f t="shared" si="691"/>
        <v>8.9999999999999999E-10</v>
      </c>
      <c r="AO409" s="117">
        <f t="shared" si="692"/>
        <v>0</v>
      </c>
      <c r="AP409" s="117" t="b">
        <f t="shared" si="703"/>
        <v>0</v>
      </c>
      <c r="AQ409" s="117" t="b">
        <f t="shared" si="704"/>
        <v>0</v>
      </c>
      <c r="AR409" s="117" t="b">
        <f t="shared" si="705"/>
        <v>1</v>
      </c>
      <c r="AT409" s="117" t="b">
        <f t="shared" si="706"/>
        <v>0</v>
      </c>
      <c r="AU409" s="117" t="b">
        <f t="shared" si="707"/>
        <v>1</v>
      </c>
      <c r="AV409" s="117" t="b">
        <f t="shared" si="708"/>
        <v>1</v>
      </c>
      <c r="AW409" s="117" t="b">
        <f t="shared" si="709"/>
        <v>1</v>
      </c>
      <c r="AX409" s="117" t="b">
        <f t="shared" si="710"/>
        <v>1</v>
      </c>
      <c r="AY409" s="117" t="b">
        <f t="shared" si="711"/>
        <v>0</v>
      </c>
    </row>
    <row r="410" spans="1:51">
      <c r="A410" s="139" t="str">
        <f>'Reference Score Calculation'!B387</f>
        <v>JS9731</v>
      </c>
      <c r="B410" s="117" t="str">
        <f>'Reference Score Calculation'!B387</f>
        <v>JS9731</v>
      </c>
      <c r="C410" s="129" t="str">
        <f>'Reference Score Calculation'!E387</f>
        <v>環境科學與綠色管理榮譽理學士</v>
      </c>
      <c r="D410" s="129"/>
      <c r="E410" s="412" t="str">
        <f>'Reference Score Calculation'!F387</f>
        <v>Best 5</v>
      </c>
      <c r="F410" s="117"/>
      <c r="G410" s="117" t="str">
        <f>入學要求!AB396</f>
        <v>v</v>
      </c>
      <c r="H410" s="117" t="str">
        <f>入學要求!AC396</f>
        <v>E</v>
      </c>
      <c r="I410" s="117" t="str">
        <f>入學要求!AD396</f>
        <v>v</v>
      </c>
      <c r="J410" s="117">
        <f t="shared" si="693"/>
        <v>3.2999999999999998E-9</v>
      </c>
      <c r="K410" s="117">
        <v>1</v>
      </c>
      <c r="L410" s="117">
        <v>1</v>
      </c>
      <c r="M410" s="117">
        <v>1</v>
      </c>
      <c r="O410" s="117">
        <v>1</v>
      </c>
      <c r="P410" s="117">
        <v>1</v>
      </c>
      <c r="Q410" s="117">
        <v>1</v>
      </c>
      <c r="R410" s="117">
        <v>1</v>
      </c>
      <c r="S410" s="117">
        <v>1</v>
      </c>
      <c r="T410" s="117">
        <v>1</v>
      </c>
      <c r="V410" s="117">
        <f t="shared" si="694"/>
        <v>1E-10</v>
      </c>
      <c r="W410" s="117">
        <f t="shared" si="695"/>
        <v>2.0000000000000001E-10</v>
      </c>
      <c r="X410" s="117">
        <f t="shared" si="696"/>
        <v>3E-10</v>
      </c>
      <c r="Z410" s="117">
        <f t="shared" si="697"/>
        <v>0</v>
      </c>
      <c r="AA410" s="117">
        <f t="shared" si="698"/>
        <v>6E-10</v>
      </c>
      <c r="AB410" s="117">
        <f t="shared" si="699"/>
        <v>6.9999999999999996E-10</v>
      </c>
      <c r="AC410" s="117">
        <f t="shared" si="700"/>
        <v>8.0000000000000003E-10</v>
      </c>
      <c r="AD410" s="117">
        <f t="shared" si="701"/>
        <v>8.9999999999999999E-10</v>
      </c>
      <c r="AE410" s="117">
        <f t="shared" si="702"/>
        <v>0</v>
      </c>
      <c r="AF410" s="117">
        <f t="shared" si="684"/>
        <v>1E-10</v>
      </c>
      <c r="AG410" s="117">
        <f t="shared" si="685"/>
        <v>2.0000000000000001E-10</v>
      </c>
      <c r="AH410" s="117">
        <f t="shared" si="686"/>
        <v>3E-10</v>
      </c>
      <c r="AJ410" s="117">
        <f t="shared" si="687"/>
        <v>0</v>
      </c>
      <c r="AK410" s="117">
        <f t="shared" si="688"/>
        <v>6E-10</v>
      </c>
      <c r="AL410" s="117">
        <f t="shared" si="689"/>
        <v>6.9999999999999996E-10</v>
      </c>
      <c r="AM410" s="117">
        <f t="shared" si="690"/>
        <v>8.0000000000000003E-10</v>
      </c>
      <c r="AN410" s="117">
        <f t="shared" si="691"/>
        <v>8.9999999999999999E-10</v>
      </c>
      <c r="AO410" s="117">
        <f t="shared" si="692"/>
        <v>0</v>
      </c>
      <c r="AP410" s="117" t="b">
        <f t="shared" si="703"/>
        <v>0</v>
      </c>
      <c r="AQ410" s="117" t="b">
        <f t="shared" si="704"/>
        <v>0</v>
      </c>
      <c r="AR410" s="117" t="b">
        <f t="shared" si="705"/>
        <v>1</v>
      </c>
      <c r="AT410" s="117" t="b">
        <f t="shared" si="706"/>
        <v>0</v>
      </c>
      <c r="AU410" s="117" t="b">
        <f t="shared" si="707"/>
        <v>1</v>
      </c>
      <c r="AV410" s="117" t="b">
        <f t="shared" si="708"/>
        <v>1</v>
      </c>
      <c r="AW410" s="117" t="b">
        <f t="shared" si="709"/>
        <v>1</v>
      </c>
      <c r="AX410" s="117" t="b">
        <f t="shared" si="710"/>
        <v>1</v>
      </c>
      <c r="AY410" s="117" t="b">
        <f t="shared" si="711"/>
        <v>0</v>
      </c>
    </row>
    <row r="411" spans="1:51">
      <c r="A411" s="139" t="str">
        <f>'Reference Score Calculation'!B388</f>
        <v>JS9732</v>
      </c>
      <c r="B411" s="117" t="str">
        <f>'Reference Score Calculation'!B388</f>
        <v>JS9732</v>
      </c>
      <c r="C411" s="129" t="str">
        <f>'Reference Score Calculation'!E388</f>
        <v>生命科學榮譽理學士</v>
      </c>
      <c r="D411" s="129"/>
      <c r="E411" s="412" t="str">
        <f>'Reference Score Calculation'!F388</f>
        <v>Best 5</v>
      </c>
      <c r="F411" s="117"/>
      <c r="G411" s="117" t="str">
        <f>入學要求!AB397</f>
        <v>v</v>
      </c>
      <c r="H411" s="117" t="str">
        <f>入學要求!AC397</f>
        <v>E</v>
      </c>
      <c r="I411" s="117" t="str">
        <f>入學要求!AD397</f>
        <v>v</v>
      </c>
      <c r="J411" s="117">
        <f t="shared" si="693"/>
        <v>3.2999999999999998E-9</v>
      </c>
      <c r="K411" s="117">
        <v>1</v>
      </c>
      <c r="L411" s="117">
        <v>1</v>
      </c>
      <c r="M411" s="117">
        <v>1</v>
      </c>
      <c r="O411" s="117">
        <v>1</v>
      </c>
      <c r="P411" s="117">
        <v>1</v>
      </c>
      <c r="Q411" s="117">
        <v>1</v>
      </c>
      <c r="R411" s="117">
        <v>1</v>
      </c>
      <c r="S411" s="117">
        <v>1</v>
      </c>
      <c r="T411" s="117">
        <v>1</v>
      </c>
      <c r="V411" s="117">
        <f t="shared" si="694"/>
        <v>1E-10</v>
      </c>
      <c r="W411" s="117">
        <f t="shared" si="695"/>
        <v>2.0000000000000001E-10</v>
      </c>
      <c r="X411" s="117">
        <f t="shared" si="696"/>
        <v>3E-10</v>
      </c>
      <c r="Z411" s="117">
        <f t="shared" si="697"/>
        <v>0</v>
      </c>
      <c r="AA411" s="117">
        <f t="shared" si="698"/>
        <v>6E-10</v>
      </c>
      <c r="AB411" s="117">
        <f t="shared" si="699"/>
        <v>6.9999999999999996E-10</v>
      </c>
      <c r="AC411" s="117">
        <f t="shared" si="700"/>
        <v>8.0000000000000003E-10</v>
      </c>
      <c r="AD411" s="117">
        <f t="shared" si="701"/>
        <v>8.9999999999999999E-10</v>
      </c>
      <c r="AE411" s="117">
        <f t="shared" si="702"/>
        <v>0</v>
      </c>
      <c r="AF411" s="117">
        <f t="shared" si="684"/>
        <v>1E-10</v>
      </c>
      <c r="AG411" s="117">
        <f t="shared" si="685"/>
        <v>2.0000000000000001E-10</v>
      </c>
      <c r="AH411" s="117">
        <f t="shared" si="686"/>
        <v>3E-10</v>
      </c>
      <c r="AJ411" s="117">
        <f t="shared" si="687"/>
        <v>0</v>
      </c>
      <c r="AK411" s="117">
        <f t="shared" si="688"/>
        <v>6E-10</v>
      </c>
      <c r="AL411" s="117">
        <f t="shared" si="689"/>
        <v>6.9999999999999996E-10</v>
      </c>
      <c r="AM411" s="117">
        <f t="shared" si="690"/>
        <v>8.0000000000000003E-10</v>
      </c>
      <c r="AN411" s="117">
        <f t="shared" si="691"/>
        <v>8.9999999999999999E-10</v>
      </c>
      <c r="AO411" s="117">
        <f t="shared" si="692"/>
        <v>0</v>
      </c>
      <c r="AP411" s="117" t="b">
        <f t="shared" si="703"/>
        <v>0</v>
      </c>
      <c r="AQ411" s="117" t="b">
        <f t="shared" si="704"/>
        <v>0</v>
      </c>
      <c r="AR411" s="117" t="b">
        <f t="shared" si="705"/>
        <v>1</v>
      </c>
      <c r="AT411" s="117" t="b">
        <f t="shared" si="706"/>
        <v>0</v>
      </c>
      <c r="AU411" s="117" t="b">
        <f t="shared" si="707"/>
        <v>1</v>
      </c>
      <c r="AV411" s="117" t="b">
        <f t="shared" si="708"/>
        <v>1</v>
      </c>
      <c r="AW411" s="117" t="b">
        <f t="shared" si="709"/>
        <v>1</v>
      </c>
      <c r="AX411" s="117" t="b">
        <f t="shared" si="710"/>
        <v>1</v>
      </c>
      <c r="AY411" s="117" t="b">
        <f t="shared" si="711"/>
        <v>0</v>
      </c>
    </row>
    <row r="412" spans="1:51">
      <c r="A412" s="139" t="str">
        <f>'Reference Score Calculation'!B389</f>
        <v>JS9733</v>
      </c>
      <c r="B412" s="117" t="str">
        <f>'Reference Score Calculation'!B389</f>
        <v>JS9733</v>
      </c>
      <c r="C412" s="129" t="str">
        <f>'Reference Score Calculation'!E389</f>
        <v>科學（ＳＴＥＭ）榮譽理學士</v>
      </c>
      <c r="D412" s="129"/>
      <c r="E412" s="412" t="str">
        <f>'Reference Score Calculation'!F389</f>
        <v>Best 5</v>
      </c>
      <c r="F412" s="117"/>
      <c r="G412" s="117" t="str">
        <f>入學要求!AB398</f>
        <v>v</v>
      </c>
      <c r="H412" s="117" t="str">
        <f>入學要求!AC398</f>
        <v>E</v>
      </c>
      <c r="I412" s="117" t="str">
        <f>入學要求!AD398</f>
        <v>v</v>
      </c>
      <c r="J412" s="117">
        <f>SUMIF(AP412:AY412,TRUE,V412:AE412)</f>
        <v>3.2999999999999998E-9</v>
      </c>
      <c r="K412" s="117">
        <v>1</v>
      </c>
      <c r="L412" s="117">
        <v>1</v>
      </c>
      <c r="M412" s="117">
        <v>1</v>
      </c>
      <c r="O412" s="117">
        <v>1</v>
      </c>
      <c r="P412" s="117">
        <v>1</v>
      </c>
      <c r="Q412" s="117">
        <v>1</v>
      </c>
      <c r="R412" s="117">
        <v>1</v>
      </c>
      <c r="S412" s="117">
        <v>1</v>
      </c>
      <c r="T412" s="117">
        <v>1</v>
      </c>
      <c r="V412" s="117">
        <f t="shared" si="694"/>
        <v>1E-10</v>
      </c>
      <c r="W412" s="117">
        <f t="shared" si="695"/>
        <v>2.0000000000000001E-10</v>
      </c>
      <c r="X412" s="117">
        <f t="shared" si="696"/>
        <v>3E-10</v>
      </c>
      <c r="Z412" s="117">
        <f t="shared" si="697"/>
        <v>0</v>
      </c>
      <c r="AA412" s="117">
        <f t="shared" si="698"/>
        <v>6E-10</v>
      </c>
      <c r="AB412" s="117">
        <f t="shared" si="699"/>
        <v>6.9999999999999996E-10</v>
      </c>
      <c r="AC412" s="117">
        <f t="shared" si="700"/>
        <v>8.0000000000000003E-10</v>
      </c>
      <c r="AD412" s="117">
        <f t="shared" si="701"/>
        <v>8.9999999999999999E-10</v>
      </c>
      <c r="AE412" s="117">
        <f t="shared" si="702"/>
        <v>0</v>
      </c>
      <c r="AF412" s="117">
        <f t="shared" ref="AF412:AH413" si="732">V412</f>
        <v>1E-10</v>
      </c>
      <c r="AG412" s="117">
        <f t="shared" si="732"/>
        <v>2.0000000000000001E-10</v>
      </c>
      <c r="AH412" s="117">
        <f t="shared" si="732"/>
        <v>3E-10</v>
      </c>
      <c r="AJ412" s="117">
        <f t="shared" ref="AJ412:AO413" si="733">Z412</f>
        <v>0</v>
      </c>
      <c r="AK412" s="117">
        <f t="shared" si="733"/>
        <v>6E-10</v>
      </c>
      <c r="AL412" s="117">
        <f t="shared" si="733"/>
        <v>6.9999999999999996E-10</v>
      </c>
      <c r="AM412" s="117">
        <f t="shared" si="733"/>
        <v>8.0000000000000003E-10</v>
      </c>
      <c r="AN412" s="117">
        <f t="shared" si="733"/>
        <v>8.9999999999999999E-10</v>
      </c>
      <c r="AO412" s="117">
        <f t="shared" si="733"/>
        <v>0</v>
      </c>
      <c r="AP412" s="117" t="b">
        <f t="shared" si="703"/>
        <v>0</v>
      </c>
      <c r="AQ412" s="117" t="b">
        <f t="shared" si="704"/>
        <v>0</v>
      </c>
      <c r="AR412" s="117" t="b">
        <f t="shared" si="705"/>
        <v>1</v>
      </c>
      <c r="AT412" s="117" t="b">
        <f t="shared" si="706"/>
        <v>0</v>
      </c>
      <c r="AU412" s="117" t="b">
        <f t="shared" si="707"/>
        <v>1</v>
      </c>
      <c r="AV412" s="117" t="b">
        <f t="shared" si="708"/>
        <v>1</v>
      </c>
      <c r="AW412" s="117" t="b">
        <f t="shared" si="709"/>
        <v>1</v>
      </c>
      <c r="AX412" s="117" t="b">
        <f t="shared" si="710"/>
        <v>1</v>
      </c>
      <c r="AY412" s="117" t="b">
        <f t="shared" si="711"/>
        <v>0</v>
      </c>
    </row>
    <row r="413" spans="1:51">
      <c r="A413" s="139"/>
      <c r="B413" s="117" t="str">
        <f>'Reference Score Calculation'!B390</f>
        <v>JS9776</v>
      </c>
      <c r="C413" s="129" t="str">
        <f>'Reference Score Calculation'!E390</f>
        <v>建造工程與管理榮譽理學士</v>
      </c>
      <c r="D413" s="129"/>
      <c r="E413" s="412" t="str">
        <f>'Reference Score Calculation'!F390</f>
        <v>25年新科目</v>
      </c>
      <c r="F413" s="117"/>
      <c r="G413" s="117" t="str">
        <f>入學要求!AB399</f>
        <v>v</v>
      </c>
      <c r="H413" s="117" t="str">
        <f>入學要求!AC399</f>
        <v>E</v>
      </c>
      <c r="I413" s="117" t="str">
        <f>入學要求!AD399</f>
        <v>v</v>
      </c>
      <c r="J413" s="117">
        <f>SUMIF(AP413:AY413,TRUE,V413:AE413)</f>
        <v>3.2999999999999998E-9</v>
      </c>
      <c r="K413" s="117">
        <v>1</v>
      </c>
      <c r="L413" s="117">
        <v>1</v>
      </c>
      <c r="M413" s="117">
        <v>1</v>
      </c>
      <c r="O413" s="117">
        <v>1</v>
      </c>
      <c r="P413" s="117">
        <v>1</v>
      </c>
      <c r="Q413" s="117">
        <v>1</v>
      </c>
      <c r="R413" s="117">
        <v>1</v>
      </c>
      <c r="S413" s="117">
        <v>1</v>
      </c>
      <c r="T413" s="117">
        <v>1</v>
      </c>
      <c r="V413" s="117">
        <f t="shared" si="694"/>
        <v>1E-10</v>
      </c>
      <c r="W413" s="117">
        <f t="shared" si="695"/>
        <v>2.0000000000000001E-10</v>
      </c>
      <c r="X413" s="117">
        <f t="shared" si="696"/>
        <v>3E-10</v>
      </c>
      <c r="Z413" s="117">
        <f t="shared" si="697"/>
        <v>0</v>
      </c>
      <c r="AA413" s="117">
        <f t="shared" si="698"/>
        <v>6E-10</v>
      </c>
      <c r="AB413" s="117">
        <f t="shared" si="699"/>
        <v>6.9999999999999996E-10</v>
      </c>
      <c r="AC413" s="117">
        <f t="shared" si="700"/>
        <v>8.0000000000000003E-10</v>
      </c>
      <c r="AD413" s="117">
        <f t="shared" si="701"/>
        <v>8.9999999999999999E-10</v>
      </c>
      <c r="AE413" s="117">
        <f t="shared" si="702"/>
        <v>0</v>
      </c>
      <c r="AF413" s="117">
        <f t="shared" si="732"/>
        <v>1E-10</v>
      </c>
      <c r="AG413" s="117">
        <f t="shared" si="732"/>
        <v>2.0000000000000001E-10</v>
      </c>
      <c r="AH413" s="117">
        <f t="shared" si="732"/>
        <v>3E-10</v>
      </c>
      <c r="AJ413" s="117">
        <f t="shared" si="733"/>
        <v>0</v>
      </c>
      <c r="AK413" s="117">
        <f t="shared" si="733"/>
        <v>6E-10</v>
      </c>
      <c r="AL413" s="117">
        <f t="shared" si="733"/>
        <v>6.9999999999999996E-10</v>
      </c>
      <c r="AM413" s="117">
        <f t="shared" si="733"/>
        <v>8.0000000000000003E-10</v>
      </c>
      <c r="AN413" s="117">
        <f t="shared" si="733"/>
        <v>8.9999999999999999E-10</v>
      </c>
      <c r="AO413" s="117">
        <f t="shared" si="733"/>
        <v>0</v>
      </c>
      <c r="AP413" s="117" t="b">
        <f t="shared" si="703"/>
        <v>0</v>
      </c>
      <c r="AQ413" s="117" t="b">
        <f t="shared" si="704"/>
        <v>0</v>
      </c>
      <c r="AR413" s="117" t="b">
        <f t="shared" si="705"/>
        <v>1</v>
      </c>
      <c r="AT413" s="117" t="b">
        <f t="shared" si="706"/>
        <v>0</v>
      </c>
      <c r="AU413" s="117" t="b">
        <f t="shared" si="707"/>
        <v>1</v>
      </c>
      <c r="AV413" s="117" t="b">
        <f t="shared" si="708"/>
        <v>1</v>
      </c>
      <c r="AW413" s="117" t="b">
        <f t="shared" si="709"/>
        <v>1</v>
      </c>
      <c r="AX413" s="117" t="b">
        <f t="shared" si="710"/>
        <v>1</v>
      </c>
      <c r="AY413" s="117" t="b">
        <f t="shared" si="711"/>
        <v>0</v>
      </c>
    </row>
    <row r="414" spans="1:51">
      <c r="C414" s="358"/>
      <c r="AF414" s="117">
        <f t="shared" si="684"/>
        <v>0</v>
      </c>
      <c r="AG414" s="117">
        <f t="shared" si="685"/>
        <v>0</v>
      </c>
      <c r="AH414" s="117">
        <f t="shared" si="686"/>
        <v>0</v>
      </c>
      <c r="AJ414" s="117">
        <f t="shared" si="687"/>
        <v>0</v>
      </c>
      <c r="AK414" s="117">
        <f t="shared" si="688"/>
        <v>0</v>
      </c>
      <c r="AL414" s="117">
        <f t="shared" si="689"/>
        <v>0</v>
      </c>
      <c r="AM414" s="117">
        <f t="shared" si="690"/>
        <v>0</v>
      </c>
      <c r="AN414" s="117">
        <f t="shared" si="691"/>
        <v>0</v>
      </c>
      <c r="AO414" s="117">
        <f t="shared" si="692"/>
        <v>0</v>
      </c>
    </row>
    <row r="415" spans="1:51">
      <c r="B415" s="141" t="s">
        <v>375</v>
      </c>
      <c r="C415" s="405" t="s">
        <v>2235</v>
      </c>
      <c r="D415" s="142"/>
      <c r="E415" s="143"/>
      <c r="F415" s="400"/>
      <c r="G415" s="19" t="s">
        <v>267</v>
      </c>
      <c r="H415" s="19" t="s">
        <v>268</v>
      </c>
      <c r="I415" s="19" t="s">
        <v>269</v>
      </c>
      <c r="J415" s="130" t="s">
        <v>217</v>
      </c>
      <c r="K415" s="130" t="s">
        <v>246</v>
      </c>
      <c r="L415" s="130" t="s">
        <v>247</v>
      </c>
      <c r="M415" s="130" t="s">
        <v>248</v>
      </c>
      <c r="N415" s="130" t="s">
        <v>2099</v>
      </c>
      <c r="O415" s="130" t="s">
        <v>250</v>
      </c>
      <c r="P415" s="130" t="s">
        <v>251</v>
      </c>
      <c r="Q415" s="130" t="s">
        <v>252</v>
      </c>
      <c r="R415" s="130" t="s">
        <v>253</v>
      </c>
      <c r="S415" s="130" t="s">
        <v>254</v>
      </c>
      <c r="T415" s="130" t="s">
        <v>288</v>
      </c>
      <c r="U415" s="141"/>
      <c r="V415" s="130" t="str">
        <f t="shared" ref="V415:AE415" si="734">K$1</f>
        <v>中國語文</v>
      </c>
      <c r="W415" s="130" t="str">
        <f t="shared" si="734"/>
        <v>英國語文</v>
      </c>
      <c r="X415" s="130" t="str">
        <f t="shared" si="734"/>
        <v>數學</v>
      </c>
      <c r="Y415" s="130"/>
      <c r="Z415" s="130" t="str">
        <f t="shared" si="734"/>
        <v>數學延伸</v>
      </c>
      <c r="AA415" s="130" t="str">
        <f t="shared" si="734"/>
        <v>請選擇第一選修科</v>
      </c>
      <c r="AB415" s="130" t="str">
        <f t="shared" si="734"/>
        <v>請選擇第二選修科</v>
      </c>
      <c r="AC415" s="130" t="str">
        <f t="shared" si="734"/>
        <v>請選擇第三選修科</v>
      </c>
      <c r="AD415" s="130" t="str">
        <f t="shared" si="734"/>
        <v>請選擇第四選修科</v>
      </c>
      <c r="AE415" s="130" t="str">
        <f t="shared" si="734"/>
        <v>請選擇語言科目</v>
      </c>
      <c r="AF415" s="117" t="str">
        <f t="shared" si="684"/>
        <v>中國語文</v>
      </c>
      <c r="AG415" s="117" t="str">
        <f t="shared" si="685"/>
        <v>英國語文</v>
      </c>
      <c r="AH415" s="117" t="str">
        <f t="shared" si="686"/>
        <v>數學</v>
      </c>
      <c r="AJ415" s="117" t="str">
        <f t="shared" si="687"/>
        <v>數學延伸</v>
      </c>
      <c r="AK415" s="117" t="str">
        <f t="shared" si="688"/>
        <v>請選擇第一選修科</v>
      </c>
      <c r="AL415" s="117" t="str">
        <f t="shared" si="689"/>
        <v>請選擇第二選修科</v>
      </c>
      <c r="AM415" s="117" t="str">
        <f t="shared" si="690"/>
        <v>請選擇第三選修科</v>
      </c>
      <c r="AN415" s="117" t="str">
        <f t="shared" si="691"/>
        <v>請選擇第四選修科</v>
      </c>
      <c r="AO415" s="117" t="str">
        <f t="shared" si="692"/>
        <v>請選擇語言科目</v>
      </c>
      <c r="AP415" s="130" t="s">
        <v>256</v>
      </c>
      <c r="AQ415" s="130" t="s">
        <v>257</v>
      </c>
      <c r="AR415" s="130" t="s">
        <v>258</v>
      </c>
      <c r="AS415" s="130" t="s">
        <v>2099</v>
      </c>
      <c r="AT415" s="130" t="s">
        <v>259</v>
      </c>
      <c r="AU415" s="130" t="s">
        <v>260</v>
      </c>
      <c r="AV415" s="130" t="s">
        <v>261</v>
      </c>
      <c r="AW415" s="130" t="s">
        <v>262</v>
      </c>
      <c r="AX415" s="130" t="s">
        <v>263</v>
      </c>
      <c r="AY415" s="130" t="s">
        <v>289</v>
      </c>
    </row>
    <row r="416" spans="1:51">
      <c r="A416" s="139" t="str">
        <f>'Reference Score Calculation'!B393</f>
        <v>JSSA01</v>
      </c>
      <c r="B416" s="117" t="str">
        <f>'Reference Score Calculation'!B393</f>
        <v>JSSA01</v>
      </c>
      <c r="C416" s="117" t="str">
        <f>'Reference Score Calculation'!E393</f>
        <v>護理學（榮譽）學士</v>
      </c>
      <c r="D416" s="117" t="str">
        <f>'Reference Score Calculation'!F393</f>
        <v>Best 5</v>
      </c>
      <c r="E416" s="117" t="str">
        <f>'Reference Score Calculation'!F393</f>
        <v>Best 5</v>
      </c>
      <c r="F416" s="117"/>
      <c r="G416" s="117" t="str">
        <f>入學要求!AB402</f>
        <v>v</v>
      </c>
      <c r="H416" s="117" t="str">
        <f>入學要求!AC402</f>
        <v>NO</v>
      </c>
      <c r="I416" s="117" t="str">
        <f>入學要求!AD402</f>
        <v>NO</v>
      </c>
      <c r="J416" s="117">
        <f t="shared" ref="J416:J470" si="735">SUMIF(AP416:AY416,TRUE,V416:AE416)</f>
        <v>3.4999999999999999E-9</v>
      </c>
      <c r="K416" s="117">
        <v>1</v>
      </c>
      <c r="L416" s="117">
        <v>1</v>
      </c>
      <c r="M416" s="117">
        <v>1</v>
      </c>
      <c r="O416" s="117">
        <v>1</v>
      </c>
      <c r="P416" s="117">
        <v>1</v>
      </c>
      <c r="Q416" s="117">
        <v>1</v>
      </c>
      <c r="R416" s="117">
        <v>1</v>
      </c>
      <c r="S416" s="117">
        <v>1</v>
      </c>
      <c r="T416" s="117">
        <v>1</v>
      </c>
      <c r="V416" s="117">
        <f t="shared" ref="V416:V452" si="736">K$13*K416</f>
        <v>1E-10</v>
      </c>
      <c r="W416" s="117">
        <f t="shared" ref="W416:W452" si="737">L$13*L416</f>
        <v>2.0000000000000001E-10</v>
      </c>
      <c r="X416" s="117">
        <f t="shared" ref="X416:X452" si="738">M$13*M416</f>
        <v>3E-10</v>
      </c>
      <c r="Z416" s="117">
        <f t="shared" ref="Z416:Z452" si="739">IF(G416="v",O$13*O416,0)</f>
        <v>5.0000000000000003E-10</v>
      </c>
      <c r="AA416" s="117">
        <f t="shared" ref="AA416:AA452" si="740">P$13*P416</f>
        <v>6E-10</v>
      </c>
      <c r="AB416" s="117">
        <f t="shared" ref="AB416:AB452" si="741">Q$13*Q416</f>
        <v>6.9999999999999996E-10</v>
      </c>
      <c r="AC416" s="117">
        <f t="shared" ref="AC416:AC452" si="742">R$13*R416</f>
        <v>8.0000000000000003E-10</v>
      </c>
      <c r="AD416" s="117">
        <f t="shared" ref="AD416:AD452" si="743">S$13*S416</f>
        <v>8.9999999999999999E-10</v>
      </c>
      <c r="AF416" s="117">
        <f t="shared" si="684"/>
        <v>1E-10</v>
      </c>
      <c r="AG416" s="117">
        <f t="shared" si="685"/>
        <v>2.0000000000000001E-10</v>
      </c>
      <c r="AH416" s="117">
        <f t="shared" si="686"/>
        <v>3E-10</v>
      </c>
      <c r="AJ416" s="117">
        <f t="shared" si="687"/>
        <v>5.0000000000000003E-10</v>
      </c>
      <c r="AK416" s="117">
        <f t="shared" si="688"/>
        <v>6E-10</v>
      </c>
      <c r="AL416" s="117">
        <f t="shared" si="689"/>
        <v>6.9999999999999996E-10</v>
      </c>
      <c r="AM416" s="117">
        <f t="shared" si="690"/>
        <v>8.0000000000000003E-10</v>
      </c>
      <c r="AN416" s="117">
        <f t="shared" si="691"/>
        <v>8.9999999999999999E-10</v>
      </c>
      <c r="AO416" s="117">
        <f t="shared" si="692"/>
        <v>0</v>
      </c>
      <c r="AP416" s="139" t="b">
        <f>IF(V416&gt;LARGE($V416:$AE416,6),TRUE)</f>
        <v>0</v>
      </c>
      <c r="AQ416" s="139" t="b">
        <f t="shared" ref="AQ416:AY416" si="744">IF(W416&gt;LARGE($V416:$AE416,6),TRUE)</f>
        <v>0</v>
      </c>
      <c r="AR416" s="139" t="b">
        <f t="shared" si="744"/>
        <v>0</v>
      </c>
      <c r="AS416" s="139" t="b">
        <f t="shared" si="744"/>
        <v>0</v>
      </c>
      <c r="AT416" s="139" t="b">
        <f t="shared" si="744"/>
        <v>1</v>
      </c>
      <c r="AU416" s="139" t="b">
        <f t="shared" si="744"/>
        <v>1</v>
      </c>
      <c r="AV416" s="139" t="b">
        <f t="shared" si="744"/>
        <v>1</v>
      </c>
      <c r="AW416" s="139" t="b">
        <f t="shared" si="744"/>
        <v>1</v>
      </c>
      <c r="AX416" s="139" t="b">
        <f t="shared" si="744"/>
        <v>1</v>
      </c>
      <c r="AY416" s="139" t="b">
        <f t="shared" si="744"/>
        <v>0</v>
      </c>
    </row>
    <row r="417" spans="1:51">
      <c r="A417" s="139" t="str">
        <f>'Reference Score Calculation'!B394</f>
        <v>JSSA02</v>
      </c>
      <c r="B417" s="117" t="str">
        <f>'Reference Score Calculation'!B394</f>
        <v>JSSA02</v>
      </c>
      <c r="C417" s="117" t="str">
        <f>'Reference Score Calculation'!E394</f>
        <v>數碼娛樂科技（榮譽）理學士</v>
      </c>
      <c r="D417" s="117" t="str">
        <f>'Reference Score Calculation'!F394</f>
        <v>Best 5</v>
      </c>
      <c r="E417" s="117" t="str">
        <f>'Reference Score Calculation'!F394</f>
        <v>Best 5</v>
      </c>
      <c r="F417" s="117"/>
      <c r="G417" s="117" t="str">
        <f>入學要求!AB403</f>
        <v>v</v>
      </c>
      <c r="H417" s="117" t="str">
        <f>入學要求!AC403</f>
        <v>NO</v>
      </c>
      <c r="I417" s="117" t="str">
        <f>入學要求!AD403</f>
        <v>NO</v>
      </c>
      <c r="J417" s="117">
        <f t="shared" si="735"/>
        <v>3.4999999999999999E-9</v>
      </c>
      <c r="K417" s="117">
        <v>1</v>
      </c>
      <c r="L417" s="117">
        <v>1</v>
      </c>
      <c r="M417" s="117">
        <v>1</v>
      </c>
      <c r="O417" s="117">
        <v>1</v>
      </c>
      <c r="P417" s="117">
        <v>1</v>
      </c>
      <c r="Q417" s="117">
        <v>1</v>
      </c>
      <c r="R417" s="117">
        <v>1</v>
      </c>
      <c r="S417" s="117">
        <v>1</v>
      </c>
      <c r="T417" s="117">
        <v>1</v>
      </c>
      <c r="V417" s="117">
        <f t="shared" si="736"/>
        <v>1E-10</v>
      </c>
      <c r="W417" s="117">
        <f t="shared" si="737"/>
        <v>2.0000000000000001E-10</v>
      </c>
      <c r="X417" s="117">
        <f t="shared" si="738"/>
        <v>3E-10</v>
      </c>
      <c r="Z417" s="117">
        <f t="shared" si="739"/>
        <v>5.0000000000000003E-10</v>
      </c>
      <c r="AA417" s="117">
        <f t="shared" si="740"/>
        <v>6E-10</v>
      </c>
      <c r="AB417" s="117">
        <f t="shared" si="741"/>
        <v>6.9999999999999996E-10</v>
      </c>
      <c r="AC417" s="117">
        <f t="shared" si="742"/>
        <v>8.0000000000000003E-10</v>
      </c>
      <c r="AD417" s="117">
        <f t="shared" si="743"/>
        <v>8.9999999999999999E-10</v>
      </c>
      <c r="AF417" s="117">
        <f t="shared" si="684"/>
        <v>1E-10</v>
      </c>
      <c r="AG417" s="117">
        <f t="shared" si="685"/>
        <v>2.0000000000000001E-10</v>
      </c>
      <c r="AH417" s="117">
        <f t="shared" si="686"/>
        <v>3E-10</v>
      </c>
      <c r="AJ417" s="117">
        <f t="shared" si="687"/>
        <v>5.0000000000000003E-10</v>
      </c>
      <c r="AK417" s="117">
        <f t="shared" si="688"/>
        <v>6E-10</v>
      </c>
      <c r="AL417" s="117">
        <f t="shared" si="689"/>
        <v>6.9999999999999996E-10</v>
      </c>
      <c r="AM417" s="117">
        <f t="shared" si="690"/>
        <v>8.0000000000000003E-10</v>
      </c>
      <c r="AN417" s="117">
        <f t="shared" si="691"/>
        <v>8.9999999999999999E-10</v>
      </c>
      <c r="AO417" s="117">
        <f t="shared" si="692"/>
        <v>0</v>
      </c>
      <c r="AP417" s="139" t="b">
        <f t="shared" ref="AP417:AP470" si="745">IF(V417&gt;LARGE($V417:$AE417,6),TRUE)</f>
        <v>0</v>
      </c>
      <c r="AQ417" s="139" t="b">
        <f t="shared" ref="AQ417:AQ470" si="746">IF(W417&gt;LARGE($V417:$AE417,6),TRUE)</f>
        <v>0</v>
      </c>
      <c r="AR417" s="139" t="b">
        <f t="shared" ref="AR417:AR470" si="747">IF(X417&gt;LARGE($V417:$AE417,6),TRUE)</f>
        <v>0</v>
      </c>
      <c r="AS417" s="139" t="b">
        <f t="shared" ref="AS417:AS470" si="748">IF(Y417&gt;LARGE($V417:$AE417,6),TRUE)</f>
        <v>0</v>
      </c>
      <c r="AT417" s="139" t="b">
        <f t="shared" ref="AT417:AT470" si="749">IF(Z417&gt;LARGE($V417:$AE417,6),TRUE)</f>
        <v>1</v>
      </c>
      <c r="AU417" s="139" t="b">
        <f t="shared" ref="AU417:AU470" si="750">IF(AA417&gt;LARGE($V417:$AE417,6),TRUE)</f>
        <v>1</v>
      </c>
      <c r="AV417" s="139" t="b">
        <f t="shared" ref="AV417:AV470" si="751">IF(AB417&gt;LARGE($V417:$AE417,6),TRUE)</f>
        <v>1</v>
      </c>
      <c r="AW417" s="139" t="b">
        <f t="shared" ref="AW417:AW470" si="752">IF(AC417&gt;LARGE($V417:$AE417,6),TRUE)</f>
        <v>1</v>
      </c>
      <c r="AX417" s="139" t="b">
        <f t="shared" ref="AX417:AX470" si="753">IF(AD417&gt;LARGE($V417:$AE417,6),TRUE)</f>
        <v>1</v>
      </c>
      <c r="AY417" s="139" t="b">
        <f t="shared" ref="AY417:AY470" si="754">IF(AE417&gt;LARGE($V417:$AE417,6),TRUE)</f>
        <v>0</v>
      </c>
    </row>
    <row r="418" spans="1:51">
      <c r="A418" s="139" t="str">
        <f>'Reference Score Calculation'!B395</f>
        <v>JSSA03</v>
      </c>
      <c r="B418" s="117" t="str">
        <f>'Reference Score Calculation'!B395</f>
        <v>JSSA03</v>
      </c>
      <c r="C418" s="117" t="str">
        <f>'Reference Score Calculation'!E395</f>
        <v>物理治療學（榮譽）理學士</v>
      </c>
      <c r="D418" s="117" t="str">
        <f>'Reference Score Calculation'!F395</f>
        <v>Best 5</v>
      </c>
      <c r="E418" s="117" t="str">
        <f>'Reference Score Calculation'!F395</f>
        <v>Best 5</v>
      </c>
      <c r="F418" s="117"/>
      <c r="G418" s="117" t="str">
        <f>入學要求!AB404</f>
        <v>v</v>
      </c>
      <c r="H418" s="117" t="str">
        <f>入學要求!AC404</f>
        <v>NO</v>
      </c>
      <c r="I418" s="117" t="str">
        <f>入學要求!AD404</f>
        <v>NO</v>
      </c>
      <c r="J418" s="117">
        <f t="shared" si="735"/>
        <v>3.4999999999999999E-9</v>
      </c>
      <c r="K418" s="117">
        <v>1</v>
      </c>
      <c r="L418" s="117">
        <v>1</v>
      </c>
      <c r="M418" s="117">
        <v>1</v>
      </c>
      <c r="O418" s="117">
        <v>1</v>
      </c>
      <c r="P418" s="117">
        <v>1</v>
      </c>
      <c r="Q418" s="117">
        <v>1</v>
      </c>
      <c r="R418" s="117">
        <v>1</v>
      </c>
      <c r="S418" s="117">
        <v>1</v>
      </c>
      <c r="T418" s="117">
        <v>1</v>
      </c>
      <c r="V418" s="117">
        <f t="shared" si="736"/>
        <v>1E-10</v>
      </c>
      <c r="W418" s="117">
        <f t="shared" si="737"/>
        <v>2.0000000000000001E-10</v>
      </c>
      <c r="X418" s="117">
        <f t="shared" si="738"/>
        <v>3E-10</v>
      </c>
      <c r="Z418" s="117">
        <f t="shared" si="739"/>
        <v>5.0000000000000003E-10</v>
      </c>
      <c r="AA418" s="117">
        <f t="shared" si="740"/>
        <v>6E-10</v>
      </c>
      <c r="AB418" s="117">
        <f t="shared" si="741"/>
        <v>6.9999999999999996E-10</v>
      </c>
      <c r="AC418" s="117">
        <f t="shared" si="742"/>
        <v>8.0000000000000003E-10</v>
      </c>
      <c r="AD418" s="117">
        <f t="shared" si="743"/>
        <v>8.9999999999999999E-10</v>
      </c>
      <c r="AF418" s="117">
        <f t="shared" si="684"/>
        <v>1E-10</v>
      </c>
      <c r="AG418" s="117">
        <f t="shared" si="685"/>
        <v>2.0000000000000001E-10</v>
      </c>
      <c r="AH418" s="117">
        <f t="shared" si="686"/>
        <v>3E-10</v>
      </c>
      <c r="AJ418" s="117">
        <f t="shared" si="687"/>
        <v>5.0000000000000003E-10</v>
      </c>
      <c r="AK418" s="117">
        <f t="shared" si="688"/>
        <v>6E-10</v>
      </c>
      <c r="AL418" s="117">
        <f t="shared" si="689"/>
        <v>6.9999999999999996E-10</v>
      </c>
      <c r="AM418" s="117">
        <f t="shared" si="690"/>
        <v>8.0000000000000003E-10</v>
      </c>
      <c r="AN418" s="117">
        <f t="shared" si="691"/>
        <v>8.9999999999999999E-10</v>
      </c>
      <c r="AO418" s="117">
        <f t="shared" si="692"/>
        <v>0</v>
      </c>
      <c r="AP418" s="139" t="b">
        <f t="shared" si="745"/>
        <v>0</v>
      </c>
      <c r="AQ418" s="139" t="b">
        <f t="shared" si="746"/>
        <v>0</v>
      </c>
      <c r="AR418" s="139" t="b">
        <f t="shared" si="747"/>
        <v>0</v>
      </c>
      <c r="AS418" s="139" t="b">
        <f t="shared" si="748"/>
        <v>0</v>
      </c>
      <c r="AT418" s="139" t="b">
        <f t="shared" si="749"/>
        <v>1</v>
      </c>
      <c r="AU418" s="139" t="b">
        <f t="shared" si="750"/>
        <v>1</v>
      </c>
      <c r="AV418" s="139" t="b">
        <f t="shared" si="751"/>
        <v>1</v>
      </c>
      <c r="AW418" s="139" t="b">
        <f t="shared" si="752"/>
        <v>1</v>
      </c>
      <c r="AX418" s="139" t="b">
        <f t="shared" si="753"/>
        <v>1</v>
      </c>
      <c r="AY418" s="139" t="b">
        <f t="shared" si="754"/>
        <v>0</v>
      </c>
    </row>
    <row r="419" spans="1:51">
      <c r="A419" s="139" t="str">
        <f>'Reference Score Calculation'!B396</f>
        <v>JSSA04</v>
      </c>
      <c r="B419" s="117" t="str">
        <f>'Reference Score Calculation'!B396</f>
        <v>JSSA04</v>
      </c>
      <c r="C419" s="117" t="str">
        <f>'Reference Score Calculation'!E396</f>
        <v>人工智能（榮譽）理學士</v>
      </c>
      <c r="D419" s="117" t="str">
        <f>'Reference Score Calculation'!F396</f>
        <v>Best 5</v>
      </c>
      <c r="E419" s="117" t="str">
        <f>'Reference Score Calculation'!F396</f>
        <v>Best 5</v>
      </c>
      <c r="F419" s="117"/>
      <c r="G419" s="117" t="str">
        <f>入學要求!AB405</f>
        <v>v</v>
      </c>
      <c r="H419" s="117" t="str">
        <f>入學要求!AC405</f>
        <v>NO</v>
      </c>
      <c r="I419" s="117" t="str">
        <f>入學要求!AD405</f>
        <v>NO</v>
      </c>
      <c r="J419" s="117">
        <f t="shared" si="735"/>
        <v>3.4999999999999999E-9</v>
      </c>
      <c r="K419" s="117">
        <v>1</v>
      </c>
      <c r="L419" s="117">
        <v>1</v>
      </c>
      <c r="M419" s="117">
        <v>1</v>
      </c>
      <c r="O419" s="117">
        <v>1</v>
      </c>
      <c r="P419" s="117">
        <v>1</v>
      </c>
      <c r="Q419" s="117">
        <v>1</v>
      </c>
      <c r="R419" s="117">
        <v>1</v>
      </c>
      <c r="S419" s="117">
        <v>1</v>
      </c>
      <c r="T419" s="117">
        <v>1</v>
      </c>
      <c r="V419" s="117">
        <f t="shared" si="736"/>
        <v>1E-10</v>
      </c>
      <c r="W419" s="117">
        <f t="shared" si="737"/>
        <v>2.0000000000000001E-10</v>
      </c>
      <c r="X419" s="117">
        <f t="shared" si="738"/>
        <v>3E-10</v>
      </c>
      <c r="Z419" s="117">
        <f t="shared" si="739"/>
        <v>5.0000000000000003E-10</v>
      </c>
      <c r="AA419" s="117">
        <f t="shared" si="740"/>
        <v>6E-10</v>
      </c>
      <c r="AB419" s="117">
        <f t="shared" si="741"/>
        <v>6.9999999999999996E-10</v>
      </c>
      <c r="AC419" s="117">
        <f t="shared" si="742"/>
        <v>8.0000000000000003E-10</v>
      </c>
      <c r="AD419" s="117">
        <f t="shared" si="743"/>
        <v>8.9999999999999999E-10</v>
      </c>
      <c r="AF419" s="117">
        <f t="shared" si="684"/>
        <v>1E-10</v>
      </c>
      <c r="AG419" s="117">
        <f t="shared" si="685"/>
        <v>2.0000000000000001E-10</v>
      </c>
      <c r="AH419" s="117">
        <f t="shared" si="686"/>
        <v>3E-10</v>
      </c>
      <c r="AJ419" s="117">
        <f t="shared" si="687"/>
        <v>5.0000000000000003E-10</v>
      </c>
      <c r="AK419" s="117">
        <f t="shared" si="688"/>
        <v>6E-10</v>
      </c>
      <c r="AL419" s="117">
        <f t="shared" si="689"/>
        <v>6.9999999999999996E-10</v>
      </c>
      <c r="AM419" s="117">
        <f t="shared" si="690"/>
        <v>8.0000000000000003E-10</v>
      </c>
      <c r="AN419" s="117">
        <f t="shared" si="691"/>
        <v>8.9999999999999999E-10</v>
      </c>
      <c r="AO419" s="117">
        <f t="shared" si="692"/>
        <v>0</v>
      </c>
      <c r="AP419" s="139" t="b">
        <f t="shared" si="745"/>
        <v>0</v>
      </c>
      <c r="AQ419" s="139" t="b">
        <f t="shared" si="746"/>
        <v>0</v>
      </c>
      <c r="AR419" s="139" t="b">
        <f t="shared" si="747"/>
        <v>0</v>
      </c>
      <c r="AS419" s="139" t="b">
        <f t="shared" si="748"/>
        <v>0</v>
      </c>
      <c r="AT419" s="139" t="b">
        <f t="shared" si="749"/>
        <v>1</v>
      </c>
      <c r="AU419" s="139" t="b">
        <f t="shared" si="750"/>
        <v>1</v>
      </c>
      <c r="AV419" s="139" t="b">
        <f t="shared" si="751"/>
        <v>1</v>
      </c>
      <c r="AW419" s="139" t="b">
        <f t="shared" si="752"/>
        <v>1</v>
      </c>
      <c r="AX419" s="139" t="b">
        <f t="shared" si="753"/>
        <v>1</v>
      </c>
      <c r="AY419" s="139" t="b">
        <f t="shared" si="754"/>
        <v>0</v>
      </c>
    </row>
    <row r="420" spans="1:51">
      <c r="A420" s="139" t="str">
        <f>'Reference Score Calculation'!B397</f>
        <v>JSSA05</v>
      </c>
      <c r="B420" s="117" t="str">
        <f>'Reference Score Calculation'!B397</f>
        <v>JSSA05</v>
      </c>
      <c r="C420" s="117" t="str">
        <f>'Reference Score Calculation'!E397</f>
        <v>翻譯科技（榮譽）文學士</v>
      </c>
      <c r="D420" s="117" t="str">
        <f>'Reference Score Calculation'!F397</f>
        <v>Best 5</v>
      </c>
      <c r="E420" s="117" t="str">
        <f>'Reference Score Calculation'!F397</f>
        <v>Best 5</v>
      </c>
      <c r="F420" s="140"/>
      <c r="G420" s="117" t="str">
        <f>入學要求!AB406</f>
        <v>v</v>
      </c>
      <c r="H420" s="117" t="str">
        <f>入學要求!AC406</f>
        <v>NO</v>
      </c>
      <c r="I420" s="117" t="str">
        <f>入學要求!AD406</f>
        <v>NO</v>
      </c>
      <c r="J420" s="117">
        <f t="shared" si="735"/>
        <v>3.4999999999999999E-9</v>
      </c>
      <c r="K420" s="117">
        <v>1</v>
      </c>
      <c r="L420" s="117">
        <v>1</v>
      </c>
      <c r="M420" s="117">
        <v>1</v>
      </c>
      <c r="O420" s="117">
        <v>1</v>
      </c>
      <c r="P420" s="117">
        <v>1</v>
      </c>
      <c r="Q420" s="117">
        <v>1</v>
      </c>
      <c r="R420" s="117">
        <v>1</v>
      </c>
      <c r="S420" s="117">
        <v>1</v>
      </c>
      <c r="T420" s="117">
        <v>1</v>
      </c>
      <c r="V420" s="117">
        <f t="shared" si="736"/>
        <v>1E-10</v>
      </c>
      <c r="W420" s="117">
        <f t="shared" si="737"/>
        <v>2.0000000000000001E-10</v>
      </c>
      <c r="X420" s="117">
        <f t="shared" si="738"/>
        <v>3E-10</v>
      </c>
      <c r="Z420" s="117">
        <f t="shared" si="739"/>
        <v>5.0000000000000003E-10</v>
      </c>
      <c r="AA420" s="117">
        <f t="shared" si="740"/>
        <v>6E-10</v>
      </c>
      <c r="AB420" s="117">
        <f t="shared" si="741"/>
        <v>6.9999999999999996E-10</v>
      </c>
      <c r="AC420" s="117">
        <f t="shared" si="742"/>
        <v>8.0000000000000003E-10</v>
      </c>
      <c r="AD420" s="117">
        <f t="shared" si="743"/>
        <v>8.9999999999999999E-10</v>
      </c>
      <c r="AF420" s="117">
        <f t="shared" ref="AF420:AF469" si="755">V420</f>
        <v>1E-10</v>
      </c>
      <c r="AG420" s="117">
        <f t="shared" ref="AG420:AG469" si="756">W420</f>
        <v>2.0000000000000001E-10</v>
      </c>
      <c r="AH420" s="117">
        <f t="shared" ref="AH420:AH469" si="757">X420</f>
        <v>3E-10</v>
      </c>
      <c r="AJ420" s="117">
        <f t="shared" ref="AJ420:AJ469" si="758">Z420</f>
        <v>5.0000000000000003E-10</v>
      </c>
      <c r="AK420" s="117">
        <f t="shared" ref="AK420:AK469" si="759">AA420</f>
        <v>6E-10</v>
      </c>
      <c r="AL420" s="117">
        <f t="shared" ref="AL420:AL469" si="760">AB420</f>
        <v>6.9999999999999996E-10</v>
      </c>
      <c r="AM420" s="117">
        <f t="shared" ref="AM420:AM469" si="761">AC420</f>
        <v>8.0000000000000003E-10</v>
      </c>
      <c r="AN420" s="117">
        <f t="shared" ref="AN420:AN469" si="762">AD420</f>
        <v>8.9999999999999999E-10</v>
      </c>
      <c r="AO420" s="117">
        <f t="shared" ref="AO420:AO469" si="763">AE420</f>
        <v>0</v>
      </c>
      <c r="AP420" s="139" t="b">
        <f t="shared" si="745"/>
        <v>0</v>
      </c>
      <c r="AQ420" s="139" t="b">
        <f t="shared" si="746"/>
        <v>0</v>
      </c>
      <c r="AR420" s="139" t="b">
        <f t="shared" si="747"/>
        <v>0</v>
      </c>
      <c r="AS420" s="139" t="b">
        <f t="shared" si="748"/>
        <v>0</v>
      </c>
      <c r="AT420" s="139" t="b">
        <f t="shared" si="749"/>
        <v>1</v>
      </c>
      <c r="AU420" s="139" t="b">
        <f t="shared" si="750"/>
        <v>1</v>
      </c>
      <c r="AV420" s="139" t="b">
        <f t="shared" si="751"/>
        <v>1</v>
      </c>
      <c r="AW420" s="139" t="b">
        <f t="shared" si="752"/>
        <v>1</v>
      </c>
      <c r="AX420" s="139" t="b">
        <f t="shared" si="753"/>
        <v>1</v>
      </c>
      <c r="AY420" s="139" t="b">
        <f t="shared" si="754"/>
        <v>0</v>
      </c>
    </row>
    <row r="421" spans="1:51">
      <c r="A421" s="139" t="str">
        <f>'Reference Score Calculation'!B398</f>
        <v>JSSA06</v>
      </c>
      <c r="B421" s="117" t="str">
        <f>'Reference Score Calculation'!B398</f>
        <v>JSSA06</v>
      </c>
      <c r="C421" s="117" t="str">
        <f>'Reference Score Calculation'!E398</f>
        <v>工商管理（榮譽）酒店及旅遊管理應用學士</v>
      </c>
      <c r="E421" s="117" t="str">
        <f>'Reference Score Calculation'!F398</f>
        <v>Best 5</v>
      </c>
      <c r="F421" s="140"/>
      <c r="G421" s="117" t="str">
        <f>入學要求!AB407</f>
        <v>v</v>
      </c>
      <c r="H421" s="117" t="str">
        <f>入學要求!AC407</f>
        <v>NO</v>
      </c>
      <c r="I421" s="117" t="str">
        <f>入學要求!AD407</f>
        <v>NO</v>
      </c>
      <c r="J421" s="117">
        <f t="shared" si="735"/>
        <v>3.4999999999999999E-9</v>
      </c>
      <c r="K421" s="117">
        <v>1</v>
      </c>
      <c r="L421" s="117">
        <v>1</v>
      </c>
      <c r="M421" s="117">
        <v>1</v>
      </c>
      <c r="O421" s="117">
        <v>1</v>
      </c>
      <c r="P421" s="117">
        <v>1</v>
      </c>
      <c r="Q421" s="117">
        <v>1</v>
      </c>
      <c r="R421" s="117">
        <v>1</v>
      </c>
      <c r="S421" s="117">
        <v>1</v>
      </c>
      <c r="T421" s="117">
        <v>1</v>
      </c>
      <c r="V421" s="117">
        <f t="shared" si="736"/>
        <v>1E-10</v>
      </c>
      <c r="W421" s="117">
        <f t="shared" si="737"/>
        <v>2.0000000000000001E-10</v>
      </c>
      <c r="X421" s="117">
        <f t="shared" si="738"/>
        <v>3E-10</v>
      </c>
      <c r="Z421" s="117">
        <f t="shared" si="739"/>
        <v>5.0000000000000003E-10</v>
      </c>
      <c r="AA421" s="117">
        <f t="shared" si="740"/>
        <v>6E-10</v>
      </c>
      <c r="AB421" s="117">
        <f t="shared" si="741"/>
        <v>6.9999999999999996E-10</v>
      </c>
      <c r="AC421" s="117">
        <f t="shared" si="742"/>
        <v>8.0000000000000003E-10</v>
      </c>
      <c r="AD421" s="117">
        <f t="shared" si="743"/>
        <v>8.9999999999999999E-10</v>
      </c>
      <c r="AF421" s="117">
        <f t="shared" si="755"/>
        <v>1E-10</v>
      </c>
      <c r="AG421" s="117">
        <f t="shared" si="756"/>
        <v>2.0000000000000001E-10</v>
      </c>
      <c r="AH421" s="117">
        <f t="shared" si="757"/>
        <v>3E-10</v>
      </c>
      <c r="AJ421" s="117">
        <f t="shared" si="758"/>
        <v>5.0000000000000003E-10</v>
      </c>
      <c r="AK421" s="117">
        <f t="shared" si="759"/>
        <v>6E-10</v>
      </c>
      <c r="AL421" s="117">
        <f t="shared" si="760"/>
        <v>6.9999999999999996E-10</v>
      </c>
      <c r="AM421" s="117">
        <f t="shared" si="761"/>
        <v>8.0000000000000003E-10</v>
      </c>
      <c r="AN421" s="117">
        <f t="shared" si="762"/>
        <v>8.9999999999999999E-10</v>
      </c>
      <c r="AO421" s="117">
        <f t="shared" si="763"/>
        <v>0</v>
      </c>
      <c r="AP421" s="139" t="b">
        <f t="shared" si="745"/>
        <v>0</v>
      </c>
      <c r="AQ421" s="139" t="b">
        <f t="shared" si="746"/>
        <v>0</v>
      </c>
      <c r="AR421" s="139" t="b">
        <f t="shared" si="747"/>
        <v>0</v>
      </c>
      <c r="AS421" s="139" t="b">
        <f t="shared" si="748"/>
        <v>0</v>
      </c>
      <c r="AT421" s="139" t="b">
        <f t="shared" si="749"/>
        <v>1</v>
      </c>
      <c r="AU421" s="139" t="b">
        <f t="shared" si="750"/>
        <v>1</v>
      </c>
      <c r="AV421" s="139" t="b">
        <f t="shared" si="751"/>
        <v>1</v>
      </c>
      <c r="AW421" s="139" t="b">
        <f t="shared" si="752"/>
        <v>1</v>
      </c>
      <c r="AX421" s="139" t="b">
        <f t="shared" si="753"/>
        <v>1</v>
      </c>
      <c r="AY421" s="139" t="b">
        <f t="shared" si="754"/>
        <v>0</v>
      </c>
    </row>
    <row r="422" spans="1:51">
      <c r="A422" s="139" t="str">
        <f>'Reference Score Calculation'!B399</f>
        <v>JSSC02</v>
      </c>
      <c r="B422" s="117" t="str">
        <f>'Reference Score Calculation'!B399</f>
        <v>JSSC02</v>
      </c>
      <c r="C422" s="117" t="str">
        <f>'Reference Score Calculation'!E399</f>
        <v>建築學（榮譽）理學士</v>
      </c>
      <c r="D422" s="117" t="str">
        <f>'Reference Score Calculation'!F399</f>
        <v>Best 4</v>
      </c>
      <c r="E422" s="117" t="str">
        <f>'Reference Score Calculation'!F399</f>
        <v>Best 4</v>
      </c>
      <c r="F422" s="117"/>
      <c r="G422" s="117" t="str">
        <f>入學要求!AB408</f>
        <v>v</v>
      </c>
      <c r="H422" s="117" t="str">
        <f>入學要求!AC408</f>
        <v>E</v>
      </c>
      <c r="I422" s="117" t="str">
        <f>入學要求!AD408</f>
        <v>NO</v>
      </c>
      <c r="J422" s="117">
        <f t="shared" si="735"/>
        <v>3.3500000000000002E-9</v>
      </c>
      <c r="K422" s="117">
        <v>1</v>
      </c>
      <c r="L422" s="117">
        <v>1</v>
      </c>
      <c r="M422" s="117">
        <v>1</v>
      </c>
      <c r="O422" s="117">
        <v>1</v>
      </c>
      <c r="P422" s="117">
        <v>1</v>
      </c>
      <c r="Q422" s="117">
        <v>1</v>
      </c>
      <c r="R422" s="117">
        <v>1</v>
      </c>
      <c r="S422" s="117">
        <v>1</v>
      </c>
      <c r="T422" s="117">
        <v>1</v>
      </c>
      <c r="V422" s="117">
        <f t="shared" si="736"/>
        <v>1E-10</v>
      </c>
      <c r="W422" s="117">
        <f t="shared" si="737"/>
        <v>2.0000000000000001E-10</v>
      </c>
      <c r="X422" s="117">
        <f t="shared" si="738"/>
        <v>3E-10</v>
      </c>
      <c r="Z422" s="117">
        <f t="shared" si="739"/>
        <v>5.0000000000000003E-10</v>
      </c>
      <c r="AA422" s="117">
        <f t="shared" si="740"/>
        <v>6E-10</v>
      </c>
      <c r="AB422" s="117">
        <f t="shared" si="741"/>
        <v>6.9999999999999996E-10</v>
      </c>
      <c r="AC422" s="117">
        <f t="shared" si="742"/>
        <v>8.0000000000000003E-10</v>
      </c>
      <c r="AD422" s="117">
        <f t="shared" si="743"/>
        <v>8.9999999999999999E-10</v>
      </c>
      <c r="AE422" s="117">
        <f>IF(H422="E",V$11*T422,0)</f>
        <v>9.5000000000000003E-10</v>
      </c>
      <c r="AF422" s="117">
        <f t="shared" si="755"/>
        <v>1E-10</v>
      </c>
      <c r="AG422" s="117">
        <f t="shared" si="756"/>
        <v>2.0000000000000001E-10</v>
      </c>
      <c r="AH422" s="117">
        <f t="shared" si="757"/>
        <v>3E-10</v>
      </c>
      <c r="AJ422" s="117">
        <f t="shared" si="758"/>
        <v>5.0000000000000003E-10</v>
      </c>
      <c r="AK422" s="117">
        <f t="shared" si="759"/>
        <v>6E-10</v>
      </c>
      <c r="AL422" s="117">
        <f t="shared" si="760"/>
        <v>6.9999999999999996E-10</v>
      </c>
      <c r="AM422" s="117">
        <f t="shared" si="761"/>
        <v>8.0000000000000003E-10</v>
      </c>
      <c r="AN422" s="117">
        <f t="shared" si="762"/>
        <v>8.9999999999999999E-10</v>
      </c>
      <c r="AO422" s="117">
        <f t="shared" si="763"/>
        <v>9.5000000000000003E-10</v>
      </c>
      <c r="AP422" s="474" t="b">
        <f>IF(V422&gt;LARGE($V422:$AE422,5),TRUE)</f>
        <v>0</v>
      </c>
      <c r="AQ422" s="474" t="b">
        <f t="shared" ref="AQ422:AY422" si="764">IF(W422&gt;LARGE($V422:$AE422,5),TRUE)</f>
        <v>0</v>
      </c>
      <c r="AR422" s="474" t="b">
        <f t="shared" si="764"/>
        <v>0</v>
      </c>
      <c r="AS422" s="474" t="b">
        <f t="shared" si="764"/>
        <v>0</v>
      </c>
      <c r="AT422" s="474" t="b">
        <f t="shared" si="764"/>
        <v>0</v>
      </c>
      <c r="AU422" s="474" t="b">
        <f t="shared" si="764"/>
        <v>0</v>
      </c>
      <c r="AV422" s="474" t="b">
        <f t="shared" si="764"/>
        <v>1</v>
      </c>
      <c r="AW422" s="474" t="b">
        <f t="shared" si="764"/>
        <v>1</v>
      </c>
      <c r="AX422" s="474" t="b">
        <f t="shared" si="764"/>
        <v>1</v>
      </c>
      <c r="AY422" s="474" t="b">
        <f t="shared" si="764"/>
        <v>1</v>
      </c>
    </row>
    <row r="423" spans="1:51">
      <c r="A423" s="139" t="str">
        <f>'Reference Score Calculation'!B400</f>
        <v>JSSH01</v>
      </c>
      <c r="B423" s="117" t="str">
        <f>'Reference Score Calculation'!B400</f>
        <v>JSSH01</v>
      </c>
      <c r="C423" s="117" t="str">
        <f>'Reference Score Calculation'!E400</f>
        <v>供應鏈管理工商管理（榮譽）學士</v>
      </c>
      <c r="D423" s="129"/>
      <c r="E423" s="117" t="str">
        <f>'Reference Score Calculation'!F400</f>
        <v>Best 5</v>
      </c>
      <c r="F423" s="117"/>
      <c r="G423" s="117" t="str">
        <f>入學要求!AB409</f>
        <v>v</v>
      </c>
      <c r="H423" s="117" t="str">
        <f>入學要求!AC409</f>
        <v>NO</v>
      </c>
      <c r="I423" s="117" t="str">
        <f>入學要求!AD409</f>
        <v>NO</v>
      </c>
      <c r="J423" s="117">
        <f t="shared" si="735"/>
        <v>3.4999999999999999E-9</v>
      </c>
      <c r="K423" s="117">
        <v>1</v>
      </c>
      <c r="L423" s="117">
        <v>1</v>
      </c>
      <c r="M423" s="117">
        <v>1</v>
      </c>
      <c r="O423" s="117">
        <v>1</v>
      </c>
      <c r="P423" s="117">
        <v>1</v>
      </c>
      <c r="Q423" s="117">
        <v>1</v>
      </c>
      <c r="R423" s="117">
        <v>1</v>
      </c>
      <c r="S423" s="117">
        <v>1</v>
      </c>
      <c r="T423" s="117">
        <v>1</v>
      </c>
      <c r="V423" s="117">
        <f t="shared" si="736"/>
        <v>1E-10</v>
      </c>
      <c r="W423" s="117">
        <f t="shared" si="737"/>
        <v>2.0000000000000001E-10</v>
      </c>
      <c r="X423" s="117">
        <f t="shared" si="738"/>
        <v>3E-10</v>
      </c>
      <c r="Z423" s="117">
        <f t="shared" si="739"/>
        <v>5.0000000000000003E-10</v>
      </c>
      <c r="AA423" s="117">
        <f t="shared" si="740"/>
        <v>6E-10</v>
      </c>
      <c r="AB423" s="117">
        <f t="shared" si="741"/>
        <v>6.9999999999999996E-10</v>
      </c>
      <c r="AC423" s="117">
        <f t="shared" si="742"/>
        <v>8.0000000000000003E-10</v>
      </c>
      <c r="AD423" s="117">
        <f t="shared" si="743"/>
        <v>8.9999999999999999E-10</v>
      </c>
      <c r="AF423" s="117">
        <f t="shared" si="755"/>
        <v>1E-10</v>
      </c>
      <c r="AG423" s="117">
        <f t="shared" si="756"/>
        <v>2.0000000000000001E-10</v>
      </c>
      <c r="AH423" s="117">
        <f t="shared" si="757"/>
        <v>3E-10</v>
      </c>
      <c r="AJ423" s="117">
        <f t="shared" si="758"/>
        <v>5.0000000000000003E-10</v>
      </c>
      <c r="AK423" s="117">
        <f t="shared" si="759"/>
        <v>6E-10</v>
      </c>
      <c r="AL423" s="117">
        <f t="shared" si="760"/>
        <v>6.9999999999999996E-10</v>
      </c>
      <c r="AM423" s="117">
        <f t="shared" si="761"/>
        <v>8.0000000000000003E-10</v>
      </c>
      <c r="AN423" s="117">
        <f t="shared" si="762"/>
        <v>8.9999999999999999E-10</v>
      </c>
      <c r="AO423" s="117">
        <f t="shared" si="763"/>
        <v>0</v>
      </c>
      <c r="AP423" s="139" t="b">
        <f t="shared" si="745"/>
        <v>0</v>
      </c>
      <c r="AQ423" s="139" t="b">
        <f t="shared" si="746"/>
        <v>0</v>
      </c>
      <c r="AR423" s="139" t="b">
        <f t="shared" si="747"/>
        <v>0</v>
      </c>
      <c r="AS423" s="139" t="b">
        <f t="shared" si="748"/>
        <v>0</v>
      </c>
      <c r="AT423" s="139" t="b">
        <f t="shared" si="749"/>
        <v>1</v>
      </c>
      <c r="AU423" s="139" t="b">
        <f t="shared" si="750"/>
        <v>1</v>
      </c>
      <c r="AV423" s="139" t="b">
        <f t="shared" si="751"/>
        <v>1</v>
      </c>
      <c r="AW423" s="139" t="b">
        <f t="shared" si="752"/>
        <v>1</v>
      </c>
      <c r="AX423" s="139" t="b">
        <f t="shared" si="753"/>
        <v>1</v>
      </c>
      <c r="AY423" s="139" t="b">
        <f t="shared" si="754"/>
        <v>0</v>
      </c>
    </row>
    <row r="424" spans="1:51">
      <c r="A424" s="139" t="str">
        <f>'Reference Score Calculation'!B401</f>
        <v>JSSH02</v>
      </c>
      <c r="B424" s="117" t="str">
        <f>'Reference Score Calculation'!B401</f>
        <v>JSSH02</v>
      </c>
      <c r="C424" s="117" t="str">
        <f>'Reference Score Calculation'!E401</f>
        <v>精算及保險 （榮譽）理學士</v>
      </c>
      <c r="D424" s="129"/>
      <c r="E424" s="117" t="str">
        <f>'Reference Score Calculation'!F401</f>
        <v>Best 5</v>
      </c>
      <c r="F424" s="117"/>
      <c r="G424" s="117" t="str">
        <f>入學要求!AB410</f>
        <v>v</v>
      </c>
      <c r="H424" s="117" t="str">
        <f>入學要求!AC410</f>
        <v>NO</v>
      </c>
      <c r="I424" s="117" t="str">
        <f>入學要求!AD410</f>
        <v>NO</v>
      </c>
      <c r="J424" s="117">
        <f t="shared" si="735"/>
        <v>3.4999999999999999E-9</v>
      </c>
      <c r="K424" s="117">
        <v>1</v>
      </c>
      <c r="L424" s="117">
        <v>1</v>
      </c>
      <c r="M424" s="117">
        <v>1</v>
      </c>
      <c r="O424" s="117">
        <v>1</v>
      </c>
      <c r="P424" s="117">
        <v>1</v>
      </c>
      <c r="Q424" s="117">
        <v>1</v>
      </c>
      <c r="R424" s="117">
        <v>1</v>
      </c>
      <c r="S424" s="117">
        <v>1</v>
      </c>
      <c r="T424" s="117">
        <v>1</v>
      </c>
      <c r="V424" s="117">
        <f t="shared" si="736"/>
        <v>1E-10</v>
      </c>
      <c r="W424" s="117">
        <f t="shared" si="737"/>
        <v>2.0000000000000001E-10</v>
      </c>
      <c r="X424" s="117">
        <f t="shared" si="738"/>
        <v>3E-10</v>
      </c>
      <c r="Z424" s="117">
        <f t="shared" si="739"/>
        <v>5.0000000000000003E-10</v>
      </c>
      <c r="AA424" s="117">
        <f t="shared" si="740"/>
        <v>6E-10</v>
      </c>
      <c r="AB424" s="117">
        <f t="shared" si="741"/>
        <v>6.9999999999999996E-10</v>
      </c>
      <c r="AC424" s="117">
        <f t="shared" si="742"/>
        <v>8.0000000000000003E-10</v>
      </c>
      <c r="AD424" s="117">
        <f t="shared" si="743"/>
        <v>8.9999999999999999E-10</v>
      </c>
      <c r="AF424" s="117">
        <f t="shared" si="755"/>
        <v>1E-10</v>
      </c>
      <c r="AG424" s="117">
        <f t="shared" si="756"/>
        <v>2.0000000000000001E-10</v>
      </c>
      <c r="AH424" s="117">
        <f t="shared" si="757"/>
        <v>3E-10</v>
      </c>
      <c r="AJ424" s="117">
        <f t="shared" si="758"/>
        <v>5.0000000000000003E-10</v>
      </c>
      <c r="AK424" s="117">
        <f t="shared" si="759"/>
        <v>6E-10</v>
      </c>
      <c r="AL424" s="117">
        <f t="shared" si="760"/>
        <v>6.9999999999999996E-10</v>
      </c>
      <c r="AM424" s="117">
        <f t="shared" si="761"/>
        <v>8.0000000000000003E-10</v>
      </c>
      <c r="AN424" s="117">
        <f t="shared" si="762"/>
        <v>8.9999999999999999E-10</v>
      </c>
      <c r="AO424" s="117">
        <f t="shared" si="763"/>
        <v>0</v>
      </c>
      <c r="AP424" s="139" t="b">
        <f t="shared" si="745"/>
        <v>0</v>
      </c>
      <c r="AQ424" s="139" t="b">
        <f t="shared" si="746"/>
        <v>0</v>
      </c>
      <c r="AR424" s="139" t="b">
        <f t="shared" si="747"/>
        <v>0</v>
      </c>
      <c r="AS424" s="139" t="b">
        <f t="shared" si="748"/>
        <v>0</v>
      </c>
      <c r="AT424" s="139" t="b">
        <f t="shared" si="749"/>
        <v>1</v>
      </c>
      <c r="AU424" s="139" t="b">
        <f t="shared" si="750"/>
        <v>1</v>
      </c>
      <c r="AV424" s="139" t="b">
        <f t="shared" si="751"/>
        <v>1</v>
      </c>
      <c r="AW424" s="139" t="b">
        <f t="shared" si="752"/>
        <v>1</v>
      </c>
      <c r="AX424" s="139" t="b">
        <f t="shared" si="753"/>
        <v>1</v>
      </c>
      <c r="AY424" s="139" t="b">
        <f t="shared" si="754"/>
        <v>0</v>
      </c>
    </row>
    <row r="425" spans="1:51">
      <c r="A425" s="139" t="str">
        <f>'Reference Score Calculation'!B402</f>
        <v>JSSH03</v>
      </c>
      <c r="B425" s="117" t="str">
        <f>'Reference Score Calculation'!B402</f>
        <v>JSSH03</v>
      </c>
      <c r="C425" s="117" t="str">
        <f>'Reference Score Calculation'!E402</f>
        <v>計算機應用（榮譽）理學士</v>
      </c>
      <c r="D425" s="129"/>
      <c r="E425" s="117" t="str">
        <f>'Reference Score Calculation'!F402</f>
        <v>Best 5</v>
      </c>
      <c r="F425" s="117"/>
      <c r="G425" s="117" t="str">
        <f>入學要求!AB411</f>
        <v>v</v>
      </c>
      <c r="H425" s="117" t="str">
        <f>入學要求!AC411</f>
        <v>NO</v>
      </c>
      <c r="I425" s="117" t="str">
        <f>入學要求!AD411</f>
        <v>NO</v>
      </c>
      <c r="J425" s="117">
        <f t="shared" si="735"/>
        <v>3.4999999999999999E-9</v>
      </c>
      <c r="K425" s="117">
        <v>1</v>
      </c>
      <c r="L425" s="117">
        <v>1</v>
      </c>
      <c r="M425" s="117">
        <v>1</v>
      </c>
      <c r="O425" s="117">
        <v>1</v>
      </c>
      <c r="P425" s="117">
        <v>1</v>
      </c>
      <c r="Q425" s="117">
        <v>1</v>
      </c>
      <c r="R425" s="117">
        <v>1</v>
      </c>
      <c r="S425" s="117">
        <v>1</v>
      </c>
      <c r="T425" s="117">
        <v>1</v>
      </c>
      <c r="V425" s="117">
        <f t="shared" si="736"/>
        <v>1E-10</v>
      </c>
      <c r="W425" s="117">
        <f t="shared" si="737"/>
        <v>2.0000000000000001E-10</v>
      </c>
      <c r="X425" s="117">
        <f t="shared" si="738"/>
        <v>3E-10</v>
      </c>
      <c r="Z425" s="117">
        <f t="shared" si="739"/>
        <v>5.0000000000000003E-10</v>
      </c>
      <c r="AA425" s="117">
        <f t="shared" si="740"/>
        <v>6E-10</v>
      </c>
      <c r="AB425" s="117">
        <f t="shared" si="741"/>
        <v>6.9999999999999996E-10</v>
      </c>
      <c r="AC425" s="117">
        <f t="shared" si="742"/>
        <v>8.0000000000000003E-10</v>
      </c>
      <c r="AD425" s="117">
        <f t="shared" si="743"/>
        <v>8.9999999999999999E-10</v>
      </c>
      <c r="AF425" s="117">
        <f t="shared" si="755"/>
        <v>1E-10</v>
      </c>
      <c r="AG425" s="117">
        <f t="shared" si="756"/>
        <v>2.0000000000000001E-10</v>
      </c>
      <c r="AH425" s="117">
        <f t="shared" si="757"/>
        <v>3E-10</v>
      </c>
      <c r="AJ425" s="117">
        <f t="shared" si="758"/>
        <v>5.0000000000000003E-10</v>
      </c>
      <c r="AK425" s="117">
        <f t="shared" si="759"/>
        <v>6E-10</v>
      </c>
      <c r="AL425" s="117">
        <f t="shared" si="760"/>
        <v>6.9999999999999996E-10</v>
      </c>
      <c r="AM425" s="117">
        <f t="shared" si="761"/>
        <v>8.0000000000000003E-10</v>
      </c>
      <c r="AN425" s="117">
        <f t="shared" si="762"/>
        <v>8.9999999999999999E-10</v>
      </c>
      <c r="AO425" s="117">
        <f t="shared" si="763"/>
        <v>0</v>
      </c>
      <c r="AP425" s="139" t="b">
        <f t="shared" si="745"/>
        <v>0</v>
      </c>
      <c r="AQ425" s="139" t="b">
        <f t="shared" si="746"/>
        <v>0</v>
      </c>
      <c r="AR425" s="139" t="b">
        <f t="shared" si="747"/>
        <v>0</v>
      </c>
      <c r="AS425" s="139" t="b">
        <f t="shared" si="748"/>
        <v>0</v>
      </c>
      <c r="AT425" s="139" t="b">
        <f t="shared" si="749"/>
        <v>1</v>
      </c>
      <c r="AU425" s="139" t="b">
        <f t="shared" si="750"/>
        <v>1</v>
      </c>
      <c r="AV425" s="139" t="b">
        <f t="shared" si="751"/>
        <v>1</v>
      </c>
      <c r="AW425" s="139" t="b">
        <f t="shared" si="752"/>
        <v>1</v>
      </c>
      <c r="AX425" s="139" t="b">
        <f t="shared" si="753"/>
        <v>1</v>
      </c>
      <c r="AY425" s="139" t="b">
        <f t="shared" si="754"/>
        <v>0</v>
      </c>
    </row>
    <row r="426" spans="1:51">
      <c r="A426" s="139" t="str">
        <f>'Reference Score Calculation'!B403</f>
        <v>JSSH04</v>
      </c>
      <c r="B426" s="117" t="str">
        <f>'Reference Score Calculation'!B403</f>
        <v>JSSH04</v>
      </c>
      <c r="C426" s="117" t="str">
        <f>'Reference Score Calculation'!E403</f>
        <v>數據科學及商業智能學（榮譽）理學士</v>
      </c>
      <c r="D426" s="129"/>
      <c r="E426" s="117" t="str">
        <f>'Reference Score Calculation'!F403</f>
        <v>Best 5</v>
      </c>
      <c r="F426" s="117"/>
      <c r="G426" s="117" t="str">
        <f>入學要求!AB412</f>
        <v>v</v>
      </c>
      <c r="H426" s="117" t="str">
        <f>入學要求!AC412</f>
        <v>NO</v>
      </c>
      <c r="I426" s="117" t="str">
        <f>入學要求!AD412</f>
        <v>NO</v>
      </c>
      <c r="J426" s="117">
        <f t="shared" si="735"/>
        <v>3.4999999999999999E-9</v>
      </c>
      <c r="K426" s="117">
        <v>1</v>
      </c>
      <c r="L426" s="117">
        <v>1</v>
      </c>
      <c r="M426" s="117">
        <v>1</v>
      </c>
      <c r="O426" s="117">
        <v>1</v>
      </c>
      <c r="P426" s="117">
        <v>1</v>
      </c>
      <c r="Q426" s="117">
        <v>1</v>
      </c>
      <c r="R426" s="117">
        <v>1</v>
      </c>
      <c r="S426" s="117">
        <v>1</v>
      </c>
      <c r="T426" s="117">
        <v>1</v>
      </c>
      <c r="V426" s="117">
        <f t="shared" si="736"/>
        <v>1E-10</v>
      </c>
      <c r="W426" s="117">
        <f t="shared" si="737"/>
        <v>2.0000000000000001E-10</v>
      </c>
      <c r="X426" s="117">
        <f t="shared" si="738"/>
        <v>3E-10</v>
      </c>
      <c r="Z426" s="117">
        <f t="shared" si="739"/>
        <v>5.0000000000000003E-10</v>
      </c>
      <c r="AA426" s="117">
        <f t="shared" si="740"/>
        <v>6E-10</v>
      </c>
      <c r="AB426" s="117">
        <f t="shared" si="741"/>
        <v>6.9999999999999996E-10</v>
      </c>
      <c r="AC426" s="117">
        <f t="shared" si="742"/>
        <v>8.0000000000000003E-10</v>
      </c>
      <c r="AD426" s="117">
        <f t="shared" si="743"/>
        <v>8.9999999999999999E-10</v>
      </c>
      <c r="AF426" s="117">
        <f t="shared" si="755"/>
        <v>1E-10</v>
      </c>
      <c r="AG426" s="117">
        <f t="shared" si="756"/>
        <v>2.0000000000000001E-10</v>
      </c>
      <c r="AH426" s="117">
        <f t="shared" si="757"/>
        <v>3E-10</v>
      </c>
      <c r="AJ426" s="117">
        <f t="shared" si="758"/>
        <v>5.0000000000000003E-10</v>
      </c>
      <c r="AK426" s="117">
        <f t="shared" si="759"/>
        <v>6E-10</v>
      </c>
      <c r="AL426" s="117">
        <f t="shared" si="760"/>
        <v>6.9999999999999996E-10</v>
      </c>
      <c r="AM426" s="117">
        <f t="shared" si="761"/>
        <v>8.0000000000000003E-10</v>
      </c>
      <c r="AN426" s="117">
        <f t="shared" si="762"/>
        <v>8.9999999999999999E-10</v>
      </c>
      <c r="AO426" s="117">
        <f t="shared" si="763"/>
        <v>0</v>
      </c>
      <c r="AP426" s="139" t="b">
        <f t="shared" si="745"/>
        <v>0</v>
      </c>
      <c r="AQ426" s="139" t="b">
        <f t="shared" si="746"/>
        <v>0</v>
      </c>
      <c r="AR426" s="139" t="b">
        <f t="shared" si="747"/>
        <v>0</v>
      </c>
      <c r="AS426" s="139" t="b">
        <f t="shared" si="748"/>
        <v>0</v>
      </c>
      <c r="AT426" s="139" t="b">
        <f t="shared" si="749"/>
        <v>1</v>
      </c>
      <c r="AU426" s="139" t="b">
        <f t="shared" si="750"/>
        <v>1</v>
      </c>
      <c r="AV426" s="139" t="b">
        <f t="shared" si="751"/>
        <v>1</v>
      </c>
      <c r="AW426" s="139" t="b">
        <f t="shared" si="752"/>
        <v>1</v>
      </c>
      <c r="AX426" s="139" t="b">
        <f t="shared" si="753"/>
        <v>1</v>
      </c>
      <c r="AY426" s="139" t="b">
        <f t="shared" si="754"/>
        <v>0</v>
      </c>
    </row>
    <row r="427" spans="1:51">
      <c r="A427" s="139" t="str">
        <f>'Reference Score Calculation'!B404</f>
        <v>JSSH05</v>
      </c>
      <c r="B427" s="117" t="str">
        <f>'Reference Score Calculation'!B404</f>
        <v>JSSH05</v>
      </c>
      <c r="C427" s="117" t="str">
        <f>'Reference Score Calculation'!E404</f>
        <v>管理科學與資訊管理（榮譽）學士</v>
      </c>
      <c r="D427" s="129"/>
      <c r="E427" s="117" t="str">
        <f>'Reference Score Calculation'!F404</f>
        <v>Best 5</v>
      </c>
      <c r="F427" s="117"/>
      <c r="G427" s="117" t="str">
        <f>入學要求!AB413</f>
        <v>v</v>
      </c>
      <c r="H427" s="117" t="str">
        <f>入學要求!AC413</f>
        <v>NO</v>
      </c>
      <c r="I427" s="117" t="str">
        <f>入學要求!AD413</f>
        <v>NO</v>
      </c>
      <c r="J427" s="117">
        <f t="shared" si="735"/>
        <v>3.4999999999999999E-9</v>
      </c>
      <c r="K427" s="117">
        <v>1</v>
      </c>
      <c r="L427" s="117">
        <v>1</v>
      </c>
      <c r="M427" s="117">
        <v>1</v>
      </c>
      <c r="O427" s="117">
        <v>1</v>
      </c>
      <c r="P427" s="117">
        <v>1</v>
      </c>
      <c r="Q427" s="117">
        <v>1</v>
      </c>
      <c r="R427" s="117">
        <v>1</v>
      </c>
      <c r="S427" s="117">
        <v>1</v>
      </c>
      <c r="T427" s="117">
        <v>1</v>
      </c>
      <c r="V427" s="117">
        <f t="shared" si="736"/>
        <v>1E-10</v>
      </c>
      <c r="W427" s="117">
        <f t="shared" si="737"/>
        <v>2.0000000000000001E-10</v>
      </c>
      <c r="X427" s="117">
        <f t="shared" si="738"/>
        <v>3E-10</v>
      </c>
      <c r="Z427" s="117">
        <f t="shared" si="739"/>
        <v>5.0000000000000003E-10</v>
      </c>
      <c r="AA427" s="117">
        <f t="shared" si="740"/>
        <v>6E-10</v>
      </c>
      <c r="AB427" s="117">
        <f t="shared" si="741"/>
        <v>6.9999999999999996E-10</v>
      </c>
      <c r="AC427" s="117">
        <f t="shared" si="742"/>
        <v>8.0000000000000003E-10</v>
      </c>
      <c r="AD427" s="117">
        <f t="shared" si="743"/>
        <v>8.9999999999999999E-10</v>
      </c>
      <c r="AF427" s="117">
        <f t="shared" si="755"/>
        <v>1E-10</v>
      </c>
      <c r="AG427" s="117">
        <f t="shared" si="756"/>
        <v>2.0000000000000001E-10</v>
      </c>
      <c r="AH427" s="117">
        <f t="shared" si="757"/>
        <v>3E-10</v>
      </c>
      <c r="AJ427" s="117">
        <f t="shared" si="758"/>
        <v>5.0000000000000003E-10</v>
      </c>
      <c r="AK427" s="117">
        <f t="shared" si="759"/>
        <v>6E-10</v>
      </c>
      <c r="AL427" s="117">
        <f t="shared" si="760"/>
        <v>6.9999999999999996E-10</v>
      </c>
      <c r="AM427" s="117">
        <f t="shared" si="761"/>
        <v>8.0000000000000003E-10</v>
      </c>
      <c r="AN427" s="117">
        <f t="shared" si="762"/>
        <v>8.9999999999999999E-10</v>
      </c>
      <c r="AO427" s="117">
        <f t="shared" si="763"/>
        <v>0</v>
      </c>
      <c r="AP427" s="139" t="b">
        <f t="shared" si="745"/>
        <v>0</v>
      </c>
      <c r="AQ427" s="139" t="b">
        <f t="shared" si="746"/>
        <v>0</v>
      </c>
      <c r="AR427" s="139" t="b">
        <f t="shared" si="747"/>
        <v>0</v>
      </c>
      <c r="AS427" s="139" t="b">
        <f t="shared" si="748"/>
        <v>0</v>
      </c>
      <c r="AT427" s="139" t="b">
        <f t="shared" si="749"/>
        <v>1</v>
      </c>
      <c r="AU427" s="139" t="b">
        <f t="shared" si="750"/>
        <v>1</v>
      </c>
      <c r="AV427" s="139" t="b">
        <f t="shared" si="751"/>
        <v>1</v>
      </c>
      <c r="AW427" s="139" t="b">
        <f t="shared" si="752"/>
        <v>1</v>
      </c>
      <c r="AX427" s="139" t="b">
        <f t="shared" si="753"/>
        <v>1</v>
      </c>
      <c r="AY427" s="139" t="b">
        <f t="shared" si="754"/>
        <v>0</v>
      </c>
    </row>
    <row r="428" spans="1:51">
      <c r="A428" s="139" t="str">
        <f>'Reference Score Calculation'!B405</f>
        <v>JSSH06</v>
      </c>
      <c r="B428" s="117" t="str">
        <f>'Reference Score Calculation'!B405</f>
        <v>JSSH06</v>
      </c>
      <c r="C428" s="117" t="str">
        <f>'Reference Score Calculation'!E405</f>
        <v>藝術設計（榮譽）文學士</v>
      </c>
      <c r="D428" s="129"/>
      <c r="E428" s="117" t="str">
        <f>'Reference Score Calculation'!F405</f>
        <v>Best 5</v>
      </c>
      <c r="F428" s="117"/>
      <c r="G428" s="117" t="str">
        <f>入學要求!AB414</f>
        <v>v</v>
      </c>
      <c r="H428" s="117" t="str">
        <f>入學要求!AC414</f>
        <v>NO</v>
      </c>
      <c r="I428" s="117" t="str">
        <f>入學要求!AD414</f>
        <v>NO</v>
      </c>
      <c r="J428" s="117">
        <f t="shared" si="735"/>
        <v>3.4999999999999999E-9</v>
      </c>
      <c r="K428" s="117">
        <v>1</v>
      </c>
      <c r="L428" s="117">
        <v>1</v>
      </c>
      <c r="M428" s="117">
        <v>1</v>
      </c>
      <c r="O428" s="117">
        <v>1</v>
      </c>
      <c r="P428" s="117">
        <v>1</v>
      </c>
      <c r="Q428" s="117">
        <v>1</v>
      </c>
      <c r="R428" s="117">
        <v>1</v>
      </c>
      <c r="S428" s="117">
        <v>1</v>
      </c>
      <c r="T428" s="117">
        <v>1</v>
      </c>
      <c r="V428" s="117">
        <f t="shared" si="736"/>
        <v>1E-10</v>
      </c>
      <c r="W428" s="117">
        <f t="shared" si="737"/>
        <v>2.0000000000000001E-10</v>
      </c>
      <c r="X428" s="117">
        <f t="shared" si="738"/>
        <v>3E-10</v>
      </c>
      <c r="Z428" s="117">
        <f t="shared" si="739"/>
        <v>5.0000000000000003E-10</v>
      </c>
      <c r="AA428" s="117">
        <f t="shared" si="740"/>
        <v>6E-10</v>
      </c>
      <c r="AB428" s="117">
        <f t="shared" si="741"/>
        <v>6.9999999999999996E-10</v>
      </c>
      <c r="AC428" s="117">
        <f t="shared" si="742"/>
        <v>8.0000000000000003E-10</v>
      </c>
      <c r="AD428" s="117">
        <f t="shared" si="743"/>
        <v>8.9999999999999999E-10</v>
      </c>
      <c r="AF428" s="117">
        <f t="shared" si="755"/>
        <v>1E-10</v>
      </c>
      <c r="AG428" s="117">
        <f t="shared" si="756"/>
        <v>2.0000000000000001E-10</v>
      </c>
      <c r="AH428" s="117">
        <f t="shared" si="757"/>
        <v>3E-10</v>
      </c>
      <c r="AJ428" s="117">
        <f t="shared" si="758"/>
        <v>5.0000000000000003E-10</v>
      </c>
      <c r="AK428" s="117">
        <f t="shared" si="759"/>
        <v>6E-10</v>
      </c>
      <c r="AL428" s="117">
        <f t="shared" si="760"/>
        <v>6.9999999999999996E-10</v>
      </c>
      <c r="AM428" s="117">
        <f t="shared" si="761"/>
        <v>8.0000000000000003E-10</v>
      </c>
      <c r="AN428" s="117">
        <f t="shared" si="762"/>
        <v>8.9999999999999999E-10</v>
      </c>
      <c r="AO428" s="117">
        <f t="shared" si="763"/>
        <v>0</v>
      </c>
      <c r="AP428" s="139" t="b">
        <f t="shared" si="745"/>
        <v>0</v>
      </c>
      <c r="AQ428" s="139" t="b">
        <f t="shared" si="746"/>
        <v>0</v>
      </c>
      <c r="AR428" s="139" t="b">
        <f t="shared" si="747"/>
        <v>0</v>
      </c>
      <c r="AS428" s="139" t="b">
        <f t="shared" si="748"/>
        <v>0</v>
      </c>
      <c r="AT428" s="139" t="b">
        <f t="shared" si="749"/>
        <v>1</v>
      </c>
      <c r="AU428" s="139" t="b">
        <f t="shared" si="750"/>
        <v>1</v>
      </c>
      <c r="AV428" s="139" t="b">
        <f t="shared" si="751"/>
        <v>1</v>
      </c>
      <c r="AW428" s="139" t="b">
        <f t="shared" si="752"/>
        <v>1</v>
      </c>
      <c r="AX428" s="139" t="b">
        <f t="shared" si="753"/>
        <v>1</v>
      </c>
      <c r="AY428" s="139" t="b">
        <f t="shared" si="754"/>
        <v>0</v>
      </c>
    </row>
    <row r="429" spans="1:51">
      <c r="A429" s="139" t="str">
        <f>'Reference Score Calculation'!B406</f>
        <v>JSST01</v>
      </c>
      <c r="B429" s="117" t="str">
        <f>'Reference Score Calculation'!B406</f>
        <v>JSST01</v>
      </c>
      <c r="C429" s="117" t="str">
        <f>'Reference Score Calculation'!E406</f>
        <v>護理學（榮譽）健康科學學士</v>
      </c>
      <c r="D429" s="21"/>
      <c r="E429" s="117" t="str">
        <f>'Reference Score Calculation'!F406</f>
        <v>Best 5</v>
      </c>
      <c r="F429" s="117"/>
      <c r="G429" s="117" t="str">
        <f>入學要求!AB415</f>
        <v>v</v>
      </c>
      <c r="H429" s="117" t="str">
        <f>入學要求!AC415</f>
        <v>NO</v>
      </c>
      <c r="I429" s="117" t="str">
        <f>入學要求!AD415</f>
        <v>NO</v>
      </c>
      <c r="J429" s="117">
        <f t="shared" si="735"/>
        <v>3.4999999999999999E-9</v>
      </c>
      <c r="K429" s="117">
        <v>1</v>
      </c>
      <c r="L429" s="117">
        <v>1</v>
      </c>
      <c r="M429" s="117">
        <v>1</v>
      </c>
      <c r="N429" s="117">
        <v>2</v>
      </c>
      <c r="O429" s="117">
        <v>1</v>
      </c>
      <c r="P429" s="117">
        <v>1</v>
      </c>
      <c r="Q429" s="117">
        <v>1</v>
      </c>
      <c r="R429" s="117">
        <v>1</v>
      </c>
      <c r="S429" s="117">
        <v>1</v>
      </c>
      <c r="T429" s="117">
        <v>1</v>
      </c>
      <c r="V429" s="117">
        <f t="shared" si="736"/>
        <v>1E-10</v>
      </c>
      <c r="W429" s="117">
        <f t="shared" si="737"/>
        <v>2.0000000000000001E-10</v>
      </c>
      <c r="X429" s="117">
        <f t="shared" si="738"/>
        <v>3E-10</v>
      </c>
      <c r="Z429" s="117">
        <f t="shared" si="739"/>
        <v>5.0000000000000003E-10</v>
      </c>
      <c r="AA429" s="117">
        <f t="shared" si="740"/>
        <v>6E-10</v>
      </c>
      <c r="AB429" s="117">
        <f t="shared" si="741"/>
        <v>6.9999999999999996E-10</v>
      </c>
      <c r="AC429" s="117">
        <f t="shared" si="742"/>
        <v>8.0000000000000003E-10</v>
      </c>
      <c r="AD429" s="117">
        <f t="shared" si="743"/>
        <v>8.9999999999999999E-10</v>
      </c>
      <c r="AF429" s="117">
        <f t="shared" si="755"/>
        <v>1E-10</v>
      </c>
      <c r="AG429" s="117">
        <f t="shared" si="756"/>
        <v>2.0000000000000001E-10</v>
      </c>
      <c r="AH429" s="117">
        <f t="shared" si="757"/>
        <v>3E-10</v>
      </c>
      <c r="AJ429" s="117">
        <f t="shared" si="758"/>
        <v>5.0000000000000003E-10</v>
      </c>
      <c r="AK429" s="117">
        <f t="shared" si="759"/>
        <v>6E-10</v>
      </c>
      <c r="AL429" s="117">
        <f t="shared" si="760"/>
        <v>6.9999999999999996E-10</v>
      </c>
      <c r="AM429" s="117">
        <f t="shared" si="761"/>
        <v>8.0000000000000003E-10</v>
      </c>
      <c r="AN429" s="117">
        <f t="shared" si="762"/>
        <v>8.9999999999999999E-10</v>
      </c>
      <c r="AO429" s="117">
        <f t="shared" si="763"/>
        <v>0</v>
      </c>
      <c r="AP429" s="139" t="b">
        <f t="shared" si="745"/>
        <v>0</v>
      </c>
      <c r="AQ429" s="139" t="b">
        <f t="shared" si="746"/>
        <v>0</v>
      </c>
      <c r="AR429" s="139" t="b">
        <f t="shared" si="747"/>
        <v>0</v>
      </c>
      <c r="AS429" s="139" t="b">
        <f t="shared" si="748"/>
        <v>0</v>
      </c>
      <c r="AT429" s="139" t="b">
        <f t="shared" si="749"/>
        <v>1</v>
      </c>
      <c r="AU429" s="139" t="b">
        <f t="shared" si="750"/>
        <v>1</v>
      </c>
      <c r="AV429" s="139" t="b">
        <f t="shared" si="751"/>
        <v>1</v>
      </c>
      <c r="AW429" s="139" t="b">
        <f t="shared" si="752"/>
        <v>1</v>
      </c>
      <c r="AX429" s="139" t="b">
        <f t="shared" si="753"/>
        <v>1</v>
      </c>
      <c r="AY429" s="139" t="b">
        <f t="shared" si="754"/>
        <v>0</v>
      </c>
    </row>
    <row r="430" spans="1:51">
      <c r="A430" s="139" t="str">
        <f>'Reference Score Calculation'!B407</f>
        <v>JSST02</v>
      </c>
      <c r="B430" s="117" t="str">
        <f>'Reference Score Calculation'!B407</f>
        <v>JSST02</v>
      </c>
      <c r="C430" s="117" t="str">
        <f>'Reference Score Calculation'!E407</f>
        <v>醫療化驗科學（榮譽）理學士</v>
      </c>
      <c r="D430" s="21"/>
      <c r="E430" s="117" t="str">
        <f>'Reference Score Calculation'!F407</f>
        <v>Best 5</v>
      </c>
      <c r="F430" s="117"/>
      <c r="G430" s="117" t="str">
        <f>入學要求!AB416</f>
        <v>v</v>
      </c>
      <c r="H430" s="117" t="str">
        <f>入學要求!AC416</f>
        <v>NO</v>
      </c>
      <c r="I430" s="117" t="str">
        <f>入學要求!AD416</f>
        <v>NO</v>
      </c>
      <c r="J430" s="117">
        <f t="shared" si="735"/>
        <v>3.4999999999999999E-9</v>
      </c>
      <c r="K430" s="117">
        <v>1</v>
      </c>
      <c r="L430" s="117">
        <v>1</v>
      </c>
      <c r="M430" s="117">
        <v>1</v>
      </c>
      <c r="N430" s="117">
        <v>2</v>
      </c>
      <c r="O430" s="117">
        <v>1</v>
      </c>
      <c r="P430" s="117">
        <v>1</v>
      </c>
      <c r="Q430" s="117">
        <v>1</v>
      </c>
      <c r="R430" s="117">
        <v>1</v>
      </c>
      <c r="S430" s="117">
        <v>1</v>
      </c>
      <c r="T430" s="117">
        <v>1</v>
      </c>
      <c r="V430" s="117">
        <f t="shared" si="736"/>
        <v>1E-10</v>
      </c>
      <c r="W430" s="117">
        <f t="shared" si="737"/>
        <v>2.0000000000000001E-10</v>
      </c>
      <c r="X430" s="117">
        <f t="shared" si="738"/>
        <v>3E-10</v>
      </c>
      <c r="Z430" s="117">
        <f t="shared" si="739"/>
        <v>5.0000000000000003E-10</v>
      </c>
      <c r="AA430" s="117">
        <f t="shared" si="740"/>
        <v>6E-10</v>
      </c>
      <c r="AB430" s="117">
        <f t="shared" si="741"/>
        <v>6.9999999999999996E-10</v>
      </c>
      <c r="AC430" s="117">
        <f t="shared" si="742"/>
        <v>8.0000000000000003E-10</v>
      </c>
      <c r="AD430" s="117">
        <f t="shared" si="743"/>
        <v>8.9999999999999999E-10</v>
      </c>
      <c r="AF430" s="117">
        <f t="shared" si="755"/>
        <v>1E-10</v>
      </c>
      <c r="AG430" s="117">
        <f t="shared" si="756"/>
        <v>2.0000000000000001E-10</v>
      </c>
      <c r="AH430" s="117">
        <f t="shared" si="757"/>
        <v>3E-10</v>
      </c>
      <c r="AJ430" s="117">
        <f t="shared" si="758"/>
        <v>5.0000000000000003E-10</v>
      </c>
      <c r="AK430" s="117">
        <f t="shared" si="759"/>
        <v>6E-10</v>
      </c>
      <c r="AL430" s="117">
        <f t="shared" si="760"/>
        <v>6.9999999999999996E-10</v>
      </c>
      <c r="AM430" s="117">
        <f t="shared" si="761"/>
        <v>8.0000000000000003E-10</v>
      </c>
      <c r="AN430" s="117">
        <f t="shared" si="762"/>
        <v>8.9999999999999999E-10</v>
      </c>
      <c r="AO430" s="117">
        <f t="shared" si="763"/>
        <v>0</v>
      </c>
      <c r="AP430" s="139" t="b">
        <f t="shared" si="745"/>
        <v>0</v>
      </c>
      <c r="AQ430" s="139" t="b">
        <f t="shared" si="746"/>
        <v>0</v>
      </c>
      <c r="AR430" s="139" t="b">
        <f t="shared" si="747"/>
        <v>0</v>
      </c>
      <c r="AS430" s="139" t="b">
        <f t="shared" si="748"/>
        <v>0</v>
      </c>
      <c r="AT430" s="139" t="b">
        <f t="shared" si="749"/>
        <v>1</v>
      </c>
      <c r="AU430" s="139" t="b">
        <f t="shared" si="750"/>
        <v>1</v>
      </c>
      <c r="AV430" s="139" t="b">
        <f t="shared" si="751"/>
        <v>1</v>
      </c>
      <c r="AW430" s="139" t="b">
        <f t="shared" si="752"/>
        <v>1</v>
      </c>
      <c r="AX430" s="139" t="b">
        <f t="shared" si="753"/>
        <v>1</v>
      </c>
      <c r="AY430" s="139" t="b">
        <f t="shared" si="754"/>
        <v>0</v>
      </c>
    </row>
    <row r="431" spans="1:51">
      <c r="A431" s="139" t="str">
        <f>'Reference Score Calculation'!B408</f>
        <v>JSST03</v>
      </c>
      <c r="B431" s="117" t="str">
        <f>'Reference Score Calculation'!B408</f>
        <v>JSST03</v>
      </c>
      <c r="C431" s="117" t="str">
        <f>'Reference Score Calculation'!E408</f>
        <v>放射治療學（榮譽）理學士</v>
      </c>
      <c r="D431" s="21"/>
      <c r="E431" s="117" t="str">
        <f>'Reference Score Calculation'!F408</f>
        <v>Best 5</v>
      </c>
      <c r="F431" s="117"/>
      <c r="G431" s="117" t="str">
        <f>入學要求!AB417</f>
        <v>v</v>
      </c>
      <c r="H431" s="117" t="str">
        <f>入學要求!AC417</f>
        <v>NO</v>
      </c>
      <c r="I431" s="117" t="str">
        <f>入學要求!AD417</f>
        <v>NO</v>
      </c>
      <c r="J431" s="117">
        <f t="shared" si="735"/>
        <v>3.4999999999999999E-9</v>
      </c>
      <c r="K431" s="117">
        <v>1</v>
      </c>
      <c r="L431" s="117">
        <v>1</v>
      </c>
      <c r="M431" s="117">
        <v>1</v>
      </c>
      <c r="N431" s="117">
        <v>2</v>
      </c>
      <c r="O431" s="117">
        <v>1</v>
      </c>
      <c r="P431" s="117">
        <v>1</v>
      </c>
      <c r="Q431" s="117">
        <v>1</v>
      </c>
      <c r="R431" s="117">
        <v>1</v>
      </c>
      <c r="S431" s="117">
        <v>1</v>
      </c>
      <c r="T431" s="117">
        <v>1</v>
      </c>
      <c r="V431" s="117">
        <f t="shared" si="736"/>
        <v>1E-10</v>
      </c>
      <c r="W431" s="117">
        <f t="shared" si="737"/>
        <v>2.0000000000000001E-10</v>
      </c>
      <c r="X431" s="117">
        <f t="shared" si="738"/>
        <v>3E-10</v>
      </c>
      <c r="Z431" s="117">
        <f t="shared" si="739"/>
        <v>5.0000000000000003E-10</v>
      </c>
      <c r="AA431" s="117">
        <f t="shared" si="740"/>
        <v>6E-10</v>
      </c>
      <c r="AB431" s="117">
        <f t="shared" si="741"/>
        <v>6.9999999999999996E-10</v>
      </c>
      <c r="AC431" s="117">
        <f t="shared" si="742"/>
        <v>8.0000000000000003E-10</v>
      </c>
      <c r="AD431" s="117">
        <f t="shared" si="743"/>
        <v>8.9999999999999999E-10</v>
      </c>
      <c r="AF431" s="117">
        <f t="shared" si="755"/>
        <v>1E-10</v>
      </c>
      <c r="AG431" s="117">
        <f t="shared" si="756"/>
        <v>2.0000000000000001E-10</v>
      </c>
      <c r="AH431" s="117">
        <f t="shared" si="757"/>
        <v>3E-10</v>
      </c>
      <c r="AJ431" s="117">
        <f t="shared" si="758"/>
        <v>5.0000000000000003E-10</v>
      </c>
      <c r="AK431" s="117">
        <f t="shared" si="759"/>
        <v>6E-10</v>
      </c>
      <c r="AL431" s="117">
        <f t="shared" si="760"/>
        <v>6.9999999999999996E-10</v>
      </c>
      <c r="AM431" s="117">
        <f t="shared" si="761"/>
        <v>8.0000000000000003E-10</v>
      </c>
      <c r="AN431" s="117">
        <f t="shared" si="762"/>
        <v>8.9999999999999999E-10</v>
      </c>
      <c r="AO431" s="117">
        <f t="shared" si="763"/>
        <v>0</v>
      </c>
      <c r="AP431" s="139" t="b">
        <f t="shared" si="745"/>
        <v>0</v>
      </c>
      <c r="AQ431" s="139" t="b">
        <f t="shared" si="746"/>
        <v>0</v>
      </c>
      <c r="AR431" s="139" t="b">
        <f t="shared" si="747"/>
        <v>0</v>
      </c>
      <c r="AS431" s="139" t="b">
        <f t="shared" si="748"/>
        <v>0</v>
      </c>
      <c r="AT431" s="139" t="b">
        <f t="shared" si="749"/>
        <v>1</v>
      </c>
      <c r="AU431" s="139" t="b">
        <f t="shared" si="750"/>
        <v>1</v>
      </c>
      <c r="AV431" s="139" t="b">
        <f t="shared" si="751"/>
        <v>1</v>
      </c>
      <c r="AW431" s="139" t="b">
        <f t="shared" si="752"/>
        <v>1</v>
      </c>
      <c r="AX431" s="139" t="b">
        <f t="shared" si="753"/>
        <v>1</v>
      </c>
      <c r="AY431" s="139" t="b">
        <f t="shared" si="754"/>
        <v>0</v>
      </c>
    </row>
    <row r="432" spans="1:51">
      <c r="A432" s="139" t="str">
        <f>'Reference Score Calculation'!B409</f>
        <v>JSST04</v>
      </c>
      <c r="B432" s="117" t="str">
        <f>'Reference Score Calculation'!B409</f>
        <v>JSST04</v>
      </c>
      <c r="C432" s="117" t="str">
        <f>'Reference Score Calculation'!E409</f>
        <v>職業治療學（榮譽）理學士</v>
      </c>
      <c r="D432" s="21"/>
      <c r="E432" s="117" t="str">
        <f>'Reference Score Calculation'!F409</f>
        <v>Best 5</v>
      </c>
      <c r="F432" s="117"/>
      <c r="G432" s="117" t="str">
        <f>入學要求!AB418</f>
        <v>v</v>
      </c>
      <c r="H432" s="117" t="str">
        <f>入學要求!AC418</f>
        <v>NO</v>
      </c>
      <c r="I432" s="117" t="str">
        <f>入學要求!AD418</f>
        <v>NO</v>
      </c>
      <c r="J432" s="117">
        <f t="shared" si="735"/>
        <v>3.4999999999999999E-9</v>
      </c>
      <c r="K432" s="117">
        <v>1</v>
      </c>
      <c r="L432" s="117">
        <v>1</v>
      </c>
      <c r="M432" s="117">
        <v>1</v>
      </c>
      <c r="N432" s="117">
        <v>2</v>
      </c>
      <c r="O432" s="117">
        <v>1</v>
      </c>
      <c r="P432" s="117">
        <v>1</v>
      </c>
      <c r="Q432" s="117">
        <v>1</v>
      </c>
      <c r="R432" s="117">
        <v>1</v>
      </c>
      <c r="S432" s="117">
        <v>1</v>
      </c>
      <c r="T432" s="117">
        <v>1</v>
      </c>
      <c r="V432" s="117">
        <f t="shared" si="736"/>
        <v>1E-10</v>
      </c>
      <c r="W432" s="117">
        <f t="shared" si="737"/>
        <v>2.0000000000000001E-10</v>
      </c>
      <c r="X432" s="117">
        <f t="shared" si="738"/>
        <v>3E-10</v>
      </c>
      <c r="Z432" s="117">
        <f t="shared" si="739"/>
        <v>5.0000000000000003E-10</v>
      </c>
      <c r="AA432" s="117">
        <f t="shared" si="740"/>
        <v>6E-10</v>
      </c>
      <c r="AB432" s="117">
        <f t="shared" si="741"/>
        <v>6.9999999999999996E-10</v>
      </c>
      <c r="AC432" s="117">
        <f t="shared" si="742"/>
        <v>8.0000000000000003E-10</v>
      </c>
      <c r="AD432" s="117">
        <f t="shared" si="743"/>
        <v>8.9999999999999999E-10</v>
      </c>
      <c r="AF432" s="117">
        <f t="shared" si="755"/>
        <v>1E-10</v>
      </c>
      <c r="AG432" s="117">
        <f t="shared" si="756"/>
        <v>2.0000000000000001E-10</v>
      </c>
      <c r="AH432" s="117">
        <f t="shared" si="757"/>
        <v>3E-10</v>
      </c>
      <c r="AJ432" s="117">
        <f t="shared" si="758"/>
        <v>5.0000000000000003E-10</v>
      </c>
      <c r="AK432" s="117">
        <f t="shared" si="759"/>
        <v>6E-10</v>
      </c>
      <c r="AL432" s="117">
        <f t="shared" si="760"/>
        <v>6.9999999999999996E-10</v>
      </c>
      <c r="AM432" s="117">
        <f t="shared" si="761"/>
        <v>8.0000000000000003E-10</v>
      </c>
      <c r="AN432" s="117">
        <f t="shared" si="762"/>
        <v>8.9999999999999999E-10</v>
      </c>
      <c r="AO432" s="117">
        <f t="shared" si="763"/>
        <v>0</v>
      </c>
      <c r="AP432" s="139" t="b">
        <f t="shared" si="745"/>
        <v>0</v>
      </c>
      <c r="AQ432" s="139" t="b">
        <f t="shared" si="746"/>
        <v>0</v>
      </c>
      <c r="AR432" s="139" t="b">
        <f t="shared" si="747"/>
        <v>0</v>
      </c>
      <c r="AS432" s="139" t="b">
        <f t="shared" si="748"/>
        <v>0</v>
      </c>
      <c r="AT432" s="139" t="b">
        <f t="shared" si="749"/>
        <v>1</v>
      </c>
      <c r="AU432" s="139" t="b">
        <f t="shared" si="750"/>
        <v>1</v>
      </c>
      <c r="AV432" s="139" t="b">
        <f t="shared" si="751"/>
        <v>1</v>
      </c>
      <c r="AW432" s="139" t="b">
        <f t="shared" si="752"/>
        <v>1</v>
      </c>
      <c r="AX432" s="139" t="b">
        <f t="shared" si="753"/>
        <v>1</v>
      </c>
      <c r="AY432" s="139" t="b">
        <f t="shared" si="754"/>
        <v>0</v>
      </c>
    </row>
    <row r="433" spans="1:51">
      <c r="A433" s="139" t="str">
        <f>'Reference Score Calculation'!B410</f>
        <v>JSST05</v>
      </c>
      <c r="B433" s="117" t="str">
        <f>'Reference Score Calculation'!B410</f>
        <v>JSST05</v>
      </c>
      <c r="C433" s="117" t="str">
        <f>'Reference Score Calculation'!E410</f>
        <v>物理治療學（榮譽）理學士</v>
      </c>
      <c r="D433" s="21"/>
      <c r="E433" s="117" t="str">
        <f>'Reference Score Calculation'!F410</f>
        <v>Best 5</v>
      </c>
      <c r="F433" s="117"/>
      <c r="G433" s="117" t="str">
        <f>入學要求!AB419</f>
        <v>v</v>
      </c>
      <c r="H433" s="117" t="str">
        <f>入學要求!AC419</f>
        <v>NO</v>
      </c>
      <c r="I433" s="117" t="str">
        <f>入學要求!AD419</f>
        <v>NO</v>
      </c>
      <c r="J433" s="117">
        <f t="shared" si="735"/>
        <v>3.4999999999999999E-9</v>
      </c>
      <c r="K433" s="117">
        <v>1</v>
      </c>
      <c r="L433" s="117">
        <v>1</v>
      </c>
      <c r="M433" s="117">
        <v>1</v>
      </c>
      <c r="N433" s="117">
        <v>2</v>
      </c>
      <c r="O433" s="117">
        <v>1</v>
      </c>
      <c r="P433" s="117">
        <v>1</v>
      </c>
      <c r="Q433" s="117">
        <v>1</v>
      </c>
      <c r="R433" s="117">
        <v>1</v>
      </c>
      <c r="S433" s="117">
        <v>1</v>
      </c>
      <c r="T433" s="117">
        <v>1</v>
      </c>
      <c r="V433" s="117">
        <f t="shared" si="736"/>
        <v>1E-10</v>
      </c>
      <c r="W433" s="117">
        <f t="shared" si="737"/>
        <v>2.0000000000000001E-10</v>
      </c>
      <c r="X433" s="117">
        <f t="shared" si="738"/>
        <v>3E-10</v>
      </c>
      <c r="Z433" s="117">
        <f t="shared" si="739"/>
        <v>5.0000000000000003E-10</v>
      </c>
      <c r="AA433" s="117">
        <f t="shared" si="740"/>
        <v>6E-10</v>
      </c>
      <c r="AB433" s="117">
        <f t="shared" si="741"/>
        <v>6.9999999999999996E-10</v>
      </c>
      <c r="AC433" s="117">
        <f t="shared" si="742"/>
        <v>8.0000000000000003E-10</v>
      </c>
      <c r="AD433" s="117">
        <f t="shared" si="743"/>
        <v>8.9999999999999999E-10</v>
      </c>
      <c r="AF433" s="117">
        <f t="shared" si="755"/>
        <v>1E-10</v>
      </c>
      <c r="AG433" s="117">
        <f t="shared" si="756"/>
        <v>2.0000000000000001E-10</v>
      </c>
      <c r="AH433" s="117">
        <f t="shared" si="757"/>
        <v>3E-10</v>
      </c>
      <c r="AJ433" s="117">
        <f t="shared" si="758"/>
        <v>5.0000000000000003E-10</v>
      </c>
      <c r="AK433" s="117">
        <f t="shared" si="759"/>
        <v>6E-10</v>
      </c>
      <c r="AL433" s="117">
        <f t="shared" si="760"/>
        <v>6.9999999999999996E-10</v>
      </c>
      <c r="AM433" s="117">
        <f t="shared" si="761"/>
        <v>8.0000000000000003E-10</v>
      </c>
      <c r="AN433" s="117">
        <f t="shared" si="762"/>
        <v>8.9999999999999999E-10</v>
      </c>
      <c r="AO433" s="117">
        <f t="shared" si="763"/>
        <v>0</v>
      </c>
      <c r="AP433" s="139" t="b">
        <f t="shared" si="745"/>
        <v>0</v>
      </c>
      <c r="AQ433" s="139" t="b">
        <f t="shared" si="746"/>
        <v>0</v>
      </c>
      <c r="AR433" s="139" t="b">
        <f t="shared" si="747"/>
        <v>0</v>
      </c>
      <c r="AS433" s="139" t="b">
        <f t="shared" si="748"/>
        <v>0</v>
      </c>
      <c r="AT433" s="139" t="b">
        <f t="shared" si="749"/>
        <v>1</v>
      </c>
      <c r="AU433" s="139" t="b">
        <f t="shared" si="750"/>
        <v>1</v>
      </c>
      <c r="AV433" s="139" t="b">
        <f t="shared" si="751"/>
        <v>1</v>
      </c>
      <c r="AW433" s="139" t="b">
        <f t="shared" si="752"/>
        <v>1</v>
      </c>
      <c r="AX433" s="139" t="b">
        <f t="shared" si="753"/>
        <v>1</v>
      </c>
      <c r="AY433" s="139" t="b">
        <f t="shared" si="754"/>
        <v>0</v>
      </c>
    </row>
    <row r="434" spans="1:51">
      <c r="A434" s="139" t="str">
        <f>'Reference Score Calculation'!B411</f>
        <v>JSST06</v>
      </c>
      <c r="B434" s="117" t="str">
        <f>'Reference Score Calculation'!B411</f>
        <v>JSST06</v>
      </c>
      <c r="C434" s="117" t="str">
        <f>'Reference Score Calculation'!E411</f>
        <v>應用老年學（榮譽）理學士</v>
      </c>
      <c r="D434" s="129"/>
      <c r="E434" s="117" t="str">
        <f>'Reference Score Calculation'!F411</f>
        <v>Best 5</v>
      </c>
      <c r="F434" s="117"/>
      <c r="G434" s="117" t="str">
        <f>入學要求!AB420</f>
        <v>v</v>
      </c>
      <c r="H434" s="117" t="str">
        <f>入學要求!AC420</f>
        <v>NO</v>
      </c>
      <c r="I434" s="117" t="str">
        <f>入學要求!AD420</f>
        <v>NO</v>
      </c>
      <c r="J434" s="117">
        <f t="shared" si="735"/>
        <v>3.4999999999999999E-9</v>
      </c>
      <c r="K434" s="117">
        <v>1</v>
      </c>
      <c r="L434" s="117">
        <v>1</v>
      </c>
      <c r="M434" s="117">
        <v>1</v>
      </c>
      <c r="N434" s="117">
        <v>2</v>
      </c>
      <c r="O434" s="117">
        <v>1</v>
      </c>
      <c r="P434" s="117">
        <v>1</v>
      </c>
      <c r="Q434" s="117">
        <v>1</v>
      </c>
      <c r="R434" s="117">
        <v>1</v>
      </c>
      <c r="S434" s="117">
        <v>1</v>
      </c>
      <c r="T434" s="117">
        <v>1</v>
      </c>
      <c r="V434" s="117">
        <f t="shared" si="736"/>
        <v>1E-10</v>
      </c>
      <c r="W434" s="117">
        <f t="shared" si="737"/>
        <v>2.0000000000000001E-10</v>
      </c>
      <c r="X434" s="117">
        <f t="shared" si="738"/>
        <v>3E-10</v>
      </c>
      <c r="Z434" s="117">
        <f t="shared" si="739"/>
        <v>5.0000000000000003E-10</v>
      </c>
      <c r="AA434" s="117">
        <f t="shared" si="740"/>
        <v>6E-10</v>
      </c>
      <c r="AB434" s="117">
        <f t="shared" si="741"/>
        <v>6.9999999999999996E-10</v>
      </c>
      <c r="AC434" s="117">
        <f t="shared" si="742"/>
        <v>8.0000000000000003E-10</v>
      </c>
      <c r="AD434" s="117">
        <f t="shared" si="743"/>
        <v>8.9999999999999999E-10</v>
      </c>
      <c r="AF434" s="117">
        <f t="shared" si="755"/>
        <v>1E-10</v>
      </c>
      <c r="AG434" s="117">
        <f t="shared" si="756"/>
        <v>2.0000000000000001E-10</v>
      </c>
      <c r="AH434" s="117">
        <f t="shared" si="757"/>
        <v>3E-10</v>
      </c>
      <c r="AJ434" s="117">
        <f t="shared" si="758"/>
        <v>5.0000000000000003E-10</v>
      </c>
      <c r="AK434" s="117">
        <f t="shared" si="759"/>
        <v>6E-10</v>
      </c>
      <c r="AL434" s="117">
        <f t="shared" si="760"/>
        <v>6.9999999999999996E-10</v>
      </c>
      <c r="AM434" s="117">
        <f t="shared" si="761"/>
        <v>8.0000000000000003E-10</v>
      </c>
      <c r="AN434" s="117">
        <f t="shared" si="762"/>
        <v>8.9999999999999999E-10</v>
      </c>
      <c r="AO434" s="117">
        <f t="shared" si="763"/>
        <v>0</v>
      </c>
      <c r="AP434" s="139" t="b">
        <f t="shared" si="745"/>
        <v>0</v>
      </c>
      <c r="AQ434" s="139" t="b">
        <f t="shared" si="746"/>
        <v>0</v>
      </c>
      <c r="AR434" s="139" t="b">
        <f t="shared" si="747"/>
        <v>0</v>
      </c>
      <c r="AS434" s="139" t="b">
        <f t="shared" si="748"/>
        <v>0</v>
      </c>
      <c r="AT434" s="139" t="b">
        <f t="shared" si="749"/>
        <v>1</v>
      </c>
      <c r="AU434" s="139" t="b">
        <f t="shared" si="750"/>
        <v>1</v>
      </c>
      <c r="AV434" s="139" t="b">
        <f t="shared" si="751"/>
        <v>1</v>
      </c>
      <c r="AW434" s="139" t="b">
        <f t="shared" si="752"/>
        <v>1</v>
      </c>
      <c r="AX434" s="139" t="b">
        <f t="shared" si="753"/>
        <v>1</v>
      </c>
      <c r="AY434" s="139" t="b">
        <f t="shared" si="754"/>
        <v>0</v>
      </c>
    </row>
    <row r="435" spans="1:51">
      <c r="A435" s="139" t="str">
        <f>'Reference Score Calculation'!B412</f>
        <v>JSST07</v>
      </c>
      <c r="B435" s="117" t="str">
        <f>'Reference Score Calculation'!B412</f>
        <v>JSST07</v>
      </c>
      <c r="C435" s="117" t="str">
        <f>'Reference Score Calculation'!E412</f>
        <v>醫療資訊及服務管理（榮譽）學士</v>
      </c>
      <c r="D435" s="129"/>
      <c r="E435" s="117" t="str">
        <f>'Reference Score Calculation'!F412</f>
        <v>Best 5</v>
      </c>
      <c r="F435" s="117"/>
      <c r="G435" s="117" t="str">
        <f>入學要求!AB421</f>
        <v>v</v>
      </c>
      <c r="H435" s="117" t="str">
        <f>入學要求!AC421</f>
        <v>NO</v>
      </c>
      <c r="I435" s="117" t="str">
        <f>入學要求!AD421</f>
        <v>NO</v>
      </c>
      <c r="J435" s="117">
        <f t="shared" si="735"/>
        <v>3.4999999999999999E-9</v>
      </c>
      <c r="K435" s="117">
        <v>1</v>
      </c>
      <c r="L435" s="117">
        <v>1</v>
      </c>
      <c r="M435" s="117">
        <v>1</v>
      </c>
      <c r="N435" s="117">
        <v>2</v>
      </c>
      <c r="O435" s="117">
        <v>1</v>
      </c>
      <c r="P435" s="117">
        <v>1</v>
      </c>
      <c r="Q435" s="117">
        <v>1</v>
      </c>
      <c r="R435" s="117">
        <v>1</v>
      </c>
      <c r="S435" s="117">
        <v>1</v>
      </c>
      <c r="T435" s="117">
        <v>1</v>
      </c>
      <c r="V435" s="117">
        <f t="shared" si="736"/>
        <v>1E-10</v>
      </c>
      <c r="W435" s="117">
        <f t="shared" si="737"/>
        <v>2.0000000000000001E-10</v>
      </c>
      <c r="X435" s="117">
        <f t="shared" si="738"/>
        <v>3E-10</v>
      </c>
      <c r="Z435" s="117">
        <f t="shared" si="739"/>
        <v>5.0000000000000003E-10</v>
      </c>
      <c r="AA435" s="117">
        <f t="shared" si="740"/>
        <v>6E-10</v>
      </c>
      <c r="AB435" s="117">
        <f t="shared" si="741"/>
        <v>6.9999999999999996E-10</v>
      </c>
      <c r="AC435" s="117">
        <f t="shared" si="742"/>
        <v>8.0000000000000003E-10</v>
      </c>
      <c r="AD435" s="117">
        <f t="shared" si="743"/>
        <v>8.9999999999999999E-10</v>
      </c>
      <c r="AF435" s="117">
        <f t="shared" si="755"/>
        <v>1E-10</v>
      </c>
      <c r="AG435" s="117">
        <f t="shared" si="756"/>
        <v>2.0000000000000001E-10</v>
      </c>
      <c r="AH435" s="117">
        <f t="shared" si="757"/>
        <v>3E-10</v>
      </c>
      <c r="AJ435" s="117">
        <f t="shared" si="758"/>
        <v>5.0000000000000003E-10</v>
      </c>
      <c r="AK435" s="117">
        <f t="shared" si="759"/>
        <v>6E-10</v>
      </c>
      <c r="AL435" s="117">
        <f t="shared" si="760"/>
        <v>6.9999999999999996E-10</v>
      </c>
      <c r="AM435" s="117">
        <f t="shared" si="761"/>
        <v>8.0000000000000003E-10</v>
      </c>
      <c r="AN435" s="117">
        <f t="shared" si="762"/>
        <v>8.9999999999999999E-10</v>
      </c>
      <c r="AO435" s="117">
        <f t="shared" si="763"/>
        <v>0</v>
      </c>
      <c r="AP435" s="139" t="b">
        <f t="shared" si="745"/>
        <v>0</v>
      </c>
      <c r="AQ435" s="139" t="b">
        <f t="shared" si="746"/>
        <v>0</v>
      </c>
      <c r="AR435" s="139" t="b">
        <f t="shared" si="747"/>
        <v>0</v>
      </c>
      <c r="AS435" s="139" t="b">
        <f t="shared" si="748"/>
        <v>0</v>
      </c>
      <c r="AT435" s="139" t="b">
        <f t="shared" si="749"/>
        <v>1</v>
      </c>
      <c r="AU435" s="139" t="b">
        <f t="shared" si="750"/>
        <v>1</v>
      </c>
      <c r="AV435" s="139" t="b">
        <f t="shared" si="751"/>
        <v>1</v>
      </c>
      <c r="AW435" s="139" t="b">
        <f t="shared" si="752"/>
        <v>1</v>
      </c>
      <c r="AX435" s="139" t="b">
        <f t="shared" si="753"/>
        <v>1</v>
      </c>
      <c r="AY435" s="139" t="b">
        <f t="shared" si="754"/>
        <v>0</v>
      </c>
    </row>
    <row r="436" spans="1:51">
      <c r="A436" s="139" t="str">
        <f>'Reference Score Calculation'!B413</f>
        <v>JSST08</v>
      </c>
      <c r="B436" s="117" t="str">
        <f>'Reference Score Calculation'!B413</f>
        <v>JSST08</v>
      </c>
      <c r="C436" s="117" t="str">
        <f>'Reference Score Calculation'!E413</f>
        <v>醫療影像學（榮譽）理學士</v>
      </c>
      <c r="D436" s="129"/>
      <c r="E436" s="117" t="str">
        <f>'Reference Score Calculation'!F413</f>
        <v>25年新科目</v>
      </c>
      <c r="F436" s="117"/>
      <c r="G436" s="117" t="str">
        <f>入學要求!AB422</f>
        <v>v</v>
      </c>
      <c r="H436" s="117" t="str">
        <f>入學要求!AC422</f>
        <v>NO</v>
      </c>
      <c r="I436" s="117" t="str">
        <f>入學要求!AD422</f>
        <v>NO</v>
      </c>
      <c r="J436" s="117">
        <f t="shared" si="735"/>
        <v>3.4999999999999999E-9</v>
      </c>
      <c r="K436" s="117">
        <v>1</v>
      </c>
      <c r="L436" s="117">
        <v>1</v>
      </c>
      <c r="M436" s="117">
        <v>1</v>
      </c>
      <c r="N436" s="117">
        <v>2</v>
      </c>
      <c r="O436" s="117">
        <v>1</v>
      </c>
      <c r="P436" s="117">
        <v>1</v>
      </c>
      <c r="Q436" s="117">
        <v>1</v>
      </c>
      <c r="R436" s="117">
        <v>1</v>
      </c>
      <c r="S436" s="117">
        <v>1</v>
      </c>
      <c r="T436" s="117">
        <v>1</v>
      </c>
      <c r="V436" s="117">
        <f t="shared" si="736"/>
        <v>1E-10</v>
      </c>
      <c r="W436" s="117">
        <f t="shared" si="737"/>
        <v>2.0000000000000001E-10</v>
      </c>
      <c r="X436" s="117">
        <f t="shared" si="738"/>
        <v>3E-10</v>
      </c>
      <c r="Z436" s="117">
        <f t="shared" si="739"/>
        <v>5.0000000000000003E-10</v>
      </c>
      <c r="AA436" s="117">
        <f t="shared" si="740"/>
        <v>6E-10</v>
      </c>
      <c r="AB436" s="117">
        <f t="shared" si="741"/>
        <v>6.9999999999999996E-10</v>
      </c>
      <c r="AC436" s="117">
        <f t="shared" si="742"/>
        <v>8.0000000000000003E-10</v>
      </c>
      <c r="AD436" s="117">
        <f t="shared" si="743"/>
        <v>8.9999999999999999E-10</v>
      </c>
      <c r="AF436" s="117">
        <f t="shared" ref="AF436" si="765">V436</f>
        <v>1E-10</v>
      </c>
      <c r="AG436" s="117">
        <f t="shared" ref="AG436" si="766">W436</f>
        <v>2.0000000000000001E-10</v>
      </c>
      <c r="AH436" s="117">
        <f t="shared" ref="AH436" si="767">X436</f>
        <v>3E-10</v>
      </c>
      <c r="AJ436" s="117">
        <f t="shared" ref="AJ436" si="768">Z436</f>
        <v>5.0000000000000003E-10</v>
      </c>
      <c r="AK436" s="117">
        <f t="shared" ref="AK436" si="769">AA436</f>
        <v>6E-10</v>
      </c>
      <c r="AL436" s="117">
        <f t="shared" ref="AL436" si="770">AB436</f>
        <v>6.9999999999999996E-10</v>
      </c>
      <c r="AM436" s="117">
        <f t="shared" ref="AM436" si="771">AC436</f>
        <v>8.0000000000000003E-10</v>
      </c>
      <c r="AN436" s="117">
        <f t="shared" ref="AN436" si="772">AD436</f>
        <v>8.9999999999999999E-10</v>
      </c>
      <c r="AO436" s="117">
        <f t="shared" ref="AO436" si="773">AE436</f>
        <v>0</v>
      </c>
      <c r="AP436" s="139" t="b">
        <f t="shared" si="745"/>
        <v>0</v>
      </c>
      <c r="AQ436" s="139" t="b">
        <f t="shared" si="746"/>
        <v>0</v>
      </c>
      <c r="AR436" s="139" t="b">
        <f t="shared" si="747"/>
        <v>0</v>
      </c>
      <c r="AS436" s="139" t="b">
        <f t="shared" si="748"/>
        <v>0</v>
      </c>
      <c r="AT436" s="139" t="b">
        <f t="shared" si="749"/>
        <v>1</v>
      </c>
      <c r="AU436" s="139" t="b">
        <f t="shared" si="750"/>
        <v>1</v>
      </c>
      <c r="AV436" s="139" t="b">
        <f t="shared" si="751"/>
        <v>1</v>
      </c>
      <c r="AW436" s="139" t="b">
        <f t="shared" si="752"/>
        <v>1</v>
      </c>
      <c r="AX436" s="139" t="b">
        <f t="shared" si="753"/>
        <v>1</v>
      </c>
      <c r="AY436" s="139" t="b">
        <f t="shared" si="754"/>
        <v>0</v>
      </c>
    </row>
    <row r="437" spans="1:51">
      <c r="A437" s="139" t="str">
        <f>'Reference Score Calculation'!B414</f>
        <v>JSSU12</v>
      </c>
      <c r="B437" s="117" t="str">
        <f>'Reference Score Calculation'!B414</f>
        <v>JSSU12</v>
      </c>
      <c r="C437" s="117" t="str">
        <f>'Reference Score Calculation'!E414</f>
        <v>創意寫作與電影藝術榮譽文學士</v>
      </c>
      <c r="D437" s="129"/>
      <c r="E437" s="117" t="str">
        <f>'Reference Score Calculation'!F414</f>
        <v>Best 5</v>
      </c>
      <c r="F437" s="130"/>
      <c r="G437" s="117" t="str">
        <f>入學要求!AB423</f>
        <v>v</v>
      </c>
      <c r="H437" s="117" t="str">
        <f>入學要求!AC423</f>
        <v>E</v>
      </c>
      <c r="I437" s="117" t="str">
        <f>入學要求!AD423</f>
        <v>v</v>
      </c>
      <c r="J437" s="117">
        <f t="shared" si="735"/>
        <v>3.4999999999999999E-9</v>
      </c>
      <c r="K437" s="117">
        <v>1.5</v>
      </c>
      <c r="L437" s="117">
        <v>1.5</v>
      </c>
      <c r="M437" s="117">
        <v>1</v>
      </c>
      <c r="O437" s="117">
        <v>1</v>
      </c>
      <c r="P437" s="117">
        <v>1</v>
      </c>
      <c r="Q437" s="117">
        <v>1</v>
      </c>
      <c r="R437" s="117">
        <v>1</v>
      </c>
      <c r="S437" s="117">
        <v>1</v>
      </c>
      <c r="T437" s="117">
        <v>1</v>
      </c>
      <c r="V437" s="117">
        <f t="shared" si="736"/>
        <v>1.5E-10</v>
      </c>
      <c r="W437" s="117">
        <f t="shared" si="737"/>
        <v>3E-10</v>
      </c>
      <c r="X437" s="117">
        <f t="shared" si="738"/>
        <v>3E-10</v>
      </c>
      <c r="Z437" s="117">
        <f t="shared" si="739"/>
        <v>5.0000000000000003E-10</v>
      </c>
      <c r="AA437" s="117">
        <f t="shared" si="740"/>
        <v>6E-10</v>
      </c>
      <c r="AB437" s="117">
        <f t="shared" si="741"/>
        <v>6.9999999999999996E-10</v>
      </c>
      <c r="AC437" s="117">
        <f t="shared" si="742"/>
        <v>8.0000000000000003E-10</v>
      </c>
      <c r="AD437" s="117">
        <f t="shared" si="743"/>
        <v>8.9999999999999999E-10</v>
      </c>
      <c r="AE437" s="117">
        <f t="shared" ref="AE437:AE452" si="774">IF(H437="E",T$11*T437,0)</f>
        <v>0</v>
      </c>
      <c r="AF437" s="117">
        <f t="shared" si="755"/>
        <v>1.5E-10</v>
      </c>
      <c r="AG437" s="117">
        <f t="shared" si="756"/>
        <v>3E-10</v>
      </c>
      <c r="AH437" s="117">
        <f t="shared" si="757"/>
        <v>3E-10</v>
      </c>
      <c r="AJ437" s="117">
        <f t="shared" si="758"/>
        <v>5.0000000000000003E-10</v>
      </c>
      <c r="AK437" s="117">
        <f t="shared" si="759"/>
        <v>6E-10</v>
      </c>
      <c r="AL437" s="117">
        <f t="shared" si="760"/>
        <v>6.9999999999999996E-10</v>
      </c>
      <c r="AM437" s="117">
        <f t="shared" si="761"/>
        <v>8.0000000000000003E-10</v>
      </c>
      <c r="AN437" s="117">
        <f t="shared" si="762"/>
        <v>8.9999999999999999E-10</v>
      </c>
      <c r="AO437" s="117">
        <f t="shared" si="763"/>
        <v>0</v>
      </c>
      <c r="AP437" s="139" t="b">
        <f t="shared" si="745"/>
        <v>0</v>
      </c>
      <c r="AQ437" s="139" t="b">
        <f t="shared" si="746"/>
        <v>0</v>
      </c>
      <c r="AR437" s="139" t="b">
        <f t="shared" si="747"/>
        <v>0</v>
      </c>
      <c r="AS437" s="139" t="b">
        <f t="shared" si="748"/>
        <v>0</v>
      </c>
      <c r="AT437" s="139" t="b">
        <f t="shared" si="749"/>
        <v>1</v>
      </c>
      <c r="AU437" s="139" t="b">
        <f t="shared" si="750"/>
        <v>1</v>
      </c>
      <c r="AV437" s="139" t="b">
        <f t="shared" si="751"/>
        <v>1</v>
      </c>
      <c r="AW437" s="139" t="b">
        <f t="shared" si="752"/>
        <v>1</v>
      </c>
      <c r="AX437" s="139" t="b">
        <f t="shared" si="753"/>
        <v>1</v>
      </c>
      <c r="AY437" s="139" t="b">
        <f t="shared" si="754"/>
        <v>0</v>
      </c>
    </row>
    <row r="438" spans="1:51">
      <c r="A438" s="139" t="str">
        <f>'Reference Score Calculation'!B415</f>
        <v>JSSU14</v>
      </c>
      <c r="B438" s="117" t="str">
        <f>'Reference Score Calculation'!B415</f>
        <v>JSSU14</v>
      </c>
      <c r="C438" s="117" t="str">
        <f>'Reference Score Calculation'!E415</f>
        <v>動畫及視覺特效榮譽藝術學士</v>
      </c>
      <c r="D438" s="129"/>
      <c r="E438" s="117" t="str">
        <f>'Reference Score Calculation'!F415</f>
        <v>Best 5</v>
      </c>
      <c r="F438" s="117"/>
      <c r="G438" s="117" t="str">
        <f>入學要求!AB424</f>
        <v>v</v>
      </c>
      <c r="H438" s="117" t="str">
        <f>入學要求!AC424</f>
        <v>E</v>
      </c>
      <c r="I438" s="117" t="str">
        <f>入學要求!AD424</f>
        <v>v</v>
      </c>
      <c r="J438" s="117">
        <f t="shared" si="735"/>
        <v>3.4999999999999999E-9</v>
      </c>
      <c r="K438" s="117">
        <v>1</v>
      </c>
      <c r="L438" s="117">
        <v>1</v>
      </c>
      <c r="M438" s="117">
        <v>1</v>
      </c>
      <c r="O438" s="117">
        <v>1</v>
      </c>
      <c r="P438" s="117">
        <v>1</v>
      </c>
      <c r="Q438" s="117">
        <v>1</v>
      </c>
      <c r="R438" s="117">
        <v>1</v>
      </c>
      <c r="S438" s="117">
        <v>1</v>
      </c>
      <c r="T438" s="117">
        <v>1</v>
      </c>
      <c r="V438" s="117">
        <f t="shared" si="736"/>
        <v>1E-10</v>
      </c>
      <c r="W438" s="117">
        <f t="shared" si="737"/>
        <v>2.0000000000000001E-10</v>
      </c>
      <c r="X438" s="117">
        <f t="shared" si="738"/>
        <v>3E-10</v>
      </c>
      <c r="Z438" s="117">
        <f t="shared" si="739"/>
        <v>5.0000000000000003E-10</v>
      </c>
      <c r="AA438" s="117">
        <f t="shared" si="740"/>
        <v>6E-10</v>
      </c>
      <c r="AB438" s="117">
        <f t="shared" si="741"/>
        <v>6.9999999999999996E-10</v>
      </c>
      <c r="AC438" s="117">
        <f t="shared" si="742"/>
        <v>8.0000000000000003E-10</v>
      </c>
      <c r="AD438" s="117">
        <f t="shared" si="743"/>
        <v>8.9999999999999999E-10</v>
      </c>
      <c r="AE438" s="117">
        <f t="shared" si="774"/>
        <v>0</v>
      </c>
      <c r="AF438" s="117">
        <f t="shared" si="755"/>
        <v>1E-10</v>
      </c>
      <c r="AG438" s="117">
        <f t="shared" si="756"/>
        <v>2.0000000000000001E-10</v>
      </c>
      <c r="AH438" s="117">
        <f t="shared" si="757"/>
        <v>3E-10</v>
      </c>
      <c r="AJ438" s="117">
        <f t="shared" si="758"/>
        <v>5.0000000000000003E-10</v>
      </c>
      <c r="AK438" s="117">
        <f t="shared" si="759"/>
        <v>6E-10</v>
      </c>
      <c r="AL438" s="117">
        <f t="shared" si="760"/>
        <v>6.9999999999999996E-10</v>
      </c>
      <c r="AM438" s="117">
        <f t="shared" si="761"/>
        <v>8.0000000000000003E-10</v>
      </c>
      <c r="AN438" s="117">
        <f t="shared" si="762"/>
        <v>8.9999999999999999E-10</v>
      </c>
      <c r="AO438" s="117">
        <f t="shared" si="763"/>
        <v>0</v>
      </c>
      <c r="AP438" s="139" t="b">
        <f t="shared" si="745"/>
        <v>0</v>
      </c>
      <c r="AQ438" s="139" t="b">
        <f t="shared" si="746"/>
        <v>0</v>
      </c>
      <c r="AR438" s="139" t="b">
        <f t="shared" si="747"/>
        <v>0</v>
      </c>
      <c r="AS438" s="139" t="b">
        <f t="shared" si="748"/>
        <v>0</v>
      </c>
      <c r="AT438" s="139" t="b">
        <f t="shared" si="749"/>
        <v>1</v>
      </c>
      <c r="AU438" s="139" t="b">
        <f t="shared" si="750"/>
        <v>1</v>
      </c>
      <c r="AV438" s="139" t="b">
        <f t="shared" si="751"/>
        <v>1</v>
      </c>
      <c r="AW438" s="139" t="b">
        <f t="shared" si="752"/>
        <v>1</v>
      </c>
      <c r="AX438" s="139" t="b">
        <f t="shared" si="753"/>
        <v>1</v>
      </c>
      <c r="AY438" s="139" t="b">
        <f t="shared" si="754"/>
        <v>0</v>
      </c>
    </row>
    <row r="439" spans="1:51">
      <c r="A439" s="139" t="str">
        <f>'Reference Score Calculation'!B416</f>
        <v>JSSU15</v>
      </c>
      <c r="B439" s="117" t="str">
        <f>'Reference Score Calculation'!B416</f>
        <v>JSSU15</v>
      </c>
      <c r="C439" s="117" t="str">
        <f>'Reference Score Calculation'!E416</f>
        <v>影像設計及數碼藝術榮譽藝術學士</v>
      </c>
      <c r="D439" s="129"/>
      <c r="E439" s="117" t="str">
        <f>'Reference Score Calculation'!F416</f>
        <v>Best 5</v>
      </c>
      <c r="F439" s="117"/>
      <c r="G439" s="117" t="str">
        <f>入學要求!AB425</f>
        <v>v</v>
      </c>
      <c r="H439" s="117" t="str">
        <f>入學要求!AC425</f>
        <v>E</v>
      </c>
      <c r="I439" s="117" t="str">
        <f>入學要求!AD425</f>
        <v>v</v>
      </c>
      <c r="J439" s="117">
        <f t="shared" si="735"/>
        <v>3.4999999999999999E-9</v>
      </c>
      <c r="K439" s="117">
        <v>1</v>
      </c>
      <c r="L439" s="117">
        <v>1</v>
      </c>
      <c r="M439" s="117">
        <v>1</v>
      </c>
      <c r="O439" s="117">
        <v>1</v>
      </c>
      <c r="P439" s="117">
        <v>1</v>
      </c>
      <c r="Q439" s="117">
        <v>1</v>
      </c>
      <c r="R439" s="117">
        <v>1</v>
      </c>
      <c r="S439" s="117">
        <v>1</v>
      </c>
      <c r="T439" s="117">
        <v>1</v>
      </c>
      <c r="V439" s="117">
        <f t="shared" si="736"/>
        <v>1E-10</v>
      </c>
      <c r="W439" s="117">
        <f t="shared" si="737"/>
        <v>2.0000000000000001E-10</v>
      </c>
      <c r="X439" s="117">
        <f t="shared" si="738"/>
        <v>3E-10</v>
      </c>
      <c r="Z439" s="117">
        <f t="shared" si="739"/>
        <v>5.0000000000000003E-10</v>
      </c>
      <c r="AA439" s="117">
        <f t="shared" si="740"/>
        <v>6E-10</v>
      </c>
      <c r="AB439" s="117">
        <f t="shared" si="741"/>
        <v>6.9999999999999996E-10</v>
      </c>
      <c r="AC439" s="117">
        <f t="shared" si="742"/>
        <v>8.0000000000000003E-10</v>
      </c>
      <c r="AD439" s="117">
        <f t="shared" si="743"/>
        <v>8.9999999999999999E-10</v>
      </c>
      <c r="AE439" s="117">
        <f t="shared" si="774"/>
        <v>0</v>
      </c>
      <c r="AF439" s="117">
        <f t="shared" si="755"/>
        <v>1E-10</v>
      </c>
      <c r="AG439" s="117">
        <f t="shared" si="756"/>
        <v>2.0000000000000001E-10</v>
      </c>
      <c r="AH439" s="117">
        <f t="shared" si="757"/>
        <v>3E-10</v>
      </c>
      <c r="AJ439" s="117">
        <f t="shared" si="758"/>
        <v>5.0000000000000003E-10</v>
      </c>
      <c r="AK439" s="117">
        <f t="shared" si="759"/>
        <v>6E-10</v>
      </c>
      <c r="AL439" s="117">
        <f t="shared" si="760"/>
        <v>6.9999999999999996E-10</v>
      </c>
      <c r="AM439" s="117">
        <f t="shared" si="761"/>
        <v>8.0000000000000003E-10</v>
      </c>
      <c r="AN439" s="117">
        <f t="shared" si="762"/>
        <v>8.9999999999999999E-10</v>
      </c>
      <c r="AO439" s="117">
        <f t="shared" si="763"/>
        <v>0</v>
      </c>
      <c r="AP439" s="139" t="b">
        <f t="shared" si="745"/>
        <v>0</v>
      </c>
      <c r="AQ439" s="139" t="b">
        <f t="shared" si="746"/>
        <v>0</v>
      </c>
      <c r="AR439" s="139" t="b">
        <f t="shared" si="747"/>
        <v>0</v>
      </c>
      <c r="AS439" s="139" t="b">
        <f t="shared" si="748"/>
        <v>0</v>
      </c>
      <c r="AT439" s="139" t="b">
        <f t="shared" si="749"/>
        <v>1</v>
      </c>
      <c r="AU439" s="139" t="b">
        <f t="shared" si="750"/>
        <v>1</v>
      </c>
      <c r="AV439" s="139" t="b">
        <f t="shared" si="751"/>
        <v>1</v>
      </c>
      <c r="AW439" s="139" t="b">
        <f t="shared" si="752"/>
        <v>1</v>
      </c>
      <c r="AX439" s="139" t="b">
        <f t="shared" si="753"/>
        <v>1</v>
      </c>
      <c r="AY439" s="139" t="b">
        <f t="shared" si="754"/>
        <v>0</v>
      </c>
    </row>
    <row r="440" spans="1:51">
      <c r="A440" s="139" t="str">
        <f>'Reference Score Calculation'!B417</f>
        <v>JSSU18</v>
      </c>
      <c r="B440" s="117" t="str">
        <f>'Reference Score Calculation'!B417</f>
        <v>JSSU18</v>
      </c>
      <c r="C440" s="117" t="str">
        <f>'Reference Score Calculation'!E417</f>
        <v>新音樂及互動娛樂榮譽文學士</v>
      </c>
      <c r="D440" s="129"/>
      <c r="E440" s="117" t="str">
        <f>'Reference Score Calculation'!F417</f>
        <v>Best 5</v>
      </c>
      <c r="F440" s="117"/>
      <c r="G440" s="117" t="str">
        <f>入學要求!AB426</f>
        <v>v</v>
      </c>
      <c r="H440" s="117" t="str">
        <f>入學要求!AC426</f>
        <v>E</v>
      </c>
      <c r="I440" s="117" t="str">
        <f>入學要求!AD426</f>
        <v>v</v>
      </c>
      <c r="J440" s="117">
        <f t="shared" si="735"/>
        <v>3.4999999999999999E-9</v>
      </c>
      <c r="K440" s="117">
        <v>1</v>
      </c>
      <c r="L440" s="117">
        <v>1</v>
      </c>
      <c r="M440" s="117">
        <v>1</v>
      </c>
      <c r="O440" s="117">
        <v>1</v>
      </c>
      <c r="P440" s="117">
        <v>1</v>
      </c>
      <c r="Q440" s="117">
        <v>1</v>
      </c>
      <c r="R440" s="117">
        <v>1</v>
      </c>
      <c r="S440" s="117">
        <v>1</v>
      </c>
      <c r="T440" s="117">
        <v>1</v>
      </c>
      <c r="V440" s="117">
        <f t="shared" si="736"/>
        <v>1E-10</v>
      </c>
      <c r="W440" s="117">
        <f t="shared" si="737"/>
        <v>2.0000000000000001E-10</v>
      </c>
      <c r="X440" s="117">
        <f t="shared" si="738"/>
        <v>3E-10</v>
      </c>
      <c r="Z440" s="117">
        <f t="shared" si="739"/>
        <v>5.0000000000000003E-10</v>
      </c>
      <c r="AA440" s="117">
        <f t="shared" si="740"/>
        <v>6E-10</v>
      </c>
      <c r="AB440" s="117">
        <f t="shared" si="741"/>
        <v>6.9999999999999996E-10</v>
      </c>
      <c r="AC440" s="117">
        <f t="shared" si="742"/>
        <v>8.0000000000000003E-10</v>
      </c>
      <c r="AD440" s="117">
        <f t="shared" si="743"/>
        <v>8.9999999999999999E-10</v>
      </c>
      <c r="AE440" s="117">
        <f t="shared" si="774"/>
        <v>0</v>
      </c>
      <c r="AF440" s="117">
        <f t="shared" si="755"/>
        <v>1E-10</v>
      </c>
      <c r="AG440" s="117">
        <f t="shared" si="756"/>
        <v>2.0000000000000001E-10</v>
      </c>
      <c r="AH440" s="117">
        <f t="shared" si="757"/>
        <v>3E-10</v>
      </c>
      <c r="AJ440" s="117">
        <f t="shared" si="758"/>
        <v>5.0000000000000003E-10</v>
      </c>
      <c r="AK440" s="117">
        <f t="shared" si="759"/>
        <v>6E-10</v>
      </c>
      <c r="AL440" s="117">
        <f t="shared" si="760"/>
        <v>6.9999999999999996E-10</v>
      </c>
      <c r="AM440" s="117">
        <f t="shared" si="761"/>
        <v>8.0000000000000003E-10</v>
      </c>
      <c r="AN440" s="117">
        <f t="shared" si="762"/>
        <v>8.9999999999999999E-10</v>
      </c>
      <c r="AO440" s="117">
        <f t="shared" si="763"/>
        <v>0</v>
      </c>
      <c r="AP440" s="139" t="b">
        <f t="shared" si="745"/>
        <v>0</v>
      </c>
      <c r="AQ440" s="139" t="b">
        <f t="shared" si="746"/>
        <v>0</v>
      </c>
      <c r="AR440" s="139" t="b">
        <f t="shared" si="747"/>
        <v>0</v>
      </c>
      <c r="AS440" s="139" t="b">
        <f t="shared" si="748"/>
        <v>0</v>
      </c>
      <c r="AT440" s="139" t="b">
        <f t="shared" si="749"/>
        <v>1</v>
      </c>
      <c r="AU440" s="139" t="b">
        <f t="shared" si="750"/>
        <v>1</v>
      </c>
      <c r="AV440" s="139" t="b">
        <f t="shared" si="751"/>
        <v>1</v>
      </c>
      <c r="AW440" s="139" t="b">
        <f t="shared" si="752"/>
        <v>1</v>
      </c>
      <c r="AX440" s="139" t="b">
        <f t="shared" si="753"/>
        <v>1</v>
      </c>
      <c r="AY440" s="139" t="b">
        <f t="shared" si="754"/>
        <v>0</v>
      </c>
    </row>
    <row r="441" spans="1:51">
      <c r="A441" s="139" t="str">
        <f>'Reference Score Calculation'!B418</f>
        <v>JSSU40</v>
      </c>
      <c r="B441" s="117" t="str">
        <f>'Reference Score Calculation'!B418</f>
        <v>JSSU40</v>
      </c>
      <c r="C441" s="117" t="str">
        <f>'Reference Score Calculation'!E418</f>
        <v>護理學榮譽學士（普通科）</v>
      </c>
      <c r="D441" s="129"/>
      <c r="E441" s="117" t="str">
        <f>'Reference Score Calculation'!F418</f>
        <v>Best 5</v>
      </c>
      <c r="F441" s="130"/>
      <c r="G441" s="117" t="str">
        <f>入學要求!AB427</f>
        <v>v</v>
      </c>
      <c r="H441" s="117" t="str">
        <f>入學要求!AC427</f>
        <v>NO</v>
      </c>
      <c r="I441" s="117" t="str">
        <f>入學要求!AD427</f>
        <v>NO</v>
      </c>
      <c r="J441" s="117">
        <f t="shared" si="735"/>
        <v>3.4999999999999999E-9</v>
      </c>
      <c r="K441" s="117">
        <v>1</v>
      </c>
      <c r="L441" s="117">
        <v>1</v>
      </c>
      <c r="M441" s="117">
        <v>1</v>
      </c>
      <c r="O441" s="117">
        <v>1</v>
      </c>
      <c r="P441" s="117">
        <f t="shared" ref="P441:S442" si="775">IF(OR(P$1="生物",P$1="化學",P$1="物理",P$1="組合科學(物理、化學)",P$1="組合科學(生物、化學)",P$1="組合科學(物理、生物)",P$1="綜合科學",P$1="健康管理及社會關懷"),1.2,1)</f>
        <v>1</v>
      </c>
      <c r="Q441" s="117">
        <f t="shared" si="775"/>
        <v>1</v>
      </c>
      <c r="R441" s="117">
        <f t="shared" si="775"/>
        <v>1</v>
      </c>
      <c r="S441" s="117">
        <f t="shared" si="775"/>
        <v>1</v>
      </c>
      <c r="T441" s="117">
        <v>1</v>
      </c>
      <c r="V441" s="117">
        <f t="shared" si="736"/>
        <v>1E-10</v>
      </c>
      <c r="W441" s="117">
        <f t="shared" si="737"/>
        <v>2.0000000000000001E-10</v>
      </c>
      <c r="X441" s="117">
        <f t="shared" si="738"/>
        <v>3E-10</v>
      </c>
      <c r="Z441" s="117">
        <f t="shared" si="739"/>
        <v>5.0000000000000003E-10</v>
      </c>
      <c r="AA441" s="117">
        <f t="shared" si="740"/>
        <v>6E-10</v>
      </c>
      <c r="AB441" s="117">
        <f t="shared" si="741"/>
        <v>6.9999999999999996E-10</v>
      </c>
      <c r="AC441" s="117">
        <f t="shared" si="742"/>
        <v>8.0000000000000003E-10</v>
      </c>
      <c r="AD441" s="117">
        <f t="shared" si="743"/>
        <v>8.9999999999999999E-10</v>
      </c>
      <c r="AE441" s="117">
        <f t="shared" si="774"/>
        <v>0</v>
      </c>
      <c r="AF441" s="117">
        <f t="shared" si="755"/>
        <v>1E-10</v>
      </c>
      <c r="AG441" s="117">
        <f t="shared" si="756"/>
        <v>2.0000000000000001E-10</v>
      </c>
      <c r="AH441" s="117">
        <f t="shared" si="757"/>
        <v>3E-10</v>
      </c>
      <c r="AJ441" s="117">
        <f t="shared" si="758"/>
        <v>5.0000000000000003E-10</v>
      </c>
      <c r="AK441" s="117">
        <f t="shared" si="759"/>
        <v>6E-10</v>
      </c>
      <c r="AL441" s="117">
        <f t="shared" si="760"/>
        <v>6.9999999999999996E-10</v>
      </c>
      <c r="AM441" s="117">
        <f t="shared" si="761"/>
        <v>8.0000000000000003E-10</v>
      </c>
      <c r="AN441" s="117">
        <f t="shared" si="762"/>
        <v>8.9999999999999999E-10</v>
      </c>
      <c r="AO441" s="117">
        <f t="shared" si="763"/>
        <v>0</v>
      </c>
      <c r="AP441" s="139" t="b">
        <f t="shared" si="745"/>
        <v>0</v>
      </c>
      <c r="AQ441" s="139" t="b">
        <f t="shared" si="746"/>
        <v>0</v>
      </c>
      <c r="AR441" s="139" t="b">
        <f t="shared" si="747"/>
        <v>0</v>
      </c>
      <c r="AS441" s="139" t="b">
        <f t="shared" si="748"/>
        <v>0</v>
      </c>
      <c r="AT441" s="139" t="b">
        <f t="shared" si="749"/>
        <v>1</v>
      </c>
      <c r="AU441" s="139" t="b">
        <f t="shared" si="750"/>
        <v>1</v>
      </c>
      <c r="AV441" s="139" t="b">
        <f t="shared" si="751"/>
        <v>1</v>
      </c>
      <c r="AW441" s="139" t="b">
        <f t="shared" si="752"/>
        <v>1</v>
      </c>
      <c r="AX441" s="139" t="b">
        <f t="shared" si="753"/>
        <v>1</v>
      </c>
      <c r="AY441" s="139" t="b">
        <f t="shared" si="754"/>
        <v>0</v>
      </c>
    </row>
    <row r="442" spans="1:51">
      <c r="A442" s="139" t="str">
        <f>'Reference Score Calculation'!B419</f>
        <v>JSSU50</v>
      </c>
      <c r="B442" s="117" t="str">
        <f>'Reference Score Calculation'!B419</f>
        <v>JSSU50</v>
      </c>
      <c r="C442" s="117" t="str">
        <f>'Reference Score Calculation'!E419</f>
        <v>護理學榮譽學士（精神科）</v>
      </c>
      <c r="D442" s="129"/>
      <c r="E442" s="117" t="str">
        <f>'Reference Score Calculation'!F419</f>
        <v>Best 5</v>
      </c>
      <c r="F442" s="130"/>
      <c r="G442" s="117" t="str">
        <f>入學要求!AB428</f>
        <v>v</v>
      </c>
      <c r="H442" s="117" t="str">
        <f>入學要求!AC428</f>
        <v>NO</v>
      </c>
      <c r="I442" s="117" t="str">
        <f>入學要求!AD428</f>
        <v>NO</v>
      </c>
      <c r="J442" s="117">
        <f t="shared" si="735"/>
        <v>3.4999999999999999E-9</v>
      </c>
      <c r="K442" s="117">
        <v>1</v>
      </c>
      <c r="L442" s="117">
        <v>1</v>
      </c>
      <c r="M442" s="117">
        <v>1</v>
      </c>
      <c r="O442" s="117">
        <v>1</v>
      </c>
      <c r="P442" s="117">
        <f t="shared" si="775"/>
        <v>1</v>
      </c>
      <c r="Q442" s="117">
        <f t="shared" si="775"/>
        <v>1</v>
      </c>
      <c r="R442" s="117">
        <f t="shared" si="775"/>
        <v>1</v>
      </c>
      <c r="S442" s="117">
        <f t="shared" si="775"/>
        <v>1</v>
      </c>
      <c r="T442" s="117">
        <f>IF(OR(T$1="生物",T$1="化學",T$1="物理",T$1="組合科學(物理、化學)",T$1="組合科學(生物、化學)",T$1="組合科學(物理、生物)",T$1="綜合科學"),1.2,1)</f>
        <v>1</v>
      </c>
      <c r="V442" s="117">
        <f t="shared" si="736"/>
        <v>1E-10</v>
      </c>
      <c r="W442" s="117">
        <f t="shared" si="737"/>
        <v>2.0000000000000001E-10</v>
      </c>
      <c r="X442" s="117">
        <f t="shared" si="738"/>
        <v>3E-10</v>
      </c>
      <c r="Z442" s="117">
        <f t="shared" si="739"/>
        <v>5.0000000000000003E-10</v>
      </c>
      <c r="AA442" s="117">
        <f t="shared" si="740"/>
        <v>6E-10</v>
      </c>
      <c r="AB442" s="117">
        <f t="shared" si="741"/>
        <v>6.9999999999999996E-10</v>
      </c>
      <c r="AC442" s="117">
        <f t="shared" si="742"/>
        <v>8.0000000000000003E-10</v>
      </c>
      <c r="AD442" s="117">
        <f t="shared" si="743"/>
        <v>8.9999999999999999E-10</v>
      </c>
      <c r="AE442" s="117">
        <f t="shared" si="774"/>
        <v>0</v>
      </c>
      <c r="AF442" s="117">
        <f t="shared" si="755"/>
        <v>1E-10</v>
      </c>
      <c r="AG442" s="117">
        <f t="shared" si="756"/>
        <v>2.0000000000000001E-10</v>
      </c>
      <c r="AH442" s="117">
        <f t="shared" si="757"/>
        <v>3E-10</v>
      </c>
      <c r="AJ442" s="117">
        <f t="shared" si="758"/>
        <v>5.0000000000000003E-10</v>
      </c>
      <c r="AK442" s="117">
        <f t="shared" si="759"/>
        <v>6E-10</v>
      </c>
      <c r="AL442" s="117">
        <f t="shared" si="760"/>
        <v>6.9999999999999996E-10</v>
      </c>
      <c r="AM442" s="117">
        <f t="shared" si="761"/>
        <v>8.0000000000000003E-10</v>
      </c>
      <c r="AN442" s="117">
        <f t="shared" si="762"/>
        <v>8.9999999999999999E-10</v>
      </c>
      <c r="AO442" s="117">
        <f t="shared" si="763"/>
        <v>0</v>
      </c>
      <c r="AP442" s="139" t="b">
        <f t="shared" si="745"/>
        <v>0</v>
      </c>
      <c r="AQ442" s="139" t="b">
        <f t="shared" si="746"/>
        <v>0</v>
      </c>
      <c r="AR442" s="139" t="b">
        <f t="shared" si="747"/>
        <v>0</v>
      </c>
      <c r="AS442" s="139" t="b">
        <f t="shared" si="748"/>
        <v>0</v>
      </c>
      <c r="AT442" s="139" t="b">
        <f t="shared" si="749"/>
        <v>1</v>
      </c>
      <c r="AU442" s="139" t="b">
        <f t="shared" si="750"/>
        <v>1</v>
      </c>
      <c r="AV442" s="139" t="b">
        <f t="shared" si="751"/>
        <v>1</v>
      </c>
      <c r="AW442" s="139" t="b">
        <f t="shared" si="752"/>
        <v>1</v>
      </c>
      <c r="AX442" s="139" t="b">
        <f t="shared" si="753"/>
        <v>1</v>
      </c>
      <c r="AY442" s="139" t="b">
        <f t="shared" si="754"/>
        <v>0</v>
      </c>
    </row>
    <row r="443" spans="1:51">
      <c r="A443" s="139" t="str">
        <f>'Reference Score Calculation'!B420</f>
        <v>JSSU55</v>
      </c>
      <c r="B443" s="117" t="str">
        <f>'Reference Score Calculation'!B420</f>
        <v>JSSU55</v>
      </c>
      <c r="C443" s="117" t="str">
        <f>'Reference Score Calculation'!E420</f>
        <v>物理治療學榮譽理學士</v>
      </c>
      <c r="D443" s="129"/>
      <c r="E443" s="117" t="str">
        <f>'Reference Score Calculation'!F420</f>
        <v>Best 5</v>
      </c>
      <c r="F443" s="130"/>
      <c r="G443" s="117" t="str">
        <f>入學要求!AB429</f>
        <v>v</v>
      </c>
      <c r="H443" s="117" t="str">
        <f>入學要求!AC429</f>
        <v>E</v>
      </c>
      <c r="I443" s="117" t="str">
        <f>入學要求!AD429</f>
        <v>v</v>
      </c>
      <c r="J443" s="117">
        <f t="shared" si="735"/>
        <v>3.4999999999999999E-9</v>
      </c>
      <c r="K443" s="117">
        <v>1</v>
      </c>
      <c r="L443" s="117">
        <v>1</v>
      </c>
      <c r="M443" s="117">
        <v>1</v>
      </c>
      <c r="O443" s="117">
        <v>1</v>
      </c>
      <c r="P443" s="117">
        <v>1</v>
      </c>
      <c r="Q443" s="117">
        <f>IF(OR(Q$1="生物",Q$1="物理",Q$1="組合科學(物理、生物)"),2,1)</f>
        <v>1</v>
      </c>
      <c r="R443" s="117">
        <f>IF(OR(R$1="生物",R$1="物理",R$1="組合科學(物理、生物)"),2,1)</f>
        <v>1</v>
      </c>
      <c r="S443" s="117">
        <f>IF(OR(S$1="生物",S$1="物理",S$1="組合科學(物理、生物)"),2,1)</f>
        <v>1</v>
      </c>
      <c r="T443" s="117">
        <v>1</v>
      </c>
      <c r="V443" s="117">
        <f t="shared" si="736"/>
        <v>1E-10</v>
      </c>
      <c r="W443" s="117">
        <f t="shared" si="737"/>
        <v>2.0000000000000001E-10</v>
      </c>
      <c r="X443" s="117">
        <f t="shared" si="738"/>
        <v>3E-10</v>
      </c>
      <c r="Z443" s="117">
        <f t="shared" si="739"/>
        <v>5.0000000000000003E-10</v>
      </c>
      <c r="AA443" s="117">
        <f t="shared" si="740"/>
        <v>6E-10</v>
      </c>
      <c r="AB443" s="117">
        <f t="shared" si="741"/>
        <v>6.9999999999999996E-10</v>
      </c>
      <c r="AC443" s="117">
        <f t="shared" si="742"/>
        <v>8.0000000000000003E-10</v>
      </c>
      <c r="AD443" s="117">
        <f t="shared" si="743"/>
        <v>8.9999999999999999E-10</v>
      </c>
      <c r="AE443" s="117">
        <f t="shared" si="774"/>
        <v>0</v>
      </c>
      <c r="AF443" s="117">
        <f t="shared" si="755"/>
        <v>1E-10</v>
      </c>
      <c r="AG443" s="117">
        <f t="shared" si="756"/>
        <v>2.0000000000000001E-10</v>
      </c>
      <c r="AH443" s="117">
        <f t="shared" si="757"/>
        <v>3E-10</v>
      </c>
      <c r="AJ443" s="117">
        <f t="shared" si="758"/>
        <v>5.0000000000000003E-10</v>
      </c>
      <c r="AK443" s="117">
        <f t="shared" si="759"/>
        <v>6E-10</v>
      </c>
      <c r="AL443" s="117">
        <f t="shared" si="760"/>
        <v>6.9999999999999996E-10</v>
      </c>
      <c r="AM443" s="117">
        <f t="shared" si="761"/>
        <v>8.0000000000000003E-10</v>
      </c>
      <c r="AN443" s="117">
        <f t="shared" si="762"/>
        <v>8.9999999999999999E-10</v>
      </c>
      <c r="AO443" s="117">
        <f t="shared" si="763"/>
        <v>0</v>
      </c>
      <c r="AP443" s="139" t="b">
        <f t="shared" si="745"/>
        <v>0</v>
      </c>
      <c r="AQ443" s="139" t="b">
        <f t="shared" si="746"/>
        <v>0</v>
      </c>
      <c r="AR443" s="139" t="b">
        <f t="shared" si="747"/>
        <v>0</v>
      </c>
      <c r="AS443" s="139" t="b">
        <f t="shared" si="748"/>
        <v>0</v>
      </c>
      <c r="AT443" s="139" t="b">
        <f t="shared" si="749"/>
        <v>1</v>
      </c>
      <c r="AU443" s="139" t="b">
        <f t="shared" si="750"/>
        <v>1</v>
      </c>
      <c r="AV443" s="139" t="b">
        <f t="shared" si="751"/>
        <v>1</v>
      </c>
      <c r="AW443" s="139" t="b">
        <f t="shared" si="752"/>
        <v>1</v>
      </c>
      <c r="AX443" s="139" t="b">
        <f t="shared" si="753"/>
        <v>1</v>
      </c>
      <c r="AY443" s="139" t="b">
        <f t="shared" si="754"/>
        <v>0</v>
      </c>
    </row>
    <row r="444" spans="1:51">
      <c r="A444" s="139" t="str">
        <f>'Reference Score Calculation'!B421</f>
        <v>JSSU61</v>
      </c>
      <c r="B444" s="117" t="str">
        <f>'Reference Score Calculation'!B421</f>
        <v>JSSU61</v>
      </c>
      <c r="C444" s="117" t="str">
        <f>'Reference Score Calculation'!E421</f>
        <v>綜合檢測和認證榮譽應用理學士</v>
      </c>
      <c r="D444" s="129"/>
      <c r="E444" s="117" t="str">
        <f>'Reference Score Calculation'!F421</f>
        <v>Best 5</v>
      </c>
      <c r="F444" s="117"/>
      <c r="G444" s="117" t="str">
        <f>入學要求!AB430</f>
        <v>v</v>
      </c>
      <c r="H444" s="117" t="str">
        <f>入學要求!AC430</f>
        <v>E</v>
      </c>
      <c r="I444" s="117" t="str">
        <f>入學要求!AD430</f>
        <v>v</v>
      </c>
      <c r="J444" s="117">
        <f t="shared" si="735"/>
        <v>3.4999999999999999E-9</v>
      </c>
      <c r="K444" s="117">
        <v>1</v>
      </c>
      <c r="L444" s="117">
        <v>1</v>
      </c>
      <c r="M444" s="117">
        <v>1</v>
      </c>
      <c r="O444" s="117">
        <v>1</v>
      </c>
      <c r="P444" s="117">
        <v>1</v>
      </c>
      <c r="Q444" s="117">
        <v>1</v>
      </c>
      <c r="R444" s="117">
        <v>1</v>
      </c>
      <c r="S444" s="117">
        <v>1</v>
      </c>
      <c r="T444" s="117">
        <v>1</v>
      </c>
      <c r="V444" s="117">
        <f t="shared" si="736"/>
        <v>1E-10</v>
      </c>
      <c r="W444" s="117">
        <f t="shared" si="737"/>
        <v>2.0000000000000001E-10</v>
      </c>
      <c r="X444" s="117">
        <f t="shared" si="738"/>
        <v>3E-10</v>
      </c>
      <c r="Z444" s="117">
        <f t="shared" si="739"/>
        <v>5.0000000000000003E-10</v>
      </c>
      <c r="AA444" s="117">
        <f t="shared" si="740"/>
        <v>6E-10</v>
      </c>
      <c r="AB444" s="117">
        <f t="shared" si="741"/>
        <v>6.9999999999999996E-10</v>
      </c>
      <c r="AC444" s="117">
        <f t="shared" si="742"/>
        <v>8.0000000000000003E-10</v>
      </c>
      <c r="AD444" s="117">
        <f t="shared" si="743"/>
        <v>8.9999999999999999E-10</v>
      </c>
      <c r="AE444" s="117">
        <f t="shared" si="774"/>
        <v>0</v>
      </c>
      <c r="AF444" s="117">
        <f t="shared" si="755"/>
        <v>1E-10</v>
      </c>
      <c r="AG444" s="117">
        <f t="shared" si="756"/>
        <v>2.0000000000000001E-10</v>
      </c>
      <c r="AH444" s="117">
        <f t="shared" si="757"/>
        <v>3E-10</v>
      </c>
      <c r="AJ444" s="117">
        <f t="shared" si="758"/>
        <v>5.0000000000000003E-10</v>
      </c>
      <c r="AK444" s="117">
        <f t="shared" si="759"/>
        <v>6E-10</v>
      </c>
      <c r="AL444" s="117">
        <f t="shared" si="760"/>
        <v>6.9999999999999996E-10</v>
      </c>
      <c r="AM444" s="117">
        <f t="shared" si="761"/>
        <v>8.0000000000000003E-10</v>
      </c>
      <c r="AN444" s="117">
        <f t="shared" si="762"/>
        <v>8.9999999999999999E-10</v>
      </c>
      <c r="AO444" s="117">
        <f t="shared" si="763"/>
        <v>0</v>
      </c>
      <c r="AP444" s="139" t="b">
        <f t="shared" si="745"/>
        <v>0</v>
      </c>
      <c r="AQ444" s="139" t="b">
        <f t="shared" si="746"/>
        <v>0</v>
      </c>
      <c r="AR444" s="139" t="b">
        <f t="shared" si="747"/>
        <v>0</v>
      </c>
      <c r="AS444" s="139" t="b">
        <f t="shared" si="748"/>
        <v>0</v>
      </c>
      <c r="AT444" s="139" t="b">
        <f t="shared" si="749"/>
        <v>1</v>
      </c>
      <c r="AU444" s="139" t="b">
        <f t="shared" si="750"/>
        <v>1</v>
      </c>
      <c r="AV444" s="139" t="b">
        <f t="shared" si="751"/>
        <v>1</v>
      </c>
      <c r="AW444" s="139" t="b">
        <f t="shared" si="752"/>
        <v>1</v>
      </c>
      <c r="AX444" s="139" t="b">
        <f t="shared" si="753"/>
        <v>1</v>
      </c>
      <c r="AY444" s="139" t="b">
        <f t="shared" si="754"/>
        <v>0</v>
      </c>
    </row>
    <row r="445" spans="1:51">
      <c r="A445" s="139" t="str">
        <f>'Reference Score Calculation'!B422</f>
        <v>JSSU67</v>
      </c>
      <c r="B445" s="117" t="str">
        <f>'Reference Score Calculation'!B422</f>
        <v>JSSU67</v>
      </c>
      <c r="C445" s="117" t="str">
        <f>'Reference Score Calculation'!E422</f>
        <v>醫療化驗科學榮譽理學士</v>
      </c>
      <c r="E445" s="117" t="str">
        <f>'Reference Score Calculation'!F422</f>
        <v>Best 5</v>
      </c>
      <c r="F445" s="140"/>
      <c r="G445" s="117" t="str">
        <f>入學要求!AB431</f>
        <v>v</v>
      </c>
      <c r="H445" s="117" t="str">
        <f>入學要求!AC431</f>
        <v>E</v>
      </c>
      <c r="I445" s="117" t="str">
        <f>入學要求!AD431</f>
        <v>v</v>
      </c>
      <c r="J445" s="117">
        <f t="shared" si="735"/>
        <v>3.4999999999999999E-9</v>
      </c>
      <c r="K445" s="117">
        <v>1</v>
      </c>
      <c r="L445" s="117">
        <v>1</v>
      </c>
      <c r="M445" s="117">
        <v>1</v>
      </c>
      <c r="O445" s="117">
        <v>1</v>
      </c>
      <c r="P445" s="117">
        <v>1</v>
      </c>
      <c r="Q445" s="117">
        <v>1</v>
      </c>
      <c r="R445" s="117">
        <v>1</v>
      </c>
      <c r="S445" s="117">
        <v>1</v>
      </c>
      <c r="T445" s="117">
        <v>1</v>
      </c>
      <c r="V445" s="117">
        <f t="shared" si="736"/>
        <v>1E-10</v>
      </c>
      <c r="W445" s="117">
        <f t="shared" si="737"/>
        <v>2.0000000000000001E-10</v>
      </c>
      <c r="X445" s="117">
        <f t="shared" si="738"/>
        <v>3E-10</v>
      </c>
      <c r="Z445" s="117">
        <f t="shared" si="739"/>
        <v>5.0000000000000003E-10</v>
      </c>
      <c r="AA445" s="117">
        <f t="shared" si="740"/>
        <v>6E-10</v>
      </c>
      <c r="AB445" s="117">
        <f t="shared" si="741"/>
        <v>6.9999999999999996E-10</v>
      </c>
      <c r="AC445" s="117">
        <f t="shared" si="742"/>
        <v>8.0000000000000003E-10</v>
      </c>
      <c r="AD445" s="117">
        <f t="shared" si="743"/>
        <v>8.9999999999999999E-10</v>
      </c>
      <c r="AE445" s="117">
        <f t="shared" si="774"/>
        <v>0</v>
      </c>
      <c r="AF445" s="117">
        <f t="shared" si="755"/>
        <v>1E-10</v>
      </c>
      <c r="AG445" s="117">
        <f t="shared" si="756"/>
        <v>2.0000000000000001E-10</v>
      </c>
      <c r="AH445" s="117">
        <f t="shared" si="757"/>
        <v>3E-10</v>
      </c>
      <c r="AJ445" s="117">
        <f t="shared" si="758"/>
        <v>5.0000000000000003E-10</v>
      </c>
      <c r="AK445" s="117">
        <f t="shared" si="759"/>
        <v>6E-10</v>
      </c>
      <c r="AL445" s="117">
        <f t="shared" si="760"/>
        <v>6.9999999999999996E-10</v>
      </c>
      <c r="AM445" s="117">
        <f t="shared" si="761"/>
        <v>8.0000000000000003E-10</v>
      </c>
      <c r="AN445" s="117">
        <f t="shared" si="762"/>
        <v>8.9999999999999999E-10</v>
      </c>
      <c r="AO445" s="117">
        <f t="shared" si="763"/>
        <v>0</v>
      </c>
      <c r="AP445" s="139" t="b">
        <f t="shared" si="745"/>
        <v>0</v>
      </c>
      <c r="AQ445" s="139" t="b">
        <f t="shared" si="746"/>
        <v>0</v>
      </c>
      <c r="AR445" s="139" t="b">
        <f t="shared" si="747"/>
        <v>0</v>
      </c>
      <c r="AS445" s="139" t="b">
        <f t="shared" si="748"/>
        <v>0</v>
      </c>
      <c r="AT445" s="139" t="b">
        <f t="shared" si="749"/>
        <v>1</v>
      </c>
      <c r="AU445" s="139" t="b">
        <f t="shared" si="750"/>
        <v>1</v>
      </c>
      <c r="AV445" s="139" t="b">
        <f t="shared" si="751"/>
        <v>1</v>
      </c>
      <c r="AW445" s="139" t="b">
        <f t="shared" si="752"/>
        <v>1</v>
      </c>
      <c r="AX445" s="139" t="b">
        <f t="shared" si="753"/>
        <v>1</v>
      </c>
      <c r="AY445" s="139" t="b">
        <f t="shared" si="754"/>
        <v>0</v>
      </c>
    </row>
    <row r="446" spans="1:51">
      <c r="A446" s="139" t="str">
        <f>'Reference Score Calculation'!B423</f>
        <v>JSSU69</v>
      </c>
      <c r="B446" s="117" t="str">
        <f>'Reference Score Calculation'!B423</f>
        <v>JSSU69</v>
      </c>
      <c r="C446" s="117" t="str">
        <f>'Reference Score Calculation'!E423</f>
        <v>食品測試科學榮譽理學士</v>
      </c>
      <c r="D446" s="129"/>
      <c r="E446" s="117" t="str">
        <f>'Reference Score Calculation'!F423</f>
        <v>Best 5</v>
      </c>
      <c r="F446" s="117"/>
      <c r="G446" s="117" t="str">
        <f>入學要求!AB432</f>
        <v>v</v>
      </c>
      <c r="H446" s="117" t="str">
        <f>入學要求!AC432</f>
        <v>E</v>
      </c>
      <c r="I446" s="117" t="str">
        <f>入學要求!AD432</f>
        <v>v</v>
      </c>
      <c r="J446" s="117">
        <f t="shared" si="735"/>
        <v>3.4999999999999999E-9</v>
      </c>
      <c r="K446" s="117">
        <v>1</v>
      </c>
      <c r="L446" s="117">
        <v>1</v>
      </c>
      <c r="M446" s="117">
        <v>1</v>
      </c>
      <c r="O446" s="117">
        <v>1</v>
      </c>
      <c r="P446" s="117">
        <v>1</v>
      </c>
      <c r="Q446" s="117">
        <v>1</v>
      </c>
      <c r="R446" s="117">
        <v>1</v>
      </c>
      <c r="S446" s="117">
        <v>1</v>
      </c>
      <c r="T446" s="117">
        <v>1</v>
      </c>
      <c r="V446" s="117">
        <f t="shared" si="736"/>
        <v>1E-10</v>
      </c>
      <c r="W446" s="117">
        <f t="shared" si="737"/>
        <v>2.0000000000000001E-10</v>
      </c>
      <c r="X446" s="117">
        <f t="shared" si="738"/>
        <v>3E-10</v>
      </c>
      <c r="Z446" s="117">
        <f t="shared" si="739"/>
        <v>5.0000000000000003E-10</v>
      </c>
      <c r="AA446" s="117">
        <f t="shared" si="740"/>
        <v>6E-10</v>
      </c>
      <c r="AB446" s="117">
        <f t="shared" si="741"/>
        <v>6.9999999999999996E-10</v>
      </c>
      <c r="AC446" s="117">
        <f t="shared" si="742"/>
        <v>8.0000000000000003E-10</v>
      </c>
      <c r="AD446" s="117">
        <f t="shared" si="743"/>
        <v>8.9999999999999999E-10</v>
      </c>
      <c r="AE446" s="117">
        <f t="shared" si="774"/>
        <v>0</v>
      </c>
      <c r="AF446" s="117">
        <f t="shared" si="755"/>
        <v>1E-10</v>
      </c>
      <c r="AG446" s="117">
        <f t="shared" si="756"/>
        <v>2.0000000000000001E-10</v>
      </c>
      <c r="AH446" s="117">
        <f t="shared" si="757"/>
        <v>3E-10</v>
      </c>
      <c r="AJ446" s="117">
        <f t="shared" si="758"/>
        <v>5.0000000000000003E-10</v>
      </c>
      <c r="AK446" s="117">
        <f t="shared" si="759"/>
        <v>6E-10</v>
      </c>
      <c r="AL446" s="117">
        <f t="shared" si="760"/>
        <v>6.9999999999999996E-10</v>
      </c>
      <c r="AM446" s="117">
        <f t="shared" si="761"/>
        <v>8.0000000000000003E-10</v>
      </c>
      <c r="AN446" s="117">
        <f t="shared" si="762"/>
        <v>8.9999999999999999E-10</v>
      </c>
      <c r="AO446" s="117">
        <f t="shared" si="763"/>
        <v>0</v>
      </c>
      <c r="AP446" s="139" t="b">
        <f t="shared" si="745"/>
        <v>0</v>
      </c>
      <c r="AQ446" s="139" t="b">
        <f t="shared" si="746"/>
        <v>0</v>
      </c>
      <c r="AR446" s="139" t="b">
        <f t="shared" si="747"/>
        <v>0</v>
      </c>
      <c r="AS446" s="139" t="b">
        <f t="shared" si="748"/>
        <v>0</v>
      </c>
      <c r="AT446" s="139" t="b">
        <f t="shared" si="749"/>
        <v>1</v>
      </c>
      <c r="AU446" s="139" t="b">
        <f t="shared" si="750"/>
        <v>1</v>
      </c>
      <c r="AV446" s="139" t="b">
        <f t="shared" si="751"/>
        <v>1</v>
      </c>
      <c r="AW446" s="139" t="b">
        <f t="shared" si="752"/>
        <v>1</v>
      </c>
      <c r="AX446" s="139" t="b">
        <f t="shared" si="753"/>
        <v>1</v>
      </c>
      <c r="AY446" s="139" t="b">
        <f t="shared" si="754"/>
        <v>0</v>
      </c>
    </row>
    <row r="447" spans="1:51">
      <c r="A447" s="139" t="str">
        <f>'Reference Score Calculation'!B424</f>
        <v>JSSU70</v>
      </c>
      <c r="B447" s="117" t="str">
        <f>'Reference Score Calculation'!B424</f>
        <v>JSSU70</v>
      </c>
      <c r="C447" s="117" t="str">
        <f>'Reference Score Calculation'!E424</f>
        <v>數據科學及人工智能榮譽理學士</v>
      </c>
      <c r="D447" s="129"/>
      <c r="E447" s="117" t="str">
        <f>'Reference Score Calculation'!F424</f>
        <v>Best 5</v>
      </c>
      <c r="F447" s="117"/>
      <c r="G447" s="117" t="str">
        <f>入學要求!AB433</f>
        <v>v</v>
      </c>
      <c r="H447" s="117" t="str">
        <f>入學要求!AC433</f>
        <v>E</v>
      </c>
      <c r="I447" s="117" t="str">
        <f>入學要求!AD433</f>
        <v>v</v>
      </c>
      <c r="J447" s="117">
        <f t="shared" si="735"/>
        <v>3.4999999999999999E-9</v>
      </c>
      <c r="K447" s="117">
        <v>1</v>
      </c>
      <c r="L447" s="117">
        <v>1</v>
      </c>
      <c r="M447" s="117">
        <v>1</v>
      </c>
      <c r="O447" s="117">
        <v>1</v>
      </c>
      <c r="P447" s="117">
        <v>1</v>
      </c>
      <c r="Q447" s="117">
        <v>1</v>
      </c>
      <c r="R447" s="117">
        <v>1</v>
      </c>
      <c r="S447" s="117">
        <v>1</v>
      </c>
      <c r="T447" s="117">
        <v>1</v>
      </c>
      <c r="V447" s="117">
        <f t="shared" si="736"/>
        <v>1E-10</v>
      </c>
      <c r="W447" s="117">
        <f t="shared" si="737"/>
        <v>2.0000000000000001E-10</v>
      </c>
      <c r="X447" s="117">
        <f t="shared" si="738"/>
        <v>3E-10</v>
      </c>
      <c r="Z447" s="117">
        <f t="shared" si="739"/>
        <v>5.0000000000000003E-10</v>
      </c>
      <c r="AA447" s="117">
        <f t="shared" si="740"/>
        <v>6E-10</v>
      </c>
      <c r="AB447" s="117">
        <f t="shared" si="741"/>
        <v>6.9999999999999996E-10</v>
      </c>
      <c r="AC447" s="117">
        <f t="shared" si="742"/>
        <v>8.0000000000000003E-10</v>
      </c>
      <c r="AD447" s="117">
        <f t="shared" si="743"/>
        <v>8.9999999999999999E-10</v>
      </c>
      <c r="AE447" s="117">
        <f t="shared" si="774"/>
        <v>0</v>
      </c>
      <c r="AF447" s="117">
        <f t="shared" si="755"/>
        <v>1E-10</v>
      </c>
      <c r="AG447" s="117">
        <f t="shared" si="756"/>
        <v>2.0000000000000001E-10</v>
      </c>
      <c r="AH447" s="117">
        <f t="shared" si="757"/>
        <v>3E-10</v>
      </c>
      <c r="AJ447" s="117">
        <f t="shared" si="758"/>
        <v>5.0000000000000003E-10</v>
      </c>
      <c r="AK447" s="117">
        <f t="shared" si="759"/>
        <v>6E-10</v>
      </c>
      <c r="AL447" s="117">
        <f t="shared" si="760"/>
        <v>6.9999999999999996E-10</v>
      </c>
      <c r="AM447" s="117">
        <f t="shared" si="761"/>
        <v>8.0000000000000003E-10</v>
      </c>
      <c r="AN447" s="117">
        <f t="shared" si="762"/>
        <v>8.9999999999999999E-10</v>
      </c>
      <c r="AO447" s="117">
        <f t="shared" si="763"/>
        <v>0</v>
      </c>
      <c r="AP447" s="139" t="b">
        <f t="shared" si="745"/>
        <v>0</v>
      </c>
      <c r="AQ447" s="139" t="b">
        <f t="shared" si="746"/>
        <v>0</v>
      </c>
      <c r="AR447" s="139" t="b">
        <f t="shared" si="747"/>
        <v>0</v>
      </c>
      <c r="AS447" s="139" t="b">
        <f t="shared" si="748"/>
        <v>0</v>
      </c>
      <c r="AT447" s="139" t="b">
        <f t="shared" si="749"/>
        <v>1</v>
      </c>
      <c r="AU447" s="139" t="b">
        <f t="shared" si="750"/>
        <v>1</v>
      </c>
      <c r="AV447" s="139" t="b">
        <f t="shared" si="751"/>
        <v>1</v>
      </c>
      <c r="AW447" s="139" t="b">
        <f t="shared" si="752"/>
        <v>1</v>
      </c>
      <c r="AX447" s="139" t="b">
        <f t="shared" si="753"/>
        <v>1</v>
      </c>
      <c r="AY447" s="139" t="b">
        <f t="shared" si="754"/>
        <v>0</v>
      </c>
    </row>
    <row r="448" spans="1:51">
      <c r="A448" s="139" t="str">
        <f>'Reference Score Calculation'!B425</f>
        <v>JSSU72</v>
      </c>
      <c r="B448" s="117" t="str">
        <f>'Reference Score Calculation'!B425</f>
        <v>JSSU72</v>
      </c>
      <c r="C448" s="117" t="str">
        <f>'Reference Score Calculation'!E425</f>
        <v>電腦科學榮譽理學士</v>
      </c>
      <c r="D448" s="129"/>
      <c r="E448" s="117" t="str">
        <f>'Reference Score Calculation'!F425</f>
        <v>Best 5</v>
      </c>
      <c r="F448" s="140"/>
      <c r="G448" s="117" t="str">
        <f>入學要求!AB434</f>
        <v>v</v>
      </c>
      <c r="H448" s="117" t="str">
        <f>入學要求!AC434</f>
        <v>E</v>
      </c>
      <c r="I448" s="117" t="str">
        <f>入學要求!AD434</f>
        <v>v</v>
      </c>
      <c r="J448" s="117">
        <f t="shared" si="735"/>
        <v>3.4999999999999999E-9</v>
      </c>
      <c r="K448" s="117">
        <v>1</v>
      </c>
      <c r="L448" s="117">
        <v>1</v>
      </c>
      <c r="M448" s="117">
        <v>1</v>
      </c>
      <c r="O448" s="117">
        <v>1</v>
      </c>
      <c r="P448" s="117">
        <v>1</v>
      </c>
      <c r="Q448" s="117">
        <v>1</v>
      </c>
      <c r="R448" s="117">
        <v>1</v>
      </c>
      <c r="S448" s="117">
        <v>1</v>
      </c>
      <c r="T448" s="117">
        <v>1</v>
      </c>
      <c r="V448" s="117">
        <f t="shared" si="736"/>
        <v>1E-10</v>
      </c>
      <c r="W448" s="117">
        <f t="shared" si="737"/>
        <v>2.0000000000000001E-10</v>
      </c>
      <c r="X448" s="117">
        <f t="shared" si="738"/>
        <v>3E-10</v>
      </c>
      <c r="Z448" s="117">
        <f t="shared" si="739"/>
        <v>5.0000000000000003E-10</v>
      </c>
      <c r="AA448" s="117">
        <f t="shared" si="740"/>
        <v>6E-10</v>
      </c>
      <c r="AB448" s="117">
        <f t="shared" si="741"/>
        <v>6.9999999999999996E-10</v>
      </c>
      <c r="AC448" s="117">
        <f t="shared" si="742"/>
        <v>8.0000000000000003E-10</v>
      </c>
      <c r="AD448" s="117">
        <f t="shared" si="743"/>
        <v>8.9999999999999999E-10</v>
      </c>
      <c r="AE448" s="117">
        <f t="shared" si="774"/>
        <v>0</v>
      </c>
      <c r="AF448" s="117">
        <f t="shared" si="755"/>
        <v>1E-10</v>
      </c>
      <c r="AG448" s="117">
        <f t="shared" si="756"/>
        <v>2.0000000000000001E-10</v>
      </c>
      <c r="AH448" s="117">
        <f t="shared" si="757"/>
        <v>3E-10</v>
      </c>
      <c r="AJ448" s="117">
        <f t="shared" si="758"/>
        <v>5.0000000000000003E-10</v>
      </c>
      <c r="AK448" s="117">
        <f t="shared" si="759"/>
        <v>6E-10</v>
      </c>
      <c r="AL448" s="117">
        <f t="shared" si="760"/>
        <v>6.9999999999999996E-10</v>
      </c>
      <c r="AM448" s="117">
        <f t="shared" si="761"/>
        <v>8.0000000000000003E-10</v>
      </c>
      <c r="AN448" s="117">
        <f t="shared" si="762"/>
        <v>8.9999999999999999E-10</v>
      </c>
      <c r="AO448" s="117">
        <f t="shared" si="763"/>
        <v>0</v>
      </c>
      <c r="AP448" s="139" t="b">
        <f t="shared" si="745"/>
        <v>0</v>
      </c>
      <c r="AQ448" s="139" t="b">
        <f t="shared" si="746"/>
        <v>0</v>
      </c>
      <c r="AR448" s="139" t="b">
        <f t="shared" si="747"/>
        <v>0</v>
      </c>
      <c r="AS448" s="139" t="b">
        <f t="shared" si="748"/>
        <v>0</v>
      </c>
      <c r="AT448" s="139" t="b">
        <f t="shared" si="749"/>
        <v>1</v>
      </c>
      <c r="AU448" s="139" t="b">
        <f t="shared" si="750"/>
        <v>1</v>
      </c>
      <c r="AV448" s="139" t="b">
        <f t="shared" si="751"/>
        <v>1</v>
      </c>
      <c r="AW448" s="139" t="b">
        <f t="shared" si="752"/>
        <v>1</v>
      </c>
      <c r="AX448" s="139" t="b">
        <f t="shared" si="753"/>
        <v>1</v>
      </c>
      <c r="AY448" s="139" t="b">
        <f t="shared" si="754"/>
        <v>0</v>
      </c>
    </row>
    <row r="449" spans="1:51">
      <c r="A449" s="139" t="str">
        <f>'Reference Score Calculation'!B426</f>
        <v>JSSU77</v>
      </c>
      <c r="B449" s="117" t="str">
        <f>'Reference Score Calculation'!B426</f>
        <v>JSSU77</v>
      </c>
      <c r="C449" s="117" t="str">
        <f>'Reference Score Calculation'!E426</f>
        <v>建築管理及工料測量學榮譽理學士</v>
      </c>
      <c r="D449" s="129"/>
      <c r="E449" s="117" t="str">
        <f>'Reference Score Calculation'!F426</f>
        <v>Best 5</v>
      </c>
      <c r="F449" s="140"/>
      <c r="G449" s="117" t="str">
        <f>入學要求!AB435</f>
        <v>v</v>
      </c>
      <c r="H449" s="117" t="str">
        <f>入學要求!AC435</f>
        <v>E</v>
      </c>
      <c r="I449" s="117" t="str">
        <f>入學要求!AD435</f>
        <v>v</v>
      </c>
      <c r="J449" s="117">
        <f t="shared" si="735"/>
        <v>3.4999999999999999E-9</v>
      </c>
      <c r="K449" s="117">
        <v>1</v>
      </c>
      <c r="L449" s="117">
        <v>1</v>
      </c>
      <c r="M449" s="117">
        <v>1</v>
      </c>
      <c r="O449" s="117">
        <v>1</v>
      </c>
      <c r="P449" s="117">
        <v>1</v>
      </c>
      <c r="Q449" s="117">
        <v>1</v>
      </c>
      <c r="R449" s="117">
        <v>1</v>
      </c>
      <c r="S449" s="117">
        <v>1</v>
      </c>
      <c r="T449" s="117">
        <v>1</v>
      </c>
      <c r="V449" s="117">
        <f t="shared" si="736"/>
        <v>1E-10</v>
      </c>
      <c r="W449" s="117">
        <f t="shared" si="737"/>
        <v>2.0000000000000001E-10</v>
      </c>
      <c r="X449" s="117">
        <f t="shared" si="738"/>
        <v>3E-10</v>
      </c>
      <c r="Z449" s="117">
        <f t="shared" si="739"/>
        <v>5.0000000000000003E-10</v>
      </c>
      <c r="AA449" s="117">
        <f t="shared" si="740"/>
        <v>6E-10</v>
      </c>
      <c r="AB449" s="117">
        <f t="shared" si="741"/>
        <v>6.9999999999999996E-10</v>
      </c>
      <c r="AC449" s="117">
        <f t="shared" si="742"/>
        <v>8.0000000000000003E-10</v>
      </c>
      <c r="AD449" s="117">
        <f t="shared" si="743"/>
        <v>8.9999999999999999E-10</v>
      </c>
      <c r="AE449" s="117">
        <f t="shared" si="774"/>
        <v>0</v>
      </c>
      <c r="AF449" s="117">
        <f t="shared" si="755"/>
        <v>1E-10</v>
      </c>
      <c r="AG449" s="117">
        <f t="shared" si="756"/>
        <v>2.0000000000000001E-10</v>
      </c>
      <c r="AH449" s="117">
        <f t="shared" si="757"/>
        <v>3E-10</v>
      </c>
      <c r="AJ449" s="117">
        <f t="shared" si="758"/>
        <v>5.0000000000000003E-10</v>
      </c>
      <c r="AK449" s="117">
        <f t="shared" si="759"/>
        <v>6E-10</v>
      </c>
      <c r="AL449" s="117">
        <f t="shared" si="760"/>
        <v>6.9999999999999996E-10</v>
      </c>
      <c r="AM449" s="117">
        <f t="shared" si="761"/>
        <v>8.0000000000000003E-10</v>
      </c>
      <c r="AN449" s="117">
        <f t="shared" si="762"/>
        <v>8.9999999999999999E-10</v>
      </c>
      <c r="AO449" s="117">
        <f t="shared" si="763"/>
        <v>0</v>
      </c>
      <c r="AP449" s="139" t="b">
        <f t="shared" si="745"/>
        <v>0</v>
      </c>
      <c r="AQ449" s="139" t="b">
        <f t="shared" si="746"/>
        <v>0</v>
      </c>
      <c r="AR449" s="139" t="b">
        <f t="shared" si="747"/>
        <v>0</v>
      </c>
      <c r="AS449" s="139" t="b">
        <f t="shared" si="748"/>
        <v>0</v>
      </c>
      <c r="AT449" s="139" t="b">
        <f t="shared" si="749"/>
        <v>1</v>
      </c>
      <c r="AU449" s="139" t="b">
        <f t="shared" si="750"/>
        <v>1</v>
      </c>
      <c r="AV449" s="139" t="b">
        <f t="shared" si="751"/>
        <v>1</v>
      </c>
      <c r="AW449" s="139" t="b">
        <f t="shared" si="752"/>
        <v>1</v>
      </c>
      <c r="AX449" s="139" t="b">
        <f t="shared" si="753"/>
        <v>1</v>
      </c>
      <c r="AY449" s="139" t="b">
        <f t="shared" si="754"/>
        <v>0</v>
      </c>
    </row>
    <row r="450" spans="1:51">
      <c r="A450" s="139" t="str">
        <f>'Reference Score Calculation'!B427</f>
        <v>JSSU78</v>
      </c>
      <c r="B450" s="117" t="str">
        <f>'Reference Score Calculation'!B427</f>
        <v>JSSU78</v>
      </c>
      <c r="C450" s="117" t="str">
        <f>'Reference Score Calculation'!E427</f>
        <v>屋宇設備工程及可持續發展榮譽工學士</v>
      </c>
      <c r="E450" s="117" t="str">
        <f>'Reference Score Calculation'!F427</f>
        <v>Best 5</v>
      </c>
      <c r="F450" s="140"/>
      <c r="G450" s="117" t="str">
        <f>入學要求!AB436</f>
        <v>v</v>
      </c>
      <c r="H450" s="117" t="str">
        <f>入學要求!AC436</f>
        <v>E</v>
      </c>
      <c r="I450" s="117" t="str">
        <f>入學要求!AD436</f>
        <v>v</v>
      </c>
      <c r="J450" s="117">
        <f t="shared" si="735"/>
        <v>3.4999999999999999E-9</v>
      </c>
      <c r="K450" s="117">
        <v>1</v>
      </c>
      <c r="L450" s="117">
        <v>1</v>
      </c>
      <c r="M450" s="117">
        <v>1</v>
      </c>
      <c r="O450" s="117">
        <v>1</v>
      </c>
      <c r="P450" s="117">
        <v>1</v>
      </c>
      <c r="Q450" s="117">
        <v>1</v>
      </c>
      <c r="R450" s="117">
        <v>1</v>
      </c>
      <c r="S450" s="117">
        <v>1</v>
      </c>
      <c r="T450" s="117">
        <v>1</v>
      </c>
      <c r="V450" s="117">
        <f t="shared" si="736"/>
        <v>1E-10</v>
      </c>
      <c r="W450" s="117">
        <f t="shared" si="737"/>
        <v>2.0000000000000001E-10</v>
      </c>
      <c r="X450" s="117">
        <f t="shared" si="738"/>
        <v>3E-10</v>
      </c>
      <c r="Z450" s="117">
        <f t="shared" si="739"/>
        <v>5.0000000000000003E-10</v>
      </c>
      <c r="AA450" s="117">
        <f t="shared" si="740"/>
        <v>6E-10</v>
      </c>
      <c r="AB450" s="117">
        <f t="shared" si="741"/>
        <v>6.9999999999999996E-10</v>
      </c>
      <c r="AC450" s="117">
        <f t="shared" si="742"/>
        <v>8.0000000000000003E-10</v>
      </c>
      <c r="AD450" s="117">
        <f t="shared" si="743"/>
        <v>8.9999999999999999E-10</v>
      </c>
      <c r="AE450" s="117">
        <f t="shared" si="774"/>
        <v>0</v>
      </c>
      <c r="AF450" s="117">
        <f t="shared" si="755"/>
        <v>1E-10</v>
      </c>
      <c r="AG450" s="117">
        <f t="shared" si="756"/>
        <v>2.0000000000000001E-10</v>
      </c>
      <c r="AH450" s="117">
        <f t="shared" si="757"/>
        <v>3E-10</v>
      </c>
      <c r="AJ450" s="117">
        <f t="shared" si="758"/>
        <v>5.0000000000000003E-10</v>
      </c>
      <c r="AK450" s="117">
        <f t="shared" si="759"/>
        <v>6E-10</v>
      </c>
      <c r="AL450" s="117">
        <f t="shared" si="760"/>
        <v>6.9999999999999996E-10</v>
      </c>
      <c r="AM450" s="117">
        <f t="shared" si="761"/>
        <v>8.0000000000000003E-10</v>
      </c>
      <c r="AN450" s="117">
        <f t="shared" si="762"/>
        <v>8.9999999999999999E-10</v>
      </c>
      <c r="AO450" s="117">
        <f t="shared" si="763"/>
        <v>0</v>
      </c>
      <c r="AP450" s="139" t="b">
        <f t="shared" si="745"/>
        <v>0</v>
      </c>
      <c r="AQ450" s="139" t="b">
        <f t="shared" si="746"/>
        <v>0</v>
      </c>
      <c r="AR450" s="139" t="b">
        <f t="shared" si="747"/>
        <v>0</v>
      </c>
      <c r="AS450" s="139" t="b">
        <f t="shared" si="748"/>
        <v>0</v>
      </c>
      <c r="AT450" s="139" t="b">
        <f t="shared" si="749"/>
        <v>1</v>
      </c>
      <c r="AU450" s="139" t="b">
        <f t="shared" si="750"/>
        <v>1</v>
      </c>
      <c r="AV450" s="139" t="b">
        <f t="shared" si="751"/>
        <v>1</v>
      </c>
      <c r="AW450" s="139" t="b">
        <f t="shared" si="752"/>
        <v>1</v>
      </c>
      <c r="AX450" s="139" t="b">
        <f t="shared" si="753"/>
        <v>1</v>
      </c>
      <c r="AY450" s="139" t="b">
        <f t="shared" si="754"/>
        <v>0</v>
      </c>
    </row>
    <row r="451" spans="1:51">
      <c r="A451" s="139" t="str">
        <f>'Reference Score Calculation'!B428</f>
        <v>JSSU79</v>
      </c>
      <c r="B451" s="117" t="str">
        <f>'Reference Score Calculation'!B428</f>
        <v>JSSU79</v>
      </c>
      <c r="C451" s="117" t="str">
        <f>'Reference Score Calculation'!E428</f>
        <v>土木工程榮譽工學士</v>
      </c>
      <c r="E451" s="117" t="str">
        <f>'Reference Score Calculation'!F428</f>
        <v>Best 5</v>
      </c>
      <c r="F451" s="140"/>
      <c r="G451" s="117" t="str">
        <f>入學要求!AB437</f>
        <v>v</v>
      </c>
      <c r="H451" s="117" t="str">
        <f>入學要求!AC437</f>
        <v>E</v>
      </c>
      <c r="I451" s="117" t="str">
        <f>入學要求!AD437</f>
        <v>v</v>
      </c>
      <c r="J451" s="117">
        <f t="shared" si="735"/>
        <v>3.4999999999999999E-9</v>
      </c>
      <c r="K451" s="117">
        <v>1</v>
      </c>
      <c r="L451" s="117">
        <v>1</v>
      </c>
      <c r="M451" s="117">
        <v>1</v>
      </c>
      <c r="O451" s="117">
        <v>1</v>
      </c>
      <c r="P451" s="117">
        <v>1</v>
      </c>
      <c r="Q451" s="117">
        <v>1</v>
      </c>
      <c r="R451" s="117">
        <v>1</v>
      </c>
      <c r="S451" s="117">
        <v>1</v>
      </c>
      <c r="T451" s="117">
        <v>1</v>
      </c>
      <c r="V451" s="117">
        <f t="shared" si="736"/>
        <v>1E-10</v>
      </c>
      <c r="W451" s="117">
        <f t="shared" si="737"/>
        <v>2.0000000000000001E-10</v>
      </c>
      <c r="X451" s="117">
        <f t="shared" si="738"/>
        <v>3E-10</v>
      </c>
      <c r="Z451" s="117">
        <f t="shared" si="739"/>
        <v>5.0000000000000003E-10</v>
      </c>
      <c r="AA451" s="117">
        <f t="shared" si="740"/>
        <v>6E-10</v>
      </c>
      <c r="AB451" s="117">
        <f t="shared" si="741"/>
        <v>6.9999999999999996E-10</v>
      </c>
      <c r="AC451" s="117">
        <f t="shared" si="742"/>
        <v>8.0000000000000003E-10</v>
      </c>
      <c r="AD451" s="117">
        <f t="shared" si="743"/>
        <v>8.9999999999999999E-10</v>
      </c>
      <c r="AE451" s="117">
        <f t="shared" si="774"/>
        <v>0</v>
      </c>
      <c r="AF451" s="117">
        <f t="shared" si="755"/>
        <v>1E-10</v>
      </c>
      <c r="AG451" s="117">
        <f t="shared" si="756"/>
        <v>2.0000000000000001E-10</v>
      </c>
      <c r="AH451" s="117">
        <f t="shared" si="757"/>
        <v>3E-10</v>
      </c>
      <c r="AJ451" s="117">
        <f t="shared" si="758"/>
        <v>5.0000000000000003E-10</v>
      </c>
      <c r="AK451" s="117">
        <f t="shared" si="759"/>
        <v>6E-10</v>
      </c>
      <c r="AL451" s="117">
        <f t="shared" si="760"/>
        <v>6.9999999999999996E-10</v>
      </c>
      <c r="AM451" s="117">
        <f t="shared" si="761"/>
        <v>8.0000000000000003E-10</v>
      </c>
      <c r="AN451" s="117">
        <f t="shared" si="762"/>
        <v>8.9999999999999999E-10</v>
      </c>
      <c r="AO451" s="117">
        <f t="shared" si="763"/>
        <v>0</v>
      </c>
      <c r="AP451" s="139" t="b">
        <f t="shared" si="745"/>
        <v>0</v>
      </c>
      <c r="AQ451" s="139" t="b">
        <f t="shared" si="746"/>
        <v>0</v>
      </c>
      <c r="AR451" s="139" t="b">
        <f t="shared" si="747"/>
        <v>0</v>
      </c>
      <c r="AS451" s="139" t="b">
        <f t="shared" si="748"/>
        <v>0</v>
      </c>
      <c r="AT451" s="139" t="b">
        <f t="shared" si="749"/>
        <v>1</v>
      </c>
      <c r="AU451" s="139" t="b">
        <f t="shared" si="750"/>
        <v>1</v>
      </c>
      <c r="AV451" s="139" t="b">
        <f t="shared" si="751"/>
        <v>1</v>
      </c>
      <c r="AW451" s="139" t="b">
        <f t="shared" si="752"/>
        <v>1</v>
      </c>
      <c r="AX451" s="139" t="b">
        <f t="shared" si="753"/>
        <v>1</v>
      </c>
      <c r="AY451" s="139" t="b">
        <f t="shared" si="754"/>
        <v>0</v>
      </c>
    </row>
    <row r="452" spans="1:51">
      <c r="A452" s="139" t="str">
        <f>'Reference Score Calculation'!B429</f>
        <v>JSSU90</v>
      </c>
      <c r="B452" s="117" t="str">
        <f>'Reference Score Calculation'!B429</f>
        <v>JSSU90</v>
      </c>
      <c r="C452" s="117" t="str">
        <f>'Reference Score Calculation'!E429</f>
        <v>國際款待及景區管理榮譽工商管理學士</v>
      </c>
      <c r="D452" s="129"/>
      <c r="E452" s="117" t="str">
        <f>'Reference Score Calculation'!F429</f>
        <v>Best 5</v>
      </c>
      <c r="F452" s="117"/>
      <c r="G452" s="117" t="str">
        <f>入學要求!AB438</f>
        <v>v</v>
      </c>
      <c r="H452" s="117" t="str">
        <f>入學要求!AC438</f>
        <v>E</v>
      </c>
      <c r="I452" s="117" t="str">
        <f>入學要求!AD438</f>
        <v>v</v>
      </c>
      <c r="J452" s="117">
        <f t="shared" si="735"/>
        <v>3.4999999999999999E-9</v>
      </c>
      <c r="K452" s="117">
        <v>1</v>
      </c>
      <c r="L452" s="117">
        <v>1</v>
      </c>
      <c r="M452" s="117">
        <v>1</v>
      </c>
      <c r="O452" s="117">
        <v>1</v>
      </c>
      <c r="P452" s="117">
        <v>1</v>
      </c>
      <c r="Q452" s="117">
        <v>1</v>
      </c>
      <c r="R452" s="117">
        <v>1</v>
      </c>
      <c r="S452" s="117">
        <v>1</v>
      </c>
      <c r="T452" s="117">
        <v>1</v>
      </c>
      <c r="V452" s="117">
        <f t="shared" si="736"/>
        <v>1E-10</v>
      </c>
      <c r="W452" s="117">
        <f t="shared" si="737"/>
        <v>2.0000000000000001E-10</v>
      </c>
      <c r="X452" s="117">
        <f t="shared" si="738"/>
        <v>3E-10</v>
      </c>
      <c r="Z452" s="117">
        <f t="shared" si="739"/>
        <v>5.0000000000000003E-10</v>
      </c>
      <c r="AA452" s="117">
        <f t="shared" si="740"/>
        <v>6E-10</v>
      </c>
      <c r="AB452" s="117">
        <f t="shared" si="741"/>
        <v>6.9999999999999996E-10</v>
      </c>
      <c r="AC452" s="117">
        <f t="shared" si="742"/>
        <v>8.0000000000000003E-10</v>
      </c>
      <c r="AD452" s="117">
        <f t="shared" si="743"/>
        <v>8.9999999999999999E-10</v>
      </c>
      <c r="AE452" s="117">
        <f t="shared" si="774"/>
        <v>0</v>
      </c>
      <c r="AF452" s="117">
        <f t="shared" si="755"/>
        <v>1E-10</v>
      </c>
      <c r="AG452" s="117">
        <f t="shared" si="756"/>
        <v>2.0000000000000001E-10</v>
      </c>
      <c r="AH452" s="117">
        <f t="shared" si="757"/>
        <v>3E-10</v>
      </c>
      <c r="AJ452" s="117">
        <f t="shared" si="758"/>
        <v>5.0000000000000003E-10</v>
      </c>
      <c r="AK452" s="117">
        <f t="shared" si="759"/>
        <v>6E-10</v>
      </c>
      <c r="AL452" s="117">
        <f t="shared" si="760"/>
        <v>6.9999999999999996E-10</v>
      </c>
      <c r="AM452" s="117">
        <f t="shared" si="761"/>
        <v>8.0000000000000003E-10</v>
      </c>
      <c r="AN452" s="117">
        <f t="shared" si="762"/>
        <v>8.9999999999999999E-10</v>
      </c>
      <c r="AO452" s="117">
        <f t="shared" si="763"/>
        <v>0</v>
      </c>
      <c r="AP452" s="139" t="b">
        <f t="shared" si="745"/>
        <v>0</v>
      </c>
      <c r="AQ452" s="139" t="b">
        <f t="shared" si="746"/>
        <v>0</v>
      </c>
      <c r="AR452" s="139" t="b">
        <f t="shared" si="747"/>
        <v>0</v>
      </c>
      <c r="AS452" s="139" t="b">
        <f t="shared" si="748"/>
        <v>0</v>
      </c>
      <c r="AT452" s="139" t="b">
        <f t="shared" si="749"/>
        <v>1</v>
      </c>
      <c r="AU452" s="139" t="b">
        <f t="shared" si="750"/>
        <v>1</v>
      </c>
      <c r="AV452" s="139" t="b">
        <f t="shared" si="751"/>
        <v>1</v>
      </c>
      <c r="AW452" s="139" t="b">
        <f t="shared" si="752"/>
        <v>1</v>
      </c>
      <c r="AX452" s="139" t="b">
        <f t="shared" si="753"/>
        <v>1</v>
      </c>
      <c r="AY452" s="139" t="b">
        <f t="shared" si="754"/>
        <v>0</v>
      </c>
    </row>
    <row r="453" spans="1:51">
      <c r="A453" s="139" t="str">
        <f>'Reference Score Calculation'!B430</f>
        <v>JSSU93</v>
      </c>
      <c r="B453" s="117" t="str">
        <f>'Reference Score Calculation'!B430</f>
        <v>JSSU93</v>
      </c>
      <c r="C453" s="117" t="str">
        <f>'Reference Score Calculation'!E430</f>
        <v>航空服務管理榮譽工商管理學士</v>
      </c>
      <c r="D453" s="129"/>
      <c r="E453" s="117" t="str">
        <f>'Reference Score Calculation'!F430</f>
        <v>25年新科目</v>
      </c>
      <c r="F453" s="117"/>
      <c r="G453" s="117" t="str">
        <f>入學要求!AB439</f>
        <v>v</v>
      </c>
      <c r="H453" s="117" t="str">
        <f>入學要求!AC439</f>
        <v>E</v>
      </c>
      <c r="I453" s="117" t="str">
        <f>入學要求!AD439</f>
        <v>v</v>
      </c>
      <c r="J453" s="117">
        <f t="shared" si="735"/>
        <v>3.4999999999999999E-9</v>
      </c>
      <c r="K453" s="117">
        <v>1</v>
      </c>
      <c r="L453" s="117">
        <v>1</v>
      </c>
      <c r="M453" s="117">
        <v>1</v>
      </c>
      <c r="O453" s="117">
        <v>1</v>
      </c>
      <c r="P453" s="117">
        <v>1</v>
      </c>
      <c r="Q453" s="117">
        <v>1</v>
      </c>
      <c r="R453" s="117">
        <v>1</v>
      </c>
      <c r="S453" s="117">
        <v>1</v>
      </c>
      <c r="T453" s="117">
        <v>1</v>
      </c>
      <c r="V453" s="117">
        <f t="shared" ref="V453:V466" si="776">K$13*K453</f>
        <v>1E-10</v>
      </c>
      <c r="W453" s="117">
        <f t="shared" ref="W453:W466" si="777">L$13*L453</f>
        <v>2.0000000000000001E-10</v>
      </c>
      <c r="X453" s="117">
        <f t="shared" ref="X453:X466" si="778">M$13*M453</f>
        <v>3E-10</v>
      </c>
      <c r="Z453" s="117">
        <f t="shared" ref="Z453:Z466" si="779">IF(G453="v",O$13*O453,0)</f>
        <v>5.0000000000000003E-10</v>
      </c>
      <c r="AA453" s="117">
        <f t="shared" ref="AA453:AA466" si="780">P$13*P453</f>
        <v>6E-10</v>
      </c>
      <c r="AB453" s="117">
        <f t="shared" ref="AB453:AB466" si="781">Q$13*Q453</f>
        <v>6.9999999999999996E-10</v>
      </c>
      <c r="AC453" s="117">
        <f t="shared" ref="AC453:AC466" si="782">R$13*R453</f>
        <v>8.0000000000000003E-10</v>
      </c>
      <c r="AD453" s="117">
        <f t="shared" ref="AD453:AD466" si="783">S$13*S453</f>
        <v>8.9999999999999999E-10</v>
      </c>
      <c r="AE453" s="117">
        <f t="shared" ref="AE453:AE466" si="784">IF(H453="E",T$11*T453,0)</f>
        <v>0</v>
      </c>
      <c r="AF453" s="117">
        <f t="shared" ref="AF453:AF466" si="785">V453</f>
        <v>1E-10</v>
      </c>
      <c r="AG453" s="117">
        <f t="shared" ref="AG453:AG466" si="786">W453</f>
        <v>2.0000000000000001E-10</v>
      </c>
      <c r="AH453" s="117">
        <f t="shared" ref="AH453:AH466" si="787">X453</f>
        <v>3E-10</v>
      </c>
      <c r="AJ453" s="117">
        <f t="shared" ref="AJ453:AJ466" si="788">Z453</f>
        <v>5.0000000000000003E-10</v>
      </c>
      <c r="AK453" s="117">
        <f t="shared" ref="AK453:AK466" si="789">AA453</f>
        <v>6E-10</v>
      </c>
      <c r="AL453" s="117">
        <f t="shared" ref="AL453:AL466" si="790">AB453</f>
        <v>6.9999999999999996E-10</v>
      </c>
      <c r="AM453" s="117">
        <f t="shared" ref="AM453:AM466" si="791">AC453</f>
        <v>8.0000000000000003E-10</v>
      </c>
      <c r="AN453" s="117">
        <f t="shared" ref="AN453:AN466" si="792">AD453</f>
        <v>8.9999999999999999E-10</v>
      </c>
      <c r="AO453" s="117">
        <f t="shared" ref="AO453:AO466" si="793">AE453</f>
        <v>0</v>
      </c>
      <c r="AP453" s="139" t="b">
        <f t="shared" ref="AP453:AP466" si="794">IF(V453&gt;LARGE($V453:$AE453,6),TRUE)</f>
        <v>0</v>
      </c>
      <c r="AQ453" s="139" t="b">
        <f t="shared" ref="AQ453:AQ466" si="795">IF(W453&gt;LARGE($V453:$AE453,6),TRUE)</f>
        <v>0</v>
      </c>
      <c r="AR453" s="139" t="b">
        <f t="shared" ref="AR453:AR466" si="796">IF(X453&gt;LARGE($V453:$AE453,6),TRUE)</f>
        <v>0</v>
      </c>
      <c r="AS453" s="139" t="b">
        <f t="shared" ref="AS453:AS466" si="797">IF(Y453&gt;LARGE($V453:$AE453,6),TRUE)</f>
        <v>0</v>
      </c>
      <c r="AT453" s="139" t="b">
        <f t="shared" ref="AT453:AT466" si="798">IF(Z453&gt;LARGE($V453:$AE453,6),TRUE)</f>
        <v>1</v>
      </c>
      <c r="AU453" s="139" t="b">
        <f t="shared" ref="AU453:AU466" si="799">IF(AA453&gt;LARGE($V453:$AE453,6),TRUE)</f>
        <v>1</v>
      </c>
      <c r="AV453" s="139" t="b">
        <f t="shared" ref="AV453:AV466" si="800">IF(AB453&gt;LARGE($V453:$AE453,6),TRUE)</f>
        <v>1</v>
      </c>
      <c r="AW453" s="139" t="b">
        <f t="shared" ref="AW453:AW466" si="801">IF(AC453&gt;LARGE($V453:$AE453,6),TRUE)</f>
        <v>1</v>
      </c>
      <c r="AX453" s="139" t="b">
        <f t="shared" ref="AX453:AX466" si="802">IF(AD453&gt;LARGE($V453:$AE453,6),TRUE)</f>
        <v>1</v>
      </c>
      <c r="AY453" s="139" t="b">
        <f t="shared" ref="AY453:AY466" si="803">IF(AE453&gt;LARGE($V453:$AE453,6),TRUE)</f>
        <v>0</v>
      </c>
    </row>
    <row r="454" spans="1:51">
      <c r="A454" s="139" t="str">
        <f>'Reference Score Calculation'!B431</f>
        <v>JSSU95</v>
      </c>
      <c r="B454" s="117" t="str">
        <f>'Reference Score Calculation'!B431</f>
        <v>JSSU95</v>
      </c>
      <c r="C454" s="117" t="str">
        <f>'Reference Score Calculation'!E431</f>
        <v>運動及康樂管理榮譽工商管理學士</v>
      </c>
      <c r="D454" s="129"/>
      <c r="E454" s="117" t="str">
        <f>'Reference Score Calculation'!F431</f>
        <v>Best 5</v>
      </c>
      <c r="F454" s="117"/>
      <c r="G454" s="117" t="str">
        <f>入學要求!AB440</f>
        <v>v</v>
      </c>
      <c r="H454" s="117" t="str">
        <f>入學要求!AC440</f>
        <v>E</v>
      </c>
      <c r="I454" s="117" t="str">
        <f>入學要求!AD440</f>
        <v>v</v>
      </c>
      <c r="J454" s="117">
        <f t="shared" si="735"/>
        <v>3.4999999999999999E-9</v>
      </c>
      <c r="K454" s="117">
        <v>1</v>
      </c>
      <c r="L454" s="117">
        <v>1</v>
      </c>
      <c r="M454" s="117">
        <v>1</v>
      </c>
      <c r="O454" s="117">
        <v>1</v>
      </c>
      <c r="P454" s="117">
        <v>1</v>
      </c>
      <c r="Q454" s="117">
        <v>1</v>
      </c>
      <c r="R454" s="117">
        <v>1</v>
      </c>
      <c r="S454" s="117">
        <v>1</v>
      </c>
      <c r="T454" s="117">
        <v>1</v>
      </c>
      <c r="V454" s="117">
        <f t="shared" si="776"/>
        <v>1E-10</v>
      </c>
      <c r="W454" s="117">
        <f t="shared" si="777"/>
        <v>2.0000000000000001E-10</v>
      </c>
      <c r="X454" s="117">
        <f t="shared" si="778"/>
        <v>3E-10</v>
      </c>
      <c r="Z454" s="117">
        <f t="shared" si="779"/>
        <v>5.0000000000000003E-10</v>
      </c>
      <c r="AA454" s="117">
        <f t="shared" si="780"/>
        <v>6E-10</v>
      </c>
      <c r="AB454" s="117">
        <f t="shared" si="781"/>
        <v>6.9999999999999996E-10</v>
      </c>
      <c r="AC454" s="117">
        <f t="shared" si="782"/>
        <v>8.0000000000000003E-10</v>
      </c>
      <c r="AD454" s="117">
        <f t="shared" si="783"/>
        <v>8.9999999999999999E-10</v>
      </c>
      <c r="AE454" s="117">
        <f t="shared" si="784"/>
        <v>0</v>
      </c>
      <c r="AF454" s="117">
        <f t="shared" si="785"/>
        <v>1E-10</v>
      </c>
      <c r="AG454" s="117">
        <f t="shared" si="786"/>
        <v>2.0000000000000001E-10</v>
      </c>
      <c r="AH454" s="117">
        <f t="shared" si="787"/>
        <v>3E-10</v>
      </c>
      <c r="AJ454" s="117">
        <f t="shared" si="788"/>
        <v>5.0000000000000003E-10</v>
      </c>
      <c r="AK454" s="117">
        <f t="shared" si="789"/>
        <v>6E-10</v>
      </c>
      <c r="AL454" s="117">
        <f t="shared" si="790"/>
        <v>6.9999999999999996E-10</v>
      </c>
      <c r="AM454" s="117">
        <f t="shared" si="791"/>
        <v>8.0000000000000003E-10</v>
      </c>
      <c r="AN454" s="117">
        <f t="shared" si="792"/>
        <v>8.9999999999999999E-10</v>
      </c>
      <c r="AO454" s="117">
        <f t="shared" si="793"/>
        <v>0</v>
      </c>
      <c r="AP454" s="139" t="b">
        <f t="shared" si="794"/>
        <v>0</v>
      </c>
      <c r="AQ454" s="139" t="b">
        <f t="shared" si="795"/>
        <v>0</v>
      </c>
      <c r="AR454" s="139" t="b">
        <f t="shared" si="796"/>
        <v>0</v>
      </c>
      <c r="AS454" s="139" t="b">
        <f t="shared" si="797"/>
        <v>0</v>
      </c>
      <c r="AT454" s="139" t="b">
        <f t="shared" si="798"/>
        <v>1</v>
      </c>
      <c r="AU454" s="139" t="b">
        <f t="shared" si="799"/>
        <v>1</v>
      </c>
      <c r="AV454" s="139" t="b">
        <f t="shared" si="800"/>
        <v>1</v>
      </c>
      <c r="AW454" s="139" t="b">
        <f t="shared" si="801"/>
        <v>1</v>
      </c>
      <c r="AX454" s="139" t="b">
        <f t="shared" si="802"/>
        <v>1</v>
      </c>
      <c r="AY454" s="139" t="b">
        <f t="shared" si="803"/>
        <v>0</v>
      </c>
    </row>
    <row r="455" spans="1:51">
      <c r="A455" s="139" t="str">
        <f>'Reference Score Calculation'!B432</f>
        <v>JSSU96</v>
      </c>
      <c r="B455" s="117" t="str">
        <f>'Reference Score Calculation'!B432</f>
        <v>JSSU96</v>
      </c>
      <c r="C455" s="117" t="str">
        <f>'Reference Score Calculation'!E432</f>
        <v>財務及金融科技榮譽工商管理學士</v>
      </c>
      <c r="D455" s="129"/>
      <c r="E455" s="117" t="str">
        <f>'Reference Score Calculation'!F432</f>
        <v>Best 5</v>
      </c>
      <c r="F455" s="117"/>
      <c r="G455" s="117" t="str">
        <f>入學要求!AB441</f>
        <v>v</v>
      </c>
      <c r="H455" s="117" t="str">
        <f>入學要求!AC441</f>
        <v>E</v>
      </c>
      <c r="I455" s="117" t="str">
        <f>入學要求!AD441</f>
        <v>v</v>
      </c>
      <c r="J455" s="117">
        <f t="shared" si="735"/>
        <v>3.4999999999999999E-9</v>
      </c>
      <c r="K455" s="117">
        <v>1</v>
      </c>
      <c r="L455" s="117">
        <v>1</v>
      </c>
      <c r="M455" s="117">
        <v>1</v>
      </c>
      <c r="O455" s="117">
        <v>1</v>
      </c>
      <c r="P455" s="117">
        <v>1</v>
      </c>
      <c r="Q455" s="117">
        <v>1</v>
      </c>
      <c r="R455" s="117">
        <v>1</v>
      </c>
      <c r="S455" s="117">
        <v>1</v>
      </c>
      <c r="T455" s="117">
        <v>1</v>
      </c>
      <c r="V455" s="117">
        <f t="shared" si="776"/>
        <v>1E-10</v>
      </c>
      <c r="W455" s="117">
        <f t="shared" si="777"/>
        <v>2.0000000000000001E-10</v>
      </c>
      <c r="X455" s="117">
        <f t="shared" si="778"/>
        <v>3E-10</v>
      </c>
      <c r="Z455" s="117">
        <f t="shared" si="779"/>
        <v>5.0000000000000003E-10</v>
      </c>
      <c r="AA455" s="117">
        <f t="shared" si="780"/>
        <v>6E-10</v>
      </c>
      <c r="AB455" s="117">
        <f t="shared" si="781"/>
        <v>6.9999999999999996E-10</v>
      </c>
      <c r="AC455" s="117">
        <f t="shared" si="782"/>
        <v>8.0000000000000003E-10</v>
      </c>
      <c r="AD455" s="117">
        <f t="shared" si="783"/>
        <v>8.9999999999999999E-10</v>
      </c>
      <c r="AE455" s="117">
        <f t="shared" si="784"/>
        <v>0</v>
      </c>
      <c r="AF455" s="117">
        <f t="shared" si="785"/>
        <v>1E-10</v>
      </c>
      <c r="AG455" s="117">
        <f t="shared" si="786"/>
        <v>2.0000000000000001E-10</v>
      </c>
      <c r="AH455" s="117">
        <f t="shared" si="787"/>
        <v>3E-10</v>
      </c>
      <c r="AJ455" s="117">
        <f t="shared" si="788"/>
        <v>5.0000000000000003E-10</v>
      </c>
      <c r="AK455" s="117">
        <f t="shared" si="789"/>
        <v>6E-10</v>
      </c>
      <c r="AL455" s="117">
        <f t="shared" si="790"/>
        <v>6.9999999999999996E-10</v>
      </c>
      <c r="AM455" s="117">
        <f t="shared" si="791"/>
        <v>8.0000000000000003E-10</v>
      </c>
      <c r="AN455" s="117">
        <f t="shared" si="792"/>
        <v>8.9999999999999999E-10</v>
      </c>
      <c r="AO455" s="117">
        <f t="shared" si="793"/>
        <v>0</v>
      </c>
      <c r="AP455" s="139" t="b">
        <f t="shared" si="794"/>
        <v>0</v>
      </c>
      <c r="AQ455" s="139" t="b">
        <f t="shared" si="795"/>
        <v>0</v>
      </c>
      <c r="AR455" s="139" t="b">
        <f t="shared" si="796"/>
        <v>0</v>
      </c>
      <c r="AS455" s="139" t="b">
        <f t="shared" si="797"/>
        <v>0</v>
      </c>
      <c r="AT455" s="139" t="b">
        <f t="shared" si="798"/>
        <v>1</v>
      </c>
      <c r="AU455" s="139" t="b">
        <f t="shared" si="799"/>
        <v>1</v>
      </c>
      <c r="AV455" s="139" t="b">
        <f t="shared" si="800"/>
        <v>1</v>
      </c>
      <c r="AW455" s="139" t="b">
        <f t="shared" si="801"/>
        <v>1</v>
      </c>
      <c r="AX455" s="139" t="b">
        <f t="shared" si="802"/>
        <v>1</v>
      </c>
      <c r="AY455" s="139" t="b">
        <f t="shared" si="803"/>
        <v>0</v>
      </c>
    </row>
    <row r="456" spans="1:51">
      <c r="A456" s="139" t="str">
        <f>'Reference Score Calculation'!B433</f>
        <v>JSSU97</v>
      </c>
      <c r="B456" s="117" t="str">
        <f>'Reference Score Calculation'!B433</f>
        <v>JSSU97</v>
      </c>
      <c r="C456" s="117" t="str">
        <f>'Reference Score Calculation'!E433</f>
        <v>環球市場及供應鏈管理榮譽工商管理學士</v>
      </c>
      <c r="D456" s="129"/>
      <c r="E456" s="117" t="str">
        <f>'Reference Score Calculation'!F433</f>
        <v>Best 5</v>
      </c>
      <c r="F456" s="117"/>
      <c r="G456" s="117" t="str">
        <f>入學要求!AB442</f>
        <v>v</v>
      </c>
      <c r="H456" s="117" t="str">
        <f>入學要求!AC442</f>
        <v>E</v>
      </c>
      <c r="I456" s="117" t="str">
        <f>入學要求!AD442</f>
        <v>v</v>
      </c>
      <c r="J456" s="117">
        <f t="shared" si="735"/>
        <v>3.4999999999999999E-9</v>
      </c>
      <c r="K456" s="117">
        <v>1</v>
      </c>
      <c r="L456" s="117">
        <v>1</v>
      </c>
      <c r="M456" s="117">
        <v>1</v>
      </c>
      <c r="O456" s="117">
        <v>1</v>
      </c>
      <c r="P456" s="117">
        <v>1</v>
      </c>
      <c r="Q456" s="117">
        <v>1</v>
      </c>
      <c r="R456" s="117">
        <v>1</v>
      </c>
      <c r="S456" s="117">
        <v>1</v>
      </c>
      <c r="T456" s="117">
        <v>1</v>
      </c>
      <c r="V456" s="117">
        <f t="shared" si="776"/>
        <v>1E-10</v>
      </c>
      <c r="W456" s="117">
        <f t="shared" si="777"/>
        <v>2.0000000000000001E-10</v>
      </c>
      <c r="X456" s="117">
        <f t="shared" si="778"/>
        <v>3E-10</v>
      </c>
      <c r="Z456" s="117">
        <f t="shared" si="779"/>
        <v>5.0000000000000003E-10</v>
      </c>
      <c r="AA456" s="117">
        <f t="shared" si="780"/>
        <v>6E-10</v>
      </c>
      <c r="AB456" s="117">
        <f t="shared" si="781"/>
        <v>6.9999999999999996E-10</v>
      </c>
      <c r="AC456" s="117">
        <f t="shared" si="782"/>
        <v>8.0000000000000003E-10</v>
      </c>
      <c r="AD456" s="117">
        <f t="shared" si="783"/>
        <v>8.9999999999999999E-10</v>
      </c>
      <c r="AE456" s="117">
        <f t="shared" si="784"/>
        <v>0</v>
      </c>
      <c r="AF456" s="117">
        <f t="shared" si="785"/>
        <v>1E-10</v>
      </c>
      <c r="AG456" s="117">
        <f t="shared" si="786"/>
        <v>2.0000000000000001E-10</v>
      </c>
      <c r="AH456" s="117">
        <f t="shared" si="787"/>
        <v>3E-10</v>
      </c>
      <c r="AJ456" s="117">
        <f t="shared" si="788"/>
        <v>5.0000000000000003E-10</v>
      </c>
      <c r="AK456" s="117">
        <f t="shared" si="789"/>
        <v>6E-10</v>
      </c>
      <c r="AL456" s="117">
        <f t="shared" si="790"/>
        <v>6.9999999999999996E-10</v>
      </c>
      <c r="AM456" s="117">
        <f t="shared" si="791"/>
        <v>8.0000000000000003E-10</v>
      </c>
      <c r="AN456" s="117">
        <f t="shared" si="792"/>
        <v>8.9999999999999999E-10</v>
      </c>
      <c r="AO456" s="117">
        <f t="shared" si="793"/>
        <v>0</v>
      </c>
      <c r="AP456" s="139" t="b">
        <f t="shared" si="794"/>
        <v>0</v>
      </c>
      <c r="AQ456" s="139" t="b">
        <f t="shared" si="795"/>
        <v>0</v>
      </c>
      <c r="AR456" s="139" t="b">
        <f t="shared" si="796"/>
        <v>0</v>
      </c>
      <c r="AS456" s="139" t="b">
        <f t="shared" si="797"/>
        <v>0</v>
      </c>
      <c r="AT456" s="139" t="b">
        <f t="shared" si="798"/>
        <v>1</v>
      </c>
      <c r="AU456" s="139" t="b">
        <f t="shared" si="799"/>
        <v>1</v>
      </c>
      <c r="AV456" s="139" t="b">
        <f t="shared" si="800"/>
        <v>1</v>
      </c>
      <c r="AW456" s="139" t="b">
        <f t="shared" si="801"/>
        <v>1</v>
      </c>
      <c r="AX456" s="139" t="b">
        <f t="shared" si="802"/>
        <v>1</v>
      </c>
      <c r="AY456" s="139" t="b">
        <f t="shared" si="803"/>
        <v>0</v>
      </c>
    </row>
    <row r="457" spans="1:51">
      <c r="A457" s="139" t="str">
        <f>'Reference Score Calculation'!B434</f>
        <v>JSSV01</v>
      </c>
      <c r="B457" s="117" t="str">
        <f>'Reference Score Calculation'!B434</f>
        <v>JSSV01</v>
      </c>
      <c r="C457" s="117" t="str">
        <f>'Reference Score Calculation'!E434</f>
        <v>時裝設計（榮譽）文學士</v>
      </c>
      <c r="D457" s="129"/>
      <c r="E457" s="117" t="str">
        <f>'Reference Score Calculation'!F434</f>
        <v>Best 5</v>
      </c>
      <c r="F457" s="117"/>
      <c r="G457" s="117" t="str">
        <f>入學要求!AB443</f>
        <v>NO</v>
      </c>
      <c r="H457" s="117" t="str">
        <f>入學要求!AC443</f>
        <v>NO</v>
      </c>
      <c r="I457" s="117" t="str">
        <f>入學要求!AD443</f>
        <v>v</v>
      </c>
      <c r="J457" s="117">
        <f t="shared" si="735"/>
        <v>3.2999999999999998E-9</v>
      </c>
      <c r="K457" s="117">
        <v>1</v>
      </c>
      <c r="L457" s="117">
        <v>1</v>
      </c>
      <c r="M457" s="117">
        <v>1</v>
      </c>
      <c r="O457" s="117">
        <v>1</v>
      </c>
      <c r="P457" s="117">
        <v>1</v>
      </c>
      <c r="Q457" s="117">
        <v>1</v>
      </c>
      <c r="R457" s="117">
        <v>1</v>
      </c>
      <c r="S457" s="117">
        <v>1</v>
      </c>
      <c r="T457" s="117">
        <v>1</v>
      </c>
      <c r="V457" s="117">
        <f t="shared" si="776"/>
        <v>1E-10</v>
      </c>
      <c r="W457" s="117">
        <f t="shared" si="777"/>
        <v>2.0000000000000001E-10</v>
      </c>
      <c r="X457" s="117">
        <f t="shared" si="778"/>
        <v>3E-10</v>
      </c>
      <c r="Z457" s="117">
        <f t="shared" si="779"/>
        <v>0</v>
      </c>
      <c r="AA457" s="117">
        <f t="shared" si="780"/>
        <v>6E-10</v>
      </c>
      <c r="AB457" s="117">
        <f t="shared" si="781"/>
        <v>6.9999999999999996E-10</v>
      </c>
      <c r="AC457" s="117">
        <f t="shared" si="782"/>
        <v>8.0000000000000003E-10</v>
      </c>
      <c r="AD457" s="117">
        <f t="shared" si="783"/>
        <v>8.9999999999999999E-10</v>
      </c>
      <c r="AE457" s="117">
        <f t="shared" si="784"/>
        <v>0</v>
      </c>
      <c r="AF457" s="117">
        <f t="shared" si="785"/>
        <v>1E-10</v>
      </c>
      <c r="AG457" s="117">
        <f t="shared" si="786"/>
        <v>2.0000000000000001E-10</v>
      </c>
      <c r="AH457" s="117">
        <f t="shared" si="787"/>
        <v>3E-10</v>
      </c>
      <c r="AJ457" s="117">
        <f t="shared" si="788"/>
        <v>0</v>
      </c>
      <c r="AK457" s="117">
        <f t="shared" si="789"/>
        <v>6E-10</v>
      </c>
      <c r="AL457" s="117">
        <f t="shared" si="790"/>
        <v>6.9999999999999996E-10</v>
      </c>
      <c r="AM457" s="117">
        <f t="shared" si="791"/>
        <v>8.0000000000000003E-10</v>
      </c>
      <c r="AN457" s="117">
        <f t="shared" si="792"/>
        <v>8.9999999999999999E-10</v>
      </c>
      <c r="AO457" s="117">
        <f t="shared" si="793"/>
        <v>0</v>
      </c>
      <c r="AP457" s="139" t="b">
        <f t="shared" si="794"/>
        <v>0</v>
      </c>
      <c r="AQ457" s="139" t="b">
        <f t="shared" si="795"/>
        <v>0</v>
      </c>
      <c r="AR457" s="139" t="b">
        <f t="shared" si="796"/>
        <v>1</v>
      </c>
      <c r="AS457" s="139" t="b">
        <f t="shared" si="797"/>
        <v>0</v>
      </c>
      <c r="AT457" s="139" t="b">
        <f t="shared" si="798"/>
        <v>0</v>
      </c>
      <c r="AU457" s="139" t="b">
        <f t="shared" si="799"/>
        <v>1</v>
      </c>
      <c r="AV457" s="139" t="b">
        <f t="shared" si="800"/>
        <v>1</v>
      </c>
      <c r="AW457" s="139" t="b">
        <f t="shared" si="801"/>
        <v>1</v>
      </c>
      <c r="AX457" s="139" t="b">
        <f t="shared" si="802"/>
        <v>1</v>
      </c>
      <c r="AY457" s="139" t="b">
        <f t="shared" si="803"/>
        <v>0</v>
      </c>
    </row>
    <row r="458" spans="1:51">
      <c r="A458" s="139" t="str">
        <f>'Reference Score Calculation'!B435</f>
        <v>JSSV02</v>
      </c>
      <c r="B458" s="117" t="str">
        <f>'Reference Score Calculation'!B435</f>
        <v>JSSV02</v>
      </c>
      <c r="C458" s="117" t="str">
        <f>'Reference Score Calculation'!E435</f>
        <v>產品設計（榮譽）文學士</v>
      </c>
      <c r="D458" s="129"/>
      <c r="E458" s="117" t="str">
        <f>'Reference Score Calculation'!F435</f>
        <v>Best 5</v>
      </c>
      <c r="F458" s="117"/>
      <c r="G458" s="117" t="str">
        <f>入學要求!AB444</f>
        <v>NO</v>
      </c>
      <c r="H458" s="117" t="str">
        <f>入學要求!AC444</f>
        <v>NO</v>
      </c>
      <c r="I458" s="117" t="str">
        <f>入學要求!AD444</f>
        <v>v</v>
      </c>
      <c r="J458" s="117">
        <f t="shared" si="735"/>
        <v>3.2999999999999998E-9</v>
      </c>
      <c r="K458" s="117">
        <v>1</v>
      </c>
      <c r="L458" s="117">
        <v>1</v>
      </c>
      <c r="M458" s="117">
        <v>1</v>
      </c>
      <c r="O458" s="117">
        <v>1</v>
      </c>
      <c r="P458" s="117">
        <v>1</v>
      </c>
      <c r="Q458" s="117">
        <v>1</v>
      </c>
      <c r="R458" s="117">
        <v>1</v>
      </c>
      <c r="S458" s="117">
        <v>1</v>
      </c>
      <c r="T458" s="117">
        <v>1</v>
      </c>
      <c r="V458" s="117">
        <f t="shared" si="776"/>
        <v>1E-10</v>
      </c>
      <c r="W458" s="117">
        <f t="shared" si="777"/>
        <v>2.0000000000000001E-10</v>
      </c>
      <c r="X458" s="117">
        <f t="shared" si="778"/>
        <v>3E-10</v>
      </c>
      <c r="Z458" s="117">
        <f t="shared" si="779"/>
        <v>0</v>
      </c>
      <c r="AA458" s="117">
        <f t="shared" si="780"/>
        <v>6E-10</v>
      </c>
      <c r="AB458" s="117">
        <f t="shared" si="781"/>
        <v>6.9999999999999996E-10</v>
      </c>
      <c r="AC458" s="117">
        <f t="shared" si="782"/>
        <v>8.0000000000000003E-10</v>
      </c>
      <c r="AD458" s="117">
        <f t="shared" si="783"/>
        <v>8.9999999999999999E-10</v>
      </c>
      <c r="AE458" s="117">
        <f t="shared" si="784"/>
        <v>0</v>
      </c>
      <c r="AF458" s="117">
        <f t="shared" si="785"/>
        <v>1E-10</v>
      </c>
      <c r="AG458" s="117">
        <f t="shared" si="786"/>
        <v>2.0000000000000001E-10</v>
      </c>
      <c r="AH458" s="117">
        <f t="shared" si="787"/>
        <v>3E-10</v>
      </c>
      <c r="AJ458" s="117">
        <f t="shared" si="788"/>
        <v>0</v>
      </c>
      <c r="AK458" s="117">
        <f t="shared" si="789"/>
        <v>6E-10</v>
      </c>
      <c r="AL458" s="117">
        <f t="shared" si="790"/>
        <v>6.9999999999999996E-10</v>
      </c>
      <c r="AM458" s="117">
        <f t="shared" si="791"/>
        <v>8.0000000000000003E-10</v>
      </c>
      <c r="AN458" s="117">
        <f t="shared" si="792"/>
        <v>8.9999999999999999E-10</v>
      </c>
      <c r="AO458" s="117">
        <f t="shared" si="793"/>
        <v>0</v>
      </c>
      <c r="AP458" s="139" t="b">
        <f t="shared" si="794"/>
        <v>0</v>
      </c>
      <c r="AQ458" s="139" t="b">
        <f t="shared" si="795"/>
        <v>0</v>
      </c>
      <c r="AR458" s="139" t="b">
        <f t="shared" si="796"/>
        <v>1</v>
      </c>
      <c r="AS458" s="139" t="b">
        <f t="shared" si="797"/>
        <v>0</v>
      </c>
      <c r="AT458" s="139" t="b">
        <f t="shared" si="798"/>
        <v>0</v>
      </c>
      <c r="AU458" s="139" t="b">
        <f t="shared" si="799"/>
        <v>1</v>
      </c>
      <c r="AV458" s="139" t="b">
        <f t="shared" si="800"/>
        <v>1</v>
      </c>
      <c r="AW458" s="139" t="b">
        <f t="shared" si="801"/>
        <v>1</v>
      </c>
      <c r="AX458" s="139" t="b">
        <f t="shared" si="802"/>
        <v>1</v>
      </c>
      <c r="AY458" s="139" t="b">
        <f t="shared" si="803"/>
        <v>0</v>
      </c>
    </row>
    <row r="459" spans="1:51">
      <c r="A459" s="139" t="str">
        <f>'Reference Score Calculation'!B436</f>
        <v>JSSV03</v>
      </c>
      <c r="B459" s="117" t="str">
        <f>'Reference Score Calculation'!B436</f>
        <v>JSSV03</v>
      </c>
      <c r="C459" s="117" t="str">
        <f>'Reference Score Calculation'!E436</f>
        <v>園境建築（榮譽）文學士</v>
      </c>
      <c r="D459" s="129"/>
      <c r="E459" s="117" t="str">
        <f>'Reference Score Calculation'!F436</f>
        <v>Best 5</v>
      </c>
      <c r="F459" s="117"/>
      <c r="G459" s="117" t="str">
        <f>入學要求!AB445</f>
        <v>NO</v>
      </c>
      <c r="H459" s="117" t="str">
        <f>入學要求!AC445</f>
        <v>NO</v>
      </c>
      <c r="I459" s="117" t="str">
        <f>入學要求!AD445</f>
        <v>v</v>
      </c>
      <c r="J459" s="117">
        <f t="shared" si="735"/>
        <v>3.2999999999999998E-9</v>
      </c>
      <c r="K459" s="117">
        <v>1</v>
      </c>
      <c r="L459" s="117">
        <v>1</v>
      </c>
      <c r="M459" s="117">
        <v>1</v>
      </c>
      <c r="O459" s="117">
        <v>1</v>
      </c>
      <c r="P459" s="117">
        <v>1</v>
      </c>
      <c r="Q459" s="117">
        <v>1</v>
      </c>
      <c r="R459" s="117">
        <v>1</v>
      </c>
      <c r="S459" s="117">
        <v>1</v>
      </c>
      <c r="T459" s="117">
        <v>1</v>
      </c>
      <c r="V459" s="117">
        <f t="shared" si="776"/>
        <v>1E-10</v>
      </c>
      <c r="W459" s="117">
        <f t="shared" si="777"/>
        <v>2.0000000000000001E-10</v>
      </c>
      <c r="X459" s="117">
        <f t="shared" si="778"/>
        <v>3E-10</v>
      </c>
      <c r="Z459" s="117">
        <f t="shared" si="779"/>
        <v>0</v>
      </c>
      <c r="AA459" s="117">
        <f t="shared" si="780"/>
        <v>6E-10</v>
      </c>
      <c r="AB459" s="117">
        <f t="shared" si="781"/>
        <v>6.9999999999999996E-10</v>
      </c>
      <c r="AC459" s="117">
        <f t="shared" si="782"/>
        <v>8.0000000000000003E-10</v>
      </c>
      <c r="AD459" s="117">
        <f t="shared" si="783"/>
        <v>8.9999999999999999E-10</v>
      </c>
      <c r="AE459" s="117">
        <f t="shared" si="784"/>
        <v>0</v>
      </c>
      <c r="AF459" s="117">
        <f t="shared" si="785"/>
        <v>1E-10</v>
      </c>
      <c r="AG459" s="117">
        <f t="shared" si="786"/>
        <v>2.0000000000000001E-10</v>
      </c>
      <c r="AH459" s="117">
        <f t="shared" si="787"/>
        <v>3E-10</v>
      </c>
      <c r="AJ459" s="117">
        <f t="shared" si="788"/>
        <v>0</v>
      </c>
      <c r="AK459" s="117">
        <f t="shared" si="789"/>
        <v>6E-10</v>
      </c>
      <c r="AL459" s="117">
        <f t="shared" si="790"/>
        <v>6.9999999999999996E-10</v>
      </c>
      <c r="AM459" s="117">
        <f t="shared" si="791"/>
        <v>8.0000000000000003E-10</v>
      </c>
      <c r="AN459" s="117">
        <f t="shared" si="792"/>
        <v>8.9999999999999999E-10</v>
      </c>
      <c r="AO459" s="117">
        <f t="shared" si="793"/>
        <v>0</v>
      </c>
      <c r="AP459" s="139" t="b">
        <f t="shared" si="794"/>
        <v>0</v>
      </c>
      <c r="AQ459" s="139" t="b">
        <f t="shared" si="795"/>
        <v>0</v>
      </c>
      <c r="AR459" s="139" t="b">
        <f t="shared" si="796"/>
        <v>1</v>
      </c>
      <c r="AS459" s="139" t="b">
        <f t="shared" si="797"/>
        <v>0</v>
      </c>
      <c r="AT459" s="139" t="b">
        <f t="shared" si="798"/>
        <v>0</v>
      </c>
      <c r="AU459" s="139" t="b">
        <f t="shared" si="799"/>
        <v>1</v>
      </c>
      <c r="AV459" s="139" t="b">
        <f t="shared" si="800"/>
        <v>1</v>
      </c>
      <c r="AW459" s="139" t="b">
        <f t="shared" si="801"/>
        <v>1</v>
      </c>
      <c r="AX459" s="139" t="b">
        <f t="shared" si="802"/>
        <v>1</v>
      </c>
      <c r="AY459" s="139" t="b">
        <f t="shared" si="803"/>
        <v>0</v>
      </c>
    </row>
    <row r="460" spans="1:51">
      <c r="A460" s="139" t="str">
        <f>'Reference Score Calculation'!B437</f>
        <v>JSSV04</v>
      </c>
      <c r="B460" s="117" t="str">
        <f>'Reference Score Calculation'!B437</f>
        <v>JSSV04</v>
      </c>
      <c r="C460" s="117" t="str">
        <f>'Reference Score Calculation'!E437</f>
        <v>廚藝及管理（榮譽）文學士</v>
      </c>
      <c r="D460" s="129"/>
      <c r="E460" s="117" t="str">
        <f>'Reference Score Calculation'!F437</f>
        <v>Best 5</v>
      </c>
      <c r="F460" s="117"/>
      <c r="G460" s="117" t="str">
        <f>入學要求!AB446</f>
        <v>NO</v>
      </c>
      <c r="H460" s="117" t="str">
        <f>入學要求!AC446</f>
        <v>NO</v>
      </c>
      <c r="I460" s="117" t="str">
        <f>入學要求!AD446</f>
        <v>v</v>
      </c>
      <c r="J460" s="117">
        <f t="shared" si="735"/>
        <v>3.2999999999999998E-9</v>
      </c>
      <c r="K460" s="117">
        <v>1</v>
      </c>
      <c r="L460" s="117">
        <v>1</v>
      </c>
      <c r="M460" s="117">
        <v>1</v>
      </c>
      <c r="O460" s="117">
        <v>1</v>
      </c>
      <c r="P460" s="117">
        <v>1</v>
      </c>
      <c r="Q460" s="117">
        <v>1</v>
      </c>
      <c r="R460" s="117">
        <v>1</v>
      </c>
      <c r="S460" s="117">
        <v>1</v>
      </c>
      <c r="T460" s="117">
        <v>1</v>
      </c>
      <c r="V460" s="117">
        <f t="shared" si="776"/>
        <v>1E-10</v>
      </c>
      <c r="W460" s="117">
        <f t="shared" si="777"/>
        <v>2.0000000000000001E-10</v>
      </c>
      <c r="X460" s="117">
        <f t="shared" si="778"/>
        <v>3E-10</v>
      </c>
      <c r="Z460" s="117">
        <f t="shared" si="779"/>
        <v>0</v>
      </c>
      <c r="AA460" s="117">
        <f t="shared" si="780"/>
        <v>6E-10</v>
      </c>
      <c r="AB460" s="117">
        <f t="shared" si="781"/>
        <v>6.9999999999999996E-10</v>
      </c>
      <c r="AC460" s="117">
        <f t="shared" si="782"/>
        <v>8.0000000000000003E-10</v>
      </c>
      <c r="AD460" s="117">
        <f t="shared" si="783"/>
        <v>8.9999999999999999E-10</v>
      </c>
      <c r="AE460" s="117">
        <f t="shared" si="784"/>
        <v>0</v>
      </c>
      <c r="AF460" s="117">
        <f t="shared" si="785"/>
        <v>1E-10</v>
      </c>
      <c r="AG460" s="117">
        <f t="shared" si="786"/>
        <v>2.0000000000000001E-10</v>
      </c>
      <c r="AH460" s="117">
        <f t="shared" si="787"/>
        <v>3E-10</v>
      </c>
      <c r="AJ460" s="117">
        <f t="shared" si="788"/>
        <v>0</v>
      </c>
      <c r="AK460" s="117">
        <f t="shared" si="789"/>
        <v>6E-10</v>
      </c>
      <c r="AL460" s="117">
        <f t="shared" si="790"/>
        <v>6.9999999999999996E-10</v>
      </c>
      <c r="AM460" s="117">
        <f t="shared" si="791"/>
        <v>8.0000000000000003E-10</v>
      </c>
      <c r="AN460" s="117">
        <f t="shared" si="792"/>
        <v>8.9999999999999999E-10</v>
      </c>
      <c r="AO460" s="117">
        <f t="shared" si="793"/>
        <v>0</v>
      </c>
      <c r="AP460" s="139" t="b">
        <f t="shared" si="794"/>
        <v>0</v>
      </c>
      <c r="AQ460" s="139" t="b">
        <f t="shared" si="795"/>
        <v>0</v>
      </c>
      <c r="AR460" s="139" t="b">
        <f t="shared" si="796"/>
        <v>1</v>
      </c>
      <c r="AS460" s="139" t="b">
        <f t="shared" si="797"/>
        <v>0</v>
      </c>
      <c r="AT460" s="139" t="b">
        <f t="shared" si="798"/>
        <v>0</v>
      </c>
      <c r="AU460" s="139" t="b">
        <f t="shared" si="799"/>
        <v>1</v>
      </c>
      <c r="AV460" s="139" t="b">
        <f t="shared" si="800"/>
        <v>1</v>
      </c>
      <c r="AW460" s="139" t="b">
        <f t="shared" si="801"/>
        <v>1</v>
      </c>
      <c r="AX460" s="139" t="b">
        <f t="shared" si="802"/>
        <v>1</v>
      </c>
      <c r="AY460" s="139" t="b">
        <f t="shared" si="803"/>
        <v>0</v>
      </c>
    </row>
    <row r="461" spans="1:51">
      <c r="A461" s="139" t="str">
        <f>'Reference Score Calculation'!B438</f>
        <v>JSSV05</v>
      </c>
      <c r="B461" s="117" t="str">
        <f>'Reference Score Calculation'!B438</f>
        <v>JSSV05</v>
      </c>
      <c r="C461" s="117" t="str">
        <f>'Reference Score Calculation'!E438</f>
        <v>土木工程（榮譽）工學士</v>
      </c>
      <c r="D461" s="129"/>
      <c r="E461" s="117" t="str">
        <f>'Reference Score Calculation'!F438</f>
        <v>Best 5</v>
      </c>
      <c r="F461" s="117"/>
      <c r="G461" s="117" t="str">
        <f>入學要求!AB447</f>
        <v>v</v>
      </c>
      <c r="H461" s="117" t="str">
        <f>入學要求!AC447</f>
        <v>NO</v>
      </c>
      <c r="I461" s="117" t="str">
        <f>入學要求!AD447</f>
        <v>v</v>
      </c>
      <c r="J461" s="117">
        <f t="shared" si="735"/>
        <v>3.4999999999999999E-9</v>
      </c>
      <c r="K461" s="117">
        <v>1</v>
      </c>
      <c r="L461" s="117">
        <v>1</v>
      </c>
      <c r="M461" s="117">
        <v>1</v>
      </c>
      <c r="O461" s="117">
        <v>1</v>
      </c>
      <c r="P461" s="117">
        <v>1</v>
      </c>
      <c r="Q461" s="117">
        <v>1</v>
      </c>
      <c r="R461" s="117">
        <v>1</v>
      </c>
      <c r="S461" s="117">
        <v>1</v>
      </c>
      <c r="T461" s="117">
        <v>1</v>
      </c>
      <c r="V461" s="117">
        <f t="shared" si="776"/>
        <v>1E-10</v>
      </c>
      <c r="W461" s="117">
        <f t="shared" si="777"/>
        <v>2.0000000000000001E-10</v>
      </c>
      <c r="X461" s="117">
        <f t="shared" si="778"/>
        <v>3E-10</v>
      </c>
      <c r="Z461" s="117">
        <f t="shared" si="779"/>
        <v>5.0000000000000003E-10</v>
      </c>
      <c r="AA461" s="117">
        <f t="shared" si="780"/>
        <v>6E-10</v>
      </c>
      <c r="AB461" s="117">
        <f t="shared" si="781"/>
        <v>6.9999999999999996E-10</v>
      </c>
      <c r="AC461" s="117">
        <f t="shared" si="782"/>
        <v>8.0000000000000003E-10</v>
      </c>
      <c r="AD461" s="117">
        <f t="shared" si="783"/>
        <v>8.9999999999999999E-10</v>
      </c>
      <c r="AE461" s="117">
        <f t="shared" si="784"/>
        <v>0</v>
      </c>
      <c r="AF461" s="117">
        <f t="shared" si="785"/>
        <v>1E-10</v>
      </c>
      <c r="AG461" s="117">
        <f t="shared" si="786"/>
        <v>2.0000000000000001E-10</v>
      </c>
      <c r="AH461" s="117">
        <f t="shared" si="787"/>
        <v>3E-10</v>
      </c>
      <c r="AJ461" s="117">
        <f t="shared" si="788"/>
        <v>5.0000000000000003E-10</v>
      </c>
      <c r="AK461" s="117">
        <f t="shared" si="789"/>
        <v>6E-10</v>
      </c>
      <c r="AL461" s="117">
        <f t="shared" si="790"/>
        <v>6.9999999999999996E-10</v>
      </c>
      <c r="AM461" s="117">
        <f t="shared" si="791"/>
        <v>8.0000000000000003E-10</v>
      </c>
      <c r="AN461" s="117">
        <f t="shared" si="792"/>
        <v>8.9999999999999999E-10</v>
      </c>
      <c r="AO461" s="117">
        <f t="shared" si="793"/>
        <v>0</v>
      </c>
      <c r="AP461" s="139" t="b">
        <f t="shared" si="794"/>
        <v>0</v>
      </c>
      <c r="AQ461" s="139" t="b">
        <f t="shared" si="795"/>
        <v>0</v>
      </c>
      <c r="AR461" s="139" t="b">
        <f t="shared" si="796"/>
        <v>0</v>
      </c>
      <c r="AS461" s="139" t="b">
        <f t="shared" si="797"/>
        <v>0</v>
      </c>
      <c r="AT461" s="139" t="b">
        <f t="shared" si="798"/>
        <v>1</v>
      </c>
      <c r="AU461" s="139" t="b">
        <f t="shared" si="799"/>
        <v>1</v>
      </c>
      <c r="AV461" s="139" t="b">
        <f t="shared" si="800"/>
        <v>1</v>
      </c>
      <c r="AW461" s="139" t="b">
        <f t="shared" si="801"/>
        <v>1</v>
      </c>
      <c r="AX461" s="139" t="b">
        <f t="shared" si="802"/>
        <v>1</v>
      </c>
      <c r="AY461" s="139" t="b">
        <f t="shared" si="803"/>
        <v>0</v>
      </c>
    </row>
    <row r="462" spans="1:51">
      <c r="A462" s="139" t="str">
        <f>'Reference Score Calculation'!B439</f>
        <v>JSSV07</v>
      </c>
      <c r="B462" s="117" t="str">
        <f>'Reference Score Calculation'!B439</f>
        <v>JSSV07</v>
      </c>
      <c r="C462" s="117" t="str">
        <f>'Reference Score Calculation'!E439</f>
        <v>園藝樹藝及園境管理（榮譽）理學士</v>
      </c>
      <c r="D462" s="129"/>
      <c r="E462" s="117" t="str">
        <f>'Reference Score Calculation'!F439</f>
        <v>Best 5</v>
      </c>
      <c r="F462" s="117"/>
      <c r="G462" s="117" t="str">
        <f>入學要求!AB448</f>
        <v>NO</v>
      </c>
      <c r="H462" s="117" t="str">
        <f>入學要求!AC448</f>
        <v>NO</v>
      </c>
      <c r="I462" s="117" t="str">
        <f>入學要求!AD448</f>
        <v>v</v>
      </c>
      <c r="J462" s="117">
        <f t="shared" si="735"/>
        <v>3.2999999999999998E-9</v>
      </c>
      <c r="K462" s="117">
        <v>1</v>
      </c>
      <c r="L462" s="117">
        <v>1</v>
      </c>
      <c r="M462" s="117">
        <v>1</v>
      </c>
      <c r="O462" s="117">
        <v>1</v>
      </c>
      <c r="P462" s="117">
        <v>1</v>
      </c>
      <c r="Q462" s="117">
        <v>1</v>
      </c>
      <c r="R462" s="117">
        <v>1</v>
      </c>
      <c r="S462" s="117">
        <v>1</v>
      </c>
      <c r="T462" s="117">
        <v>1</v>
      </c>
      <c r="V462" s="117">
        <f t="shared" si="776"/>
        <v>1E-10</v>
      </c>
      <c r="W462" s="117">
        <f t="shared" si="777"/>
        <v>2.0000000000000001E-10</v>
      </c>
      <c r="X462" s="117">
        <f t="shared" si="778"/>
        <v>3E-10</v>
      </c>
      <c r="Z462" s="117">
        <f t="shared" si="779"/>
        <v>0</v>
      </c>
      <c r="AA462" s="117">
        <f t="shared" si="780"/>
        <v>6E-10</v>
      </c>
      <c r="AB462" s="117">
        <f t="shared" si="781"/>
        <v>6.9999999999999996E-10</v>
      </c>
      <c r="AC462" s="117">
        <f t="shared" si="782"/>
        <v>8.0000000000000003E-10</v>
      </c>
      <c r="AD462" s="117">
        <f t="shared" si="783"/>
        <v>8.9999999999999999E-10</v>
      </c>
      <c r="AE462" s="117">
        <f t="shared" si="784"/>
        <v>0</v>
      </c>
      <c r="AF462" s="117">
        <f t="shared" si="785"/>
        <v>1E-10</v>
      </c>
      <c r="AG462" s="117">
        <f t="shared" si="786"/>
        <v>2.0000000000000001E-10</v>
      </c>
      <c r="AH462" s="117">
        <f t="shared" si="787"/>
        <v>3E-10</v>
      </c>
      <c r="AJ462" s="117">
        <f t="shared" si="788"/>
        <v>0</v>
      </c>
      <c r="AK462" s="117">
        <f t="shared" si="789"/>
        <v>6E-10</v>
      </c>
      <c r="AL462" s="117">
        <f t="shared" si="790"/>
        <v>6.9999999999999996E-10</v>
      </c>
      <c r="AM462" s="117">
        <f t="shared" si="791"/>
        <v>8.0000000000000003E-10</v>
      </c>
      <c r="AN462" s="117">
        <f t="shared" si="792"/>
        <v>8.9999999999999999E-10</v>
      </c>
      <c r="AO462" s="117">
        <f t="shared" si="793"/>
        <v>0</v>
      </c>
      <c r="AP462" s="139" t="b">
        <f t="shared" si="794"/>
        <v>0</v>
      </c>
      <c r="AQ462" s="139" t="b">
        <f t="shared" si="795"/>
        <v>0</v>
      </c>
      <c r="AR462" s="139" t="b">
        <f t="shared" si="796"/>
        <v>1</v>
      </c>
      <c r="AS462" s="139" t="b">
        <f t="shared" si="797"/>
        <v>0</v>
      </c>
      <c r="AT462" s="139" t="b">
        <f t="shared" si="798"/>
        <v>0</v>
      </c>
      <c r="AU462" s="139" t="b">
        <f t="shared" si="799"/>
        <v>1</v>
      </c>
      <c r="AV462" s="139" t="b">
        <f t="shared" si="800"/>
        <v>1</v>
      </c>
      <c r="AW462" s="139" t="b">
        <f t="shared" si="801"/>
        <v>1</v>
      </c>
      <c r="AX462" s="139" t="b">
        <f t="shared" si="802"/>
        <v>1</v>
      </c>
      <c r="AY462" s="139" t="b">
        <f t="shared" si="803"/>
        <v>0</v>
      </c>
    </row>
    <row r="463" spans="1:51">
      <c r="A463" s="139" t="str">
        <f>'Reference Score Calculation'!B440</f>
        <v>JSSV08</v>
      </c>
      <c r="B463" s="117" t="str">
        <f>'Reference Score Calculation'!B440</f>
        <v>JSSV08</v>
      </c>
      <c r="C463" s="117" t="str">
        <f>'Reference Score Calculation'!E440</f>
        <v>測量學（榮譽）理學士</v>
      </c>
      <c r="D463" s="129"/>
      <c r="E463" s="117" t="str">
        <f>'Reference Score Calculation'!F440</f>
        <v>Best 5</v>
      </c>
      <c r="F463" s="117"/>
      <c r="G463" s="117" t="str">
        <f>入學要求!AB449</f>
        <v>NO</v>
      </c>
      <c r="H463" s="117" t="str">
        <f>入學要求!AC449</f>
        <v>NO</v>
      </c>
      <c r="I463" s="117" t="str">
        <f>入學要求!AD449</f>
        <v>v</v>
      </c>
      <c r="J463" s="117">
        <f t="shared" si="735"/>
        <v>3.2999999999999998E-9</v>
      </c>
      <c r="K463" s="117">
        <v>1</v>
      </c>
      <c r="L463" s="117">
        <v>1</v>
      </c>
      <c r="M463" s="117">
        <v>1</v>
      </c>
      <c r="O463" s="117">
        <v>1</v>
      </c>
      <c r="P463" s="117">
        <v>1</v>
      </c>
      <c r="Q463" s="117">
        <v>1</v>
      </c>
      <c r="R463" s="117">
        <v>1</v>
      </c>
      <c r="S463" s="117">
        <v>1</v>
      </c>
      <c r="T463" s="117">
        <v>1</v>
      </c>
      <c r="V463" s="117">
        <f t="shared" si="776"/>
        <v>1E-10</v>
      </c>
      <c r="W463" s="117">
        <f t="shared" si="777"/>
        <v>2.0000000000000001E-10</v>
      </c>
      <c r="X463" s="117">
        <f t="shared" si="778"/>
        <v>3E-10</v>
      </c>
      <c r="Z463" s="117">
        <f t="shared" si="779"/>
        <v>0</v>
      </c>
      <c r="AA463" s="117">
        <f t="shared" si="780"/>
        <v>6E-10</v>
      </c>
      <c r="AB463" s="117">
        <f t="shared" si="781"/>
        <v>6.9999999999999996E-10</v>
      </c>
      <c r="AC463" s="117">
        <f t="shared" si="782"/>
        <v>8.0000000000000003E-10</v>
      </c>
      <c r="AD463" s="117">
        <f t="shared" si="783"/>
        <v>8.9999999999999999E-10</v>
      </c>
      <c r="AE463" s="117">
        <f t="shared" si="784"/>
        <v>0</v>
      </c>
      <c r="AF463" s="117">
        <f t="shared" si="785"/>
        <v>1E-10</v>
      </c>
      <c r="AG463" s="117">
        <f t="shared" si="786"/>
        <v>2.0000000000000001E-10</v>
      </c>
      <c r="AH463" s="117">
        <f t="shared" si="787"/>
        <v>3E-10</v>
      </c>
      <c r="AJ463" s="117">
        <f t="shared" si="788"/>
        <v>0</v>
      </c>
      <c r="AK463" s="117">
        <f t="shared" si="789"/>
        <v>6E-10</v>
      </c>
      <c r="AL463" s="117">
        <f t="shared" si="790"/>
        <v>6.9999999999999996E-10</v>
      </c>
      <c r="AM463" s="117">
        <f t="shared" si="791"/>
        <v>8.0000000000000003E-10</v>
      </c>
      <c r="AN463" s="117">
        <f t="shared" si="792"/>
        <v>8.9999999999999999E-10</v>
      </c>
      <c r="AO463" s="117">
        <f t="shared" si="793"/>
        <v>0</v>
      </c>
      <c r="AP463" s="139" t="b">
        <f t="shared" si="794"/>
        <v>0</v>
      </c>
      <c r="AQ463" s="139" t="b">
        <f t="shared" si="795"/>
        <v>0</v>
      </c>
      <c r="AR463" s="139" t="b">
        <f t="shared" si="796"/>
        <v>1</v>
      </c>
      <c r="AS463" s="139" t="b">
        <f t="shared" si="797"/>
        <v>0</v>
      </c>
      <c r="AT463" s="139" t="b">
        <f t="shared" si="798"/>
        <v>0</v>
      </c>
      <c r="AU463" s="139" t="b">
        <f t="shared" si="799"/>
        <v>1</v>
      </c>
      <c r="AV463" s="139" t="b">
        <f t="shared" si="800"/>
        <v>1</v>
      </c>
      <c r="AW463" s="139" t="b">
        <f t="shared" si="801"/>
        <v>1</v>
      </c>
      <c r="AX463" s="139" t="b">
        <f t="shared" si="802"/>
        <v>1</v>
      </c>
      <c r="AY463" s="139" t="b">
        <f t="shared" si="803"/>
        <v>0</v>
      </c>
    </row>
    <row r="464" spans="1:51">
      <c r="A464" s="139" t="str">
        <f>'Reference Score Calculation'!B441</f>
        <v>JSSV09</v>
      </c>
      <c r="B464" s="117" t="str">
        <f>'Reference Score Calculation'!B441</f>
        <v>JSSV09</v>
      </c>
      <c r="C464" s="117" t="str">
        <f>'Reference Score Calculation'!E441</f>
        <v>運動及康樂管理（榮譽）社會科學學士</v>
      </c>
      <c r="D464" s="129"/>
      <c r="E464" s="117" t="str">
        <f>'Reference Score Calculation'!F441</f>
        <v>Best 5</v>
      </c>
      <c r="F464" s="117"/>
      <c r="G464" s="117" t="str">
        <f>入學要求!AB450</f>
        <v>NO</v>
      </c>
      <c r="H464" s="117" t="str">
        <f>入學要求!AC450</f>
        <v>NO</v>
      </c>
      <c r="I464" s="117" t="str">
        <f>入學要求!AD450</f>
        <v>v</v>
      </c>
      <c r="J464" s="117">
        <f t="shared" si="735"/>
        <v>3.2999999999999998E-9</v>
      </c>
      <c r="K464" s="117">
        <v>1</v>
      </c>
      <c r="L464" s="117">
        <v>1</v>
      </c>
      <c r="M464" s="117">
        <v>1</v>
      </c>
      <c r="O464" s="117">
        <v>1</v>
      </c>
      <c r="P464" s="117">
        <v>1</v>
      </c>
      <c r="Q464" s="117">
        <v>1</v>
      </c>
      <c r="R464" s="117">
        <v>1</v>
      </c>
      <c r="S464" s="117">
        <v>1</v>
      </c>
      <c r="T464" s="117">
        <v>1</v>
      </c>
      <c r="V464" s="117">
        <f t="shared" si="776"/>
        <v>1E-10</v>
      </c>
      <c r="W464" s="117">
        <f t="shared" si="777"/>
        <v>2.0000000000000001E-10</v>
      </c>
      <c r="X464" s="117">
        <f t="shared" si="778"/>
        <v>3E-10</v>
      </c>
      <c r="Z464" s="117">
        <f t="shared" si="779"/>
        <v>0</v>
      </c>
      <c r="AA464" s="117">
        <f t="shared" si="780"/>
        <v>6E-10</v>
      </c>
      <c r="AB464" s="117">
        <f t="shared" si="781"/>
        <v>6.9999999999999996E-10</v>
      </c>
      <c r="AC464" s="117">
        <f t="shared" si="782"/>
        <v>8.0000000000000003E-10</v>
      </c>
      <c r="AD464" s="117">
        <f t="shared" si="783"/>
        <v>8.9999999999999999E-10</v>
      </c>
      <c r="AE464" s="117">
        <f t="shared" si="784"/>
        <v>0</v>
      </c>
      <c r="AF464" s="117">
        <f t="shared" si="785"/>
        <v>1E-10</v>
      </c>
      <c r="AG464" s="117">
        <f t="shared" si="786"/>
        <v>2.0000000000000001E-10</v>
      </c>
      <c r="AH464" s="117">
        <f t="shared" si="787"/>
        <v>3E-10</v>
      </c>
      <c r="AJ464" s="117">
        <f t="shared" si="788"/>
        <v>0</v>
      </c>
      <c r="AK464" s="117">
        <f t="shared" si="789"/>
        <v>6E-10</v>
      </c>
      <c r="AL464" s="117">
        <f t="shared" si="790"/>
        <v>6.9999999999999996E-10</v>
      </c>
      <c r="AM464" s="117">
        <f t="shared" si="791"/>
        <v>8.0000000000000003E-10</v>
      </c>
      <c r="AN464" s="117">
        <f t="shared" si="792"/>
        <v>8.9999999999999999E-10</v>
      </c>
      <c r="AO464" s="117">
        <f t="shared" si="793"/>
        <v>0</v>
      </c>
      <c r="AP464" s="139" t="b">
        <f t="shared" si="794"/>
        <v>0</v>
      </c>
      <c r="AQ464" s="139" t="b">
        <f t="shared" si="795"/>
        <v>0</v>
      </c>
      <c r="AR464" s="139" t="b">
        <f t="shared" si="796"/>
        <v>1</v>
      </c>
      <c r="AS464" s="139" t="b">
        <f t="shared" si="797"/>
        <v>0</v>
      </c>
      <c r="AT464" s="139" t="b">
        <f t="shared" si="798"/>
        <v>0</v>
      </c>
      <c r="AU464" s="139" t="b">
        <f t="shared" si="799"/>
        <v>1</v>
      </c>
      <c r="AV464" s="139" t="b">
        <f t="shared" si="800"/>
        <v>1</v>
      </c>
      <c r="AW464" s="139" t="b">
        <f t="shared" si="801"/>
        <v>1</v>
      </c>
      <c r="AX464" s="139" t="b">
        <f t="shared" si="802"/>
        <v>1</v>
      </c>
      <c r="AY464" s="139" t="b">
        <f t="shared" si="803"/>
        <v>0</v>
      </c>
    </row>
    <row r="465" spans="1:51">
      <c r="A465" s="139" t="str">
        <f>'Reference Score Calculation'!B442</f>
        <v>JSSV10</v>
      </c>
      <c r="B465" s="117" t="str">
        <f>'Reference Score Calculation'!B442</f>
        <v>JSSV10</v>
      </c>
      <c r="C465" s="117" t="str">
        <f>'Reference Score Calculation'!E442</f>
        <v>屋宇設備工程（榮譽）工學士</v>
      </c>
      <c r="D465" s="129"/>
      <c r="E465" s="117" t="str">
        <f>'Reference Score Calculation'!F442</f>
        <v>Best 5</v>
      </c>
      <c r="F465" s="117"/>
      <c r="G465" s="117" t="str">
        <f>入學要求!AB451</f>
        <v>v</v>
      </c>
      <c r="H465" s="117" t="str">
        <f>入學要求!AC451</f>
        <v>NO</v>
      </c>
      <c r="I465" s="117" t="str">
        <f>入學要求!AD451</f>
        <v>v</v>
      </c>
      <c r="J465" s="117">
        <f t="shared" si="735"/>
        <v>3.4999999999999999E-9</v>
      </c>
      <c r="K465" s="117">
        <v>1</v>
      </c>
      <c r="L465" s="117">
        <v>1</v>
      </c>
      <c r="M465" s="117">
        <v>1</v>
      </c>
      <c r="O465" s="117">
        <v>1</v>
      </c>
      <c r="P465" s="117">
        <v>1</v>
      </c>
      <c r="Q465" s="117">
        <v>1</v>
      </c>
      <c r="R465" s="117">
        <v>1</v>
      </c>
      <c r="S465" s="117">
        <v>1</v>
      </c>
      <c r="T465" s="117">
        <v>1</v>
      </c>
      <c r="V465" s="117">
        <f t="shared" si="776"/>
        <v>1E-10</v>
      </c>
      <c r="W465" s="117">
        <f t="shared" si="777"/>
        <v>2.0000000000000001E-10</v>
      </c>
      <c r="X465" s="117">
        <f t="shared" si="778"/>
        <v>3E-10</v>
      </c>
      <c r="Z465" s="117">
        <f t="shared" si="779"/>
        <v>5.0000000000000003E-10</v>
      </c>
      <c r="AA465" s="117">
        <f t="shared" si="780"/>
        <v>6E-10</v>
      </c>
      <c r="AB465" s="117">
        <f t="shared" si="781"/>
        <v>6.9999999999999996E-10</v>
      </c>
      <c r="AC465" s="117">
        <f t="shared" si="782"/>
        <v>8.0000000000000003E-10</v>
      </c>
      <c r="AD465" s="117">
        <f t="shared" si="783"/>
        <v>8.9999999999999999E-10</v>
      </c>
      <c r="AE465" s="117">
        <f t="shared" si="784"/>
        <v>0</v>
      </c>
      <c r="AF465" s="117">
        <f t="shared" si="785"/>
        <v>1E-10</v>
      </c>
      <c r="AG465" s="117">
        <f t="shared" si="786"/>
        <v>2.0000000000000001E-10</v>
      </c>
      <c r="AH465" s="117">
        <f t="shared" si="787"/>
        <v>3E-10</v>
      </c>
      <c r="AJ465" s="117">
        <f t="shared" si="788"/>
        <v>5.0000000000000003E-10</v>
      </c>
      <c r="AK465" s="117">
        <f t="shared" si="789"/>
        <v>6E-10</v>
      </c>
      <c r="AL465" s="117">
        <f t="shared" si="790"/>
        <v>6.9999999999999996E-10</v>
      </c>
      <c r="AM465" s="117">
        <f t="shared" si="791"/>
        <v>8.0000000000000003E-10</v>
      </c>
      <c r="AN465" s="117">
        <f t="shared" si="792"/>
        <v>8.9999999999999999E-10</v>
      </c>
      <c r="AO465" s="117">
        <f t="shared" si="793"/>
        <v>0</v>
      </c>
      <c r="AP465" s="139" t="b">
        <f t="shared" si="794"/>
        <v>0</v>
      </c>
      <c r="AQ465" s="139" t="b">
        <f t="shared" si="795"/>
        <v>0</v>
      </c>
      <c r="AR465" s="139" t="b">
        <f t="shared" si="796"/>
        <v>0</v>
      </c>
      <c r="AS465" s="139" t="b">
        <f t="shared" si="797"/>
        <v>0</v>
      </c>
      <c r="AT465" s="139" t="b">
        <f t="shared" si="798"/>
        <v>1</v>
      </c>
      <c r="AU465" s="139" t="b">
        <f t="shared" si="799"/>
        <v>1</v>
      </c>
      <c r="AV465" s="139" t="b">
        <f t="shared" si="800"/>
        <v>1</v>
      </c>
      <c r="AW465" s="139" t="b">
        <f t="shared" si="801"/>
        <v>1</v>
      </c>
      <c r="AX465" s="139" t="b">
        <f t="shared" si="802"/>
        <v>1</v>
      </c>
      <c r="AY465" s="139" t="b">
        <f t="shared" si="803"/>
        <v>0</v>
      </c>
    </row>
    <row r="466" spans="1:51">
      <c r="A466" s="139" t="str">
        <f>'Reference Score Calculation'!B443</f>
        <v>JSSV13</v>
      </c>
      <c r="B466" s="117" t="str">
        <f>'Reference Score Calculation'!B443</f>
        <v>JSSV13</v>
      </c>
      <c r="C466" s="117" t="str">
        <f>'Reference Score Calculation'!E443</f>
        <v>運動教練(榮譽)社會科學學士</v>
      </c>
      <c r="D466" s="129"/>
      <c r="E466" s="117" t="str">
        <f>'Reference Score Calculation'!F443</f>
        <v>25年新科目</v>
      </c>
      <c r="F466" s="117"/>
      <c r="G466" s="117" t="str">
        <f>入學要求!AB452</f>
        <v>NO</v>
      </c>
      <c r="H466" s="117" t="str">
        <f>入學要求!AC452</f>
        <v>NO</v>
      </c>
      <c r="I466" s="117" t="str">
        <f>入學要求!AD452</f>
        <v>v</v>
      </c>
      <c r="J466" s="117">
        <f t="shared" si="735"/>
        <v>3.2999999999999998E-9</v>
      </c>
      <c r="K466" s="117">
        <v>1</v>
      </c>
      <c r="L466" s="117">
        <v>1</v>
      </c>
      <c r="M466" s="117">
        <v>1</v>
      </c>
      <c r="O466" s="117">
        <v>1</v>
      </c>
      <c r="P466" s="117">
        <v>1</v>
      </c>
      <c r="Q466" s="117">
        <v>1</v>
      </c>
      <c r="R466" s="117">
        <v>1</v>
      </c>
      <c r="S466" s="117">
        <v>1</v>
      </c>
      <c r="T466" s="117">
        <v>1</v>
      </c>
      <c r="V466" s="117">
        <f t="shared" si="776"/>
        <v>1E-10</v>
      </c>
      <c r="W466" s="117">
        <f t="shared" si="777"/>
        <v>2.0000000000000001E-10</v>
      </c>
      <c r="X466" s="117">
        <f t="shared" si="778"/>
        <v>3E-10</v>
      </c>
      <c r="Z466" s="117">
        <f t="shared" si="779"/>
        <v>0</v>
      </c>
      <c r="AA466" s="117">
        <f t="shared" si="780"/>
        <v>6E-10</v>
      </c>
      <c r="AB466" s="117">
        <f t="shared" si="781"/>
        <v>6.9999999999999996E-10</v>
      </c>
      <c r="AC466" s="117">
        <f t="shared" si="782"/>
        <v>8.0000000000000003E-10</v>
      </c>
      <c r="AD466" s="117">
        <f t="shared" si="783"/>
        <v>8.9999999999999999E-10</v>
      </c>
      <c r="AE466" s="117">
        <f t="shared" si="784"/>
        <v>0</v>
      </c>
      <c r="AF466" s="117">
        <f t="shared" si="785"/>
        <v>1E-10</v>
      </c>
      <c r="AG466" s="117">
        <f t="shared" si="786"/>
        <v>2.0000000000000001E-10</v>
      </c>
      <c r="AH466" s="117">
        <f t="shared" si="787"/>
        <v>3E-10</v>
      </c>
      <c r="AJ466" s="117">
        <f t="shared" si="788"/>
        <v>0</v>
      </c>
      <c r="AK466" s="117">
        <f t="shared" si="789"/>
        <v>6E-10</v>
      </c>
      <c r="AL466" s="117">
        <f t="shared" si="790"/>
        <v>6.9999999999999996E-10</v>
      </c>
      <c r="AM466" s="117">
        <f t="shared" si="791"/>
        <v>8.0000000000000003E-10</v>
      </c>
      <c r="AN466" s="117">
        <f t="shared" si="792"/>
        <v>8.9999999999999999E-10</v>
      </c>
      <c r="AO466" s="117">
        <f t="shared" si="793"/>
        <v>0</v>
      </c>
      <c r="AP466" s="139" t="b">
        <f t="shared" si="794"/>
        <v>0</v>
      </c>
      <c r="AQ466" s="139" t="b">
        <f t="shared" si="795"/>
        <v>0</v>
      </c>
      <c r="AR466" s="139" t="b">
        <f t="shared" si="796"/>
        <v>1</v>
      </c>
      <c r="AS466" s="139" t="b">
        <f t="shared" si="797"/>
        <v>0</v>
      </c>
      <c r="AT466" s="139" t="b">
        <f t="shared" si="798"/>
        <v>0</v>
      </c>
      <c r="AU466" s="139" t="b">
        <f t="shared" si="799"/>
        <v>1</v>
      </c>
      <c r="AV466" s="139" t="b">
        <f t="shared" si="800"/>
        <v>1</v>
      </c>
      <c r="AW466" s="139" t="b">
        <f t="shared" si="801"/>
        <v>1</v>
      </c>
      <c r="AX466" s="139" t="b">
        <f t="shared" si="802"/>
        <v>1</v>
      </c>
      <c r="AY466" s="139" t="b">
        <f t="shared" si="803"/>
        <v>0</v>
      </c>
    </row>
    <row r="467" spans="1:51">
      <c r="A467" s="139" t="str">
        <f>'Reference Score Calculation'!B444</f>
        <v>JSSW01</v>
      </c>
      <c r="B467" s="117" t="str">
        <f>'Reference Score Calculation'!B444</f>
        <v>JSSW01</v>
      </c>
      <c r="C467" s="117" t="str">
        <f>'Reference Score Calculation'!E444</f>
        <v>營運及管理（榮譽）航空學士</v>
      </c>
      <c r="E467" s="117" t="str">
        <f>'Reference Score Calculation'!F444</f>
        <v>Best 5</v>
      </c>
      <c r="F467" s="117"/>
      <c r="G467" s="117" t="str">
        <f>入學要求!AB453</f>
        <v>NO</v>
      </c>
      <c r="H467" s="117" t="str">
        <f>入學要求!AC453</f>
        <v>NO</v>
      </c>
      <c r="I467" s="117" t="str">
        <f>入學要求!AD453</f>
        <v>v</v>
      </c>
      <c r="J467" s="117">
        <f t="shared" si="735"/>
        <v>3.2999999999999998E-9</v>
      </c>
      <c r="K467" s="117">
        <v>1</v>
      </c>
      <c r="L467" s="117">
        <v>1</v>
      </c>
      <c r="M467" s="117">
        <v>1</v>
      </c>
      <c r="O467" s="117">
        <v>1</v>
      </c>
      <c r="P467" s="117">
        <v>1</v>
      </c>
      <c r="Q467" s="117">
        <v>1</v>
      </c>
      <c r="R467" s="117">
        <v>1</v>
      </c>
      <c r="S467" s="117">
        <v>1</v>
      </c>
      <c r="T467" s="117">
        <v>1</v>
      </c>
      <c r="V467" s="117">
        <f t="shared" ref="V467:X470" si="804">K$13*K467</f>
        <v>1E-10</v>
      </c>
      <c r="W467" s="117">
        <f t="shared" si="804"/>
        <v>2.0000000000000001E-10</v>
      </c>
      <c r="X467" s="117">
        <f t="shared" si="804"/>
        <v>3E-10</v>
      </c>
      <c r="Z467" s="117">
        <f>IF(G467="v",O$13*O467,0)</f>
        <v>0</v>
      </c>
      <c r="AA467" s="117">
        <f t="shared" ref="AA467:AD470" si="805">P$13*P467</f>
        <v>6E-10</v>
      </c>
      <c r="AB467" s="117">
        <f t="shared" si="805"/>
        <v>6.9999999999999996E-10</v>
      </c>
      <c r="AC467" s="117">
        <f t="shared" si="805"/>
        <v>8.0000000000000003E-10</v>
      </c>
      <c r="AD467" s="117">
        <f t="shared" si="805"/>
        <v>8.9999999999999999E-10</v>
      </c>
      <c r="AE467" s="117">
        <f>IF(H467="E",T$11*T467,0)</f>
        <v>0</v>
      </c>
      <c r="AF467" s="117">
        <f t="shared" si="755"/>
        <v>1E-10</v>
      </c>
      <c r="AG467" s="117">
        <f t="shared" si="756"/>
        <v>2.0000000000000001E-10</v>
      </c>
      <c r="AH467" s="117">
        <f t="shared" si="757"/>
        <v>3E-10</v>
      </c>
      <c r="AJ467" s="117">
        <f t="shared" si="758"/>
        <v>0</v>
      </c>
      <c r="AK467" s="117">
        <f t="shared" si="759"/>
        <v>6E-10</v>
      </c>
      <c r="AL467" s="117">
        <f t="shared" si="760"/>
        <v>6.9999999999999996E-10</v>
      </c>
      <c r="AM467" s="117">
        <f t="shared" si="761"/>
        <v>8.0000000000000003E-10</v>
      </c>
      <c r="AN467" s="117">
        <f t="shared" si="762"/>
        <v>8.9999999999999999E-10</v>
      </c>
      <c r="AO467" s="117">
        <f t="shared" si="763"/>
        <v>0</v>
      </c>
      <c r="AP467" s="139" t="b">
        <f t="shared" si="745"/>
        <v>0</v>
      </c>
      <c r="AQ467" s="139" t="b">
        <f t="shared" si="746"/>
        <v>0</v>
      </c>
      <c r="AR467" s="139" t="b">
        <f t="shared" si="747"/>
        <v>1</v>
      </c>
      <c r="AS467" s="139" t="b">
        <f t="shared" si="748"/>
        <v>0</v>
      </c>
      <c r="AT467" s="139" t="b">
        <f t="shared" si="749"/>
        <v>0</v>
      </c>
      <c r="AU467" s="139" t="b">
        <f t="shared" si="750"/>
        <v>1</v>
      </c>
      <c r="AV467" s="139" t="b">
        <f t="shared" si="751"/>
        <v>1</v>
      </c>
      <c r="AW467" s="139" t="b">
        <f t="shared" si="752"/>
        <v>1</v>
      </c>
      <c r="AX467" s="139" t="b">
        <f t="shared" si="753"/>
        <v>1</v>
      </c>
      <c r="AY467" s="139" t="b">
        <f t="shared" si="754"/>
        <v>0</v>
      </c>
    </row>
    <row r="468" spans="1:51">
      <c r="A468" s="139" t="str">
        <f>'Reference Score Calculation'!B445</f>
        <v>JSSW02</v>
      </c>
      <c r="B468" s="117" t="str">
        <f>'Reference Score Calculation'!B445</f>
        <v>JSSW02</v>
      </c>
      <c r="C468" s="117" t="str">
        <f>'Reference Score Calculation'!E445</f>
        <v>航運服務及營運管理學士（榮譽）</v>
      </c>
      <c r="E468" s="117" t="str">
        <f>'Reference Score Calculation'!F445</f>
        <v>Best 5</v>
      </c>
      <c r="F468" s="117"/>
      <c r="G468" s="117" t="str">
        <f>入學要求!AB454</f>
        <v>NO</v>
      </c>
      <c r="H468" s="117" t="str">
        <f>入學要求!AC454</f>
        <v>NO</v>
      </c>
      <c r="I468" s="117" t="str">
        <f>入學要求!AD454</f>
        <v>v</v>
      </c>
      <c r="J468" s="117">
        <f t="shared" si="735"/>
        <v>3.2999999999999998E-9</v>
      </c>
      <c r="K468" s="117">
        <v>1</v>
      </c>
      <c r="L468" s="117">
        <v>1</v>
      </c>
      <c r="M468" s="117">
        <v>1</v>
      </c>
      <c r="O468" s="117">
        <v>1</v>
      </c>
      <c r="P468" s="117">
        <v>1</v>
      </c>
      <c r="Q468" s="117">
        <v>1</v>
      </c>
      <c r="R468" s="117">
        <v>1</v>
      </c>
      <c r="S468" s="117">
        <v>1</v>
      </c>
      <c r="T468" s="117">
        <v>1</v>
      </c>
      <c r="V468" s="117">
        <f t="shared" si="804"/>
        <v>1E-10</v>
      </c>
      <c r="W468" s="117">
        <f t="shared" si="804"/>
        <v>2.0000000000000001E-10</v>
      </c>
      <c r="X468" s="117">
        <f t="shared" si="804"/>
        <v>3E-10</v>
      </c>
      <c r="Z468" s="117">
        <f>IF(G468="v",O$13*O468,0)</f>
        <v>0</v>
      </c>
      <c r="AA468" s="117">
        <f t="shared" si="805"/>
        <v>6E-10</v>
      </c>
      <c r="AB468" s="117">
        <f t="shared" si="805"/>
        <v>6.9999999999999996E-10</v>
      </c>
      <c r="AC468" s="117">
        <f t="shared" si="805"/>
        <v>8.0000000000000003E-10</v>
      </c>
      <c r="AD468" s="117">
        <f t="shared" si="805"/>
        <v>8.9999999999999999E-10</v>
      </c>
      <c r="AE468" s="117">
        <f>IF(H468="E",T$11*T468,0)</f>
        <v>0</v>
      </c>
      <c r="AF468" s="117">
        <f t="shared" si="755"/>
        <v>1E-10</v>
      </c>
      <c r="AG468" s="117">
        <f t="shared" si="756"/>
        <v>2.0000000000000001E-10</v>
      </c>
      <c r="AH468" s="117">
        <f t="shared" si="757"/>
        <v>3E-10</v>
      </c>
      <c r="AJ468" s="117">
        <f t="shared" si="758"/>
        <v>0</v>
      </c>
      <c r="AK468" s="117">
        <f t="shared" si="759"/>
        <v>6E-10</v>
      </c>
      <c r="AL468" s="117">
        <f t="shared" si="760"/>
        <v>6.9999999999999996E-10</v>
      </c>
      <c r="AM468" s="117">
        <f t="shared" si="761"/>
        <v>8.0000000000000003E-10</v>
      </c>
      <c r="AN468" s="117">
        <f t="shared" si="762"/>
        <v>8.9999999999999999E-10</v>
      </c>
      <c r="AO468" s="117">
        <f t="shared" si="763"/>
        <v>0</v>
      </c>
      <c r="AP468" s="139" t="b">
        <f t="shared" si="745"/>
        <v>0</v>
      </c>
      <c r="AQ468" s="139" t="b">
        <f t="shared" si="746"/>
        <v>0</v>
      </c>
      <c r="AR468" s="139" t="b">
        <f t="shared" si="747"/>
        <v>1</v>
      </c>
      <c r="AS468" s="139" t="b">
        <f t="shared" si="748"/>
        <v>0</v>
      </c>
      <c r="AT468" s="139" t="b">
        <f t="shared" si="749"/>
        <v>0</v>
      </c>
      <c r="AU468" s="139" t="b">
        <f t="shared" si="750"/>
        <v>1</v>
      </c>
      <c r="AV468" s="139" t="b">
        <f t="shared" si="751"/>
        <v>1</v>
      </c>
      <c r="AW468" s="139" t="b">
        <f t="shared" si="752"/>
        <v>1</v>
      </c>
      <c r="AX468" s="139" t="b">
        <f t="shared" si="753"/>
        <v>1</v>
      </c>
      <c r="AY468" s="139" t="b">
        <f t="shared" si="754"/>
        <v>0</v>
      </c>
    </row>
    <row r="469" spans="1:51">
      <c r="A469" s="139" t="str">
        <f>'Reference Score Calculation'!B446</f>
        <v>JSSY01</v>
      </c>
      <c r="B469" s="117" t="str">
        <f>'Reference Score Calculation'!B446</f>
        <v>JSSY01</v>
      </c>
      <c r="C469" s="117" t="str">
        <f>'Reference Score Calculation'!E446</f>
        <v>金融科技（榮譽）商學士</v>
      </c>
      <c r="D469" s="129"/>
      <c r="E469" s="117" t="str">
        <f>'Reference Score Calculation'!F446</f>
        <v>Best 5</v>
      </c>
      <c r="F469" s="117"/>
      <c r="G469" s="117" t="str">
        <f>入學要求!AB455</f>
        <v>v</v>
      </c>
      <c r="H469" s="117" t="str">
        <f>入學要求!AC455</f>
        <v>E</v>
      </c>
      <c r="I469" s="117" t="str">
        <f>入學要求!AD455</f>
        <v>v</v>
      </c>
      <c r="J469" s="117">
        <f t="shared" si="735"/>
        <v>3.4999999999999999E-9</v>
      </c>
      <c r="K469" s="117">
        <v>1</v>
      </c>
      <c r="L469" s="117">
        <v>1</v>
      </c>
      <c r="M469" s="117">
        <v>1</v>
      </c>
      <c r="O469" s="117">
        <v>1</v>
      </c>
      <c r="P469" s="117">
        <v>1</v>
      </c>
      <c r="Q469" s="117">
        <v>1</v>
      </c>
      <c r="R469" s="117">
        <v>1</v>
      </c>
      <c r="S469" s="117">
        <v>1</v>
      </c>
      <c r="T469" s="117">
        <v>1</v>
      </c>
      <c r="V469" s="117">
        <f t="shared" si="804"/>
        <v>1E-10</v>
      </c>
      <c r="W469" s="117">
        <f t="shared" si="804"/>
        <v>2.0000000000000001E-10</v>
      </c>
      <c r="X469" s="117">
        <f t="shared" si="804"/>
        <v>3E-10</v>
      </c>
      <c r="Z469" s="117">
        <f>IF(G469="v",O$13*O469,0)</f>
        <v>5.0000000000000003E-10</v>
      </c>
      <c r="AA469" s="117">
        <f t="shared" si="805"/>
        <v>6E-10</v>
      </c>
      <c r="AB469" s="117">
        <f t="shared" si="805"/>
        <v>6.9999999999999996E-10</v>
      </c>
      <c r="AC469" s="117">
        <f t="shared" si="805"/>
        <v>8.0000000000000003E-10</v>
      </c>
      <c r="AD469" s="117">
        <f t="shared" si="805"/>
        <v>8.9999999999999999E-10</v>
      </c>
      <c r="AE469" s="117">
        <f>IF(H469="E",T$11*T469,0)</f>
        <v>0</v>
      </c>
      <c r="AF469" s="117">
        <f t="shared" si="755"/>
        <v>1E-10</v>
      </c>
      <c r="AG469" s="117">
        <f t="shared" si="756"/>
        <v>2.0000000000000001E-10</v>
      </c>
      <c r="AH469" s="117">
        <f t="shared" si="757"/>
        <v>3E-10</v>
      </c>
      <c r="AJ469" s="117">
        <f t="shared" si="758"/>
        <v>5.0000000000000003E-10</v>
      </c>
      <c r="AK469" s="117">
        <f t="shared" si="759"/>
        <v>6E-10</v>
      </c>
      <c r="AL469" s="117">
        <f t="shared" si="760"/>
        <v>6.9999999999999996E-10</v>
      </c>
      <c r="AM469" s="117">
        <f t="shared" si="761"/>
        <v>8.0000000000000003E-10</v>
      </c>
      <c r="AN469" s="117">
        <f t="shared" si="762"/>
        <v>8.9999999999999999E-10</v>
      </c>
      <c r="AO469" s="117">
        <f t="shared" si="763"/>
        <v>0</v>
      </c>
      <c r="AP469" s="139" t="b">
        <f t="shared" si="745"/>
        <v>0</v>
      </c>
      <c r="AQ469" s="139" t="b">
        <f t="shared" si="746"/>
        <v>0</v>
      </c>
      <c r="AR469" s="139" t="b">
        <f t="shared" si="747"/>
        <v>0</v>
      </c>
      <c r="AS469" s="139" t="b">
        <f t="shared" si="748"/>
        <v>0</v>
      </c>
      <c r="AT469" s="139" t="b">
        <f t="shared" si="749"/>
        <v>1</v>
      </c>
      <c r="AU469" s="139" t="b">
        <f t="shared" si="750"/>
        <v>1</v>
      </c>
      <c r="AV469" s="139" t="b">
        <f t="shared" si="751"/>
        <v>1</v>
      </c>
      <c r="AW469" s="139" t="b">
        <f t="shared" si="752"/>
        <v>1</v>
      </c>
      <c r="AX469" s="139" t="b">
        <f t="shared" si="753"/>
        <v>1</v>
      </c>
      <c r="AY469" s="139" t="b">
        <f t="shared" si="754"/>
        <v>0</v>
      </c>
    </row>
    <row r="470" spans="1:51">
      <c r="A470" s="139" t="str">
        <f>'Reference Score Calculation'!B447</f>
        <v>JSSY02</v>
      </c>
      <c r="B470" s="117" t="str">
        <f>'Reference Score Calculation'!B447</f>
        <v>JSSY02</v>
      </c>
      <c r="C470" s="117" t="str">
        <f>'Reference Score Calculation'!E447</f>
        <v>應用數據科學（榮譽）理學士</v>
      </c>
      <c r="D470" s="129"/>
      <c r="E470" s="117" t="str">
        <f>'Reference Score Calculation'!F447</f>
        <v>25年新科目</v>
      </c>
      <c r="F470" s="117"/>
      <c r="G470" s="117" t="str">
        <f>入學要求!AB456</f>
        <v>v</v>
      </c>
      <c r="H470" s="117" t="str">
        <f>入學要求!AC456</f>
        <v>E</v>
      </c>
      <c r="I470" s="117" t="str">
        <f>入學要求!AD456</f>
        <v>v</v>
      </c>
      <c r="J470" s="117">
        <f t="shared" si="735"/>
        <v>3.4999999999999999E-9</v>
      </c>
      <c r="K470" s="117">
        <v>1</v>
      </c>
      <c r="L470" s="117">
        <v>1</v>
      </c>
      <c r="M470" s="117">
        <v>1</v>
      </c>
      <c r="O470" s="117">
        <v>1</v>
      </c>
      <c r="P470" s="117">
        <v>1</v>
      </c>
      <c r="Q470" s="117">
        <v>1</v>
      </c>
      <c r="R470" s="117">
        <v>1</v>
      </c>
      <c r="S470" s="117">
        <v>1</v>
      </c>
      <c r="T470" s="117">
        <v>1</v>
      </c>
      <c r="V470" s="117">
        <f t="shared" si="804"/>
        <v>1E-10</v>
      </c>
      <c r="W470" s="117">
        <f t="shared" si="804"/>
        <v>2.0000000000000001E-10</v>
      </c>
      <c r="X470" s="117">
        <f t="shared" si="804"/>
        <v>3E-10</v>
      </c>
      <c r="Z470" s="117">
        <f>IF(G470="v",O$13*O470,0)</f>
        <v>5.0000000000000003E-10</v>
      </c>
      <c r="AA470" s="117">
        <f t="shared" si="805"/>
        <v>6E-10</v>
      </c>
      <c r="AB470" s="117">
        <f t="shared" si="805"/>
        <v>6.9999999999999996E-10</v>
      </c>
      <c r="AC470" s="117">
        <f t="shared" si="805"/>
        <v>8.0000000000000003E-10</v>
      </c>
      <c r="AD470" s="117">
        <f t="shared" si="805"/>
        <v>8.9999999999999999E-10</v>
      </c>
      <c r="AE470" s="117">
        <f>IF(H470="E",T$11*T470,0)</f>
        <v>0</v>
      </c>
      <c r="AF470" s="117">
        <f t="shared" ref="AF470" si="806">V470</f>
        <v>1E-10</v>
      </c>
      <c r="AG470" s="117">
        <f t="shared" ref="AG470" si="807">W470</f>
        <v>2.0000000000000001E-10</v>
      </c>
      <c r="AH470" s="117">
        <f t="shared" ref="AH470" si="808">X470</f>
        <v>3E-10</v>
      </c>
      <c r="AJ470" s="117">
        <f t="shared" ref="AJ470" si="809">Z470</f>
        <v>5.0000000000000003E-10</v>
      </c>
      <c r="AK470" s="117">
        <f t="shared" ref="AK470" si="810">AA470</f>
        <v>6E-10</v>
      </c>
      <c r="AL470" s="117">
        <f t="shared" ref="AL470" si="811">AB470</f>
        <v>6.9999999999999996E-10</v>
      </c>
      <c r="AM470" s="117">
        <f t="shared" ref="AM470" si="812">AC470</f>
        <v>8.0000000000000003E-10</v>
      </c>
      <c r="AN470" s="117">
        <f t="shared" ref="AN470" si="813">AD470</f>
        <v>8.9999999999999999E-10</v>
      </c>
      <c r="AO470" s="117">
        <f t="shared" ref="AO470" si="814">AE470</f>
        <v>0</v>
      </c>
      <c r="AP470" s="139" t="b">
        <f t="shared" si="745"/>
        <v>0</v>
      </c>
      <c r="AQ470" s="139" t="b">
        <f t="shared" si="746"/>
        <v>0</v>
      </c>
      <c r="AR470" s="139" t="b">
        <f t="shared" si="747"/>
        <v>0</v>
      </c>
      <c r="AS470" s="139" t="b">
        <f t="shared" si="748"/>
        <v>0</v>
      </c>
      <c r="AT470" s="139" t="b">
        <f t="shared" si="749"/>
        <v>1</v>
      </c>
      <c r="AU470" s="139" t="b">
        <f t="shared" si="750"/>
        <v>1</v>
      </c>
      <c r="AV470" s="139" t="b">
        <f t="shared" si="751"/>
        <v>1</v>
      </c>
      <c r="AW470" s="139" t="b">
        <f t="shared" si="752"/>
        <v>1</v>
      </c>
      <c r="AX470" s="139" t="b">
        <f t="shared" si="753"/>
        <v>1</v>
      </c>
      <c r="AY470" s="139" t="b">
        <f t="shared" si="754"/>
        <v>0</v>
      </c>
    </row>
    <row r="472" spans="1:51">
      <c r="A472" s="139"/>
    </row>
    <row r="473" spans="1:51">
      <c r="A473" s="139"/>
    </row>
    <row r="474" spans="1:51">
      <c r="A474" s="139"/>
    </row>
  </sheetData>
  <phoneticPr fontId="3" type="noConversion"/>
  <conditionalFormatting sqref="B333:AY355">
    <cfRule type="expression" dxfId="87" priority="118">
      <formula>MOD(ROW(),2)=0</formula>
    </cfRule>
  </conditionalFormatting>
  <conditionalFormatting sqref="B358:AY358 V359:AY383 K359:U359 B359:J383 U360:U382 K360:T383">
    <cfRule type="expression" dxfId="86" priority="119">
      <formula>MOD(ROW(),2)=0</formula>
    </cfRule>
  </conditionalFormatting>
  <conditionalFormatting sqref="B36:BQ94">
    <cfRule type="expression" dxfId="85" priority="92">
      <formula>MOD(ROW(),2)=0</formula>
    </cfRule>
  </conditionalFormatting>
  <conditionalFormatting sqref="B97:BQ118">
    <cfRule type="expression" dxfId="84" priority="93">
      <formula>MOD(ROW(),2)=0</formula>
    </cfRule>
  </conditionalFormatting>
  <conditionalFormatting sqref="B121:BQ165">
    <cfRule type="expression" dxfId="83" priority="21788">
      <formula>MOD(ROW(),2)=0</formula>
    </cfRule>
  </conditionalFormatting>
  <conditionalFormatting sqref="B168:BQ238">
    <cfRule type="expression" dxfId="82" priority="123">
      <formula>MOD(ROW(),2)=0</formula>
    </cfRule>
  </conditionalFormatting>
  <conditionalFormatting sqref="B241:BQ273">
    <cfRule type="expression" dxfId="81" priority="121">
      <formula>MOD(ROW(),2)=0</formula>
    </cfRule>
  </conditionalFormatting>
  <conditionalFormatting sqref="B276:BQ330">
    <cfRule type="expression" dxfId="80" priority="108">
      <formula>MOD(ROW(),2)=0</formula>
    </cfRule>
  </conditionalFormatting>
  <conditionalFormatting sqref="E36:I36 F37:F49 E37:E94 G37:I95 F51:F54 F56:F57 F59:F60 F62:F64 F66:F87 F89:F94">
    <cfRule type="expression" dxfId="79" priority="89">
      <formula>MOD(ROW(),2)=0</formula>
    </cfRule>
  </conditionalFormatting>
  <conditionalFormatting sqref="K36:T94">
    <cfRule type="cellIs" dxfId="78" priority="13" operator="greaterThan">
      <formula>1</formula>
    </cfRule>
  </conditionalFormatting>
  <conditionalFormatting sqref="K97:T118">
    <cfRule type="cellIs" dxfId="77" priority="88" operator="greaterThan">
      <formula>1</formula>
    </cfRule>
  </conditionalFormatting>
  <conditionalFormatting sqref="V36:AE94 V97:AE118 V121:AE165 V168:AE238 V241:AE273 V276:AE330 V333:AE355">
    <cfRule type="expression" dxfId="76" priority="87">
      <formula>AP36=TRUE</formula>
    </cfRule>
  </conditionalFormatting>
  <conditionalFormatting sqref="V358:AE383">
    <cfRule type="expression" dxfId="75" priority="2">
      <formula>AP358=TRUE</formula>
    </cfRule>
  </conditionalFormatting>
  <conditionalFormatting sqref="AF36:AO94 AF97:AO165">
    <cfRule type="expression" dxfId="74" priority="19">
      <formula>BH36=TRUE</formula>
    </cfRule>
  </conditionalFormatting>
  <conditionalFormatting sqref="AP358:AR383 AT358:AY383">
    <cfRule type="expression" dxfId="73" priority="1">
      <formula>AP358=TRUE</formula>
    </cfRule>
  </conditionalFormatting>
  <conditionalFormatting sqref="AP36:AY36 AP36:AR94 AS37:AS54 AT37:AY94 BT47 BX47:CC47 AQ50:AY50 AP55:AY55 AS56:AS57 AP58:AY58 AS59:AS60 AQ61:AY61 AS62:AS64 AQ65:AY65 AS66:AS87 BT70 BV70:CA70 BT77:CC77 AQ88:AY88 AP89:AY89 AS89:AS94 BT94:CC94 AP95:AY95 AP97:AY165 AP168:AY238 AP241:AY273 AP276:AY330 AP333:AR355 AT333:AY355 AP386:AY413">
    <cfRule type="expression" dxfId="72" priority="21">
      <formula>AP36=TRUE</formula>
    </cfRule>
  </conditionalFormatting>
  <conditionalFormatting sqref="AP416:AY470">
    <cfRule type="expression" dxfId="71" priority="24">
      <formula>AP416=TRUE</formula>
    </cfRule>
    <cfRule type="expression" dxfId="70" priority="25">
      <formula>MOD(ROW(),2)=0</formula>
    </cfRule>
  </conditionalFormatting>
  <conditionalFormatting sqref="AT36:AY94 AT37:AT95">
    <cfRule type="expression" dxfId="69" priority="86">
      <formula>IF($G36="v",FALSE,TRUE)</formula>
    </cfRule>
  </conditionalFormatting>
  <conditionalFormatting sqref="AV36:AV94 AY36:AY95">
    <cfRule type="expression" dxfId="68" priority="85">
      <formula>IF($H36="E",FALSE,TRUE)</formula>
    </cfRule>
  </conditionalFormatting>
  <conditionalFormatting sqref="BH36:BQ94 BH241:BQ273 BH276:BQ330">
    <cfRule type="cellIs" dxfId="67" priority="20" operator="equal">
      <formula>TRUE</formula>
    </cfRule>
  </conditionalFormatting>
  <conditionalFormatting sqref="BH97:BQ118">
    <cfRule type="expression" dxfId="66" priority="15">
      <formula>BH97=TRUE</formula>
    </cfRule>
  </conditionalFormatting>
  <conditionalFormatting sqref="BH122:BQ164">
    <cfRule type="cellIs" dxfId="65" priority="12" operator="equal">
      <formula>TRUE</formula>
    </cfRule>
  </conditionalFormatting>
  <conditionalFormatting sqref="BH168:BQ238">
    <cfRule type="cellIs" dxfId="64" priority="11" operator="equal">
      <formula>TRUE</formula>
    </cfRule>
  </conditionalFormatting>
  <conditionalFormatting sqref="BT84:BV84 BX84:CC84">
    <cfRule type="expression" dxfId="63" priority="83">
      <formula>BT84=TRUE</formula>
    </cfRule>
  </conditionalFormatting>
  <conditionalFormatting sqref="BT95:CB95">
    <cfRule type="expression" dxfId="62" priority="18">
      <formula>BT95=TRUE</formula>
    </cfRule>
  </conditionalFormatting>
  <conditionalFormatting sqref="BT176:CC177 BT197 BT226:CC227 CH251:CQ253">
    <cfRule type="expression" dxfId="61" priority="29">
      <formula>BT176</formula>
    </cfRule>
  </conditionalFormatting>
  <conditionalFormatting sqref="BT203:CC203">
    <cfRule type="cellIs" dxfId="60" priority="10" operator="equal">
      <formula>TRUE</formula>
    </cfRule>
  </conditionalFormatting>
  <conditionalFormatting sqref="BW190 BT191:BW191 BY191:CC191">
    <cfRule type="cellIs" dxfId="59" priority="9" operator="equal">
      <formula>TRUE</formula>
    </cfRule>
  </conditionalFormatting>
  <conditionalFormatting sqref="BW224:BW225">
    <cfRule type="expression" dxfId="58" priority="71">
      <formula>BW224</formula>
    </cfRule>
  </conditionalFormatting>
  <conditionalFormatting sqref="CC283:CE283 CG283:CK283">
    <cfRule type="expression" dxfId="57" priority="54">
      <formula>CC283</formula>
    </cfRule>
  </conditionalFormatting>
  <conditionalFormatting sqref="CC287:CE287 CG287:CL287">
    <cfRule type="expression" dxfId="56" priority="49">
      <formula>CC287</formula>
    </cfRule>
  </conditionalFormatting>
  <conditionalFormatting sqref="CC299:CE299 CG299:CL299">
    <cfRule type="expression" dxfId="55" priority="42">
      <formula>CC299</formula>
    </cfRule>
  </conditionalFormatting>
  <conditionalFormatting sqref="CE291:CG291 CI291:CM291">
    <cfRule type="expression" dxfId="54" priority="52">
      <formula>CE291</formula>
    </cfRule>
  </conditionalFormatting>
  <conditionalFormatting sqref="CE243:CM243">
    <cfRule type="expression" dxfId="53" priority="67">
      <formula>CE243</formula>
    </cfRule>
  </conditionalFormatting>
  <conditionalFormatting sqref="CE257:CN258">
    <cfRule type="expression" dxfId="52" priority="59">
      <formula>CE257</formula>
    </cfRule>
  </conditionalFormatting>
  <conditionalFormatting sqref="CE262:CN262">
    <cfRule type="expression" dxfId="51" priority="63">
      <formula>CE262</formula>
    </cfRule>
  </conditionalFormatting>
  <conditionalFormatting sqref="CE266:CN266">
    <cfRule type="expression" dxfId="50" priority="62">
      <formula>CE266</formula>
    </cfRule>
  </conditionalFormatting>
  <conditionalFormatting sqref="CE271:CN271">
    <cfRule type="expression" dxfId="49" priority="61">
      <formula>CE271</formula>
    </cfRule>
  </conditionalFormatting>
  <conditionalFormatting sqref="CE275:CN275">
    <cfRule type="expression" dxfId="48" priority="22">
      <formula>CE275</formula>
    </cfRule>
  </conditionalFormatting>
  <conditionalFormatting sqref="CG295:CI295 CK295:CP295">
    <cfRule type="expression" dxfId="47" priority="48">
      <formula>CG295</formula>
    </cfRule>
  </conditionalFormatting>
  <conditionalFormatting sqref="CH247:CQ248">
    <cfRule type="expression" dxfId="46" priority="66">
      <formula>CH247</formula>
    </cfRule>
  </conditionalFormatting>
  <pageMargins left="0.7" right="0.7" top="0.75" bottom="0.75" header="0.3" footer="0.3"/>
  <pageSetup paperSize="9" orientation="portrait" horizontalDpi="1200" verticalDpi="1200"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3E621-BDDB-4E5C-B000-C3733274C514}">
  <sheetPr codeName="Sheet2"/>
  <dimension ref="A1:ID448"/>
  <sheetViews>
    <sheetView zoomScaleNormal="70" workbookViewId="0">
      <pane xSplit="2" ySplit="2" topLeftCell="AK213" activePane="bottomRight" state="frozen"/>
      <selection pane="topRight" activeCell="B1" sqref="B1"/>
      <selection pane="bottomLeft" activeCell="A3" sqref="A3"/>
      <selection pane="bottomRight" activeCell="AR218" sqref="AR218:AS218"/>
    </sheetView>
  </sheetViews>
  <sheetFormatPr defaultColWidth="8.69921875" defaultRowHeight="13.8"/>
  <cols>
    <col min="1" max="1" width="8.69921875" style="335"/>
    <col min="2" max="2" width="7.5" style="2" customWidth="1"/>
    <col min="3" max="3" width="6.5" style="2" customWidth="1"/>
    <col min="4" max="4" width="5.5" style="2" customWidth="1"/>
    <col min="5" max="5" width="14" style="2" customWidth="1"/>
    <col min="6" max="6" width="10.09765625" style="2" customWidth="1"/>
    <col min="7" max="7" width="6.69921875" style="2" customWidth="1"/>
    <col min="8" max="8" width="8.8984375" style="2" customWidth="1"/>
    <col min="9" max="9" width="8.796875" style="2" customWidth="1"/>
    <col min="10" max="10" width="7.19921875" style="2" customWidth="1"/>
    <col min="11" max="11" width="6" style="2" customWidth="1"/>
    <col min="12" max="12" width="6.796875" style="2" customWidth="1"/>
    <col min="13" max="13" width="6" style="2" customWidth="1"/>
    <col min="14" max="14" width="10.19921875" style="2" customWidth="1"/>
    <col min="15" max="15" width="15.296875" style="2" customWidth="1"/>
    <col min="16" max="16" width="33.59765625" style="2" customWidth="1"/>
    <col min="17" max="17" width="13.796875" style="2" customWidth="1"/>
    <col min="18" max="18" width="18.5" style="2" customWidth="1"/>
    <col min="19" max="19" width="6.69921875" style="2" customWidth="1"/>
    <col min="20" max="20" width="8.59765625" style="2" customWidth="1"/>
    <col min="21" max="26" width="6.69921875" style="2" customWidth="1"/>
    <col min="27" max="27" width="8.19921875" style="2" customWidth="1"/>
    <col min="28" max="28" width="7.19921875" style="2" customWidth="1"/>
    <col min="29" max="29" width="8.69921875" style="2" customWidth="1"/>
    <col min="30" max="30" width="10.19921875" style="2" customWidth="1"/>
    <col min="31" max="31" width="8.59765625" style="2" customWidth="1"/>
    <col min="32" max="32" width="12.19921875" style="2" customWidth="1"/>
    <col min="33" max="33" width="9.69921875" style="2" customWidth="1"/>
    <col min="34" max="34" width="45.3984375" style="2" customWidth="1"/>
    <col min="35" max="35" width="32.69921875" style="2" customWidth="1"/>
    <col min="36" max="36" width="25.8984375" style="2" customWidth="1"/>
    <col min="37" max="37" width="20.8984375" style="2" customWidth="1"/>
    <col min="38" max="38" width="10.69921875" style="2" customWidth="1"/>
    <col min="39" max="39" width="16.5" style="2" customWidth="1"/>
    <col min="40" max="40" width="29.59765625" style="2" customWidth="1"/>
    <col min="41" max="41" width="9.19921875" style="2" customWidth="1"/>
    <col min="42" max="42" width="6.69921875" style="2" customWidth="1"/>
    <col min="43" max="43" width="44.09765625" style="2" customWidth="1"/>
    <col min="44" max="47" width="10.19921875" style="2" customWidth="1"/>
    <col min="48" max="59" width="6.69921875" style="2" customWidth="1"/>
    <col min="60" max="60" width="8.69921875" style="2" customWidth="1"/>
    <col min="61" max="68" width="6.69921875" style="2" customWidth="1"/>
    <col min="69" max="76" width="6.69921875" style="194" customWidth="1"/>
    <col min="77" max="99" width="6.69921875" style="2" customWidth="1"/>
    <col min="100" max="101" width="8.69921875" style="2" customWidth="1"/>
    <col min="102" max="109" width="6.69921875" style="2" customWidth="1"/>
    <col min="110" max="117" width="6.69921875" style="194" customWidth="1"/>
    <col min="118" max="124" width="6.69921875" style="2" customWidth="1"/>
    <col min="125" max="125" width="8" style="2" customWidth="1"/>
    <col min="126" max="175" width="6.69921875" style="2" customWidth="1"/>
    <col min="176" max="16384" width="8.69921875" style="2"/>
  </cols>
  <sheetData>
    <row r="1" spans="1:238">
      <c r="B1" s="2" t="s">
        <v>244</v>
      </c>
      <c r="ED1" s="11"/>
      <c r="EE1" s="11"/>
      <c r="FR1" s="11"/>
      <c r="GX1" s="11"/>
      <c r="ID1" s="11"/>
    </row>
    <row r="2" spans="1:238" s="11" customFormat="1" ht="13.95" customHeight="1">
      <c r="A2" s="328"/>
      <c r="B2" s="11" t="s">
        <v>104</v>
      </c>
      <c r="C2" s="11" t="s">
        <v>29</v>
      </c>
      <c r="D2" s="11" t="s">
        <v>105</v>
      </c>
      <c r="E2" s="11" t="s">
        <v>69</v>
      </c>
      <c r="F2" s="11" t="s">
        <v>107</v>
      </c>
      <c r="G2" s="11" t="s">
        <v>602</v>
      </c>
      <c r="H2" s="11" t="s">
        <v>103</v>
      </c>
      <c r="I2" s="11" t="s">
        <v>102</v>
      </c>
      <c r="J2" s="11" t="s">
        <v>100</v>
      </c>
      <c r="N2" s="11" t="s">
        <v>2245</v>
      </c>
      <c r="O2" s="11" t="s">
        <v>2246</v>
      </c>
      <c r="P2" s="11" t="s">
        <v>2247</v>
      </c>
      <c r="Q2" s="11" t="s">
        <v>2248</v>
      </c>
      <c r="R2" s="11" t="s">
        <v>2249</v>
      </c>
      <c r="S2" s="11" t="s">
        <v>324</v>
      </c>
      <c r="T2" s="11" t="s">
        <v>2244</v>
      </c>
      <c r="U2" s="11" t="s">
        <v>36</v>
      </c>
      <c r="V2" s="11" t="s">
        <v>603</v>
      </c>
      <c r="W2" s="11" t="s">
        <v>604</v>
      </c>
      <c r="X2" s="11" t="s">
        <v>605</v>
      </c>
      <c r="Y2" s="11" t="s">
        <v>26</v>
      </c>
      <c r="Z2" s="11" t="s">
        <v>2928</v>
      </c>
      <c r="AA2" s="11" t="s">
        <v>2929</v>
      </c>
      <c r="AB2" s="11" t="s">
        <v>2930</v>
      </c>
      <c r="AC2" s="11" t="s">
        <v>2931</v>
      </c>
      <c r="AD2" s="11" t="s">
        <v>2932</v>
      </c>
      <c r="AE2" s="11" t="s">
        <v>2933</v>
      </c>
      <c r="AF2" s="11" t="s">
        <v>2934</v>
      </c>
      <c r="AG2" s="11" t="s">
        <v>2935</v>
      </c>
      <c r="AH2" s="11" t="s">
        <v>2936</v>
      </c>
      <c r="AI2" s="11" t="s">
        <v>2937</v>
      </c>
      <c r="AJ2" s="11" t="s">
        <v>2938</v>
      </c>
      <c r="AK2" s="11" t="s">
        <v>606</v>
      </c>
      <c r="AL2" s="11" t="s">
        <v>607</v>
      </c>
      <c r="AM2" s="11" t="s">
        <v>608</v>
      </c>
      <c r="AN2" s="11" t="s">
        <v>609</v>
      </c>
      <c r="AO2" s="11" t="s">
        <v>610</v>
      </c>
      <c r="AP2" s="11" t="s">
        <v>611</v>
      </c>
      <c r="AQ2" s="11" t="s">
        <v>612</v>
      </c>
      <c r="AR2" s="11" t="s">
        <v>613</v>
      </c>
      <c r="AS2" s="11" t="s">
        <v>614</v>
      </c>
      <c r="AT2" s="11" t="s">
        <v>615</v>
      </c>
      <c r="AU2" s="11" t="s">
        <v>616</v>
      </c>
      <c r="AV2" s="11" t="s">
        <v>617</v>
      </c>
      <c r="AW2" s="11" t="s">
        <v>618</v>
      </c>
      <c r="AX2" s="11" t="s">
        <v>619</v>
      </c>
      <c r="AY2" s="11" t="s">
        <v>620</v>
      </c>
      <c r="AZ2" s="11" t="s">
        <v>621</v>
      </c>
      <c r="BA2" s="11" t="s">
        <v>622</v>
      </c>
      <c r="BB2" s="11" t="s">
        <v>623</v>
      </c>
      <c r="BD2" s="11" t="s">
        <v>624</v>
      </c>
      <c r="BE2" s="11" t="s">
        <v>625</v>
      </c>
      <c r="BF2" s="11" t="s">
        <v>626</v>
      </c>
      <c r="BG2" s="11" t="s">
        <v>627</v>
      </c>
      <c r="BI2" s="11" t="s">
        <v>628</v>
      </c>
      <c r="BJ2" s="11" t="s">
        <v>629</v>
      </c>
      <c r="BK2" s="11" t="s">
        <v>630</v>
      </c>
      <c r="BM2" s="11" t="s">
        <v>631</v>
      </c>
      <c r="BN2" s="11" t="s">
        <v>632</v>
      </c>
      <c r="BO2" s="11" t="s">
        <v>633</v>
      </c>
      <c r="BP2" s="11" t="s">
        <v>634</v>
      </c>
      <c r="BQ2" s="195"/>
      <c r="BR2" s="195"/>
      <c r="BS2" s="195"/>
      <c r="BT2" s="195"/>
      <c r="BU2" s="195"/>
      <c r="BV2" s="195"/>
      <c r="BW2" s="195"/>
      <c r="BX2" s="195"/>
      <c r="BY2" s="11" t="s">
        <v>635</v>
      </c>
      <c r="BZ2" s="11" t="s">
        <v>636</v>
      </c>
      <c r="CA2" s="11" t="s">
        <v>637</v>
      </c>
      <c r="CC2" s="11" t="s">
        <v>638</v>
      </c>
      <c r="CD2" s="11" t="s">
        <v>639</v>
      </c>
      <c r="CE2" s="11" t="s">
        <v>640</v>
      </c>
      <c r="CF2" s="11" t="s">
        <v>641</v>
      </c>
      <c r="CG2" s="11" t="s">
        <v>642</v>
      </c>
      <c r="CH2" s="11" t="s">
        <v>643</v>
      </c>
      <c r="CI2" s="11" t="s">
        <v>644</v>
      </c>
      <c r="CK2" s="11" t="s">
        <v>645</v>
      </c>
      <c r="CL2" s="11" t="s">
        <v>646</v>
      </c>
      <c r="CM2" s="11" t="s">
        <v>647</v>
      </c>
      <c r="CN2" s="11" t="s">
        <v>648</v>
      </c>
      <c r="CO2" s="11" t="s">
        <v>649</v>
      </c>
      <c r="CP2" s="11" t="s">
        <v>650</v>
      </c>
      <c r="CQ2" s="11" t="s">
        <v>651</v>
      </c>
      <c r="CS2" s="11" t="s">
        <v>652</v>
      </c>
      <c r="CT2" s="11" t="s">
        <v>653</v>
      </c>
      <c r="CU2" s="11" t="s">
        <v>654</v>
      </c>
      <c r="CV2" s="11" t="s">
        <v>655</v>
      </c>
      <c r="CX2" s="11" t="s">
        <v>656</v>
      </c>
      <c r="CY2" s="11" t="s">
        <v>657</v>
      </c>
      <c r="CZ2" s="11" t="s">
        <v>658</v>
      </c>
      <c r="DB2" s="11" t="s">
        <v>659</v>
      </c>
      <c r="DC2" s="11" t="s">
        <v>660</v>
      </c>
      <c r="DD2" s="11" t="s">
        <v>661</v>
      </c>
      <c r="DE2" s="11" t="s">
        <v>662</v>
      </c>
      <c r="DF2" s="195"/>
      <c r="DG2" s="195"/>
      <c r="DH2" s="195"/>
      <c r="DI2" s="195"/>
      <c r="DJ2" s="195"/>
      <c r="DK2" s="195"/>
      <c r="DL2" s="195"/>
      <c r="DM2" s="195"/>
      <c r="DN2" s="11" t="s">
        <v>663</v>
      </c>
      <c r="DO2" s="11" t="s">
        <v>664</v>
      </c>
      <c r="DP2" s="11" t="s">
        <v>665</v>
      </c>
      <c r="DR2" s="11" t="s">
        <v>666</v>
      </c>
      <c r="DS2" s="11" t="s">
        <v>667</v>
      </c>
      <c r="DT2" s="11" t="s">
        <v>668</v>
      </c>
      <c r="DU2" s="11" t="s">
        <v>669</v>
      </c>
      <c r="DV2" s="11" t="s">
        <v>670</v>
      </c>
      <c r="DW2" s="11" t="s">
        <v>671</v>
      </c>
      <c r="DX2" s="11" t="s">
        <v>672</v>
      </c>
      <c r="DZ2" s="11" t="s">
        <v>673</v>
      </c>
      <c r="EA2" s="11" t="s">
        <v>674</v>
      </c>
      <c r="EB2" s="11" t="s">
        <v>675</v>
      </c>
      <c r="EC2" s="11" t="s">
        <v>676</v>
      </c>
      <c r="ED2" s="11" t="s">
        <v>677</v>
      </c>
      <c r="EE2" s="11" t="s">
        <v>678</v>
      </c>
      <c r="EF2" s="11" t="s">
        <v>679</v>
      </c>
      <c r="EH2" s="11" t="s">
        <v>680</v>
      </c>
      <c r="EI2" s="11" t="s">
        <v>681</v>
      </c>
      <c r="EJ2" s="11" t="s">
        <v>682</v>
      </c>
      <c r="EK2" s="11" t="s">
        <v>683</v>
      </c>
      <c r="EL2" s="11" t="s">
        <v>684</v>
      </c>
      <c r="EM2" s="11" t="s">
        <v>685</v>
      </c>
      <c r="EN2" s="11" t="s">
        <v>686</v>
      </c>
      <c r="EP2" s="11" t="s">
        <v>687</v>
      </c>
      <c r="EQ2" s="11" t="s">
        <v>688</v>
      </c>
      <c r="ER2" s="11" t="s">
        <v>689</v>
      </c>
      <c r="ES2" s="11" t="s">
        <v>690</v>
      </c>
      <c r="FB2" s="11" t="s">
        <v>691</v>
      </c>
      <c r="FC2" s="11" t="s">
        <v>692</v>
      </c>
      <c r="FD2" s="11" t="s">
        <v>693</v>
      </c>
      <c r="FE2" s="11" t="s">
        <v>694</v>
      </c>
      <c r="FF2" s="11" t="s">
        <v>695</v>
      </c>
      <c r="FG2" s="11" t="s">
        <v>696</v>
      </c>
      <c r="FH2" s="11" t="s">
        <v>697</v>
      </c>
      <c r="FI2" s="11" t="s">
        <v>698</v>
      </c>
      <c r="FJ2" s="11" t="s">
        <v>699</v>
      </c>
      <c r="FK2" s="11" t="s">
        <v>700</v>
      </c>
      <c r="FL2" s="11" t="s">
        <v>701</v>
      </c>
      <c r="FM2" s="11" t="s">
        <v>702</v>
      </c>
      <c r="FN2" s="11" t="s">
        <v>703</v>
      </c>
      <c r="FO2" s="11" t="s">
        <v>704</v>
      </c>
      <c r="FP2" s="11" t="s">
        <v>705</v>
      </c>
      <c r="FQ2" s="11" t="s">
        <v>706</v>
      </c>
    </row>
    <row r="3" spans="1:238" s="125" customFormat="1">
      <c r="A3" s="361"/>
      <c r="B3" s="125" t="str">
        <f>'All in One'!C8</f>
        <v>JS5331</v>
      </c>
      <c r="C3" s="125" t="str">
        <f>IFERROR(INDEX(C$13:C$588,MATCH($B4,$B$13:$B$588,0)),"")</f>
        <v>HKUST</v>
      </c>
      <c r="D3" s="125" t="str">
        <f>IFERROR(INDEX(D$13:D$588,MATCH($B4,$B$13:$B$588,0)),"")</f>
        <v>商學院</v>
      </c>
      <c r="E3" s="125" t="str">
        <f>IFERROR(INDEX(E$13:E$588,MATCH($B4,$B$13:$B$588,0)),"")</f>
        <v>理學士（經濟及金融學）</v>
      </c>
      <c r="F3" s="125" t="str">
        <f>IFERROR(INDEX(F$13:F$588,MATCH($B4,$B$13:$B$588,0)),"")</f>
        <v>英數Best3</v>
      </c>
      <c r="H3" s="125" t="str">
        <f>IFERROR(INDEX(H$13:H$588,MATCH($B4,$B$13:$B$588,0)),"")</f>
        <v>/</v>
      </c>
      <c r="I3" s="125">
        <f>IFERROR(INDEX(I$13:I$588,MATCH($B4,$B$13:$B$588,0)),"")</f>
        <v>50.06</v>
      </c>
      <c r="J3" s="125">
        <f>IFERROR(INDEX(J$13:J$588,MATCH($B4,$B$13:$B$588,0)),"")</f>
        <v>48.56</v>
      </c>
      <c r="N3" s="125">
        <f t="shared" ref="N3:BB3" si="0">IFERROR(INDEX(N$13:N$588,MATCH($B4,$B$13:$B$588,0)),"")</f>
        <v>0</v>
      </c>
      <c r="O3" s="125">
        <f t="shared" si="0"/>
        <v>0</v>
      </c>
      <c r="P3" s="125" t="str">
        <f t="shared" si="0"/>
        <v>英文x2  + 數學x2</v>
      </c>
      <c r="Q3" s="125" t="str">
        <f t="shared" si="0"/>
        <v>+ 最佳三科x1 或</v>
      </c>
      <c r="R3" s="125" t="str">
        <f t="shared" si="0"/>
        <v>+ [化學、經濟、物理、M1/2]中最佳一科x1.5 + 最佳兩科x1</v>
      </c>
      <c r="S3" s="125" t="str">
        <f t="shared" si="0"/>
        <v>ECOF</v>
      </c>
      <c r="T3" s="125" t="str">
        <f t="shared" si="0"/>
        <v>有</v>
      </c>
      <c r="U3" s="125">
        <f t="shared" si="0"/>
        <v>30</v>
      </c>
      <c r="V3" s="125">
        <f t="shared" si="0"/>
        <v>33</v>
      </c>
      <c r="W3" s="125">
        <f t="shared" si="0"/>
        <v>105</v>
      </c>
      <c r="X3" s="125">
        <f t="shared" si="0"/>
        <v>33</v>
      </c>
      <c r="Y3" s="125">
        <f t="shared" si="0"/>
        <v>3.1818181818181817</v>
      </c>
      <c r="Z3" s="125" t="str">
        <f t="shared" si="0"/>
        <v>有</v>
      </c>
      <c r="AA3" s="125" t="str">
        <f t="shared" si="0"/>
        <v>申請人必須出席面試</v>
      </c>
      <c r="AB3" s="125" t="str">
        <f t="shared" si="0"/>
        <v>/</v>
      </c>
      <c r="AC3" s="125" t="str">
        <f t="shared" si="0"/>
        <v>英數Best3</v>
      </c>
      <c r="AD3" s="125">
        <f t="shared" si="0"/>
        <v>0</v>
      </c>
      <c r="AE3" s="125">
        <f t="shared" si="0"/>
        <v>0</v>
      </c>
      <c r="AF3" s="125">
        <f t="shared" si="0"/>
        <v>0</v>
      </c>
      <c r="AG3" s="125">
        <f t="shared" si="0"/>
        <v>0</v>
      </c>
      <c r="AH3" s="125" t="str">
        <f t="shared" si="0"/>
        <v>英文x2  + 數學x2</v>
      </c>
      <c r="AI3" s="125" t="str">
        <f t="shared" si="0"/>
        <v>+ 最佳三科x1 或</v>
      </c>
      <c r="AJ3" s="125" t="str">
        <f t="shared" si="0"/>
        <v>+ [化學、經濟、物理、M1/2]中最佳一科x1.5 + 最佳兩科x1</v>
      </c>
      <c r="AK3" s="125" t="str">
        <f t="shared" si="0"/>
        <v>LQ 每科平均成績:</v>
      </c>
      <c r="AL3" s="125" t="str">
        <f t="shared" si="0"/>
        <v>6.18 (已計算加分制)</v>
      </c>
      <c r="AM3" s="125" t="str">
        <f t="shared" si="0"/>
        <v>/</v>
      </c>
      <c r="AN3" s="125" t="str">
        <f t="shared" si="0"/>
        <v>申請人必須出席面試</v>
      </c>
      <c r="AO3" s="125" t="str">
        <f t="shared" si="0"/>
        <v>/</v>
      </c>
      <c r="AP3" s="125" t="str">
        <f t="shared" si="0"/>
        <v>/</v>
      </c>
      <c r="AQ3" s="125" t="str">
        <f t="shared" si="0"/>
        <v>此課程的加權後的 *最高可考獲分數* 為:  66.94</v>
      </c>
      <c r="AR3" s="125" t="str">
        <f t="shared" si="0"/>
        <v>科大會根據同學的第六科成績獎勵最高5%的額外分數，計算方式如下︰</v>
      </c>
      <c r="AS3" s="125" t="str">
        <f t="shared" si="0"/>
        <v>8.5分 -&gt; 5% | 7分 -&gt; 4.12% | 5.5分 -&gt; 3.24% | 4分 -&gt; 2.35% | 3分 -&gt; 1.76%</v>
      </c>
      <c r="AT3" s="125" t="str">
        <f t="shared" si="0"/>
        <v>此參考分數為院校公佈的 已計比重分數，沒有估算成份。</v>
      </c>
      <c r="AU3" s="125">
        <f t="shared" si="0"/>
        <v>0</v>
      </c>
      <c r="AV3" s="125" t="str">
        <f t="shared" si="0"/>
        <v>無</v>
      </c>
      <c r="AW3" s="125">
        <f t="shared" si="0"/>
        <v>0</v>
      </c>
      <c r="AX3" s="125">
        <f t="shared" si="0"/>
        <v>0</v>
      </c>
      <c r="AY3" s="125">
        <f t="shared" si="0"/>
        <v>0</v>
      </c>
      <c r="AZ3" s="125" t="str">
        <f t="shared" si="0"/>
        <v>/</v>
      </c>
      <c r="BA3" s="125" t="str">
        <f t="shared" si="0"/>
        <v>/</v>
      </c>
      <c r="BB3" s="125" t="str">
        <f t="shared" si="0"/>
        <v>/</v>
      </c>
      <c r="BD3" s="125" t="str">
        <f>IFERROR(INDEX(BD$13:BD$588,MATCH($B4,$B$13:$B$588,0)),"")</f>
        <v>/</v>
      </c>
      <c r="BE3" s="125" t="str">
        <f>IFERROR(INDEX(BE$13:BE$588,MATCH($B4,$B$13:$B$588,0)),"")</f>
        <v>/</v>
      </c>
      <c r="BF3" s="125" t="str">
        <f>IFERROR(INDEX(BF$13:BF$588,MATCH($B4,$B$13:$B$588,0)),"")</f>
        <v>/</v>
      </c>
      <c r="BG3" s="125" t="str">
        <f>IFERROR(INDEX(BG$13:BG$588,MATCH($B4,$B$13:$B$588,0)),"")</f>
        <v>/</v>
      </c>
      <c r="BI3" s="125" t="str">
        <f>IFERROR(INDEX(BI$13:BI$588,MATCH($B4,$B$13:$B$588,0)),"")</f>
        <v>/</v>
      </c>
      <c r="BJ3" s="125" t="str">
        <f>IFERROR(INDEX(BJ$13:BJ$588,MATCH($B4,$B$13:$B$588,0)),"")</f>
        <v>/</v>
      </c>
      <c r="BK3" s="125" t="str">
        <f>IFERROR(INDEX(BK$13:BK$588,MATCH($B4,$B$13:$B$588,0)),"")</f>
        <v>/</v>
      </c>
      <c r="BM3" s="125" t="str">
        <f>IFERROR(INDEX(BM$13:BM$588,MATCH($B4,$B$13:$B$588,0)),"")</f>
        <v>/</v>
      </c>
      <c r="BN3" s="125" t="str">
        <f>IFERROR(INDEX(BN$13:BN$588,MATCH($B4,$B$13:$B$588,0)),"")</f>
        <v>/</v>
      </c>
      <c r="BO3" s="125" t="str">
        <f>IFERROR(INDEX(BO$13:BO$588,MATCH($B4,$B$13:$B$588,0)),"")</f>
        <v>/</v>
      </c>
      <c r="BP3" s="125" t="str">
        <f>IFERROR(INDEX(BP$13:BP$588,MATCH($B4,$B$13:$B$588,0)),"")</f>
        <v>/</v>
      </c>
      <c r="BQ3" s="194"/>
      <c r="BR3" s="194"/>
      <c r="BS3" s="194"/>
      <c r="BT3" s="194"/>
      <c r="BU3" s="194"/>
      <c r="BV3" s="194"/>
      <c r="BW3" s="194"/>
      <c r="BX3" s="194"/>
      <c r="BY3" s="125" t="str">
        <f>IFERROR(INDEX(BY$13:BY$588,MATCH($B4,$B$13:$B$588,0)),"")</f>
        <v>/</v>
      </c>
      <c r="BZ3" s="125" t="str">
        <f>IFERROR(INDEX(BZ$13:BZ$588,MATCH($B4,$B$13:$B$588,0)),"")</f>
        <v>/</v>
      </c>
      <c r="CA3" s="125" t="str">
        <f>IFERROR(INDEX(CA$13:CA$588,MATCH($B4,$B$13:$B$588,0)),"")</f>
        <v>/</v>
      </c>
      <c r="CC3" s="125" t="str">
        <f t="shared" ref="CC3:CI3" si="1">IFERROR(INDEX(CC$13:CC$588,MATCH($B4,$B$13:$B$588,0)),"")</f>
        <v>/</v>
      </c>
      <c r="CD3" s="125" t="str">
        <f t="shared" si="1"/>
        <v>/</v>
      </c>
      <c r="CE3" s="125" t="str">
        <f t="shared" si="1"/>
        <v>/</v>
      </c>
      <c r="CF3" s="125" t="str">
        <f t="shared" si="1"/>
        <v>/</v>
      </c>
      <c r="CG3" s="125" t="str">
        <f t="shared" si="1"/>
        <v>/</v>
      </c>
      <c r="CH3" s="125" t="str">
        <f t="shared" si="1"/>
        <v>/</v>
      </c>
      <c r="CI3" s="125" t="str">
        <f t="shared" si="1"/>
        <v>/</v>
      </c>
      <c r="CK3" s="125" t="str">
        <f t="shared" ref="CK3:CQ3" si="2">IFERROR(INDEX(CK$13:CK$588,MATCH($B4,$B$13:$B$588,0)),"")</f>
        <v>/</v>
      </c>
      <c r="CL3" s="125" t="str">
        <f t="shared" si="2"/>
        <v>/</v>
      </c>
      <c r="CM3" s="125" t="str">
        <f t="shared" si="2"/>
        <v>/</v>
      </c>
      <c r="CN3" s="125" t="str">
        <f t="shared" si="2"/>
        <v>/</v>
      </c>
      <c r="CO3" s="125" t="str">
        <f t="shared" si="2"/>
        <v>/</v>
      </c>
      <c r="CP3" s="125" t="str">
        <f t="shared" si="2"/>
        <v>/</v>
      </c>
      <c r="CQ3" s="125" t="str">
        <f t="shared" si="2"/>
        <v>/</v>
      </c>
      <c r="CS3" s="125" t="str">
        <f>IFERROR(INDEX(CS$13:CS$588,MATCH($B4,$B$13:$B$588,0)),"")</f>
        <v>/</v>
      </c>
      <c r="CT3" s="125" t="str">
        <f>IFERROR(INDEX(CT$13:CT$588,MATCH($B4,$B$13:$B$588,0)),"")</f>
        <v>/</v>
      </c>
      <c r="CU3" s="125" t="str">
        <f>IFERROR(INDEX(CU$13:CU$588,MATCH($B4,$B$13:$B$588,0)),"")</f>
        <v>/</v>
      </c>
      <c r="CV3" s="125" t="str">
        <f>IFERROR(INDEX(CV$13:CV$588,MATCH($B4,$B$13:$B$588,0)),"")</f>
        <v>/</v>
      </c>
      <c r="CX3" s="125" t="str">
        <f>IFERROR(INDEX(CX$13:CX$588,MATCH($B4,$B$13:$B$588,0)),"")</f>
        <v>/</v>
      </c>
      <c r="CY3" s="125" t="str">
        <f>IFERROR(INDEX(CY$13:CY$588,MATCH($B4,$B$13:$B$588,0)),"")</f>
        <v>/</v>
      </c>
      <c r="CZ3" s="125" t="str">
        <f>IFERROR(INDEX(CZ$13:CZ$588,MATCH($B4,$B$13:$B$588,0)),"")</f>
        <v>/</v>
      </c>
      <c r="DB3" s="125" t="str">
        <f>IFERROR(INDEX(DB$13:DB$588,MATCH($B4,$B$13:$B$588,0)),"")</f>
        <v>/</v>
      </c>
      <c r="DC3" s="125" t="str">
        <f>IFERROR(INDEX(DC$13:DC$588,MATCH($B4,$B$13:$B$588,0)),"")</f>
        <v>/</v>
      </c>
      <c r="DD3" s="125" t="str">
        <f>IFERROR(INDEX(DD$13:DD$588,MATCH($B4,$B$13:$B$588,0)),"")</f>
        <v>/</v>
      </c>
      <c r="DE3" s="125" t="str">
        <f>IFERROR(INDEX(DE$13:DE$588,MATCH($B4,$B$13:$B$588,0)),"")</f>
        <v>/</v>
      </c>
      <c r="DF3" s="194"/>
      <c r="DG3" s="194"/>
      <c r="DH3" s="194"/>
      <c r="DI3" s="194"/>
      <c r="DJ3" s="194"/>
      <c r="DK3" s="194"/>
      <c r="DL3" s="194"/>
      <c r="DM3" s="194"/>
      <c r="DN3" s="125" t="str">
        <f>IFERROR(INDEX(DN$13:DN$588,MATCH($B4,$B$13:$B$588,0)),"")</f>
        <v>/</v>
      </c>
      <c r="DO3" s="125" t="str">
        <f>IFERROR(INDEX(DO$13:DO$588,MATCH($B4,$B$13:$B$588,0)),"")</f>
        <v>/</v>
      </c>
      <c r="DP3" s="125" t="str">
        <f>IFERROR(INDEX(DP$13:DP$588,MATCH($B4,$B$13:$B$588,0)),"")</f>
        <v>/</v>
      </c>
      <c r="DR3" s="125" t="str">
        <f t="shared" ref="DR3:DX3" si="3">IFERROR(INDEX(DR$13:DR$588,MATCH($B4,$B$13:$B$588,0)),"")</f>
        <v>/</v>
      </c>
      <c r="DS3" s="125" t="str">
        <f t="shared" si="3"/>
        <v>/</v>
      </c>
      <c r="DT3" s="125" t="str">
        <f t="shared" si="3"/>
        <v>/</v>
      </c>
      <c r="DU3" s="125" t="str">
        <f t="shared" si="3"/>
        <v>/</v>
      </c>
      <c r="DV3" s="125" t="str">
        <f t="shared" si="3"/>
        <v>/</v>
      </c>
      <c r="DW3" s="125" t="str">
        <f t="shared" si="3"/>
        <v>/</v>
      </c>
      <c r="DX3" s="125" t="str">
        <f t="shared" si="3"/>
        <v>/</v>
      </c>
      <c r="DZ3" s="125" t="str">
        <f t="shared" ref="DZ3:EF3" si="4">IFERROR(INDEX(DZ$13:DZ$588,MATCH($B4,$B$13:$B$588,0)),"")</f>
        <v>/</v>
      </c>
      <c r="EA3" s="125" t="str">
        <f t="shared" si="4"/>
        <v>/</v>
      </c>
      <c r="EB3" s="125" t="str">
        <f t="shared" si="4"/>
        <v>/</v>
      </c>
      <c r="EC3" s="125" t="str">
        <f t="shared" si="4"/>
        <v>/</v>
      </c>
      <c r="ED3" s="125" t="str">
        <f t="shared" si="4"/>
        <v>/</v>
      </c>
      <c r="EE3" s="125" t="str">
        <f t="shared" si="4"/>
        <v>/</v>
      </c>
      <c r="EF3" s="125" t="str">
        <f t="shared" si="4"/>
        <v>/</v>
      </c>
      <c r="EH3" s="125" t="str">
        <f t="shared" ref="EH3:EN3" si="5">IFERROR(INDEX(EH$13:EH$588,MATCH($B4,$B$13:$B$588,0)),"")</f>
        <v>/</v>
      </c>
      <c r="EI3" s="125" t="str">
        <f t="shared" si="5"/>
        <v>/</v>
      </c>
      <c r="EJ3" s="125" t="str">
        <f t="shared" si="5"/>
        <v>/</v>
      </c>
      <c r="EK3" s="125" t="str">
        <f t="shared" si="5"/>
        <v>/</v>
      </c>
      <c r="EL3" s="125" t="str">
        <f t="shared" si="5"/>
        <v>/</v>
      </c>
      <c r="EM3" s="125" t="str">
        <f t="shared" si="5"/>
        <v>/</v>
      </c>
      <c r="EN3" s="125" t="str">
        <f t="shared" si="5"/>
        <v>/</v>
      </c>
      <c r="EP3" s="125" t="str">
        <f>IFERROR(INDEX(EP$13:EP$588,MATCH($B4,$B$13:$B$588,0)),"")</f>
        <v>/</v>
      </c>
      <c r="EQ3" s="125" t="str">
        <f>IFERROR(INDEX(EQ$13:EQ$588,MATCH($B4,$B$13:$B$588,0)),"")</f>
        <v>/</v>
      </c>
      <c r="ER3" s="125" t="str">
        <f>IFERROR(INDEX(ER$13:ER$588,MATCH($B4,$B$13:$B$588,0)),"")</f>
        <v>/</v>
      </c>
      <c r="ES3" s="125" t="str">
        <f>IFERROR(INDEX(ES$13:ES$588,MATCH($B4,$B$13:$B$588,0)),"")</f>
        <v>/</v>
      </c>
      <c r="FB3" s="125" t="str">
        <f t="shared" ref="FB3:FQ3" si="6">IFERROR(INDEX(FB$13:FB$588,MATCH($B4,$B$13:$B$588,0)),"")</f>
        <v>/</v>
      </c>
      <c r="FC3" s="125" t="str">
        <f t="shared" si="6"/>
        <v>/</v>
      </c>
      <c r="FD3" s="125" t="str">
        <f t="shared" si="6"/>
        <v>/</v>
      </c>
      <c r="FE3" s="125" t="str">
        <f t="shared" si="6"/>
        <v>/</v>
      </c>
      <c r="FF3" s="125" t="str">
        <f t="shared" si="6"/>
        <v>/</v>
      </c>
      <c r="FG3" s="125" t="str">
        <f t="shared" si="6"/>
        <v>/</v>
      </c>
      <c r="FH3" s="125" t="str">
        <f t="shared" si="6"/>
        <v>/</v>
      </c>
      <c r="FI3" s="125" t="str">
        <f t="shared" si="6"/>
        <v>/</v>
      </c>
      <c r="FJ3" s="125" t="str">
        <f t="shared" si="6"/>
        <v>/</v>
      </c>
      <c r="FK3" s="125" t="str">
        <f t="shared" si="6"/>
        <v>/</v>
      </c>
      <c r="FL3" s="125" t="str">
        <f t="shared" si="6"/>
        <v>/</v>
      </c>
      <c r="FM3" s="125" t="str">
        <f t="shared" si="6"/>
        <v>/</v>
      </c>
      <c r="FN3" s="125" t="str">
        <f t="shared" si="6"/>
        <v>/</v>
      </c>
      <c r="FO3" s="125" t="str">
        <f t="shared" si="6"/>
        <v>/</v>
      </c>
      <c r="FP3" s="125" t="str">
        <f t="shared" si="6"/>
        <v>/</v>
      </c>
      <c r="FQ3" s="125" t="str">
        <f t="shared" si="6"/>
        <v>/</v>
      </c>
    </row>
    <row r="4" spans="1:238">
      <c r="B4" s="2" t="str">
        <f>B3</f>
        <v>JS5331</v>
      </c>
      <c r="C4" s="2" t="str">
        <f>IF(OR(C3="/",C3=0),"",IF(ISNUMBER(C3),ROUND(C3,2),C3))</f>
        <v>HKUST</v>
      </c>
      <c r="D4" s="2" t="str">
        <f t="shared" ref="D4:CA4" si="7">IF(OR(D3="/",D3=0),"",IF(ISNUMBER(D3),ROUND(D3,2),D3))</f>
        <v>商學院</v>
      </c>
      <c r="E4" s="2" t="str">
        <f t="shared" si="7"/>
        <v>理學士（經濟及金融學）</v>
      </c>
      <c r="F4" s="2" t="str">
        <f t="shared" si="7"/>
        <v>英數Best3</v>
      </c>
      <c r="G4" s="2" t="str">
        <f>IF(OR(G3="/",G3=0),"",IF(ISNUMBER(G3),ROUND(G3,2),G3))</f>
        <v/>
      </c>
      <c r="H4" s="2" t="str">
        <f t="shared" si="7"/>
        <v/>
      </c>
      <c r="I4" s="2">
        <f t="shared" si="7"/>
        <v>50.06</v>
      </c>
      <c r="J4" s="2">
        <f t="shared" si="7"/>
        <v>48.56</v>
      </c>
      <c r="N4" s="2" t="str">
        <f t="shared" si="7"/>
        <v/>
      </c>
      <c r="O4" s="2" t="str">
        <f t="shared" si="7"/>
        <v/>
      </c>
      <c r="P4" s="2" t="str">
        <f t="shared" si="7"/>
        <v>英文x2  + 數學x2</v>
      </c>
      <c r="Q4" s="2" t="str">
        <f t="shared" si="7"/>
        <v>+ 最佳三科x1 或</v>
      </c>
      <c r="R4" s="2" t="str">
        <f t="shared" si="7"/>
        <v>+ [化學、經濟、物理、M1/2]中最佳一科x1.5 + 最佳兩科x1</v>
      </c>
      <c r="S4" s="2" t="str">
        <f t="shared" si="7"/>
        <v>ECOF</v>
      </c>
      <c r="T4" s="2" t="str">
        <f t="shared" si="7"/>
        <v>有</v>
      </c>
      <c r="U4" s="2">
        <f t="shared" si="7"/>
        <v>30</v>
      </c>
      <c r="V4" s="2">
        <f t="shared" si="7"/>
        <v>33</v>
      </c>
      <c r="W4" s="2">
        <f t="shared" si="7"/>
        <v>105</v>
      </c>
      <c r="X4" s="2">
        <f t="shared" si="7"/>
        <v>33</v>
      </c>
      <c r="Y4" s="2">
        <f t="shared" si="7"/>
        <v>3.18</v>
      </c>
      <c r="Z4" s="2" t="str">
        <f t="shared" si="7"/>
        <v>有</v>
      </c>
      <c r="AA4" s="2" t="str">
        <f t="shared" si="7"/>
        <v>申請人必須出席面試</v>
      </c>
      <c r="AB4" s="2" t="str">
        <f t="shared" si="7"/>
        <v/>
      </c>
      <c r="AC4" s="2" t="str">
        <f t="shared" si="7"/>
        <v>英數Best3</v>
      </c>
      <c r="AD4" s="2" t="str">
        <f t="shared" si="7"/>
        <v/>
      </c>
      <c r="AE4" s="2" t="str">
        <f t="shared" si="7"/>
        <v/>
      </c>
      <c r="AF4" s="2" t="str">
        <f t="shared" si="7"/>
        <v/>
      </c>
      <c r="AG4" s="2" t="str">
        <f t="shared" si="7"/>
        <v/>
      </c>
      <c r="AH4" s="2" t="str">
        <f t="shared" si="7"/>
        <v>英文x2  + 數學x2</v>
      </c>
      <c r="AI4" s="2" t="str">
        <f t="shared" si="7"/>
        <v>+ 最佳三科x1 或</v>
      </c>
      <c r="AJ4" s="2" t="str">
        <f t="shared" si="7"/>
        <v>+ [化學、經濟、物理、M1/2]中最佳一科x1.5 + 最佳兩科x1</v>
      </c>
      <c r="AK4" s="2" t="str">
        <f t="shared" si="7"/>
        <v>LQ 每科平均成績:</v>
      </c>
      <c r="AL4" s="2" t="str">
        <f t="shared" si="7"/>
        <v>6.18 (已計算加分制)</v>
      </c>
      <c r="AM4" s="2" t="str">
        <f t="shared" si="7"/>
        <v/>
      </c>
      <c r="AN4" s="2" t="str">
        <f t="shared" si="7"/>
        <v>申請人必須出席面試</v>
      </c>
      <c r="AO4" s="2" t="str">
        <f t="shared" si="7"/>
        <v/>
      </c>
      <c r="AP4" s="2" t="str">
        <f t="shared" si="7"/>
        <v/>
      </c>
      <c r="AQ4" s="2" t="str">
        <f t="shared" si="7"/>
        <v>此課程的加權後的 *最高可考獲分數* 為:  66.94</v>
      </c>
      <c r="AR4" s="2" t="str">
        <f t="shared" si="7"/>
        <v>科大會根據同學的第六科成績獎勵最高5%的額外分數，計算方式如下︰</v>
      </c>
      <c r="AS4" s="2" t="str">
        <f t="shared" si="7"/>
        <v>8.5分 -&gt; 5% | 7分 -&gt; 4.12% | 5.5分 -&gt; 3.24% | 4分 -&gt; 2.35% | 3分 -&gt; 1.76%</v>
      </c>
      <c r="AT4" s="2" t="str">
        <f t="shared" si="7"/>
        <v>此參考分數為院校公佈的 已計比重分數，沒有估算成份。</v>
      </c>
      <c r="AU4" s="2" t="str">
        <f t="shared" si="7"/>
        <v/>
      </c>
      <c r="AV4" s="2" t="str">
        <f t="shared" si="7"/>
        <v>無</v>
      </c>
      <c r="AW4" s="2" t="str">
        <f t="shared" si="7"/>
        <v/>
      </c>
      <c r="AX4" s="2" t="str">
        <f t="shared" si="7"/>
        <v/>
      </c>
      <c r="AY4" s="2" t="str">
        <f t="shared" si="7"/>
        <v/>
      </c>
      <c r="AZ4" s="2" t="str">
        <f t="shared" si="7"/>
        <v/>
      </c>
      <c r="BA4" s="2" t="str">
        <f t="shared" si="7"/>
        <v/>
      </c>
      <c r="BB4" s="2" t="str">
        <f t="shared" si="7"/>
        <v/>
      </c>
      <c r="BD4" s="2" t="str">
        <f t="shared" si="7"/>
        <v/>
      </c>
      <c r="BE4" s="2" t="str">
        <f t="shared" si="7"/>
        <v/>
      </c>
      <c r="BF4" s="2" t="str">
        <f t="shared" si="7"/>
        <v/>
      </c>
      <c r="BG4" s="2" t="str">
        <f t="shared" si="7"/>
        <v/>
      </c>
      <c r="BI4" s="2" t="str">
        <f t="shared" si="7"/>
        <v/>
      </c>
      <c r="BJ4" s="2" t="str">
        <f t="shared" si="7"/>
        <v/>
      </c>
      <c r="BK4" s="2" t="str">
        <f t="shared" si="7"/>
        <v/>
      </c>
      <c r="BM4" s="2" t="str">
        <f t="shared" si="7"/>
        <v/>
      </c>
      <c r="BN4" s="2" t="str">
        <f t="shared" si="7"/>
        <v/>
      </c>
      <c r="BO4" s="2" t="str">
        <f t="shared" si="7"/>
        <v/>
      </c>
      <c r="BP4" s="2" t="str">
        <f t="shared" si="7"/>
        <v/>
      </c>
      <c r="BY4" s="2" t="str">
        <f t="shared" si="7"/>
        <v/>
      </c>
      <c r="BZ4" s="2" t="str">
        <f t="shared" si="7"/>
        <v/>
      </c>
      <c r="CA4" s="2" t="str">
        <f t="shared" si="7"/>
        <v/>
      </c>
      <c r="CC4" s="2" t="str">
        <f t="shared" ref="CC4:FD4" si="8">IF(OR(CC3="/",CC3=0),"",IF(ISNUMBER(CC3),ROUND(CC3,2),CC3))</f>
        <v/>
      </c>
      <c r="CD4" s="2" t="str">
        <f t="shared" si="8"/>
        <v/>
      </c>
      <c r="CE4" s="2" t="str">
        <f t="shared" si="8"/>
        <v/>
      </c>
      <c r="CF4" s="2" t="str">
        <f t="shared" si="8"/>
        <v/>
      </c>
      <c r="CG4" s="2" t="str">
        <f t="shared" si="8"/>
        <v/>
      </c>
      <c r="CH4" s="2" t="str">
        <f t="shared" si="8"/>
        <v/>
      </c>
      <c r="CI4" s="2" t="str">
        <f t="shared" si="8"/>
        <v/>
      </c>
      <c r="CK4" s="2" t="str">
        <f t="shared" si="8"/>
        <v/>
      </c>
      <c r="CL4" s="2" t="str">
        <f t="shared" si="8"/>
        <v/>
      </c>
      <c r="CM4" s="2" t="str">
        <f t="shared" si="8"/>
        <v/>
      </c>
      <c r="CN4" s="2" t="str">
        <f t="shared" si="8"/>
        <v/>
      </c>
      <c r="CO4" s="2" t="str">
        <f t="shared" si="8"/>
        <v/>
      </c>
      <c r="CP4" s="2" t="str">
        <f t="shared" si="8"/>
        <v/>
      </c>
      <c r="CQ4" s="2" t="str">
        <f t="shared" si="8"/>
        <v/>
      </c>
      <c r="CS4" s="2" t="str">
        <f t="shared" si="8"/>
        <v/>
      </c>
      <c r="CT4" s="2" t="str">
        <f t="shared" si="8"/>
        <v/>
      </c>
      <c r="CU4" s="2" t="str">
        <f t="shared" si="8"/>
        <v/>
      </c>
      <c r="CV4" s="2" t="str">
        <f t="shared" si="8"/>
        <v/>
      </c>
      <c r="CX4" s="2" t="str">
        <f t="shared" si="8"/>
        <v/>
      </c>
      <c r="CY4" s="2" t="str">
        <f t="shared" si="8"/>
        <v/>
      </c>
      <c r="CZ4" s="2" t="str">
        <f t="shared" si="8"/>
        <v/>
      </c>
      <c r="DB4" s="2" t="str">
        <f t="shared" si="8"/>
        <v/>
      </c>
      <c r="DC4" s="2" t="str">
        <f t="shared" si="8"/>
        <v/>
      </c>
      <c r="DD4" s="2" t="str">
        <f t="shared" si="8"/>
        <v/>
      </c>
      <c r="DE4" s="2" t="str">
        <f t="shared" si="8"/>
        <v/>
      </c>
      <c r="DN4" s="2" t="str">
        <f t="shared" si="8"/>
        <v/>
      </c>
      <c r="DO4" s="2" t="str">
        <f t="shared" si="8"/>
        <v/>
      </c>
      <c r="DP4" s="2" t="str">
        <f t="shared" si="8"/>
        <v/>
      </c>
      <c r="DR4" s="2" t="str">
        <f t="shared" si="8"/>
        <v/>
      </c>
      <c r="DS4" s="2" t="str">
        <f t="shared" si="8"/>
        <v/>
      </c>
      <c r="DT4" s="2" t="str">
        <f t="shared" si="8"/>
        <v/>
      </c>
      <c r="DU4" s="2" t="str">
        <f t="shared" si="8"/>
        <v/>
      </c>
      <c r="DV4" s="2" t="str">
        <f t="shared" si="8"/>
        <v/>
      </c>
      <c r="DW4" s="2" t="str">
        <f t="shared" si="8"/>
        <v/>
      </c>
      <c r="DX4" s="2" t="str">
        <f t="shared" si="8"/>
        <v/>
      </c>
      <c r="DZ4" s="2" t="str">
        <f t="shared" si="8"/>
        <v/>
      </c>
      <c r="EA4" s="2" t="str">
        <f t="shared" si="8"/>
        <v/>
      </c>
      <c r="EB4" s="2" t="str">
        <f t="shared" si="8"/>
        <v/>
      </c>
      <c r="EC4" s="2" t="str">
        <f t="shared" si="8"/>
        <v/>
      </c>
      <c r="ED4" s="2" t="str">
        <f t="shared" si="8"/>
        <v/>
      </c>
      <c r="EE4" s="2" t="str">
        <f t="shared" si="8"/>
        <v/>
      </c>
      <c r="EF4" s="2" t="str">
        <f t="shared" si="8"/>
        <v/>
      </c>
      <c r="EH4" s="2" t="str">
        <f t="shared" si="8"/>
        <v/>
      </c>
      <c r="EI4" s="2" t="str">
        <f t="shared" si="8"/>
        <v/>
      </c>
      <c r="EJ4" s="2" t="str">
        <f t="shared" si="8"/>
        <v/>
      </c>
      <c r="EK4" s="2" t="str">
        <f t="shared" si="8"/>
        <v/>
      </c>
      <c r="EL4" s="2" t="str">
        <f t="shared" si="8"/>
        <v/>
      </c>
      <c r="EM4" s="2" t="str">
        <f t="shared" si="8"/>
        <v/>
      </c>
      <c r="EN4" s="2" t="str">
        <f t="shared" si="8"/>
        <v/>
      </c>
      <c r="EP4" s="2" t="str">
        <f t="shared" si="8"/>
        <v/>
      </c>
      <c r="EQ4" s="2" t="str">
        <f t="shared" si="8"/>
        <v/>
      </c>
      <c r="ER4" s="2" t="str">
        <f t="shared" si="8"/>
        <v/>
      </c>
      <c r="ES4" s="2" t="str">
        <f t="shared" si="8"/>
        <v/>
      </c>
      <c r="FB4" s="2" t="str">
        <f t="shared" si="8"/>
        <v/>
      </c>
      <c r="FC4" s="2" t="str">
        <f t="shared" si="8"/>
        <v/>
      </c>
      <c r="FD4" s="2" t="str">
        <f t="shared" si="8"/>
        <v/>
      </c>
      <c r="FE4" s="2" t="str">
        <f t="shared" ref="FE4:FQ4" si="9">IF(OR(FE3="/",FE3=0),"",IF(ISNUMBER(FE3),ROUND(FE3,2),FE3))</f>
        <v/>
      </c>
      <c r="FF4" s="2" t="str">
        <f t="shared" si="9"/>
        <v/>
      </c>
      <c r="FG4" s="2" t="str">
        <f t="shared" si="9"/>
        <v/>
      </c>
      <c r="FH4" s="2" t="str">
        <f t="shared" si="9"/>
        <v/>
      </c>
      <c r="FI4" s="2" t="str">
        <f t="shared" si="9"/>
        <v/>
      </c>
      <c r="FJ4" s="2" t="str">
        <f t="shared" si="9"/>
        <v/>
      </c>
      <c r="FK4" s="2" t="str">
        <f t="shared" si="9"/>
        <v/>
      </c>
      <c r="FL4" s="2" t="str">
        <f t="shared" si="9"/>
        <v/>
      </c>
      <c r="FM4" s="2" t="str">
        <f t="shared" si="9"/>
        <v/>
      </c>
      <c r="FN4" s="2" t="str">
        <f t="shared" si="9"/>
        <v/>
      </c>
      <c r="FO4" s="2" t="str">
        <f t="shared" si="9"/>
        <v/>
      </c>
      <c r="FP4" s="2" t="str">
        <f t="shared" si="9"/>
        <v/>
      </c>
      <c r="FQ4" s="2" t="str">
        <f t="shared" si="9"/>
        <v/>
      </c>
    </row>
    <row r="6" spans="1:238" s="125" customFormat="1">
      <c r="A6" s="361"/>
      <c r="B6" s="125" t="s">
        <v>707</v>
      </c>
      <c r="C6" s="125" t="str">
        <f t="shared" ref="C6:J6" si="10">IFERROR(INDEX(C$13:C$588,MATCH($B7,$B$13:$B$588,0)),"")</f>
        <v/>
      </c>
      <c r="D6" s="125" t="str">
        <f t="shared" si="10"/>
        <v/>
      </c>
      <c r="E6" s="125" t="str">
        <f t="shared" si="10"/>
        <v/>
      </c>
      <c r="F6" s="125" t="str">
        <f t="shared" si="10"/>
        <v/>
      </c>
      <c r="G6" s="125" t="str">
        <f t="shared" si="10"/>
        <v/>
      </c>
      <c r="H6" s="125" t="str">
        <f t="shared" si="10"/>
        <v/>
      </c>
      <c r="I6" s="125" t="str">
        <f t="shared" si="10"/>
        <v/>
      </c>
      <c r="J6" s="125" t="str">
        <f t="shared" si="10"/>
        <v/>
      </c>
      <c r="N6" s="125" t="str">
        <f t="shared" ref="N6:V6" si="11">IFERROR(INDEX(N$13:N$588,MATCH($B7,$B$13:$B$588,0)),"")</f>
        <v/>
      </c>
      <c r="O6" s="125" t="str">
        <f t="shared" si="11"/>
        <v/>
      </c>
      <c r="P6" s="125" t="str">
        <f t="shared" si="11"/>
        <v/>
      </c>
      <c r="Q6" s="125" t="str">
        <f t="shared" si="11"/>
        <v/>
      </c>
      <c r="R6" s="125" t="str">
        <f t="shared" si="11"/>
        <v/>
      </c>
      <c r="S6" s="125" t="str">
        <f t="shared" si="11"/>
        <v/>
      </c>
      <c r="T6" s="125" t="str">
        <f t="shared" si="11"/>
        <v/>
      </c>
      <c r="U6" s="125" t="str">
        <f t="shared" si="11"/>
        <v/>
      </c>
      <c r="V6" s="125" t="str">
        <f t="shared" si="11"/>
        <v/>
      </c>
      <c r="Y6" s="125" t="str">
        <f>IFERROR(INDEX(Y$13:Y$588,MATCH($B7,$B$13:$B$588,0)),"")</f>
        <v/>
      </c>
      <c r="Z6" s="125" t="str">
        <f>IFERROR(INDEX(Z$13:Z$588,MATCH($B7,$B$13:$B$588,0)),"")</f>
        <v/>
      </c>
      <c r="AA6" s="125" t="str">
        <f>IFERROR(INDEX(AA$13:AA$588,MATCH($B7,$B$13:$B$588,0)),"")</f>
        <v/>
      </c>
      <c r="AB6" s="125" t="str">
        <f>IFERROR(INDEX(AB$13:AB$588,MATCH($B7,$B$13:$B$588,0)),"")</f>
        <v/>
      </c>
      <c r="AC6" s="125" t="str">
        <f>IFERROR(INDEX(AC$13:AC$588,MATCH($B7,$B$13:$B$588,0)),"")</f>
        <v/>
      </c>
      <c r="AF6" s="125" t="str">
        <f t="shared" ref="AF6:AR6" si="12">IFERROR(INDEX(AF$13:AF$588,MATCH($B7,$B$13:$B$588,0)),"")</f>
        <v/>
      </c>
      <c r="AG6" s="125" t="str">
        <f t="shared" si="12"/>
        <v/>
      </c>
      <c r="AH6" s="125" t="str">
        <f t="shared" si="12"/>
        <v/>
      </c>
      <c r="AI6" s="125" t="str">
        <f t="shared" si="12"/>
        <v/>
      </c>
      <c r="AJ6" s="125" t="str">
        <f t="shared" si="12"/>
        <v/>
      </c>
      <c r="AK6" s="125" t="str">
        <f t="shared" si="12"/>
        <v/>
      </c>
      <c r="AL6" s="125" t="str">
        <f t="shared" si="12"/>
        <v/>
      </c>
      <c r="AM6" s="125" t="str">
        <f t="shared" si="12"/>
        <v/>
      </c>
      <c r="AN6" s="125" t="str">
        <f t="shared" si="12"/>
        <v/>
      </c>
      <c r="AO6" s="125" t="str">
        <f t="shared" si="12"/>
        <v/>
      </c>
      <c r="AP6" s="125" t="str">
        <f t="shared" si="12"/>
        <v/>
      </c>
      <c r="AQ6" s="125" t="str">
        <f t="shared" si="12"/>
        <v/>
      </c>
      <c r="AR6" s="125" t="str">
        <f t="shared" si="12"/>
        <v/>
      </c>
      <c r="AV6" s="125" t="str">
        <f t="shared" ref="AV6:BB6" si="13">IFERROR(INDEX(AV$13:AV$588,MATCH($B7,$B$13:$B$588,0)),"")</f>
        <v/>
      </c>
      <c r="AW6" s="125" t="str">
        <f t="shared" si="13"/>
        <v/>
      </c>
      <c r="AX6" s="125" t="str">
        <f t="shared" si="13"/>
        <v/>
      </c>
      <c r="AY6" s="125" t="str">
        <f t="shared" si="13"/>
        <v/>
      </c>
      <c r="AZ6" s="125" t="str">
        <f t="shared" si="13"/>
        <v/>
      </c>
      <c r="BA6" s="125" t="str">
        <f t="shared" si="13"/>
        <v/>
      </c>
      <c r="BB6" s="125" t="str">
        <f t="shared" si="13"/>
        <v/>
      </c>
      <c r="BD6" s="125" t="str">
        <f>IFERROR(INDEX(BD$13:BD$588,MATCH($B7,$B$13:$B$588,0)),"")</f>
        <v/>
      </c>
      <c r="BE6" s="125" t="str">
        <f>IFERROR(INDEX(BE$13:BE$588,MATCH($B7,$B$13:$B$588,0)),"")</f>
        <v/>
      </c>
      <c r="BF6" s="125" t="str">
        <f>IFERROR(INDEX(BF$13:BF$588,MATCH($B7,$B$13:$B$588,0)),"")</f>
        <v/>
      </c>
      <c r="BG6" s="125" t="str">
        <f>IFERROR(INDEX(BG$13:BG$588,MATCH($B7,$B$13:$B$588,0)),"")</f>
        <v/>
      </c>
      <c r="BI6" s="125" t="str">
        <f>IFERROR(INDEX(BI$13:BI$588,MATCH($B7,$B$13:$B$588,0)),"")</f>
        <v/>
      </c>
      <c r="BJ6" s="125" t="str">
        <f>IFERROR(INDEX(BJ$13:BJ$588,MATCH($B7,$B$13:$B$588,0)),"")</f>
        <v/>
      </c>
      <c r="BK6" s="125" t="str">
        <f>IFERROR(INDEX(BK$13:BK$588,MATCH($B7,$B$13:$B$588,0)),"")</f>
        <v/>
      </c>
      <c r="BM6" s="125" t="str">
        <f>IFERROR(INDEX(BM$13:BM$588,MATCH($B7,$B$13:$B$588,0)),"")</f>
        <v/>
      </c>
      <c r="BN6" s="125" t="str">
        <f>IFERROR(INDEX(BN$13:BN$588,MATCH($B7,$B$13:$B$588,0)),"")</f>
        <v/>
      </c>
      <c r="BO6" s="125" t="str">
        <f>IFERROR(INDEX(BO$13:BO$588,MATCH($B7,$B$13:$B$588,0)),"")</f>
        <v/>
      </c>
      <c r="BP6" s="125" t="str">
        <f>IFERROR(INDEX(BP$13:BP$588,MATCH($B7,$B$13:$B$588,0)),"")</f>
        <v/>
      </c>
      <c r="BQ6" s="194"/>
      <c r="BR6" s="194"/>
      <c r="BS6" s="194"/>
      <c r="BT6" s="194"/>
      <c r="BU6" s="194"/>
      <c r="BV6" s="194"/>
      <c r="BW6" s="194"/>
      <c r="BX6" s="194"/>
      <c r="BY6" s="125" t="str">
        <f>IFERROR(INDEX(BY$13:BY$588,MATCH($B7,$B$13:$B$588,0)),"")</f>
        <v/>
      </c>
      <c r="BZ6" s="125" t="str">
        <f>IFERROR(INDEX(BZ$13:BZ$588,MATCH($B7,$B$13:$B$588,0)),"")</f>
        <v/>
      </c>
      <c r="CA6" s="125" t="str">
        <f>IFERROR(INDEX(CA$13:CA$588,MATCH($B7,$B$13:$B$588,0)),"")</f>
        <v/>
      </c>
      <c r="CC6" s="125" t="str">
        <f t="shared" ref="CC6:CI6" si="14">IFERROR(INDEX(CC$13:CC$588,MATCH($B7,$B$13:$B$588,0)),"")</f>
        <v/>
      </c>
      <c r="CD6" s="125" t="str">
        <f t="shared" si="14"/>
        <v/>
      </c>
      <c r="CE6" s="125" t="str">
        <f t="shared" si="14"/>
        <v/>
      </c>
      <c r="CF6" s="125" t="str">
        <f t="shared" si="14"/>
        <v/>
      </c>
      <c r="CG6" s="125" t="str">
        <f t="shared" si="14"/>
        <v/>
      </c>
      <c r="CH6" s="125" t="str">
        <f t="shared" si="14"/>
        <v/>
      </c>
      <c r="CI6" s="125" t="str">
        <f t="shared" si="14"/>
        <v/>
      </c>
      <c r="CK6" s="125" t="str">
        <f t="shared" ref="CK6:CQ6" si="15">IFERROR(INDEX(CK$13:CK$588,MATCH($B7,$B$13:$B$588,0)),"")</f>
        <v/>
      </c>
      <c r="CL6" s="125" t="str">
        <f t="shared" si="15"/>
        <v/>
      </c>
      <c r="CM6" s="125" t="str">
        <f t="shared" si="15"/>
        <v/>
      </c>
      <c r="CN6" s="125" t="str">
        <f t="shared" si="15"/>
        <v/>
      </c>
      <c r="CO6" s="125" t="str">
        <f t="shared" si="15"/>
        <v/>
      </c>
      <c r="CP6" s="125" t="str">
        <f t="shared" si="15"/>
        <v/>
      </c>
      <c r="CQ6" s="125" t="str">
        <f t="shared" si="15"/>
        <v/>
      </c>
      <c r="CS6" s="125" t="str">
        <f>IFERROR(INDEX(CS$13:CS$588,MATCH($B7,$B$13:$B$588,0)),"")</f>
        <v/>
      </c>
      <c r="CT6" s="125" t="str">
        <f>IFERROR(INDEX(CT$13:CT$588,MATCH($B7,$B$13:$B$588,0)),"")</f>
        <v/>
      </c>
      <c r="CU6" s="125" t="str">
        <f>IFERROR(INDEX(CU$13:CU$588,MATCH($B7,$B$13:$B$588,0)),"")</f>
        <v/>
      </c>
      <c r="CV6" s="125" t="str">
        <f>IFERROR(INDEX(CV$13:CV$588,MATCH($B7,$B$13:$B$588,0)),"")</f>
        <v/>
      </c>
      <c r="CX6" s="125" t="str">
        <f>IFERROR(INDEX(CX$13:CX$588,MATCH($B7,$B$13:$B$588,0)),"")</f>
        <v/>
      </c>
      <c r="CY6" s="125" t="str">
        <f>IFERROR(INDEX(CY$13:CY$588,MATCH($B7,$B$13:$B$588,0)),"")</f>
        <v/>
      </c>
      <c r="CZ6" s="125" t="str">
        <f>IFERROR(INDEX(CZ$13:CZ$588,MATCH($B7,$B$13:$B$588,0)),"")</f>
        <v/>
      </c>
      <c r="DB6" s="125" t="str">
        <f>IFERROR(INDEX(DB$13:DB$588,MATCH($B7,$B$13:$B$588,0)),"")</f>
        <v/>
      </c>
      <c r="DC6" s="125" t="str">
        <f>IFERROR(INDEX(DC$13:DC$588,MATCH($B7,$B$13:$B$588,0)),"")</f>
        <v/>
      </c>
      <c r="DD6" s="125" t="str">
        <f>IFERROR(INDEX(DD$13:DD$588,MATCH($B7,$B$13:$B$588,0)),"")</f>
        <v/>
      </c>
      <c r="DE6" s="125" t="str">
        <f>IFERROR(INDEX(DE$13:DE$588,MATCH($B7,$B$13:$B$588,0)),"")</f>
        <v/>
      </c>
      <c r="DF6" s="194"/>
      <c r="DG6" s="194"/>
      <c r="DH6" s="194"/>
      <c r="DI6" s="194"/>
      <c r="DJ6" s="194"/>
      <c r="DK6" s="194"/>
      <c r="DL6" s="194"/>
      <c r="DM6" s="194"/>
      <c r="DN6" s="125" t="str">
        <f>IFERROR(INDEX(DN$13:DN$588,MATCH($B7,$B$13:$B$588,0)),"")</f>
        <v/>
      </c>
      <c r="DO6" s="125" t="str">
        <f>IFERROR(INDEX(DO$13:DO$588,MATCH($B7,$B$13:$B$588,0)),"")</f>
        <v/>
      </c>
      <c r="DP6" s="125" t="str">
        <f>IFERROR(INDEX(DP$13:DP$588,MATCH($B7,$B$13:$B$588,0)),"")</f>
        <v/>
      </c>
      <c r="DR6" s="125" t="str">
        <f t="shared" ref="DR6:DX6" si="16">IFERROR(INDEX(DR$13:DR$588,MATCH($B7,$B$13:$B$588,0)),"")</f>
        <v/>
      </c>
      <c r="DS6" s="125" t="str">
        <f t="shared" si="16"/>
        <v/>
      </c>
      <c r="DT6" s="125" t="str">
        <f t="shared" si="16"/>
        <v/>
      </c>
      <c r="DU6" s="125" t="str">
        <f t="shared" si="16"/>
        <v/>
      </c>
      <c r="DV6" s="125" t="str">
        <f t="shared" si="16"/>
        <v/>
      </c>
      <c r="DW6" s="125" t="str">
        <f t="shared" si="16"/>
        <v/>
      </c>
      <c r="DX6" s="125" t="str">
        <f t="shared" si="16"/>
        <v/>
      </c>
      <c r="DZ6" s="125" t="str">
        <f t="shared" ref="DZ6:EF6" si="17">IFERROR(INDEX(DZ$13:DZ$588,MATCH($B7,$B$13:$B$588,0)),"")</f>
        <v/>
      </c>
      <c r="EA6" s="125" t="str">
        <f t="shared" si="17"/>
        <v/>
      </c>
      <c r="EB6" s="125" t="str">
        <f t="shared" si="17"/>
        <v/>
      </c>
      <c r="EC6" s="125" t="str">
        <f t="shared" si="17"/>
        <v/>
      </c>
      <c r="ED6" s="125" t="str">
        <f t="shared" si="17"/>
        <v/>
      </c>
      <c r="EE6" s="125" t="str">
        <f t="shared" si="17"/>
        <v/>
      </c>
      <c r="EF6" s="125" t="str">
        <f t="shared" si="17"/>
        <v/>
      </c>
      <c r="EH6" s="125" t="str">
        <f t="shared" ref="EH6:EN6" si="18">IFERROR(INDEX(EH$13:EH$588,MATCH($B7,$B$13:$B$588,0)),"")</f>
        <v/>
      </c>
      <c r="EI6" s="125" t="str">
        <f t="shared" si="18"/>
        <v/>
      </c>
      <c r="EJ6" s="125" t="str">
        <f t="shared" si="18"/>
        <v/>
      </c>
      <c r="EK6" s="125" t="str">
        <f t="shared" si="18"/>
        <v/>
      </c>
      <c r="EL6" s="125" t="str">
        <f t="shared" si="18"/>
        <v/>
      </c>
      <c r="EM6" s="125" t="str">
        <f t="shared" si="18"/>
        <v/>
      </c>
      <c r="EN6" s="125" t="str">
        <f t="shared" si="18"/>
        <v/>
      </c>
      <c r="EP6" s="125" t="str">
        <f>IFERROR(INDEX(EP$13:EP$588,MATCH($B7,$B$13:$B$588,0)),"")</f>
        <v/>
      </c>
      <c r="EQ6" s="125" t="str">
        <f>IFERROR(INDEX(EQ$13:EQ$588,MATCH($B7,$B$13:$B$588,0)),"")</f>
        <v/>
      </c>
      <c r="ER6" s="125" t="str">
        <f>IFERROR(INDEX(ER$13:ER$588,MATCH($B7,$B$13:$B$588,0)),"")</f>
        <v/>
      </c>
      <c r="ES6" s="125" t="str">
        <f>IFERROR(INDEX(ES$13:ES$588,MATCH($B7,$B$13:$B$588,0)),"")</f>
        <v/>
      </c>
      <c r="FB6" s="125" t="str">
        <f t="shared" ref="FB6:FQ6" si="19">IFERROR(INDEX(FB$13:FB$588,MATCH($B7,$B$13:$B$588,0)),"")</f>
        <v/>
      </c>
      <c r="FC6" s="125" t="str">
        <f t="shared" si="19"/>
        <v/>
      </c>
      <c r="FD6" s="125" t="str">
        <f t="shared" si="19"/>
        <v/>
      </c>
      <c r="FE6" s="125" t="str">
        <f t="shared" si="19"/>
        <v/>
      </c>
      <c r="FF6" s="125" t="str">
        <f t="shared" si="19"/>
        <v/>
      </c>
      <c r="FG6" s="125" t="str">
        <f t="shared" si="19"/>
        <v/>
      </c>
      <c r="FH6" s="125" t="str">
        <f t="shared" si="19"/>
        <v/>
      </c>
      <c r="FI6" s="125" t="str">
        <f t="shared" si="19"/>
        <v/>
      </c>
      <c r="FJ6" s="125" t="str">
        <f t="shared" si="19"/>
        <v/>
      </c>
      <c r="FK6" s="125" t="str">
        <f t="shared" si="19"/>
        <v/>
      </c>
      <c r="FL6" s="125" t="str">
        <f t="shared" si="19"/>
        <v/>
      </c>
      <c r="FM6" s="125" t="str">
        <f t="shared" si="19"/>
        <v/>
      </c>
      <c r="FN6" s="125" t="str">
        <f t="shared" si="19"/>
        <v/>
      </c>
      <c r="FO6" s="125" t="str">
        <f t="shared" si="19"/>
        <v/>
      </c>
      <c r="FP6" s="125" t="str">
        <f t="shared" si="19"/>
        <v/>
      </c>
      <c r="FQ6" s="125" t="str">
        <f t="shared" si="19"/>
        <v/>
      </c>
    </row>
    <row r="7" spans="1:238">
      <c r="B7" s="2" t="str">
        <f>_xlfn.CONCAT(B4,"-2")</f>
        <v>JS5331-2</v>
      </c>
      <c r="C7" s="2" t="str">
        <f t="shared" ref="C7:J7" si="20">IF(OR(C6="/",C6=0),"",IF(ISNUMBER(C6),ROUND(C6,2),C6))</f>
        <v/>
      </c>
      <c r="D7" s="2" t="str">
        <f t="shared" si="20"/>
        <v/>
      </c>
      <c r="E7" s="2" t="str">
        <f t="shared" si="20"/>
        <v/>
      </c>
      <c r="F7" s="2" t="str">
        <f t="shared" si="20"/>
        <v/>
      </c>
      <c r="G7" s="2" t="str">
        <f t="shared" si="20"/>
        <v/>
      </c>
      <c r="H7" s="2" t="str">
        <f t="shared" si="20"/>
        <v/>
      </c>
      <c r="I7" s="2" t="str">
        <f t="shared" si="20"/>
        <v/>
      </c>
      <c r="J7" s="2" t="str">
        <f t="shared" si="20"/>
        <v/>
      </c>
      <c r="N7" s="2" t="str">
        <f t="shared" ref="N7:V7" si="21">IF(OR(N6="/",N6=0),"",IF(ISNUMBER(N6),ROUND(N6,2),N6))</f>
        <v/>
      </c>
      <c r="O7" s="2" t="str">
        <f t="shared" si="21"/>
        <v/>
      </c>
      <c r="P7" s="2" t="str">
        <f t="shared" si="21"/>
        <v/>
      </c>
      <c r="Q7" s="2" t="str">
        <f t="shared" si="21"/>
        <v/>
      </c>
      <c r="R7" s="2" t="str">
        <f t="shared" si="21"/>
        <v/>
      </c>
      <c r="S7" s="2" t="str">
        <f t="shared" si="21"/>
        <v/>
      </c>
      <c r="T7" s="2" t="str">
        <f t="shared" si="21"/>
        <v/>
      </c>
      <c r="U7" s="2" t="str">
        <f t="shared" si="21"/>
        <v/>
      </c>
      <c r="V7" s="2" t="str">
        <f t="shared" si="21"/>
        <v/>
      </c>
      <c r="Y7" s="2" t="str">
        <f>IF(OR(Y6="/",Y6=0),"",IF(ISNUMBER(Y6),ROUND(Y6,2),Y6))</f>
        <v/>
      </c>
      <c r="Z7" s="2" t="str">
        <f>IF(OR(Z6="/",Z6=0),"",IF(ISNUMBER(Z6),ROUND(Z6,2),Z6))</f>
        <v/>
      </c>
      <c r="AA7" s="2" t="str">
        <f>IF(OR(AA6="/",AA6=0),"",IF(ISNUMBER(AA6),ROUND(AA6,2),AA6))</f>
        <v/>
      </c>
      <c r="AB7" s="2" t="str">
        <f>IF(OR(AB6="/",AB6=0),"",IF(ISNUMBER(AB6),ROUND(AB6,2),AB6))</f>
        <v/>
      </c>
      <c r="AC7" s="2" t="str">
        <f>IF(OR(AC6="/",AC6=0),"",IF(ISNUMBER(AC6),ROUND(AC6,2),AC6))</f>
        <v/>
      </c>
      <c r="AF7" s="2" t="str">
        <f t="shared" ref="AF7:AR7" si="22">IF(OR(AF6="/",AF6=0),"",IF(ISNUMBER(AF6),ROUND(AF6,2),AF6))</f>
        <v/>
      </c>
      <c r="AG7" s="2" t="str">
        <f t="shared" si="22"/>
        <v/>
      </c>
      <c r="AH7" s="2" t="str">
        <f t="shared" si="22"/>
        <v/>
      </c>
      <c r="AI7" s="2" t="str">
        <f t="shared" si="22"/>
        <v/>
      </c>
      <c r="AJ7" s="2" t="str">
        <f t="shared" si="22"/>
        <v/>
      </c>
      <c r="AK7" s="2" t="str">
        <f t="shared" si="22"/>
        <v/>
      </c>
      <c r="AL7" s="2" t="str">
        <f t="shared" si="22"/>
        <v/>
      </c>
      <c r="AM7" s="2" t="str">
        <f t="shared" si="22"/>
        <v/>
      </c>
      <c r="AN7" s="2" t="str">
        <f t="shared" si="22"/>
        <v/>
      </c>
      <c r="AO7" s="2" t="str">
        <f t="shared" si="22"/>
        <v/>
      </c>
      <c r="AP7" s="2" t="str">
        <f t="shared" si="22"/>
        <v/>
      </c>
      <c r="AQ7" s="2" t="str">
        <f t="shared" si="22"/>
        <v/>
      </c>
      <c r="AR7" s="2" t="str">
        <f t="shared" si="22"/>
        <v/>
      </c>
      <c r="AV7" s="2" t="str">
        <f t="shared" ref="AV7:BG7" si="23">IF(OR(AV6="/",AV6=0),"",IF(ISNUMBER(AV6),ROUND(AV6,2),AV6))</f>
        <v/>
      </c>
      <c r="AW7" s="2" t="str">
        <f t="shared" si="23"/>
        <v/>
      </c>
      <c r="AX7" s="2" t="str">
        <f t="shared" si="23"/>
        <v/>
      </c>
      <c r="AY7" s="2" t="str">
        <f t="shared" si="23"/>
        <v/>
      </c>
      <c r="AZ7" s="2" t="str">
        <f t="shared" si="23"/>
        <v/>
      </c>
      <c r="BA7" s="2" t="str">
        <f t="shared" si="23"/>
        <v/>
      </c>
      <c r="BB7" s="2" t="str">
        <f t="shared" si="23"/>
        <v/>
      </c>
      <c r="BD7" s="2" t="str">
        <f t="shared" si="23"/>
        <v/>
      </c>
      <c r="BE7" s="2" t="str">
        <f t="shared" si="23"/>
        <v/>
      </c>
      <c r="BF7" s="2" t="str">
        <f t="shared" si="23"/>
        <v/>
      </c>
      <c r="BG7" s="2" t="str">
        <f t="shared" si="23"/>
        <v/>
      </c>
      <c r="BI7" s="2" t="str">
        <f t="shared" ref="BI7:BP7" si="24">IF(OR(BI6="/",BI6=0),"",IF(ISNUMBER(BI6),ROUND(BI6,2),BI6))</f>
        <v/>
      </c>
      <c r="BJ7" s="2" t="str">
        <f t="shared" si="24"/>
        <v/>
      </c>
      <c r="BK7" s="2" t="str">
        <f t="shared" si="24"/>
        <v/>
      </c>
      <c r="BM7" s="2" t="str">
        <f t="shared" si="24"/>
        <v/>
      </c>
      <c r="BN7" s="2" t="str">
        <f t="shared" si="24"/>
        <v/>
      </c>
      <c r="BO7" s="2" t="str">
        <f t="shared" si="24"/>
        <v/>
      </c>
      <c r="BP7" s="2" t="str">
        <f t="shared" si="24"/>
        <v/>
      </c>
      <c r="BY7" s="2" t="str">
        <f t="shared" ref="BY7:CV7" si="25">IF(OR(BY6="/",BY6=0),"",IF(ISNUMBER(BY6),ROUND(BY6,2),BY6))</f>
        <v/>
      </c>
      <c r="BZ7" s="2" t="str">
        <f t="shared" si="25"/>
        <v/>
      </c>
      <c r="CA7" s="2" t="str">
        <f t="shared" si="25"/>
        <v/>
      </c>
      <c r="CC7" s="2" t="str">
        <f t="shared" si="25"/>
        <v/>
      </c>
      <c r="CD7" s="2" t="str">
        <f t="shared" si="25"/>
        <v/>
      </c>
      <c r="CE7" s="2" t="str">
        <f t="shared" si="25"/>
        <v/>
      </c>
      <c r="CF7" s="2" t="str">
        <f t="shared" si="25"/>
        <v/>
      </c>
      <c r="CG7" s="2" t="str">
        <f t="shared" si="25"/>
        <v/>
      </c>
      <c r="CH7" s="2" t="str">
        <f t="shared" si="25"/>
        <v/>
      </c>
      <c r="CI7" s="2" t="str">
        <f t="shared" si="25"/>
        <v/>
      </c>
      <c r="CK7" s="2" t="str">
        <f t="shared" si="25"/>
        <v/>
      </c>
      <c r="CL7" s="2" t="str">
        <f t="shared" si="25"/>
        <v/>
      </c>
      <c r="CM7" s="2" t="str">
        <f t="shared" si="25"/>
        <v/>
      </c>
      <c r="CN7" s="2" t="str">
        <f t="shared" si="25"/>
        <v/>
      </c>
      <c r="CO7" s="2" t="str">
        <f t="shared" si="25"/>
        <v/>
      </c>
      <c r="CP7" s="2" t="str">
        <f t="shared" si="25"/>
        <v/>
      </c>
      <c r="CQ7" s="2" t="str">
        <f t="shared" si="25"/>
        <v/>
      </c>
      <c r="CS7" s="2" t="str">
        <f t="shared" si="25"/>
        <v/>
      </c>
      <c r="CT7" s="2" t="str">
        <f t="shared" si="25"/>
        <v/>
      </c>
      <c r="CU7" s="2" t="str">
        <f t="shared" si="25"/>
        <v/>
      </c>
      <c r="CV7" s="2" t="str">
        <f t="shared" si="25"/>
        <v/>
      </c>
      <c r="CX7" s="2" t="str">
        <f t="shared" ref="CX7:DE7" si="26">IF(OR(CX6="/",CX6=0),"",IF(ISNUMBER(CX6),ROUND(CX6,2),CX6))</f>
        <v/>
      </c>
      <c r="CY7" s="2" t="str">
        <f t="shared" si="26"/>
        <v/>
      </c>
      <c r="CZ7" s="2" t="str">
        <f t="shared" si="26"/>
        <v/>
      </c>
      <c r="DB7" s="2" t="str">
        <f t="shared" si="26"/>
        <v/>
      </c>
      <c r="DC7" s="2" t="str">
        <f t="shared" si="26"/>
        <v/>
      </c>
      <c r="DD7" s="2" t="str">
        <f t="shared" si="26"/>
        <v/>
      </c>
      <c r="DE7" s="2" t="str">
        <f t="shared" si="26"/>
        <v/>
      </c>
      <c r="DN7" s="2" t="str">
        <f t="shared" ref="DN7:ES7" si="27">IF(OR(DN6="/",DN6=0),"",IF(ISNUMBER(DN6),ROUND(DN6,2),DN6))</f>
        <v/>
      </c>
      <c r="DO7" s="2" t="str">
        <f t="shared" si="27"/>
        <v/>
      </c>
      <c r="DP7" s="2" t="str">
        <f t="shared" si="27"/>
        <v/>
      </c>
      <c r="DR7" s="2" t="str">
        <f t="shared" si="27"/>
        <v/>
      </c>
      <c r="DS7" s="2" t="str">
        <f t="shared" si="27"/>
        <v/>
      </c>
      <c r="DT7" s="2" t="str">
        <f t="shared" si="27"/>
        <v/>
      </c>
      <c r="DU7" s="2" t="str">
        <f t="shared" si="27"/>
        <v/>
      </c>
      <c r="DV7" s="2" t="str">
        <f t="shared" si="27"/>
        <v/>
      </c>
      <c r="DW7" s="2" t="str">
        <f t="shared" si="27"/>
        <v/>
      </c>
      <c r="DX7" s="2" t="str">
        <f t="shared" si="27"/>
        <v/>
      </c>
      <c r="DZ7" s="2" t="str">
        <f t="shared" si="27"/>
        <v/>
      </c>
      <c r="EA7" s="2" t="str">
        <f t="shared" si="27"/>
        <v/>
      </c>
      <c r="EB7" s="2" t="str">
        <f t="shared" si="27"/>
        <v/>
      </c>
      <c r="EC7" s="2" t="str">
        <f t="shared" si="27"/>
        <v/>
      </c>
      <c r="ED7" s="2" t="str">
        <f t="shared" si="27"/>
        <v/>
      </c>
      <c r="EE7" s="2" t="str">
        <f t="shared" si="27"/>
        <v/>
      </c>
      <c r="EF7" s="2" t="str">
        <f t="shared" si="27"/>
        <v/>
      </c>
      <c r="EH7" s="2" t="str">
        <f t="shared" si="27"/>
        <v/>
      </c>
      <c r="EI7" s="2" t="str">
        <f t="shared" si="27"/>
        <v/>
      </c>
      <c r="EJ7" s="2" t="str">
        <f t="shared" si="27"/>
        <v/>
      </c>
      <c r="EK7" s="2" t="str">
        <f t="shared" si="27"/>
        <v/>
      </c>
      <c r="EL7" s="2" t="str">
        <f t="shared" si="27"/>
        <v/>
      </c>
      <c r="EM7" s="2" t="str">
        <f t="shared" si="27"/>
        <v/>
      </c>
      <c r="EN7" s="2" t="str">
        <f t="shared" si="27"/>
        <v/>
      </c>
      <c r="EP7" s="2" t="str">
        <f t="shared" si="27"/>
        <v/>
      </c>
      <c r="EQ7" s="2" t="str">
        <f t="shared" si="27"/>
        <v/>
      </c>
      <c r="ER7" s="2" t="str">
        <f t="shared" si="27"/>
        <v/>
      </c>
      <c r="ES7" s="2" t="str">
        <f t="shared" si="27"/>
        <v/>
      </c>
      <c r="FB7" s="2" t="str">
        <f t="shared" ref="FB7:FQ7" si="28">IF(OR(FB6="/",FB6=0),"",IF(ISNUMBER(FB6),ROUND(FB6,2),FB6))</f>
        <v/>
      </c>
      <c r="FC7" s="2" t="str">
        <f t="shared" si="28"/>
        <v/>
      </c>
      <c r="FD7" s="2" t="str">
        <f t="shared" si="28"/>
        <v/>
      </c>
      <c r="FE7" s="2" t="str">
        <f t="shared" si="28"/>
        <v/>
      </c>
      <c r="FF7" s="2" t="str">
        <f t="shared" si="28"/>
        <v/>
      </c>
      <c r="FG7" s="2" t="str">
        <f t="shared" si="28"/>
        <v/>
      </c>
      <c r="FH7" s="2" t="str">
        <f t="shared" si="28"/>
        <v/>
      </c>
      <c r="FI7" s="2" t="str">
        <f t="shared" si="28"/>
        <v/>
      </c>
      <c r="FJ7" s="2" t="str">
        <f t="shared" si="28"/>
        <v/>
      </c>
      <c r="FK7" s="2" t="str">
        <f t="shared" si="28"/>
        <v/>
      </c>
      <c r="FL7" s="2" t="str">
        <f t="shared" si="28"/>
        <v/>
      </c>
      <c r="FM7" s="2" t="str">
        <f t="shared" si="28"/>
        <v/>
      </c>
      <c r="FN7" s="2" t="str">
        <f t="shared" si="28"/>
        <v/>
      </c>
      <c r="FO7" s="2" t="str">
        <f t="shared" si="28"/>
        <v/>
      </c>
      <c r="FP7" s="2" t="str">
        <f t="shared" si="28"/>
        <v/>
      </c>
      <c r="FQ7" s="2" t="str">
        <f t="shared" si="28"/>
        <v/>
      </c>
    </row>
    <row r="8" spans="1:238" s="125" customFormat="1">
      <c r="A8" s="361"/>
      <c r="B8" s="125" t="s">
        <v>707</v>
      </c>
      <c r="C8" s="125" t="str">
        <f t="shared" ref="C8:J8" si="29">IFERROR(INDEX(C$13:C$588,MATCH($B9,$B$13:$B$588,0)),"")</f>
        <v/>
      </c>
      <c r="D8" s="125" t="str">
        <f t="shared" si="29"/>
        <v/>
      </c>
      <c r="E8" s="125" t="str">
        <f t="shared" si="29"/>
        <v/>
      </c>
      <c r="F8" s="125" t="str">
        <f t="shared" si="29"/>
        <v/>
      </c>
      <c r="G8" s="125" t="str">
        <f t="shared" si="29"/>
        <v/>
      </c>
      <c r="H8" s="125" t="str">
        <f t="shared" si="29"/>
        <v/>
      </c>
      <c r="I8" s="125" t="str">
        <f t="shared" si="29"/>
        <v/>
      </c>
      <c r="J8" s="125" t="str">
        <f t="shared" si="29"/>
        <v/>
      </c>
      <c r="N8" s="125" t="str">
        <f t="shared" ref="N8:V8" si="30">IFERROR(INDEX(N$13:N$588,MATCH($B9,$B$13:$B$588,0)),"")</f>
        <v/>
      </c>
      <c r="O8" s="125" t="str">
        <f t="shared" si="30"/>
        <v/>
      </c>
      <c r="P8" s="125" t="str">
        <f t="shared" si="30"/>
        <v/>
      </c>
      <c r="Q8" s="125" t="str">
        <f t="shared" si="30"/>
        <v/>
      </c>
      <c r="R8" s="125" t="str">
        <f t="shared" si="30"/>
        <v/>
      </c>
      <c r="S8" s="125" t="str">
        <f t="shared" si="30"/>
        <v/>
      </c>
      <c r="T8" s="125" t="str">
        <f t="shared" si="30"/>
        <v/>
      </c>
      <c r="U8" s="125" t="str">
        <f t="shared" si="30"/>
        <v/>
      </c>
      <c r="V8" s="125" t="str">
        <f t="shared" si="30"/>
        <v/>
      </c>
      <c r="Y8" s="125" t="str">
        <f>IFERROR(INDEX(Y$13:Y$588,MATCH($B9,$B$13:$B$588,0)),"")</f>
        <v/>
      </c>
      <c r="Z8" s="125" t="str">
        <f>IFERROR(INDEX(Z$13:Z$588,MATCH($B9,$B$13:$B$588,0)),"")</f>
        <v/>
      </c>
      <c r="AA8" s="125" t="str">
        <f>IFERROR(INDEX(AA$13:AA$588,MATCH($B9,$B$13:$B$588,0)),"")</f>
        <v/>
      </c>
      <c r="AB8" s="125" t="str">
        <f>IFERROR(INDEX(AB$13:AB$588,MATCH($B9,$B$13:$B$588,0)),"")</f>
        <v/>
      </c>
      <c r="AC8" s="125" t="str">
        <f>IFERROR(INDEX(AC$13:AC$588,MATCH($B9,$B$13:$B$588,0)),"")</f>
        <v/>
      </c>
      <c r="AF8" s="125" t="str">
        <f t="shared" ref="AF8:AR8" si="31">IFERROR(INDEX(AF$13:AF$588,MATCH($B9,$B$13:$B$588,0)),"")</f>
        <v/>
      </c>
      <c r="AG8" s="125" t="str">
        <f t="shared" si="31"/>
        <v/>
      </c>
      <c r="AH8" s="125" t="str">
        <f t="shared" si="31"/>
        <v/>
      </c>
      <c r="AI8" s="125" t="str">
        <f t="shared" si="31"/>
        <v/>
      </c>
      <c r="AJ8" s="125" t="str">
        <f t="shared" si="31"/>
        <v/>
      </c>
      <c r="AK8" s="125" t="str">
        <f t="shared" si="31"/>
        <v/>
      </c>
      <c r="AL8" s="125" t="str">
        <f t="shared" si="31"/>
        <v/>
      </c>
      <c r="AM8" s="125" t="str">
        <f t="shared" si="31"/>
        <v/>
      </c>
      <c r="AN8" s="125" t="str">
        <f t="shared" si="31"/>
        <v/>
      </c>
      <c r="AO8" s="125" t="str">
        <f t="shared" si="31"/>
        <v/>
      </c>
      <c r="AP8" s="125" t="str">
        <f t="shared" si="31"/>
        <v/>
      </c>
      <c r="AQ8" s="125" t="str">
        <f t="shared" si="31"/>
        <v/>
      </c>
      <c r="AR8" s="125" t="str">
        <f t="shared" si="31"/>
        <v/>
      </c>
      <c r="AV8" s="125" t="str">
        <f t="shared" ref="AV8:BB8" si="32">IFERROR(INDEX(AV$13:AV$588,MATCH($B9,$B$13:$B$588,0)),"")</f>
        <v/>
      </c>
      <c r="AW8" s="125" t="str">
        <f t="shared" si="32"/>
        <v/>
      </c>
      <c r="AX8" s="125" t="str">
        <f t="shared" si="32"/>
        <v/>
      </c>
      <c r="AY8" s="125" t="str">
        <f t="shared" si="32"/>
        <v/>
      </c>
      <c r="AZ8" s="125" t="str">
        <f t="shared" si="32"/>
        <v/>
      </c>
      <c r="BA8" s="125" t="str">
        <f t="shared" si="32"/>
        <v/>
      </c>
      <c r="BB8" s="125" t="str">
        <f t="shared" si="32"/>
        <v/>
      </c>
      <c r="BD8" s="125" t="str">
        <f>IFERROR(INDEX(BD$13:BD$588,MATCH($B9,$B$13:$B$588,0)),"")</f>
        <v/>
      </c>
      <c r="BE8" s="125" t="str">
        <f>IFERROR(INDEX(BE$13:BE$588,MATCH($B9,$B$13:$B$588,0)),"")</f>
        <v/>
      </c>
      <c r="BF8" s="125" t="str">
        <f>IFERROR(INDEX(BF$13:BF$588,MATCH($B9,$B$13:$B$588,0)),"")</f>
        <v/>
      </c>
      <c r="BG8" s="125" t="str">
        <f>IFERROR(INDEX(BG$13:BG$588,MATCH($B9,$B$13:$B$588,0)),"")</f>
        <v/>
      </c>
      <c r="BI8" s="125" t="str">
        <f>IFERROR(INDEX(BI$13:BI$588,MATCH($B9,$B$13:$B$588,0)),"")</f>
        <v/>
      </c>
      <c r="BJ8" s="125" t="str">
        <f>IFERROR(INDEX(BJ$13:BJ$588,MATCH($B9,$B$13:$B$588,0)),"")</f>
        <v/>
      </c>
      <c r="BK8" s="125" t="str">
        <f>IFERROR(INDEX(BK$13:BK$588,MATCH($B9,$B$13:$B$588,0)),"")</f>
        <v/>
      </c>
      <c r="BM8" s="125" t="str">
        <f>IFERROR(INDEX(BM$13:BM$588,MATCH($B9,$B$13:$B$588,0)),"")</f>
        <v/>
      </c>
      <c r="BN8" s="125" t="str">
        <f>IFERROR(INDEX(BN$13:BN$588,MATCH($B9,$B$13:$B$588,0)),"")</f>
        <v/>
      </c>
      <c r="BO8" s="125" t="str">
        <f>IFERROR(INDEX(BO$13:BO$588,MATCH($B9,$B$13:$B$588,0)),"")</f>
        <v/>
      </c>
      <c r="BP8" s="125" t="str">
        <f>IFERROR(INDEX(BP$13:BP$588,MATCH($B9,$B$13:$B$588,0)),"")</f>
        <v/>
      </c>
      <c r="BQ8" s="194"/>
      <c r="BR8" s="194"/>
      <c r="BS8" s="194"/>
      <c r="BT8" s="194"/>
      <c r="BU8" s="194"/>
      <c r="BV8" s="194"/>
      <c r="BW8" s="194"/>
      <c r="BX8" s="194"/>
      <c r="BY8" s="125" t="str">
        <f>IFERROR(INDEX(BY$13:BY$588,MATCH($B9,$B$13:$B$588,0)),"")</f>
        <v/>
      </c>
      <c r="BZ8" s="125" t="str">
        <f>IFERROR(INDEX(BZ$13:BZ$588,MATCH($B9,$B$13:$B$588,0)),"")</f>
        <v/>
      </c>
      <c r="CA8" s="125" t="str">
        <f>IFERROR(INDEX(CA$13:CA$588,MATCH($B9,$B$13:$B$588,0)),"")</f>
        <v/>
      </c>
      <c r="CC8" s="125" t="str">
        <f t="shared" ref="CC8:CI8" si="33">IFERROR(INDEX(CC$13:CC$588,MATCH($B9,$B$13:$B$588,0)),"")</f>
        <v/>
      </c>
      <c r="CD8" s="125" t="str">
        <f t="shared" si="33"/>
        <v/>
      </c>
      <c r="CE8" s="125" t="str">
        <f t="shared" si="33"/>
        <v/>
      </c>
      <c r="CF8" s="125" t="str">
        <f t="shared" si="33"/>
        <v/>
      </c>
      <c r="CG8" s="125" t="str">
        <f t="shared" si="33"/>
        <v/>
      </c>
      <c r="CH8" s="125" t="str">
        <f t="shared" si="33"/>
        <v/>
      </c>
      <c r="CI8" s="125" t="str">
        <f t="shared" si="33"/>
        <v/>
      </c>
      <c r="CK8" s="125" t="str">
        <f t="shared" ref="CK8:CQ8" si="34">IFERROR(INDEX(CK$13:CK$588,MATCH($B9,$B$13:$B$588,0)),"")</f>
        <v/>
      </c>
      <c r="CL8" s="125" t="str">
        <f t="shared" si="34"/>
        <v/>
      </c>
      <c r="CM8" s="125" t="str">
        <f t="shared" si="34"/>
        <v/>
      </c>
      <c r="CN8" s="125" t="str">
        <f t="shared" si="34"/>
        <v/>
      </c>
      <c r="CO8" s="125" t="str">
        <f t="shared" si="34"/>
        <v/>
      </c>
      <c r="CP8" s="125" t="str">
        <f t="shared" si="34"/>
        <v/>
      </c>
      <c r="CQ8" s="125" t="str">
        <f t="shared" si="34"/>
        <v/>
      </c>
      <c r="CS8" s="125" t="str">
        <f>IFERROR(INDEX(CS$13:CS$588,MATCH($B9,$B$13:$B$588,0)),"")</f>
        <v/>
      </c>
      <c r="CT8" s="125" t="str">
        <f>IFERROR(INDEX(CT$13:CT$588,MATCH($B9,$B$13:$B$588,0)),"")</f>
        <v/>
      </c>
      <c r="CU8" s="125" t="str">
        <f>IFERROR(INDEX(CU$13:CU$588,MATCH($B9,$B$13:$B$588,0)),"")</f>
        <v/>
      </c>
      <c r="CV8" s="125" t="str">
        <f>IFERROR(INDEX(CV$13:CV$588,MATCH($B9,$B$13:$B$588,0)),"")</f>
        <v/>
      </c>
      <c r="CX8" s="125" t="str">
        <f>IFERROR(INDEX(CX$13:CX$588,MATCH($B9,$B$13:$B$588,0)),"")</f>
        <v/>
      </c>
      <c r="CY8" s="125" t="str">
        <f>IFERROR(INDEX(CY$13:CY$588,MATCH($B9,$B$13:$B$588,0)),"")</f>
        <v/>
      </c>
      <c r="CZ8" s="125" t="str">
        <f>IFERROR(INDEX(CZ$13:CZ$588,MATCH($B9,$B$13:$B$588,0)),"")</f>
        <v/>
      </c>
      <c r="DB8" s="125" t="str">
        <f>IFERROR(INDEX(DB$13:DB$588,MATCH($B9,$B$13:$B$588,0)),"")</f>
        <v/>
      </c>
      <c r="DC8" s="125" t="str">
        <f>IFERROR(INDEX(DC$13:DC$588,MATCH($B9,$B$13:$B$588,0)),"")</f>
        <v/>
      </c>
      <c r="DD8" s="125" t="str">
        <f>IFERROR(INDEX(DD$13:DD$588,MATCH($B9,$B$13:$B$588,0)),"")</f>
        <v/>
      </c>
      <c r="DE8" s="125" t="str">
        <f>IFERROR(INDEX(DE$13:DE$588,MATCH($B9,$B$13:$B$588,0)),"")</f>
        <v/>
      </c>
      <c r="DF8" s="194"/>
      <c r="DG8" s="194"/>
      <c r="DH8" s="194"/>
      <c r="DI8" s="194"/>
      <c r="DJ8" s="194"/>
      <c r="DK8" s="194"/>
      <c r="DL8" s="194"/>
      <c r="DM8" s="194"/>
      <c r="DN8" s="125" t="str">
        <f>IFERROR(INDEX(DN$13:DN$588,MATCH($B9,$B$13:$B$588,0)),"")</f>
        <v/>
      </c>
      <c r="DO8" s="125" t="str">
        <f>IFERROR(INDEX(DO$13:DO$588,MATCH($B9,$B$13:$B$588,0)),"")</f>
        <v/>
      </c>
      <c r="DP8" s="125" t="str">
        <f>IFERROR(INDEX(DP$13:DP$588,MATCH($B9,$B$13:$B$588,0)),"")</f>
        <v/>
      </c>
      <c r="DR8" s="125" t="str">
        <f t="shared" ref="DR8:DX8" si="35">IFERROR(INDEX(DR$13:DR$588,MATCH($B9,$B$13:$B$588,0)),"")</f>
        <v/>
      </c>
      <c r="DS8" s="125" t="str">
        <f t="shared" si="35"/>
        <v/>
      </c>
      <c r="DT8" s="125" t="str">
        <f t="shared" si="35"/>
        <v/>
      </c>
      <c r="DU8" s="125" t="str">
        <f t="shared" si="35"/>
        <v/>
      </c>
      <c r="DV8" s="125" t="str">
        <f t="shared" si="35"/>
        <v/>
      </c>
      <c r="DW8" s="125" t="str">
        <f t="shared" si="35"/>
        <v/>
      </c>
      <c r="DX8" s="125" t="str">
        <f t="shared" si="35"/>
        <v/>
      </c>
      <c r="DZ8" s="125" t="str">
        <f t="shared" ref="DZ8:EF8" si="36">IFERROR(INDEX(DZ$13:DZ$588,MATCH($B9,$B$13:$B$588,0)),"")</f>
        <v/>
      </c>
      <c r="EA8" s="125" t="str">
        <f t="shared" si="36"/>
        <v/>
      </c>
      <c r="EB8" s="125" t="str">
        <f t="shared" si="36"/>
        <v/>
      </c>
      <c r="EC8" s="125" t="str">
        <f t="shared" si="36"/>
        <v/>
      </c>
      <c r="ED8" s="125" t="str">
        <f t="shared" si="36"/>
        <v/>
      </c>
      <c r="EE8" s="125" t="str">
        <f t="shared" si="36"/>
        <v/>
      </c>
      <c r="EF8" s="125" t="str">
        <f t="shared" si="36"/>
        <v/>
      </c>
      <c r="EH8" s="125" t="str">
        <f t="shared" ref="EH8:EN8" si="37">IFERROR(INDEX(EH$13:EH$588,MATCH($B9,$B$13:$B$588,0)),"")</f>
        <v/>
      </c>
      <c r="EI8" s="125" t="str">
        <f t="shared" si="37"/>
        <v/>
      </c>
      <c r="EJ8" s="125" t="str">
        <f t="shared" si="37"/>
        <v/>
      </c>
      <c r="EK8" s="125" t="str">
        <f t="shared" si="37"/>
        <v/>
      </c>
      <c r="EL8" s="125" t="str">
        <f t="shared" si="37"/>
        <v/>
      </c>
      <c r="EM8" s="125" t="str">
        <f t="shared" si="37"/>
        <v/>
      </c>
      <c r="EN8" s="125" t="str">
        <f t="shared" si="37"/>
        <v/>
      </c>
      <c r="EP8" s="125" t="str">
        <f>IFERROR(INDEX(EP$13:EP$588,MATCH($B9,$B$13:$B$588,0)),"")</f>
        <v/>
      </c>
      <c r="EQ8" s="125" t="str">
        <f>IFERROR(INDEX(EQ$13:EQ$588,MATCH($B9,$B$13:$B$588,0)),"")</f>
        <v/>
      </c>
      <c r="ER8" s="125" t="str">
        <f>IFERROR(INDEX(ER$13:ER$588,MATCH($B9,$B$13:$B$588,0)),"")</f>
        <v/>
      </c>
      <c r="ES8" s="125" t="str">
        <f>IFERROR(INDEX(ES$13:ES$588,MATCH($B9,$B$13:$B$588,0)),"")</f>
        <v/>
      </c>
      <c r="FB8" s="125" t="str">
        <f t="shared" ref="FB8:FQ8" si="38">IFERROR(INDEX(FB$13:FB$588,MATCH($B9,$B$13:$B$588,0)),"")</f>
        <v/>
      </c>
      <c r="FC8" s="125" t="str">
        <f t="shared" si="38"/>
        <v/>
      </c>
      <c r="FD8" s="125" t="str">
        <f t="shared" si="38"/>
        <v/>
      </c>
      <c r="FE8" s="125" t="str">
        <f t="shared" si="38"/>
        <v/>
      </c>
      <c r="FF8" s="125" t="str">
        <f t="shared" si="38"/>
        <v/>
      </c>
      <c r="FG8" s="125" t="str">
        <f t="shared" si="38"/>
        <v/>
      </c>
      <c r="FH8" s="125" t="str">
        <f t="shared" si="38"/>
        <v/>
      </c>
      <c r="FI8" s="125" t="str">
        <f t="shared" si="38"/>
        <v/>
      </c>
      <c r="FJ8" s="125" t="str">
        <f t="shared" si="38"/>
        <v/>
      </c>
      <c r="FK8" s="125" t="str">
        <f t="shared" si="38"/>
        <v/>
      </c>
      <c r="FL8" s="125" t="str">
        <f t="shared" si="38"/>
        <v/>
      </c>
      <c r="FM8" s="125" t="str">
        <f t="shared" si="38"/>
        <v/>
      </c>
      <c r="FN8" s="125" t="str">
        <f t="shared" si="38"/>
        <v/>
      </c>
      <c r="FO8" s="125" t="str">
        <f t="shared" si="38"/>
        <v/>
      </c>
      <c r="FP8" s="125" t="str">
        <f t="shared" si="38"/>
        <v/>
      </c>
      <c r="FQ8" s="125" t="str">
        <f t="shared" si="38"/>
        <v/>
      </c>
    </row>
    <row r="9" spans="1:238">
      <c r="B9" s="2" t="str">
        <f>_xlfn.CONCAT(B4,"-3")</f>
        <v>JS5331-3</v>
      </c>
      <c r="C9" s="2" t="str">
        <f t="shared" ref="C9:J9" si="39">IF(OR(C8="/",C8=0),"",IF(ISNUMBER(C8),ROUND(C8,2),C8))</f>
        <v/>
      </c>
      <c r="D9" s="2" t="str">
        <f t="shared" si="39"/>
        <v/>
      </c>
      <c r="E9" s="2" t="str">
        <f t="shared" si="39"/>
        <v/>
      </c>
      <c r="F9" s="2" t="str">
        <f t="shared" si="39"/>
        <v/>
      </c>
      <c r="G9" s="2" t="str">
        <f t="shared" si="39"/>
        <v/>
      </c>
      <c r="H9" s="2" t="str">
        <f t="shared" si="39"/>
        <v/>
      </c>
      <c r="I9" s="2" t="str">
        <f t="shared" si="39"/>
        <v/>
      </c>
      <c r="J9" s="2" t="str">
        <f t="shared" si="39"/>
        <v/>
      </c>
      <c r="N9" s="2" t="str">
        <f t="shared" ref="N9:V9" si="40">IF(OR(N8="/",N8=0),"",IF(ISNUMBER(N8),ROUND(N8,2),N8))</f>
        <v/>
      </c>
      <c r="O9" s="2" t="str">
        <f t="shared" si="40"/>
        <v/>
      </c>
      <c r="P9" s="2" t="str">
        <f t="shared" si="40"/>
        <v/>
      </c>
      <c r="Q9" s="2" t="str">
        <f t="shared" si="40"/>
        <v/>
      </c>
      <c r="R9" s="2" t="str">
        <f t="shared" si="40"/>
        <v/>
      </c>
      <c r="S9" s="2" t="str">
        <f t="shared" si="40"/>
        <v/>
      </c>
      <c r="T9" s="2" t="str">
        <f t="shared" si="40"/>
        <v/>
      </c>
      <c r="U9" s="2" t="str">
        <f t="shared" si="40"/>
        <v/>
      </c>
      <c r="V9" s="2" t="str">
        <f t="shared" si="40"/>
        <v/>
      </c>
      <c r="Y9" s="2" t="str">
        <f>IF(OR(Y8="/",Y8=0),"",IF(ISNUMBER(Y8),ROUND(Y8,2),Y8))</f>
        <v/>
      </c>
      <c r="Z9" s="2" t="str">
        <f>IF(OR(Z8="/",Z8=0),"",IF(ISNUMBER(Z8),ROUND(Z8,2),Z8))</f>
        <v/>
      </c>
      <c r="AA9" s="2" t="str">
        <f>IF(OR(AA8="/",AA8=0),"",IF(ISNUMBER(AA8),ROUND(AA8,2),AA8))</f>
        <v/>
      </c>
      <c r="AB9" s="2" t="str">
        <f>IF(OR(AB8="/",AB8=0),"",IF(ISNUMBER(AB8),ROUND(AB8,2),AB8))</f>
        <v/>
      </c>
      <c r="AC9" s="2" t="str">
        <f>IF(OR(AC8="/",AC8=0),"",IF(ISNUMBER(AC8),ROUND(AC8,2),AC8))</f>
        <v/>
      </c>
      <c r="AF9" s="2" t="str">
        <f t="shared" ref="AF9:AR9" si="41">IF(OR(AF8="/",AF8=0),"",IF(ISNUMBER(AF8),ROUND(AF8,2),AF8))</f>
        <v/>
      </c>
      <c r="AG9" s="2" t="str">
        <f t="shared" si="41"/>
        <v/>
      </c>
      <c r="AH9" s="2" t="str">
        <f t="shared" si="41"/>
        <v/>
      </c>
      <c r="AI9" s="2" t="str">
        <f t="shared" si="41"/>
        <v/>
      </c>
      <c r="AJ9" s="2" t="str">
        <f t="shared" si="41"/>
        <v/>
      </c>
      <c r="AK9" s="2" t="str">
        <f t="shared" si="41"/>
        <v/>
      </c>
      <c r="AL9" s="2" t="str">
        <f t="shared" si="41"/>
        <v/>
      </c>
      <c r="AM9" s="2" t="str">
        <f t="shared" si="41"/>
        <v/>
      </c>
      <c r="AN9" s="2" t="str">
        <f t="shared" si="41"/>
        <v/>
      </c>
      <c r="AO9" s="2" t="str">
        <f t="shared" si="41"/>
        <v/>
      </c>
      <c r="AP9" s="2" t="str">
        <f t="shared" si="41"/>
        <v/>
      </c>
      <c r="AQ9" s="2" t="str">
        <f t="shared" si="41"/>
        <v/>
      </c>
      <c r="AR9" s="2" t="str">
        <f t="shared" si="41"/>
        <v/>
      </c>
      <c r="AV9" s="2" t="str">
        <f t="shared" ref="AV9:BG9" si="42">IF(OR(AV8="/",AV8=0),"",IF(ISNUMBER(AV8),ROUND(AV8,2),AV8))</f>
        <v/>
      </c>
      <c r="AW9" s="2" t="str">
        <f t="shared" si="42"/>
        <v/>
      </c>
      <c r="AX9" s="2" t="str">
        <f t="shared" si="42"/>
        <v/>
      </c>
      <c r="AY9" s="2" t="str">
        <f t="shared" si="42"/>
        <v/>
      </c>
      <c r="AZ9" s="2" t="str">
        <f t="shared" si="42"/>
        <v/>
      </c>
      <c r="BA9" s="2" t="str">
        <f t="shared" si="42"/>
        <v/>
      </c>
      <c r="BB9" s="2" t="str">
        <f t="shared" si="42"/>
        <v/>
      </c>
      <c r="BD9" s="2" t="str">
        <f t="shared" si="42"/>
        <v/>
      </c>
      <c r="BE9" s="2" t="str">
        <f t="shared" si="42"/>
        <v/>
      </c>
      <c r="BF9" s="2" t="str">
        <f t="shared" si="42"/>
        <v/>
      </c>
      <c r="BG9" s="2" t="str">
        <f t="shared" si="42"/>
        <v/>
      </c>
      <c r="BI9" s="2" t="str">
        <f t="shared" ref="BI9:BP9" si="43">IF(OR(BI8="/",BI8=0),"",IF(ISNUMBER(BI8),ROUND(BI8,2),BI8))</f>
        <v/>
      </c>
      <c r="BJ9" s="2" t="str">
        <f t="shared" si="43"/>
        <v/>
      </c>
      <c r="BK9" s="2" t="str">
        <f t="shared" si="43"/>
        <v/>
      </c>
      <c r="BM9" s="2" t="str">
        <f t="shared" si="43"/>
        <v/>
      </c>
      <c r="BN9" s="2" t="str">
        <f t="shared" si="43"/>
        <v/>
      </c>
      <c r="BO9" s="2" t="str">
        <f t="shared" si="43"/>
        <v/>
      </c>
      <c r="BP9" s="2" t="str">
        <f t="shared" si="43"/>
        <v/>
      </c>
      <c r="BY9" s="2" t="str">
        <f t="shared" ref="BY9:CV9" si="44">IF(OR(BY8="/",BY8=0),"",IF(ISNUMBER(BY8),ROUND(BY8,2),BY8))</f>
        <v/>
      </c>
      <c r="BZ9" s="2" t="str">
        <f t="shared" si="44"/>
        <v/>
      </c>
      <c r="CA9" s="2" t="str">
        <f t="shared" si="44"/>
        <v/>
      </c>
      <c r="CC9" s="2" t="str">
        <f t="shared" si="44"/>
        <v/>
      </c>
      <c r="CD9" s="2" t="str">
        <f t="shared" si="44"/>
        <v/>
      </c>
      <c r="CE9" s="2" t="str">
        <f t="shared" si="44"/>
        <v/>
      </c>
      <c r="CF9" s="2" t="str">
        <f t="shared" si="44"/>
        <v/>
      </c>
      <c r="CG9" s="2" t="str">
        <f t="shared" si="44"/>
        <v/>
      </c>
      <c r="CH9" s="2" t="str">
        <f t="shared" si="44"/>
        <v/>
      </c>
      <c r="CI9" s="2" t="str">
        <f t="shared" si="44"/>
        <v/>
      </c>
      <c r="CK9" s="2" t="str">
        <f t="shared" si="44"/>
        <v/>
      </c>
      <c r="CL9" s="2" t="str">
        <f t="shared" si="44"/>
        <v/>
      </c>
      <c r="CM9" s="2" t="str">
        <f t="shared" si="44"/>
        <v/>
      </c>
      <c r="CN9" s="2" t="str">
        <f t="shared" si="44"/>
        <v/>
      </c>
      <c r="CO9" s="2" t="str">
        <f t="shared" si="44"/>
        <v/>
      </c>
      <c r="CP9" s="2" t="str">
        <f t="shared" si="44"/>
        <v/>
      </c>
      <c r="CQ9" s="2" t="str">
        <f t="shared" si="44"/>
        <v/>
      </c>
      <c r="CS9" s="2" t="str">
        <f t="shared" si="44"/>
        <v/>
      </c>
      <c r="CT9" s="2" t="str">
        <f t="shared" si="44"/>
        <v/>
      </c>
      <c r="CU9" s="2" t="str">
        <f t="shared" si="44"/>
        <v/>
      </c>
      <c r="CV9" s="2" t="str">
        <f t="shared" si="44"/>
        <v/>
      </c>
      <c r="CX9" s="2" t="str">
        <f t="shared" ref="CX9:DE9" si="45">IF(OR(CX8="/",CX8=0),"",IF(ISNUMBER(CX8),ROUND(CX8,2),CX8))</f>
        <v/>
      </c>
      <c r="CY9" s="2" t="str">
        <f t="shared" si="45"/>
        <v/>
      </c>
      <c r="CZ9" s="2" t="str">
        <f t="shared" si="45"/>
        <v/>
      </c>
      <c r="DB9" s="2" t="str">
        <f t="shared" si="45"/>
        <v/>
      </c>
      <c r="DC9" s="2" t="str">
        <f t="shared" si="45"/>
        <v/>
      </c>
      <c r="DD9" s="2" t="str">
        <f t="shared" si="45"/>
        <v/>
      </c>
      <c r="DE9" s="2" t="str">
        <f t="shared" si="45"/>
        <v/>
      </c>
      <c r="DN9" s="2" t="str">
        <f t="shared" ref="DN9:ES9" si="46">IF(OR(DN8="/",DN8=0),"",IF(ISNUMBER(DN8),ROUND(DN8,2),DN8))</f>
        <v/>
      </c>
      <c r="DO9" s="2" t="str">
        <f t="shared" si="46"/>
        <v/>
      </c>
      <c r="DP9" s="2" t="str">
        <f t="shared" si="46"/>
        <v/>
      </c>
      <c r="DR9" s="2" t="str">
        <f t="shared" si="46"/>
        <v/>
      </c>
      <c r="DS9" s="2" t="str">
        <f t="shared" si="46"/>
        <v/>
      </c>
      <c r="DT9" s="2" t="str">
        <f t="shared" si="46"/>
        <v/>
      </c>
      <c r="DU9" s="2" t="str">
        <f t="shared" si="46"/>
        <v/>
      </c>
      <c r="DV9" s="2" t="str">
        <f t="shared" si="46"/>
        <v/>
      </c>
      <c r="DW9" s="2" t="str">
        <f t="shared" si="46"/>
        <v/>
      </c>
      <c r="DX9" s="2" t="str">
        <f t="shared" si="46"/>
        <v/>
      </c>
      <c r="DZ9" s="2" t="str">
        <f t="shared" si="46"/>
        <v/>
      </c>
      <c r="EA9" s="2" t="str">
        <f t="shared" si="46"/>
        <v/>
      </c>
      <c r="EB9" s="2" t="str">
        <f t="shared" si="46"/>
        <v/>
      </c>
      <c r="EC9" s="2" t="str">
        <f t="shared" si="46"/>
        <v/>
      </c>
      <c r="ED9" s="2" t="str">
        <f t="shared" si="46"/>
        <v/>
      </c>
      <c r="EE9" s="2" t="str">
        <f t="shared" si="46"/>
        <v/>
      </c>
      <c r="EF9" s="2" t="str">
        <f t="shared" si="46"/>
        <v/>
      </c>
      <c r="EH9" s="2" t="str">
        <f t="shared" si="46"/>
        <v/>
      </c>
      <c r="EI9" s="2" t="str">
        <f t="shared" si="46"/>
        <v/>
      </c>
      <c r="EJ9" s="2" t="str">
        <f t="shared" si="46"/>
        <v/>
      </c>
      <c r="EK9" s="2" t="str">
        <f t="shared" si="46"/>
        <v/>
      </c>
      <c r="EL9" s="2" t="str">
        <f t="shared" si="46"/>
        <v/>
      </c>
      <c r="EM9" s="2" t="str">
        <f t="shared" si="46"/>
        <v/>
      </c>
      <c r="EN9" s="2" t="str">
        <f t="shared" si="46"/>
        <v/>
      </c>
      <c r="EP9" s="2" t="str">
        <f t="shared" si="46"/>
        <v/>
      </c>
      <c r="EQ9" s="2" t="str">
        <f t="shared" si="46"/>
        <v/>
      </c>
      <c r="ER9" s="2" t="str">
        <f t="shared" si="46"/>
        <v/>
      </c>
      <c r="ES9" s="2" t="str">
        <f t="shared" si="46"/>
        <v/>
      </c>
      <c r="FB9" s="2" t="str">
        <f t="shared" ref="FB9:FQ9" si="47">IF(OR(FB8="/",FB8=0),"",IF(ISNUMBER(FB8),ROUND(FB8,2),FB8))</f>
        <v/>
      </c>
      <c r="FC9" s="2" t="str">
        <f t="shared" si="47"/>
        <v/>
      </c>
      <c r="FD9" s="2" t="str">
        <f t="shared" si="47"/>
        <v/>
      </c>
      <c r="FE9" s="2" t="str">
        <f t="shared" si="47"/>
        <v/>
      </c>
      <c r="FF9" s="2" t="str">
        <f t="shared" si="47"/>
        <v/>
      </c>
      <c r="FG9" s="2" t="str">
        <f t="shared" si="47"/>
        <v/>
      </c>
      <c r="FH9" s="2" t="str">
        <f t="shared" si="47"/>
        <v/>
      </c>
      <c r="FI9" s="2" t="str">
        <f t="shared" si="47"/>
        <v/>
      </c>
      <c r="FJ9" s="2" t="str">
        <f t="shared" si="47"/>
        <v/>
      </c>
      <c r="FK9" s="2" t="str">
        <f t="shared" si="47"/>
        <v/>
      </c>
      <c r="FL9" s="2" t="str">
        <f t="shared" si="47"/>
        <v/>
      </c>
      <c r="FM9" s="2" t="str">
        <f t="shared" si="47"/>
        <v/>
      </c>
      <c r="FN9" s="2" t="str">
        <f t="shared" si="47"/>
        <v/>
      </c>
      <c r="FO9" s="2" t="str">
        <f t="shared" si="47"/>
        <v/>
      </c>
      <c r="FP9" s="2" t="str">
        <f t="shared" si="47"/>
        <v/>
      </c>
      <c r="FQ9" s="2" t="str">
        <f t="shared" si="47"/>
        <v/>
      </c>
    </row>
    <row r="11" spans="1:238">
      <c r="A11" s="328" t="s">
        <v>2939</v>
      </c>
      <c r="B11" s="328" t="s">
        <v>2253</v>
      </c>
      <c r="C11" s="329"/>
    </row>
    <row r="12" spans="1:238" s="11" customFormat="1" ht="13.95" customHeight="1">
      <c r="A12" s="328"/>
      <c r="B12" s="11" t="s">
        <v>104</v>
      </c>
      <c r="C12" s="11" t="s">
        <v>29</v>
      </c>
      <c r="D12" s="11" t="s">
        <v>105</v>
      </c>
      <c r="E12" s="11" t="s">
        <v>69</v>
      </c>
      <c r="F12" s="11" t="s">
        <v>107</v>
      </c>
      <c r="G12" s="11" t="s">
        <v>602</v>
      </c>
      <c r="H12" s="11" t="s">
        <v>103</v>
      </c>
      <c r="I12" s="11" t="s">
        <v>102</v>
      </c>
      <c r="J12" s="11" t="s">
        <v>100</v>
      </c>
      <c r="K12" s="11" t="s">
        <v>103</v>
      </c>
      <c r="L12" s="11" t="s">
        <v>2061</v>
      </c>
      <c r="M12" s="11" t="s">
        <v>100</v>
      </c>
      <c r="N12" s="11" t="s">
        <v>2245</v>
      </c>
      <c r="O12" s="11" t="s">
        <v>2246</v>
      </c>
      <c r="P12" s="11" t="s">
        <v>2247</v>
      </c>
      <c r="Q12" s="11" t="s">
        <v>2248</v>
      </c>
      <c r="R12" s="11" t="s">
        <v>2249</v>
      </c>
      <c r="S12" s="11" t="s">
        <v>324</v>
      </c>
      <c r="T12" s="11" t="s">
        <v>2244</v>
      </c>
      <c r="U12" s="11" t="s">
        <v>36</v>
      </c>
      <c r="V12" s="11" t="s">
        <v>603</v>
      </c>
      <c r="W12" s="11" t="s">
        <v>604</v>
      </c>
      <c r="X12" s="11" t="s">
        <v>605</v>
      </c>
      <c r="Y12" s="11" t="s">
        <v>26</v>
      </c>
      <c r="Z12" s="11" t="s">
        <v>2928</v>
      </c>
      <c r="AA12" s="11" t="s">
        <v>2929</v>
      </c>
      <c r="AB12" s="11" t="s">
        <v>2930</v>
      </c>
      <c r="AC12" s="11" t="s">
        <v>2931</v>
      </c>
      <c r="AD12" s="11" t="s">
        <v>2932</v>
      </c>
      <c r="AE12" s="11" t="s">
        <v>2933</v>
      </c>
      <c r="AF12" s="11" t="s">
        <v>2934</v>
      </c>
      <c r="AG12" s="11" t="s">
        <v>2935</v>
      </c>
      <c r="AH12" s="11" t="s">
        <v>2936</v>
      </c>
      <c r="AI12" s="11" t="s">
        <v>2937</v>
      </c>
      <c r="AJ12" s="11" t="s">
        <v>2938</v>
      </c>
      <c r="AK12" s="11" t="s">
        <v>606</v>
      </c>
      <c r="AL12" s="11" t="s">
        <v>607</v>
      </c>
      <c r="AM12" s="11" t="s">
        <v>608</v>
      </c>
      <c r="AN12" s="11" t="s">
        <v>609</v>
      </c>
      <c r="AO12" s="11" t="s">
        <v>610</v>
      </c>
      <c r="AP12" s="11" t="s">
        <v>611</v>
      </c>
      <c r="AQ12" s="11" t="s">
        <v>612</v>
      </c>
      <c r="AR12" s="11" t="s">
        <v>613</v>
      </c>
      <c r="AS12" s="11" t="s">
        <v>614</v>
      </c>
      <c r="AT12" s="11" t="s">
        <v>615</v>
      </c>
      <c r="AU12" s="11" t="s">
        <v>616</v>
      </c>
      <c r="AV12" s="11" t="s">
        <v>617</v>
      </c>
      <c r="AW12" s="11" t="s">
        <v>618</v>
      </c>
      <c r="AX12" s="11" t="s">
        <v>619</v>
      </c>
      <c r="AY12" s="11" t="s">
        <v>620</v>
      </c>
      <c r="AZ12" s="11" t="s">
        <v>621</v>
      </c>
      <c r="BA12" s="11" t="s">
        <v>622</v>
      </c>
      <c r="BB12" s="11" t="s">
        <v>623</v>
      </c>
      <c r="BD12" s="11" t="s">
        <v>624</v>
      </c>
      <c r="BE12" s="11" t="s">
        <v>625</v>
      </c>
      <c r="BF12" s="11" t="s">
        <v>626</v>
      </c>
      <c r="BG12" s="11" t="s">
        <v>627</v>
      </c>
      <c r="BI12" s="11" t="s">
        <v>628</v>
      </c>
      <c r="BJ12" s="11" t="s">
        <v>629</v>
      </c>
      <c r="BK12" s="11" t="s">
        <v>630</v>
      </c>
      <c r="BM12" s="11" t="s">
        <v>631</v>
      </c>
      <c r="BN12" s="11" t="s">
        <v>632</v>
      </c>
      <c r="BO12" s="11" t="s">
        <v>633</v>
      </c>
      <c r="BP12" s="11" t="s">
        <v>634</v>
      </c>
      <c r="BQ12" s="195"/>
      <c r="BR12" s="195"/>
      <c r="BS12" s="195"/>
      <c r="BT12" s="195"/>
      <c r="BU12" s="195"/>
      <c r="BV12" s="195"/>
      <c r="BW12" s="195"/>
      <c r="BX12" s="195"/>
      <c r="BY12" s="11" t="s">
        <v>635</v>
      </c>
      <c r="BZ12" s="11" t="s">
        <v>636</v>
      </c>
      <c r="CA12" s="11" t="s">
        <v>637</v>
      </c>
      <c r="CC12" s="11" t="s">
        <v>638</v>
      </c>
      <c r="CD12" s="11" t="s">
        <v>639</v>
      </c>
      <c r="CE12" s="11" t="s">
        <v>640</v>
      </c>
      <c r="CF12" s="11" t="s">
        <v>641</v>
      </c>
      <c r="CG12" s="11" t="s">
        <v>642</v>
      </c>
      <c r="CH12" s="11" t="s">
        <v>643</v>
      </c>
      <c r="CI12" s="11" t="s">
        <v>644</v>
      </c>
      <c r="CK12" s="11" t="s">
        <v>645</v>
      </c>
      <c r="CL12" s="11" t="s">
        <v>646</v>
      </c>
      <c r="CM12" s="11" t="s">
        <v>647</v>
      </c>
      <c r="CN12" s="11" t="s">
        <v>648</v>
      </c>
      <c r="CO12" s="11" t="s">
        <v>649</v>
      </c>
      <c r="CP12" s="11" t="s">
        <v>650</v>
      </c>
      <c r="CQ12" s="11" t="s">
        <v>651</v>
      </c>
      <c r="CS12" s="11" t="s">
        <v>652</v>
      </c>
      <c r="CT12" s="11" t="s">
        <v>653</v>
      </c>
      <c r="CU12" s="11" t="s">
        <v>654</v>
      </c>
      <c r="CV12" s="11" t="s">
        <v>655</v>
      </c>
      <c r="CX12" s="11" t="s">
        <v>656</v>
      </c>
      <c r="CY12" s="11" t="s">
        <v>657</v>
      </c>
      <c r="CZ12" s="11" t="s">
        <v>658</v>
      </c>
      <c r="DB12" s="11" t="s">
        <v>659</v>
      </c>
      <c r="DC12" s="11" t="s">
        <v>660</v>
      </c>
      <c r="DD12" s="11" t="s">
        <v>661</v>
      </c>
      <c r="DE12" s="11" t="s">
        <v>662</v>
      </c>
      <c r="DF12" s="195"/>
      <c r="DG12" s="195"/>
      <c r="DH12" s="195"/>
      <c r="DI12" s="195"/>
      <c r="DJ12" s="195"/>
      <c r="DK12" s="195"/>
      <c r="DL12" s="195"/>
      <c r="DM12" s="195"/>
      <c r="DN12" s="11" t="s">
        <v>663</v>
      </c>
      <c r="DO12" s="11" t="s">
        <v>664</v>
      </c>
      <c r="DP12" s="11" t="s">
        <v>665</v>
      </c>
      <c r="DR12" s="11" t="s">
        <v>666</v>
      </c>
      <c r="DS12" s="11" t="s">
        <v>667</v>
      </c>
      <c r="DT12" s="11" t="s">
        <v>668</v>
      </c>
      <c r="DU12" s="11" t="s">
        <v>669</v>
      </c>
      <c r="DV12" s="11" t="s">
        <v>670</v>
      </c>
      <c r="DW12" s="11" t="s">
        <v>671</v>
      </c>
      <c r="DX12" s="11" t="s">
        <v>672</v>
      </c>
      <c r="DZ12" s="11" t="s">
        <v>673</v>
      </c>
      <c r="EA12" s="11" t="s">
        <v>674</v>
      </c>
      <c r="EB12" s="11" t="s">
        <v>675</v>
      </c>
      <c r="EC12" s="11" t="s">
        <v>676</v>
      </c>
      <c r="ED12" s="11" t="s">
        <v>677</v>
      </c>
      <c r="EE12" s="11" t="s">
        <v>678</v>
      </c>
      <c r="EF12" s="11" t="s">
        <v>679</v>
      </c>
      <c r="EH12" s="11" t="s">
        <v>680</v>
      </c>
      <c r="EI12" s="11" t="s">
        <v>681</v>
      </c>
      <c r="EJ12" s="11" t="s">
        <v>682</v>
      </c>
      <c r="EK12" s="11" t="s">
        <v>683</v>
      </c>
      <c r="EL12" s="11" t="s">
        <v>684</v>
      </c>
      <c r="EM12" s="11" t="s">
        <v>685</v>
      </c>
      <c r="EN12" s="11" t="s">
        <v>686</v>
      </c>
      <c r="EP12" s="11" t="s">
        <v>687</v>
      </c>
      <c r="EQ12" s="11" t="s">
        <v>688</v>
      </c>
      <c r="ER12" s="11" t="s">
        <v>689</v>
      </c>
      <c r="ES12" s="11" t="s">
        <v>690</v>
      </c>
      <c r="FB12" s="11" t="s">
        <v>691</v>
      </c>
      <c r="FC12" s="11" t="s">
        <v>692</v>
      </c>
      <c r="FD12" s="11" t="s">
        <v>693</v>
      </c>
      <c r="FE12" s="11" t="s">
        <v>694</v>
      </c>
      <c r="FF12" s="11" t="s">
        <v>695</v>
      </c>
      <c r="FG12" s="11" t="s">
        <v>696</v>
      </c>
      <c r="FH12" s="11" t="s">
        <v>697</v>
      </c>
      <c r="FI12" s="11" t="s">
        <v>698</v>
      </c>
      <c r="FJ12" s="11" t="s">
        <v>699</v>
      </c>
      <c r="FK12" s="11" t="s">
        <v>700</v>
      </c>
      <c r="FL12" s="11" t="s">
        <v>701</v>
      </c>
      <c r="FM12" s="11" t="s">
        <v>702</v>
      </c>
      <c r="FN12" s="11" t="s">
        <v>703</v>
      </c>
      <c r="FO12" s="11" t="s">
        <v>704</v>
      </c>
      <c r="FP12" s="11" t="s">
        <v>705</v>
      </c>
      <c r="FQ12" s="11" t="s">
        <v>706</v>
      </c>
    </row>
    <row r="13" spans="1:238" ht="13.95" customHeight="1">
      <c r="A13" s="335" t="s">
        <v>709</v>
      </c>
      <c r="B13" s="346" t="s">
        <v>709</v>
      </c>
      <c r="C13" s="346" t="s">
        <v>221</v>
      </c>
      <c r="D13" s="346" t="s">
        <v>710</v>
      </c>
      <c r="E13" s="346" t="s">
        <v>2545</v>
      </c>
      <c r="F13" s="346" t="s">
        <v>2259</v>
      </c>
      <c r="G13" s="346" t="s">
        <v>324</v>
      </c>
      <c r="H13" s="346" t="s">
        <v>324</v>
      </c>
      <c r="I13" s="346">
        <v>24.5</v>
      </c>
      <c r="J13" s="346" t="s">
        <v>324</v>
      </c>
      <c r="K13" s="422"/>
      <c r="L13" s="422"/>
      <c r="M13" s="422"/>
      <c r="N13" s="346" t="s">
        <v>324</v>
      </c>
      <c r="O13" s="346" t="s">
        <v>324</v>
      </c>
      <c r="P13" s="346" t="s">
        <v>324</v>
      </c>
      <c r="Q13" s="346" t="s">
        <v>324</v>
      </c>
      <c r="R13" s="346" t="s">
        <v>324</v>
      </c>
      <c r="S13" s="346" t="s">
        <v>712</v>
      </c>
      <c r="T13" s="346" t="s">
        <v>2942</v>
      </c>
      <c r="U13" s="346">
        <v>10</v>
      </c>
      <c r="V13" s="346" cm="1">
        <f t="array" ref="V13">IFERROR(INDEX('Offer Statistics'!$Q$2:$Q$500,MATCH(1,(B13='Offer Statistics'!$B$2:$B$500)*($B$11='Offer Statistics'!$K$2:$K$500),0)),"/")</f>
        <v>2</v>
      </c>
      <c r="W13" s="346" cm="1">
        <f t="array" ref="W13">IFERROR(INDEX('Offer Statistics'!$D$2:$D$500,MATCH(1,(B13='Offer Statistics'!$B$2:$B$500)*($B$11='Offer Statistics'!$K$2:$K$500),0)),"/")</f>
        <v>81</v>
      </c>
      <c r="X13" s="346" cm="1">
        <f t="array" ref="X13">IFERROR(INDEX('Offer Statistics'!$L$2:$L$500,MATCH(1,(B13='Offer Statistics'!$B$2:$B$500)*($B$11='Offer Statistics'!$K$2:$K$500),0)),"/")</f>
        <v>2</v>
      </c>
      <c r="Y13" s="346">
        <f>IFERROR(W13/X13,"新科目")</f>
        <v>40.5</v>
      </c>
      <c r="Z13" s="346" t="s">
        <v>2941</v>
      </c>
      <c r="AA13" s="346" t="str">
        <f>入學要求!AF22</f>
        <v>/</v>
      </c>
      <c r="AB13" s="346" t="str">
        <f>入學要求!AG22</f>
        <v>/</v>
      </c>
      <c r="AC13" s="346" t="s">
        <v>2259</v>
      </c>
      <c r="AD13" s="346" t="s">
        <v>2945</v>
      </c>
      <c r="AE13" s="346" t="s">
        <v>2946</v>
      </c>
      <c r="AF13" s="346" t="s">
        <v>324</v>
      </c>
      <c r="AG13" s="346" t="s">
        <v>324</v>
      </c>
      <c r="AH13" s="346" t="s">
        <v>324</v>
      </c>
      <c r="AI13" s="346" t="s">
        <v>324</v>
      </c>
      <c r="AJ13" s="346" t="s">
        <v>324</v>
      </c>
      <c r="AK13" s="346" t="s">
        <v>714</v>
      </c>
      <c r="AL13" s="346" t="s">
        <v>715</v>
      </c>
      <c r="AM13" s="346" t="s">
        <v>394</v>
      </c>
      <c r="AN13" s="346" t="s">
        <v>394</v>
      </c>
      <c r="AO13" s="346" t="s">
        <v>394</v>
      </c>
      <c r="AP13" s="346" t="s">
        <v>394</v>
      </c>
      <c r="AQ13" s="346" t="s">
        <v>394</v>
      </c>
      <c r="AR13" s="346" t="s">
        <v>324</v>
      </c>
      <c r="AT13" s="346" t="s">
        <v>716</v>
      </c>
      <c r="AU13" s="346"/>
      <c r="AV13" s="346" t="s">
        <v>713</v>
      </c>
      <c r="AW13" s="346"/>
      <c r="AX13" s="346"/>
      <c r="AY13" s="346"/>
      <c r="AZ13" s="346" t="s">
        <v>324</v>
      </c>
      <c r="BA13" s="346" t="s">
        <v>324</v>
      </c>
      <c r="BB13" s="346" t="s">
        <v>324</v>
      </c>
      <c r="BC13" s="346"/>
      <c r="BD13" s="346" t="s">
        <v>324</v>
      </c>
      <c r="BE13" s="346" t="s">
        <v>324</v>
      </c>
      <c r="BF13" s="346" t="s">
        <v>324</v>
      </c>
      <c r="BG13" s="346" t="s">
        <v>324</v>
      </c>
      <c r="BH13" s="346" t="s">
        <v>709</v>
      </c>
      <c r="BI13" s="346" t="s">
        <v>324</v>
      </c>
      <c r="BJ13" s="346" t="s">
        <v>324</v>
      </c>
      <c r="BK13" s="346" t="s">
        <v>324</v>
      </c>
      <c r="BL13" s="346"/>
      <c r="BM13" s="346" t="s">
        <v>324</v>
      </c>
      <c r="BN13" s="346" t="s">
        <v>324</v>
      </c>
      <c r="BO13" s="346" t="s">
        <v>324</v>
      </c>
      <c r="BP13" s="346" t="s">
        <v>324</v>
      </c>
      <c r="BQ13" s="429">
        <f>IFERROR(BI13+0.00000000004,0)</f>
        <v>0</v>
      </c>
      <c r="BR13" s="429">
        <f>IFERROR(BJ13+0.00000000002,0)</f>
        <v>0</v>
      </c>
      <c r="BS13" s="429">
        <f>IFERROR(BK13+0.00000000003,0)</f>
        <v>0</v>
      </c>
      <c r="BT13" s="429"/>
      <c r="BU13" s="429">
        <f>IFERROR(BM13+0.00000000005,0)</f>
        <v>0</v>
      </c>
      <c r="BV13" s="429">
        <f>IFERROR(BN13+0.00000000006,0)</f>
        <v>0</v>
      </c>
      <c r="BW13" s="429">
        <f>IFERROR(BO13+0.00000000007,0)</f>
        <v>0</v>
      </c>
      <c r="BX13" s="429">
        <f>IFERROR(BP13+0.00000000008,0)</f>
        <v>0</v>
      </c>
      <c r="BY13" s="346" t="s">
        <v>324</v>
      </c>
      <c r="BZ13" s="346" t="s">
        <v>324</v>
      </c>
      <c r="CA13" s="346" t="s">
        <v>324</v>
      </c>
      <c r="CB13" s="346"/>
      <c r="CC13" s="346" t="s">
        <v>324</v>
      </c>
      <c r="CD13" s="346" t="s">
        <v>324</v>
      </c>
      <c r="CE13" s="346" t="s">
        <v>324</v>
      </c>
      <c r="CF13" s="346" t="s">
        <v>324</v>
      </c>
      <c r="CG13" s="346" t="s">
        <v>324</v>
      </c>
      <c r="CH13" s="346" t="s">
        <v>324</v>
      </c>
      <c r="CI13" s="346" t="s">
        <v>324</v>
      </c>
      <c r="CJ13" s="346"/>
      <c r="CK13" s="346" t="s">
        <v>324</v>
      </c>
      <c r="CL13" s="346" t="s">
        <v>324</v>
      </c>
      <c r="CM13" s="346" t="s">
        <v>324</v>
      </c>
      <c r="CN13" s="346" t="s">
        <v>324</v>
      </c>
      <c r="CO13" s="346" t="s">
        <v>324</v>
      </c>
      <c r="CP13" s="346" t="s">
        <v>324</v>
      </c>
      <c r="CQ13" s="346" t="s">
        <v>324</v>
      </c>
      <c r="CR13" s="346"/>
      <c r="CS13" s="346" t="s">
        <v>324</v>
      </c>
      <c r="CT13" s="346" t="s">
        <v>324</v>
      </c>
      <c r="CU13" s="346" t="s">
        <v>324</v>
      </c>
      <c r="CV13" s="346" t="s">
        <v>324</v>
      </c>
      <c r="CW13" s="346"/>
      <c r="CX13" s="346" t="s">
        <v>324</v>
      </c>
      <c r="CY13" s="346" t="s">
        <v>324</v>
      </c>
      <c r="CZ13" s="346" t="s">
        <v>324</v>
      </c>
      <c r="DA13" s="346"/>
      <c r="DB13" s="346" t="s">
        <v>324</v>
      </c>
      <c r="DC13" s="346" t="s">
        <v>324</v>
      </c>
      <c r="DD13" s="346" t="s">
        <v>324</v>
      </c>
      <c r="DE13" s="346" t="s">
        <v>324</v>
      </c>
      <c r="DF13" s="429">
        <f>IFERROR(CX13+0.00000000004,0)</f>
        <v>0</v>
      </c>
      <c r="DG13" s="429">
        <f>IFERROR(CY13+0.00000000002,0)</f>
        <v>0</v>
      </c>
      <c r="DH13" s="429">
        <f>IFERROR(CZ13+0.00000000003,0)</f>
        <v>0</v>
      </c>
      <c r="DI13" s="429"/>
      <c r="DJ13" s="429">
        <f>IFERROR(DB13+0.00000000005,0)</f>
        <v>0</v>
      </c>
      <c r="DK13" s="429">
        <f>IFERROR(DC13+0.00000000006,0)</f>
        <v>0</v>
      </c>
      <c r="DL13" s="429">
        <f>IFERROR(DD13+0.00000000007,0)</f>
        <v>0</v>
      </c>
      <c r="DM13" s="429">
        <f>IFERROR(DE13+0.00000000008,0)</f>
        <v>0</v>
      </c>
      <c r="DN13" s="346" t="s">
        <v>324</v>
      </c>
      <c r="DO13" s="346" t="s">
        <v>324</v>
      </c>
      <c r="DP13" s="346" t="s">
        <v>324</v>
      </c>
      <c r="DQ13" s="346"/>
      <c r="DR13" s="346" t="s">
        <v>324</v>
      </c>
      <c r="DS13" s="346" t="s">
        <v>324</v>
      </c>
      <c r="DT13" s="346" t="s">
        <v>324</v>
      </c>
      <c r="DU13" s="346" t="s">
        <v>324</v>
      </c>
      <c r="DV13" s="346" t="s">
        <v>324</v>
      </c>
      <c r="DW13" s="346" t="s">
        <v>324</v>
      </c>
      <c r="DX13" s="346" t="s">
        <v>324</v>
      </c>
      <c r="DY13" s="346"/>
      <c r="DZ13" s="346" t="s">
        <v>324</v>
      </c>
      <c r="EA13" s="346" t="s">
        <v>324</v>
      </c>
      <c r="EB13" s="346" t="s">
        <v>324</v>
      </c>
      <c r="EC13" s="346" t="s">
        <v>324</v>
      </c>
      <c r="ED13" s="346" t="s">
        <v>394</v>
      </c>
      <c r="EE13" s="346" t="s">
        <v>394</v>
      </c>
      <c r="EF13" s="346" t="s">
        <v>394</v>
      </c>
      <c r="EG13" s="346"/>
      <c r="EH13" s="346" t="s">
        <v>394</v>
      </c>
      <c r="EI13" s="346" t="s">
        <v>394</v>
      </c>
      <c r="EJ13" s="346" t="s">
        <v>394</v>
      </c>
      <c r="EK13" s="346" t="s">
        <v>394</v>
      </c>
      <c r="EL13" s="346" t="s">
        <v>394</v>
      </c>
      <c r="EM13" s="346" t="s">
        <v>394</v>
      </c>
      <c r="EN13" s="346" t="s">
        <v>394</v>
      </c>
      <c r="EO13" s="346"/>
      <c r="EP13" s="346" t="s">
        <v>394</v>
      </c>
      <c r="EQ13" s="346" t="s">
        <v>394</v>
      </c>
      <c r="ER13" s="346" t="s">
        <v>394</v>
      </c>
      <c r="ES13" s="346" t="s">
        <v>394</v>
      </c>
      <c r="ET13" s="346"/>
      <c r="EU13" s="346"/>
      <c r="EV13" s="346"/>
      <c r="EW13" s="346"/>
      <c r="EX13" s="346"/>
      <c r="EY13" s="346"/>
      <c r="EZ13" s="346"/>
      <c r="FA13" s="346"/>
      <c r="FB13" s="346" t="s">
        <v>394</v>
      </c>
      <c r="FC13" s="346" t="s">
        <v>394</v>
      </c>
      <c r="FD13" s="346" t="s">
        <v>394</v>
      </c>
      <c r="FE13" s="346" t="s">
        <v>394</v>
      </c>
      <c r="FF13" s="346" t="s">
        <v>394</v>
      </c>
      <c r="FG13" s="346" t="s">
        <v>394</v>
      </c>
      <c r="FH13" s="346" t="s">
        <v>394</v>
      </c>
      <c r="FI13" s="346" t="s">
        <v>394</v>
      </c>
      <c r="FJ13" s="346" t="s">
        <v>394</v>
      </c>
      <c r="FK13" s="346" t="s">
        <v>394</v>
      </c>
      <c r="FL13" s="346" t="s">
        <v>394</v>
      </c>
      <c r="FM13" s="346" t="s">
        <v>394</v>
      </c>
      <c r="FN13" s="346" t="s">
        <v>394</v>
      </c>
      <c r="FO13" s="346" t="s">
        <v>394</v>
      </c>
      <c r="FP13" s="346" t="s">
        <v>394</v>
      </c>
      <c r="FQ13" s="346" t="s">
        <v>394</v>
      </c>
    </row>
    <row r="14" spans="1:238">
      <c r="A14" s="335" t="s">
        <v>717</v>
      </c>
      <c r="B14" s="346" t="s">
        <v>717</v>
      </c>
      <c r="C14" s="346" t="s">
        <v>221</v>
      </c>
      <c r="D14" s="346" t="s">
        <v>710</v>
      </c>
      <c r="E14" s="346" t="s">
        <v>2546</v>
      </c>
      <c r="F14" s="346" t="s">
        <v>2259</v>
      </c>
      <c r="G14" s="346" t="s">
        <v>324</v>
      </c>
      <c r="H14" s="346" t="s">
        <v>324</v>
      </c>
      <c r="I14" s="346">
        <v>29</v>
      </c>
      <c r="J14" s="346">
        <v>25.5</v>
      </c>
      <c r="K14" s="422"/>
      <c r="L14" s="422"/>
      <c r="M14" s="422"/>
      <c r="N14" s="346" t="s">
        <v>324</v>
      </c>
      <c r="O14" s="346" t="s">
        <v>324</v>
      </c>
      <c r="P14" s="346" t="s">
        <v>324</v>
      </c>
      <c r="Q14" s="346" t="s">
        <v>324</v>
      </c>
      <c r="R14" s="346" t="s">
        <v>324</v>
      </c>
      <c r="S14" s="346" t="s">
        <v>719</v>
      </c>
      <c r="T14" s="346" t="s">
        <v>2942</v>
      </c>
      <c r="U14" s="346">
        <v>15</v>
      </c>
      <c r="V14" s="346" cm="1">
        <f t="array" ref="V14">IFERROR(INDEX('Offer Statistics'!$Q$2:$Q$500,MATCH(1,(B14='Offer Statistics'!$B$2:$B$500)*($B$11='Offer Statistics'!$K$2:$K$500),0)),"/")</f>
        <v>4</v>
      </c>
      <c r="W14" s="346" cm="1">
        <f t="array" ref="W14">IFERROR(INDEX('Offer Statistics'!$D$2:$D$500,MATCH(1,(B14='Offer Statistics'!$B$2:$B$500)*($B$11='Offer Statistics'!$K$2:$K$500),0)),"/")</f>
        <v>100</v>
      </c>
      <c r="X14" s="346" cm="1">
        <f t="array" ref="X14">IFERROR(INDEX('Offer Statistics'!$L$2:$L$500,MATCH(1,(B14='Offer Statistics'!$B$2:$B$500)*($B$11='Offer Statistics'!$K$2:$K$500),0)),"/")</f>
        <v>1</v>
      </c>
      <c r="Y14" s="346">
        <f t="shared" ref="Y14:Y71" si="48">IFERROR(W14/X14,"新科目")</f>
        <v>100</v>
      </c>
      <c r="Z14" s="346" t="s">
        <v>2941</v>
      </c>
      <c r="AA14" s="346" t="str">
        <f>入學要求!AF23</f>
        <v>/</v>
      </c>
      <c r="AB14" s="346" t="str">
        <f>入學要求!AG23</f>
        <v>/</v>
      </c>
      <c r="AC14" s="346" t="s">
        <v>2259</v>
      </c>
      <c r="AD14" s="346" t="s">
        <v>2945</v>
      </c>
      <c r="AE14" s="346" t="s">
        <v>2946</v>
      </c>
      <c r="AF14" s="346" t="s">
        <v>324</v>
      </c>
      <c r="AG14" s="346" t="s">
        <v>324</v>
      </c>
      <c r="AH14" s="346" t="s">
        <v>324</v>
      </c>
      <c r="AI14" s="346" t="s">
        <v>324</v>
      </c>
      <c r="AJ14" s="346" t="s">
        <v>324</v>
      </c>
      <c r="AK14" s="346" t="s">
        <v>714</v>
      </c>
      <c r="AL14" s="346" t="s">
        <v>720</v>
      </c>
      <c r="AM14" s="346" t="s">
        <v>394</v>
      </c>
      <c r="AN14" s="346" t="s">
        <v>394</v>
      </c>
      <c r="AO14" s="346" t="s">
        <v>394</v>
      </c>
      <c r="AP14" s="346" t="s">
        <v>394</v>
      </c>
      <c r="AQ14" s="346" t="s">
        <v>394</v>
      </c>
      <c r="AR14" s="346" t="s">
        <v>324</v>
      </c>
      <c r="AT14" s="346" t="s">
        <v>716</v>
      </c>
      <c r="AU14" s="346"/>
      <c r="AV14" s="346" t="s">
        <v>713</v>
      </c>
      <c r="AW14" s="346"/>
      <c r="AX14" s="346"/>
      <c r="AY14" s="346"/>
      <c r="AZ14" s="346" t="s">
        <v>324</v>
      </c>
      <c r="BA14" s="346" t="s">
        <v>324</v>
      </c>
      <c r="BB14" s="346" t="s">
        <v>324</v>
      </c>
      <c r="BC14" s="346"/>
      <c r="BD14" s="346" t="s">
        <v>324</v>
      </c>
      <c r="BE14" s="346" t="s">
        <v>324</v>
      </c>
      <c r="BF14" s="346" t="s">
        <v>324</v>
      </c>
      <c r="BG14" s="346" t="s">
        <v>324</v>
      </c>
      <c r="BH14" s="346" t="s">
        <v>717</v>
      </c>
      <c r="BI14" s="346" t="s">
        <v>324</v>
      </c>
      <c r="BJ14" s="346" t="s">
        <v>324</v>
      </c>
      <c r="BK14" s="346" t="s">
        <v>324</v>
      </c>
      <c r="BL14" s="346"/>
      <c r="BM14" s="346" t="s">
        <v>324</v>
      </c>
      <c r="BN14" s="346" t="s">
        <v>324</v>
      </c>
      <c r="BO14" s="346" t="s">
        <v>324</v>
      </c>
      <c r="BP14" s="346" t="s">
        <v>324</v>
      </c>
      <c r="BQ14" s="429">
        <f t="shared" ref="BQ14:BQ81" si="49">IFERROR(BI14+0.00000000004,0)</f>
        <v>0</v>
      </c>
      <c r="BR14" s="429">
        <f t="shared" ref="BR14:BR81" si="50">IFERROR(BJ14+0.00000000002,0)</f>
        <v>0</v>
      </c>
      <c r="BS14" s="429">
        <f t="shared" ref="BS14:BS81" si="51">IFERROR(BK14+0.00000000003,0)</f>
        <v>0</v>
      </c>
      <c r="BT14" s="429"/>
      <c r="BU14" s="429">
        <f t="shared" ref="BU14:BU81" si="52">IFERROR(BM14+0.00000000005,0)</f>
        <v>0</v>
      </c>
      <c r="BV14" s="429">
        <f t="shared" ref="BV14:BV81" si="53">IFERROR(BN14+0.00000000006,0)</f>
        <v>0</v>
      </c>
      <c r="BW14" s="429">
        <f t="shared" ref="BW14:BW81" si="54">IFERROR(BO14+0.00000000007,0)</f>
        <v>0</v>
      </c>
      <c r="BX14" s="429">
        <f t="shared" ref="BX14:BX81" si="55">IFERROR(BP14+0.00000000008,0)</f>
        <v>0</v>
      </c>
      <c r="BY14" s="346" t="s">
        <v>324</v>
      </c>
      <c r="BZ14" s="346" t="s">
        <v>324</v>
      </c>
      <c r="CA14" s="346" t="s">
        <v>324</v>
      </c>
      <c r="CB14" s="346"/>
      <c r="CC14" s="346" t="s">
        <v>324</v>
      </c>
      <c r="CD14" s="346" t="s">
        <v>324</v>
      </c>
      <c r="CE14" s="346" t="s">
        <v>324</v>
      </c>
      <c r="CF14" s="346" t="s">
        <v>324</v>
      </c>
      <c r="CG14" s="346" t="s">
        <v>324</v>
      </c>
      <c r="CH14" s="346" t="s">
        <v>324</v>
      </c>
      <c r="CI14" s="346" t="s">
        <v>324</v>
      </c>
      <c r="CJ14" s="346"/>
      <c r="CK14" s="346" t="s">
        <v>324</v>
      </c>
      <c r="CL14" s="346" t="s">
        <v>324</v>
      </c>
      <c r="CM14" s="346" t="s">
        <v>324</v>
      </c>
      <c r="CN14" s="346" t="s">
        <v>324</v>
      </c>
      <c r="CO14" s="346" t="s">
        <v>324</v>
      </c>
      <c r="CP14" s="346" t="s">
        <v>324</v>
      </c>
      <c r="CQ14" s="346" t="s">
        <v>324</v>
      </c>
      <c r="CR14" s="346"/>
      <c r="CS14" s="346" t="s">
        <v>324</v>
      </c>
      <c r="CT14" s="346" t="s">
        <v>324</v>
      </c>
      <c r="CU14" s="346" t="s">
        <v>324</v>
      </c>
      <c r="CV14" s="346" t="s">
        <v>324</v>
      </c>
      <c r="CW14" s="346"/>
      <c r="CX14" s="346" t="s">
        <v>324</v>
      </c>
      <c r="CY14" s="346" t="s">
        <v>324</v>
      </c>
      <c r="CZ14" s="346" t="s">
        <v>324</v>
      </c>
      <c r="DA14" s="346"/>
      <c r="DB14" s="346" t="s">
        <v>324</v>
      </c>
      <c r="DC14" s="346" t="s">
        <v>324</v>
      </c>
      <c r="DD14" s="346" t="s">
        <v>324</v>
      </c>
      <c r="DE14" s="346" t="s">
        <v>324</v>
      </c>
      <c r="DF14" s="429">
        <f t="shared" ref="DF14:DF71" si="56">IFERROR(CX14+0.00000000004,0)</f>
        <v>0</v>
      </c>
      <c r="DG14" s="429">
        <f t="shared" ref="DG14:DG71" si="57">IFERROR(CY14+0.00000000002,0)</f>
        <v>0</v>
      </c>
      <c r="DH14" s="429">
        <f t="shared" ref="DH14:DH71" si="58">IFERROR(CZ14+0.00000000003,0)</f>
        <v>0</v>
      </c>
      <c r="DI14" s="429"/>
      <c r="DJ14" s="429">
        <f t="shared" ref="DJ14:DJ71" si="59">IFERROR(DB14+0.00000000005,0)</f>
        <v>0</v>
      </c>
      <c r="DK14" s="429">
        <f t="shared" ref="DK14:DK71" si="60">IFERROR(DC14+0.00000000006,0)</f>
        <v>0</v>
      </c>
      <c r="DL14" s="429">
        <f t="shared" ref="DL14:DL71" si="61">IFERROR(DD14+0.00000000007,0)</f>
        <v>0</v>
      </c>
      <c r="DM14" s="429">
        <f t="shared" ref="DM14:DM71" si="62">IFERROR(DE14+0.00000000008,0)</f>
        <v>0</v>
      </c>
      <c r="DN14" s="346" t="s">
        <v>324</v>
      </c>
      <c r="DO14" s="346" t="s">
        <v>324</v>
      </c>
      <c r="DP14" s="346" t="s">
        <v>324</v>
      </c>
      <c r="DQ14" s="346"/>
      <c r="DR14" s="346" t="s">
        <v>324</v>
      </c>
      <c r="DS14" s="346" t="s">
        <v>324</v>
      </c>
      <c r="DT14" s="346" t="s">
        <v>324</v>
      </c>
      <c r="DU14" s="346" t="s">
        <v>324</v>
      </c>
      <c r="DV14" s="346" t="s">
        <v>324</v>
      </c>
      <c r="DW14" s="346" t="s">
        <v>324</v>
      </c>
      <c r="DX14" s="346" t="s">
        <v>324</v>
      </c>
      <c r="DY14" s="346"/>
      <c r="DZ14" s="346" t="s">
        <v>324</v>
      </c>
      <c r="EA14" s="346" t="s">
        <v>324</v>
      </c>
      <c r="EB14" s="346" t="s">
        <v>324</v>
      </c>
      <c r="EC14" s="346" t="s">
        <v>324</v>
      </c>
      <c r="ED14" s="346" t="s">
        <v>394</v>
      </c>
      <c r="EE14" s="346" t="s">
        <v>394</v>
      </c>
      <c r="EF14" s="346" t="s">
        <v>394</v>
      </c>
      <c r="EG14" s="346"/>
      <c r="EH14" s="346" t="s">
        <v>394</v>
      </c>
      <c r="EI14" s="346" t="s">
        <v>394</v>
      </c>
      <c r="EJ14" s="346" t="s">
        <v>394</v>
      </c>
      <c r="EK14" s="346" t="s">
        <v>394</v>
      </c>
      <c r="EL14" s="346" t="s">
        <v>394</v>
      </c>
      <c r="EM14" s="346" t="s">
        <v>394</v>
      </c>
      <c r="EN14" s="346" t="s">
        <v>394</v>
      </c>
      <c r="EO14" s="346"/>
      <c r="EP14" s="346" t="s">
        <v>394</v>
      </c>
      <c r="EQ14" s="346" t="s">
        <v>394</v>
      </c>
      <c r="ER14" s="346" t="s">
        <v>394</v>
      </c>
      <c r="ES14" s="346" t="s">
        <v>394</v>
      </c>
      <c r="ET14" s="346"/>
      <c r="EU14" s="346"/>
      <c r="EV14" s="346"/>
      <c r="EW14" s="346"/>
      <c r="EX14" s="346"/>
      <c r="EY14" s="346"/>
      <c r="EZ14" s="346"/>
      <c r="FA14" s="346"/>
      <c r="FB14" s="346" t="s">
        <v>394</v>
      </c>
      <c r="FC14" s="346" t="s">
        <v>394</v>
      </c>
      <c r="FD14" s="346" t="s">
        <v>394</v>
      </c>
      <c r="FE14" s="346" t="s">
        <v>394</v>
      </c>
      <c r="FF14" s="346" t="s">
        <v>394</v>
      </c>
      <c r="FG14" s="346" t="s">
        <v>394</v>
      </c>
      <c r="FH14" s="346" t="s">
        <v>394</v>
      </c>
      <c r="FI14" s="346" t="s">
        <v>394</v>
      </c>
      <c r="FJ14" s="346" t="s">
        <v>394</v>
      </c>
      <c r="FK14" s="346" t="s">
        <v>394</v>
      </c>
      <c r="FL14" s="346" t="s">
        <v>394</v>
      </c>
      <c r="FM14" s="346" t="s">
        <v>394</v>
      </c>
      <c r="FN14" s="346" t="s">
        <v>394</v>
      </c>
      <c r="FO14" s="346" t="s">
        <v>394</v>
      </c>
      <c r="FP14" s="346" t="s">
        <v>394</v>
      </c>
      <c r="FQ14" s="346" t="s">
        <v>394</v>
      </c>
    </row>
    <row r="15" spans="1:238" s="342" customFormat="1">
      <c r="A15" s="335" t="s">
        <v>721</v>
      </c>
      <c r="B15" s="346" t="s">
        <v>721</v>
      </c>
      <c r="C15" s="346" t="s">
        <v>221</v>
      </c>
      <c r="D15" s="346" t="s">
        <v>710</v>
      </c>
      <c r="E15" s="346" t="s">
        <v>2547</v>
      </c>
      <c r="F15" s="346" t="s">
        <v>785</v>
      </c>
      <c r="G15" s="346" t="s">
        <v>324</v>
      </c>
      <c r="H15" s="346" t="s">
        <v>324</v>
      </c>
      <c r="I15" s="346">
        <v>20.5</v>
      </c>
      <c r="J15" s="346">
        <v>20</v>
      </c>
      <c r="K15" s="422"/>
      <c r="L15" s="422"/>
      <c r="M15" s="422"/>
      <c r="N15" s="427" t="s">
        <v>891</v>
      </c>
      <c r="O15" s="346" t="s">
        <v>324</v>
      </c>
      <c r="P15" s="346" t="s">
        <v>324</v>
      </c>
      <c r="Q15" s="346" t="s">
        <v>324</v>
      </c>
      <c r="R15" s="346" t="s">
        <v>324</v>
      </c>
      <c r="S15" s="346" t="s">
        <v>723</v>
      </c>
      <c r="T15" s="346" t="s">
        <v>2942</v>
      </c>
      <c r="U15" s="346">
        <v>148</v>
      </c>
      <c r="V15" s="346" cm="1">
        <f t="array" ref="V15">IFERROR(INDEX('Offer Statistics'!$Q$2:$Q$500,MATCH(1,(B15='Offer Statistics'!$B$2:$B$500)*($B$11='Offer Statistics'!$K$2:$K$500),0)),"/")</f>
        <v>131</v>
      </c>
      <c r="W15" s="346" cm="1">
        <f t="array" ref="W15">IFERROR(INDEX('Offer Statistics'!$D$2:$D$500,MATCH(1,(B15='Offer Statistics'!$B$2:$B$500)*($B$11='Offer Statistics'!$K$2:$K$500),0)),"/")</f>
        <v>1018</v>
      </c>
      <c r="X15" s="346" cm="1">
        <f t="array" ref="X15">IFERROR(INDEX('Offer Statistics'!$L$2:$L$500,MATCH(1,(B15='Offer Statistics'!$B$2:$B$500)*($B$11='Offer Statistics'!$K$2:$K$500),0)),"/")</f>
        <v>127</v>
      </c>
      <c r="Y15" s="346">
        <f t="shared" si="48"/>
        <v>8.015748031496063</v>
      </c>
      <c r="Z15" s="346" t="s">
        <v>2941</v>
      </c>
      <c r="AA15" s="346" t="str">
        <f>入學要求!AF24</f>
        <v>/</v>
      </c>
      <c r="AB15" s="346" t="str">
        <f>入學要求!AG24</f>
        <v>/</v>
      </c>
      <c r="AC15" s="426" t="s">
        <v>785</v>
      </c>
      <c r="AD15" s="346" t="s">
        <v>2945</v>
      </c>
      <c r="AE15" s="346" t="s">
        <v>2946</v>
      </c>
      <c r="AF15" s="427" t="s">
        <v>891</v>
      </c>
      <c r="AG15" s="346" t="s">
        <v>324</v>
      </c>
      <c r="AH15" s="346" t="s">
        <v>324</v>
      </c>
      <c r="AI15" s="346" t="s">
        <v>324</v>
      </c>
      <c r="AJ15" s="346" t="s">
        <v>324</v>
      </c>
      <c r="AK15" s="346" t="s">
        <v>714</v>
      </c>
      <c r="AL15" s="346" t="s">
        <v>720</v>
      </c>
      <c r="AM15" s="346" t="s">
        <v>394</v>
      </c>
      <c r="AN15" s="346" t="s">
        <v>394</v>
      </c>
      <c r="AO15" s="346" t="s">
        <v>394</v>
      </c>
      <c r="AP15" s="346" t="s">
        <v>394</v>
      </c>
      <c r="AQ15" s="346" t="s">
        <v>394</v>
      </c>
      <c r="AR15" s="346" t="s">
        <v>324</v>
      </c>
      <c r="AT15" s="346" t="s">
        <v>716</v>
      </c>
      <c r="AU15" s="346"/>
      <c r="AV15" s="346" t="s">
        <v>713</v>
      </c>
      <c r="AW15" s="346"/>
      <c r="AX15" s="346"/>
      <c r="AY15" s="346"/>
      <c r="AZ15" s="346" t="s">
        <v>324</v>
      </c>
      <c r="BA15" s="346" t="s">
        <v>324</v>
      </c>
      <c r="BB15" s="346" t="s">
        <v>324</v>
      </c>
      <c r="BC15" s="346"/>
      <c r="BD15" s="346" t="s">
        <v>324</v>
      </c>
      <c r="BE15" s="346" t="s">
        <v>324</v>
      </c>
      <c r="BF15" s="346" t="s">
        <v>324</v>
      </c>
      <c r="BG15" s="346" t="s">
        <v>324</v>
      </c>
      <c r="BH15" s="346" t="s">
        <v>721</v>
      </c>
      <c r="BI15" s="346" t="s">
        <v>324</v>
      </c>
      <c r="BJ15" s="346" t="s">
        <v>324</v>
      </c>
      <c r="BK15" s="346" t="s">
        <v>324</v>
      </c>
      <c r="BL15" s="346"/>
      <c r="BM15" s="346" t="s">
        <v>324</v>
      </c>
      <c r="BN15" s="346" t="s">
        <v>324</v>
      </c>
      <c r="BO15" s="346" t="s">
        <v>324</v>
      </c>
      <c r="BP15" s="346" t="s">
        <v>324</v>
      </c>
      <c r="BQ15" s="429">
        <f t="shared" si="49"/>
        <v>0</v>
      </c>
      <c r="BR15" s="429">
        <f t="shared" si="50"/>
        <v>0</v>
      </c>
      <c r="BS15" s="429">
        <f t="shared" si="51"/>
        <v>0</v>
      </c>
      <c r="BT15" s="429"/>
      <c r="BU15" s="429">
        <f t="shared" si="52"/>
        <v>0</v>
      </c>
      <c r="BV15" s="429">
        <f t="shared" si="53"/>
        <v>0</v>
      </c>
      <c r="BW15" s="429">
        <f t="shared" si="54"/>
        <v>0</v>
      </c>
      <c r="BX15" s="429">
        <f t="shared" si="55"/>
        <v>0</v>
      </c>
      <c r="BY15" s="346" t="s">
        <v>324</v>
      </c>
      <c r="BZ15" s="346" t="s">
        <v>324</v>
      </c>
      <c r="CA15" s="346" t="s">
        <v>324</v>
      </c>
      <c r="CB15" s="346"/>
      <c r="CC15" s="346" t="s">
        <v>324</v>
      </c>
      <c r="CD15" s="346" t="s">
        <v>324</v>
      </c>
      <c r="CE15" s="346" t="s">
        <v>324</v>
      </c>
      <c r="CF15" s="346" t="s">
        <v>324</v>
      </c>
      <c r="CG15" s="346" t="s">
        <v>324</v>
      </c>
      <c r="CH15" s="346" t="s">
        <v>324</v>
      </c>
      <c r="CI15" s="346" t="s">
        <v>324</v>
      </c>
      <c r="CJ15" s="346"/>
      <c r="CK15" s="346" t="s">
        <v>324</v>
      </c>
      <c r="CL15" s="346" t="s">
        <v>324</v>
      </c>
      <c r="CM15" s="346" t="s">
        <v>324</v>
      </c>
      <c r="CN15" s="346" t="s">
        <v>324</v>
      </c>
      <c r="CO15" s="346" t="s">
        <v>324</v>
      </c>
      <c r="CP15" s="346" t="s">
        <v>324</v>
      </c>
      <c r="CQ15" s="346" t="s">
        <v>324</v>
      </c>
      <c r="CR15" s="346"/>
      <c r="CS15" s="346" t="s">
        <v>324</v>
      </c>
      <c r="CT15" s="346" t="s">
        <v>324</v>
      </c>
      <c r="CU15" s="346" t="s">
        <v>324</v>
      </c>
      <c r="CV15" s="346" t="s">
        <v>324</v>
      </c>
      <c r="CW15" s="346"/>
      <c r="CX15" s="346" t="s">
        <v>324</v>
      </c>
      <c r="CY15" s="346" t="s">
        <v>324</v>
      </c>
      <c r="CZ15" s="346" t="s">
        <v>324</v>
      </c>
      <c r="DA15" s="346"/>
      <c r="DB15" s="346" t="s">
        <v>324</v>
      </c>
      <c r="DC15" s="346" t="s">
        <v>324</v>
      </c>
      <c r="DD15" s="346" t="s">
        <v>324</v>
      </c>
      <c r="DE15" s="346" t="s">
        <v>324</v>
      </c>
      <c r="DF15" s="429">
        <f t="shared" si="56"/>
        <v>0</v>
      </c>
      <c r="DG15" s="429">
        <f t="shared" si="57"/>
        <v>0</v>
      </c>
      <c r="DH15" s="429">
        <f t="shared" si="58"/>
        <v>0</v>
      </c>
      <c r="DI15" s="429"/>
      <c r="DJ15" s="429">
        <f t="shared" si="59"/>
        <v>0</v>
      </c>
      <c r="DK15" s="429">
        <f t="shared" si="60"/>
        <v>0</v>
      </c>
      <c r="DL15" s="429">
        <f t="shared" si="61"/>
        <v>0</v>
      </c>
      <c r="DM15" s="429">
        <f t="shared" si="62"/>
        <v>0</v>
      </c>
      <c r="DN15" s="346" t="s">
        <v>324</v>
      </c>
      <c r="DO15" s="346" t="s">
        <v>324</v>
      </c>
      <c r="DP15" s="346" t="s">
        <v>324</v>
      </c>
      <c r="DQ15" s="346"/>
      <c r="DR15" s="346" t="s">
        <v>324</v>
      </c>
      <c r="DS15" s="346" t="s">
        <v>324</v>
      </c>
      <c r="DT15" s="346" t="s">
        <v>324</v>
      </c>
      <c r="DU15" s="346" t="s">
        <v>324</v>
      </c>
      <c r="DV15" s="346" t="s">
        <v>324</v>
      </c>
      <c r="DW15" s="346" t="s">
        <v>324</v>
      </c>
      <c r="DX15" s="346" t="s">
        <v>324</v>
      </c>
      <c r="DY15" s="346"/>
      <c r="DZ15" s="346" t="s">
        <v>324</v>
      </c>
      <c r="EA15" s="346" t="s">
        <v>324</v>
      </c>
      <c r="EB15" s="346" t="s">
        <v>324</v>
      </c>
      <c r="EC15" s="346" t="s">
        <v>324</v>
      </c>
      <c r="ED15" s="346" t="s">
        <v>394</v>
      </c>
      <c r="EE15" s="346" t="s">
        <v>394</v>
      </c>
      <c r="EF15" s="346" t="s">
        <v>394</v>
      </c>
      <c r="EG15" s="346"/>
      <c r="EH15" s="346" t="s">
        <v>394</v>
      </c>
      <c r="EI15" s="346" t="s">
        <v>394</v>
      </c>
      <c r="EJ15" s="346" t="s">
        <v>394</v>
      </c>
      <c r="EK15" s="346" t="s">
        <v>394</v>
      </c>
      <c r="EL15" s="346" t="s">
        <v>394</v>
      </c>
      <c r="EM15" s="346" t="s">
        <v>394</v>
      </c>
      <c r="EN15" s="346" t="s">
        <v>394</v>
      </c>
      <c r="EO15" s="346"/>
      <c r="EP15" s="346" t="s">
        <v>394</v>
      </c>
      <c r="EQ15" s="346" t="s">
        <v>394</v>
      </c>
      <c r="ER15" s="346" t="s">
        <v>394</v>
      </c>
      <c r="ES15" s="346" t="s">
        <v>394</v>
      </c>
      <c r="ET15" s="346"/>
      <c r="EU15" s="346"/>
      <c r="EV15" s="346"/>
      <c r="EW15" s="346"/>
      <c r="EX15" s="346"/>
      <c r="EY15" s="346"/>
      <c r="EZ15" s="346"/>
      <c r="FA15" s="346"/>
      <c r="FB15" s="346" t="s">
        <v>394</v>
      </c>
      <c r="FC15" s="346" t="s">
        <v>394</v>
      </c>
      <c r="FD15" s="346" t="s">
        <v>394</v>
      </c>
      <c r="FE15" s="346" t="s">
        <v>394</v>
      </c>
      <c r="FF15" s="346" t="s">
        <v>394</v>
      </c>
      <c r="FG15" s="346" t="s">
        <v>394</v>
      </c>
      <c r="FH15" s="346" t="s">
        <v>394</v>
      </c>
      <c r="FI15" s="346" t="s">
        <v>394</v>
      </c>
      <c r="FJ15" s="346" t="s">
        <v>394</v>
      </c>
      <c r="FK15" s="346" t="s">
        <v>394</v>
      </c>
      <c r="FL15" s="346" t="s">
        <v>394</v>
      </c>
      <c r="FM15" s="346" t="s">
        <v>394</v>
      </c>
      <c r="FN15" s="346" t="s">
        <v>394</v>
      </c>
      <c r="FO15" s="346" t="s">
        <v>394</v>
      </c>
      <c r="FP15" s="346" t="s">
        <v>394</v>
      </c>
      <c r="FQ15" s="346" t="s">
        <v>394</v>
      </c>
    </row>
    <row r="16" spans="1:238" s="342" customFormat="1">
      <c r="A16" s="335" t="s">
        <v>726</v>
      </c>
      <c r="B16" s="346" t="s">
        <v>726</v>
      </c>
      <c r="C16" s="346" t="s">
        <v>221</v>
      </c>
      <c r="D16" s="346" t="s">
        <v>710</v>
      </c>
      <c r="E16" s="346" t="s">
        <v>2548</v>
      </c>
      <c r="F16" s="346" t="s">
        <v>785</v>
      </c>
      <c r="G16" s="346" t="s">
        <v>324</v>
      </c>
      <c r="H16" s="346" t="s">
        <v>324</v>
      </c>
      <c r="I16" s="346">
        <v>20.5</v>
      </c>
      <c r="J16" s="346">
        <v>20.5</v>
      </c>
      <c r="K16" s="422"/>
      <c r="L16" s="422"/>
      <c r="M16" s="422"/>
      <c r="N16" s="427" t="s">
        <v>891</v>
      </c>
      <c r="O16" s="346" t="s">
        <v>324</v>
      </c>
      <c r="P16" s="346" t="s">
        <v>324</v>
      </c>
      <c r="Q16" s="346" t="s">
        <v>324</v>
      </c>
      <c r="R16" s="346" t="s">
        <v>324</v>
      </c>
      <c r="S16" s="346" t="s">
        <v>728</v>
      </c>
      <c r="T16" s="346" t="s">
        <v>2942</v>
      </c>
      <c r="U16" s="346">
        <v>58</v>
      </c>
      <c r="V16" s="346" cm="1">
        <f t="array" ref="V16">IFERROR(INDEX('Offer Statistics'!$Q$2:$Q$500,MATCH(1,(B16='Offer Statistics'!$B$2:$B$500)*($B$11='Offer Statistics'!$K$2:$K$500),0)),"/")</f>
        <v>42</v>
      </c>
      <c r="W16" s="346" cm="1">
        <f t="array" ref="W16">IFERROR(INDEX('Offer Statistics'!$D$2:$D$500,MATCH(1,(B16='Offer Statistics'!$B$2:$B$500)*($B$11='Offer Statistics'!$K$2:$K$500),0)),"/")</f>
        <v>711</v>
      </c>
      <c r="X16" s="346" cm="1">
        <f t="array" ref="X16">IFERROR(INDEX('Offer Statistics'!$L$2:$L$500,MATCH(1,(B16='Offer Statistics'!$B$2:$B$500)*($B$11='Offer Statistics'!$K$2:$K$500),0)),"/")</f>
        <v>37</v>
      </c>
      <c r="Y16" s="346">
        <f t="shared" si="48"/>
        <v>19.216216216216218</v>
      </c>
      <c r="Z16" s="346" t="s">
        <v>2941</v>
      </c>
      <c r="AA16" s="346" t="str">
        <f>入學要求!AF25</f>
        <v>/</v>
      </c>
      <c r="AB16" s="346" t="str">
        <f>入學要求!AG25</f>
        <v>/</v>
      </c>
      <c r="AC16" s="426" t="s">
        <v>785</v>
      </c>
      <c r="AD16" s="346" t="s">
        <v>2945</v>
      </c>
      <c r="AE16" s="346" t="s">
        <v>2946</v>
      </c>
      <c r="AF16" s="427" t="s">
        <v>891</v>
      </c>
      <c r="AG16" s="346" t="s">
        <v>324</v>
      </c>
      <c r="AH16" s="346" t="s">
        <v>324</v>
      </c>
      <c r="AI16" s="346" t="s">
        <v>324</v>
      </c>
      <c r="AJ16" s="346" t="s">
        <v>324</v>
      </c>
      <c r="AK16" s="346" t="s">
        <v>729</v>
      </c>
      <c r="AL16" s="346" t="s">
        <v>714</v>
      </c>
      <c r="AM16" s="346" t="s">
        <v>720</v>
      </c>
      <c r="AN16" s="346" t="s">
        <v>394</v>
      </c>
      <c r="AO16" s="346" t="s">
        <v>394</v>
      </c>
      <c r="AP16" s="346" t="s">
        <v>394</v>
      </c>
      <c r="AQ16" s="346" t="s">
        <v>394</v>
      </c>
      <c r="AR16" s="346" t="s">
        <v>324</v>
      </c>
      <c r="AT16" s="346" t="s">
        <v>716</v>
      </c>
      <c r="AU16" s="346"/>
      <c r="AV16" s="346" t="s">
        <v>713</v>
      </c>
      <c r="AW16" s="346"/>
      <c r="AX16" s="346"/>
      <c r="AY16" s="346"/>
      <c r="AZ16" s="346" t="s">
        <v>324</v>
      </c>
      <c r="BA16" s="346" t="s">
        <v>324</v>
      </c>
      <c r="BB16" s="346" t="s">
        <v>324</v>
      </c>
      <c r="BC16" s="346"/>
      <c r="BD16" s="346" t="s">
        <v>324</v>
      </c>
      <c r="BE16" s="346" t="s">
        <v>324</v>
      </c>
      <c r="BF16" s="346" t="s">
        <v>324</v>
      </c>
      <c r="BG16" s="346" t="s">
        <v>324</v>
      </c>
      <c r="BH16" s="346" t="s">
        <v>726</v>
      </c>
      <c r="BI16" s="346" t="s">
        <v>324</v>
      </c>
      <c r="BJ16" s="346" t="s">
        <v>324</v>
      </c>
      <c r="BK16" s="346" t="s">
        <v>324</v>
      </c>
      <c r="BL16" s="346"/>
      <c r="BM16" s="346" t="s">
        <v>324</v>
      </c>
      <c r="BN16" s="346" t="s">
        <v>324</v>
      </c>
      <c r="BO16" s="346" t="s">
        <v>324</v>
      </c>
      <c r="BP16" s="346" t="s">
        <v>324</v>
      </c>
      <c r="BQ16" s="429">
        <f t="shared" si="49"/>
        <v>0</v>
      </c>
      <c r="BR16" s="429">
        <f t="shared" si="50"/>
        <v>0</v>
      </c>
      <c r="BS16" s="429">
        <f t="shared" si="51"/>
        <v>0</v>
      </c>
      <c r="BT16" s="429"/>
      <c r="BU16" s="429">
        <f t="shared" si="52"/>
        <v>0</v>
      </c>
      <c r="BV16" s="429">
        <f t="shared" si="53"/>
        <v>0</v>
      </c>
      <c r="BW16" s="429">
        <f t="shared" si="54"/>
        <v>0</v>
      </c>
      <c r="BX16" s="429">
        <f t="shared" si="55"/>
        <v>0</v>
      </c>
      <c r="BY16" s="346" t="s">
        <v>324</v>
      </c>
      <c r="BZ16" s="346" t="s">
        <v>324</v>
      </c>
      <c r="CA16" s="346" t="s">
        <v>324</v>
      </c>
      <c r="CB16" s="346"/>
      <c r="CC16" s="346" t="s">
        <v>324</v>
      </c>
      <c r="CD16" s="346" t="s">
        <v>324</v>
      </c>
      <c r="CE16" s="346" t="s">
        <v>324</v>
      </c>
      <c r="CF16" s="346" t="s">
        <v>324</v>
      </c>
      <c r="CG16" s="346" t="s">
        <v>324</v>
      </c>
      <c r="CH16" s="346" t="s">
        <v>324</v>
      </c>
      <c r="CI16" s="346" t="s">
        <v>324</v>
      </c>
      <c r="CJ16" s="346"/>
      <c r="CK16" s="346" t="s">
        <v>324</v>
      </c>
      <c r="CL16" s="346" t="s">
        <v>324</v>
      </c>
      <c r="CM16" s="346" t="s">
        <v>324</v>
      </c>
      <c r="CN16" s="346" t="s">
        <v>324</v>
      </c>
      <c r="CO16" s="346" t="s">
        <v>324</v>
      </c>
      <c r="CP16" s="346" t="s">
        <v>324</v>
      </c>
      <c r="CQ16" s="346" t="s">
        <v>324</v>
      </c>
      <c r="CR16" s="346"/>
      <c r="CS16" s="346" t="s">
        <v>324</v>
      </c>
      <c r="CT16" s="346" t="s">
        <v>324</v>
      </c>
      <c r="CU16" s="346" t="s">
        <v>324</v>
      </c>
      <c r="CV16" s="346" t="s">
        <v>324</v>
      </c>
      <c r="CW16" s="346"/>
      <c r="CX16" s="346" t="s">
        <v>324</v>
      </c>
      <c r="CY16" s="346" t="s">
        <v>324</v>
      </c>
      <c r="CZ16" s="346" t="s">
        <v>324</v>
      </c>
      <c r="DA16" s="346"/>
      <c r="DB16" s="346" t="s">
        <v>324</v>
      </c>
      <c r="DC16" s="346" t="s">
        <v>324</v>
      </c>
      <c r="DD16" s="346" t="s">
        <v>324</v>
      </c>
      <c r="DE16" s="346" t="s">
        <v>324</v>
      </c>
      <c r="DF16" s="429">
        <f t="shared" si="56"/>
        <v>0</v>
      </c>
      <c r="DG16" s="429">
        <f t="shared" si="57"/>
        <v>0</v>
      </c>
      <c r="DH16" s="429">
        <f t="shared" si="58"/>
        <v>0</v>
      </c>
      <c r="DI16" s="429"/>
      <c r="DJ16" s="429">
        <f t="shared" si="59"/>
        <v>0</v>
      </c>
      <c r="DK16" s="429">
        <f t="shared" si="60"/>
        <v>0</v>
      </c>
      <c r="DL16" s="429">
        <f t="shared" si="61"/>
        <v>0</v>
      </c>
      <c r="DM16" s="429">
        <f t="shared" si="62"/>
        <v>0</v>
      </c>
      <c r="DN16" s="346" t="s">
        <v>324</v>
      </c>
      <c r="DO16" s="346" t="s">
        <v>324</v>
      </c>
      <c r="DP16" s="346" t="s">
        <v>324</v>
      </c>
      <c r="DQ16" s="346"/>
      <c r="DR16" s="346" t="s">
        <v>324</v>
      </c>
      <c r="DS16" s="346" t="s">
        <v>324</v>
      </c>
      <c r="DT16" s="346" t="s">
        <v>324</v>
      </c>
      <c r="DU16" s="346" t="s">
        <v>324</v>
      </c>
      <c r="DV16" s="346" t="s">
        <v>324</v>
      </c>
      <c r="DW16" s="346" t="s">
        <v>324</v>
      </c>
      <c r="DX16" s="346" t="s">
        <v>324</v>
      </c>
      <c r="DY16" s="346"/>
      <c r="DZ16" s="346" t="s">
        <v>324</v>
      </c>
      <c r="EA16" s="346" t="s">
        <v>324</v>
      </c>
      <c r="EB16" s="346" t="s">
        <v>324</v>
      </c>
      <c r="EC16" s="346" t="s">
        <v>324</v>
      </c>
      <c r="ED16" s="346" t="s">
        <v>394</v>
      </c>
      <c r="EE16" s="346" t="s">
        <v>394</v>
      </c>
      <c r="EF16" s="346" t="s">
        <v>394</v>
      </c>
      <c r="EG16" s="346"/>
      <c r="EH16" s="346" t="s">
        <v>394</v>
      </c>
      <c r="EI16" s="346" t="s">
        <v>394</v>
      </c>
      <c r="EJ16" s="346" t="s">
        <v>394</v>
      </c>
      <c r="EK16" s="346" t="s">
        <v>394</v>
      </c>
      <c r="EL16" s="346" t="s">
        <v>394</v>
      </c>
      <c r="EM16" s="346" t="s">
        <v>394</v>
      </c>
      <c r="EN16" s="346" t="s">
        <v>394</v>
      </c>
      <c r="EO16" s="346"/>
      <c r="EP16" s="346" t="s">
        <v>394</v>
      </c>
      <c r="EQ16" s="346" t="s">
        <v>394</v>
      </c>
      <c r="ER16" s="346" t="s">
        <v>394</v>
      </c>
      <c r="ES16" s="346" t="s">
        <v>394</v>
      </c>
      <c r="ET16" s="346"/>
      <c r="EU16" s="346"/>
      <c r="EV16" s="346"/>
      <c r="EW16" s="346"/>
      <c r="EX16" s="346"/>
      <c r="EY16" s="346"/>
      <c r="EZ16" s="346"/>
      <c r="FA16" s="346"/>
      <c r="FB16" s="346" t="s">
        <v>394</v>
      </c>
      <c r="FC16" s="346" t="s">
        <v>394</v>
      </c>
      <c r="FD16" s="346" t="s">
        <v>394</v>
      </c>
      <c r="FE16" s="346" t="s">
        <v>394</v>
      </c>
      <c r="FF16" s="346" t="s">
        <v>394</v>
      </c>
      <c r="FG16" s="346" t="s">
        <v>394</v>
      </c>
      <c r="FH16" s="346" t="s">
        <v>394</v>
      </c>
      <c r="FI16" s="346" t="s">
        <v>394</v>
      </c>
      <c r="FJ16" s="346" t="s">
        <v>394</v>
      </c>
      <c r="FK16" s="346" t="s">
        <v>394</v>
      </c>
      <c r="FL16" s="346" t="s">
        <v>394</v>
      </c>
      <c r="FM16" s="346" t="s">
        <v>394</v>
      </c>
      <c r="FN16" s="346" t="s">
        <v>394</v>
      </c>
      <c r="FO16" s="346" t="s">
        <v>394</v>
      </c>
      <c r="FP16" s="346" t="s">
        <v>394</v>
      </c>
      <c r="FQ16" s="346" t="s">
        <v>394</v>
      </c>
    </row>
    <row r="17" spans="1:173">
      <c r="A17" s="335" t="s">
        <v>730</v>
      </c>
      <c r="B17" s="346" t="s">
        <v>730</v>
      </c>
      <c r="C17" s="346" t="s">
        <v>221</v>
      </c>
      <c r="D17" s="346" t="s">
        <v>710</v>
      </c>
      <c r="E17" s="346" t="s">
        <v>2549</v>
      </c>
      <c r="F17" s="425" t="s">
        <v>2259</v>
      </c>
      <c r="G17" s="346" t="s">
        <v>324</v>
      </c>
      <c r="H17" s="346" t="s">
        <v>324</v>
      </c>
      <c r="I17" s="346">
        <v>23.5</v>
      </c>
      <c r="J17" s="346">
        <v>22</v>
      </c>
      <c r="K17" s="422"/>
      <c r="L17" s="422"/>
      <c r="M17" s="422"/>
      <c r="N17" s="346" t="s">
        <v>324</v>
      </c>
      <c r="O17" s="346" t="s">
        <v>324</v>
      </c>
      <c r="P17" s="346" t="s">
        <v>734</v>
      </c>
      <c r="Q17" s="346" t="s">
        <v>324</v>
      </c>
      <c r="R17" s="346" t="s">
        <v>324</v>
      </c>
      <c r="S17" s="346" t="s">
        <v>733</v>
      </c>
      <c r="T17" s="346" t="s">
        <v>2942</v>
      </c>
      <c r="U17" s="346">
        <v>82</v>
      </c>
      <c r="V17" s="346" cm="1">
        <f t="array" ref="V17">IFERROR(INDEX('Offer Statistics'!$Q$2:$Q$500,MATCH(1,(B17='Offer Statistics'!$B$2:$B$500)*($B$11='Offer Statistics'!$K$2:$K$500),0)),"/")</f>
        <v>76</v>
      </c>
      <c r="W17" s="346" cm="1">
        <f t="array" ref="W17">IFERROR(INDEX('Offer Statistics'!$D$2:$D$500,MATCH(1,(B17='Offer Statistics'!$B$2:$B$500)*($B$11='Offer Statistics'!$K$2:$K$500),0)),"/")</f>
        <v>934</v>
      </c>
      <c r="X17" s="346" cm="1">
        <f t="array" ref="X17">IFERROR(INDEX('Offer Statistics'!$L$2:$L$500,MATCH(1,(B17='Offer Statistics'!$B$2:$B$500)*($B$11='Offer Statistics'!$K$2:$K$500),0)),"/")</f>
        <v>72</v>
      </c>
      <c r="Y17" s="346">
        <f t="shared" si="48"/>
        <v>12.972222222222221</v>
      </c>
      <c r="Z17" s="346" t="s">
        <v>2941</v>
      </c>
      <c r="AA17" s="346" t="str">
        <f>入學要求!AF26</f>
        <v>/</v>
      </c>
      <c r="AB17" s="346" t="str">
        <f>入學要求!AG26</f>
        <v>/</v>
      </c>
      <c r="AC17" s="424" t="s">
        <v>2259</v>
      </c>
      <c r="AD17" s="346" t="s">
        <v>2945</v>
      </c>
      <c r="AE17" s="346" t="s">
        <v>2946</v>
      </c>
      <c r="AF17" s="346" t="s">
        <v>324</v>
      </c>
      <c r="AG17" s="346" t="s">
        <v>324</v>
      </c>
      <c r="AH17" s="346" t="s">
        <v>734</v>
      </c>
      <c r="AI17" s="346" t="s">
        <v>324</v>
      </c>
      <c r="AJ17" s="346" t="s">
        <v>324</v>
      </c>
      <c r="AK17" s="346" t="s">
        <v>714</v>
      </c>
      <c r="AL17" s="346" t="s">
        <v>735</v>
      </c>
      <c r="AM17" s="346" t="s">
        <v>394</v>
      </c>
      <c r="AN17" s="346" t="s">
        <v>394</v>
      </c>
      <c r="AO17" s="346" t="s">
        <v>394</v>
      </c>
      <c r="AP17" s="346" t="s">
        <v>394</v>
      </c>
      <c r="AQ17" s="346" t="s">
        <v>394</v>
      </c>
      <c r="AR17" s="346" t="s">
        <v>324</v>
      </c>
      <c r="AT17" s="346" t="s">
        <v>716</v>
      </c>
      <c r="AU17" s="346"/>
      <c r="AV17" s="346" t="s">
        <v>713</v>
      </c>
      <c r="AW17" s="346"/>
      <c r="AX17" s="346"/>
      <c r="AY17" s="346"/>
      <c r="AZ17" s="346" t="s">
        <v>324</v>
      </c>
      <c r="BA17" s="346" t="s">
        <v>324</v>
      </c>
      <c r="BB17" s="346" t="s">
        <v>324</v>
      </c>
      <c r="BC17" s="346"/>
      <c r="BD17" s="346" t="s">
        <v>324</v>
      </c>
      <c r="BE17" s="346" t="s">
        <v>324</v>
      </c>
      <c r="BF17" s="346" t="s">
        <v>324</v>
      </c>
      <c r="BG17" s="346" t="s">
        <v>324</v>
      </c>
      <c r="BH17" s="346" t="s">
        <v>730</v>
      </c>
      <c r="BI17" s="346" t="s">
        <v>324</v>
      </c>
      <c r="BJ17" s="346" t="s">
        <v>324</v>
      </c>
      <c r="BK17" s="346" t="s">
        <v>324</v>
      </c>
      <c r="BL17" s="346"/>
      <c r="BM17" s="346" t="s">
        <v>324</v>
      </c>
      <c r="BN17" s="346" t="s">
        <v>324</v>
      </c>
      <c r="BO17" s="346" t="s">
        <v>324</v>
      </c>
      <c r="BP17" s="346" t="s">
        <v>324</v>
      </c>
      <c r="BQ17" s="429">
        <f t="shared" si="49"/>
        <v>0</v>
      </c>
      <c r="BR17" s="429">
        <f t="shared" si="50"/>
        <v>0</v>
      </c>
      <c r="BS17" s="429">
        <f t="shared" si="51"/>
        <v>0</v>
      </c>
      <c r="BT17" s="429"/>
      <c r="BU17" s="429">
        <f t="shared" si="52"/>
        <v>0</v>
      </c>
      <c r="BV17" s="429">
        <f t="shared" si="53"/>
        <v>0</v>
      </c>
      <c r="BW17" s="429">
        <f t="shared" si="54"/>
        <v>0</v>
      </c>
      <c r="BX17" s="429">
        <f t="shared" si="55"/>
        <v>0</v>
      </c>
      <c r="BY17" s="346" t="s">
        <v>324</v>
      </c>
      <c r="BZ17" s="346" t="s">
        <v>324</v>
      </c>
      <c r="CA17" s="346" t="s">
        <v>324</v>
      </c>
      <c r="CB17" s="346"/>
      <c r="CC17" s="346" t="s">
        <v>324</v>
      </c>
      <c r="CD17" s="346" t="s">
        <v>324</v>
      </c>
      <c r="CE17" s="346" t="s">
        <v>324</v>
      </c>
      <c r="CF17" s="346" t="s">
        <v>324</v>
      </c>
      <c r="CG17" s="346" t="s">
        <v>324</v>
      </c>
      <c r="CH17" s="346" t="s">
        <v>324</v>
      </c>
      <c r="CI17" s="346" t="s">
        <v>324</v>
      </c>
      <c r="CJ17" s="346"/>
      <c r="CK17" s="346" t="s">
        <v>324</v>
      </c>
      <c r="CL17" s="346" t="s">
        <v>324</v>
      </c>
      <c r="CM17" s="346" t="s">
        <v>324</v>
      </c>
      <c r="CN17" s="346" t="s">
        <v>324</v>
      </c>
      <c r="CO17" s="346" t="s">
        <v>324</v>
      </c>
      <c r="CP17" s="346" t="s">
        <v>324</v>
      </c>
      <c r="CQ17" s="346" t="s">
        <v>324</v>
      </c>
      <c r="CR17" s="346"/>
      <c r="CS17" s="346" t="s">
        <v>324</v>
      </c>
      <c r="CT17" s="346" t="s">
        <v>324</v>
      </c>
      <c r="CU17" s="346" t="s">
        <v>324</v>
      </c>
      <c r="CV17" s="346" t="s">
        <v>324</v>
      </c>
      <c r="CW17" s="346"/>
      <c r="CX17" s="346" t="s">
        <v>324</v>
      </c>
      <c r="CY17" s="346" t="s">
        <v>324</v>
      </c>
      <c r="CZ17" s="346" t="s">
        <v>324</v>
      </c>
      <c r="DA17" s="346"/>
      <c r="DB17" s="346" t="s">
        <v>324</v>
      </c>
      <c r="DC17" s="346" t="s">
        <v>324</v>
      </c>
      <c r="DD17" s="346" t="s">
        <v>324</v>
      </c>
      <c r="DE17" s="346" t="s">
        <v>324</v>
      </c>
      <c r="DF17" s="429">
        <f t="shared" si="56"/>
        <v>0</v>
      </c>
      <c r="DG17" s="429">
        <f t="shared" si="57"/>
        <v>0</v>
      </c>
      <c r="DH17" s="429">
        <f t="shared" si="58"/>
        <v>0</v>
      </c>
      <c r="DI17" s="429"/>
      <c r="DJ17" s="429">
        <f t="shared" si="59"/>
        <v>0</v>
      </c>
      <c r="DK17" s="429">
        <f t="shared" si="60"/>
        <v>0</v>
      </c>
      <c r="DL17" s="429">
        <f t="shared" si="61"/>
        <v>0</v>
      </c>
      <c r="DM17" s="429">
        <f t="shared" si="62"/>
        <v>0</v>
      </c>
      <c r="DN17" s="346" t="s">
        <v>324</v>
      </c>
      <c r="DO17" s="346" t="s">
        <v>324</v>
      </c>
      <c r="DP17" s="346" t="s">
        <v>324</v>
      </c>
      <c r="DQ17" s="346"/>
      <c r="DR17" s="346" t="s">
        <v>324</v>
      </c>
      <c r="DS17" s="346" t="s">
        <v>324</v>
      </c>
      <c r="DT17" s="346" t="s">
        <v>324</v>
      </c>
      <c r="DU17" s="346" t="s">
        <v>324</v>
      </c>
      <c r="DV17" s="346" t="s">
        <v>324</v>
      </c>
      <c r="DW17" s="346" t="s">
        <v>324</v>
      </c>
      <c r="DX17" s="346" t="s">
        <v>324</v>
      </c>
      <c r="DY17" s="346"/>
      <c r="DZ17" s="346" t="s">
        <v>324</v>
      </c>
      <c r="EA17" s="346" t="s">
        <v>324</v>
      </c>
      <c r="EB17" s="346" t="s">
        <v>324</v>
      </c>
      <c r="EC17" s="346" t="s">
        <v>324</v>
      </c>
      <c r="ED17" s="346" t="s">
        <v>394</v>
      </c>
      <c r="EE17" s="346" t="s">
        <v>394</v>
      </c>
      <c r="EF17" s="346" t="s">
        <v>394</v>
      </c>
      <c r="EG17" s="346"/>
      <c r="EH17" s="346" t="s">
        <v>394</v>
      </c>
      <c r="EI17" s="346" t="s">
        <v>394</v>
      </c>
      <c r="EJ17" s="346" t="s">
        <v>394</v>
      </c>
      <c r="EK17" s="346" t="s">
        <v>394</v>
      </c>
      <c r="EL17" s="346" t="s">
        <v>394</v>
      </c>
      <c r="EM17" s="346" t="s">
        <v>394</v>
      </c>
      <c r="EN17" s="346" t="s">
        <v>394</v>
      </c>
      <c r="EO17" s="346"/>
      <c r="EP17" s="346" t="s">
        <v>394</v>
      </c>
      <c r="EQ17" s="346" t="s">
        <v>394</v>
      </c>
      <c r="ER17" s="346" t="s">
        <v>394</v>
      </c>
      <c r="ES17" s="346" t="s">
        <v>394</v>
      </c>
      <c r="ET17" s="346"/>
      <c r="EU17" s="346"/>
      <c r="EV17" s="346"/>
      <c r="EW17" s="346"/>
      <c r="EX17" s="346"/>
      <c r="EY17" s="346"/>
      <c r="EZ17" s="346"/>
      <c r="FA17" s="346"/>
      <c r="FB17" s="346" t="s">
        <v>394</v>
      </c>
      <c r="FC17" s="346" t="s">
        <v>394</v>
      </c>
      <c r="FD17" s="346" t="s">
        <v>394</v>
      </c>
      <c r="FE17" s="346" t="s">
        <v>394</v>
      </c>
      <c r="FF17" s="346" t="s">
        <v>394</v>
      </c>
      <c r="FG17" s="346" t="s">
        <v>394</v>
      </c>
      <c r="FH17" s="346" t="s">
        <v>394</v>
      </c>
      <c r="FI17" s="346" t="s">
        <v>394</v>
      </c>
      <c r="FJ17" s="346" t="s">
        <v>394</v>
      </c>
      <c r="FK17" s="346" t="s">
        <v>394</v>
      </c>
      <c r="FL17" s="346" t="s">
        <v>394</v>
      </c>
      <c r="FM17" s="346" t="s">
        <v>394</v>
      </c>
      <c r="FN17" s="346" t="s">
        <v>394</v>
      </c>
      <c r="FO17" s="346" t="s">
        <v>394</v>
      </c>
      <c r="FP17" s="346" t="s">
        <v>394</v>
      </c>
      <c r="FQ17" s="346" t="s">
        <v>394</v>
      </c>
    </row>
    <row r="18" spans="1:173" s="343" customFormat="1">
      <c r="A18" s="335" t="s">
        <v>736</v>
      </c>
      <c r="B18" s="346" t="s">
        <v>736</v>
      </c>
      <c r="C18" s="346" t="s">
        <v>221</v>
      </c>
      <c r="D18" s="346" t="s">
        <v>710</v>
      </c>
      <c r="E18" s="346" t="s">
        <v>2550</v>
      </c>
      <c r="F18" s="346" t="s">
        <v>785</v>
      </c>
      <c r="G18" s="346" t="s">
        <v>324</v>
      </c>
      <c r="H18" s="346" t="s">
        <v>324</v>
      </c>
      <c r="I18" s="346">
        <v>21.5</v>
      </c>
      <c r="J18" s="346">
        <v>21.5</v>
      </c>
      <c r="K18" s="422"/>
      <c r="L18" s="422"/>
      <c r="M18" s="422"/>
      <c r="N18" s="427" t="s">
        <v>891</v>
      </c>
      <c r="O18" s="346" t="s">
        <v>324</v>
      </c>
      <c r="P18" s="346" t="s">
        <v>324</v>
      </c>
      <c r="Q18" s="346" t="s">
        <v>324</v>
      </c>
      <c r="R18" s="346" t="s">
        <v>324</v>
      </c>
      <c r="S18" s="346" t="s">
        <v>738</v>
      </c>
      <c r="T18" s="346" t="s">
        <v>2942</v>
      </c>
      <c r="U18" s="346">
        <v>29</v>
      </c>
      <c r="V18" s="346" cm="1">
        <f t="array" ref="V18">IFERROR(INDEX('Offer Statistics'!$Q$2:$Q$500,MATCH(1,(B18='Offer Statistics'!$B$2:$B$500)*($B$11='Offer Statistics'!$K$2:$K$500),0)),"/")</f>
        <v>21</v>
      </c>
      <c r="W18" s="346" cm="1">
        <f t="array" ref="W18">IFERROR(INDEX('Offer Statistics'!$D$2:$D$500,MATCH(1,(B18='Offer Statistics'!$B$2:$B$500)*($B$11='Offer Statistics'!$K$2:$K$500),0)),"/")</f>
        <v>247</v>
      </c>
      <c r="X18" s="346" cm="1">
        <f t="array" ref="X18">IFERROR(INDEX('Offer Statistics'!$L$2:$L$500,MATCH(1,(B18='Offer Statistics'!$B$2:$B$500)*($B$11='Offer Statistics'!$K$2:$K$500),0)),"/")</f>
        <v>21</v>
      </c>
      <c r="Y18" s="346">
        <f t="shared" si="48"/>
        <v>11.761904761904763</v>
      </c>
      <c r="Z18" s="346" t="s">
        <v>2941</v>
      </c>
      <c r="AA18" s="346" t="str">
        <f>入學要求!AF27</f>
        <v>/</v>
      </c>
      <c r="AB18" s="346" t="str">
        <f>入學要求!AG27</f>
        <v>/</v>
      </c>
      <c r="AC18" s="426" t="s">
        <v>785</v>
      </c>
      <c r="AD18" s="346" t="s">
        <v>2945</v>
      </c>
      <c r="AE18" s="346" t="s">
        <v>2946</v>
      </c>
      <c r="AF18" s="427" t="s">
        <v>891</v>
      </c>
      <c r="AG18" s="346" t="s">
        <v>324</v>
      </c>
      <c r="AH18" s="346" t="s">
        <v>324</v>
      </c>
      <c r="AI18" s="346" t="s">
        <v>324</v>
      </c>
      <c r="AJ18" s="346" t="s">
        <v>324</v>
      </c>
      <c r="AK18" s="346" t="s">
        <v>739</v>
      </c>
      <c r="AL18" s="346" t="s">
        <v>714</v>
      </c>
      <c r="AM18" s="346" t="s">
        <v>740</v>
      </c>
      <c r="AN18" s="346" t="s">
        <v>394</v>
      </c>
      <c r="AO18" s="346" t="s">
        <v>394</v>
      </c>
      <c r="AP18" s="346" t="s">
        <v>394</v>
      </c>
      <c r="AQ18" s="346" t="s">
        <v>394</v>
      </c>
      <c r="AR18" s="346" t="s">
        <v>324</v>
      </c>
      <c r="AT18" s="346" t="s">
        <v>716</v>
      </c>
      <c r="AU18" s="346"/>
      <c r="AV18" s="346" t="s">
        <v>713</v>
      </c>
      <c r="AW18" s="346"/>
      <c r="AX18" s="346"/>
      <c r="AY18" s="346"/>
      <c r="AZ18" s="346" t="s">
        <v>324</v>
      </c>
      <c r="BA18" s="346" t="s">
        <v>324</v>
      </c>
      <c r="BB18" s="346" t="s">
        <v>324</v>
      </c>
      <c r="BC18" s="346"/>
      <c r="BD18" s="346" t="s">
        <v>324</v>
      </c>
      <c r="BE18" s="346" t="s">
        <v>324</v>
      </c>
      <c r="BF18" s="346" t="s">
        <v>324</v>
      </c>
      <c r="BG18" s="346" t="s">
        <v>324</v>
      </c>
      <c r="BH18" s="346" t="s">
        <v>736</v>
      </c>
      <c r="BI18" s="346" t="s">
        <v>324</v>
      </c>
      <c r="BJ18" s="346" t="s">
        <v>324</v>
      </c>
      <c r="BK18" s="346" t="s">
        <v>324</v>
      </c>
      <c r="BL18" s="346"/>
      <c r="BM18" s="346" t="s">
        <v>324</v>
      </c>
      <c r="BN18" s="346" t="s">
        <v>324</v>
      </c>
      <c r="BO18" s="346" t="s">
        <v>324</v>
      </c>
      <c r="BP18" s="346" t="s">
        <v>324</v>
      </c>
      <c r="BQ18" s="429">
        <f t="shared" si="49"/>
        <v>0</v>
      </c>
      <c r="BR18" s="429">
        <f t="shared" si="50"/>
        <v>0</v>
      </c>
      <c r="BS18" s="429">
        <f t="shared" si="51"/>
        <v>0</v>
      </c>
      <c r="BT18" s="429"/>
      <c r="BU18" s="429">
        <f t="shared" si="52"/>
        <v>0</v>
      </c>
      <c r="BV18" s="429">
        <f t="shared" si="53"/>
        <v>0</v>
      </c>
      <c r="BW18" s="429">
        <f t="shared" si="54"/>
        <v>0</v>
      </c>
      <c r="BX18" s="429">
        <f t="shared" si="55"/>
        <v>0</v>
      </c>
      <c r="BY18" s="346" t="s">
        <v>324</v>
      </c>
      <c r="BZ18" s="346" t="s">
        <v>324</v>
      </c>
      <c r="CA18" s="346" t="s">
        <v>324</v>
      </c>
      <c r="CB18" s="346"/>
      <c r="CC18" s="346" t="s">
        <v>324</v>
      </c>
      <c r="CD18" s="346" t="s">
        <v>324</v>
      </c>
      <c r="CE18" s="346" t="s">
        <v>324</v>
      </c>
      <c r="CF18" s="346" t="s">
        <v>324</v>
      </c>
      <c r="CG18" s="346" t="s">
        <v>324</v>
      </c>
      <c r="CH18" s="346" t="s">
        <v>324</v>
      </c>
      <c r="CI18" s="346" t="s">
        <v>324</v>
      </c>
      <c r="CJ18" s="346"/>
      <c r="CK18" s="346" t="s">
        <v>324</v>
      </c>
      <c r="CL18" s="346" t="s">
        <v>324</v>
      </c>
      <c r="CM18" s="346" t="s">
        <v>324</v>
      </c>
      <c r="CN18" s="346" t="s">
        <v>324</v>
      </c>
      <c r="CO18" s="346" t="s">
        <v>324</v>
      </c>
      <c r="CP18" s="346" t="s">
        <v>324</v>
      </c>
      <c r="CQ18" s="346" t="s">
        <v>324</v>
      </c>
      <c r="CR18" s="346"/>
      <c r="CS18" s="346" t="s">
        <v>324</v>
      </c>
      <c r="CT18" s="346" t="s">
        <v>324</v>
      </c>
      <c r="CU18" s="346" t="s">
        <v>324</v>
      </c>
      <c r="CV18" s="346" t="s">
        <v>324</v>
      </c>
      <c r="CW18" s="346"/>
      <c r="CX18" s="346" t="s">
        <v>324</v>
      </c>
      <c r="CY18" s="346" t="s">
        <v>324</v>
      </c>
      <c r="CZ18" s="346" t="s">
        <v>324</v>
      </c>
      <c r="DA18" s="346"/>
      <c r="DB18" s="346" t="s">
        <v>324</v>
      </c>
      <c r="DC18" s="346" t="s">
        <v>324</v>
      </c>
      <c r="DD18" s="346" t="s">
        <v>324</v>
      </c>
      <c r="DE18" s="346" t="s">
        <v>324</v>
      </c>
      <c r="DF18" s="429">
        <f t="shared" si="56"/>
        <v>0</v>
      </c>
      <c r="DG18" s="429">
        <f t="shared" si="57"/>
        <v>0</v>
      </c>
      <c r="DH18" s="429">
        <f t="shared" si="58"/>
        <v>0</v>
      </c>
      <c r="DI18" s="429"/>
      <c r="DJ18" s="429">
        <f t="shared" si="59"/>
        <v>0</v>
      </c>
      <c r="DK18" s="429">
        <f t="shared" si="60"/>
        <v>0</v>
      </c>
      <c r="DL18" s="429">
        <f t="shared" si="61"/>
        <v>0</v>
      </c>
      <c r="DM18" s="429">
        <f t="shared" si="62"/>
        <v>0</v>
      </c>
      <c r="DN18" s="346" t="s">
        <v>324</v>
      </c>
      <c r="DO18" s="346" t="s">
        <v>324</v>
      </c>
      <c r="DP18" s="346" t="s">
        <v>324</v>
      </c>
      <c r="DQ18" s="346"/>
      <c r="DR18" s="346" t="s">
        <v>324</v>
      </c>
      <c r="DS18" s="346" t="s">
        <v>324</v>
      </c>
      <c r="DT18" s="346" t="s">
        <v>324</v>
      </c>
      <c r="DU18" s="346" t="s">
        <v>324</v>
      </c>
      <c r="DV18" s="346" t="s">
        <v>324</v>
      </c>
      <c r="DW18" s="346" t="s">
        <v>324</v>
      </c>
      <c r="DX18" s="346" t="s">
        <v>324</v>
      </c>
      <c r="DY18" s="346"/>
      <c r="DZ18" s="346" t="s">
        <v>324</v>
      </c>
      <c r="EA18" s="346" t="s">
        <v>324</v>
      </c>
      <c r="EB18" s="346" t="s">
        <v>324</v>
      </c>
      <c r="EC18" s="346" t="s">
        <v>324</v>
      </c>
      <c r="ED18" s="346" t="s">
        <v>394</v>
      </c>
      <c r="EE18" s="346" t="s">
        <v>394</v>
      </c>
      <c r="EF18" s="346" t="s">
        <v>394</v>
      </c>
      <c r="EG18" s="346"/>
      <c r="EH18" s="346" t="s">
        <v>394</v>
      </c>
      <c r="EI18" s="346" t="s">
        <v>394</v>
      </c>
      <c r="EJ18" s="346" t="s">
        <v>394</v>
      </c>
      <c r="EK18" s="346" t="s">
        <v>394</v>
      </c>
      <c r="EL18" s="346" t="s">
        <v>394</v>
      </c>
      <c r="EM18" s="346" t="s">
        <v>394</v>
      </c>
      <c r="EN18" s="346" t="s">
        <v>394</v>
      </c>
      <c r="EO18" s="346"/>
      <c r="EP18" s="346" t="s">
        <v>394</v>
      </c>
      <c r="EQ18" s="346" t="s">
        <v>394</v>
      </c>
      <c r="ER18" s="346" t="s">
        <v>394</v>
      </c>
      <c r="ES18" s="346" t="s">
        <v>394</v>
      </c>
      <c r="ET18" s="346"/>
      <c r="EU18" s="346"/>
      <c r="EV18" s="346"/>
      <c r="EW18" s="346"/>
      <c r="EX18" s="346"/>
      <c r="EY18" s="346"/>
      <c r="EZ18" s="346"/>
      <c r="FA18" s="346"/>
      <c r="FB18" s="346" t="s">
        <v>394</v>
      </c>
      <c r="FC18" s="346" t="s">
        <v>394</v>
      </c>
      <c r="FD18" s="346" t="s">
        <v>394</v>
      </c>
      <c r="FE18" s="346" t="s">
        <v>394</v>
      </c>
      <c r="FF18" s="346" t="s">
        <v>394</v>
      </c>
      <c r="FG18" s="346" t="s">
        <v>394</v>
      </c>
      <c r="FH18" s="346" t="s">
        <v>394</v>
      </c>
      <c r="FI18" s="346" t="s">
        <v>394</v>
      </c>
      <c r="FJ18" s="346" t="s">
        <v>394</v>
      </c>
      <c r="FK18" s="346" t="s">
        <v>394</v>
      </c>
      <c r="FL18" s="346" t="s">
        <v>394</v>
      </c>
      <c r="FM18" s="346" t="s">
        <v>394</v>
      </c>
      <c r="FN18" s="346" t="s">
        <v>394</v>
      </c>
      <c r="FO18" s="346" t="s">
        <v>394</v>
      </c>
      <c r="FP18" s="346" t="s">
        <v>394</v>
      </c>
      <c r="FQ18" s="346" t="s">
        <v>394</v>
      </c>
    </row>
    <row r="19" spans="1:173" s="343" customFormat="1">
      <c r="A19" s="335" t="s">
        <v>741</v>
      </c>
      <c r="B19" s="346" t="s">
        <v>741</v>
      </c>
      <c r="C19" s="346" t="s">
        <v>221</v>
      </c>
      <c r="D19" s="346" t="s">
        <v>710</v>
      </c>
      <c r="E19" s="346" t="s">
        <v>2551</v>
      </c>
      <c r="F19" s="346" t="s">
        <v>785</v>
      </c>
      <c r="G19" s="346" t="s">
        <v>324</v>
      </c>
      <c r="H19" s="346" t="s">
        <v>324</v>
      </c>
      <c r="I19" s="346">
        <v>20.5</v>
      </c>
      <c r="J19" s="346">
        <v>20.5</v>
      </c>
      <c r="K19" s="422"/>
      <c r="L19" s="422"/>
      <c r="M19" s="422"/>
      <c r="N19" s="427" t="s">
        <v>891</v>
      </c>
      <c r="O19" s="346" t="s">
        <v>324</v>
      </c>
      <c r="P19" s="346" t="s">
        <v>324</v>
      </c>
      <c r="Q19" s="346" t="s">
        <v>324</v>
      </c>
      <c r="R19" s="346" t="s">
        <v>324</v>
      </c>
      <c r="S19" s="346" t="s">
        <v>743</v>
      </c>
      <c r="T19" s="346" t="s">
        <v>2942</v>
      </c>
      <c r="U19" s="346">
        <v>31</v>
      </c>
      <c r="V19" s="346" cm="1">
        <f t="array" ref="V19">IFERROR(INDEX('Offer Statistics'!$Q$2:$Q$500,MATCH(1,(B19='Offer Statistics'!$B$2:$B$500)*($B$11='Offer Statistics'!$K$2:$K$500),0)),"/")</f>
        <v>32</v>
      </c>
      <c r="W19" s="346" cm="1">
        <f t="array" ref="W19">IFERROR(INDEX('Offer Statistics'!$D$2:$D$500,MATCH(1,(B19='Offer Statistics'!$B$2:$B$500)*($B$11='Offer Statistics'!$K$2:$K$500),0)),"/")</f>
        <v>476</v>
      </c>
      <c r="X19" s="346" cm="1">
        <f t="array" ref="X19">IFERROR(INDEX('Offer Statistics'!$L$2:$L$500,MATCH(1,(B19='Offer Statistics'!$B$2:$B$500)*($B$11='Offer Statistics'!$K$2:$K$500),0)),"/")</f>
        <v>32</v>
      </c>
      <c r="Y19" s="346">
        <f t="shared" si="48"/>
        <v>14.875</v>
      </c>
      <c r="Z19" s="346" t="s">
        <v>2941</v>
      </c>
      <c r="AA19" s="346" t="str">
        <f>入學要求!AF28</f>
        <v>/</v>
      </c>
      <c r="AB19" s="346" t="str">
        <f>入學要求!AG28</f>
        <v>/</v>
      </c>
      <c r="AC19" s="426" t="s">
        <v>785</v>
      </c>
      <c r="AD19" s="346" t="s">
        <v>2945</v>
      </c>
      <c r="AE19" s="346" t="s">
        <v>2946</v>
      </c>
      <c r="AF19" s="427" t="s">
        <v>891</v>
      </c>
      <c r="AG19" s="346" t="s">
        <v>324</v>
      </c>
      <c r="AH19" s="346" t="s">
        <v>324</v>
      </c>
      <c r="AI19" s="346" t="s">
        <v>324</v>
      </c>
      <c r="AJ19" s="346" t="s">
        <v>324</v>
      </c>
      <c r="AK19" s="346" t="s">
        <v>739</v>
      </c>
      <c r="AL19" s="346" t="s">
        <v>714</v>
      </c>
      <c r="AM19" s="346" t="s">
        <v>740</v>
      </c>
      <c r="AN19" s="346" t="s">
        <v>394</v>
      </c>
      <c r="AO19" s="346" t="s">
        <v>394</v>
      </c>
      <c r="AP19" s="346" t="s">
        <v>394</v>
      </c>
      <c r="AQ19" s="346" t="s">
        <v>394</v>
      </c>
      <c r="AR19" s="346" t="s">
        <v>324</v>
      </c>
      <c r="AT19" s="346" t="s">
        <v>716</v>
      </c>
      <c r="AU19" s="346"/>
      <c r="AV19" s="346" t="s">
        <v>713</v>
      </c>
      <c r="AW19" s="346"/>
      <c r="AX19" s="346"/>
      <c r="AY19" s="346"/>
      <c r="AZ19" s="346" t="s">
        <v>324</v>
      </c>
      <c r="BA19" s="346" t="s">
        <v>324</v>
      </c>
      <c r="BB19" s="346" t="s">
        <v>324</v>
      </c>
      <c r="BC19" s="346"/>
      <c r="BD19" s="346" t="s">
        <v>324</v>
      </c>
      <c r="BE19" s="346" t="s">
        <v>324</v>
      </c>
      <c r="BF19" s="346" t="s">
        <v>324</v>
      </c>
      <c r="BG19" s="346" t="s">
        <v>324</v>
      </c>
      <c r="BH19" s="346" t="s">
        <v>741</v>
      </c>
      <c r="BI19" s="346" t="s">
        <v>324</v>
      </c>
      <c r="BJ19" s="346" t="s">
        <v>324</v>
      </c>
      <c r="BK19" s="346" t="s">
        <v>324</v>
      </c>
      <c r="BL19" s="346"/>
      <c r="BM19" s="346" t="s">
        <v>324</v>
      </c>
      <c r="BN19" s="346" t="s">
        <v>324</v>
      </c>
      <c r="BO19" s="346" t="s">
        <v>324</v>
      </c>
      <c r="BP19" s="346" t="s">
        <v>324</v>
      </c>
      <c r="BQ19" s="429">
        <f t="shared" si="49"/>
        <v>0</v>
      </c>
      <c r="BR19" s="429">
        <f t="shared" si="50"/>
        <v>0</v>
      </c>
      <c r="BS19" s="429">
        <f t="shared" si="51"/>
        <v>0</v>
      </c>
      <c r="BT19" s="429"/>
      <c r="BU19" s="429">
        <f t="shared" si="52"/>
        <v>0</v>
      </c>
      <c r="BV19" s="429">
        <f t="shared" si="53"/>
        <v>0</v>
      </c>
      <c r="BW19" s="429">
        <f t="shared" si="54"/>
        <v>0</v>
      </c>
      <c r="BX19" s="429">
        <f t="shared" si="55"/>
        <v>0</v>
      </c>
      <c r="BY19" s="346" t="s">
        <v>324</v>
      </c>
      <c r="BZ19" s="346" t="s">
        <v>324</v>
      </c>
      <c r="CA19" s="346" t="s">
        <v>324</v>
      </c>
      <c r="CB19" s="346"/>
      <c r="CC19" s="346" t="s">
        <v>324</v>
      </c>
      <c r="CD19" s="346" t="s">
        <v>324</v>
      </c>
      <c r="CE19" s="346" t="s">
        <v>324</v>
      </c>
      <c r="CF19" s="346" t="s">
        <v>324</v>
      </c>
      <c r="CG19" s="346" t="s">
        <v>324</v>
      </c>
      <c r="CH19" s="346" t="s">
        <v>324</v>
      </c>
      <c r="CI19" s="346" t="s">
        <v>324</v>
      </c>
      <c r="CJ19" s="346"/>
      <c r="CK19" s="346" t="s">
        <v>324</v>
      </c>
      <c r="CL19" s="346" t="s">
        <v>324</v>
      </c>
      <c r="CM19" s="346" t="s">
        <v>324</v>
      </c>
      <c r="CN19" s="346" t="s">
        <v>324</v>
      </c>
      <c r="CO19" s="346" t="s">
        <v>324</v>
      </c>
      <c r="CP19" s="346" t="s">
        <v>324</v>
      </c>
      <c r="CQ19" s="346" t="s">
        <v>324</v>
      </c>
      <c r="CR19" s="346"/>
      <c r="CS19" s="346" t="s">
        <v>324</v>
      </c>
      <c r="CT19" s="346" t="s">
        <v>324</v>
      </c>
      <c r="CU19" s="346" t="s">
        <v>324</v>
      </c>
      <c r="CV19" s="346" t="s">
        <v>324</v>
      </c>
      <c r="CW19" s="346"/>
      <c r="CX19" s="346" t="s">
        <v>324</v>
      </c>
      <c r="CY19" s="346" t="s">
        <v>324</v>
      </c>
      <c r="CZ19" s="346" t="s">
        <v>324</v>
      </c>
      <c r="DA19" s="346"/>
      <c r="DB19" s="346" t="s">
        <v>324</v>
      </c>
      <c r="DC19" s="346" t="s">
        <v>324</v>
      </c>
      <c r="DD19" s="346" t="s">
        <v>324</v>
      </c>
      <c r="DE19" s="346" t="s">
        <v>324</v>
      </c>
      <c r="DF19" s="429">
        <f t="shared" si="56"/>
        <v>0</v>
      </c>
      <c r="DG19" s="429">
        <f t="shared" si="57"/>
        <v>0</v>
      </c>
      <c r="DH19" s="429">
        <f t="shared" si="58"/>
        <v>0</v>
      </c>
      <c r="DI19" s="429"/>
      <c r="DJ19" s="429">
        <f t="shared" si="59"/>
        <v>0</v>
      </c>
      <c r="DK19" s="429">
        <f t="shared" si="60"/>
        <v>0</v>
      </c>
      <c r="DL19" s="429">
        <f t="shared" si="61"/>
        <v>0</v>
      </c>
      <c r="DM19" s="429">
        <f t="shared" si="62"/>
        <v>0</v>
      </c>
      <c r="DN19" s="346" t="s">
        <v>324</v>
      </c>
      <c r="DO19" s="346" t="s">
        <v>324</v>
      </c>
      <c r="DP19" s="346" t="s">
        <v>324</v>
      </c>
      <c r="DQ19" s="346"/>
      <c r="DR19" s="346" t="s">
        <v>324</v>
      </c>
      <c r="DS19" s="346" t="s">
        <v>324</v>
      </c>
      <c r="DT19" s="346" t="s">
        <v>324</v>
      </c>
      <c r="DU19" s="346" t="s">
        <v>324</v>
      </c>
      <c r="DV19" s="346" t="s">
        <v>324</v>
      </c>
      <c r="DW19" s="346" t="s">
        <v>324</v>
      </c>
      <c r="DX19" s="346" t="s">
        <v>324</v>
      </c>
      <c r="DY19" s="346"/>
      <c r="DZ19" s="346" t="s">
        <v>324</v>
      </c>
      <c r="EA19" s="346" t="s">
        <v>324</v>
      </c>
      <c r="EB19" s="346" t="s">
        <v>324</v>
      </c>
      <c r="EC19" s="346" t="s">
        <v>324</v>
      </c>
      <c r="ED19" s="346" t="s">
        <v>394</v>
      </c>
      <c r="EE19" s="346" t="s">
        <v>394</v>
      </c>
      <c r="EF19" s="346" t="s">
        <v>394</v>
      </c>
      <c r="EG19" s="346"/>
      <c r="EH19" s="346" t="s">
        <v>394</v>
      </c>
      <c r="EI19" s="346" t="s">
        <v>394</v>
      </c>
      <c r="EJ19" s="346" t="s">
        <v>394</v>
      </c>
      <c r="EK19" s="346" t="s">
        <v>394</v>
      </c>
      <c r="EL19" s="346" t="s">
        <v>394</v>
      </c>
      <c r="EM19" s="346" t="s">
        <v>394</v>
      </c>
      <c r="EN19" s="346" t="s">
        <v>394</v>
      </c>
      <c r="EO19" s="346"/>
      <c r="EP19" s="346" t="s">
        <v>394</v>
      </c>
      <c r="EQ19" s="346" t="s">
        <v>394</v>
      </c>
      <c r="ER19" s="346" t="s">
        <v>394</v>
      </c>
      <c r="ES19" s="346" t="s">
        <v>394</v>
      </c>
      <c r="ET19" s="346"/>
      <c r="EU19" s="346"/>
      <c r="EV19" s="346"/>
      <c r="EW19" s="346"/>
      <c r="EX19" s="346"/>
      <c r="EY19" s="346"/>
      <c r="EZ19" s="346"/>
      <c r="FA19" s="346"/>
      <c r="FB19" s="346" t="s">
        <v>394</v>
      </c>
      <c r="FC19" s="346" t="s">
        <v>394</v>
      </c>
      <c r="FD19" s="346" t="s">
        <v>394</v>
      </c>
      <c r="FE19" s="346" t="s">
        <v>394</v>
      </c>
      <c r="FF19" s="346" t="s">
        <v>394</v>
      </c>
      <c r="FG19" s="346" t="s">
        <v>394</v>
      </c>
      <c r="FH19" s="346" t="s">
        <v>394</v>
      </c>
      <c r="FI19" s="346" t="s">
        <v>394</v>
      </c>
      <c r="FJ19" s="346" t="s">
        <v>394</v>
      </c>
      <c r="FK19" s="346" t="s">
        <v>394</v>
      </c>
      <c r="FL19" s="346" t="s">
        <v>394</v>
      </c>
      <c r="FM19" s="346" t="s">
        <v>394</v>
      </c>
      <c r="FN19" s="346" t="s">
        <v>394</v>
      </c>
      <c r="FO19" s="346" t="s">
        <v>394</v>
      </c>
      <c r="FP19" s="346" t="s">
        <v>394</v>
      </c>
      <c r="FQ19" s="346" t="s">
        <v>394</v>
      </c>
    </row>
    <row r="20" spans="1:173" s="343" customFormat="1">
      <c r="A20" s="335" t="s">
        <v>744</v>
      </c>
      <c r="B20" s="346" t="s">
        <v>744</v>
      </c>
      <c r="C20" s="346" t="s">
        <v>221</v>
      </c>
      <c r="D20" s="346" t="s">
        <v>710</v>
      </c>
      <c r="E20" s="346" t="s">
        <v>2552</v>
      </c>
      <c r="F20" s="346" t="s">
        <v>785</v>
      </c>
      <c r="G20" s="346" t="s">
        <v>324</v>
      </c>
      <c r="H20" s="346" t="s">
        <v>324</v>
      </c>
      <c r="I20" s="346">
        <v>20.5</v>
      </c>
      <c r="J20" s="346">
        <v>20.5</v>
      </c>
      <c r="K20" s="422"/>
      <c r="L20" s="422"/>
      <c r="M20" s="422"/>
      <c r="N20" s="427" t="s">
        <v>891</v>
      </c>
      <c r="O20" s="346" t="s">
        <v>324</v>
      </c>
      <c r="P20" s="346" t="s">
        <v>324</v>
      </c>
      <c r="Q20" s="346" t="s">
        <v>324</v>
      </c>
      <c r="R20" s="346" t="s">
        <v>324</v>
      </c>
      <c r="S20" s="346" t="s">
        <v>746</v>
      </c>
      <c r="T20" s="346" t="s">
        <v>2942</v>
      </c>
      <c r="U20" s="346">
        <v>96</v>
      </c>
      <c r="V20" s="346" cm="1">
        <f t="array" ref="V20">IFERROR(INDEX('Offer Statistics'!$Q$2:$Q$500,MATCH(1,(B20='Offer Statistics'!$B$2:$B$500)*($B$11='Offer Statistics'!$K$2:$K$500),0)),"/")</f>
        <v>102</v>
      </c>
      <c r="W20" s="346" cm="1">
        <f t="array" ref="W20">IFERROR(INDEX('Offer Statistics'!$D$2:$D$500,MATCH(1,(B20='Offer Statistics'!$B$2:$B$500)*($B$11='Offer Statistics'!$K$2:$K$500),0)),"/")</f>
        <v>756</v>
      </c>
      <c r="X20" s="346" cm="1">
        <f t="array" ref="X20">IFERROR(INDEX('Offer Statistics'!$L$2:$L$500,MATCH(1,(B20='Offer Statistics'!$B$2:$B$500)*($B$11='Offer Statistics'!$K$2:$K$500),0)),"/")</f>
        <v>102</v>
      </c>
      <c r="Y20" s="346">
        <f t="shared" si="48"/>
        <v>7.4117647058823533</v>
      </c>
      <c r="Z20" s="346" t="s">
        <v>2941</v>
      </c>
      <c r="AA20" s="346" t="str">
        <f>入學要求!AF29</f>
        <v>/</v>
      </c>
      <c r="AB20" s="346" t="str">
        <f>入學要求!AG29</f>
        <v>/</v>
      </c>
      <c r="AC20" s="426" t="s">
        <v>785</v>
      </c>
      <c r="AD20" s="346" t="s">
        <v>2945</v>
      </c>
      <c r="AE20" s="346" t="s">
        <v>2946</v>
      </c>
      <c r="AF20" s="427" t="s">
        <v>891</v>
      </c>
      <c r="AG20" s="346" t="s">
        <v>324</v>
      </c>
      <c r="AH20" s="346" t="s">
        <v>324</v>
      </c>
      <c r="AI20" s="346" t="s">
        <v>324</v>
      </c>
      <c r="AJ20" s="346" t="s">
        <v>324</v>
      </c>
      <c r="AK20" s="346" t="s">
        <v>739</v>
      </c>
      <c r="AL20" s="346" t="s">
        <v>714</v>
      </c>
      <c r="AM20" s="346" t="s">
        <v>740</v>
      </c>
      <c r="AN20" s="346" t="s">
        <v>394</v>
      </c>
      <c r="AO20" s="346" t="s">
        <v>394</v>
      </c>
      <c r="AP20" s="346" t="s">
        <v>394</v>
      </c>
      <c r="AQ20" s="346" t="s">
        <v>394</v>
      </c>
      <c r="AR20" s="346" t="s">
        <v>324</v>
      </c>
      <c r="AT20" s="346" t="s">
        <v>716</v>
      </c>
      <c r="AU20" s="346"/>
      <c r="AV20" s="346" t="s">
        <v>713</v>
      </c>
      <c r="AW20" s="346"/>
      <c r="AX20" s="346"/>
      <c r="AY20" s="346"/>
      <c r="AZ20" s="346" t="s">
        <v>324</v>
      </c>
      <c r="BA20" s="346" t="s">
        <v>324</v>
      </c>
      <c r="BB20" s="346" t="s">
        <v>324</v>
      </c>
      <c r="BC20" s="346"/>
      <c r="BD20" s="346" t="s">
        <v>324</v>
      </c>
      <c r="BE20" s="346" t="s">
        <v>324</v>
      </c>
      <c r="BF20" s="346" t="s">
        <v>324</v>
      </c>
      <c r="BG20" s="346" t="s">
        <v>324</v>
      </c>
      <c r="BH20" s="346" t="s">
        <v>744</v>
      </c>
      <c r="BI20" s="346" t="s">
        <v>324</v>
      </c>
      <c r="BJ20" s="346" t="s">
        <v>324</v>
      </c>
      <c r="BK20" s="346" t="s">
        <v>324</v>
      </c>
      <c r="BL20" s="346"/>
      <c r="BM20" s="346" t="s">
        <v>324</v>
      </c>
      <c r="BN20" s="346" t="s">
        <v>324</v>
      </c>
      <c r="BO20" s="346" t="s">
        <v>324</v>
      </c>
      <c r="BP20" s="346" t="s">
        <v>324</v>
      </c>
      <c r="BQ20" s="429">
        <f t="shared" si="49"/>
        <v>0</v>
      </c>
      <c r="BR20" s="429">
        <f t="shared" si="50"/>
        <v>0</v>
      </c>
      <c r="BS20" s="429">
        <f t="shared" si="51"/>
        <v>0</v>
      </c>
      <c r="BT20" s="429"/>
      <c r="BU20" s="429">
        <f t="shared" si="52"/>
        <v>0</v>
      </c>
      <c r="BV20" s="429">
        <f t="shared" si="53"/>
        <v>0</v>
      </c>
      <c r="BW20" s="429">
        <f t="shared" si="54"/>
        <v>0</v>
      </c>
      <c r="BX20" s="429">
        <f t="shared" si="55"/>
        <v>0</v>
      </c>
      <c r="BY20" s="346" t="s">
        <v>324</v>
      </c>
      <c r="BZ20" s="346" t="s">
        <v>324</v>
      </c>
      <c r="CA20" s="346" t="s">
        <v>324</v>
      </c>
      <c r="CB20" s="346"/>
      <c r="CC20" s="346" t="s">
        <v>324</v>
      </c>
      <c r="CD20" s="346" t="s">
        <v>324</v>
      </c>
      <c r="CE20" s="346" t="s">
        <v>324</v>
      </c>
      <c r="CF20" s="346" t="s">
        <v>324</v>
      </c>
      <c r="CG20" s="346" t="s">
        <v>324</v>
      </c>
      <c r="CH20" s="346" t="s">
        <v>324</v>
      </c>
      <c r="CI20" s="346" t="s">
        <v>324</v>
      </c>
      <c r="CJ20" s="346"/>
      <c r="CK20" s="346" t="s">
        <v>324</v>
      </c>
      <c r="CL20" s="346" t="s">
        <v>324</v>
      </c>
      <c r="CM20" s="346" t="s">
        <v>324</v>
      </c>
      <c r="CN20" s="346" t="s">
        <v>324</v>
      </c>
      <c r="CO20" s="346" t="s">
        <v>324</v>
      </c>
      <c r="CP20" s="346" t="s">
        <v>324</v>
      </c>
      <c r="CQ20" s="346" t="s">
        <v>324</v>
      </c>
      <c r="CR20" s="346"/>
      <c r="CS20" s="346" t="s">
        <v>324</v>
      </c>
      <c r="CT20" s="346" t="s">
        <v>324</v>
      </c>
      <c r="CU20" s="346" t="s">
        <v>324</v>
      </c>
      <c r="CV20" s="346" t="s">
        <v>324</v>
      </c>
      <c r="CW20" s="346"/>
      <c r="CX20" s="346" t="s">
        <v>324</v>
      </c>
      <c r="CY20" s="346" t="s">
        <v>324</v>
      </c>
      <c r="CZ20" s="346" t="s">
        <v>324</v>
      </c>
      <c r="DA20" s="346"/>
      <c r="DB20" s="346" t="s">
        <v>324</v>
      </c>
      <c r="DC20" s="346" t="s">
        <v>324</v>
      </c>
      <c r="DD20" s="346" t="s">
        <v>324</v>
      </c>
      <c r="DE20" s="346" t="s">
        <v>324</v>
      </c>
      <c r="DF20" s="429">
        <f t="shared" si="56"/>
        <v>0</v>
      </c>
      <c r="DG20" s="429">
        <f t="shared" si="57"/>
        <v>0</v>
      </c>
      <c r="DH20" s="429">
        <f t="shared" si="58"/>
        <v>0</v>
      </c>
      <c r="DI20" s="429"/>
      <c r="DJ20" s="429">
        <f t="shared" si="59"/>
        <v>0</v>
      </c>
      <c r="DK20" s="429">
        <f t="shared" si="60"/>
        <v>0</v>
      </c>
      <c r="DL20" s="429">
        <f t="shared" si="61"/>
        <v>0</v>
      </c>
      <c r="DM20" s="429">
        <f t="shared" si="62"/>
        <v>0</v>
      </c>
      <c r="DN20" s="346" t="s">
        <v>324</v>
      </c>
      <c r="DO20" s="346" t="s">
        <v>324</v>
      </c>
      <c r="DP20" s="346" t="s">
        <v>324</v>
      </c>
      <c r="DQ20" s="346"/>
      <c r="DR20" s="346" t="s">
        <v>324</v>
      </c>
      <c r="DS20" s="346" t="s">
        <v>324</v>
      </c>
      <c r="DT20" s="346" t="s">
        <v>324</v>
      </c>
      <c r="DU20" s="346" t="s">
        <v>324</v>
      </c>
      <c r="DV20" s="346" t="s">
        <v>324</v>
      </c>
      <c r="DW20" s="346" t="s">
        <v>324</v>
      </c>
      <c r="DX20" s="346" t="s">
        <v>324</v>
      </c>
      <c r="DY20" s="346"/>
      <c r="DZ20" s="346" t="s">
        <v>324</v>
      </c>
      <c r="EA20" s="346" t="s">
        <v>324</v>
      </c>
      <c r="EB20" s="346" t="s">
        <v>324</v>
      </c>
      <c r="EC20" s="346" t="s">
        <v>324</v>
      </c>
      <c r="ED20" s="346" t="s">
        <v>394</v>
      </c>
      <c r="EE20" s="346" t="s">
        <v>394</v>
      </c>
      <c r="EF20" s="346" t="s">
        <v>394</v>
      </c>
      <c r="EG20" s="346"/>
      <c r="EH20" s="346" t="s">
        <v>394</v>
      </c>
      <c r="EI20" s="346" t="s">
        <v>394</v>
      </c>
      <c r="EJ20" s="346" t="s">
        <v>394</v>
      </c>
      <c r="EK20" s="346" t="s">
        <v>394</v>
      </c>
      <c r="EL20" s="346" t="s">
        <v>394</v>
      </c>
      <c r="EM20" s="346" t="s">
        <v>394</v>
      </c>
      <c r="EN20" s="346" t="s">
        <v>394</v>
      </c>
      <c r="EO20" s="346"/>
      <c r="EP20" s="346" t="s">
        <v>394</v>
      </c>
      <c r="EQ20" s="346" t="s">
        <v>394</v>
      </c>
      <c r="ER20" s="346" t="s">
        <v>394</v>
      </c>
      <c r="ES20" s="346" t="s">
        <v>394</v>
      </c>
      <c r="ET20" s="346"/>
      <c r="EU20" s="346"/>
      <c r="EV20" s="346"/>
      <c r="EW20" s="346"/>
      <c r="EX20" s="346"/>
      <c r="EY20" s="346"/>
      <c r="EZ20" s="346"/>
      <c r="FA20" s="346"/>
      <c r="FB20" s="346" t="s">
        <v>394</v>
      </c>
      <c r="FC20" s="346" t="s">
        <v>394</v>
      </c>
      <c r="FD20" s="346" t="s">
        <v>394</v>
      </c>
      <c r="FE20" s="346" t="s">
        <v>394</v>
      </c>
      <c r="FF20" s="346" t="s">
        <v>394</v>
      </c>
      <c r="FG20" s="346" t="s">
        <v>394</v>
      </c>
      <c r="FH20" s="346" t="s">
        <v>394</v>
      </c>
      <c r="FI20" s="346" t="s">
        <v>394</v>
      </c>
      <c r="FJ20" s="346" t="s">
        <v>394</v>
      </c>
      <c r="FK20" s="346" t="s">
        <v>394</v>
      </c>
      <c r="FL20" s="346" t="s">
        <v>394</v>
      </c>
      <c r="FM20" s="346" t="s">
        <v>394</v>
      </c>
      <c r="FN20" s="346" t="s">
        <v>394</v>
      </c>
      <c r="FO20" s="346" t="s">
        <v>394</v>
      </c>
      <c r="FP20" s="346" t="s">
        <v>394</v>
      </c>
      <c r="FQ20" s="346" t="s">
        <v>394</v>
      </c>
    </row>
    <row r="21" spans="1:173">
      <c r="A21" s="335" t="s">
        <v>747</v>
      </c>
      <c r="B21" s="346" t="s">
        <v>747</v>
      </c>
      <c r="C21" s="346" t="s">
        <v>221</v>
      </c>
      <c r="D21" s="346" t="s">
        <v>710</v>
      </c>
      <c r="E21" s="346" t="s">
        <v>2553</v>
      </c>
      <c r="F21" s="346" t="s">
        <v>2259</v>
      </c>
      <c r="G21" s="346" t="s">
        <v>324</v>
      </c>
      <c r="H21" s="346" t="s">
        <v>324</v>
      </c>
      <c r="I21" s="346">
        <v>20.5</v>
      </c>
      <c r="J21" s="346">
        <v>19.5</v>
      </c>
      <c r="K21" s="422"/>
      <c r="L21" s="422"/>
      <c r="M21" s="422"/>
      <c r="N21" s="346" t="s">
        <v>324</v>
      </c>
      <c r="O21" s="346" t="s">
        <v>324</v>
      </c>
      <c r="P21" s="346" t="s">
        <v>324</v>
      </c>
      <c r="Q21" s="346" t="s">
        <v>324</v>
      </c>
      <c r="R21" s="346" t="s">
        <v>324</v>
      </c>
      <c r="S21" s="346" t="s">
        <v>164</v>
      </c>
      <c r="T21" s="346" t="s">
        <v>2942</v>
      </c>
      <c r="U21" s="346">
        <v>62</v>
      </c>
      <c r="V21" s="346" cm="1">
        <f t="array" ref="V21">IFERROR(INDEX('Offer Statistics'!$Q$2:$Q$500,MATCH(1,(B21='Offer Statistics'!$B$2:$B$500)*($B$11='Offer Statistics'!$K$2:$K$500),0)),"/")</f>
        <v>59</v>
      </c>
      <c r="W21" s="346" cm="1">
        <f t="array" ref="W21">IFERROR(INDEX('Offer Statistics'!$D$2:$D$500,MATCH(1,(B21='Offer Statistics'!$B$2:$B$500)*($B$11='Offer Statistics'!$K$2:$K$500),0)),"/")</f>
        <v>322</v>
      </c>
      <c r="X21" s="346" cm="1">
        <f t="array" ref="X21">IFERROR(INDEX('Offer Statistics'!$L$2:$L$500,MATCH(1,(B21='Offer Statistics'!$B$2:$B$500)*($B$11='Offer Statistics'!$K$2:$K$500),0)),"/")</f>
        <v>54</v>
      </c>
      <c r="Y21" s="346">
        <f t="shared" si="48"/>
        <v>5.9629629629629628</v>
      </c>
      <c r="Z21" s="346" t="s">
        <v>2941</v>
      </c>
      <c r="AA21" s="346" t="str">
        <f>入學要求!AF30</f>
        <v>/</v>
      </c>
      <c r="AB21" s="346" t="str">
        <f>入學要求!AG30</f>
        <v>/</v>
      </c>
      <c r="AC21" s="346" t="s">
        <v>2259</v>
      </c>
      <c r="AD21" s="346" t="s">
        <v>2945</v>
      </c>
      <c r="AE21" s="346" t="s">
        <v>2946</v>
      </c>
      <c r="AF21" s="346" t="s">
        <v>324</v>
      </c>
      <c r="AG21" s="346" t="s">
        <v>324</v>
      </c>
      <c r="AH21" s="346" t="s">
        <v>324</v>
      </c>
      <c r="AI21" s="346" t="s">
        <v>324</v>
      </c>
      <c r="AJ21" s="346" t="s">
        <v>324</v>
      </c>
      <c r="AK21" s="346" t="s">
        <v>714</v>
      </c>
      <c r="AL21" s="346" t="s">
        <v>735</v>
      </c>
      <c r="AM21" s="346" t="s">
        <v>394</v>
      </c>
      <c r="AN21" s="346" t="s">
        <v>394</v>
      </c>
      <c r="AO21" s="346" t="s">
        <v>394</v>
      </c>
      <c r="AP21" s="346" t="s">
        <v>394</v>
      </c>
      <c r="AQ21" s="346" t="s">
        <v>394</v>
      </c>
      <c r="AR21" s="346" t="s">
        <v>324</v>
      </c>
      <c r="AT21" s="346" t="s">
        <v>716</v>
      </c>
      <c r="AU21" s="346"/>
      <c r="AV21" s="346" t="s">
        <v>713</v>
      </c>
      <c r="AW21" s="346"/>
      <c r="AX21" s="346"/>
      <c r="AY21" s="346"/>
      <c r="AZ21" s="346" t="s">
        <v>324</v>
      </c>
      <c r="BA21" s="346" t="s">
        <v>324</v>
      </c>
      <c r="BB21" s="346" t="s">
        <v>324</v>
      </c>
      <c r="BC21" s="346"/>
      <c r="BD21" s="346" t="s">
        <v>324</v>
      </c>
      <c r="BE21" s="346" t="s">
        <v>324</v>
      </c>
      <c r="BF21" s="346" t="s">
        <v>324</v>
      </c>
      <c r="BG21" s="346" t="s">
        <v>324</v>
      </c>
      <c r="BH21" s="346" t="s">
        <v>747</v>
      </c>
      <c r="BI21" s="346" t="s">
        <v>324</v>
      </c>
      <c r="BJ21" s="346" t="s">
        <v>324</v>
      </c>
      <c r="BK21" s="346" t="s">
        <v>324</v>
      </c>
      <c r="BL21" s="346"/>
      <c r="BM21" s="346" t="s">
        <v>324</v>
      </c>
      <c r="BN21" s="346" t="s">
        <v>324</v>
      </c>
      <c r="BO21" s="346" t="s">
        <v>324</v>
      </c>
      <c r="BP21" s="346" t="s">
        <v>324</v>
      </c>
      <c r="BQ21" s="429">
        <f t="shared" si="49"/>
        <v>0</v>
      </c>
      <c r="BR21" s="429">
        <f t="shared" si="50"/>
        <v>0</v>
      </c>
      <c r="BS21" s="429">
        <f t="shared" si="51"/>
        <v>0</v>
      </c>
      <c r="BT21" s="429"/>
      <c r="BU21" s="429">
        <f t="shared" si="52"/>
        <v>0</v>
      </c>
      <c r="BV21" s="429">
        <f t="shared" si="53"/>
        <v>0</v>
      </c>
      <c r="BW21" s="429">
        <f t="shared" si="54"/>
        <v>0</v>
      </c>
      <c r="BX21" s="429">
        <f t="shared" si="55"/>
        <v>0</v>
      </c>
      <c r="BY21" s="346" t="s">
        <v>324</v>
      </c>
      <c r="BZ21" s="346" t="s">
        <v>324</v>
      </c>
      <c r="CA21" s="346" t="s">
        <v>324</v>
      </c>
      <c r="CB21" s="346"/>
      <c r="CC21" s="346" t="s">
        <v>324</v>
      </c>
      <c r="CD21" s="346" t="s">
        <v>324</v>
      </c>
      <c r="CE21" s="346" t="s">
        <v>324</v>
      </c>
      <c r="CF21" s="346" t="s">
        <v>324</v>
      </c>
      <c r="CG21" s="346" t="s">
        <v>324</v>
      </c>
      <c r="CH21" s="346" t="s">
        <v>324</v>
      </c>
      <c r="CI21" s="346" t="s">
        <v>324</v>
      </c>
      <c r="CJ21" s="346"/>
      <c r="CK21" s="346" t="s">
        <v>324</v>
      </c>
      <c r="CL21" s="346" t="s">
        <v>324</v>
      </c>
      <c r="CM21" s="346" t="s">
        <v>324</v>
      </c>
      <c r="CN21" s="346" t="s">
        <v>324</v>
      </c>
      <c r="CO21" s="346" t="s">
        <v>324</v>
      </c>
      <c r="CP21" s="346" t="s">
        <v>324</v>
      </c>
      <c r="CQ21" s="346" t="s">
        <v>324</v>
      </c>
      <c r="CR21" s="346"/>
      <c r="CS21" s="346" t="s">
        <v>324</v>
      </c>
      <c r="CT21" s="346" t="s">
        <v>324</v>
      </c>
      <c r="CU21" s="346" t="s">
        <v>324</v>
      </c>
      <c r="CV21" s="346" t="s">
        <v>324</v>
      </c>
      <c r="CW21" s="346"/>
      <c r="CX21" s="346" t="s">
        <v>324</v>
      </c>
      <c r="CY21" s="346" t="s">
        <v>324</v>
      </c>
      <c r="CZ21" s="346" t="s">
        <v>324</v>
      </c>
      <c r="DA21" s="346"/>
      <c r="DB21" s="346" t="s">
        <v>324</v>
      </c>
      <c r="DC21" s="346" t="s">
        <v>324</v>
      </c>
      <c r="DD21" s="346" t="s">
        <v>324</v>
      </c>
      <c r="DE21" s="346" t="s">
        <v>324</v>
      </c>
      <c r="DF21" s="429">
        <f t="shared" si="56"/>
        <v>0</v>
      </c>
      <c r="DG21" s="429">
        <f t="shared" si="57"/>
        <v>0</v>
      </c>
      <c r="DH21" s="429">
        <f t="shared" si="58"/>
        <v>0</v>
      </c>
      <c r="DI21" s="429"/>
      <c r="DJ21" s="429">
        <f t="shared" si="59"/>
        <v>0</v>
      </c>
      <c r="DK21" s="429">
        <f t="shared" si="60"/>
        <v>0</v>
      </c>
      <c r="DL21" s="429">
        <f t="shared" si="61"/>
        <v>0</v>
      </c>
      <c r="DM21" s="429">
        <f t="shared" si="62"/>
        <v>0</v>
      </c>
      <c r="DN21" s="346" t="s">
        <v>324</v>
      </c>
      <c r="DO21" s="346" t="s">
        <v>324</v>
      </c>
      <c r="DP21" s="346" t="s">
        <v>324</v>
      </c>
      <c r="DQ21" s="346"/>
      <c r="DR21" s="346" t="s">
        <v>324</v>
      </c>
      <c r="DS21" s="346" t="s">
        <v>324</v>
      </c>
      <c r="DT21" s="346" t="s">
        <v>324</v>
      </c>
      <c r="DU21" s="346" t="s">
        <v>324</v>
      </c>
      <c r="DV21" s="346" t="s">
        <v>324</v>
      </c>
      <c r="DW21" s="346" t="s">
        <v>324</v>
      </c>
      <c r="DX21" s="346" t="s">
        <v>324</v>
      </c>
      <c r="DY21" s="346"/>
      <c r="DZ21" s="346" t="s">
        <v>324</v>
      </c>
      <c r="EA21" s="346" t="s">
        <v>324</v>
      </c>
      <c r="EB21" s="346" t="s">
        <v>324</v>
      </c>
      <c r="EC21" s="346" t="s">
        <v>324</v>
      </c>
      <c r="ED21" s="346" t="s">
        <v>394</v>
      </c>
      <c r="EE21" s="346" t="s">
        <v>394</v>
      </c>
      <c r="EF21" s="346" t="s">
        <v>394</v>
      </c>
      <c r="EG21" s="346"/>
      <c r="EH21" s="346" t="s">
        <v>394</v>
      </c>
      <c r="EI21" s="346" t="s">
        <v>394</v>
      </c>
      <c r="EJ21" s="346" t="s">
        <v>394</v>
      </c>
      <c r="EK21" s="346" t="s">
        <v>394</v>
      </c>
      <c r="EL21" s="346" t="s">
        <v>394</v>
      </c>
      <c r="EM21" s="346" t="s">
        <v>394</v>
      </c>
      <c r="EN21" s="346" t="s">
        <v>394</v>
      </c>
      <c r="EO21" s="346"/>
      <c r="EP21" s="346" t="s">
        <v>394</v>
      </c>
      <c r="EQ21" s="346" t="s">
        <v>394</v>
      </c>
      <c r="ER21" s="346" t="s">
        <v>394</v>
      </c>
      <c r="ES21" s="346" t="s">
        <v>394</v>
      </c>
      <c r="ET21" s="346"/>
      <c r="EU21" s="346"/>
      <c r="EV21" s="346"/>
      <c r="EW21" s="346"/>
      <c r="EX21" s="346"/>
      <c r="EY21" s="346"/>
      <c r="EZ21" s="346"/>
      <c r="FA21" s="346"/>
      <c r="FB21" s="346" t="s">
        <v>394</v>
      </c>
      <c r="FC21" s="346" t="s">
        <v>394</v>
      </c>
      <c r="FD21" s="346" t="s">
        <v>394</v>
      </c>
      <c r="FE21" s="346" t="s">
        <v>394</v>
      </c>
      <c r="FF21" s="346" t="s">
        <v>394</v>
      </c>
      <c r="FG21" s="346" t="s">
        <v>394</v>
      </c>
      <c r="FH21" s="346" t="s">
        <v>394</v>
      </c>
      <c r="FI21" s="346" t="s">
        <v>394</v>
      </c>
      <c r="FJ21" s="346" t="s">
        <v>394</v>
      </c>
      <c r="FK21" s="346" t="s">
        <v>394</v>
      </c>
      <c r="FL21" s="346" t="s">
        <v>394</v>
      </c>
      <c r="FM21" s="346" t="s">
        <v>394</v>
      </c>
      <c r="FN21" s="346" t="s">
        <v>394</v>
      </c>
      <c r="FO21" s="346" t="s">
        <v>394</v>
      </c>
      <c r="FP21" s="346" t="s">
        <v>394</v>
      </c>
      <c r="FQ21" s="346" t="s">
        <v>394</v>
      </c>
    </row>
    <row r="22" spans="1:173">
      <c r="A22" s="335" t="s">
        <v>749</v>
      </c>
      <c r="B22" s="346" t="s">
        <v>749</v>
      </c>
      <c r="C22" s="346" t="s">
        <v>221</v>
      </c>
      <c r="D22" s="346" t="s">
        <v>710</v>
      </c>
      <c r="E22" s="346" t="s">
        <v>2554</v>
      </c>
      <c r="F22" s="346" t="s">
        <v>2259</v>
      </c>
      <c r="G22" s="346" t="s">
        <v>324</v>
      </c>
      <c r="H22" s="346" t="s">
        <v>324</v>
      </c>
      <c r="I22" s="346">
        <v>22</v>
      </c>
      <c r="J22" s="346">
        <v>22</v>
      </c>
      <c r="K22" s="422"/>
      <c r="L22" s="422"/>
      <c r="M22" s="422"/>
      <c r="N22" s="346" t="s">
        <v>324</v>
      </c>
      <c r="O22" s="346" t="s">
        <v>324</v>
      </c>
      <c r="P22" s="346" t="s">
        <v>324</v>
      </c>
      <c r="Q22" s="346" t="s">
        <v>324</v>
      </c>
      <c r="R22" s="346" t="s">
        <v>324</v>
      </c>
      <c r="S22" s="346" t="s">
        <v>751</v>
      </c>
      <c r="T22" s="346" t="s">
        <v>2942</v>
      </c>
      <c r="U22" s="346">
        <v>10</v>
      </c>
      <c r="V22" s="346" cm="1">
        <f t="array" ref="V22">IFERROR(INDEX('Offer Statistics'!$Q$2:$Q$500,MATCH(1,(B22='Offer Statistics'!$B$2:$B$500)*($B$11='Offer Statistics'!$K$2:$K$500),0)),"/")</f>
        <v>8</v>
      </c>
      <c r="W22" s="346" cm="1">
        <f t="array" ref="W22">IFERROR(INDEX('Offer Statistics'!$D$2:$D$500,MATCH(1,(B22='Offer Statistics'!$B$2:$B$500)*($B$11='Offer Statistics'!$K$2:$K$500),0)),"/")</f>
        <v>63</v>
      </c>
      <c r="X22" s="346" cm="1">
        <f t="array" ref="X22">IFERROR(INDEX('Offer Statistics'!$L$2:$L$500,MATCH(1,(B22='Offer Statistics'!$B$2:$B$500)*($B$11='Offer Statistics'!$K$2:$K$500),0)),"/")</f>
        <v>6</v>
      </c>
      <c r="Y22" s="346">
        <f t="shared" si="48"/>
        <v>10.5</v>
      </c>
      <c r="Z22" s="346" t="s">
        <v>2941</v>
      </c>
      <c r="AA22" s="346" t="str">
        <f>入學要求!AF31</f>
        <v>/</v>
      </c>
      <c r="AB22" s="346" t="str">
        <f>入學要求!AG31</f>
        <v>/</v>
      </c>
      <c r="AC22" s="346" t="s">
        <v>2259</v>
      </c>
      <c r="AD22" s="346" t="s">
        <v>2945</v>
      </c>
      <c r="AE22" s="346" t="s">
        <v>2946</v>
      </c>
      <c r="AF22" s="346" t="s">
        <v>324</v>
      </c>
      <c r="AG22" s="346" t="s">
        <v>324</v>
      </c>
      <c r="AH22" s="346" t="s">
        <v>324</v>
      </c>
      <c r="AI22" s="346" t="s">
        <v>324</v>
      </c>
      <c r="AJ22" s="346" t="s">
        <v>324</v>
      </c>
      <c r="AK22" s="346" t="s">
        <v>714</v>
      </c>
      <c r="AL22" s="346" t="s">
        <v>735</v>
      </c>
      <c r="AM22" s="346" t="s">
        <v>394</v>
      </c>
      <c r="AN22" s="346" t="s">
        <v>394</v>
      </c>
      <c r="AO22" s="346" t="s">
        <v>394</v>
      </c>
      <c r="AP22" s="346" t="s">
        <v>394</v>
      </c>
      <c r="AQ22" s="346" t="s">
        <v>394</v>
      </c>
      <c r="AR22" s="346" t="s">
        <v>324</v>
      </c>
      <c r="AT22" s="346" t="s">
        <v>716</v>
      </c>
      <c r="AU22" s="346"/>
      <c r="AV22" s="346" t="s">
        <v>713</v>
      </c>
      <c r="AW22" s="346"/>
      <c r="AX22" s="346"/>
      <c r="AY22" s="346"/>
      <c r="AZ22" s="346" t="s">
        <v>324</v>
      </c>
      <c r="BA22" s="346" t="s">
        <v>324</v>
      </c>
      <c r="BB22" s="346" t="s">
        <v>324</v>
      </c>
      <c r="BC22" s="346"/>
      <c r="BD22" s="346" t="s">
        <v>324</v>
      </c>
      <c r="BE22" s="346" t="s">
        <v>324</v>
      </c>
      <c r="BF22" s="346" t="s">
        <v>324</v>
      </c>
      <c r="BG22" s="346" t="s">
        <v>324</v>
      </c>
      <c r="BH22" s="346" t="s">
        <v>749</v>
      </c>
      <c r="BI22" s="346" t="s">
        <v>324</v>
      </c>
      <c r="BJ22" s="346" t="s">
        <v>324</v>
      </c>
      <c r="BK22" s="346" t="s">
        <v>324</v>
      </c>
      <c r="BL22" s="346"/>
      <c r="BM22" s="346" t="s">
        <v>324</v>
      </c>
      <c r="BN22" s="346" t="s">
        <v>324</v>
      </c>
      <c r="BO22" s="346" t="s">
        <v>324</v>
      </c>
      <c r="BP22" s="346" t="s">
        <v>324</v>
      </c>
      <c r="BQ22" s="429">
        <f t="shared" si="49"/>
        <v>0</v>
      </c>
      <c r="BR22" s="429">
        <f t="shared" si="50"/>
        <v>0</v>
      </c>
      <c r="BS22" s="429">
        <f t="shared" si="51"/>
        <v>0</v>
      </c>
      <c r="BT22" s="429"/>
      <c r="BU22" s="429">
        <f t="shared" si="52"/>
        <v>0</v>
      </c>
      <c r="BV22" s="429">
        <f t="shared" si="53"/>
        <v>0</v>
      </c>
      <c r="BW22" s="429">
        <f t="shared" si="54"/>
        <v>0</v>
      </c>
      <c r="BX22" s="429">
        <f t="shared" si="55"/>
        <v>0</v>
      </c>
      <c r="BY22" s="346" t="s">
        <v>324</v>
      </c>
      <c r="BZ22" s="346" t="s">
        <v>324</v>
      </c>
      <c r="CA22" s="346" t="s">
        <v>324</v>
      </c>
      <c r="CB22" s="346"/>
      <c r="CC22" s="346" t="s">
        <v>324</v>
      </c>
      <c r="CD22" s="346" t="s">
        <v>324</v>
      </c>
      <c r="CE22" s="346" t="s">
        <v>324</v>
      </c>
      <c r="CF22" s="346" t="s">
        <v>324</v>
      </c>
      <c r="CG22" s="346" t="s">
        <v>324</v>
      </c>
      <c r="CH22" s="346" t="s">
        <v>324</v>
      </c>
      <c r="CI22" s="346" t="s">
        <v>324</v>
      </c>
      <c r="CJ22" s="346"/>
      <c r="CK22" s="346" t="s">
        <v>324</v>
      </c>
      <c r="CL22" s="346" t="s">
        <v>324</v>
      </c>
      <c r="CM22" s="346" t="s">
        <v>324</v>
      </c>
      <c r="CN22" s="346" t="s">
        <v>324</v>
      </c>
      <c r="CO22" s="346" t="s">
        <v>324</v>
      </c>
      <c r="CP22" s="346" t="s">
        <v>324</v>
      </c>
      <c r="CQ22" s="346" t="s">
        <v>324</v>
      </c>
      <c r="CR22" s="346"/>
      <c r="CS22" s="346" t="s">
        <v>324</v>
      </c>
      <c r="CT22" s="346" t="s">
        <v>324</v>
      </c>
      <c r="CU22" s="346" t="s">
        <v>324</v>
      </c>
      <c r="CV22" s="346" t="s">
        <v>324</v>
      </c>
      <c r="CW22" s="346"/>
      <c r="CX22" s="346" t="s">
        <v>324</v>
      </c>
      <c r="CY22" s="346" t="s">
        <v>324</v>
      </c>
      <c r="CZ22" s="346" t="s">
        <v>324</v>
      </c>
      <c r="DA22" s="346"/>
      <c r="DB22" s="346" t="s">
        <v>324</v>
      </c>
      <c r="DC22" s="346" t="s">
        <v>324</v>
      </c>
      <c r="DD22" s="346" t="s">
        <v>324</v>
      </c>
      <c r="DE22" s="346" t="s">
        <v>324</v>
      </c>
      <c r="DF22" s="429">
        <f t="shared" si="56"/>
        <v>0</v>
      </c>
      <c r="DG22" s="429">
        <f t="shared" si="57"/>
        <v>0</v>
      </c>
      <c r="DH22" s="429">
        <f t="shared" si="58"/>
        <v>0</v>
      </c>
      <c r="DI22" s="429"/>
      <c r="DJ22" s="429">
        <f t="shared" si="59"/>
        <v>0</v>
      </c>
      <c r="DK22" s="429">
        <f t="shared" si="60"/>
        <v>0</v>
      </c>
      <c r="DL22" s="429">
        <f t="shared" si="61"/>
        <v>0</v>
      </c>
      <c r="DM22" s="429">
        <f t="shared" si="62"/>
        <v>0</v>
      </c>
      <c r="DN22" s="346" t="s">
        <v>324</v>
      </c>
      <c r="DO22" s="346" t="s">
        <v>324</v>
      </c>
      <c r="DP22" s="346" t="s">
        <v>324</v>
      </c>
      <c r="DQ22" s="346"/>
      <c r="DR22" s="346" t="s">
        <v>324</v>
      </c>
      <c r="DS22" s="346" t="s">
        <v>324</v>
      </c>
      <c r="DT22" s="346" t="s">
        <v>324</v>
      </c>
      <c r="DU22" s="346" t="s">
        <v>324</v>
      </c>
      <c r="DV22" s="346" t="s">
        <v>324</v>
      </c>
      <c r="DW22" s="346" t="s">
        <v>324</v>
      </c>
      <c r="DX22" s="346" t="s">
        <v>324</v>
      </c>
      <c r="DY22" s="346"/>
      <c r="DZ22" s="346" t="s">
        <v>324</v>
      </c>
      <c r="EA22" s="346" t="s">
        <v>324</v>
      </c>
      <c r="EB22" s="346" t="s">
        <v>324</v>
      </c>
      <c r="EC22" s="346" t="s">
        <v>324</v>
      </c>
      <c r="ED22" s="346" t="s">
        <v>394</v>
      </c>
      <c r="EE22" s="346" t="s">
        <v>394</v>
      </c>
      <c r="EF22" s="346" t="s">
        <v>394</v>
      </c>
      <c r="EG22" s="346"/>
      <c r="EH22" s="346" t="s">
        <v>394</v>
      </c>
      <c r="EI22" s="346" t="s">
        <v>394</v>
      </c>
      <c r="EJ22" s="346" t="s">
        <v>394</v>
      </c>
      <c r="EK22" s="346" t="s">
        <v>394</v>
      </c>
      <c r="EL22" s="346" t="s">
        <v>394</v>
      </c>
      <c r="EM22" s="346" t="s">
        <v>394</v>
      </c>
      <c r="EN22" s="346" t="s">
        <v>394</v>
      </c>
      <c r="EO22" s="346"/>
      <c r="EP22" s="346" t="s">
        <v>394</v>
      </c>
      <c r="EQ22" s="346" t="s">
        <v>394</v>
      </c>
      <c r="ER22" s="346" t="s">
        <v>394</v>
      </c>
      <c r="ES22" s="346" t="s">
        <v>394</v>
      </c>
      <c r="ET22" s="346"/>
      <c r="EU22" s="346"/>
      <c r="EV22" s="346"/>
      <c r="EW22" s="346"/>
      <c r="EX22" s="346"/>
      <c r="EY22" s="346"/>
      <c r="EZ22" s="346"/>
      <c r="FA22" s="346"/>
      <c r="FB22" s="346" t="s">
        <v>394</v>
      </c>
      <c r="FC22" s="346" t="s">
        <v>394</v>
      </c>
      <c r="FD22" s="346" t="s">
        <v>394</v>
      </c>
      <c r="FE22" s="346" t="s">
        <v>394</v>
      </c>
      <c r="FF22" s="346" t="s">
        <v>394</v>
      </c>
      <c r="FG22" s="346" t="s">
        <v>394</v>
      </c>
      <c r="FH22" s="346" t="s">
        <v>394</v>
      </c>
      <c r="FI22" s="346" t="s">
        <v>394</v>
      </c>
      <c r="FJ22" s="346" t="s">
        <v>394</v>
      </c>
      <c r="FK22" s="346" t="s">
        <v>394</v>
      </c>
      <c r="FL22" s="346" t="s">
        <v>394</v>
      </c>
      <c r="FM22" s="346" t="s">
        <v>394</v>
      </c>
      <c r="FN22" s="346" t="s">
        <v>394</v>
      </c>
      <c r="FO22" s="346" t="s">
        <v>394</v>
      </c>
      <c r="FP22" s="346" t="s">
        <v>394</v>
      </c>
      <c r="FQ22" s="346" t="s">
        <v>394</v>
      </c>
    </row>
    <row r="23" spans="1:173">
      <c r="A23" s="335" t="s">
        <v>752</v>
      </c>
      <c r="B23" s="346" t="s">
        <v>752</v>
      </c>
      <c r="C23" s="346" t="s">
        <v>221</v>
      </c>
      <c r="D23" s="346" t="s">
        <v>710</v>
      </c>
      <c r="E23" s="346" t="s">
        <v>2555</v>
      </c>
      <c r="F23" s="346" t="s">
        <v>2259</v>
      </c>
      <c r="G23" s="346" t="s">
        <v>324</v>
      </c>
      <c r="H23" s="346" t="s">
        <v>324</v>
      </c>
      <c r="I23" s="346">
        <v>20.5</v>
      </c>
      <c r="J23" s="346">
        <v>19.5</v>
      </c>
      <c r="K23" s="422"/>
      <c r="L23" s="422"/>
      <c r="M23" s="422"/>
      <c r="N23" s="346" t="s">
        <v>324</v>
      </c>
      <c r="O23" s="346" t="s">
        <v>324</v>
      </c>
      <c r="P23" s="346" t="s">
        <v>324</v>
      </c>
      <c r="Q23" s="346" t="s">
        <v>324</v>
      </c>
      <c r="R23" s="346" t="s">
        <v>324</v>
      </c>
      <c r="S23" s="346" t="s">
        <v>754</v>
      </c>
      <c r="T23" s="346" t="s">
        <v>2942</v>
      </c>
      <c r="U23" s="346">
        <v>10</v>
      </c>
      <c r="V23" s="346" cm="1">
        <f t="array" ref="V23">IFERROR(INDEX('Offer Statistics'!$Q$2:$Q$500,MATCH(1,(B23='Offer Statistics'!$B$2:$B$500)*($B$11='Offer Statistics'!$K$2:$K$500),0)),"/")</f>
        <v>7</v>
      </c>
      <c r="W23" s="346" cm="1">
        <f t="array" ref="W23">IFERROR(INDEX('Offer Statistics'!$D$2:$D$500,MATCH(1,(B23='Offer Statistics'!$B$2:$B$500)*($B$11='Offer Statistics'!$K$2:$K$500),0)),"/")</f>
        <v>66</v>
      </c>
      <c r="X23" s="346" cm="1">
        <f t="array" ref="X23">IFERROR(INDEX('Offer Statistics'!$L$2:$L$500,MATCH(1,(B23='Offer Statistics'!$B$2:$B$500)*($B$11='Offer Statistics'!$K$2:$K$500),0)),"/")</f>
        <v>3</v>
      </c>
      <c r="Y23" s="346">
        <f t="shared" si="48"/>
        <v>22</v>
      </c>
      <c r="Z23" s="346" t="s">
        <v>2941</v>
      </c>
      <c r="AA23" s="346" t="str">
        <f>入學要求!AF32</f>
        <v>/</v>
      </c>
      <c r="AB23" s="346" t="str">
        <f>入學要求!AG32</f>
        <v>/</v>
      </c>
      <c r="AC23" s="346" t="s">
        <v>2259</v>
      </c>
      <c r="AD23" s="346" t="s">
        <v>2945</v>
      </c>
      <c r="AE23" s="346" t="s">
        <v>2946</v>
      </c>
      <c r="AF23" s="346" t="s">
        <v>324</v>
      </c>
      <c r="AG23" s="346" t="s">
        <v>324</v>
      </c>
      <c r="AH23" s="346" t="s">
        <v>324</v>
      </c>
      <c r="AI23" s="346" t="s">
        <v>324</v>
      </c>
      <c r="AJ23" s="346" t="s">
        <v>324</v>
      </c>
      <c r="AK23" s="346" t="s">
        <v>714</v>
      </c>
      <c r="AL23" s="346" t="s">
        <v>735</v>
      </c>
      <c r="AM23" s="346" t="s">
        <v>394</v>
      </c>
      <c r="AN23" s="346" t="s">
        <v>394</v>
      </c>
      <c r="AO23" s="346" t="s">
        <v>394</v>
      </c>
      <c r="AP23" s="346" t="s">
        <v>394</v>
      </c>
      <c r="AQ23" s="346" t="s">
        <v>394</v>
      </c>
      <c r="AR23" s="346" t="s">
        <v>324</v>
      </c>
      <c r="AT23" s="346" t="s">
        <v>716</v>
      </c>
      <c r="AU23" s="346"/>
      <c r="AV23" s="346" t="s">
        <v>713</v>
      </c>
      <c r="AW23" s="346"/>
      <c r="AX23" s="346"/>
      <c r="AY23" s="346"/>
      <c r="AZ23" s="346" t="s">
        <v>324</v>
      </c>
      <c r="BA23" s="346" t="s">
        <v>324</v>
      </c>
      <c r="BB23" s="346" t="s">
        <v>324</v>
      </c>
      <c r="BC23" s="346"/>
      <c r="BD23" s="346" t="s">
        <v>324</v>
      </c>
      <c r="BE23" s="346" t="s">
        <v>324</v>
      </c>
      <c r="BF23" s="346" t="s">
        <v>324</v>
      </c>
      <c r="BG23" s="346" t="s">
        <v>324</v>
      </c>
      <c r="BH23" s="346" t="s">
        <v>752</v>
      </c>
      <c r="BI23" s="346" t="s">
        <v>324</v>
      </c>
      <c r="BJ23" s="346" t="s">
        <v>324</v>
      </c>
      <c r="BK23" s="346" t="s">
        <v>324</v>
      </c>
      <c r="BL23" s="346"/>
      <c r="BM23" s="346" t="s">
        <v>324</v>
      </c>
      <c r="BN23" s="346" t="s">
        <v>324</v>
      </c>
      <c r="BO23" s="346" t="s">
        <v>324</v>
      </c>
      <c r="BP23" s="346" t="s">
        <v>324</v>
      </c>
      <c r="BQ23" s="429">
        <f t="shared" si="49"/>
        <v>0</v>
      </c>
      <c r="BR23" s="429">
        <f t="shared" si="50"/>
        <v>0</v>
      </c>
      <c r="BS23" s="429">
        <f t="shared" si="51"/>
        <v>0</v>
      </c>
      <c r="BT23" s="429"/>
      <c r="BU23" s="429">
        <f t="shared" si="52"/>
        <v>0</v>
      </c>
      <c r="BV23" s="429">
        <f t="shared" si="53"/>
        <v>0</v>
      </c>
      <c r="BW23" s="429">
        <f t="shared" si="54"/>
        <v>0</v>
      </c>
      <c r="BX23" s="429">
        <f t="shared" si="55"/>
        <v>0</v>
      </c>
      <c r="BY23" s="346" t="s">
        <v>324</v>
      </c>
      <c r="BZ23" s="346" t="s">
        <v>324</v>
      </c>
      <c r="CA23" s="346" t="s">
        <v>324</v>
      </c>
      <c r="CB23" s="346"/>
      <c r="CC23" s="346" t="s">
        <v>324</v>
      </c>
      <c r="CD23" s="346" t="s">
        <v>324</v>
      </c>
      <c r="CE23" s="346" t="s">
        <v>324</v>
      </c>
      <c r="CF23" s="346" t="s">
        <v>324</v>
      </c>
      <c r="CG23" s="346" t="s">
        <v>324</v>
      </c>
      <c r="CH23" s="346" t="s">
        <v>324</v>
      </c>
      <c r="CI23" s="346" t="s">
        <v>324</v>
      </c>
      <c r="CJ23" s="346"/>
      <c r="CK23" s="346" t="s">
        <v>324</v>
      </c>
      <c r="CL23" s="346" t="s">
        <v>324</v>
      </c>
      <c r="CM23" s="346" t="s">
        <v>324</v>
      </c>
      <c r="CN23" s="346" t="s">
        <v>324</v>
      </c>
      <c r="CO23" s="346" t="s">
        <v>324</v>
      </c>
      <c r="CP23" s="346" t="s">
        <v>324</v>
      </c>
      <c r="CQ23" s="346" t="s">
        <v>324</v>
      </c>
      <c r="CR23" s="346"/>
      <c r="CS23" s="346" t="s">
        <v>324</v>
      </c>
      <c r="CT23" s="346" t="s">
        <v>324</v>
      </c>
      <c r="CU23" s="346" t="s">
        <v>324</v>
      </c>
      <c r="CV23" s="346" t="s">
        <v>324</v>
      </c>
      <c r="CW23" s="346"/>
      <c r="CX23" s="346" t="s">
        <v>324</v>
      </c>
      <c r="CY23" s="346" t="s">
        <v>324</v>
      </c>
      <c r="CZ23" s="346" t="s">
        <v>324</v>
      </c>
      <c r="DA23" s="346"/>
      <c r="DB23" s="346" t="s">
        <v>324</v>
      </c>
      <c r="DC23" s="346" t="s">
        <v>324</v>
      </c>
      <c r="DD23" s="346" t="s">
        <v>324</v>
      </c>
      <c r="DE23" s="346" t="s">
        <v>324</v>
      </c>
      <c r="DF23" s="429">
        <f t="shared" si="56"/>
        <v>0</v>
      </c>
      <c r="DG23" s="429">
        <f t="shared" si="57"/>
        <v>0</v>
      </c>
      <c r="DH23" s="429">
        <f t="shared" si="58"/>
        <v>0</v>
      </c>
      <c r="DI23" s="429"/>
      <c r="DJ23" s="429">
        <f t="shared" si="59"/>
        <v>0</v>
      </c>
      <c r="DK23" s="429">
        <f t="shared" si="60"/>
        <v>0</v>
      </c>
      <c r="DL23" s="429">
        <f t="shared" si="61"/>
        <v>0</v>
      </c>
      <c r="DM23" s="429">
        <f t="shared" si="62"/>
        <v>0</v>
      </c>
      <c r="DN23" s="346" t="s">
        <v>324</v>
      </c>
      <c r="DO23" s="346" t="s">
        <v>324</v>
      </c>
      <c r="DP23" s="346" t="s">
        <v>324</v>
      </c>
      <c r="DQ23" s="346"/>
      <c r="DR23" s="346" t="s">
        <v>324</v>
      </c>
      <c r="DS23" s="346" t="s">
        <v>324</v>
      </c>
      <c r="DT23" s="346" t="s">
        <v>324</v>
      </c>
      <c r="DU23" s="346" t="s">
        <v>324</v>
      </c>
      <c r="DV23" s="346" t="s">
        <v>324</v>
      </c>
      <c r="DW23" s="346" t="s">
        <v>324</v>
      </c>
      <c r="DX23" s="346" t="s">
        <v>324</v>
      </c>
      <c r="DY23" s="346"/>
      <c r="DZ23" s="346" t="s">
        <v>324</v>
      </c>
      <c r="EA23" s="346" t="s">
        <v>324</v>
      </c>
      <c r="EB23" s="346" t="s">
        <v>324</v>
      </c>
      <c r="EC23" s="346" t="s">
        <v>324</v>
      </c>
      <c r="ED23" s="346" t="s">
        <v>394</v>
      </c>
      <c r="EE23" s="346" t="s">
        <v>394</v>
      </c>
      <c r="EF23" s="346" t="s">
        <v>394</v>
      </c>
      <c r="EG23" s="346"/>
      <c r="EH23" s="346" t="s">
        <v>394</v>
      </c>
      <c r="EI23" s="346" t="s">
        <v>394</v>
      </c>
      <c r="EJ23" s="346" t="s">
        <v>394</v>
      </c>
      <c r="EK23" s="346" t="s">
        <v>394</v>
      </c>
      <c r="EL23" s="346" t="s">
        <v>394</v>
      </c>
      <c r="EM23" s="346" t="s">
        <v>394</v>
      </c>
      <c r="EN23" s="346" t="s">
        <v>394</v>
      </c>
      <c r="EO23" s="346"/>
      <c r="EP23" s="346" t="s">
        <v>394</v>
      </c>
      <c r="EQ23" s="346" t="s">
        <v>394</v>
      </c>
      <c r="ER23" s="346" t="s">
        <v>394</v>
      </c>
      <c r="ES23" s="346" t="s">
        <v>394</v>
      </c>
      <c r="ET23" s="346"/>
      <c r="EU23" s="346"/>
      <c r="EV23" s="346"/>
      <c r="EW23" s="346"/>
      <c r="EX23" s="346"/>
      <c r="EY23" s="346"/>
      <c r="EZ23" s="346"/>
      <c r="FA23" s="346"/>
      <c r="FB23" s="346" t="s">
        <v>394</v>
      </c>
      <c r="FC23" s="346" t="s">
        <v>394</v>
      </c>
      <c r="FD23" s="346" t="s">
        <v>394</v>
      </c>
      <c r="FE23" s="346" t="s">
        <v>394</v>
      </c>
      <c r="FF23" s="346" t="s">
        <v>394</v>
      </c>
      <c r="FG23" s="346" t="s">
        <v>394</v>
      </c>
      <c r="FH23" s="346" t="s">
        <v>394</v>
      </c>
      <c r="FI23" s="346" t="s">
        <v>394</v>
      </c>
      <c r="FJ23" s="346" t="s">
        <v>394</v>
      </c>
      <c r="FK23" s="346" t="s">
        <v>394</v>
      </c>
      <c r="FL23" s="346" t="s">
        <v>394</v>
      </c>
      <c r="FM23" s="346" t="s">
        <v>394</v>
      </c>
      <c r="FN23" s="346" t="s">
        <v>394</v>
      </c>
      <c r="FO23" s="346" t="s">
        <v>394</v>
      </c>
      <c r="FP23" s="346" t="s">
        <v>394</v>
      </c>
      <c r="FQ23" s="346" t="s">
        <v>394</v>
      </c>
    </row>
    <row r="24" spans="1:173">
      <c r="A24" s="335" t="s">
        <v>755</v>
      </c>
      <c r="B24" s="346" t="s">
        <v>755</v>
      </c>
      <c r="C24" s="346" t="s">
        <v>221</v>
      </c>
      <c r="D24" s="346" t="s">
        <v>710</v>
      </c>
      <c r="E24" s="346" t="s">
        <v>2557</v>
      </c>
      <c r="F24" s="346" t="s">
        <v>2259</v>
      </c>
      <c r="G24" s="346" t="s">
        <v>324</v>
      </c>
      <c r="H24" s="346" t="s">
        <v>324</v>
      </c>
      <c r="I24" s="346">
        <v>20</v>
      </c>
      <c r="J24" s="346">
        <v>19.5</v>
      </c>
      <c r="K24" s="422"/>
      <c r="L24" s="422"/>
      <c r="M24" s="422"/>
      <c r="N24" s="346" t="s">
        <v>324</v>
      </c>
      <c r="O24" s="346" t="s">
        <v>324</v>
      </c>
      <c r="P24" s="346" t="s">
        <v>324</v>
      </c>
      <c r="Q24" s="346" t="s">
        <v>324</v>
      </c>
      <c r="R24" s="346" t="s">
        <v>324</v>
      </c>
      <c r="S24" s="346" t="s">
        <v>2556</v>
      </c>
      <c r="T24" s="346" t="s">
        <v>2942</v>
      </c>
      <c r="U24" s="346">
        <v>24</v>
      </c>
      <c r="V24" s="346" cm="1">
        <f t="array" ref="V24">IFERROR(INDEX('Offer Statistics'!$Q$2:$Q$500,MATCH(1,(B24='Offer Statistics'!$B$2:$B$500)*($B$11='Offer Statistics'!$K$2:$K$500),0)),"/")</f>
        <v>24</v>
      </c>
      <c r="W24" s="346" cm="1">
        <f t="array" ref="W24">IFERROR(INDEX('Offer Statistics'!$D$2:$D$500,MATCH(1,(B24='Offer Statistics'!$B$2:$B$500)*($B$11='Offer Statistics'!$K$2:$K$500),0)),"/")</f>
        <v>416</v>
      </c>
      <c r="X24" s="346" cm="1">
        <f t="array" ref="X24">IFERROR(INDEX('Offer Statistics'!$L$2:$L$500,MATCH(1,(B24='Offer Statistics'!$B$2:$B$500)*($B$11='Offer Statistics'!$K$2:$K$500),0)),"/")</f>
        <v>22</v>
      </c>
      <c r="Y24" s="346">
        <f t="shared" si="48"/>
        <v>18.90909090909091</v>
      </c>
      <c r="Z24" s="346" t="s">
        <v>2941</v>
      </c>
      <c r="AA24" s="346" t="str">
        <f>入學要求!AF33</f>
        <v>/</v>
      </c>
      <c r="AB24" s="346" t="str">
        <f>入學要求!AG33</f>
        <v>/</v>
      </c>
      <c r="AC24" s="346" t="s">
        <v>2259</v>
      </c>
      <c r="AD24" s="346" t="s">
        <v>2945</v>
      </c>
      <c r="AE24" s="346" t="s">
        <v>2946</v>
      </c>
      <c r="AF24" s="346" t="s">
        <v>324</v>
      </c>
      <c r="AG24" s="346" t="s">
        <v>324</v>
      </c>
      <c r="AH24" s="346" t="s">
        <v>324</v>
      </c>
      <c r="AI24" s="346" t="s">
        <v>324</v>
      </c>
      <c r="AJ24" s="346" t="s">
        <v>324</v>
      </c>
      <c r="AK24" s="346" t="s">
        <v>714</v>
      </c>
      <c r="AL24" s="346" t="s">
        <v>758</v>
      </c>
      <c r="AM24" s="346" t="s">
        <v>740</v>
      </c>
      <c r="AN24" s="346" t="s">
        <v>394</v>
      </c>
      <c r="AO24" s="346" t="s">
        <v>394</v>
      </c>
      <c r="AP24" s="346" t="s">
        <v>394</v>
      </c>
      <c r="AQ24" s="346" t="s">
        <v>394</v>
      </c>
      <c r="AR24" s="346" t="s">
        <v>324</v>
      </c>
      <c r="AT24" s="346" t="s">
        <v>716</v>
      </c>
      <c r="AU24" s="346"/>
      <c r="AV24" s="346" t="s">
        <v>713</v>
      </c>
      <c r="AW24" s="346"/>
      <c r="AX24" s="346"/>
      <c r="AY24" s="346"/>
      <c r="AZ24" s="346" t="s">
        <v>324</v>
      </c>
      <c r="BA24" s="346" t="s">
        <v>324</v>
      </c>
      <c r="BB24" s="346" t="s">
        <v>324</v>
      </c>
      <c r="BC24" s="346"/>
      <c r="BD24" s="346" t="s">
        <v>324</v>
      </c>
      <c r="BE24" s="346" t="s">
        <v>324</v>
      </c>
      <c r="BF24" s="346" t="s">
        <v>324</v>
      </c>
      <c r="BG24" s="346" t="s">
        <v>324</v>
      </c>
      <c r="BH24" s="346" t="s">
        <v>755</v>
      </c>
      <c r="BI24" s="346" t="s">
        <v>324</v>
      </c>
      <c r="BJ24" s="346" t="s">
        <v>324</v>
      </c>
      <c r="BK24" s="346" t="s">
        <v>324</v>
      </c>
      <c r="BL24" s="346"/>
      <c r="BM24" s="346" t="s">
        <v>324</v>
      </c>
      <c r="BN24" s="346" t="s">
        <v>324</v>
      </c>
      <c r="BO24" s="346" t="s">
        <v>324</v>
      </c>
      <c r="BP24" s="346" t="s">
        <v>324</v>
      </c>
      <c r="BQ24" s="429">
        <f t="shared" si="49"/>
        <v>0</v>
      </c>
      <c r="BR24" s="429">
        <f t="shared" si="50"/>
        <v>0</v>
      </c>
      <c r="BS24" s="429">
        <f t="shared" si="51"/>
        <v>0</v>
      </c>
      <c r="BT24" s="429"/>
      <c r="BU24" s="429">
        <f t="shared" si="52"/>
        <v>0</v>
      </c>
      <c r="BV24" s="429">
        <f t="shared" si="53"/>
        <v>0</v>
      </c>
      <c r="BW24" s="429">
        <f t="shared" si="54"/>
        <v>0</v>
      </c>
      <c r="BX24" s="429">
        <f t="shared" si="55"/>
        <v>0</v>
      </c>
      <c r="BY24" s="346" t="s">
        <v>324</v>
      </c>
      <c r="BZ24" s="346" t="s">
        <v>324</v>
      </c>
      <c r="CA24" s="346" t="s">
        <v>324</v>
      </c>
      <c r="CB24" s="346"/>
      <c r="CC24" s="346" t="s">
        <v>324</v>
      </c>
      <c r="CD24" s="346" t="s">
        <v>324</v>
      </c>
      <c r="CE24" s="346" t="s">
        <v>324</v>
      </c>
      <c r="CF24" s="346" t="s">
        <v>324</v>
      </c>
      <c r="CG24" s="346" t="s">
        <v>324</v>
      </c>
      <c r="CH24" s="346" t="s">
        <v>324</v>
      </c>
      <c r="CI24" s="346" t="s">
        <v>324</v>
      </c>
      <c r="CJ24" s="346"/>
      <c r="CK24" s="346" t="s">
        <v>324</v>
      </c>
      <c r="CL24" s="346" t="s">
        <v>324</v>
      </c>
      <c r="CM24" s="346" t="s">
        <v>324</v>
      </c>
      <c r="CN24" s="346" t="s">
        <v>324</v>
      </c>
      <c r="CO24" s="346" t="s">
        <v>324</v>
      </c>
      <c r="CP24" s="346" t="s">
        <v>324</v>
      </c>
      <c r="CQ24" s="346" t="s">
        <v>324</v>
      </c>
      <c r="CR24" s="346"/>
      <c r="CS24" s="346" t="s">
        <v>324</v>
      </c>
      <c r="CT24" s="346" t="s">
        <v>324</v>
      </c>
      <c r="CU24" s="346" t="s">
        <v>324</v>
      </c>
      <c r="CV24" s="346" t="s">
        <v>324</v>
      </c>
      <c r="CW24" s="346"/>
      <c r="CX24" s="346" t="s">
        <v>324</v>
      </c>
      <c r="CY24" s="346" t="s">
        <v>324</v>
      </c>
      <c r="CZ24" s="346" t="s">
        <v>324</v>
      </c>
      <c r="DA24" s="346"/>
      <c r="DB24" s="346" t="s">
        <v>324</v>
      </c>
      <c r="DC24" s="346" t="s">
        <v>324</v>
      </c>
      <c r="DD24" s="346" t="s">
        <v>324</v>
      </c>
      <c r="DE24" s="346" t="s">
        <v>324</v>
      </c>
      <c r="DF24" s="429">
        <f t="shared" si="56"/>
        <v>0</v>
      </c>
      <c r="DG24" s="429">
        <f t="shared" si="57"/>
        <v>0</v>
      </c>
      <c r="DH24" s="429">
        <f t="shared" si="58"/>
        <v>0</v>
      </c>
      <c r="DI24" s="429"/>
      <c r="DJ24" s="429">
        <f t="shared" si="59"/>
        <v>0</v>
      </c>
      <c r="DK24" s="429">
        <f t="shared" si="60"/>
        <v>0</v>
      </c>
      <c r="DL24" s="429">
        <f t="shared" si="61"/>
        <v>0</v>
      </c>
      <c r="DM24" s="429">
        <f t="shared" si="62"/>
        <v>0</v>
      </c>
      <c r="DN24" s="346" t="s">
        <v>324</v>
      </c>
      <c r="DO24" s="346" t="s">
        <v>324</v>
      </c>
      <c r="DP24" s="346" t="s">
        <v>324</v>
      </c>
      <c r="DQ24" s="346"/>
      <c r="DR24" s="346" t="s">
        <v>324</v>
      </c>
      <c r="DS24" s="346" t="s">
        <v>324</v>
      </c>
      <c r="DT24" s="346" t="s">
        <v>324</v>
      </c>
      <c r="DU24" s="346" t="s">
        <v>324</v>
      </c>
      <c r="DV24" s="346" t="s">
        <v>324</v>
      </c>
      <c r="DW24" s="346" t="s">
        <v>324</v>
      </c>
      <c r="DX24" s="346" t="s">
        <v>324</v>
      </c>
      <c r="DY24" s="346"/>
      <c r="DZ24" s="346" t="s">
        <v>324</v>
      </c>
      <c r="EA24" s="346" t="s">
        <v>324</v>
      </c>
      <c r="EB24" s="346" t="s">
        <v>324</v>
      </c>
      <c r="EC24" s="346" t="s">
        <v>324</v>
      </c>
      <c r="ED24" s="346" t="s">
        <v>394</v>
      </c>
      <c r="EE24" s="346" t="s">
        <v>394</v>
      </c>
      <c r="EF24" s="346" t="s">
        <v>394</v>
      </c>
      <c r="EG24" s="346"/>
      <c r="EH24" s="346" t="s">
        <v>394</v>
      </c>
      <c r="EI24" s="346" t="s">
        <v>394</v>
      </c>
      <c r="EJ24" s="346" t="s">
        <v>394</v>
      </c>
      <c r="EK24" s="346" t="s">
        <v>394</v>
      </c>
      <c r="EL24" s="346" t="s">
        <v>394</v>
      </c>
      <c r="EM24" s="346" t="s">
        <v>394</v>
      </c>
      <c r="EN24" s="346" t="s">
        <v>394</v>
      </c>
      <c r="EO24" s="346"/>
      <c r="EP24" s="346" t="s">
        <v>394</v>
      </c>
      <c r="EQ24" s="346" t="s">
        <v>394</v>
      </c>
      <c r="ER24" s="346" t="s">
        <v>394</v>
      </c>
      <c r="ES24" s="346" t="s">
        <v>394</v>
      </c>
      <c r="ET24" s="346"/>
      <c r="EU24" s="346"/>
      <c r="EV24" s="346"/>
      <c r="EW24" s="346"/>
      <c r="EX24" s="346"/>
      <c r="EY24" s="346"/>
      <c r="EZ24" s="346"/>
      <c r="FA24" s="346"/>
      <c r="FB24" s="346" t="s">
        <v>394</v>
      </c>
      <c r="FC24" s="346" t="s">
        <v>394</v>
      </c>
      <c r="FD24" s="346" t="s">
        <v>394</v>
      </c>
      <c r="FE24" s="346" t="s">
        <v>394</v>
      </c>
      <c r="FF24" s="346" t="s">
        <v>394</v>
      </c>
      <c r="FG24" s="346" t="s">
        <v>394</v>
      </c>
      <c r="FH24" s="346" t="s">
        <v>394</v>
      </c>
      <c r="FI24" s="346" t="s">
        <v>394</v>
      </c>
      <c r="FJ24" s="346" t="s">
        <v>394</v>
      </c>
      <c r="FK24" s="346" t="s">
        <v>394</v>
      </c>
      <c r="FL24" s="346" t="s">
        <v>394</v>
      </c>
      <c r="FM24" s="346" t="s">
        <v>394</v>
      </c>
      <c r="FN24" s="346" t="s">
        <v>394</v>
      </c>
      <c r="FO24" s="346" t="s">
        <v>394</v>
      </c>
      <c r="FP24" s="346" t="s">
        <v>394</v>
      </c>
      <c r="FQ24" s="346" t="s">
        <v>394</v>
      </c>
    </row>
    <row r="25" spans="1:173">
      <c r="A25" s="335" t="s">
        <v>759</v>
      </c>
      <c r="B25" s="346" t="s">
        <v>759</v>
      </c>
      <c r="C25" s="346" t="s">
        <v>221</v>
      </c>
      <c r="D25" s="346" t="s">
        <v>710</v>
      </c>
      <c r="E25" s="346" t="s">
        <v>2558</v>
      </c>
      <c r="F25" s="346" t="s">
        <v>2259</v>
      </c>
      <c r="G25" s="346" t="s">
        <v>324</v>
      </c>
      <c r="H25" s="346" t="s">
        <v>324</v>
      </c>
      <c r="I25" s="346">
        <v>19.5</v>
      </c>
      <c r="J25" s="346">
        <v>19</v>
      </c>
      <c r="K25" s="422"/>
      <c r="L25" s="422"/>
      <c r="M25" s="422"/>
      <c r="N25" s="346" t="s">
        <v>324</v>
      </c>
      <c r="O25" s="346" t="s">
        <v>324</v>
      </c>
      <c r="P25" s="346" t="s">
        <v>324</v>
      </c>
      <c r="Q25" s="346" t="s">
        <v>324</v>
      </c>
      <c r="R25" s="346" t="s">
        <v>324</v>
      </c>
      <c r="S25" s="346" t="s">
        <v>2105</v>
      </c>
      <c r="T25" s="346" t="s">
        <v>2942</v>
      </c>
      <c r="U25" s="346">
        <v>24</v>
      </c>
      <c r="V25" s="346" cm="1">
        <f t="array" ref="V25">IFERROR(INDEX('Offer Statistics'!$Q$2:$Q$500,MATCH(1,(B25='Offer Statistics'!$B$2:$B$500)*($B$11='Offer Statistics'!$K$2:$K$500),0)),"/")</f>
        <v>21</v>
      </c>
      <c r="W25" s="346" cm="1">
        <f t="array" ref="W25">IFERROR(INDEX('Offer Statistics'!$D$2:$D$500,MATCH(1,(B25='Offer Statistics'!$B$2:$B$500)*($B$11='Offer Statistics'!$K$2:$K$500),0)),"/")</f>
        <v>154</v>
      </c>
      <c r="X25" s="346" cm="1">
        <f t="array" ref="X25">IFERROR(INDEX('Offer Statistics'!$L$2:$L$500,MATCH(1,(B25='Offer Statistics'!$B$2:$B$500)*($B$11='Offer Statistics'!$K$2:$K$500),0)),"/")</f>
        <v>20</v>
      </c>
      <c r="Y25" s="346">
        <f t="shared" si="48"/>
        <v>7.7</v>
      </c>
      <c r="Z25" s="346" t="s">
        <v>2941</v>
      </c>
      <c r="AA25" s="346" t="str">
        <f>入學要求!AF34</f>
        <v>/</v>
      </c>
      <c r="AB25" s="346" t="str">
        <f>入學要求!AG34</f>
        <v>/</v>
      </c>
      <c r="AC25" s="346" t="s">
        <v>2259</v>
      </c>
      <c r="AD25" s="346" t="s">
        <v>2945</v>
      </c>
      <c r="AE25" s="346" t="s">
        <v>2946</v>
      </c>
      <c r="AF25" s="346" t="s">
        <v>324</v>
      </c>
      <c r="AG25" s="346" t="s">
        <v>324</v>
      </c>
      <c r="AH25" s="346" t="s">
        <v>324</v>
      </c>
      <c r="AI25" s="346" t="s">
        <v>324</v>
      </c>
      <c r="AJ25" s="346" t="s">
        <v>324</v>
      </c>
      <c r="AK25" s="346" t="s">
        <v>714</v>
      </c>
      <c r="AL25" s="346" t="s">
        <v>758</v>
      </c>
      <c r="AM25" s="346" t="s">
        <v>740</v>
      </c>
      <c r="AN25" s="346" t="s">
        <v>394</v>
      </c>
      <c r="AO25" s="346" t="s">
        <v>394</v>
      </c>
      <c r="AP25" s="346" t="s">
        <v>394</v>
      </c>
      <c r="AQ25" s="346" t="s">
        <v>394</v>
      </c>
      <c r="AR25" s="346" t="s">
        <v>324</v>
      </c>
      <c r="AT25" s="346" t="s">
        <v>716</v>
      </c>
      <c r="AU25" s="346"/>
      <c r="AV25" s="346" t="s">
        <v>713</v>
      </c>
      <c r="AW25" s="346"/>
      <c r="AX25" s="346"/>
      <c r="AY25" s="346"/>
      <c r="AZ25" s="346" t="s">
        <v>324</v>
      </c>
      <c r="BA25" s="346" t="s">
        <v>324</v>
      </c>
      <c r="BB25" s="346" t="s">
        <v>324</v>
      </c>
      <c r="BC25" s="346"/>
      <c r="BD25" s="346" t="s">
        <v>324</v>
      </c>
      <c r="BE25" s="346" t="s">
        <v>324</v>
      </c>
      <c r="BF25" s="346" t="s">
        <v>324</v>
      </c>
      <c r="BG25" s="346" t="s">
        <v>324</v>
      </c>
      <c r="BH25" s="346" t="s">
        <v>759</v>
      </c>
      <c r="BI25" s="346" t="s">
        <v>324</v>
      </c>
      <c r="BJ25" s="346" t="s">
        <v>324</v>
      </c>
      <c r="BK25" s="346" t="s">
        <v>324</v>
      </c>
      <c r="BL25" s="346"/>
      <c r="BM25" s="346" t="s">
        <v>324</v>
      </c>
      <c r="BN25" s="346" t="s">
        <v>324</v>
      </c>
      <c r="BO25" s="346" t="s">
        <v>324</v>
      </c>
      <c r="BP25" s="346" t="s">
        <v>324</v>
      </c>
      <c r="BQ25" s="429">
        <f t="shared" si="49"/>
        <v>0</v>
      </c>
      <c r="BR25" s="429">
        <f t="shared" si="50"/>
        <v>0</v>
      </c>
      <c r="BS25" s="429">
        <f t="shared" si="51"/>
        <v>0</v>
      </c>
      <c r="BT25" s="429"/>
      <c r="BU25" s="429">
        <f t="shared" si="52"/>
        <v>0</v>
      </c>
      <c r="BV25" s="429">
        <f t="shared" si="53"/>
        <v>0</v>
      </c>
      <c r="BW25" s="429">
        <f t="shared" si="54"/>
        <v>0</v>
      </c>
      <c r="BX25" s="429">
        <f t="shared" si="55"/>
        <v>0</v>
      </c>
      <c r="BY25" s="346" t="s">
        <v>324</v>
      </c>
      <c r="BZ25" s="346" t="s">
        <v>324</v>
      </c>
      <c r="CA25" s="346" t="s">
        <v>324</v>
      </c>
      <c r="CB25" s="346"/>
      <c r="CC25" s="346" t="s">
        <v>324</v>
      </c>
      <c r="CD25" s="346" t="s">
        <v>324</v>
      </c>
      <c r="CE25" s="346" t="s">
        <v>324</v>
      </c>
      <c r="CF25" s="346" t="s">
        <v>324</v>
      </c>
      <c r="CG25" s="346" t="s">
        <v>324</v>
      </c>
      <c r="CH25" s="346" t="s">
        <v>324</v>
      </c>
      <c r="CI25" s="346" t="s">
        <v>324</v>
      </c>
      <c r="CJ25" s="346"/>
      <c r="CK25" s="346" t="s">
        <v>324</v>
      </c>
      <c r="CL25" s="346" t="s">
        <v>324</v>
      </c>
      <c r="CM25" s="346" t="s">
        <v>324</v>
      </c>
      <c r="CN25" s="346" t="s">
        <v>324</v>
      </c>
      <c r="CO25" s="346" t="s">
        <v>324</v>
      </c>
      <c r="CP25" s="346" t="s">
        <v>324</v>
      </c>
      <c r="CQ25" s="346" t="s">
        <v>324</v>
      </c>
      <c r="CR25" s="346"/>
      <c r="CS25" s="346" t="s">
        <v>324</v>
      </c>
      <c r="CT25" s="346" t="s">
        <v>324</v>
      </c>
      <c r="CU25" s="346" t="s">
        <v>324</v>
      </c>
      <c r="CV25" s="346" t="s">
        <v>324</v>
      </c>
      <c r="CW25" s="346"/>
      <c r="CX25" s="346" t="s">
        <v>324</v>
      </c>
      <c r="CY25" s="346" t="s">
        <v>324</v>
      </c>
      <c r="CZ25" s="346" t="s">
        <v>324</v>
      </c>
      <c r="DA25" s="346"/>
      <c r="DB25" s="346" t="s">
        <v>324</v>
      </c>
      <c r="DC25" s="346" t="s">
        <v>324</v>
      </c>
      <c r="DD25" s="346" t="s">
        <v>324</v>
      </c>
      <c r="DE25" s="346" t="s">
        <v>324</v>
      </c>
      <c r="DF25" s="429">
        <f t="shared" si="56"/>
        <v>0</v>
      </c>
      <c r="DG25" s="429">
        <f t="shared" si="57"/>
        <v>0</v>
      </c>
      <c r="DH25" s="429">
        <f t="shared" si="58"/>
        <v>0</v>
      </c>
      <c r="DI25" s="429"/>
      <c r="DJ25" s="429">
        <f t="shared" si="59"/>
        <v>0</v>
      </c>
      <c r="DK25" s="429">
        <f t="shared" si="60"/>
        <v>0</v>
      </c>
      <c r="DL25" s="429">
        <f t="shared" si="61"/>
        <v>0</v>
      </c>
      <c r="DM25" s="429">
        <f t="shared" si="62"/>
        <v>0</v>
      </c>
      <c r="DN25" s="346" t="s">
        <v>324</v>
      </c>
      <c r="DO25" s="346" t="s">
        <v>324</v>
      </c>
      <c r="DP25" s="346" t="s">
        <v>324</v>
      </c>
      <c r="DQ25" s="346"/>
      <c r="DR25" s="346" t="s">
        <v>324</v>
      </c>
      <c r="DS25" s="346" t="s">
        <v>324</v>
      </c>
      <c r="DT25" s="346" t="s">
        <v>324</v>
      </c>
      <c r="DU25" s="346" t="s">
        <v>324</v>
      </c>
      <c r="DV25" s="346" t="s">
        <v>324</v>
      </c>
      <c r="DW25" s="346" t="s">
        <v>324</v>
      </c>
      <c r="DX25" s="346" t="s">
        <v>324</v>
      </c>
      <c r="DY25" s="346"/>
      <c r="DZ25" s="346" t="s">
        <v>324</v>
      </c>
      <c r="EA25" s="346" t="s">
        <v>324</v>
      </c>
      <c r="EB25" s="346" t="s">
        <v>324</v>
      </c>
      <c r="EC25" s="346" t="s">
        <v>324</v>
      </c>
      <c r="ED25" s="346" t="s">
        <v>394</v>
      </c>
      <c r="EE25" s="346" t="s">
        <v>394</v>
      </c>
      <c r="EF25" s="346" t="s">
        <v>394</v>
      </c>
      <c r="EG25" s="346"/>
      <c r="EH25" s="346" t="s">
        <v>394</v>
      </c>
      <c r="EI25" s="346" t="s">
        <v>394</v>
      </c>
      <c r="EJ25" s="346" t="s">
        <v>394</v>
      </c>
      <c r="EK25" s="346" t="s">
        <v>394</v>
      </c>
      <c r="EL25" s="346" t="s">
        <v>394</v>
      </c>
      <c r="EM25" s="346" t="s">
        <v>394</v>
      </c>
      <c r="EN25" s="346" t="s">
        <v>394</v>
      </c>
      <c r="EO25" s="346"/>
      <c r="EP25" s="346" t="s">
        <v>394</v>
      </c>
      <c r="EQ25" s="346" t="s">
        <v>394</v>
      </c>
      <c r="ER25" s="346" t="s">
        <v>394</v>
      </c>
      <c r="ES25" s="346" t="s">
        <v>394</v>
      </c>
      <c r="ET25" s="346"/>
      <c r="EU25" s="346"/>
      <c r="EV25" s="346"/>
      <c r="EW25" s="346"/>
      <c r="EX25" s="346"/>
      <c r="EY25" s="346"/>
      <c r="EZ25" s="346"/>
      <c r="FA25" s="346"/>
      <c r="FB25" s="346" t="s">
        <v>394</v>
      </c>
      <c r="FC25" s="346" t="s">
        <v>394</v>
      </c>
      <c r="FD25" s="346" t="s">
        <v>394</v>
      </c>
      <c r="FE25" s="346" t="s">
        <v>394</v>
      </c>
      <c r="FF25" s="346" t="s">
        <v>394</v>
      </c>
      <c r="FG25" s="346" t="s">
        <v>394</v>
      </c>
      <c r="FH25" s="346" t="s">
        <v>394</v>
      </c>
      <c r="FI25" s="346" t="s">
        <v>394</v>
      </c>
      <c r="FJ25" s="346" t="s">
        <v>394</v>
      </c>
      <c r="FK25" s="346" t="s">
        <v>394</v>
      </c>
      <c r="FL25" s="346" t="s">
        <v>394</v>
      </c>
      <c r="FM25" s="346" t="s">
        <v>394</v>
      </c>
      <c r="FN25" s="346" t="s">
        <v>394</v>
      </c>
      <c r="FO25" s="346" t="s">
        <v>394</v>
      </c>
      <c r="FP25" s="346" t="s">
        <v>394</v>
      </c>
      <c r="FQ25" s="346" t="s">
        <v>394</v>
      </c>
    </row>
    <row r="26" spans="1:173">
      <c r="A26" s="335" t="s">
        <v>762</v>
      </c>
      <c r="B26" s="346" t="s">
        <v>762</v>
      </c>
      <c r="C26" s="346" t="s">
        <v>221</v>
      </c>
      <c r="D26" s="346" t="s">
        <v>710</v>
      </c>
      <c r="E26" s="346" t="s">
        <v>2559</v>
      </c>
      <c r="F26" s="346" t="s">
        <v>2259</v>
      </c>
      <c r="G26" s="346" t="s">
        <v>324</v>
      </c>
      <c r="H26" s="346" t="s">
        <v>324</v>
      </c>
      <c r="I26" s="346">
        <v>19.5</v>
      </c>
      <c r="J26" s="346">
        <v>19</v>
      </c>
      <c r="K26" s="422"/>
      <c r="L26" s="422"/>
      <c r="M26" s="422"/>
      <c r="N26" s="346" t="s">
        <v>324</v>
      </c>
      <c r="O26" s="346" t="s">
        <v>324</v>
      </c>
      <c r="P26" s="346" t="s">
        <v>324</v>
      </c>
      <c r="Q26" s="346" t="s">
        <v>324</v>
      </c>
      <c r="R26" s="346" t="s">
        <v>324</v>
      </c>
      <c r="S26" s="346" t="s">
        <v>2106</v>
      </c>
      <c r="T26" s="346" t="s">
        <v>2942</v>
      </c>
      <c r="U26" s="346">
        <v>23</v>
      </c>
      <c r="V26" s="346" cm="1">
        <f t="array" ref="V26">IFERROR(INDEX('Offer Statistics'!$Q$2:$Q$500,MATCH(1,(B26='Offer Statistics'!$B$2:$B$500)*($B$11='Offer Statistics'!$K$2:$K$500),0)),"/")</f>
        <v>21</v>
      </c>
      <c r="W26" s="346" cm="1">
        <f t="array" ref="W26">IFERROR(INDEX('Offer Statistics'!$D$2:$D$500,MATCH(1,(B26='Offer Statistics'!$B$2:$B$500)*($B$11='Offer Statistics'!$K$2:$K$500),0)),"/")</f>
        <v>286</v>
      </c>
      <c r="X26" s="346" cm="1">
        <f t="array" ref="X26">IFERROR(INDEX('Offer Statistics'!$L$2:$L$500,MATCH(1,(B26='Offer Statistics'!$B$2:$B$500)*($B$11='Offer Statistics'!$K$2:$K$500),0)),"/")</f>
        <v>20</v>
      </c>
      <c r="Y26" s="346">
        <f t="shared" si="48"/>
        <v>14.3</v>
      </c>
      <c r="Z26" s="346" t="s">
        <v>2941</v>
      </c>
      <c r="AA26" s="346" t="str">
        <f>入學要求!AF35</f>
        <v>/</v>
      </c>
      <c r="AB26" s="346" t="str">
        <f>入學要求!AG35</f>
        <v>/</v>
      </c>
      <c r="AC26" s="346" t="s">
        <v>2259</v>
      </c>
      <c r="AD26" s="346" t="s">
        <v>2945</v>
      </c>
      <c r="AE26" s="346" t="s">
        <v>2946</v>
      </c>
      <c r="AF26" s="346" t="s">
        <v>324</v>
      </c>
      <c r="AG26" s="346" t="s">
        <v>324</v>
      </c>
      <c r="AH26" s="346" t="s">
        <v>324</v>
      </c>
      <c r="AI26" s="346" t="s">
        <v>324</v>
      </c>
      <c r="AJ26" s="346" t="s">
        <v>324</v>
      </c>
      <c r="AK26" s="346" t="s">
        <v>714</v>
      </c>
      <c r="AL26" s="346" t="s">
        <v>758</v>
      </c>
      <c r="AM26" s="346" t="s">
        <v>740</v>
      </c>
      <c r="AN26" s="346" t="s">
        <v>394</v>
      </c>
      <c r="AO26" s="346" t="s">
        <v>394</v>
      </c>
      <c r="AP26" s="346" t="s">
        <v>394</v>
      </c>
      <c r="AQ26" s="346" t="s">
        <v>394</v>
      </c>
      <c r="AR26" s="346" t="s">
        <v>324</v>
      </c>
      <c r="AT26" s="346" t="s">
        <v>716</v>
      </c>
      <c r="AU26" s="346"/>
      <c r="AV26" s="346" t="s">
        <v>713</v>
      </c>
      <c r="AW26" s="346"/>
      <c r="AX26" s="346"/>
      <c r="AY26" s="346"/>
      <c r="AZ26" s="346" t="s">
        <v>324</v>
      </c>
      <c r="BA26" s="346" t="s">
        <v>324</v>
      </c>
      <c r="BB26" s="346" t="s">
        <v>324</v>
      </c>
      <c r="BC26" s="346"/>
      <c r="BD26" s="346" t="s">
        <v>324</v>
      </c>
      <c r="BE26" s="346" t="s">
        <v>324</v>
      </c>
      <c r="BF26" s="346" t="s">
        <v>324</v>
      </c>
      <c r="BG26" s="346" t="s">
        <v>324</v>
      </c>
      <c r="BH26" s="346" t="s">
        <v>762</v>
      </c>
      <c r="BI26" s="346" t="s">
        <v>324</v>
      </c>
      <c r="BJ26" s="346" t="s">
        <v>324</v>
      </c>
      <c r="BK26" s="346" t="s">
        <v>324</v>
      </c>
      <c r="BL26" s="346"/>
      <c r="BM26" s="346" t="s">
        <v>324</v>
      </c>
      <c r="BN26" s="346" t="s">
        <v>324</v>
      </c>
      <c r="BO26" s="346" t="s">
        <v>324</v>
      </c>
      <c r="BP26" s="346" t="s">
        <v>324</v>
      </c>
      <c r="BQ26" s="429">
        <f t="shared" si="49"/>
        <v>0</v>
      </c>
      <c r="BR26" s="429">
        <f t="shared" si="50"/>
        <v>0</v>
      </c>
      <c r="BS26" s="429">
        <f t="shared" si="51"/>
        <v>0</v>
      </c>
      <c r="BT26" s="429"/>
      <c r="BU26" s="429">
        <f t="shared" si="52"/>
        <v>0</v>
      </c>
      <c r="BV26" s="429">
        <f t="shared" si="53"/>
        <v>0</v>
      </c>
      <c r="BW26" s="429">
        <f t="shared" si="54"/>
        <v>0</v>
      </c>
      <c r="BX26" s="429">
        <f t="shared" si="55"/>
        <v>0</v>
      </c>
      <c r="BY26" s="346" t="s">
        <v>324</v>
      </c>
      <c r="BZ26" s="346" t="s">
        <v>324</v>
      </c>
      <c r="CA26" s="346" t="s">
        <v>324</v>
      </c>
      <c r="CB26" s="346"/>
      <c r="CC26" s="346" t="s">
        <v>324</v>
      </c>
      <c r="CD26" s="346" t="s">
        <v>324</v>
      </c>
      <c r="CE26" s="346" t="s">
        <v>324</v>
      </c>
      <c r="CF26" s="346" t="s">
        <v>324</v>
      </c>
      <c r="CG26" s="346" t="s">
        <v>324</v>
      </c>
      <c r="CH26" s="346" t="s">
        <v>324</v>
      </c>
      <c r="CI26" s="346" t="s">
        <v>324</v>
      </c>
      <c r="CJ26" s="346"/>
      <c r="CK26" s="346" t="s">
        <v>324</v>
      </c>
      <c r="CL26" s="346" t="s">
        <v>324</v>
      </c>
      <c r="CM26" s="346" t="s">
        <v>324</v>
      </c>
      <c r="CN26" s="346" t="s">
        <v>324</v>
      </c>
      <c r="CO26" s="346" t="s">
        <v>324</v>
      </c>
      <c r="CP26" s="346" t="s">
        <v>324</v>
      </c>
      <c r="CQ26" s="346" t="s">
        <v>324</v>
      </c>
      <c r="CR26" s="346"/>
      <c r="CS26" s="346" t="s">
        <v>324</v>
      </c>
      <c r="CT26" s="346" t="s">
        <v>324</v>
      </c>
      <c r="CU26" s="346" t="s">
        <v>324</v>
      </c>
      <c r="CV26" s="346" t="s">
        <v>324</v>
      </c>
      <c r="CW26" s="346"/>
      <c r="CX26" s="346" t="s">
        <v>324</v>
      </c>
      <c r="CY26" s="346" t="s">
        <v>324</v>
      </c>
      <c r="CZ26" s="346" t="s">
        <v>324</v>
      </c>
      <c r="DA26" s="346"/>
      <c r="DB26" s="346" t="s">
        <v>324</v>
      </c>
      <c r="DC26" s="346" t="s">
        <v>324</v>
      </c>
      <c r="DD26" s="346" t="s">
        <v>324</v>
      </c>
      <c r="DE26" s="346" t="s">
        <v>324</v>
      </c>
      <c r="DF26" s="429">
        <f t="shared" si="56"/>
        <v>0</v>
      </c>
      <c r="DG26" s="429">
        <f t="shared" si="57"/>
        <v>0</v>
      </c>
      <c r="DH26" s="429">
        <f t="shared" si="58"/>
        <v>0</v>
      </c>
      <c r="DI26" s="429"/>
      <c r="DJ26" s="429">
        <f t="shared" si="59"/>
        <v>0</v>
      </c>
      <c r="DK26" s="429">
        <f t="shared" si="60"/>
        <v>0</v>
      </c>
      <c r="DL26" s="429">
        <f t="shared" si="61"/>
        <v>0</v>
      </c>
      <c r="DM26" s="429">
        <f t="shared" si="62"/>
        <v>0</v>
      </c>
      <c r="DN26" s="346" t="s">
        <v>324</v>
      </c>
      <c r="DO26" s="346" t="s">
        <v>324</v>
      </c>
      <c r="DP26" s="346" t="s">
        <v>324</v>
      </c>
      <c r="DQ26" s="346"/>
      <c r="DR26" s="346" t="s">
        <v>324</v>
      </c>
      <c r="DS26" s="346" t="s">
        <v>324</v>
      </c>
      <c r="DT26" s="346" t="s">
        <v>324</v>
      </c>
      <c r="DU26" s="346" t="s">
        <v>324</v>
      </c>
      <c r="DV26" s="346" t="s">
        <v>324</v>
      </c>
      <c r="DW26" s="346" t="s">
        <v>324</v>
      </c>
      <c r="DX26" s="346" t="s">
        <v>324</v>
      </c>
      <c r="DY26" s="346"/>
      <c r="DZ26" s="346" t="s">
        <v>324</v>
      </c>
      <c r="EA26" s="346" t="s">
        <v>324</v>
      </c>
      <c r="EB26" s="346" t="s">
        <v>324</v>
      </c>
      <c r="EC26" s="346" t="s">
        <v>324</v>
      </c>
      <c r="ED26" s="346" t="s">
        <v>394</v>
      </c>
      <c r="EE26" s="346" t="s">
        <v>394</v>
      </c>
      <c r="EF26" s="346" t="s">
        <v>394</v>
      </c>
      <c r="EG26" s="346"/>
      <c r="EH26" s="346" t="s">
        <v>394</v>
      </c>
      <c r="EI26" s="346" t="s">
        <v>394</v>
      </c>
      <c r="EJ26" s="346" t="s">
        <v>394</v>
      </c>
      <c r="EK26" s="346" t="s">
        <v>394</v>
      </c>
      <c r="EL26" s="346" t="s">
        <v>394</v>
      </c>
      <c r="EM26" s="346" t="s">
        <v>394</v>
      </c>
      <c r="EN26" s="346" t="s">
        <v>394</v>
      </c>
      <c r="EO26" s="346"/>
      <c r="EP26" s="346" t="s">
        <v>394</v>
      </c>
      <c r="EQ26" s="346" t="s">
        <v>394</v>
      </c>
      <c r="ER26" s="346" t="s">
        <v>394</v>
      </c>
      <c r="ES26" s="346" t="s">
        <v>394</v>
      </c>
      <c r="ET26" s="346"/>
      <c r="EU26" s="346"/>
      <c r="EV26" s="346"/>
      <c r="EW26" s="346"/>
      <c r="EX26" s="346"/>
      <c r="EY26" s="346"/>
      <c r="EZ26" s="346"/>
      <c r="FA26" s="346"/>
      <c r="FB26" s="346" t="s">
        <v>394</v>
      </c>
      <c r="FC26" s="346" t="s">
        <v>394</v>
      </c>
      <c r="FD26" s="346" t="s">
        <v>394</v>
      </c>
      <c r="FE26" s="346" t="s">
        <v>394</v>
      </c>
      <c r="FF26" s="346" t="s">
        <v>394</v>
      </c>
      <c r="FG26" s="346" t="s">
        <v>394</v>
      </c>
      <c r="FH26" s="346" t="s">
        <v>394</v>
      </c>
      <c r="FI26" s="346" t="s">
        <v>394</v>
      </c>
      <c r="FJ26" s="346" t="s">
        <v>394</v>
      </c>
      <c r="FK26" s="346" t="s">
        <v>394</v>
      </c>
      <c r="FL26" s="346" t="s">
        <v>394</v>
      </c>
      <c r="FM26" s="346" t="s">
        <v>394</v>
      </c>
      <c r="FN26" s="346" t="s">
        <v>394</v>
      </c>
      <c r="FO26" s="346" t="s">
        <v>394</v>
      </c>
      <c r="FP26" s="346" t="s">
        <v>394</v>
      </c>
      <c r="FQ26" s="346" t="s">
        <v>394</v>
      </c>
    </row>
    <row r="27" spans="1:173">
      <c r="A27" s="335" t="s">
        <v>2560</v>
      </c>
      <c r="B27" s="346" t="s">
        <v>2560</v>
      </c>
      <c r="C27" s="346" t="s">
        <v>221</v>
      </c>
      <c r="D27" s="346" t="s">
        <v>766</v>
      </c>
      <c r="E27" s="346" t="s">
        <v>2562</v>
      </c>
      <c r="F27" s="346" t="s">
        <v>2940</v>
      </c>
      <c r="G27" s="346" t="s">
        <v>324</v>
      </c>
      <c r="H27" s="346" t="s">
        <v>324</v>
      </c>
      <c r="I27" s="346" t="s">
        <v>324</v>
      </c>
      <c r="J27" s="346" t="s">
        <v>324</v>
      </c>
      <c r="K27" s="346"/>
      <c r="L27" s="346"/>
      <c r="M27" s="346"/>
      <c r="N27" s="346" t="s">
        <v>324</v>
      </c>
      <c r="O27" s="346" t="s">
        <v>324</v>
      </c>
      <c r="P27" s="346" t="s">
        <v>324</v>
      </c>
      <c r="Q27" s="346" t="s">
        <v>324</v>
      </c>
      <c r="R27" s="346" t="s">
        <v>324</v>
      </c>
      <c r="S27" s="346" t="s">
        <v>2561</v>
      </c>
      <c r="T27" s="346" t="s">
        <v>2942</v>
      </c>
      <c r="U27" s="346">
        <v>10</v>
      </c>
      <c r="V27" s="346" t="str" cm="1">
        <f t="array" ref="V27">IFERROR(INDEX('Offer Statistics'!$Q$2:$Q$500,MATCH(1,(B27='Offer Statistics'!$B$2:$B$500)*($B$11='Offer Statistics'!$K$2:$K$500),0)),"/")</f>
        <v>/</v>
      </c>
      <c r="W27" s="346" t="str" cm="1">
        <f t="array" ref="W27">IFERROR(INDEX('Offer Statistics'!$D$2:$D$500,MATCH(1,(B27='Offer Statistics'!$B$2:$B$500)*($B$11='Offer Statistics'!$K$2:$K$500),0)),"/")</f>
        <v>/</v>
      </c>
      <c r="X27" s="346" t="str" cm="1">
        <f t="array" ref="X27">IFERROR(INDEX('Offer Statistics'!$L$2:$L$500,MATCH(1,(B27='Offer Statistics'!$B$2:$B$500)*($B$11='Offer Statistics'!$K$2:$K$500),0)),"/")</f>
        <v>/</v>
      </c>
      <c r="Y27" s="346" t="str">
        <f t="shared" si="48"/>
        <v>新科目</v>
      </c>
      <c r="Z27" s="346" t="s">
        <v>2941</v>
      </c>
      <c r="AA27" s="346" t="str">
        <f>入學要求!AF36</f>
        <v>/</v>
      </c>
      <c r="AB27" s="346" t="str">
        <f>入學要求!AG36</f>
        <v>/</v>
      </c>
      <c r="AC27" s="425" t="s">
        <v>785</v>
      </c>
      <c r="AD27" s="346" t="s">
        <v>2945</v>
      </c>
      <c r="AE27" s="346" t="s">
        <v>2946</v>
      </c>
      <c r="AF27" s="346" t="s">
        <v>786</v>
      </c>
      <c r="AG27" s="346" t="s">
        <v>324</v>
      </c>
      <c r="AH27" s="346" t="s">
        <v>770</v>
      </c>
      <c r="AI27" s="346" t="s">
        <v>324</v>
      </c>
      <c r="AJ27" s="346" t="s">
        <v>324</v>
      </c>
      <c r="AK27" s="346" t="s">
        <v>714</v>
      </c>
      <c r="AL27" s="346" t="s">
        <v>771</v>
      </c>
      <c r="AM27" s="346" t="s">
        <v>772</v>
      </c>
      <c r="AN27" s="346" t="s">
        <v>394</v>
      </c>
      <c r="AO27" s="346" t="s">
        <v>394</v>
      </c>
      <c r="AP27" s="346" t="s">
        <v>394</v>
      </c>
      <c r="AQ27" s="346" t="s">
        <v>394</v>
      </c>
      <c r="AR27" s="346"/>
      <c r="AT27" s="346" t="s">
        <v>716</v>
      </c>
      <c r="AU27" s="346"/>
      <c r="AV27" s="346" t="s">
        <v>713</v>
      </c>
      <c r="AW27" s="346"/>
      <c r="AX27" s="346"/>
      <c r="AY27" s="346"/>
      <c r="AZ27" s="346" t="s">
        <v>324</v>
      </c>
      <c r="BA27" s="346" t="s">
        <v>324</v>
      </c>
      <c r="BB27" s="346" t="s">
        <v>324</v>
      </c>
      <c r="BC27" s="346"/>
      <c r="BD27" s="346" t="s">
        <v>324</v>
      </c>
      <c r="BE27" s="346" t="s">
        <v>324</v>
      </c>
      <c r="BF27" s="346" t="s">
        <v>324</v>
      </c>
      <c r="BG27" s="346" t="s">
        <v>324</v>
      </c>
      <c r="BH27" s="346" t="s">
        <v>2560</v>
      </c>
      <c r="BI27" s="346" t="s">
        <v>324</v>
      </c>
      <c r="BJ27" s="346" t="s">
        <v>324</v>
      </c>
      <c r="BK27" s="346" t="s">
        <v>324</v>
      </c>
      <c r="BL27" s="346"/>
      <c r="BM27" s="346" t="s">
        <v>324</v>
      </c>
      <c r="BN27" s="346" t="s">
        <v>324</v>
      </c>
      <c r="BO27" s="346" t="s">
        <v>324</v>
      </c>
      <c r="BP27" s="346" t="s">
        <v>324</v>
      </c>
      <c r="BQ27" s="429"/>
      <c r="BR27" s="429"/>
      <c r="BS27" s="429"/>
      <c r="BT27" s="429"/>
      <c r="BU27" s="429"/>
      <c r="BV27" s="429"/>
      <c r="BW27" s="429"/>
      <c r="BX27" s="429"/>
      <c r="BY27" s="346" t="s">
        <v>324</v>
      </c>
      <c r="BZ27" s="346" t="s">
        <v>324</v>
      </c>
      <c r="CA27" s="346" t="s">
        <v>324</v>
      </c>
      <c r="CB27" s="346"/>
      <c r="CC27" s="346" t="s">
        <v>324</v>
      </c>
      <c r="CD27" s="346" t="s">
        <v>324</v>
      </c>
      <c r="CE27" s="346" t="s">
        <v>324</v>
      </c>
      <c r="CF27" s="346" t="s">
        <v>324</v>
      </c>
      <c r="CG27" s="346" t="s">
        <v>324</v>
      </c>
      <c r="CH27" s="346" t="s">
        <v>324</v>
      </c>
      <c r="CI27" s="346" t="s">
        <v>324</v>
      </c>
      <c r="CJ27" s="346"/>
      <c r="CK27" s="346" t="s">
        <v>324</v>
      </c>
      <c r="CL27" s="346" t="s">
        <v>324</v>
      </c>
      <c r="CM27" s="346" t="s">
        <v>324</v>
      </c>
      <c r="CN27" s="346" t="s">
        <v>324</v>
      </c>
      <c r="CO27" s="346" t="s">
        <v>324</v>
      </c>
      <c r="CP27" s="346" t="s">
        <v>324</v>
      </c>
      <c r="CQ27" s="346" t="s">
        <v>324</v>
      </c>
      <c r="CR27" s="346"/>
      <c r="CS27" s="346" t="s">
        <v>324</v>
      </c>
      <c r="CT27" s="346" t="s">
        <v>324</v>
      </c>
      <c r="CU27" s="346" t="s">
        <v>324</v>
      </c>
      <c r="CV27" s="346" t="s">
        <v>324</v>
      </c>
      <c r="CW27" s="346"/>
      <c r="CX27" s="346" t="s">
        <v>324</v>
      </c>
      <c r="CY27" s="346" t="s">
        <v>324</v>
      </c>
      <c r="CZ27" s="346" t="s">
        <v>324</v>
      </c>
      <c r="DA27" s="346"/>
      <c r="DB27" s="346" t="s">
        <v>324</v>
      </c>
      <c r="DC27" s="346" t="s">
        <v>324</v>
      </c>
      <c r="DD27" s="346" t="s">
        <v>324</v>
      </c>
      <c r="DE27" s="346" t="s">
        <v>324</v>
      </c>
      <c r="DF27" s="429"/>
      <c r="DG27" s="429"/>
      <c r="DH27" s="429"/>
      <c r="DI27" s="429"/>
      <c r="DJ27" s="429"/>
      <c r="DK27" s="429"/>
      <c r="DL27" s="429"/>
      <c r="DM27" s="429"/>
      <c r="DN27" s="346" t="s">
        <v>324</v>
      </c>
      <c r="DO27" s="346" t="s">
        <v>324</v>
      </c>
      <c r="DP27" s="346" t="s">
        <v>324</v>
      </c>
      <c r="DQ27" s="346"/>
      <c r="DR27" s="346" t="s">
        <v>324</v>
      </c>
      <c r="DS27" s="346" t="s">
        <v>324</v>
      </c>
      <c r="DT27" s="346" t="s">
        <v>324</v>
      </c>
      <c r="DU27" s="346" t="s">
        <v>324</v>
      </c>
      <c r="DV27" s="346" t="s">
        <v>324</v>
      </c>
      <c r="DW27" s="346" t="s">
        <v>324</v>
      </c>
      <c r="DX27" s="346" t="s">
        <v>324</v>
      </c>
      <c r="DY27" s="346"/>
      <c r="DZ27" s="346" t="s">
        <v>324</v>
      </c>
      <c r="EA27" s="346" t="s">
        <v>324</v>
      </c>
      <c r="EB27" s="346" t="s">
        <v>324</v>
      </c>
      <c r="EC27" s="346" t="s">
        <v>324</v>
      </c>
      <c r="ED27" s="346"/>
      <c r="EE27" s="346"/>
      <c r="EF27" s="346"/>
      <c r="EG27" s="346"/>
      <c r="EH27" s="346"/>
      <c r="EI27" s="346"/>
      <c r="EJ27" s="346"/>
      <c r="EK27" s="346"/>
      <c r="EL27" s="346"/>
      <c r="EM27" s="346"/>
      <c r="EN27" s="346"/>
      <c r="EO27" s="346"/>
      <c r="EP27" s="346"/>
      <c r="EQ27" s="346"/>
      <c r="ER27" s="346"/>
      <c r="ES27" s="346"/>
      <c r="ET27" s="346"/>
      <c r="EU27" s="346"/>
      <c r="EV27" s="346"/>
      <c r="EW27" s="346"/>
      <c r="EX27" s="346"/>
      <c r="EY27" s="346"/>
      <c r="EZ27" s="346"/>
      <c r="FA27" s="346"/>
      <c r="FB27" s="346"/>
      <c r="FC27" s="346"/>
      <c r="FD27" s="346"/>
      <c r="FE27" s="346"/>
      <c r="FF27" s="346"/>
      <c r="FG27" s="346"/>
      <c r="FH27" s="346"/>
      <c r="FI27" s="346"/>
      <c r="FJ27" s="346"/>
      <c r="FK27" s="346"/>
      <c r="FL27" s="346"/>
      <c r="FM27" s="346"/>
      <c r="FN27" s="346"/>
      <c r="FO27" s="346"/>
      <c r="FP27" s="346"/>
      <c r="FQ27" s="346"/>
    </row>
    <row r="28" spans="1:173" s="342" customFormat="1">
      <c r="A28" s="335" t="s">
        <v>765</v>
      </c>
      <c r="B28" s="346" t="s">
        <v>765</v>
      </c>
      <c r="C28" s="346" t="s">
        <v>221</v>
      </c>
      <c r="D28" s="346" t="s">
        <v>766</v>
      </c>
      <c r="E28" s="346" t="s">
        <v>2563</v>
      </c>
      <c r="F28" s="425" t="s">
        <v>785</v>
      </c>
      <c r="G28" s="346" t="s">
        <v>324</v>
      </c>
      <c r="H28" s="346" t="s">
        <v>324</v>
      </c>
      <c r="I28" s="346">
        <v>25</v>
      </c>
      <c r="J28" s="346">
        <v>23.5</v>
      </c>
      <c r="K28" s="422"/>
      <c r="L28" s="422"/>
      <c r="M28" s="422"/>
      <c r="N28" s="426" t="s">
        <v>786</v>
      </c>
      <c r="O28" s="346" t="s">
        <v>324</v>
      </c>
      <c r="P28" s="346" t="s">
        <v>770</v>
      </c>
      <c r="Q28" s="346" t="s">
        <v>324</v>
      </c>
      <c r="R28" s="346" t="s">
        <v>324</v>
      </c>
      <c r="S28" s="346" t="s">
        <v>769</v>
      </c>
      <c r="T28" s="346" t="s">
        <v>2942</v>
      </c>
      <c r="U28" s="346">
        <v>21</v>
      </c>
      <c r="V28" s="346" cm="1">
        <f t="array" ref="V28">IFERROR(INDEX('Offer Statistics'!$Q$2:$Q$500,MATCH(1,(B28='Offer Statistics'!$B$2:$B$500)*($B$11='Offer Statistics'!$K$2:$K$500),0)),"/")</f>
        <v>24</v>
      </c>
      <c r="W28" s="346" cm="1">
        <f t="array" ref="W28">IFERROR(INDEX('Offer Statistics'!$D$2:$D$500,MATCH(1,(B28='Offer Statistics'!$B$2:$B$500)*($B$11='Offer Statistics'!$K$2:$K$500),0)),"/")</f>
        <v>322</v>
      </c>
      <c r="X28" s="346" cm="1">
        <f t="array" ref="X28">IFERROR(INDEX('Offer Statistics'!$L$2:$L$500,MATCH(1,(B28='Offer Statistics'!$B$2:$B$500)*($B$11='Offer Statistics'!$K$2:$K$500),0)),"/")</f>
        <v>24</v>
      </c>
      <c r="Y28" s="346">
        <f t="shared" si="48"/>
        <v>13.416666666666666</v>
      </c>
      <c r="Z28" s="346" t="s">
        <v>2941</v>
      </c>
      <c r="AA28" s="346" t="str">
        <f>入學要求!AF37</f>
        <v>/</v>
      </c>
      <c r="AB28" s="346" t="str">
        <f>入學要求!AG37</f>
        <v>/</v>
      </c>
      <c r="AC28" s="425" t="s">
        <v>785</v>
      </c>
      <c r="AD28" s="346" t="s">
        <v>2945</v>
      </c>
      <c r="AE28" s="346" t="s">
        <v>2946</v>
      </c>
      <c r="AF28" s="426" t="s">
        <v>786</v>
      </c>
      <c r="AG28" s="428" t="s">
        <v>324</v>
      </c>
      <c r="AH28" s="346" t="s">
        <v>770</v>
      </c>
      <c r="AI28" s="346" t="s">
        <v>324</v>
      </c>
      <c r="AJ28" s="346" t="s">
        <v>324</v>
      </c>
      <c r="AK28" s="346" t="s">
        <v>714</v>
      </c>
      <c r="AL28" s="346" t="s">
        <v>771</v>
      </c>
      <c r="AM28" s="346" t="s">
        <v>772</v>
      </c>
      <c r="AN28" s="346" t="s">
        <v>394</v>
      </c>
      <c r="AO28" s="346" t="s">
        <v>394</v>
      </c>
      <c r="AP28" s="346" t="s">
        <v>394</v>
      </c>
      <c r="AQ28" s="346" t="s">
        <v>394</v>
      </c>
      <c r="AR28" s="346" t="s">
        <v>324</v>
      </c>
      <c r="AT28" s="346" t="s">
        <v>716</v>
      </c>
      <c r="AU28" s="346"/>
      <c r="AV28" s="346" t="s">
        <v>713</v>
      </c>
      <c r="AW28" s="346"/>
      <c r="AX28" s="346"/>
      <c r="AY28" s="346"/>
      <c r="AZ28" s="346" t="s">
        <v>324</v>
      </c>
      <c r="BA28" s="346" t="s">
        <v>324</v>
      </c>
      <c r="BB28" s="346" t="s">
        <v>324</v>
      </c>
      <c r="BC28" s="346"/>
      <c r="BD28" s="346" t="s">
        <v>324</v>
      </c>
      <c r="BE28" s="346" t="s">
        <v>324</v>
      </c>
      <c r="BF28" s="346" t="s">
        <v>324</v>
      </c>
      <c r="BG28" s="346" t="s">
        <v>324</v>
      </c>
      <c r="BH28" s="346" t="s">
        <v>765</v>
      </c>
      <c r="BI28" s="346" t="s">
        <v>324</v>
      </c>
      <c r="BJ28" s="346" t="s">
        <v>324</v>
      </c>
      <c r="BK28" s="346" t="s">
        <v>324</v>
      </c>
      <c r="BL28" s="346"/>
      <c r="BM28" s="346" t="s">
        <v>324</v>
      </c>
      <c r="BN28" s="346" t="s">
        <v>324</v>
      </c>
      <c r="BO28" s="346" t="s">
        <v>324</v>
      </c>
      <c r="BP28" s="346" t="s">
        <v>324</v>
      </c>
      <c r="BQ28" s="429">
        <f t="shared" si="49"/>
        <v>0</v>
      </c>
      <c r="BR28" s="429">
        <f t="shared" si="50"/>
        <v>0</v>
      </c>
      <c r="BS28" s="429">
        <f t="shared" si="51"/>
        <v>0</v>
      </c>
      <c r="BT28" s="429"/>
      <c r="BU28" s="429">
        <f t="shared" si="52"/>
        <v>0</v>
      </c>
      <c r="BV28" s="429">
        <f t="shared" si="53"/>
        <v>0</v>
      </c>
      <c r="BW28" s="429">
        <f t="shared" si="54"/>
        <v>0</v>
      </c>
      <c r="BX28" s="429">
        <f t="shared" si="55"/>
        <v>0</v>
      </c>
      <c r="BY28" s="346" t="s">
        <v>324</v>
      </c>
      <c r="BZ28" s="346" t="s">
        <v>324</v>
      </c>
      <c r="CA28" s="346" t="s">
        <v>324</v>
      </c>
      <c r="CB28" s="346"/>
      <c r="CC28" s="346" t="s">
        <v>324</v>
      </c>
      <c r="CD28" s="346" t="s">
        <v>324</v>
      </c>
      <c r="CE28" s="346" t="s">
        <v>324</v>
      </c>
      <c r="CF28" s="346" t="s">
        <v>324</v>
      </c>
      <c r="CG28" s="346" t="s">
        <v>324</v>
      </c>
      <c r="CH28" s="346" t="s">
        <v>324</v>
      </c>
      <c r="CI28" s="346" t="s">
        <v>324</v>
      </c>
      <c r="CJ28" s="346"/>
      <c r="CK28" s="346" t="s">
        <v>324</v>
      </c>
      <c r="CL28" s="346" t="s">
        <v>324</v>
      </c>
      <c r="CM28" s="346" t="s">
        <v>324</v>
      </c>
      <c r="CN28" s="346" t="s">
        <v>324</v>
      </c>
      <c r="CO28" s="346" t="s">
        <v>324</v>
      </c>
      <c r="CP28" s="346" t="s">
        <v>324</v>
      </c>
      <c r="CQ28" s="346" t="s">
        <v>324</v>
      </c>
      <c r="CR28" s="346"/>
      <c r="CS28" s="346" t="s">
        <v>324</v>
      </c>
      <c r="CT28" s="346" t="s">
        <v>324</v>
      </c>
      <c r="CU28" s="346" t="s">
        <v>324</v>
      </c>
      <c r="CV28" s="346" t="s">
        <v>324</v>
      </c>
      <c r="CW28" s="346"/>
      <c r="CX28" s="346" t="s">
        <v>324</v>
      </c>
      <c r="CY28" s="346" t="s">
        <v>324</v>
      </c>
      <c r="CZ28" s="346" t="s">
        <v>324</v>
      </c>
      <c r="DA28" s="346"/>
      <c r="DB28" s="346" t="s">
        <v>324</v>
      </c>
      <c r="DC28" s="346" t="s">
        <v>324</v>
      </c>
      <c r="DD28" s="346" t="s">
        <v>324</v>
      </c>
      <c r="DE28" s="346" t="s">
        <v>324</v>
      </c>
      <c r="DF28" s="429">
        <f t="shared" si="56"/>
        <v>0</v>
      </c>
      <c r="DG28" s="429">
        <f t="shared" si="57"/>
        <v>0</v>
      </c>
      <c r="DH28" s="429">
        <f t="shared" si="58"/>
        <v>0</v>
      </c>
      <c r="DI28" s="429"/>
      <c r="DJ28" s="429">
        <f t="shared" si="59"/>
        <v>0</v>
      </c>
      <c r="DK28" s="429">
        <f t="shared" si="60"/>
        <v>0</v>
      </c>
      <c r="DL28" s="429">
        <f t="shared" si="61"/>
        <v>0</v>
      </c>
      <c r="DM28" s="429">
        <f t="shared" si="62"/>
        <v>0</v>
      </c>
      <c r="DN28" s="346" t="s">
        <v>324</v>
      </c>
      <c r="DO28" s="346" t="s">
        <v>324</v>
      </c>
      <c r="DP28" s="346" t="s">
        <v>324</v>
      </c>
      <c r="DQ28" s="346"/>
      <c r="DR28" s="346" t="s">
        <v>324</v>
      </c>
      <c r="DS28" s="346" t="s">
        <v>324</v>
      </c>
      <c r="DT28" s="346" t="s">
        <v>324</v>
      </c>
      <c r="DU28" s="346" t="s">
        <v>324</v>
      </c>
      <c r="DV28" s="346" t="s">
        <v>324</v>
      </c>
      <c r="DW28" s="346" t="s">
        <v>324</v>
      </c>
      <c r="DX28" s="346" t="s">
        <v>324</v>
      </c>
      <c r="DY28" s="346"/>
      <c r="DZ28" s="346" t="s">
        <v>324</v>
      </c>
      <c r="EA28" s="346" t="s">
        <v>324</v>
      </c>
      <c r="EB28" s="346" t="s">
        <v>324</v>
      </c>
      <c r="EC28" s="346" t="s">
        <v>324</v>
      </c>
      <c r="ED28" s="346" t="s">
        <v>394</v>
      </c>
      <c r="EE28" s="346" t="s">
        <v>394</v>
      </c>
      <c r="EF28" s="346" t="s">
        <v>394</v>
      </c>
      <c r="EG28" s="346"/>
      <c r="EH28" s="346" t="s">
        <v>394</v>
      </c>
      <c r="EI28" s="346" t="s">
        <v>394</v>
      </c>
      <c r="EJ28" s="346" t="s">
        <v>394</v>
      </c>
      <c r="EK28" s="346" t="s">
        <v>394</v>
      </c>
      <c r="EL28" s="346" t="s">
        <v>394</v>
      </c>
      <c r="EM28" s="346" t="s">
        <v>394</v>
      </c>
      <c r="EN28" s="346" t="s">
        <v>394</v>
      </c>
      <c r="EO28" s="346"/>
      <c r="EP28" s="346" t="s">
        <v>394</v>
      </c>
      <c r="EQ28" s="346" t="s">
        <v>394</v>
      </c>
      <c r="ER28" s="346" t="s">
        <v>394</v>
      </c>
      <c r="ES28" s="346" t="s">
        <v>394</v>
      </c>
      <c r="ET28" s="346"/>
      <c r="EU28" s="346"/>
      <c r="EV28" s="346"/>
      <c r="EW28" s="346"/>
      <c r="EX28" s="346"/>
      <c r="EY28" s="346"/>
      <c r="EZ28" s="346"/>
      <c r="FA28" s="346"/>
      <c r="FB28" s="346" t="s">
        <v>394</v>
      </c>
      <c r="FC28" s="346" t="s">
        <v>394</v>
      </c>
      <c r="FD28" s="346" t="s">
        <v>394</v>
      </c>
      <c r="FE28" s="346" t="s">
        <v>394</v>
      </c>
      <c r="FF28" s="346" t="s">
        <v>394</v>
      </c>
      <c r="FG28" s="346" t="s">
        <v>394</v>
      </c>
      <c r="FH28" s="346" t="s">
        <v>394</v>
      </c>
      <c r="FI28" s="346" t="s">
        <v>394</v>
      </c>
      <c r="FJ28" s="346" t="s">
        <v>394</v>
      </c>
      <c r="FK28" s="346" t="s">
        <v>394</v>
      </c>
      <c r="FL28" s="346" t="s">
        <v>394</v>
      </c>
      <c r="FM28" s="346" t="s">
        <v>394</v>
      </c>
      <c r="FN28" s="346" t="s">
        <v>394</v>
      </c>
      <c r="FO28" s="346" t="s">
        <v>394</v>
      </c>
      <c r="FP28" s="346" t="s">
        <v>394</v>
      </c>
      <c r="FQ28" s="346" t="s">
        <v>394</v>
      </c>
    </row>
    <row r="29" spans="1:173" s="342" customFormat="1">
      <c r="A29" s="335" t="s">
        <v>773</v>
      </c>
      <c r="B29" s="346" t="s">
        <v>773</v>
      </c>
      <c r="C29" s="346" t="s">
        <v>221</v>
      </c>
      <c r="D29" s="346" t="s">
        <v>766</v>
      </c>
      <c r="E29" s="346" t="s">
        <v>2564</v>
      </c>
      <c r="F29" s="425" t="s">
        <v>785</v>
      </c>
      <c r="G29" s="346" t="s">
        <v>324</v>
      </c>
      <c r="H29" s="346" t="s">
        <v>324</v>
      </c>
      <c r="I29" s="346">
        <v>27</v>
      </c>
      <c r="J29" s="346">
        <v>26.5</v>
      </c>
      <c r="K29" s="422"/>
      <c r="L29" s="422"/>
      <c r="M29" s="422"/>
      <c r="N29" s="426" t="s">
        <v>786</v>
      </c>
      <c r="O29" s="346" t="s">
        <v>324</v>
      </c>
      <c r="P29" s="346" t="s">
        <v>770</v>
      </c>
      <c r="Q29" s="346" t="s">
        <v>324</v>
      </c>
      <c r="R29" s="346" t="s">
        <v>324</v>
      </c>
      <c r="S29" s="346" t="s">
        <v>775</v>
      </c>
      <c r="T29" s="346" t="s">
        <v>2942</v>
      </c>
      <c r="U29" s="346">
        <v>17</v>
      </c>
      <c r="V29" s="346" cm="1">
        <f t="array" ref="V29">IFERROR(INDEX('Offer Statistics'!$Q$2:$Q$500,MATCH(1,(B29='Offer Statistics'!$B$2:$B$500)*($B$11='Offer Statistics'!$K$2:$K$500),0)),"/")</f>
        <v>14</v>
      </c>
      <c r="W29" s="346" cm="1">
        <f t="array" ref="W29">IFERROR(INDEX('Offer Statistics'!$D$2:$D$500,MATCH(1,(B29='Offer Statistics'!$B$2:$B$500)*($B$11='Offer Statistics'!$K$2:$K$500),0)),"/")</f>
        <v>253</v>
      </c>
      <c r="X29" s="346" cm="1">
        <f t="array" ref="X29">IFERROR(INDEX('Offer Statistics'!$L$2:$L$500,MATCH(1,(B29='Offer Statistics'!$B$2:$B$500)*($B$11='Offer Statistics'!$K$2:$K$500),0)),"/")</f>
        <v>14</v>
      </c>
      <c r="Y29" s="346">
        <f t="shared" si="48"/>
        <v>18.071428571428573</v>
      </c>
      <c r="Z29" s="346" t="s">
        <v>2941</v>
      </c>
      <c r="AA29" s="346" t="str">
        <f>入學要求!AF38</f>
        <v>/</v>
      </c>
      <c r="AB29" s="346" t="str">
        <f>入學要求!AG38</f>
        <v>/</v>
      </c>
      <c r="AC29" s="425" t="s">
        <v>785</v>
      </c>
      <c r="AD29" s="346" t="s">
        <v>2945</v>
      </c>
      <c r="AE29" s="346" t="s">
        <v>2946</v>
      </c>
      <c r="AF29" s="426" t="s">
        <v>786</v>
      </c>
      <c r="AG29" s="428" t="s">
        <v>324</v>
      </c>
      <c r="AH29" s="346" t="s">
        <v>770</v>
      </c>
      <c r="AI29" s="346" t="s">
        <v>324</v>
      </c>
      <c r="AJ29" s="346" t="s">
        <v>324</v>
      </c>
      <c r="AK29" s="346" t="s">
        <v>714</v>
      </c>
      <c r="AL29" s="346" t="s">
        <v>771</v>
      </c>
      <c r="AM29" s="346" t="s">
        <v>772</v>
      </c>
      <c r="AN29" s="346" t="s">
        <v>394</v>
      </c>
      <c r="AO29" s="346" t="s">
        <v>394</v>
      </c>
      <c r="AP29" s="346" t="s">
        <v>394</v>
      </c>
      <c r="AQ29" s="346" t="s">
        <v>394</v>
      </c>
      <c r="AR29" s="346" t="s">
        <v>324</v>
      </c>
      <c r="AT29" s="346" t="s">
        <v>716</v>
      </c>
      <c r="AU29" s="346"/>
      <c r="AV29" s="346" t="s">
        <v>713</v>
      </c>
      <c r="AW29" s="346"/>
      <c r="AX29" s="346"/>
      <c r="AY29" s="346"/>
      <c r="AZ29" s="346" t="s">
        <v>324</v>
      </c>
      <c r="BA29" s="346" t="s">
        <v>324</v>
      </c>
      <c r="BB29" s="346" t="s">
        <v>324</v>
      </c>
      <c r="BC29" s="346"/>
      <c r="BD29" s="346" t="s">
        <v>324</v>
      </c>
      <c r="BE29" s="346" t="s">
        <v>324</v>
      </c>
      <c r="BF29" s="346" t="s">
        <v>324</v>
      </c>
      <c r="BG29" s="346" t="s">
        <v>324</v>
      </c>
      <c r="BH29" s="346" t="s">
        <v>773</v>
      </c>
      <c r="BI29" s="346" t="s">
        <v>324</v>
      </c>
      <c r="BJ29" s="346" t="s">
        <v>324</v>
      </c>
      <c r="BK29" s="346" t="s">
        <v>324</v>
      </c>
      <c r="BL29" s="346"/>
      <c r="BM29" s="346" t="s">
        <v>324</v>
      </c>
      <c r="BN29" s="346" t="s">
        <v>324</v>
      </c>
      <c r="BO29" s="346" t="s">
        <v>324</v>
      </c>
      <c r="BP29" s="346" t="s">
        <v>324</v>
      </c>
      <c r="BQ29" s="429">
        <f t="shared" si="49"/>
        <v>0</v>
      </c>
      <c r="BR29" s="429">
        <f t="shared" si="50"/>
        <v>0</v>
      </c>
      <c r="BS29" s="429">
        <f t="shared" si="51"/>
        <v>0</v>
      </c>
      <c r="BT29" s="429"/>
      <c r="BU29" s="429">
        <f t="shared" si="52"/>
        <v>0</v>
      </c>
      <c r="BV29" s="429">
        <f t="shared" si="53"/>
        <v>0</v>
      </c>
      <c r="BW29" s="429">
        <f t="shared" si="54"/>
        <v>0</v>
      </c>
      <c r="BX29" s="429">
        <f t="shared" si="55"/>
        <v>0</v>
      </c>
      <c r="BY29" s="346" t="s">
        <v>324</v>
      </c>
      <c r="BZ29" s="346" t="s">
        <v>324</v>
      </c>
      <c r="CA29" s="346" t="s">
        <v>324</v>
      </c>
      <c r="CB29" s="346"/>
      <c r="CC29" s="346" t="s">
        <v>324</v>
      </c>
      <c r="CD29" s="346" t="s">
        <v>324</v>
      </c>
      <c r="CE29" s="346" t="s">
        <v>324</v>
      </c>
      <c r="CF29" s="346" t="s">
        <v>324</v>
      </c>
      <c r="CG29" s="346" t="s">
        <v>324</v>
      </c>
      <c r="CH29" s="346" t="s">
        <v>324</v>
      </c>
      <c r="CI29" s="346" t="s">
        <v>324</v>
      </c>
      <c r="CJ29" s="346"/>
      <c r="CK29" s="346" t="s">
        <v>324</v>
      </c>
      <c r="CL29" s="346" t="s">
        <v>324</v>
      </c>
      <c r="CM29" s="346" t="s">
        <v>324</v>
      </c>
      <c r="CN29" s="346" t="s">
        <v>324</v>
      </c>
      <c r="CO29" s="346" t="s">
        <v>324</v>
      </c>
      <c r="CP29" s="346" t="s">
        <v>324</v>
      </c>
      <c r="CQ29" s="346" t="s">
        <v>324</v>
      </c>
      <c r="CR29" s="346"/>
      <c r="CS29" s="346" t="s">
        <v>324</v>
      </c>
      <c r="CT29" s="346" t="s">
        <v>324</v>
      </c>
      <c r="CU29" s="346" t="s">
        <v>324</v>
      </c>
      <c r="CV29" s="346" t="s">
        <v>324</v>
      </c>
      <c r="CW29" s="346"/>
      <c r="CX29" s="346" t="s">
        <v>324</v>
      </c>
      <c r="CY29" s="346" t="s">
        <v>324</v>
      </c>
      <c r="CZ29" s="346" t="s">
        <v>324</v>
      </c>
      <c r="DA29" s="346"/>
      <c r="DB29" s="346" t="s">
        <v>324</v>
      </c>
      <c r="DC29" s="346" t="s">
        <v>324</v>
      </c>
      <c r="DD29" s="346" t="s">
        <v>324</v>
      </c>
      <c r="DE29" s="346" t="s">
        <v>324</v>
      </c>
      <c r="DF29" s="429">
        <f t="shared" si="56"/>
        <v>0</v>
      </c>
      <c r="DG29" s="429">
        <f t="shared" si="57"/>
        <v>0</v>
      </c>
      <c r="DH29" s="429">
        <f t="shared" si="58"/>
        <v>0</v>
      </c>
      <c r="DI29" s="429"/>
      <c r="DJ29" s="429">
        <f t="shared" si="59"/>
        <v>0</v>
      </c>
      <c r="DK29" s="429">
        <f t="shared" si="60"/>
        <v>0</v>
      </c>
      <c r="DL29" s="429">
        <f t="shared" si="61"/>
        <v>0</v>
      </c>
      <c r="DM29" s="429">
        <f t="shared" si="62"/>
        <v>0</v>
      </c>
      <c r="DN29" s="346" t="s">
        <v>324</v>
      </c>
      <c r="DO29" s="346" t="s">
        <v>324</v>
      </c>
      <c r="DP29" s="346" t="s">
        <v>324</v>
      </c>
      <c r="DQ29" s="346"/>
      <c r="DR29" s="346" t="s">
        <v>324</v>
      </c>
      <c r="DS29" s="346" t="s">
        <v>324</v>
      </c>
      <c r="DT29" s="346" t="s">
        <v>324</v>
      </c>
      <c r="DU29" s="346" t="s">
        <v>324</v>
      </c>
      <c r="DV29" s="346" t="s">
        <v>324</v>
      </c>
      <c r="DW29" s="346" t="s">
        <v>324</v>
      </c>
      <c r="DX29" s="346" t="s">
        <v>324</v>
      </c>
      <c r="DY29" s="346"/>
      <c r="DZ29" s="346" t="s">
        <v>324</v>
      </c>
      <c r="EA29" s="346" t="s">
        <v>324</v>
      </c>
      <c r="EB29" s="346" t="s">
        <v>324</v>
      </c>
      <c r="EC29" s="346" t="s">
        <v>324</v>
      </c>
      <c r="ED29" s="346" t="s">
        <v>394</v>
      </c>
      <c r="EE29" s="346" t="s">
        <v>394</v>
      </c>
      <c r="EF29" s="346" t="s">
        <v>394</v>
      </c>
      <c r="EG29" s="346"/>
      <c r="EH29" s="346" t="s">
        <v>394</v>
      </c>
      <c r="EI29" s="346" t="s">
        <v>394</v>
      </c>
      <c r="EJ29" s="346" t="s">
        <v>394</v>
      </c>
      <c r="EK29" s="346" t="s">
        <v>394</v>
      </c>
      <c r="EL29" s="346" t="s">
        <v>394</v>
      </c>
      <c r="EM29" s="346" t="s">
        <v>394</v>
      </c>
      <c r="EN29" s="346" t="s">
        <v>394</v>
      </c>
      <c r="EO29" s="346"/>
      <c r="EP29" s="346" t="s">
        <v>394</v>
      </c>
      <c r="EQ29" s="346" t="s">
        <v>394</v>
      </c>
      <c r="ER29" s="346" t="s">
        <v>394</v>
      </c>
      <c r="ES29" s="346" t="s">
        <v>394</v>
      </c>
      <c r="ET29" s="346"/>
      <c r="EU29" s="346"/>
      <c r="EV29" s="346"/>
      <c r="EW29" s="346"/>
      <c r="EX29" s="346"/>
      <c r="EY29" s="346"/>
      <c r="EZ29" s="346"/>
      <c r="FA29" s="346"/>
      <c r="FB29" s="346" t="s">
        <v>394</v>
      </c>
      <c r="FC29" s="346" t="s">
        <v>394</v>
      </c>
      <c r="FD29" s="346" t="s">
        <v>394</v>
      </c>
      <c r="FE29" s="346" t="s">
        <v>394</v>
      </c>
      <c r="FF29" s="346" t="s">
        <v>394</v>
      </c>
      <c r="FG29" s="346" t="s">
        <v>394</v>
      </c>
      <c r="FH29" s="346" t="s">
        <v>394</v>
      </c>
      <c r="FI29" s="346" t="s">
        <v>394</v>
      </c>
      <c r="FJ29" s="346" t="s">
        <v>394</v>
      </c>
      <c r="FK29" s="346" t="s">
        <v>394</v>
      </c>
      <c r="FL29" s="346" t="s">
        <v>394</v>
      </c>
      <c r="FM29" s="346" t="s">
        <v>394</v>
      </c>
      <c r="FN29" s="346" t="s">
        <v>394</v>
      </c>
      <c r="FO29" s="346" t="s">
        <v>394</v>
      </c>
      <c r="FP29" s="346" t="s">
        <v>394</v>
      </c>
      <c r="FQ29" s="346" t="s">
        <v>394</v>
      </c>
    </row>
    <row r="30" spans="1:173" s="342" customFormat="1">
      <c r="A30" s="335" t="s">
        <v>776</v>
      </c>
      <c r="B30" s="346" t="s">
        <v>776</v>
      </c>
      <c r="C30" s="346" t="s">
        <v>221</v>
      </c>
      <c r="D30" s="346" t="s">
        <v>766</v>
      </c>
      <c r="E30" s="346" t="s">
        <v>2565</v>
      </c>
      <c r="F30" s="425" t="s">
        <v>785</v>
      </c>
      <c r="G30" s="346" t="s">
        <v>324</v>
      </c>
      <c r="H30" s="346" t="s">
        <v>324</v>
      </c>
      <c r="I30" s="346">
        <v>27</v>
      </c>
      <c r="J30" s="346">
        <v>25.5</v>
      </c>
      <c r="K30" s="422"/>
      <c r="L30" s="422"/>
      <c r="M30" s="422"/>
      <c r="N30" s="426" t="s">
        <v>886</v>
      </c>
      <c r="O30" s="346" t="s">
        <v>324</v>
      </c>
      <c r="P30" s="346" t="s">
        <v>770</v>
      </c>
      <c r="Q30" s="346" t="s">
        <v>780</v>
      </c>
      <c r="R30" s="346" t="s">
        <v>324</v>
      </c>
      <c r="S30" s="346" t="s">
        <v>779</v>
      </c>
      <c r="T30" s="346" t="s">
        <v>2942</v>
      </c>
      <c r="U30" s="346">
        <v>25</v>
      </c>
      <c r="V30" s="346" cm="1">
        <f t="array" ref="V30">IFERROR(INDEX('Offer Statistics'!$Q$2:$Q$500,MATCH(1,(B30='Offer Statistics'!$B$2:$B$500)*($B$11='Offer Statistics'!$K$2:$K$500),0)),"/")</f>
        <v>25</v>
      </c>
      <c r="W30" s="346" cm="1">
        <f t="array" ref="W30">IFERROR(INDEX('Offer Statistics'!$D$2:$D$500,MATCH(1,(B30='Offer Statistics'!$B$2:$B$500)*($B$11='Offer Statistics'!$K$2:$K$500),0)),"/")</f>
        <v>236</v>
      </c>
      <c r="X30" s="346" cm="1">
        <f t="array" ref="X30">IFERROR(INDEX('Offer Statistics'!$L$2:$L$500,MATCH(1,(B30='Offer Statistics'!$B$2:$B$500)*($B$11='Offer Statistics'!$K$2:$K$500),0)),"/")</f>
        <v>25</v>
      </c>
      <c r="Y30" s="346">
        <f t="shared" si="48"/>
        <v>9.44</v>
      </c>
      <c r="Z30" s="346" t="s">
        <v>2941</v>
      </c>
      <c r="AA30" s="346" t="str">
        <f>入學要求!AF39</f>
        <v>/</v>
      </c>
      <c r="AB30" s="346" t="str">
        <f>入學要求!AG39</f>
        <v>/</v>
      </c>
      <c r="AC30" s="425" t="s">
        <v>785</v>
      </c>
      <c r="AD30" s="346" t="s">
        <v>2945</v>
      </c>
      <c r="AE30" s="346" t="s">
        <v>2946</v>
      </c>
      <c r="AF30" s="426" t="s">
        <v>886</v>
      </c>
      <c r="AG30" s="428" t="s">
        <v>324</v>
      </c>
      <c r="AH30" s="346" t="s">
        <v>770</v>
      </c>
      <c r="AI30" s="346" t="s">
        <v>780</v>
      </c>
      <c r="AJ30" s="346" t="s">
        <v>324</v>
      </c>
      <c r="AK30" s="346" t="s">
        <v>714</v>
      </c>
      <c r="AL30" s="346" t="s">
        <v>771</v>
      </c>
      <c r="AM30" s="346" t="s">
        <v>772</v>
      </c>
      <c r="AN30" s="346" t="s">
        <v>394</v>
      </c>
      <c r="AO30" s="346" t="s">
        <v>394</v>
      </c>
      <c r="AP30" s="346" t="s">
        <v>394</v>
      </c>
      <c r="AQ30" s="346" t="s">
        <v>394</v>
      </c>
      <c r="AR30" s="346" t="s">
        <v>324</v>
      </c>
      <c r="AT30" s="346" t="s">
        <v>716</v>
      </c>
      <c r="AU30" s="346"/>
      <c r="AV30" s="346" t="s">
        <v>713</v>
      </c>
      <c r="AW30" s="346"/>
      <c r="AX30" s="346"/>
      <c r="AY30" s="346"/>
      <c r="AZ30" s="346" t="s">
        <v>324</v>
      </c>
      <c r="BA30" s="346" t="s">
        <v>324</v>
      </c>
      <c r="BB30" s="346" t="s">
        <v>324</v>
      </c>
      <c r="BC30" s="346"/>
      <c r="BD30" s="346" t="s">
        <v>324</v>
      </c>
      <c r="BE30" s="346" t="s">
        <v>324</v>
      </c>
      <c r="BF30" s="346" t="s">
        <v>324</v>
      </c>
      <c r="BG30" s="346" t="s">
        <v>324</v>
      </c>
      <c r="BH30" s="346" t="s">
        <v>776</v>
      </c>
      <c r="BI30" s="346" t="s">
        <v>324</v>
      </c>
      <c r="BJ30" s="346" t="s">
        <v>324</v>
      </c>
      <c r="BK30" s="346" t="s">
        <v>324</v>
      </c>
      <c r="BL30" s="346"/>
      <c r="BM30" s="346" t="s">
        <v>324</v>
      </c>
      <c r="BN30" s="346" t="s">
        <v>324</v>
      </c>
      <c r="BO30" s="346" t="s">
        <v>324</v>
      </c>
      <c r="BP30" s="346" t="s">
        <v>324</v>
      </c>
      <c r="BQ30" s="429">
        <f t="shared" si="49"/>
        <v>0</v>
      </c>
      <c r="BR30" s="429">
        <f t="shared" si="50"/>
        <v>0</v>
      </c>
      <c r="BS30" s="429">
        <f t="shared" si="51"/>
        <v>0</v>
      </c>
      <c r="BT30" s="429"/>
      <c r="BU30" s="429">
        <f t="shared" si="52"/>
        <v>0</v>
      </c>
      <c r="BV30" s="429">
        <f t="shared" si="53"/>
        <v>0</v>
      </c>
      <c r="BW30" s="429">
        <f t="shared" si="54"/>
        <v>0</v>
      </c>
      <c r="BX30" s="429">
        <f t="shared" si="55"/>
        <v>0</v>
      </c>
      <c r="BY30" s="346" t="s">
        <v>324</v>
      </c>
      <c r="BZ30" s="346" t="s">
        <v>324</v>
      </c>
      <c r="CA30" s="346" t="s">
        <v>324</v>
      </c>
      <c r="CB30" s="346"/>
      <c r="CC30" s="346" t="s">
        <v>324</v>
      </c>
      <c r="CD30" s="346" t="s">
        <v>324</v>
      </c>
      <c r="CE30" s="346" t="s">
        <v>324</v>
      </c>
      <c r="CF30" s="346" t="s">
        <v>324</v>
      </c>
      <c r="CG30" s="346" t="s">
        <v>324</v>
      </c>
      <c r="CH30" s="346" t="s">
        <v>324</v>
      </c>
      <c r="CI30" s="346" t="s">
        <v>324</v>
      </c>
      <c r="CJ30" s="346"/>
      <c r="CK30" s="346" t="s">
        <v>324</v>
      </c>
      <c r="CL30" s="346" t="s">
        <v>324</v>
      </c>
      <c r="CM30" s="346" t="s">
        <v>324</v>
      </c>
      <c r="CN30" s="346" t="s">
        <v>324</v>
      </c>
      <c r="CO30" s="346" t="s">
        <v>324</v>
      </c>
      <c r="CP30" s="346" t="s">
        <v>324</v>
      </c>
      <c r="CQ30" s="346" t="s">
        <v>324</v>
      </c>
      <c r="CR30" s="346"/>
      <c r="CS30" s="346" t="s">
        <v>324</v>
      </c>
      <c r="CT30" s="346" t="s">
        <v>324</v>
      </c>
      <c r="CU30" s="346" t="s">
        <v>324</v>
      </c>
      <c r="CV30" s="346" t="s">
        <v>324</v>
      </c>
      <c r="CW30" s="346"/>
      <c r="CX30" s="346" t="s">
        <v>324</v>
      </c>
      <c r="CY30" s="346" t="s">
        <v>324</v>
      </c>
      <c r="CZ30" s="346" t="s">
        <v>324</v>
      </c>
      <c r="DA30" s="346"/>
      <c r="DB30" s="346" t="s">
        <v>324</v>
      </c>
      <c r="DC30" s="346" t="s">
        <v>324</v>
      </c>
      <c r="DD30" s="346" t="s">
        <v>324</v>
      </c>
      <c r="DE30" s="346" t="s">
        <v>324</v>
      </c>
      <c r="DF30" s="429">
        <f t="shared" si="56"/>
        <v>0</v>
      </c>
      <c r="DG30" s="429">
        <f t="shared" si="57"/>
        <v>0</v>
      </c>
      <c r="DH30" s="429">
        <f t="shared" si="58"/>
        <v>0</v>
      </c>
      <c r="DI30" s="429"/>
      <c r="DJ30" s="429">
        <f t="shared" si="59"/>
        <v>0</v>
      </c>
      <c r="DK30" s="429">
        <f t="shared" si="60"/>
        <v>0</v>
      </c>
      <c r="DL30" s="429">
        <f t="shared" si="61"/>
        <v>0</v>
      </c>
      <c r="DM30" s="429">
        <f t="shared" si="62"/>
        <v>0</v>
      </c>
      <c r="DN30" s="346" t="s">
        <v>324</v>
      </c>
      <c r="DO30" s="346" t="s">
        <v>324</v>
      </c>
      <c r="DP30" s="346" t="s">
        <v>324</v>
      </c>
      <c r="DQ30" s="346"/>
      <c r="DR30" s="346" t="s">
        <v>324</v>
      </c>
      <c r="DS30" s="346" t="s">
        <v>324</v>
      </c>
      <c r="DT30" s="346" t="s">
        <v>324</v>
      </c>
      <c r="DU30" s="346" t="s">
        <v>324</v>
      </c>
      <c r="DV30" s="346" t="s">
        <v>324</v>
      </c>
      <c r="DW30" s="346" t="s">
        <v>324</v>
      </c>
      <c r="DX30" s="346" t="s">
        <v>324</v>
      </c>
      <c r="DY30" s="346"/>
      <c r="DZ30" s="346" t="s">
        <v>324</v>
      </c>
      <c r="EA30" s="346" t="s">
        <v>324</v>
      </c>
      <c r="EB30" s="346" t="s">
        <v>324</v>
      </c>
      <c r="EC30" s="346" t="s">
        <v>324</v>
      </c>
      <c r="ED30" s="346" t="s">
        <v>394</v>
      </c>
      <c r="EE30" s="346" t="s">
        <v>394</v>
      </c>
      <c r="EF30" s="346" t="s">
        <v>394</v>
      </c>
      <c r="EG30" s="346"/>
      <c r="EH30" s="346" t="s">
        <v>394</v>
      </c>
      <c r="EI30" s="346" t="s">
        <v>394</v>
      </c>
      <c r="EJ30" s="346" t="s">
        <v>394</v>
      </c>
      <c r="EK30" s="346" t="s">
        <v>394</v>
      </c>
      <c r="EL30" s="346" t="s">
        <v>394</v>
      </c>
      <c r="EM30" s="346" t="s">
        <v>394</v>
      </c>
      <c r="EN30" s="346" t="s">
        <v>394</v>
      </c>
      <c r="EO30" s="346"/>
      <c r="EP30" s="346" t="s">
        <v>394</v>
      </c>
      <c r="EQ30" s="346" t="s">
        <v>394</v>
      </c>
      <c r="ER30" s="346" t="s">
        <v>394</v>
      </c>
      <c r="ES30" s="346" t="s">
        <v>394</v>
      </c>
      <c r="ET30" s="346"/>
      <c r="EU30" s="346"/>
      <c r="EV30" s="346"/>
      <c r="EW30" s="346"/>
      <c r="EX30" s="346"/>
      <c r="EY30" s="346"/>
      <c r="EZ30" s="346"/>
      <c r="FA30" s="346"/>
      <c r="FB30" s="346" t="s">
        <v>394</v>
      </c>
      <c r="FC30" s="346" t="s">
        <v>394</v>
      </c>
      <c r="FD30" s="346" t="s">
        <v>394</v>
      </c>
      <c r="FE30" s="346" t="s">
        <v>394</v>
      </c>
      <c r="FF30" s="346" t="s">
        <v>394</v>
      </c>
      <c r="FG30" s="346" t="s">
        <v>394</v>
      </c>
      <c r="FH30" s="346" t="s">
        <v>394</v>
      </c>
      <c r="FI30" s="346" t="s">
        <v>394</v>
      </c>
      <c r="FJ30" s="346" t="s">
        <v>394</v>
      </c>
      <c r="FK30" s="346" t="s">
        <v>394</v>
      </c>
      <c r="FL30" s="346" t="s">
        <v>394</v>
      </c>
      <c r="FM30" s="346" t="s">
        <v>394</v>
      </c>
      <c r="FN30" s="346" t="s">
        <v>394</v>
      </c>
      <c r="FO30" s="346" t="s">
        <v>394</v>
      </c>
      <c r="FP30" s="346" t="s">
        <v>394</v>
      </c>
      <c r="FQ30" s="346" t="s">
        <v>394</v>
      </c>
    </row>
    <row r="31" spans="1:173" s="342" customFormat="1">
      <c r="A31" s="335" t="s">
        <v>781</v>
      </c>
      <c r="B31" s="346" t="s">
        <v>781</v>
      </c>
      <c r="C31" s="346" t="s">
        <v>221</v>
      </c>
      <c r="D31" s="346" t="s">
        <v>766</v>
      </c>
      <c r="E31" s="346" t="s">
        <v>2566</v>
      </c>
      <c r="F31" s="425" t="s">
        <v>785</v>
      </c>
      <c r="G31" s="346" t="s">
        <v>324</v>
      </c>
      <c r="H31" s="346" t="s">
        <v>324</v>
      </c>
      <c r="I31" s="346">
        <v>23.5</v>
      </c>
      <c r="J31" s="346">
        <v>23</v>
      </c>
      <c r="K31" s="422"/>
      <c r="L31" s="422"/>
      <c r="M31" s="422"/>
      <c r="N31" s="426" t="s">
        <v>786</v>
      </c>
      <c r="O31" s="346" t="s">
        <v>324</v>
      </c>
      <c r="P31" s="346" t="s">
        <v>770</v>
      </c>
      <c r="Q31" s="346" t="s">
        <v>324</v>
      </c>
      <c r="R31" s="346" t="s">
        <v>324</v>
      </c>
      <c r="S31" s="346" t="s">
        <v>784</v>
      </c>
      <c r="T31" s="346" t="s">
        <v>2942</v>
      </c>
      <c r="U31" s="346">
        <v>17</v>
      </c>
      <c r="V31" s="346" cm="1">
        <f t="array" ref="V31">IFERROR(INDEX('Offer Statistics'!$Q$2:$Q$500,MATCH(1,(B31='Offer Statistics'!$B$2:$B$500)*($B$11='Offer Statistics'!$K$2:$K$500),0)),"/")</f>
        <v>18</v>
      </c>
      <c r="W31" s="346" cm="1">
        <f t="array" ref="W31">IFERROR(INDEX('Offer Statistics'!$D$2:$D$500,MATCH(1,(B31='Offer Statistics'!$B$2:$B$500)*($B$11='Offer Statistics'!$K$2:$K$500),0)),"/")</f>
        <v>179</v>
      </c>
      <c r="X31" s="346" cm="1">
        <f t="array" ref="X31">IFERROR(INDEX('Offer Statistics'!$L$2:$L$500,MATCH(1,(B31='Offer Statistics'!$B$2:$B$500)*($B$11='Offer Statistics'!$K$2:$K$500),0)),"/")</f>
        <v>18</v>
      </c>
      <c r="Y31" s="346">
        <f t="shared" si="48"/>
        <v>9.9444444444444446</v>
      </c>
      <c r="Z31" s="346" t="s">
        <v>2941</v>
      </c>
      <c r="AA31" s="346" t="str">
        <f>入學要求!AF40</f>
        <v>/</v>
      </c>
      <c r="AB31" s="346" t="str">
        <f>入學要求!AG40</f>
        <v>/</v>
      </c>
      <c r="AC31" s="425" t="s">
        <v>785</v>
      </c>
      <c r="AD31" s="346" t="s">
        <v>2945</v>
      </c>
      <c r="AE31" s="346" t="s">
        <v>2946</v>
      </c>
      <c r="AF31" s="426" t="s">
        <v>786</v>
      </c>
      <c r="AG31" s="428" t="s">
        <v>324</v>
      </c>
      <c r="AH31" s="346" t="s">
        <v>770</v>
      </c>
      <c r="AI31" s="346" t="s">
        <v>324</v>
      </c>
      <c r="AJ31" s="346" t="s">
        <v>324</v>
      </c>
      <c r="AK31" s="346" t="s">
        <v>714</v>
      </c>
      <c r="AL31" s="346" t="s">
        <v>771</v>
      </c>
      <c r="AM31" s="346" t="s">
        <v>772</v>
      </c>
      <c r="AN31" s="346" t="s">
        <v>394</v>
      </c>
      <c r="AO31" s="346" t="s">
        <v>394</v>
      </c>
      <c r="AP31" s="346" t="s">
        <v>394</v>
      </c>
      <c r="AQ31" s="346" t="s">
        <v>394</v>
      </c>
      <c r="AR31" s="346" t="s">
        <v>324</v>
      </c>
      <c r="AT31" s="346" t="s">
        <v>716</v>
      </c>
      <c r="AU31" s="346"/>
      <c r="AV31" s="346" t="s">
        <v>713</v>
      </c>
      <c r="AW31" s="346"/>
      <c r="AX31" s="346"/>
      <c r="AY31" s="346"/>
      <c r="AZ31" s="346" t="s">
        <v>324</v>
      </c>
      <c r="BA31" s="346" t="s">
        <v>324</v>
      </c>
      <c r="BB31" s="346" t="s">
        <v>324</v>
      </c>
      <c r="BC31" s="346"/>
      <c r="BD31" s="346" t="s">
        <v>324</v>
      </c>
      <c r="BE31" s="346" t="s">
        <v>324</v>
      </c>
      <c r="BF31" s="346" t="s">
        <v>324</v>
      </c>
      <c r="BG31" s="346" t="s">
        <v>324</v>
      </c>
      <c r="BH31" s="346" t="s">
        <v>781</v>
      </c>
      <c r="BI31" s="346" t="s">
        <v>324</v>
      </c>
      <c r="BJ31" s="346" t="s">
        <v>324</v>
      </c>
      <c r="BK31" s="346" t="s">
        <v>324</v>
      </c>
      <c r="BL31" s="346"/>
      <c r="BM31" s="346" t="s">
        <v>324</v>
      </c>
      <c r="BN31" s="346" t="s">
        <v>324</v>
      </c>
      <c r="BO31" s="346" t="s">
        <v>324</v>
      </c>
      <c r="BP31" s="346" t="s">
        <v>324</v>
      </c>
      <c r="BQ31" s="429">
        <f t="shared" si="49"/>
        <v>0</v>
      </c>
      <c r="BR31" s="429">
        <f t="shared" si="50"/>
        <v>0</v>
      </c>
      <c r="BS31" s="429">
        <f t="shared" si="51"/>
        <v>0</v>
      </c>
      <c r="BT31" s="429"/>
      <c r="BU31" s="429">
        <f t="shared" si="52"/>
        <v>0</v>
      </c>
      <c r="BV31" s="429">
        <f t="shared" si="53"/>
        <v>0</v>
      </c>
      <c r="BW31" s="429">
        <f t="shared" si="54"/>
        <v>0</v>
      </c>
      <c r="BX31" s="429">
        <f t="shared" si="55"/>
        <v>0</v>
      </c>
      <c r="BY31" s="346" t="s">
        <v>324</v>
      </c>
      <c r="BZ31" s="346" t="s">
        <v>324</v>
      </c>
      <c r="CA31" s="346" t="s">
        <v>324</v>
      </c>
      <c r="CB31" s="346"/>
      <c r="CC31" s="346" t="s">
        <v>324</v>
      </c>
      <c r="CD31" s="346" t="s">
        <v>324</v>
      </c>
      <c r="CE31" s="346" t="s">
        <v>324</v>
      </c>
      <c r="CF31" s="346" t="s">
        <v>324</v>
      </c>
      <c r="CG31" s="346" t="s">
        <v>324</v>
      </c>
      <c r="CH31" s="346" t="s">
        <v>324</v>
      </c>
      <c r="CI31" s="346" t="s">
        <v>324</v>
      </c>
      <c r="CJ31" s="346"/>
      <c r="CK31" s="346" t="s">
        <v>324</v>
      </c>
      <c r="CL31" s="346" t="s">
        <v>324</v>
      </c>
      <c r="CM31" s="346" t="s">
        <v>324</v>
      </c>
      <c r="CN31" s="346" t="s">
        <v>324</v>
      </c>
      <c r="CO31" s="346" t="s">
        <v>324</v>
      </c>
      <c r="CP31" s="346" t="s">
        <v>324</v>
      </c>
      <c r="CQ31" s="346" t="s">
        <v>324</v>
      </c>
      <c r="CR31" s="346"/>
      <c r="CS31" s="346" t="s">
        <v>324</v>
      </c>
      <c r="CT31" s="346" t="s">
        <v>324</v>
      </c>
      <c r="CU31" s="346" t="s">
        <v>324</v>
      </c>
      <c r="CV31" s="346" t="s">
        <v>324</v>
      </c>
      <c r="CW31" s="346"/>
      <c r="CX31" s="346" t="s">
        <v>324</v>
      </c>
      <c r="CY31" s="346" t="s">
        <v>324</v>
      </c>
      <c r="CZ31" s="346" t="s">
        <v>324</v>
      </c>
      <c r="DA31" s="346"/>
      <c r="DB31" s="346" t="s">
        <v>324</v>
      </c>
      <c r="DC31" s="346" t="s">
        <v>324</v>
      </c>
      <c r="DD31" s="346" t="s">
        <v>324</v>
      </c>
      <c r="DE31" s="346" t="s">
        <v>324</v>
      </c>
      <c r="DF31" s="429">
        <f t="shared" si="56"/>
        <v>0</v>
      </c>
      <c r="DG31" s="429">
        <f t="shared" si="57"/>
        <v>0</v>
      </c>
      <c r="DH31" s="429">
        <f t="shared" si="58"/>
        <v>0</v>
      </c>
      <c r="DI31" s="429"/>
      <c r="DJ31" s="429">
        <f t="shared" si="59"/>
        <v>0</v>
      </c>
      <c r="DK31" s="429">
        <f t="shared" si="60"/>
        <v>0</v>
      </c>
      <c r="DL31" s="429">
        <f t="shared" si="61"/>
        <v>0</v>
      </c>
      <c r="DM31" s="429">
        <f t="shared" si="62"/>
        <v>0</v>
      </c>
      <c r="DN31" s="346" t="s">
        <v>324</v>
      </c>
      <c r="DO31" s="346" t="s">
        <v>324</v>
      </c>
      <c r="DP31" s="346" t="s">
        <v>324</v>
      </c>
      <c r="DQ31" s="346"/>
      <c r="DR31" s="346" t="s">
        <v>324</v>
      </c>
      <c r="DS31" s="346" t="s">
        <v>324</v>
      </c>
      <c r="DT31" s="346" t="s">
        <v>324</v>
      </c>
      <c r="DU31" s="346" t="s">
        <v>324</v>
      </c>
      <c r="DV31" s="346" t="s">
        <v>324</v>
      </c>
      <c r="DW31" s="346" t="s">
        <v>324</v>
      </c>
      <c r="DX31" s="346" t="s">
        <v>324</v>
      </c>
      <c r="DY31" s="346"/>
      <c r="DZ31" s="346" t="s">
        <v>324</v>
      </c>
      <c r="EA31" s="346" t="s">
        <v>324</v>
      </c>
      <c r="EB31" s="346" t="s">
        <v>324</v>
      </c>
      <c r="EC31" s="346" t="s">
        <v>324</v>
      </c>
      <c r="ED31" s="346" t="s">
        <v>394</v>
      </c>
      <c r="EE31" s="346" t="s">
        <v>394</v>
      </c>
      <c r="EF31" s="346" t="s">
        <v>394</v>
      </c>
      <c r="EG31" s="346"/>
      <c r="EH31" s="346" t="s">
        <v>394</v>
      </c>
      <c r="EI31" s="346" t="s">
        <v>394</v>
      </c>
      <c r="EJ31" s="346" t="s">
        <v>394</v>
      </c>
      <c r="EK31" s="346" t="s">
        <v>394</v>
      </c>
      <c r="EL31" s="346" t="s">
        <v>394</v>
      </c>
      <c r="EM31" s="346" t="s">
        <v>394</v>
      </c>
      <c r="EN31" s="346" t="s">
        <v>394</v>
      </c>
      <c r="EO31" s="346"/>
      <c r="EP31" s="346" t="s">
        <v>394</v>
      </c>
      <c r="EQ31" s="346" t="s">
        <v>394</v>
      </c>
      <c r="ER31" s="346" t="s">
        <v>394</v>
      </c>
      <c r="ES31" s="346" t="s">
        <v>394</v>
      </c>
      <c r="ET31" s="346"/>
      <c r="EU31" s="346"/>
      <c r="EV31" s="346"/>
      <c r="EW31" s="346"/>
      <c r="EX31" s="346"/>
      <c r="EY31" s="346"/>
      <c r="EZ31" s="346"/>
      <c r="FA31" s="346"/>
      <c r="FB31" s="346" t="s">
        <v>394</v>
      </c>
      <c r="FC31" s="346" t="s">
        <v>394</v>
      </c>
      <c r="FD31" s="346" t="s">
        <v>394</v>
      </c>
      <c r="FE31" s="346" t="s">
        <v>394</v>
      </c>
      <c r="FF31" s="346" t="s">
        <v>394</v>
      </c>
      <c r="FG31" s="346" t="s">
        <v>394</v>
      </c>
      <c r="FH31" s="346" t="s">
        <v>394</v>
      </c>
      <c r="FI31" s="346" t="s">
        <v>394</v>
      </c>
      <c r="FJ31" s="346" t="s">
        <v>394</v>
      </c>
      <c r="FK31" s="346" t="s">
        <v>394</v>
      </c>
      <c r="FL31" s="346" t="s">
        <v>394</v>
      </c>
      <c r="FM31" s="346" t="s">
        <v>394</v>
      </c>
      <c r="FN31" s="346" t="s">
        <v>394</v>
      </c>
      <c r="FO31" s="346" t="s">
        <v>394</v>
      </c>
      <c r="FP31" s="346" t="s">
        <v>394</v>
      </c>
      <c r="FQ31" s="346" t="s">
        <v>394</v>
      </c>
    </row>
    <row r="32" spans="1:173" s="342" customFormat="1">
      <c r="A32" s="335" t="s">
        <v>2567</v>
      </c>
      <c r="B32" s="346" t="s">
        <v>2567</v>
      </c>
      <c r="C32" s="346" t="s">
        <v>221</v>
      </c>
      <c r="D32" s="346" t="s">
        <v>788</v>
      </c>
      <c r="E32" s="346" t="s">
        <v>2569</v>
      </c>
      <c r="F32" s="425" t="s">
        <v>2940</v>
      </c>
      <c r="G32" s="346" t="s">
        <v>324</v>
      </c>
      <c r="H32" s="346" t="s">
        <v>324</v>
      </c>
      <c r="I32" s="346" t="s">
        <v>324</v>
      </c>
      <c r="J32" s="346" t="s">
        <v>324</v>
      </c>
      <c r="K32" s="346"/>
      <c r="L32" s="346"/>
      <c r="M32" s="346"/>
      <c r="N32" s="346" t="s">
        <v>324</v>
      </c>
      <c r="O32" s="346" t="s">
        <v>324</v>
      </c>
      <c r="P32" s="346" t="s">
        <v>324</v>
      </c>
      <c r="Q32" s="346" t="s">
        <v>324</v>
      </c>
      <c r="R32" s="346" t="s">
        <v>324</v>
      </c>
      <c r="S32" s="346" t="s">
        <v>2568</v>
      </c>
      <c r="T32" s="346" t="s">
        <v>2942</v>
      </c>
      <c r="U32" s="346">
        <v>10</v>
      </c>
      <c r="V32" s="346" t="str" cm="1">
        <f t="array" ref="V32">IFERROR(INDEX('Offer Statistics'!$Q$2:$Q$500,MATCH(1,(B32='Offer Statistics'!$B$2:$B$500)*($B$11='Offer Statistics'!$K$2:$K$500),0)),"/")</f>
        <v>/</v>
      </c>
      <c r="W32" s="346" t="str" cm="1">
        <f t="array" ref="W32">IFERROR(INDEX('Offer Statistics'!$D$2:$D$500,MATCH(1,(B32='Offer Statistics'!$B$2:$B$500)*($B$11='Offer Statistics'!$K$2:$K$500),0)),"/")</f>
        <v>/</v>
      </c>
      <c r="X32" s="346" t="str" cm="1">
        <f t="array" ref="X32">IFERROR(INDEX('Offer Statistics'!$L$2:$L$500,MATCH(1,(B32='Offer Statistics'!$B$2:$B$500)*($B$11='Offer Statistics'!$K$2:$K$500),0)),"/")</f>
        <v>/</v>
      </c>
      <c r="Y32" s="346" t="str">
        <f t="shared" si="48"/>
        <v>新科目</v>
      </c>
      <c r="Z32" s="346" t="s">
        <v>2941</v>
      </c>
      <c r="AA32" s="346" t="str">
        <f>入學要求!AF41</f>
        <v>以下一科選修取得Lv.3︰生物、化學、物理</v>
      </c>
      <c r="AB32" s="346" t="str">
        <f>入學要求!AG41</f>
        <v>/</v>
      </c>
      <c r="AC32" s="425" t="s">
        <v>785</v>
      </c>
      <c r="AD32" s="346" t="s">
        <v>2945</v>
      </c>
      <c r="AE32" s="346" t="s">
        <v>2946</v>
      </c>
      <c r="AF32" s="346" t="s">
        <v>790</v>
      </c>
      <c r="AG32" s="346" t="s">
        <v>2274</v>
      </c>
      <c r="AH32" s="346" t="s">
        <v>792</v>
      </c>
      <c r="AI32" s="426" t="s">
        <v>2275</v>
      </c>
      <c r="AJ32" s="426" t="s">
        <v>2276</v>
      </c>
      <c r="AK32" s="346" t="s">
        <v>793</v>
      </c>
      <c r="AL32" s="346" t="s">
        <v>794</v>
      </c>
      <c r="AM32" s="346" t="s">
        <v>324</v>
      </c>
      <c r="AN32" s="346" t="s">
        <v>394</v>
      </c>
      <c r="AO32" s="346" t="s">
        <v>394</v>
      </c>
      <c r="AP32" s="346" t="s">
        <v>394</v>
      </c>
      <c r="AQ32" s="346" t="s">
        <v>394</v>
      </c>
      <c r="AR32" s="346" t="s">
        <v>324</v>
      </c>
      <c r="AT32" s="346" t="s">
        <v>716</v>
      </c>
      <c r="AU32" s="346"/>
      <c r="AV32" s="346" t="s">
        <v>713</v>
      </c>
      <c r="AW32" s="346"/>
      <c r="AX32" s="346"/>
      <c r="AY32" s="346"/>
      <c r="AZ32" s="346" t="s">
        <v>324</v>
      </c>
      <c r="BA32" s="346" t="s">
        <v>324</v>
      </c>
      <c r="BB32" s="346" t="s">
        <v>324</v>
      </c>
      <c r="BC32" s="346"/>
      <c r="BD32" s="346" t="s">
        <v>324</v>
      </c>
      <c r="BE32" s="346" t="s">
        <v>324</v>
      </c>
      <c r="BF32" s="346" t="s">
        <v>324</v>
      </c>
      <c r="BG32" s="346" t="s">
        <v>324</v>
      </c>
      <c r="BH32" s="346" t="s">
        <v>2567</v>
      </c>
      <c r="BI32" s="346" t="s">
        <v>324</v>
      </c>
      <c r="BJ32" s="346" t="s">
        <v>324</v>
      </c>
      <c r="BK32" s="346" t="s">
        <v>324</v>
      </c>
      <c r="BL32" s="346"/>
      <c r="BM32" s="346" t="s">
        <v>324</v>
      </c>
      <c r="BN32" s="346" t="s">
        <v>324</v>
      </c>
      <c r="BO32" s="346" t="s">
        <v>324</v>
      </c>
      <c r="BP32" s="346" t="s">
        <v>324</v>
      </c>
      <c r="BQ32" s="429"/>
      <c r="BR32" s="429"/>
      <c r="BS32" s="429"/>
      <c r="BT32" s="429"/>
      <c r="BU32" s="429"/>
      <c r="BV32" s="429"/>
      <c r="BW32" s="429"/>
      <c r="BX32" s="429"/>
      <c r="BY32" s="346" t="s">
        <v>324</v>
      </c>
      <c r="BZ32" s="346" t="s">
        <v>324</v>
      </c>
      <c r="CA32" s="346" t="s">
        <v>324</v>
      </c>
      <c r="CB32" s="346"/>
      <c r="CC32" s="346" t="s">
        <v>324</v>
      </c>
      <c r="CD32" s="346" t="s">
        <v>324</v>
      </c>
      <c r="CE32" s="346" t="s">
        <v>324</v>
      </c>
      <c r="CF32" s="346" t="s">
        <v>324</v>
      </c>
      <c r="CG32" s="346" t="s">
        <v>324</v>
      </c>
      <c r="CH32" s="346" t="s">
        <v>324</v>
      </c>
      <c r="CI32" s="346" t="s">
        <v>324</v>
      </c>
      <c r="CJ32" s="346"/>
      <c r="CK32" s="346" t="s">
        <v>324</v>
      </c>
      <c r="CL32" s="346" t="s">
        <v>324</v>
      </c>
      <c r="CM32" s="346" t="s">
        <v>324</v>
      </c>
      <c r="CN32" s="346" t="s">
        <v>324</v>
      </c>
      <c r="CO32" s="346" t="s">
        <v>324</v>
      </c>
      <c r="CP32" s="346" t="s">
        <v>324</v>
      </c>
      <c r="CQ32" s="346" t="s">
        <v>324</v>
      </c>
      <c r="CR32" s="346"/>
      <c r="CS32" s="346" t="s">
        <v>324</v>
      </c>
      <c r="CT32" s="346" t="s">
        <v>324</v>
      </c>
      <c r="CU32" s="346" t="s">
        <v>324</v>
      </c>
      <c r="CV32" s="346" t="s">
        <v>324</v>
      </c>
      <c r="CW32" s="346"/>
      <c r="CX32" s="346" t="s">
        <v>324</v>
      </c>
      <c r="CY32" s="346" t="s">
        <v>324</v>
      </c>
      <c r="CZ32" s="346" t="s">
        <v>324</v>
      </c>
      <c r="DA32" s="346"/>
      <c r="DB32" s="346" t="s">
        <v>324</v>
      </c>
      <c r="DC32" s="346" t="s">
        <v>324</v>
      </c>
      <c r="DD32" s="346" t="s">
        <v>324</v>
      </c>
      <c r="DE32" s="346" t="s">
        <v>324</v>
      </c>
      <c r="DF32" s="429"/>
      <c r="DG32" s="429"/>
      <c r="DH32" s="429"/>
      <c r="DI32" s="429"/>
      <c r="DJ32" s="429"/>
      <c r="DK32" s="429"/>
      <c r="DL32" s="429"/>
      <c r="DM32" s="429"/>
      <c r="DN32" s="346" t="s">
        <v>324</v>
      </c>
      <c r="DO32" s="346" t="s">
        <v>324</v>
      </c>
      <c r="DP32" s="346" t="s">
        <v>324</v>
      </c>
      <c r="DQ32" s="346"/>
      <c r="DR32" s="346" t="s">
        <v>324</v>
      </c>
      <c r="DS32" s="346" t="s">
        <v>324</v>
      </c>
      <c r="DT32" s="346" t="s">
        <v>324</v>
      </c>
      <c r="DU32" s="346" t="s">
        <v>324</v>
      </c>
      <c r="DV32" s="346" t="s">
        <v>324</v>
      </c>
      <c r="DW32" s="346" t="s">
        <v>324</v>
      </c>
      <c r="DX32" s="346" t="s">
        <v>324</v>
      </c>
      <c r="DY32" s="346"/>
      <c r="DZ32" s="346" t="s">
        <v>324</v>
      </c>
      <c r="EA32" s="346" t="s">
        <v>324</v>
      </c>
      <c r="EB32" s="346" t="s">
        <v>324</v>
      </c>
      <c r="EC32" s="346" t="s">
        <v>324</v>
      </c>
      <c r="ED32" s="346"/>
      <c r="EE32" s="346"/>
      <c r="EF32" s="346"/>
      <c r="EG32" s="346"/>
      <c r="EH32" s="346"/>
      <c r="EI32" s="346"/>
      <c r="EJ32" s="346"/>
      <c r="EK32" s="346"/>
      <c r="EL32" s="346"/>
      <c r="EM32" s="346"/>
      <c r="EN32" s="346"/>
      <c r="EO32" s="346"/>
      <c r="EP32" s="346"/>
      <c r="EQ32" s="346"/>
      <c r="ER32" s="346"/>
      <c r="ES32" s="346"/>
      <c r="ET32" s="346"/>
      <c r="EU32" s="346"/>
      <c r="EV32" s="346"/>
      <c r="EW32" s="346"/>
      <c r="EX32" s="346"/>
      <c r="EY32" s="346"/>
      <c r="EZ32" s="346"/>
      <c r="FA32" s="346"/>
      <c r="FB32" s="346"/>
      <c r="FC32" s="346"/>
      <c r="FD32" s="346"/>
      <c r="FE32" s="346"/>
      <c r="FF32" s="346"/>
      <c r="FG32" s="346"/>
      <c r="FH32" s="346"/>
      <c r="FI32" s="346"/>
      <c r="FJ32" s="346"/>
      <c r="FK32" s="346"/>
      <c r="FL32" s="346"/>
      <c r="FM32" s="346"/>
      <c r="FN32" s="346"/>
      <c r="FO32" s="346"/>
      <c r="FP32" s="346"/>
      <c r="FQ32" s="346"/>
    </row>
    <row r="33" spans="1:173" s="342" customFormat="1">
      <c r="A33" s="335" t="s">
        <v>787</v>
      </c>
      <c r="B33" s="346" t="s">
        <v>787</v>
      </c>
      <c r="C33" s="346" t="s">
        <v>221</v>
      </c>
      <c r="D33" s="346" t="s">
        <v>788</v>
      </c>
      <c r="E33" s="346" t="s">
        <v>2570</v>
      </c>
      <c r="F33" s="425" t="s">
        <v>785</v>
      </c>
      <c r="G33" s="346" t="s">
        <v>324</v>
      </c>
      <c r="H33" s="346" t="s">
        <v>324</v>
      </c>
      <c r="I33" s="346">
        <v>37.5</v>
      </c>
      <c r="J33" s="346">
        <v>36.5</v>
      </c>
      <c r="K33" s="422"/>
      <c r="L33" s="422"/>
      <c r="M33" s="422"/>
      <c r="N33" s="346" t="s">
        <v>790</v>
      </c>
      <c r="O33" s="346" t="s">
        <v>2274</v>
      </c>
      <c r="P33" s="346" t="s">
        <v>792</v>
      </c>
      <c r="Q33" s="426" t="s">
        <v>2275</v>
      </c>
      <c r="R33" s="426" t="s">
        <v>2276</v>
      </c>
      <c r="S33" s="346" t="s">
        <v>791</v>
      </c>
      <c r="T33" s="346" t="s">
        <v>2942</v>
      </c>
      <c r="U33" s="346">
        <v>32</v>
      </c>
      <c r="V33" s="346" cm="1">
        <f t="array" ref="V33">IFERROR(INDEX('Offer Statistics'!$Q$2:$Q$500,MATCH(1,(B33='Offer Statistics'!$B$2:$B$500)*($B$11='Offer Statistics'!$K$2:$K$500),0)),"/")</f>
        <v>54</v>
      </c>
      <c r="W33" s="346" cm="1">
        <f t="array" ref="W33">IFERROR(INDEX('Offer Statistics'!$D$2:$D$500,MATCH(1,(B33='Offer Statistics'!$B$2:$B$500)*($B$11='Offer Statistics'!$K$2:$K$500),0)),"/")</f>
        <v>389</v>
      </c>
      <c r="X33" s="346" cm="1">
        <f t="array" ref="X33">IFERROR(INDEX('Offer Statistics'!$L$2:$L$500,MATCH(1,(B33='Offer Statistics'!$B$2:$B$500)*($B$11='Offer Statistics'!$K$2:$K$500),0)),"/")</f>
        <v>41</v>
      </c>
      <c r="Y33" s="346">
        <f t="shared" si="48"/>
        <v>9.4878048780487809</v>
      </c>
      <c r="Z33" s="346" t="s">
        <v>2941</v>
      </c>
      <c r="AA33" s="346" t="str">
        <f>入學要求!AF42</f>
        <v>以下一科選修取得Lv.3︰生物、化學、物理</v>
      </c>
      <c r="AB33" s="346" t="str">
        <f>入學要求!AG42</f>
        <v>/</v>
      </c>
      <c r="AC33" s="425" t="s">
        <v>785</v>
      </c>
      <c r="AD33" s="346" t="s">
        <v>2945</v>
      </c>
      <c r="AE33" s="346" t="s">
        <v>2946</v>
      </c>
      <c r="AF33" s="346" t="s">
        <v>790</v>
      </c>
      <c r="AG33" s="346" t="s">
        <v>2274</v>
      </c>
      <c r="AH33" s="346" t="s">
        <v>792</v>
      </c>
      <c r="AI33" s="426" t="s">
        <v>2275</v>
      </c>
      <c r="AJ33" s="426" t="s">
        <v>2276</v>
      </c>
      <c r="AK33" s="346" t="s">
        <v>793</v>
      </c>
      <c r="AL33" s="346" t="s">
        <v>794</v>
      </c>
      <c r="AM33" s="346" t="s">
        <v>324</v>
      </c>
      <c r="AN33" s="346" t="s">
        <v>394</v>
      </c>
      <c r="AO33" s="346" t="s">
        <v>394</v>
      </c>
      <c r="AP33" s="346" t="s">
        <v>394</v>
      </c>
      <c r="AQ33" s="346" t="s">
        <v>394</v>
      </c>
      <c r="AR33" s="346" t="s">
        <v>324</v>
      </c>
      <c r="AT33" s="346" t="s">
        <v>716</v>
      </c>
      <c r="AU33" s="346"/>
      <c r="AV33" s="346" t="s">
        <v>713</v>
      </c>
      <c r="AW33" s="346"/>
      <c r="AX33" s="346"/>
      <c r="AY33" s="346"/>
      <c r="AZ33" s="346" t="s">
        <v>324</v>
      </c>
      <c r="BA33" s="346" t="s">
        <v>324</v>
      </c>
      <c r="BB33" s="346" t="s">
        <v>324</v>
      </c>
      <c r="BC33" s="346"/>
      <c r="BD33" s="346" t="s">
        <v>324</v>
      </c>
      <c r="BE33" s="346" t="s">
        <v>324</v>
      </c>
      <c r="BF33" s="346" t="s">
        <v>324</v>
      </c>
      <c r="BG33" s="346" t="s">
        <v>324</v>
      </c>
      <c r="BH33" s="346" t="s">
        <v>787</v>
      </c>
      <c r="BI33" s="346" t="s">
        <v>324</v>
      </c>
      <c r="BJ33" s="346" t="s">
        <v>324</v>
      </c>
      <c r="BK33" s="346" t="s">
        <v>324</v>
      </c>
      <c r="BL33" s="346"/>
      <c r="BM33" s="346" t="s">
        <v>324</v>
      </c>
      <c r="BN33" s="346" t="s">
        <v>324</v>
      </c>
      <c r="BO33" s="346" t="s">
        <v>324</v>
      </c>
      <c r="BP33" s="346" t="s">
        <v>324</v>
      </c>
      <c r="BQ33" s="429">
        <f t="shared" si="49"/>
        <v>0</v>
      </c>
      <c r="BR33" s="429">
        <f t="shared" si="50"/>
        <v>0</v>
      </c>
      <c r="BS33" s="429">
        <f t="shared" si="51"/>
        <v>0</v>
      </c>
      <c r="BT33" s="429"/>
      <c r="BU33" s="429">
        <f t="shared" si="52"/>
        <v>0</v>
      </c>
      <c r="BV33" s="429">
        <f t="shared" si="53"/>
        <v>0</v>
      </c>
      <c r="BW33" s="429">
        <f t="shared" si="54"/>
        <v>0</v>
      </c>
      <c r="BX33" s="429">
        <f t="shared" si="55"/>
        <v>0</v>
      </c>
      <c r="BY33" s="346" t="s">
        <v>324</v>
      </c>
      <c r="BZ33" s="346" t="s">
        <v>324</v>
      </c>
      <c r="CA33" s="346" t="s">
        <v>324</v>
      </c>
      <c r="CB33" s="346"/>
      <c r="CC33" s="346" t="s">
        <v>324</v>
      </c>
      <c r="CD33" s="346" t="s">
        <v>324</v>
      </c>
      <c r="CE33" s="346" t="s">
        <v>324</v>
      </c>
      <c r="CF33" s="346" t="s">
        <v>324</v>
      </c>
      <c r="CG33" s="346" t="s">
        <v>324</v>
      </c>
      <c r="CH33" s="346" t="s">
        <v>324</v>
      </c>
      <c r="CI33" s="346" t="s">
        <v>324</v>
      </c>
      <c r="CJ33" s="346"/>
      <c r="CK33" s="346" t="s">
        <v>324</v>
      </c>
      <c r="CL33" s="346" t="s">
        <v>324</v>
      </c>
      <c r="CM33" s="346" t="s">
        <v>324</v>
      </c>
      <c r="CN33" s="346" t="s">
        <v>324</v>
      </c>
      <c r="CO33" s="346" t="s">
        <v>324</v>
      </c>
      <c r="CP33" s="346" t="s">
        <v>324</v>
      </c>
      <c r="CQ33" s="346" t="s">
        <v>324</v>
      </c>
      <c r="CR33" s="346"/>
      <c r="CS33" s="346" t="s">
        <v>324</v>
      </c>
      <c r="CT33" s="346" t="s">
        <v>324</v>
      </c>
      <c r="CU33" s="346" t="s">
        <v>324</v>
      </c>
      <c r="CV33" s="346" t="s">
        <v>324</v>
      </c>
      <c r="CW33" s="346"/>
      <c r="CX33" s="346" t="s">
        <v>324</v>
      </c>
      <c r="CY33" s="346" t="s">
        <v>324</v>
      </c>
      <c r="CZ33" s="346" t="s">
        <v>324</v>
      </c>
      <c r="DA33" s="346"/>
      <c r="DB33" s="346" t="s">
        <v>324</v>
      </c>
      <c r="DC33" s="346" t="s">
        <v>324</v>
      </c>
      <c r="DD33" s="346" t="s">
        <v>324</v>
      </c>
      <c r="DE33" s="346" t="s">
        <v>324</v>
      </c>
      <c r="DF33" s="429">
        <f t="shared" si="56"/>
        <v>0</v>
      </c>
      <c r="DG33" s="429">
        <f t="shared" si="57"/>
        <v>0</v>
      </c>
      <c r="DH33" s="429">
        <f t="shared" si="58"/>
        <v>0</v>
      </c>
      <c r="DI33" s="429"/>
      <c r="DJ33" s="429">
        <f t="shared" si="59"/>
        <v>0</v>
      </c>
      <c r="DK33" s="429">
        <f t="shared" si="60"/>
        <v>0</v>
      </c>
      <c r="DL33" s="429">
        <f t="shared" si="61"/>
        <v>0</v>
      </c>
      <c r="DM33" s="429">
        <f t="shared" si="62"/>
        <v>0</v>
      </c>
      <c r="DN33" s="346" t="s">
        <v>324</v>
      </c>
      <c r="DO33" s="346" t="s">
        <v>324</v>
      </c>
      <c r="DP33" s="346" t="s">
        <v>324</v>
      </c>
      <c r="DQ33" s="346"/>
      <c r="DR33" s="346" t="s">
        <v>324</v>
      </c>
      <c r="DS33" s="346" t="s">
        <v>324</v>
      </c>
      <c r="DT33" s="346" t="s">
        <v>324</v>
      </c>
      <c r="DU33" s="346" t="s">
        <v>324</v>
      </c>
      <c r="DV33" s="346" t="s">
        <v>324</v>
      </c>
      <c r="DW33" s="346" t="s">
        <v>324</v>
      </c>
      <c r="DX33" s="346" t="s">
        <v>324</v>
      </c>
      <c r="DY33" s="346"/>
      <c r="DZ33" s="346" t="s">
        <v>324</v>
      </c>
      <c r="EA33" s="346" t="s">
        <v>324</v>
      </c>
      <c r="EB33" s="346" t="s">
        <v>324</v>
      </c>
      <c r="EC33" s="346" t="s">
        <v>324</v>
      </c>
      <c r="ED33" s="346" t="s">
        <v>394</v>
      </c>
      <c r="EE33" s="346" t="s">
        <v>394</v>
      </c>
      <c r="EF33" s="346" t="s">
        <v>394</v>
      </c>
      <c r="EG33" s="346"/>
      <c r="EH33" s="346" t="s">
        <v>394</v>
      </c>
      <c r="EI33" s="346" t="s">
        <v>394</v>
      </c>
      <c r="EJ33" s="346" t="s">
        <v>394</v>
      </c>
      <c r="EK33" s="346" t="s">
        <v>394</v>
      </c>
      <c r="EL33" s="346" t="s">
        <v>394</v>
      </c>
      <c r="EM33" s="346" t="s">
        <v>394</v>
      </c>
      <c r="EN33" s="346" t="s">
        <v>394</v>
      </c>
      <c r="EO33" s="346"/>
      <c r="EP33" s="346" t="s">
        <v>394</v>
      </c>
      <c r="EQ33" s="346" t="s">
        <v>394</v>
      </c>
      <c r="ER33" s="346" t="s">
        <v>394</v>
      </c>
      <c r="ES33" s="346" t="s">
        <v>394</v>
      </c>
      <c r="ET33" s="346"/>
      <c r="EU33" s="346"/>
      <c r="EV33" s="346"/>
      <c r="EW33" s="346"/>
      <c r="EX33" s="346"/>
      <c r="EY33" s="346"/>
      <c r="EZ33" s="346"/>
      <c r="FA33" s="346"/>
      <c r="FB33" s="346" t="s">
        <v>394</v>
      </c>
      <c r="FC33" s="346" t="s">
        <v>394</v>
      </c>
      <c r="FD33" s="346" t="s">
        <v>394</v>
      </c>
      <c r="FE33" s="346" t="s">
        <v>394</v>
      </c>
      <c r="FF33" s="346" t="s">
        <v>394</v>
      </c>
      <c r="FG33" s="346" t="s">
        <v>394</v>
      </c>
      <c r="FH33" s="346" t="s">
        <v>394</v>
      </c>
      <c r="FI33" s="346" t="s">
        <v>394</v>
      </c>
      <c r="FJ33" s="346" t="s">
        <v>394</v>
      </c>
      <c r="FK33" s="346" t="s">
        <v>394</v>
      </c>
      <c r="FL33" s="346" t="s">
        <v>394</v>
      </c>
      <c r="FM33" s="346" t="s">
        <v>394</v>
      </c>
      <c r="FN33" s="346" t="s">
        <v>394</v>
      </c>
      <c r="FO33" s="346" t="s">
        <v>394</v>
      </c>
      <c r="FP33" s="346" t="s">
        <v>394</v>
      </c>
      <c r="FQ33" s="346" t="s">
        <v>394</v>
      </c>
    </row>
    <row r="34" spans="1:173" s="342" customFormat="1">
      <c r="A34" s="335" t="s">
        <v>2107</v>
      </c>
      <c r="B34" s="346" t="s">
        <v>2107</v>
      </c>
      <c r="C34" s="346" t="s">
        <v>221</v>
      </c>
      <c r="D34" s="346" t="s">
        <v>788</v>
      </c>
      <c r="E34" s="346" t="s">
        <v>2571</v>
      </c>
      <c r="F34" s="425" t="s">
        <v>785</v>
      </c>
      <c r="G34" s="346" t="s">
        <v>324</v>
      </c>
      <c r="H34" s="346" t="s">
        <v>324</v>
      </c>
      <c r="I34" s="346">
        <v>36</v>
      </c>
      <c r="J34" s="346">
        <v>35</v>
      </c>
      <c r="K34" s="422"/>
      <c r="L34" s="422"/>
      <c r="M34" s="422"/>
      <c r="N34" s="426" t="s">
        <v>790</v>
      </c>
      <c r="O34" s="426" t="s">
        <v>2274</v>
      </c>
      <c r="P34" s="426" t="s">
        <v>792</v>
      </c>
      <c r="Q34" s="426" t="s">
        <v>2275</v>
      </c>
      <c r="R34" s="426" t="s">
        <v>2276</v>
      </c>
      <c r="S34" s="346" t="s">
        <v>2108</v>
      </c>
      <c r="T34" s="346" t="s">
        <v>2942</v>
      </c>
      <c r="U34" s="346">
        <v>10</v>
      </c>
      <c r="V34" s="346" cm="1">
        <f t="array" ref="V34">IFERROR(INDEX('Offer Statistics'!$Q$2:$Q$500,MATCH(1,(B34='Offer Statistics'!$B$2:$B$500)*($B$11='Offer Statistics'!$K$2:$K$500),0)),"/")</f>
        <v>11</v>
      </c>
      <c r="W34" s="346" cm="1">
        <f t="array" ref="W34">IFERROR(INDEX('Offer Statistics'!$D$2:$D$500,MATCH(1,(B34='Offer Statistics'!$B$2:$B$500)*($B$11='Offer Statistics'!$K$2:$K$500),0)),"/")</f>
        <v>49</v>
      </c>
      <c r="X34" s="346" cm="1">
        <f t="array" ref="X34">IFERROR(INDEX('Offer Statistics'!$L$2:$L$500,MATCH(1,(B34='Offer Statistics'!$B$2:$B$500)*($B$11='Offer Statistics'!$K$2:$K$500),0)),"/")</f>
        <v>3</v>
      </c>
      <c r="Y34" s="346">
        <f t="shared" si="48"/>
        <v>16.333333333333332</v>
      </c>
      <c r="Z34" s="346" t="s">
        <v>2941</v>
      </c>
      <c r="AA34" s="346" t="str">
        <f>入學要求!AF43</f>
        <v>以下一科選修取得Lv.3︰生物、化學、物理</v>
      </c>
      <c r="AB34" s="346" t="str">
        <f>入學要求!AG43</f>
        <v>/</v>
      </c>
      <c r="AC34" s="425" t="s">
        <v>785</v>
      </c>
      <c r="AD34" s="346" t="s">
        <v>2945</v>
      </c>
      <c r="AE34" s="346" t="s">
        <v>2946</v>
      </c>
      <c r="AF34" s="346" t="s">
        <v>790</v>
      </c>
      <c r="AG34" s="346" t="s">
        <v>2274</v>
      </c>
      <c r="AH34" s="346" t="s">
        <v>792</v>
      </c>
      <c r="AI34" s="426" t="s">
        <v>2275</v>
      </c>
      <c r="AJ34" s="426" t="s">
        <v>2276</v>
      </c>
      <c r="AK34" s="346" t="s">
        <v>793</v>
      </c>
      <c r="AL34" s="346" t="s">
        <v>794</v>
      </c>
      <c r="AM34" s="346" t="s">
        <v>324</v>
      </c>
      <c r="AN34" s="346" t="s">
        <v>394</v>
      </c>
      <c r="AO34" s="346" t="s">
        <v>394</v>
      </c>
      <c r="AP34" s="346" t="s">
        <v>394</v>
      </c>
      <c r="AQ34" s="346" t="s">
        <v>394</v>
      </c>
      <c r="AR34" s="346" t="s">
        <v>324</v>
      </c>
      <c r="AT34" s="346" t="s">
        <v>716</v>
      </c>
      <c r="AU34" s="346"/>
      <c r="AV34" s="346" t="s">
        <v>713</v>
      </c>
      <c r="AW34" s="346"/>
      <c r="AX34" s="346"/>
      <c r="AY34" s="346"/>
      <c r="AZ34" s="346" t="s">
        <v>324</v>
      </c>
      <c r="BA34" s="346" t="s">
        <v>324</v>
      </c>
      <c r="BB34" s="346" t="s">
        <v>324</v>
      </c>
      <c r="BC34" s="346"/>
      <c r="BD34" s="346" t="s">
        <v>324</v>
      </c>
      <c r="BE34" s="346" t="s">
        <v>324</v>
      </c>
      <c r="BF34" s="346" t="s">
        <v>324</v>
      </c>
      <c r="BG34" s="346" t="s">
        <v>324</v>
      </c>
      <c r="BH34" s="429" t="s">
        <v>2107</v>
      </c>
      <c r="BI34" s="346" t="s">
        <v>324</v>
      </c>
      <c r="BJ34" s="346" t="s">
        <v>324</v>
      </c>
      <c r="BK34" s="346" t="s">
        <v>324</v>
      </c>
      <c r="BL34" s="346"/>
      <c r="BM34" s="346" t="s">
        <v>324</v>
      </c>
      <c r="BN34" s="346" t="s">
        <v>324</v>
      </c>
      <c r="BO34" s="346" t="s">
        <v>324</v>
      </c>
      <c r="BP34" s="346" t="s">
        <v>324</v>
      </c>
      <c r="BQ34" s="429">
        <f t="shared" si="49"/>
        <v>0</v>
      </c>
      <c r="BR34" s="429">
        <f t="shared" si="50"/>
        <v>0</v>
      </c>
      <c r="BS34" s="429">
        <f t="shared" si="51"/>
        <v>0</v>
      </c>
      <c r="BT34" s="429"/>
      <c r="BU34" s="429">
        <f t="shared" si="52"/>
        <v>0</v>
      </c>
      <c r="BV34" s="429">
        <f t="shared" si="53"/>
        <v>0</v>
      </c>
      <c r="BW34" s="429">
        <f t="shared" si="54"/>
        <v>0</v>
      </c>
      <c r="BX34" s="429">
        <f t="shared" si="55"/>
        <v>0</v>
      </c>
      <c r="BY34" s="346" t="s">
        <v>324</v>
      </c>
      <c r="BZ34" s="346" t="s">
        <v>324</v>
      </c>
      <c r="CA34" s="346" t="s">
        <v>324</v>
      </c>
      <c r="CB34" s="346"/>
      <c r="CC34" s="346" t="s">
        <v>324</v>
      </c>
      <c r="CD34" s="346" t="s">
        <v>324</v>
      </c>
      <c r="CE34" s="346" t="s">
        <v>324</v>
      </c>
      <c r="CF34" s="346" t="s">
        <v>324</v>
      </c>
      <c r="CG34" s="346" t="s">
        <v>324</v>
      </c>
      <c r="CH34" s="346" t="s">
        <v>324</v>
      </c>
      <c r="CI34" s="346" t="s">
        <v>324</v>
      </c>
      <c r="CJ34" s="346"/>
      <c r="CK34" s="346" t="s">
        <v>324</v>
      </c>
      <c r="CL34" s="346" t="s">
        <v>324</v>
      </c>
      <c r="CM34" s="346" t="s">
        <v>324</v>
      </c>
      <c r="CN34" s="346" t="s">
        <v>324</v>
      </c>
      <c r="CO34" s="346" t="s">
        <v>324</v>
      </c>
      <c r="CP34" s="346" t="s">
        <v>324</v>
      </c>
      <c r="CQ34" s="346" t="s">
        <v>324</v>
      </c>
      <c r="CR34" s="346"/>
      <c r="CS34" s="346" t="s">
        <v>324</v>
      </c>
      <c r="CT34" s="346" t="s">
        <v>324</v>
      </c>
      <c r="CU34" s="346" t="s">
        <v>324</v>
      </c>
      <c r="CV34" s="346" t="s">
        <v>324</v>
      </c>
      <c r="CW34" s="429"/>
      <c r="CX34" s="346" t="s">
        <v>324</v>
      </c>
      <c r="CY34" s="346" t="s">
        <v>324</v>
      </c>
      <c r="CZ34" s="346" t="s">
        <v>324</v>
      </c>
      <c r="DA34" s="346"/>
      <c r="DB34" s="346" t="s">
        <v>324</v>
      </c>
      <c r="DC34" s="346" t="s">
        <v>324</v>
      </c>
      <c r="DD34" s="346" t="s">
        <v>324</v>
      </c>
      <c r="DE34" s="346" t="s">
        <v>324</v>
      </c>
      <c r="DF34" s="429">
        <f t="shared" si="56"/>
        <v>0</v>
      </c>
      <c r="DG34" s="429">
        <f t="shared" si="57"/>
        <v>0</v>
      </c>
      <c r="DH34" s="429">
        <f t="shared" si="58"/>
        <v>0</v>
      </c>
      <c r="DI34" s="429"/>
      <c r="DJ34" s="429">
        <f t="shared" si="59"/>
        <v>0</v>
      </c>
      <c r="DK34" s="429">
        <f t="shared" si="60"/>
        <v>0</v>
      </c>
      <c r="DL34" s="429">
        <f t="shared" si="61"/>
        <v>0</v>
      </c>
      <c r="DM34" s="429">
        <f t="shared" si="62"/>
        <v>0</v>
      </c>
      <c r="DN34" s="346" t="s">
        <v>324</v>
      </c>
      <c r="DO34" s="346" t="s">
        <v>324</v>
      </c>
      <c r="DP34" s="346" t="s">
        <v>324</v>
      </c>
      <c r="DQ34" s="346"/>
      <c r="DR34" s="346" t="s">
        <v>324</v>
      </c>
      <c r="DS34" s="346" t="s">
        <v>324</v>
      </c>
      <c r="DT34" s="346" t="s">
        <v>324</v>
      </c>
      <c r="DU34" s="346" t="s">
        <v>324</v>
      </c>
      <c r="DV34" s="346" t="s">
        <v>324</v>
      </c>
      <c r="DW34" s="346" t="s">
        <v>324</v>
      </c>
      <c r="DX34" s="346" t="s">
        <v>324</v>
      </c>
      <c r="DY34" s="346"/>
      <c r="DZ34" s="346" t="s">
        <v>324</v>
      </c>
      <c r="EA34" s="346" t="s">
        <v>324</v>
      </c>
      <c r="EB34" s="346" t="s">
        <v>324</v>
      </c>
      <c r="EC34" s="346" t="s">
        <v>324</v>
      </c>
      <c r="ED34" s="346"/>
      <c r="EE34" s="346"/>
      <c r="EF34" s="346"/>
      <c r="EG34" s="346"/>
      <c r="EH34" s="346"/>
      <c r="EI34" s="346"/>
      <c r="EJ34" s="346"/>
      <c r="EK34" s="346"/>
      <c r="EL34" s="346"/>
      <c r="EM34" s="346"/>
      <c r="EN34" s="346"/>
      <c r="EO34" s="346"/>
      <c r="EP34" s="346"/>
      <c r="EQ34" s="346"/>
      <c r="ER34" s="346"/>
      <c r="ES34" s="346"/>
      <c r="ET34" s="346"/>
      <c r="EU34" s="346"/>
      <c r="EV34" s="346"/>
      <c r="EW34" s="346"/>
      <c r="EX34" s="346"/>
      <c r="EY34" s="346"/>
      <c r="EZ34" s="346"/>
      <c r="FA34" s="346"/>
      <c r="FB34" s="346"/>
      <c r="FC34" s="346"/>
      <c r="FD34" s="346"/>
      <c r="FE34" s="346"/>
      <c r="FF34" s="346"/>
      <c r="FG34" s="346"/>
      <c r="FH34" s="346"/>
      <c r="FI34" s="346"/>
      <c r="FJ34" s="346"/>
      <c r="FK34" s="346"/>
      <c r="FL34" s="346"/>
      <c r="FM34" s="346"/>
      <c r="FN34" s="346"/>
      <c r="FO34" s="346"/>
      <c r="FP34" s="346"/>
      <c r="FQ34" s="346"/>
    </row>
    <row r="35" spans="1:173" s="342" customFormat="1">
      <c r="A35" s="335" t="s">
        <v>2572</v>
      </c>
      <c r="B35" s="346" t="s">
        <v>2572</v>
      </c>
      <c r="C35" s="346" t="s">
        <v>221</v>
      </c>
      <c r="D35" s="346" t="s">
        <v>788</v>
      </c>
      <c r="E35" s="346" t="s">
        <v>2574</v>
      </c>
      <c r="F35" s="425" t="s">
        <v>2940</v>
      </c>
      <c r="G35" s="346" t="s">
        <v>324</v>
      </c>
      <c r="H35" s="346" t="s">
        <v>324</v>
      </c>
      <c r="I35" s="346" t="s">
        <v>324</v>
      </c>
      <c r="J35" s="346" t="s">
        <v>324</v>
      </c>
      <c r="K35" s="422"/>
      <c r="L35" s="422"/>
      <c r="M35" s="422"/>
      <c r="N35" s="426" t="s">
        <v>324</v>
      </c>
      <c r="O35" s="426" t="s">
        <v>324</v>
      </c>
      <c r="P35" s="426" t="s">
        <v>324</v>
      </c>
      <c r="Q35" s="426" t="s">
        <v>324</v>
      </c>
      <c r="R35" s="426" t="s">
        <v>324</v>
      </c>
      <c r="S35" s="346" t="s">
        <v>2573</v>
      </c>
      <c r="T35" s="346" t="s">
        <v>2942</v>
      </c>
      <c r="U35" s="346">
        <v>10</v>
      </c>
      <c r="V35" s="346" t="str" cm="1">
        <f t="array" ref="V35">IFERROR(INDEX('Offer Statistics'!$Q$2:$Q$500,MATCH(1,(B35='Offer Statistics'!$B$2:$B$500)*($B$11='Offer Statistics'!$K$2:$K$500),0)),"/")</f>
        <v>/</v>
      </c>
      <c r="W35" s="346" t="str" cm="1">
        <f t="array" ref="W35">IFERROR(INDEX('Offer Statistics'!$D$2:$D$500,MATCH(1,(B35='Offer Statistics'!$B$2:$B$500)*($B$11='Offer Statistics'!$K$2:$K$500),0)),"/")</f>
        <v>/</v>
      </c>
      <c r="X35" s="346" t="str" cm="1">
        <f t="array" ref="X35">IFERROR(INDEX('Offer Statistics'!$L$2:$L$500,MATCH(1,(B35='Offer Statistics'!$B$2:$B$500)*($B$11='Offer Statistics'!$K$2:$K$500),0)),"/")</f>
        <v>/</v>
      </c>
      <c r="Y35" s="346" t="str">
        <f t="shared" si="48"/>
        <v>新科目</v>
      </c>
      <c r="Z35" s="346" t="s">
        <v>2941</v>
      </c>
      <c r="AA35" s="346" t="str">
        <f>入學要求!AF44</f>
        <v>以下一科選修取得Lv.3︰生物、化學、物理</v>
      </c>
      <c r="AB35" s="346" t="str">
        <f>入學要求!AG44</f>
        <v>/</v>
      </c>
      <c r="AC35" s="425" t="s">
        <v>785</v>
      </c>
      <c r="AD35" s="346" t="s">
        <v>2945</v>
      </c>
      <c r="AE35" s="346" t="s">
        <v>2946</v>
      </c>
      <c r="AF35" s="425" t="s">
        <v>790</v>
      </c>
      <c r="AG35" s="425" t="s">
        <v>2274</v>
      </c>
      <c r="AH35" s="425" t="s">
        <v>792</v>
      </c>
      <c r="AI35" s="425" t="s">
        <v>2275</v>
      </c>
      <c r="AJ35" s="425" t="s">
        <v>2947</v>
      </c>
      <c r="AK35" s="346"/>
      <c r="AL35" s="346"/>
      <c r="AM35" s="346"/>
      <c r="AN35" s="346"/>
      <c r="AO35" s="346"/>
      <c r="AP35" s="346"/>
      <c r="AQ35" s="346"/>
      <c r="AR35" s="346"/>
      <c r="AT35" s="346" t="s">
        <v>716</v>
      </c>
      <c r="AU35" s="346"/>
      <c r="AV35" s="346" t="s">
        <v>713</v>
      </c>
      <c r="AW35" s="346"/>
      <c r="AX35" s="346"/>
      <c r="AY35" s="346"/>
      <c r="AZ35" s="346" t="s">
        <v>324</v>
      </c>
      <c r="BA35" s="346" t="s">
        <v>324</v>
      </c>
      <c r="BB35" s="346" t="s">
        <v>324</v>
      </c>
      <c r="BC35" s="346"/>
      <c r="BD35" s="346" t="s">
        <v>324</v>
      </c>
      <c r="BE35" s="346" t="s">
        <v>324</v>
      </c>
      <c r="BF35" s="346" t="s">
        <v>324</v>
      </c>
      <c r="BG35" s="346" t="s">
        <v>324</v>
      </c>
      <c r="BH35" s="429" t="s">
        <v>2572</v>
      </c>
      <c r="BI35" s="346" t="s">
        <v>324</v>
      </c>
      <c r="BJ35" s="346" t="s">
        <v>324</v>
      </c>
      <c r="BK35" s="346" t="s">
        <v>324</v>
      </c>
      <c r="BL35" s="346"/>
      <c r="BM35" s="346" t="s">
        <v>324</v>
      </c>
      <c r="BN35" s="346" t="s">
        <v>324</v>
      </c>
      <c r="BO35" s="346" t="s">
        <v>324</v>
      </c>
      <c r="BP35" s="346" t="s">
        <v>324</v>
      </c>
      <c r="BQ35" s="429"/>
      <c r="BR35" s="429"/>
      <c r="BS35" s="429"/>
      <c r="BT35" s="429"/>
      <c r="BU35" s="429"/>
      <c r="BV35" s="429"/>
      <c r="BW35" s="429"/>
      <c r="BX35" s="429"/>
      <c r="BY35" s="346" t="s">
        <v>324</v>
      </c>
      <c r="BZ35" s="346" t="s">
        <v>324</v>
      </c>
      <c r="CA35" s="346" t="s">
        <v>324</v>
      </c>
      <c r="CB35" s="346"/>
      <c r="CC35" s="346" t="s">
        <v>324</v>
      </c>
      <c r="CD35" s="346" t="s">
        <v>324</v>
      </c>
      <c r="CE35" s="346" t="s">
        <v>324</v>
      </c>
      <c r="CF35" s="346" t="s">
        <v>324</v>
      </c>
      <c r="CG35" s="346" t="s">
        <v>324</v>
      </c>
      <c r="CH35" s="346" t="s">
        <v>324</v>
      </c>
      <c r="CI35" s="346" t="s">
        <v>324</v>
      </c>
      <c r="CJ35" s="346"/>
      <c r="CK35" s="346" t="s">
        <v>324</v>
      </c>
      <c r="CL35" s="346" t="s">
        <v>324</v>
      </c>
      <c r="CM35" s="346" t="s">
        <v>324</v>
      </c>
      <c r="CN35" s="346" t="s">
        <v>324</v>
      </c>
      <c r="CO35" s="346" t="s">
        <v>324</v>
      </c>
      <c r="CP35" s="346" t="s">
        <v>324</v>
      </c>
      <c r="CQ35" s="346" t="s">
        <v>324</v>
      </c>
      <c r="CR35" s="346"/>
      <c r="CS35" s="346" t="s">
        <v>324</v>
      </c>
      <c r="CT35" s="346" t="s">
        <v>324</v>
      </c>
      <c r="CU35" s="346" t="s">
        <v>324</v>
      </c>
      <c r="CV35" s="346" t="s">
        <v>324</v>
      </c>
      <c r="CW35" s="429"/>
      <c r="CX35" s="346" t="s">
        <v>324</v>
      </c>
      <c r="CY35" s="346" t="s">
        <v>324</v>
      </c>
      <c r="CZ35" s="346" t="s">
        <v>324</v>
      </c>
      <c r="DA35" s="346"/>
      <c r="DB35" s="346" t="s">
        <v>324</v>
      </c>
      <c r="DC35" s="346" t="s">
        <v>324</v>
      </c>
      <c r="DD35" s="346" t="s">
        <v>324</v>
      </c>
      <c r="DE35" s="346" t="s">
        <v>324</v>
      </c>
      <c r="DF35" s="429"/>
      <c r="DG35" s="429"/>
      <c r="DH35" s="429"/>
      <c r="DI35" s="429"/>
      <c r="DJ35" s="429"/>
      <c r="DK35" s="429"/>
      <c r="DL35" s="429"/>
      <c r="DM35" s="429"/>
      <c r="DN35" s="346" t="s">
        <v>324</v>
      </c>
      <c r="DO35" s="346" t="s">
        <v>324</v>
      </c>
      <c r="DP35" s="346" t="s">
        <v>324</v>
      </c>
      <c r="DQ35" s="346"/>
      <c r="DR35" s="346" t="s">
        <v>324</v>
      </c>
      <c r="DS35" s="346" t="s">
        <v>324</v>
      </c>
      <c r="DT35" s="346" t="s">
        <v>324</v>
      </c>
      <c r="DU35" s="346" t="s">
        <v>324</v>
      </c>
      <c r="DV35" s="346" t="s">
        <v>324</v>
      </c>
      <c r="DW35" s="346" t="s">
        <v>324</v>
      </c>
      <c r="DX35" s="346" t="s">
        <v>324</v>
      </c>
      <c r="DY35" s="346"/>
      <c r="DZ35" s="346" t="s">
        <v>324</v>
      </c>
      <c r="EA35" s="346" t="s">
        <v>324</v>
      </c>
      <c r="EB35" s="346" t="s">
        <v>324</v>
      </c>
      <c r="EC35" s="346" t="s">
        <v>324</v>
      </c>
      <c r="ED35" s="346"/>
      <c r="EE35" s="346"/>
      <c r="EF35" s="346"/>
      <c r="EG35" s="346"/>
      <c r="EH35" s="346"/>
      <c r="EI35" s="346"/>
      <c r="EJ35" s="346"/>
      <c r="EK35" s="346"/>
      <c r="EL35" s="346"/>
      <c r="EM35" s="346"/>
      <c r="EN35" s="346"/>
      <c r="EO35" s="346"/>
      <c r="EP35" s="346"/>
      <c r="EQ35" s="346"/>
      <c r="ER35" s="346"/>
      <c r="ES35" s="346"/>
      <c r="ET35" s="346"/>
      <c r="EU35" s="346"/>
      <c r="EV35" s="346"/>
      <c r="EW35" s="346"/>
      <c r="EX35" s="346"/>
      <c r="EY35" s="346"/>
      <c r="EZ35" s="346"/>
      <c r="FA35" s="346"/>
      <c r="FB35" s="346"/>
      <c r="FC35" s="346"/>
      <c r="FD35" s="346"/>
      <c r="FE35" s="346"/>
      <c r="FF35" s="346"/>
      <c r="FG35" s="346"/>
      <c r="FH35" s="346"/>
      <c r="FI35" s="346"/>
      <c r="FJ35" s="346"/>
      <c r="FK35" s="346"/>
      <c r="FL35" s="346"/>
      <c r="FM35" s="346"/>
      <c r="FN35" s="346"/>
      <c r="FO35" s="346"/>
      <c r="FP35" s="346"/>
      <c r="FQ35" s="346"/>
    </row>
    <row r="36" spans="1:173">
      <c r="A36" s="335" t="s">
        <v>795</v>
      </c>
      <c r="B36" s="346" t="s">
        <v>795</v>
      </c>
      <c r="C36" s="346" t="s">
        <v>221</v>
      </c>
      <c r="D36" s="346" t="s">
        <v>796</v>
      </c>
      <c r="E36" s="346" t="s">
        <v>797</v>
      </c>
      <c r="F36" s="346" t="s">
        <v>785</v>
      </c>
      <c r="G36" s="346" t="s">
        <v>324</v>
      </c>
      <c r="H36" s="346" t="s">
        <v>324</v>
      </c>
      <c r="I36" s="346">
        <v>24.5</v>
      </c>
      <c r="J36" s="346">
        <v>23.5</v>
      </c>
      <c r="K36" s="346"/>
      <c r="L36" s="346"/>
      <c r="M36" s="346"/>
      <c r="N36" s="346" t="s">
        <v>786</v>
      </c>
      <c r="O36" s="346" t="s">
        <v>324</v>
      </c>
      <c r="P36" s="346" t="s">
        <v>324</v>
      </c>
      <c r="Q36" s="346" t="s">
        <v>324</v>
      </c>
      <c r="R36" s="346" t="s">
        <v>324</v>
      </c>
      <c r="S36" s="346" t="s">
        <v>798</v>
      </c>
      <c r="T36" s="346" t="s">
        <v>2942</v>
      </c>
      <c r="U36" s="346">
        <v>42</v>
      </c>
      <c r="V36" s="346" cm="1">
        <f t="array" ref="V36">IFERROR(INDEX('Offer Statistics'!$Q$2:$Q$500,MATCH(1,(B36='Offer Statistics'!$B$2:$B$500)*($B$11='Offer Statistics'!$K$2:$K$500),0)),"/")</f>
        <v>26</v>
      </c>
      <c r="W36" s="346" cm="1">
        <f t="array" ref="W36">IFERROR(INDEX('Offer Statistics'!$D$2:$D$500,MATCH(1,(B36='Offer Statistics'!$B$2:$B$500)*($B$11='Offer Statistics'!$K$2:$K$500),0)),"/")</f>
        <v>129</v>
      </c>
      <c r="X36" s="346" cm="1">
        <f t="array" ref="X36">IFERROR(INDEX('Offer Statistics'!$L$2:$L$500,MATCH(1,(B36='Offer Statistics'!$B$2:$B$500)*($B$11='Offer Statistics'!$K$2:$K$500),0)),"/")</f>
        <v>26</v>
      </c>
      <c r="Y36" s="346">
        <f t="shared" si="48"/>
        <v>4.9615384615384617</v>
      </c>
      <c r="Z36" s="346" t="s">
        <v>2941</v>
      </c>
      <c r="AA36" s="346" t="str">
        <f>入學要求!AF45</f>
        <v>/</v>
      </c>
      <c r="AB36" s="346" t="str">
        <f>入學要求!AG45</f>
        <v>/</v>
      </c>
      <c r="AC36" s="346" t="s">
        <v>785</v>
      </c>
      <c r="AD36" s="346" t="s">
        <v>2945</v>
      </c>
      <c r="AE36" s="346" t="s">
        <v>2946</v>
      </c>
      <c r="AF36" s="346" t="s">
        <v>786</v>
      </c>
      <c r="AG36" s="346" t="s">
        <v>324</v>
      </c>
      <c r="AH36" s="346" t="s">
        <v>324</v>
      </c>
      <c r="AI36" s="346" t="s">
        <v>324</v>
      </c>
      <c r="AJ36" s="346" t="s">
        <v>324</v>
      </c>
      <c r="AK36" s="346" t="s">
        <v>714</v>
      </c>
      <c r="AL36" s="346" t="s">
        <v>800</v>
      </c>
      <c r="AM36" s="346" t="s">
        <v>324</v>
      </c>
      <c r="AN36" s="346" t="s">
        <v>394</v>
      </c>
      <c r="AO36" s="346" t="s">
        <v>394</v>
      </c>
      <c r="AP36" s="346" t="s">
        <v>394</v>
      </c>
      <c r="AQ36" s="346" t="s">
        <v>394</v>
      </c>
      <c r="AR36" s="346" t="s">
        <v>324</v>
      </c>
      <c r="AT36" s="346" t="s">
        <v>716</v>
      </c>
      <c r="AU36" s="346"/>
      <c r="AV36" s="346" t="s">
        <v>713</v>
      </c>
      <c r="AW36" s="346"/>
      <c r="AX36" s="346"/>
      <c r="AY36" s="346"/>
      <c r="AZ36" s="346" t="s">
        <v>324</v>
      </c>
      <c r="BA36" s="346" t="s">
        <v>324</v>
      </c>
      <c r="BB36" s="346" t="s">
        <v>324</v>
      </c>
      <c r="BC36" s="346"/>
      <c r="BD36" s="346" t="s">
        <v>324</v>
      </c>
      <c r="BE36" s="346" t="s">
        <v>324</v>
      </c>
      <c r="BF36" s="346" t="s">
        <v>324</v>
      </c>
      <c r="BG36" s="346" t="s">
        <v>324</v>
      </c>
      <c r="BH36" s="346" t="s">
        <v>795</v>
      </c>
      <c r="BI36" s="346" t="s">
        <v>324</v>
      </c>
      <c r="BJ36" s="346" t="s">
        <v>324</v>
      </c>
      <c r="BK36" s="346" t="s">
        <v>324</v>
      </c>
      <c r="BL36" s="346"/>
      <c r="BM36" s="346" t="s">
        <v>324</v>
      </c>
      <c r="BN36" s="346" t="s">
        <v>324</v>
      </c>
      <c r="BO36" s="346" t="s">
        <v>324</v>
      </c>
      <c r="BP36" s="346" t="s">
        <v>324</v>
      </c>
      <c r="BQ36" s="429">
        <f t="shared" si="49"/>
        <v>0</v>
      </c>
      <c r="BR36" s="429">
        <f t="shared" si="50"/>
        <v>0</v>
      </c>
      <c r="BS36" s="429">
        <f t="shared" si="51"/>
        <v>0</v>
      </c>
      <c r="BT36" s="429"/>
      <c r="BU36" s="429">
        <f t="shared" si="52"/>
        <v>0</v>
      </c>
      <c r="BV36" s="429">
        <f t="shared" si="53"/>
        <v>0</v>
      </c>
      <c r="BW36" s="429">
        <f t="shared" si="54"/>
        <v>0</v>
      </c>
      <c r="BX36" s="429">
        <f t="shared" si="55"/>
        <v>0</v>
      </c>
      <c r="BY36" s="346" t="s">
        <v>324</v>
      </c>
      <c r="BZ36" s="346" t="s">
        <v>324</v>
      </c>
      <c r="CA36" s="346" t="s">
        <v>324</v>
      </c>
      <c r="CB36" s="346"/>
      <c r="CC36" s="346" t="s">
        <v>324</v>
      </c>
      <c r="CD36" s="346" t="s">
        <v>324</v>
      </c>
      <c r="CE36" s="346" t="s">
        <v>324</v>
      </c>
      <c r="CF36" s="346" t="s">
        <v>324</v>
      </c>
      <c r="CG36" s="346" t="s">
        <v>324</v>
      </c>
      <c r="CH36" s="346" t="s">
        <v>324</v>
      </c>
      <c r="CI36" s="346" t="s">
        <v>324</v>
      </c>
      <c r="CJ36" s="346"/>
      <c r="CK36" s="346" t="s">
        <v>324</v>
      </c>
      <c r="CL36" s="346" t="s">
        <v>324</v>
      </c>
      <c r="CM36" s="346" t="s">
        <v>324</v>
      </c>
      <c r="CN36" s="346" t="s">
        <v>324</v>
      </c>
      <c r="CO36" s="346" t="s">
        <v>324</v>
      </c>
      <c r="CP36" s="346" t="s">
        <v>324</v>
      </c>
      <c r="CQ36" s="346" t="s">
        <v>324</v>
      </c>
      <c r="CR36" s="346"/>
      <c r="CS36" s="346" t="s">
        <v>324</v>
      </c>
      <c r="CT36" s="346" t="s">
        <v>324</v>
      </c>
      <c r="CU36" s="346" t="s">
        <v>324</v>
      </c>
      <c r="CV36" s="346" t="s">
        <v>324</v>
      </c>
      <c r="CW36" s="346"/>
      <c r="CX36" s="346" t="s">
        <v>324</v>
      </c>
      <c r="CY36" s="346" t="s">
        <v>324</v>
      </c>
      <c r="CZ36" s="346" t="s">
        <v>324</v>
      </c>
      <c r="DA36" s="346"/>
      <c r="DB36" s="346" t="s">
        <v>324</v>
      </c>
      <c r="DC36" s="346" t="s">
        <v>324</v>
      </c>
      <c r="DD36" s="346" t="s">
        <v>324</v>
      </c>
      <c r="DE36" s="346" t="s">
        <v>324</v>
      </c>
      <c r="DF36" s="429">
        <f t="shared" si="56"/>
        <v>0</v>
      </c>
      <c r="DG36" s="429">
        <f t="shared" si="57"/>
        <v>0</v>
      </c>
      <c r="DH36" s="429">
        <f t="shared" si="58"/>
        <v>0</v>
      </c>
      <c r="DI36" s="429"/>
      <c r="DJ36" s="429">
        <f t="shared" si="59"/>
        <v>0</v>
      </c>
      <c r="DK36" s="429">
        <f t="shared" si="60"/>
        <v>0</v>
      </c>
      <c r="DL36" s="429">
        <f t="shared" si="61"/>
        <v>0</v>
      </c>
      <c r="DM36" s="429">
        <f t="shared" si="62"/>
        <v>0</v>
      </c>
      <c r="DN36" s="346" t="s">
        <v>324</v>
      </c>
      <c r="DO36" s="346" t="s">
        <v>324</v>
      </c>
      <c r="DP36" s="346" t="s">
        <v>324</v>
      </c>
      <c r="DQ36" s="346"/>
      <c r="DR36" s="346" t="s">
        <v>324</v>
      </c>
      <c r="DS36" s="346" t="s">
        <v>324</v>
      </c>
      <c r="DT36" s="346" t="s">
        <v>324</v>
      </c>
      <c r="DU36" s="346" t="s">
        <v>324</v>
      </c>
      <c r="DV36" s="346" t="s">
        <v>324</v>
      </c>
      <c r="DW36" s="346" t="s">
        <v>324</v>
      </c>
      <c r="DX36" s="346" t="s">
        <v>324</v>
      </c>
      <c r="DY36" s="346"/>
      <c r="DZ36" s="346" t="s">
        <v>324</v>
      </c>
      <c r="EA36" s="346" t="s">
        <v>324</v>
      </c>
      <c r="EB36" s="346" t="s">
        <v>324</v>
      </c>
      <c r="EC36" s="346" t="s">
        <v>324</v>
      </c>
      <c r="ED36" s="346" t="s">
        <v>394</v>
      </c>
      <c r="EE36" s="346" t="s">
        <v>394</v>
      </c>
      <c r="EF36" s="346" t="s">
        <v>394</v>
      </c>
      <c r="EG36" s="346"/>
      <c r="EH36" s="346" t="s">
        <v>394</v>
      </c>
      <c r="EI36" s="346" t="s">
        <v>394</v>
      </c>
      <c r="EJ36" s="346" t="s">
        <v>394</v>
      </c>
      <c r="EK36" s="346" t="s">
        <v>394</v>
      </c>
      <c r="EL36" s="346" t="s">
        <v>394</v>
      </c>
      <c r="EM36" s="346" t="s">
        <v>394</v>
      </c>
      <c r="EN36" s="346" t="s">
        <v>394</v>
      </c>
      <c r="EO36" s="346"/>
      <c r="EP36" s="346" t="s">
        <v>394</v>
      </c>
      <c r="EQ36" s="346" t="s">
        <v>394</v>
      </c>
      <c r="ER36" s="346" t="s">
        <v>394</v>
      </c>
      <c r="ES36" s="346" t="s">
        <v>394</v>
      </c>
      <c r="ET36" s="346"/>
      <c r="EU36" s="346"/>
      <c r="EV36" s="346"/>
      <c r="EW36" s="346"/>
      <c r="EX36" s="346"/>
      <c r="EY36" s="346"/>
      <c r="EZ36" s="346"/>
      <c r="FA36" s="346"/>
      <c r="FB36" s="346" t="s">
        <v>394</v>
      </c>
      <c r="FC36" s="346" t="s">
        <v>394</v>
      </c>
      <c r="FD36" s="346" t="s">
        <v>394</v>
      </c>
      <c r="FE36" s="346" t="s">
        <v>394</v>
      </c>
      <c r="FF36" s="346" t="s">
        <v>394</v>
      </c>
      <c r="FG36" s="346" t="s">
        <v>394</v>
      </c>
      <c r="FH36" s="346" t="s">
        <v>394</v>
      </c>
      <c r="FI36" s="346" t="s">
        <v>394</v>
      </c>
      <c r="FJ36" s="346" t="s">
        <v>394</v>
      </c>
      <c r="FK36" s="346" t="s">
        <v>394</v>
      </c>
      <c r="FL36" s="346" t="s">
        <v>394</v>
      </c>
      <c r="FM36" s="346" t="s">
        <v>394</v>
      </c>
      <c r="FN36" s="346" t="s">
        <v>394</v>
      </c>
      <c r="FO36" s="346" t="s">
        <v>394</v>
      </c>
      <c r="FP36" s="346" t="s">
        <v>394</v>
      </c>
      <c r="FQ36" s="346" t="s">
        <v>394</v>
      </c>
    </row>
    <row r="37" spans="1:173">
      <c r="A37" s="335" t="s">
        <v>801</v>
      </c>
      <c r="B37" s="346" t="s">
        <v>801</v>
      </c>
      <c r="C37" s="346" t="s">
        <v>221</v>
      </c>
      <c r="D37" s="346" t="s">
        <v>802</v>
      </c>
      <c r="E37" s="346" t="s">
        <v>2575</v>
      </c>
      <c r="F37" s="425" t="s">
        <v>785</v>
      </c>
      <c r="G37" s="346" t="s">
        <v>324</v>
      </c>
      <c r="H37" s="346" t="s">
        <v>324</v>
      </c>
      <c r="I37" s="346">
        <v>29</v>
      </c>
      <c r="J37" s="346">
        <v>24.5</v>
      </c>
      <c r="K37" s="422"/>
      <c r="L37" s="422"/>
      <c r="M37" s="422"/>
      <c r="N37" s="346" t="s">
        <v>786</v>
      </c>
      <c r="O37" s="346" t="s">
        <v>324</v>
      </c>
      <c r="P37" s="346" t="s">
        <v>734</v>
      </c>
      <c r="Q37" s="346" t="s">
        <v>324</v>
      </c>
      <c r="R37" s="346" t="s">
        <v>324</v>
      </c>
      <c r="S37" s="346" t="s">
        <v>804</v>
      </c>
      <c r="T37" s="346" t="s">
        <v>2942</v>
      </c>
      <c r="U37" s="346">
        <v>8</v>
      </c>
      <c r="V37" s="346" cm="1">
        <f t="array" ref="V37">IFERROR(INDEX('Offer Statistics'!$Q$2:$Q$500,MATCH(1,(B37='Offer Statistics'!$B$2:$B$500)*($B$11='Offer Statistics'!$K$2:$K$500),0)),"/")</f>
        <v>5</v>
      </c>
      <c r="W37" s="346" cm="1">
        <f t="array" ref="W37">IFERROR(INDEX('Offer Statistics'!$D$2:$D$500,MATCH(1,(B37='Offer Statistics'!$B$2:$B$500)*($B$11='Offer Statistics'!$K$2:$K$500),0)),"/")</f>
        <v>19</v>
      </c>
      <c r="X37" s="346" cm="1">
        <f t="array" ref="X37">IFERROR(INDEX('Offer Statistics'!$L$2:$L$500,MATCH(1,(B37='Offer Statistics'!$B$2:$B$500)*($B$11='Offer Statistics'!$K$2:$K$500),0)),"/")</f>
        <v>4</v>
      </c>
      <c r="Y37" s="346">
        <f t="shared" si="48"/>
        <v>4.75</v>
      </c>
      <c r="Z37" s="346" t="s">
        <v>2941</v>
      </c>
      <c r="AA37" s="346" t="str">
        <f>入學要求!AF46</f>
        <v>/</v>
      </c>
      <c r="AB37" s="346" t="str">
        <f>入學要求!AG46</f>
        <v>/</v>
      </c>
      <c r="AC37" s="424" t="s">
        <v>785</v>
      </c>
      <c r="AD37" s="346" t="s">
        <v>2945</v>
      </c>
      <c r="AE37" s="346" t="s">
        <v>2946</v>
      </c>
      <c r="AF37" s="346" t="s">
        <v>786</v>
      </c>
      <c r="AG37" s="346" t="s">
        <v>324</v>
      </c>
      <c r="AH37" s="346" t="s">
        <v>734</v>
      </c>
      <c r="AI37" s="346" t="s">
        <v>324</v>
      </c>
      <c r="AJ37" s="346" t="s">
        <v>324</v>
      </c>
      <c r="AK37" s="346" t="s">
        <v>714</v>
      </c>
      <c r="AL37" s="346" t="s">
        <v>800</v>
      </c>
      <c r="AM37" s="346" t="s">
        <v>324</v>
      </c>
      <c r="AN37" s="346" t="s">
        <v>394</v>
      </c>
      <c r="AO37" s="346" t="s">
        <v>394</v>
      </c>
      <c r="AP37" s="346" t="s">
        <v>394</v>
      </c>
      <c r="AQ37" s="346" t="s">
        <v>394</v>
      </c>
      <c r="AR37" s="346" t="s">
        <v>324</v>
      </c>
      <c r="AT37" s="346" t="s">
        <v>716</v>
      </c>
      <c r="AU37" s="346"/>
      <c r="AV37" s="346" t="s">
        <v>713</v>
      </c>
      <c r="AW37" s="346"/>
      <c r="AX37" s="346"/>
      <c r="AY37" s="346"/>
      <c r="AZ37" s="346" t="s">
        <v>324</v>
      </c>
      <c r="BA37" s="346" t="s">
        <v>324</v>
      </c>
      <c r="BB37" s="346" t="s">
        <v>324</v>
      </c>
      <c r="BC37" s="346"/>
      <c r="BD37" s="346" t="s">
        <v>324</v>
      </c>
      <c r="BE37" s="346" t="s">
        <v>324</v>
      </c>
      <c r="BF37" s="346" t="s">
        <v>324</v>
      </c>
      <c r="BG37" s="346" t="s">
        <v>324</v>
      </c>
      <c r="BH37" s="346" t="s">
        <v>801</v>
      </c>
      <c r="BI37" s="346" t="s">
        <v>324</v>
      </c>
      <c r="BJ37" s="346" t="s">
        <v>324</v>
      </c>
      <c r="BK37" s="346" t="s">
        <v>324</v>
      </c>
      <c r="BL37" s="346"/>
      <c r="BM37" s="346" t="s">
        <v>324</v>
      </c>
      <c r="BN37" s="346" t="s">
        <v>324</v>
      </c>
      <c r="BO37" s="346" t="s">
        <v>324</v>
      </c>
      <c r="BP37" s="346" t="s">
        <v>324</v>
      </c>
      <c r="BQ37" s="429">
        <f t="shared" si="49"/>
        <v>0</v>
      </c>
      <c r="BR37" s="429">
        <f t="shared" si="50"/>
        <v>0</v>
      </c>
      <c r="BS37" s="429">
        <f t="shared" si="51"/>
        <v>0</v>
      </c>
      <c r="BT37" s="429"/>
      <c r="BU37" s="429">
        <f t="shared" si="52"/>
        <v>0</v>
      </c>
      <c r="BV37" s="429">
        <f t="shared" si="53"/>
        <v>0</v>
      </c>
      <c r="BW37" s="429">
        <f t="shared" si="54"/>
        <v>0</v>
      </c>
      <c r="BX37" s="429">
        <f t="shared" si="55"/>
        <v>0</v>
      </c>
      <c r="BY37" s="346" t="s">
        <v>324</v>
      </c>
      <c r="BZ37" s="346" t="s">
        <v>324</v>
      </c>
      <c r="CA37" s="346" t="s">
        <v>324</v>
      </c>
      <c r="CB37" s="346"/>
      <c r="CC37" s="346" t="s">
        <v>324</v>
      </c>
      <c r="CD37" s="346" t="s">
        <v>324</v>
      </c>
      <c r="CE37" s="346" t="s">
        <v>324</v>
      </c>
      <c r="CF37" s="346" t="s">
        <v>324</v>
      </c>
      <c r="CG37" s="346" t="s">
        <v>324</v>
      </c>
      <c r="CH37" s="346" t="s">
        <v>324</v>
      </c>
      <c r="CI37" s="346" t="s">
        <v>324</v>
      </c>
      <c r="CJ37" s="346"/>
      <c r="CK37" s="346" t="s">
        <v>324</v>
      </c>
      <c r="CL37" s="346" t="s">
        <v>324</v>
      </c>
      <c r="CM37" s="346" t="s">
        <v>324</v>
      </c>
      <c r="CN37" s="346" t="s">
        <v>324</v>
      </c>
      <c r="CO37" s="346" t="s">
        <v>324</v>
      </c>
      <c r="CP37" s="346" t="s">
        <v>324</v>
      </c>
      <c r="CQ37" s="346" t="s">
        <v>324</v>
      </c>
      <c r="CR37" s="346"/>
      <c r="CS37" s="346" t="s">
        <v>324</v>
      </c>
      <c r="CT37" s="346" t="s">
        <v>324</v>
      </c>
      <c r="CU37" s="346" t="s">
        <v>324</v>
      </c>
      <c r="CV37" s="346" t="s">
        <v>324</v>
      </c>
      <c r="CW37" s="346"/>
      <c r="CX37" s="346" t="s">
        <v>324</v>
      </c>
      <c r="CY37" s="346" t="s">
        <v>324</v>
      </c>
      <c r="CZ37" s="346" t="s">
        <v>324</v>
      </c>
      <c r="DA37" s="346"/>
      <c r="DB37" s="346" t="s">
        <v>324</v>
      </c>
      <c r="DC37" s="346" t="s">
        <v>324</v>
      </c>
      <c r="DD37" s="346" t="s">
        <v>324</v>
      </c>
      <c r="DE37" s="346" t="s">
        <v>324</v>
      </c>
      <c r="DF37" s="429">
        <f t="shared" si="56"/>
        <v>0</v>
      </c>
      <c r="DG37" s="429">
        <f t="shared" si="57"/>
        <v>0</v>
      </c>
      <c r="DH37" s="429">
        <f t="shared" si="58"/>
        <v>0</v>
      </c>
      <c r="DI37" s="429"/>
      <c r="DJ37" s="429">
        <f t="shared" si="59"/>
        <v>0</v>
      </c>
      <c r="DK37" s="429">
        <f t="shared" si="60"/>
        <v>0</v>
      </c>
      <c r="DL37" s="429">
        <f t="shared" si="61"/>
        <v>0</v>
      </c>
      <c r="DM37" s="429">
        <f t="shared" si="62"/>
        <v>0</v>
      </c>
      <c r="DN37" s="346" t="s">
        <v>324</v>
      </c>
      <c r="DO37" s="346" t="s">
        <v>324</v>
      </c>
      <c r="DP37" s="346" t="s">
        <v>324</v>
      </c>
      <c r="DQ37" s="346"/>
      <c r="DR37" s="346" t="s">
        <v>324</v>
      </c>
      <c r="DS37" s="346" t="s">
        <v>324</v>
      </c>
      <c r="DT37" s="346" t="s">
        <v>324</v>
      </c>
      <c r="DU37" s="346" t="s">
        <v>324</v>
      </c>
      <c r="DV37" s="346" t="s">
        <v>324</v>
      </c>
      <c r="DW37" s="346" t="s">
        <v>324</v>
      </c>
      <c r="DX37" s="346" t="s">
        <v>324</v>
      </c>
      <c r="DY37" s="346"/>
      <c r="DZ37" s="346" t="s">
        <v>324</v>
      </c>
      <c r="EA37" s="346" t="s">
        <v>324</v>
      </c>
      <c r="EB37" s="346" t="s">
        <v>324</v>
      </c>
      <c r="EC37" s="346" t="s">
        <v>324</v>
      </c>
      <c r="ED37" s="346" t="s">
        <v>394</v>
      </c>
      <c r="EE37" s="346" t="s">
        <v>394</v>
      </c>
      <c r="EF37" s="346" t="s">
        <v>394</v>
      </c>
      <c r="EG37" s="346"/>
      <c r="EH37" s="346" t="s">
        <v>394</v>
      </c>
      <c r="EI37" s="346" t="s">
        <v>394</v>
      </c>
      <c r="EJ37" s="346" t="s">
        <v>394</v>
      </c>
      <c r="EK37" s="346" t="s">
        <v>394</v>
      </c>
      <c r="EL37" s="346" t="s">
        <v>394</v>
      </c>
      <c r="EM37" s="346" t="s">
        <v>394</v>
      </c>
      <c r="EN37" s="346" t="s">
        <v>394</v>
      </c>
      <c r="EO37" s="346"/>
      <c r="EP37" s="346" t="s">
        <v>394</v>
      </c>
      <c r="EQ37" s="346" t="s">
        <v>394</v>
      </c>
      <c r="ER37" s="346" t="s">
        <v>394</v>
      </c>
      <c r="ES37" s="346" t="s">
        <v>394</v>
      </c>
      <c r="ET37" s="346"/>
      <c r="EU37" s="346"/>
      <c r="EV37" s="346"/>
      <c r="EW37" s="346"/>
      <c r="EX37" s="346"/>
      <c r="EY37" s="346"/>
      <c r="EZ37" s="346"/>
      <c r="FA37" s="346"/>
      <c r="FB37" s="346" t="s">
        <v>394</v>
      </c>
      <c r="FC37" s="346" t="s">
        <v>394</v>
      </c>
      <c r="FD37" s="346" t="s">
        <v>394</v>
      </c>
      <c r="FE37" s="346" t="s">
        <v>394</v>
      </c>
      <c r="FF37" s="346" t="s">
        <v>394</v>
      </c>
      <c r="FG37" s="346" t="s">
        <v>394</v>
      </c>
      <c r="FH37" s="346" t="s">
        <v>394</v>
      </c>
      <c r="FI37" s="346" t="s">
        <v>394</v>
      </c>
      <c r="FJ37" s="346" t="s">
        <v>394</v>
      </c>
      <c r="FK37" s="346" t="s">
        <v>394</v>
      </c>
      <c r="FL37" s="346" t="s">
        <v>394</v>
      </c>
      <c r="FM37" s="346" t="s">
        <v>394</v>
      </c>
      <c r="FN37" s="346" t="s">
        <v>394</v>
      </c>
      <c r="FO37" s="346" t="s">
        <v>394</v>
      </c>
      <c r="FP37" s="346" t="s">
        <v>394</v>
      </c>
      <c r="FQ37" s="346" t="s">
        <v>394</v>
      </c>
    </row>
    <row r="38" spans="1:173">
      <c r="A38" s="335" t="s">
        <v>2576</v>
      </c>
      <c r="B38" s="346" t="s">
        <v>2576</v>
      </c>
      <c r="C38" s="346" t="s">
        <v>221</v>
      </c>
      <c r="D38" s="346" t="s">
        <v>2925</v>
      </c>
      <c r="E38" s="346" t="s">
        <v>2578</v>
      </c>
      <c r="F38" s="346" t="s">
        <v>2940</v>
      </c>
      <c r="G38" s="346" t="s">
        <v>324</v>
      </c>
      <c r="H38" s="346" t="s">
        <v>324</v>
      </c>
      <c r="I38" s="346" t="s">
        <v>324</v>
      </c>
      <c r="J38" s="346" t="s">
        <v>324</v>
      </c>
      <c r="K38" s="422"/>
      <c r="L38" s="422"/>
      <c r="M38" s="422"/>
      <c r="N38" s="346" t="s">
        <v>324</v>
      </c>
      <c r="O38" s="346" t="s">
        <v>324</v>
      </c>
      <c r="P38" s="346" t="s">
        <v>324</v>
      </c>
      <c r="Q38" s="346" t="s">
        <v>324</v>
      </c>
      <c r="R38" s="346" t="s">
        <v>324</v>
      </c>
      <c r="S38" s="346" t="s">
        <v>2577</v>
      </c>
      <c r="T38" s="346" t="s">
        <v>2942</v>
      </c>
      <c r="U38" s="346">
        <v>15</v>
      </c>
      <c r="V38" s="346" t="str" cm="1">
        <f t="array" ref="V38">IFERROR(INDEX('Offer Statistics'!$Q$2:$Q$500,MATCH(1,(B38='Offer Statistics'!$B$2:$B$500)*($B$11='Offer Statistics'!$K$2:$K$500),0)),"/")</f>
        <v>/</v>
      </c>
      <c r="W38" s="346" t="str" cm="1">
        <f t="array" ref="W38">IFERROR(INDEX('Offer Statistics'!$D$2:$D$500,MATCH(1,(B38='Offer Statistics'!$B$2:$B$500)*($B$11='Offer Statistics'!$K$2:$K$500),0)),"/")</f>
        <v>/</v>
      </c>
      <c r="X38" s="346" t="str" cm="1">
        <f t="array" ref="X38">IFERROR(INDEX('Offer Statistics'!$L$2:$L$500,MATCH(1,(B38='Offer Statistics'!$B$2:$B$500)*($B$11='Offer Statistics'!$K$2:$K$500),0)),"/")</f>
        <v>/</v>
      </c>
      <c r="Y38" s="346" t="str">
        <f t="shared" si="48"/>
        <v>新科目</v>
      </c>
      <c r="Z38" s="346" t="s">
        <v>2941</v>
      </c>
      <c r="AA38" s="346" t="str">
        <f>入學要求!AF47</f>
        <v>/</v>
      </c>
      <c r="AB38" s="346" t="str">
        <f>入學要求!AG47</f>
        <v>/</v>
      </c>
      <c r="AC38" s="424" t="s">
        <v>2259</v>
      </c>
      <c r="AD38" s="346" t="s">
        <v>2945</v>
      </c>
      <c r="AE38" s="346" t="s">
        <v>2946</v>
      </c>
      <c r="AF38" s="346" t="s">
        <v>324</v>
      </c>
      <c r="AG38" s="346" t="s">
        <v>324</v>
      </c>
      <c r="AH38" s="346" t="s">
        <v>810</v>
      </c>
      <c r="AI38" s="346" t="s">
        <v>324</v>
      </c>
      <c r="AJ38" s="346" t="s">
        <v>324</v>
      </c>
      <c r="AK38" s="346" t="s">
        <v>811</v>
      </c>
      <c r="AL38" s="346" t="s">
        <v>714</v>
      </c>
      <c r="AM38" s="346" t="s">
        <v>800</v>
      </c>
      <c r="AN38" s="346" t="s">
        <v>324</v>
      </c>
      <c r="AO38" s="346" t="s">
        <v>394</v>
      </c>
      <c r="AP38" s="346" t="s">
        <v>394</v>
      </c>
      <c r="AQ38" s="346" t="s">
        <v>394</v>
      </c>
      <c r="AR38" s="346" t="s">
        <v>324</v>
      </c>
      <c r="AT38" s="346" t="s">
        <v>716</v>
      </c>
      <c r="AU38" s="346"/>
      <c r="AV38" s="346" t="s">
        <v>713</v>
      </c>
      <c r="AW38" s="346"/>
      <c r="AX38" s="346"/>
      <c r="AY38" s="346"/>
      <c r="AZ38" s="346" t="s">
        <v>324</v>
      </c>
      <c r="BA38" s="346" t="s">
        <v>324</v>
      </c>
      <c r="BB38" s="346" t="s">
        <v>324</v>
      </c>
      <c r="BC38" s="346"/>
      <c r="BD38" s="346" t="s">
        <v>324</v>
      </c>
      <c r="BE38" s="346" t="s">
        <v>324</v>
      </c>
      <c r="BF38" s="346" t="s">
        <v>324</v>
      </c>
      <c r="BG38" s="346" t="s">
        <v>324</v>
      </c>
      <c r="BH38" s="346" t="s">
        <v>2576</v>
      </c>
      <c r="BI38" s="346" t="s">
        <v>324</v>
      </c>
      <c r="BJ38" s="346" t="s">
        <v>324</v>
      </c>
      <c r="BK38" s="346" t="s">
        <v>324</v>
      </c>
      <c r="BL38" s="346"/>
      <c r="BM38" s="346" t="s">
        <v>324</v>
      </c>
      <c r="BN38" s="346" t="s">
        <v>324</v>
      </c>
      <c r="BO38" s="346" t="s">
        <v>324</v>
      </c>
      <c r="BP38" s="346" t="s">
        <v>324</v>
      </c>
      <c r="BQ38" s="429"/>
      <c r="BR38" s="429"/>
      <c r="BS38" s="429"/>
      <c r="BT38" s="429"/>
      <c r="BU38" s="429"/>
      <c r="BV38" s="429"/>
      <c r="BW38" s="429"/>
      <c r="BX38" s="429"/>
      <c r="BY38" s="346" t="s">
        <v>324</v>
      </c>
      <c r="BZ38" s="346" t="s">
        <v>324</v>
      </c>
      <c r="CA38" s="346" t="s">
        <v>324</v>
      </c>
      <c r="CB38" s="346"/>
      <c r="CC38" s="346" t="s">
        <v>324</v>
      </c>
      <c r="CD38" s="346" t="s">
        <v>324</v>
      </c>
      <c r="CE38" s="346" t="s">
        <v>324</v>
      </c>
      <c r="CF38" s="346" t="s">
        <v>324</v>
      </c>
      <c r="CG38" s="346" t="s">
        <v>324</v>
      </c>
      <c r="CH38" s="346" t="s">
        <v>324</v>
      </c>
      <c r="CI38" s="346" t="s">
        <v>324</v>
      </c>
      <c r="CJ38" s="346"/>
      <c r="CK38" s="346" t="s">
        <v>324</v>
      </c>
      <c r="CL38" s="346" t="s">
        <v>324</v>
      </c>
      <c r="CM38" s="346" t="s">
        <v>324</v>
      </c>
      <c r="CN38" s="346" t="s">
        <v>324</v>
      </c>
      <c r="CO38" s="346" t="s">
        <v>324</v>
      </c>
      <c r="CP38" s="346" t="s">
        <v>324</v>
      </c>
      <c r="CQ38" s="346" t="s">
        <v>324</v>
      </c>
      <c r="CR38" s="346"/>
      <c r="CS38" s="346" t="s">
        <v>324</v>
      </c>
      <c r="CT38" s="346" t="s">
        <v>324</v>
      </c>
      <c r="CU38" s="346" t="s">
        <v>324</v>
      </c>
      <c r="CV38" s="346" t="s">
        <v>324</v>
      </c>
      <c r="CW38" s="346"/>
      <c r="CX38" s="346" t="s">
        <v>324</v>
      </c>
      <c r="CY38" s="346" t="s">
        <v>324</v>
      </c>
      <c r="CZ38" s="346" t="s">
        <v>324</v>
      </c>
      <c r="DA38" s="346"/>
      <c r="DB38" s="346" t="s">
        <v>324</v>
      </c>
      <c r="DC38" s="346" t="s">
        <v>324</v>
      </c>
      <c r="DD38" s="346" t="s">
        <v>324</v>
      </c>
      <c r="DE38" s="346" t="s">
        <v>324</v>
      </c>
      <c r="DF38" s="429"/>
      <c r="DG38" s="429"/>
      <c r="DH38" s="429"/>
      <c r="DI38" s="429"/>
      <c r="DJ38" s="429"/>
      <c r="DK38" s="429"/>
      <c r="DL38" s="429"/>
      <c r="DM38" s="429"/>
      <c r="DN38" s="346" t="s">
        <v>324</v>
      </c>
      <c r="DO38" s="346" t="s">
        <v>324</v>
      </c>
      <c r="DP38" s="346" t="s">
        <v>324</v>
      </c>
      <c r="DQ38" s="346"/>
      <c r="DR38" s="346" t="s">
        <v>324</v>
      </c>
      <c r="DS38" s="346" t="s">
        <v>324</v>
      </c>
      <c r="DT38" s="346" t="s">
        <v>324</v>
      </c>
      <c r="DU38" s="346" t="s">
        <v>324</v>
      </c>
      <c r="DV38" s="346" t="s">
        <v>324</v>
      </c>
      <c r="DW38" s="346" t="s">
        <v>324</v>
      </c>
      <c r="DX38" s="346" t="s">
        <v>324</v>
      </c>
      <c r="DY38" s="346"/>
      <c r="DZ38" s="346" t="s">
        <v>324</v>
      </c>
      <c r="EA38" s="346" t="s">
        <v>324</v>
      </c>
      <c r="EB38" s="346" t="s">
        <v>324</v>
      </c>
      <c r="EC38" s="346" t="s">
        <v>324</v>
      </c>
      <c r="ED38" s="346"/>
      <c r="EE38" s="346"/>
      <c r="EF38" s="346"/>
      <c r="EG38" s="346"/>
      <c r="EH38" s="346"/>
      <c r="EI38" s="346"/>
      <c r="EJ38" s="346"/>
      <c r="EK38" s="346"/>
      <c r="EL38" s="346"/>
      <c r="EM38" s="346"/>
      <c r="EN38" s="346"/>
      <c r="EO38" s="346"/>
      <c r="EP38" s="346"/>
      <c r="EQ38" s="346"/>
      <c r="ER38" s="346"/>
      <c r="ES38" s="346"/>
      <c r="ET38" s="346"/>
      <c r="EU38" s="346"/>
      <c r="EV38" s="346"/>
      <c r="EW38" s="346"/>
      <c r="EX38" s="346"/>
      <c r="EY38" s="346"/>
      <c r="EZ38" s="346"/>
      <c r="FA38" s="346"/>
      <c r="FB38" s="346"/>
      <c r="FC38" s="346"/>
      <c r="FD38" s="346"/>
      <c r="FE38" s="346"/>
      <c r="FF38" s="346"/>
      <c r="FG38" s="346"/>
      <c r="FH38" s="346"/>
      <c r="FI38" s="346"/>
      <c r="FJ38" s="346"/>
      <c r="FK38" s="346"/>
      <c r="FL38" s="346"/>
      <c r="FM38" s="346"/>
      <c r="FN38" s="346"/>
      <c r="FO38" s="346"/>
      <c r="FP38" s="346"/>
      <c r="FQ38" s="346"/>
    </row>
    <row r="39" spans="1:173">
      <c r="A39" s="335" t="s">
        <v>805</v>
      </c>
      <c r="B39" s="346" t="s">
        <v>805</v>
      </c>
      <c r="C39" s="346" t="s">
        <v>221</v>
      </c>
      <c r="D39" s="346" t="s">
        <v>2925</v>
      </c>
      <c r="E39" s="346" t="s">
        <v>2579</v>
      </c>
      <c r="F39" s="425" t="s">
        <v>2259</v>
      </c>
      <c r="G39" s="346" t="s">
        <v>324</v>
      </c>
      <c r="H39" s="346" t="s">
        <v>324</v>
      </c>
      <c r="I39" s="346">
        <v>28</v>
      </c>
      <c r="J39" s="346">
        <v>27</v>
      </c>
      <c r="K39" s="422"/>
      <c r="L39" s="422"/>
      <c r="M39" s="422"/>
      <c r="N39" s="346" t="s">
        <v>324</v>
      </c>
      <c r="O39" s="346" t="s">
        <v>324</v>
      </c>
      <c r="P39" s="346" t="s">
        <v>810</v>
      </c>
      <c r="Q39" s="346" t="s">
        <v>324</v>
      </c>
      <c r="R39" s="346" t="s">
        <v>324</v>
      </c>
      <c r="S39" s="346" t="s">
        <v>809</v>
      </c>
      <c r="T39" s="346" t="s">
        <v>2942</v>
      </c>
      <c r="U39" s="346">
        <v>20</v>
      </c>
      <c r="V39" s="346" cm="1">
        <f t="array" ref="V39">IFERROR(INDEX('Offer Statistics'!$Q$2:$Q$500,MATCH(1,(B39='Offer Statistics'!$B$2:$B$500)*($B$11='Offer Statistics'!$K$2:$K$500),0)),"/")</f>
        <v>16</v>
      </c>
      <c r="W39" s="346" cm="1">
        <f t="array" ref="W39">IFERROR(INDEX('Offer Statistics'!$D$2:$D$500,MATCH(1,(B39='Offer Statistics'!$B$2:$B$500)*($B$11='Offer Statistics'!$K$2:$K$500),0)),"/")</f>
        <v>200</v>
      </c>
      <c r="X39" s="346" cm="1">
        <f t="array" ref="X39">IFERROR(INDEX('Offer Statistics'!$L$2:$L$500,MATCH(1,(B39='Offer Statistics'!$B$2:$B$500)*($B$11='Offer Statistics'!$K$2:$K$500),0)),"/")</f>
        <v>14</v>
      </c>
      <c r="Y39" s="346">
        <f t="shared" si="48"/>
        <v>14.285714285714286</v>
      </c>
      <c r="Z39" s="346" t="s">
        <v>2941</v>
      </c>
      <c r="AA39" s="346" t="str">
        <f>入學要求!AF48</f>
        <v>/</v>
      </c>
      <c r="AB39" s="346" t="str">
        <f>入學要求!AG48</f>
        <v>/</v>
      </c>
      <c r="AC39" s="424" t="s">
        <v>2259</v>
      </c>
      <c r="AD39" s="346" t="s">
        <v>2945</v>
      </c>
      <c r="AE39" s="346" t="s">
        <v>2946</v>
      </c>
      <c r="AF39" s="346" t="s">
        <v>324</v>
      </c>
      <c r="AG39" s="346" t="s">
        <v>324</v>
      </c>
      <c r="AH39" s="346" t="s">
        <v>810</v>
      </c>
      <c r="AI39" s="346" t="s">
        <v>324</v>
      </c>
      <c r="AJ39" s="346" t="s">
        <v>324</v>
      </c>
      <c r="AK39" s="346" t="s">
        <v>811</v>
      </c>
      <c r="AL39" s="346" t="s">
        <v>714</v>
      </c>
      <c r="AM39" s="346" t="s">
        <v>800</v>
      </c>
      <c r="AN39" s="346" t="s">
        <v>324</v>
      </c>
      <c r="AO39" s="346" t="s">
        <v>394</v>
      </c>
      <c r="AP39" s="346" t="s">
        <v>394</v>
      </c>
      <c r="AQ39" s="346" t="s">
        <v>394</v>
      </c>
      <c r="AR39" s="346" t="s">
        <v>324</v>
      </c>
      <c r="AT39" s="346" t="s">
        <v>716</v>
      </c>
      <c r="AU39" s="346"/>
      <c r="AV39" s="346" t="s">
        <v>713</v>
      </c>
      <c r="AW39" s="346"/>
      <c r="AX39" s="346"/>
      <c r="AY39" s="346"/>
      <c r="AZ39" s="346" t="s">
        <v>324</v>
      </c>
      <c r="BA39" s="346" t="s">
        <v>324</v>
      </c>
      <c r="BB39" s="346" t="s">
        <v>324</v>
      </c>
      <c r="BC39" s="346"/>
      <c r="BD39" s="346" t="s">
        <v>324</v>
      </c>
      <c r="BE39" s="346" t="s">
        <v>324</v>
      </c>
      <c r="BF39" s="346" t="s">
        <v>324</v>
      </c>
      <c r="BG39" s="346" t="s">
        <v>324</v>
      </c>
      <c r="BH39" s="346" t="s">
        <v>805</v>
      </c>
      <c r="BI39" s="346" t="s">
        <v>324</v>
      </c>
      <c r="BJ39" s="346" t="s">
        <v>324</v>
      </c>
      <c r="BK39" s="346" t="s">
        <v>324</v>
      </c>
      <c r="BL39" s="346"/>
      <c r="BM39" s="346" t="s">
        <v>324</v>
      </c>
      <c r="BN39" s="346" t="s">
        <v>324</v>
      </c>
      <c r="BO39" s="346" t="s">
        <v>324</v>
      </c>
      <c r="BP39" s="346" t="s">
        <v>324</v>
      </c>
      <c r="BQ39" s="429">
        <f t="shared" si="49"/>
        <v>0</v>
      </c>
      <c r="BR39" s="429">
        <f t="shared" si="50"/>
        <v>0</v>
      </c>
      <c r="BS39" s="429">
        <f t="shared" si="51"/>
        <v>0</v>
      </c>
      <c r="BT39" s="429"/>
      <c r="BU39" s="429">
        <f t="shared" si="52"/>
        <v>0</v>
      </c>
      <c r="BV39" s="429">
        <f t="shared" si="53"/>
        <v>0</v>
      </c>
      <c r="BW39" s="429">
        <f t="shared" si="54"/>
        <v>0</v>
      </c>
      <c r="BX39" s="429">
        <f t="shared" si="55"/>
        <v>0</v>
      </c>
      <c r="BY39" s="346" t="s">
        <v>324</v>
      </c>
      <c r="BZ39" s="346" t="s">
        <v>324</v>
      </c>
      <c r="CA39" s="346" t="s">
        <v>324</v>
      </c>
      <c r="CB39" s="346"/>
      <c r="CC39" s="346" t="s">
        <v>324</v>
      </c>
      <c r="CD39" s="346" t="s">
        <v>324</v>
      </c>
      <c r="CE39" s="346" t="s">
        <v>324</v>
      </c>
      <c r="CF39" s="346" t="s">
        <v>324</v>
      </c>
      <c r="CG39" s="346" t="s">
        <v>324</v>
      </c>
      <c r="CH39" s="346" t="s">
        <v>324</v>
      </c>
      <c r="CI39" s="346" t="s">
        <v>324</v>
      </c>
      <c r="CJ39" s="346"/>
      <c r="CK39" s="346" t="s">
        <v>324</v>
      </c>
      <c r="CL39" s="346" t="s">
        <v>324</v>
      </c>
      <c r="CM39" s="346" t="s">
        <v>324</v>
      </c>
      <c r="CN39" s="346" t="s">
        <v>324</v>
      </c>
      <c r="CO39" s="346" t="s">
        <v>324</v>
      </c>
      <c r="CP39" s="346" t="s">
        <v>324</v>
      </c>
      <c r="CQ39" s="346" t="s">
        <v>324</v>
      </c>
      <c r="CR39" s="346"/>
      <c r="CS39" s="346" t="s">
        <v>324</v>
      </c>
      <c r="CT39" s="346" t="s">
        <v>324</v>
      </c>
      <c r="CU39" s="346" t="s">
        <v>324</v>
      </c>
      <c r="CV39" s="346" t="s">
        <v>324</v>
      </c>
      <c r="CW39" s="346"/>
      <c r="CX39" s="346" t="s">
        <v>324</v>
      </c>
      <c r="CY39" s="346" t="s">
        <v>324</v>
      </c>
      <c r="CZ39" s="346" t="s">
        <v>324</v>
      </c>
      <c r="DA39" s="346"/>
      <c r="DB39" s="346" t="s">
        <v>324</v>
      </c>
      <c r="DC39" s="346" t="s">
        <v>324</v>
      </c>
      <c r="DD39" s="346" t="s">
        <v>324</v>
      </c>
      <c r="DE39" s="346" t="s">
        <v>324</v>
      </c>
      <c r="DF39" s="429">
        <f t="shared" si="56"/>
        <v>0</v>
      </c>
      <c r="DG39" s="429">
        <f t="shared" si="57"/>
        <v>0</v>
      </c>
      <c r="DH39" s="429">
        <f t="shared" si="58"/>
        <v>0</v>
      </c>
      <c r="DI39" s="429"/>
      <c r="DJ39" s="429">
        <f t="shared" si="59"/>
        <v>0</v>
      </c>
      <c r="DK39" s="429">
        <f t="shared" si="60"/>
        <v>0</v>
      </c>
      <c r="DL39" s="429">
        <f t="shared" si="61"/>
        <v>0</v>
      </c>
      <c r="DM39" s="429">
        <f t="shared" si="62"/>
        <v>0</v>
      </c>
      <c r="DN39" s="346" t="s">
        <v>324</v>
      </c>
      <c r="DO39" s="346" t="s">
        <v>324</v>
      </c>
      <c r="DP39" s="346" t="s">
        <v>324</v>
      </c>
      <c r="DQ39" s="346"/>
      <c r="DR39" s="346" t="s">
        <v>324</v>
      </c>
      <c r="DS39" s="346" t="s">
        <v>324</v>
      </c>
      <c r="DT39" s="346" t="s">
        <v>324</v>
      </c>
      <c r="DU39" s="346" t="s">
        <v>324</v>
      </c>
      <c r="DV39" s="346" t="s">
        <v>324</v>
      </c>
      <c r="DW39" s="346" t="s">
        <v>324</v>
      </c>
      <c r="DX39" s="346" t="s">
        <v>324</v>
      </c>
      <c r="DY39" s="346"/>
      <c r="DZ39" s="346" t="s">
        <v>324</v>
      </c>
      <c r="EA39" s="346" t="s">
        <v>324</v>
      </c>
      <c r="EB39" s="346" t="s">
        <v>324</v>
      </c>
      <c r="EC39" s="346" t="s">
        <v>324</v>
      </c>
      <c r="ED39" s="346" t="s">
        <v>394</v>
      </c>
      <c r="EE39" s="346" t="s">
        <v>394</v>
      </c>
      <c r="EF39" s="346" t="s">
        <v>394</v>
      </c>
      <c r="EG39" s="346"/>
      <c r="EH39" s="346" t="s">
        <v>394</v>
      </c>
      <c r="EI39" s="346" t="s">
        <v>394</v>
      </c>
      <c r="EJ39" s="346" t="s">
        <v>394</v>
      </c>
      <c r="EK39" s="346" t="s">
        <v>394</v>
      </c>
      <c r="EL39" s="346" t="s">
        <v>394</v>
      </c>
      <c r="EM39" s="346" t="s">
        <v>394</v>
      </c>
      <c r="EN39" s="346" t="s">
        <v>394</v>
      </c>
      <c r="EO39" s="346"/>
      <c r="EP39" s="346" t="s">
        <v>394</v>
      </c>
      <c r="EQ39" s="346" t="s">
        <v>394</v>
      </c>
      <c r="ER39" s="346" t="s">
        <v>394</v>
      </c>
      <c r="ES39" s="346" t="s">
        <v>394</v>
      </c>
      <c r="ET39" s="346"/>
      <c r="EU39" s="346"/>
      <c r="EV39" s="346"/>
      <c r="EW39" s="346"/>
      <c r="EX39" s="346"/>
      <c r="EY39" s="346"/>
      <c r="EZ39" s="346"/>
      <c r="FA39" s="346"/>
      <c r="FB39" s="346" t="s">
        <v>394</v>
      </c>
      <c r="FC39" s="346" t="s">
        <v>394</v>
      </c>
      <c r="FD39" s="346" t="s">
        <v>394</v>
      </c>
      <c r="FE39" s="346" t="s">
        <v>394</v>
      </c>
      <c r="FF39" s="346" t="s">
        <v>394</v>
      </c>
      <c r="FG39" s="346" t="s">
        <v>394</v>
      </c>
      <c r="FH39" s="346" t="s">
        <v>394</v>
      </c>
      <c r="FI39" s="346" t="s">
        <v>394</v>
      </c>
      <c r="FJ39" s="346" t="s">
        <v>394</v>
      </c>
      <c r="FK39" s="346" t="s">
        <v>394</v>
      </c>
      <c r="FL39" s="346" t="s">
        <v>394</v>
      </c>
      <c r="FM39" s="346" t="s">
        <v>394</v>
      </c>
      <c r="FN39" s="346" t="s">
        <v>394</v>
      </c>
      <c r="FO39" s="346" t="s">
        <v>394</v>
      </c>
      <c r="FP39" s="346" t="s">
        <v>394</v>
      </c>
      <c r="FQ39" s="346" t="s">
        <v>394</v>
      </c>
    </row>
    <row r="40" spans="1:173">
      <c r="A40" s="335" t="s">
        <v>812</v>
      </c>
      <c r="B40" s="346" t="s">
        <v>812</v>
      </c>
      <c r="C40" s="346" t="s">
        <v>221</v>
      </c>
      <c r="D40" s="346" t="s">
        <v>2925</v>
      </c>
      <c r="E40" s="346" t="s">
        <v>2580</v>
      </c>
      <c r="F40" s="425" t="s">
        <v>2259</v>
      </c>
      <c r="G40" s="346" t="s">
        <v>324</v>
      </c>
      <c r="H40" s="346" t="s">
        <v>324</v>
      </c>
      <c r="I40" s="346">
        <v>29</v>
      </c>
      <c r="J40" s="346">
        <v>28</v>
      </c>
      <c r="K40" s="422"/>
      <c r="L40" s="422"/>
      <c r="M40" s="422"/>
      <c r="N40" s="346" t="s">
        <v>324</v>
      </c>
      <c r="O40" s="346" t="s">
        <v>324</v>
      </c>
      <c r="P40" s="346" t="s">
        <v>810</v>
      </c>
      <c r="Q40" s="346" t="s">
        <v>324</v>
      </c>
      <c r="R40" s="346" t="s">
        <v>324</v>
      </c>
      <c r="S40" s="346" t="s">
        <v>814</v>
      </c>
      <c r="T40" s="346" t="s">
        <v>2942</v>
      </c>
      <c r="U40" s="346">
        <v>27</v>
      </c>
      <c r="V40" s="346" cm="1">
        <f t="array" ref="V40">IFERROR(INDEX('Offer Statistics'!$Q$2:$Q$500,MATCH(1,(B40='Offer Statistics'!$B$2:$B$500)*($B$11='Offer Statistics'!$K$2:$K$500),0)),"/")</f>
        <v>18</v>
      </c>
      <c r="W40" s="346" cm="1">
        <f t="array" ref="W40">IFERROR(INDEX('Offer Statistics'!$D$2:$D$500,MATCH(1,(B40='Offer Statistics'!$B$2:$B$500)*($B$11='Offer Statistics'!$K$2:$K$500),0)),"/")</f>
        <v>195</v>
      </c>
      <c r="X40" s="346" cm="1">
        <f t="array" ref="X40">IFERROR(INDEX('Offer Statistics'!$L$2:$L$500,MATCH(1,(B40='Offer Statistics'!$B$2:$B$500)*($B$11='Offer Statistics'!$K$2:$K$500),0)),"/")</f>
        <v>17</v>
      </c>
      <c r="Y40" s="346">
        <f t="shared" si="48"/>
        <v>11.470588235294118</v>
      </c>
      <c r="Z40" s="346" t="s">
        <v>2941</v>
      </c>
      <c r="AA40" s="346" t="str">
        <f>入學要求!AF49</f>
        <v>/</v>
      </c>
      <c r="AB40" s="346" t="str">
        <f>入學要求!AG49</f>
        <v>/</v>
      </c>
      <c r="AC40" s="424" t="s">
        <v>2259</v>
      </c>
      <c r="AD40" s="346" t="s">
        <v>2945</v>
      </c>
      <c r="AE40" s="346" t="s">
        <v>2946</v>
      </c>
      <c r="AF40" s="346" t="s">
        <v>324</v>
      </c>
      <c r="AG40" s="346" t="s">
        <v>324</v>
      </c>
      <c r="AH40" s="346" t="s">
        <v>810</v>
      </c>
      <c r="AI40" s="346" t="s">
        <v>324</v>
      </c>
      <c r="AJ40" s="346" t="s">
        <v>324</v>
      </c>
      <c r="AK40" s="346" t="s">
        <v>811</v>
      </c>
      <c r="AL40" s="346" t="s">
        <v>714</v>
      </c>
      <c r="AM40" s="346" t="s">
        <v>800</v>
      </c>
      <c r="AN40" s="346" t="s">
        <v>324</v>
      </c>
      <c r="AO40" s="346" t="s">
        <v>394</v>
      </c>
      <c r="AP40" s="346" t="s">
        <v>394</v>
      </c>
      <c r="AQ40" s="346" t="s">
        <v>394</v>
      </c>
      <c r="AR40" s="346" t="s">
        <v>324</v>
      </c>
      <c r="AT40" s="346" t="s">
        <v>716</v>
      </c>
      <c r="AU40" s="346"/>
      <c r="AV40" s="346" t="s">
        <v>713</v>
      </c>
      <c r="AW40" s="346"/>
      <c r="AX40" s="346"/>
      <c r="AY40" s="346"/>
      <c r="AZ40" s="346" t="s">
        <v>324</v>
      </c>
      <c r="BA40" s="346" t="s">
        <v>324</v>
      </c>
      <c r="BB40" s="346" t="s">
        <v>324</v>
      </c>
      <c r="BC40" s="346"/>
      <c r="BD40" s="346" t="s">
        <v>324</v>
      </c>
      <c r="BE40" s="346" t="s">
        <v>324</v>
      </c>
      <c r="BF40" s="346" t="s">
        <v>324</v>
      </c>
      <c r="BG40" s="346" t="s">
        <v>324</v>
      </c>
      <c r="BH40" s="346" t="s">
        <v>812</v>
      </c>
      <c r="BI40" s="346" t="s">
        <v>324</v>
      </c>
      <c r="BJ40" s="346" t="s">
        <v>324</v>
      </c>
      <c r="BK40" s="346" t="s">
        <v>324</v>
      </c>
      <c r="BL40" s="346"/>
      <c r="BM40" s="346" t="s">
        <v>324</v>
      </c>
      <c r="BN40" s="346" t="s">
        <v>324</v>
      </c>
      <c r="BO40" s="346" t="s">
        <v>324</v>
      </c>
      <c r="BP40" s="346" t="s">
        <v>324</v>
      </c>
      <c r="BQ40" s="429">
        <f t="shared" si="49"/>
        <v>0</v>
      </c>
      <c r="BR40" s="429">
        <f t="shared" si="50"/>
        <v>0</v>
      </c>
      <c r="BS40" s="429">
        <f t="shared" si="51"/>
        <v>0</v>
      </c>
      <c r="BT40" s="429"/>
      <c r="BU40" s="429">
        <f t="shared" si="52"/>
        <v>0</v>
      </c>
      <c r="BV40" s="429">
        <f t="shared" si="53"/>
        <v>0</v>
      </c>
      <c r="BW40" s="429">
        <f t="shared" si="54"/>
        <v>0</v>
      </c>
      <c r="BX40" s="429">
        <f t="shared" si="55"/>
        <v>0</v>
      </c>
      <c r="BY40" s="346" t="s">
        <v>324</v>
      </c>
      <c r="BZ40" s="346" t="s">
        <v>324</v>
      </c>
      <c r="CA40" s="346" t="s">
        <v>324</v>
      </c>
      <c r="CB40" s="346"/>
      <c r="CC40" s="346" t="s">
        <v>324</v>
      </c>
      <c r="CD40" s="346" t="s">
        <v>324</v>
      </c>
      <c r="CE40" s="346" t="s">
        <v>324</v>
      </c>
      <c r="CF40" s="346" t="s">
        <v>324</v>
      </c>
      <c r="CG40" s="346" t="s">
        <v>324</v>
      </c>
      <c r="CH40" s="346" t="s">
        <v>324</v>
      </c>
      <c r="CI40" s="346" t="s">
        <v>324</v>
      </c>
      <c r="CJ40" s="346"/>
      <c r="CK40" s="346" t="s">
        <v>324</v>
      </c>
      <c r="CL40" s="346" t="s">
        <v>324</v>
      </c>
      <c r="CM40" s="346" t="s">
        <v>324</v>
      </c>
      <c r="CN40" s="346" t="s">
        <v>324</v>
      </c>
      <c r="CO40" s="346" t="s">
        <v>324</v>
      </c>
      <c r="CP40" s="346" t="s">
        <v>324</v>
      </c>
      <c r="CQ40" s="346" t="s">
        <v>324</v>
      </c>
      <c r="CR40" s="346"/>
      <c r="CS40" s="346" t="s">
        <v>324</v>
      </c>
      <c r="CT40" s="346" t="s">
        <v>324</v>
      </c>
      <c r="CU40" s="346" t="s">
        <v>324</v>
      </c>
      <c r="CV40" s="346" t="s">
        <v>324</v>
      </c>
      <c r="CW40" s="346"/>
      <c r="CX40" s="346" t="s">
        <v>324</v>
      </c>
      <c r="CY40" s="346" t="s">
        <v>324</v>
      </c>
      <c r="CZ40" s="346" t="s">
        <v>324</v>
      </c>
      <c r="DA40" s="346"/>
      <c r="DB40" s="346" t="s">
        <v>324</v>
      </c>
      <c r="DC40" s="346" t="s">
        <v>324</v>
      </c>
      <c r="DD40" s="346" t="s">
        <v>324</v>
      </c>
      <c r="DE40" s="346" t="s">
        <v>324</v>
      </c>
      <c r="DF40" s="429">
        <f t="shared" si="56"/>
        <v>0</v>
      </c>
      <c r="DG40" s="429">
        <f t="shared" si="57"/>
        <v>0</v>
      </c>
      <c r="DH40" s="429">
        <f t="shared" si="58"/>
        <v>0</v>
      </c>
      <c r="DI40" s="429"/>
      <c r="DJ40" s="429">
        <f t="shared" si="59"/>
        <v>0</v>
      </c>
      <c r="DK40" s="429">
        <f t="shared" si="60"/>
        <v>0</v>
      </c>
      <c r="DL40" s="429">
        <f t="shared" si="61"/>
        <v>0</v>
      </c>
      <c r="DM40" s="429">
        <f t="shared" si="62"/>
        <v>0</v>
      </c>
      <c r="DN40" s="346" t="s">
        <v>324</v>
      </c>
      <c r="DO40" s="346" t="s">
        <v>324</v>
      </c>
      <c r="DP40" s="346" t="s">
        <v>324</v>
      </c>
      <c r="DQ40" s="346"/>
      <c r="DR40" s="346" t="s">
        <v>324</v>
      </c>
      <c r="DS40" s="346" t="s">
        <v>324</v>
      </c>
      <c r="DT40" s="346" t="s">
        <v>324</v>
      </c>
      <c r="DU40" s="346" t="s">
        <v>324</v>
      </c>
      <c r="DV40" s="346" t="s">
        <v>324</v>
      </c>
      <c r="DW40" s="346" t="s">
        <v>324</v>
      </c>
      <c r="DX40" s="346" t="s">
        <v>324</v>
      </c>
      <c r="DY40" s="346"/>
      <c r="DZ40" s="346" t="s">
        <v>324</v>
      </c>
      <c r="EA40" s="346" t="s">
        <v>324</v>
      </c>
      <c r="EB40" s="346" t="s">
        <v>324</v>
      </c>
      <c r="EC40" s="346" t="s">
        <v>324</v>
      </c>
      <c r="ED40" s="346" t="s">
        <v>394</v>
      </c>
      <c r="EE40" s="346" t="s">
        <v>394</v>
      </c>
      <c r="EF40" s="346" t="s">
        <v>394</v>
      </c>
      <c r="EG40" s="346"/>
      <c r="EH40" s="346" t="s">
        <v>394</v>
      </c>
      <c r="EI40" s="346" t="s">
        <v>394</v>
      </c>
      <c r="EJ40" s="346" t="s">
        <v>394</v>
      </c>
      <c r="EK40" s="346" t="s">
        <v>394</v>
      </c>
      <c r="EL40" s="346" t="s">
        <v>394</v>
      </c>
      <c r="EM40" s="346" t="s">
        <v>394</v>
      </c>
      <c r="EN40" s="346" t="s">
        <v>394</v>
      </c>
      <c r="EO40" s="346"/>
      <c r="EP40" s="346" t="s">
        <v>394</v>
      </c>
      <c r="EQ40" s="346" t="s">
        <v>394</v>
      </c>
      <c r="ER40" s="346" t="s">
        <v>394</v>
      </c>
      <c r="ES40" s="346" t="s">
        <v>394</v>
      </c>
      <c r="ET40" s="346"/>
      <c r="EU40" s="346"/>
      <c r="EV40" s="346"/>
      <c r="EW40" s="346"/>
      <c r="EX40" s="346"/>
      <c r="EY40" s="346"/>
      <c r="EZ40" s="346"/>
      <c r="FA40" s="346"/>
      <c r="FB40" s="346" t="s">
        <v>394</v>
      </c>
      <c r="FC40" s="346" t="s">
        <v>394</v>
      </c>
      <c r="FD40" s="346" t="s">
        <v>394</v>
      </c>
      <c r="FE40" s="346" t="s">
        <v>394</v>
      </c>
      <c r="FF40" s="346" t="s">
        <v>394</v>
      </c>
      <c r="FG40" s="346" t="s">
        <v>394</v>
      </c>
      <c r="FH40" s="346" t="s">
        <v>394</v>
      </c>
      <c r="FI40" s="346" t="s">
        <v>394</v>
      </c>
      <c r="FJ40" s="346" t="s">
        <v>394</v>
      </c>
      <c r="FK40" s="346" t="s">
        <v>394</v>
      </c>
      <c r="FL40" s="346" t="s">
        <v>394</v>
      </c>
      <c r="FM40" s="346" t="s">
        <v>394</v>
      </c>
      <c r="FN40" s="346" t="s">
        <v>394</v>
      </c>
      <c r="FO40" s="346" t="s">
        <v>394</v>
      </c>
      <c r="FP40" s="346" t="s">
        <v>394</v>
      </c>
      <c r="FQ40" s="346" t="s">
        <v>394</v>
      </c>
    </row>
    <row r="41" spans="1:173">
      <c r="A41" s="335" t="s">
        <v>815</v>
      </c>
      <c r="B41" s="346" t="s">
        <v>815</v>
      </c>
      <c r="C41" s="346" t="s">
        <v>221</v>
      </c>
      <c r="D41" s="346" t="s">
        <v>2925</v>
      </c>
      <c r="E41" s="346" t="s">
        <v>2581</v>
      </c>
      <c r="F41" s="425" t="s">
        <v>2259</v>
      </c>
      <c r="G41" s="346" t="s">
        <v>324</v>
      </c>
      <c r="H41" s="346" t="s">
        <v>324</v>
      </c>
      <c r="I41" s="346">
        <v>27</v>
      </c>
      <c r="J41" s="346">
        <v>27</v>
      </c>
      <c r="K41" s="422"/>
      <c r="L41" s="422"/>
      <c r="M41" s="422"/>
      <c r="N41" s="346" t="s">
        <v>324</v>
      </c>
      <c r="O41" s="346" t="s">
        <v>324</v>
      </c>
      <c r="P41" s="346" t="s">
        <v>810</v>
      </c>
      <c r="Q41" s="346" t="s">
        <v>324</v>
      </c>
      <c r="R41" s="346" t="s">
        <v>324</v>
      </c>
      <c r="S41" s="346" t="s">
        <v>1890</v>
      </c>
      <c r="T41" s="346" t="s">
        <v>2942</v>
      </c>
      <c r="U41" s="346">
        <v>17</v>
      </c>
      <c r="V41" s="346" cm="1">
        <f t="array" ref="V41">IFERROR(INDEX('Offer Statistics'!$Q$2:$Q$500,MATCH(1,(B41='Offer Statistics'!$B$2:$B$500)*($B$11='Offer Statistics'!$K$2:$K$500),0)),"/")</f>
        <v>16</v>
      </c>
      <c r="W41" s="346" cm="1">
        <f t="array" ref="W41">IFERROR(INDEX('Offer Statistics'!$D$2:$D$500,MATCH(1,(B41='Offer Statistics'!$B$2:$B$500)*($B$11='Offer Statistics'!$K$2:$K$500),0)),"/")</f>
        <v>108</v>
      </c>
      <c r="X41" s="346" cm="1">
        <f t="array" ref="X41">IFERROR(INDEX('Offer Statistics'!$L$2:$L$500,MATCH(1,(B41='Offer Statistics'!$B$2:$B$500)*($B$11='Offer Statistics'!$K$2:$K$500),0)),"/")</f>
        <v>13</v>
      </c>
      <c r="Y41" s="346">
        <f t="shared" si="48"/>
        <v>8.3076923076923084</v>
      </c>
      <c r="Z41" s="346" t="s">
        <v>2941</v>
      </c>
      <c r="AA41" s="346" t="str">
        <f>入學要求!AF50</f>
        <v>/</v>
      </c>
      <c r="AB41" s="346" t="str">
        <f>入學要求!AG50</f>
        <v>/</v>
      </c>
      <c r="AC41" s="424" t="s">
        <v>2259</v>
      </c>
      <c r="AD41" s="346" t="s">
        <v>2945</v>
      </c>
      <c r="AE41" s="346" t="s">
        <v>2946</v>
      </c>
      <c r="AF41" s="346" t="s">
        <v>324</v>
      </c>
      <c r="AG41" s="346" t="s">
        <v>324</v>
      </c>
      <c r="AH41" s="346" t="s">
        <v>810</v>
      </c>
      <c r="AI41" s="346" t="s">
        <v>324</v>
      </c>
      <c r="AJ41" s="346" t="s">
        <v>324</v>
      </c>
      <c r="AK41" s="346" t="s">
        <v>811</v>
      </c>
      <c r="AL41" s="346" t="s">
        <v>714</v>
      </c>
      <c r="AM41" s="346" t="s">
        <v>800</v>
      </c>
      <c r="AN41" s="346" t="s">
        <v>324</v>
      </c>
      <c r="AO41" s="346" t="s">
        <v>394</v>
      </c>
      <c r="AP41" s="346" t="s">
        <v>394</v>
      </c>
      <c r="AQ41" s="346" t="s">
        <v>394</v>
      </c>
      <c r="AR41" s="346" t="s">
        <v>324</v>
      </c>
      <c r="AT41" s="346" t="s">
        <v>716</v>
      </c>
      <c r="AU41" s="346"/>
      <c r="AV41" s="346" t="s">
        <v>713</v>
      </c>
      <c r="AW41" s="346"/>
      <c r="AX41" s="346"/>
      <c r="AY41" s="346"/>
      <c r="AZ41" s="346" t="s">
        <v>324</v>
      </c>
      <c r="BA41" s="346" t="s">
        <v>324</v>
      </c>
      <c r="BB41" s="346" t="s">
        <v>324</v>
      </c>
      <c r="BC41" s="346"/>
      <c r="BD41" s="346" t="s">
        <v>324</v>
      </c>
      <c r="BE41" s="346" t="s">
        <v>324</v>
      </c>
      <c r="BF41" s="346" t="s">
        <v>324</v>
      </c>
      <c r="BG41" s="346" t="s">
        <v>324</v>
      </c>
      <c r="BH41" s="346" t="s">
        <v>815</v>
      </c>
      <c r="BI41" s="346" t="s">
        <v>324</v>
      </c>
      <c r="BJ41" s="346" t="s">
        <v>324</v>
      </c>
      <c r="BK41" s="346" t="s">
        <v>324</v>
      </c>
      <c r="BL41" s="346"/>
      <c r="BM41" s="346" t="s">
        <v>324</v>
      </c>
      <c r="BN41" s="346" t="s">
        <v>324</v>
      </c>
      <c r="BO41" s="346" t="s">
        <v>324</v>
      </c>
      <c r="BP41" s="346" t="s">
        <v>324</v>
      </c>
      <c r="BQ41" s="429">
        <f t="shared" si="49"/>
        <v>0</v>
      </c>
      <c r="BR41" s="429">
        <f t="shared" si="50"/>
        <v>0</v>
      </c>
      <c r="BS41" s="429">
        <f t="shared" si="51"/>
        <v>0</v>
      </c>
      <c r="BT41" s="429"/>
      <c r="BU41" s="429">
        <f t="shared" si="52"/>
        <v>0</v>
      </c>
      <c r="BV41" s="429">
        <f t="shared" si="53"/>
        <v>0</v>
      </c>
      <c r="BW41" s="429">
        <f t="shared" si="54"/>
        <v>0</v>
      </c>
      <c r="BX41" s="429">
        <f t="shared" si="55"/>
        <v>0</v>
      </c>
      <c r="BY41" s="346" t="s">
        <v>324</v>
      </c>
      <c r="BZ41" s="346" t="s">
        <v>324</v>
      </c>
      <c r="CA41" s="346" t="s">
        <v>324</v>
      </c>
      <c r="CB41" s="346"/>
      <c r="CC41" s="346" t="s">
        <v>324</v>
      </c>
      <c r="CD41" s="346" t="s">
        <v>324</v>
      </c>
      <c r="CE41" s="346" t="s">
        <v>324</v>
      </c>
      <c r="CF41" s="346" t="s">
        <v>324</v>
      </c>
      <c r="CG41" s="346" t="s">
        <v>324</v>
      </c>
      <c r="CH41" s="346" t="s">
        <v>324</v>
      </c>
      <c r="CI41" s="346" t="s">
        <v>324</v>
      </c>
      <c r="CJ41" s="346"/>
      <c r="CK41" s="346" t="s">
        <v>324</v>
      </c>
      <c r="CL41" s="346" t="s">
        <v>324</v>
      </c>
      <c r="CM41" s="346" t="s">
        <v>324</v>
      </c>
      <c r="CN41" s="346" t="s">
        <v>324</v>
      </c>
      <c r="CO41" s="346" t="s">
        <v>324</v>
      </c>
      <c r="CP41" s="346" t="s">
        <v>324</v>
      </c>
      <c r="CQ41" s="346" t="s">
        <v>324</v>
      </c>
      <c r="CR41" s="346"/>
      <c r="CS41" s="346" t="s">
        <v>324</v>
      </c>
      <c r="CT41" s="346" t="s">
        <v>324</v>
      </c>
      <c r="CU41" s="346" t="s">
        <v>324</v>
      </c>
      <c r="CV41" s="346" t="s">
        <v>324</v>
      </c>
      <c r="CW41" s="346"/>
      <c r="CX41" s="346" t="s">
        <v>324</v>
      </c>
      <c r="CY41" s="346" t="s">
        <v>324</v>
      </c>
      <c r="CZ41" s="346" t="s">
        <v>324</v>
      </c>
      <c r="DA41" s="346"/>
      <c r="DB41" s="346" t="s">
        <v>324</v>
      </c>
      <c r="DC41" s="346" t="s">
        <v>324</v>
      </c>
      <c r="DD41" s="346" t="s">
        <v>324</v>
      </c>
      <c r="DE41" s="346" t="s">
        <v>324</v>
      </c>
      <c r="DF41" s="429">
        <f t="shared" si="56"/>
        <v>0</v>
      </c>
      <c r="DG41" s="429">
        <f t="shared" si="57"/>
        <v>0</v>
      </c>
      <c r="DH41" s="429">
        <f t="shared" si="58"/>
        <v>0</v>
      </c>
      <c r="DI41" s="429"/>
      <c r="DJ41" s="429">
        <f t="shared" si="59"/>
        <v>0</v>
      </c>
      <c r="DK41" s="429">
        <f t="shared" si="60"/>
        <v>0</v>
      </c>
      <c r="DL41" s="429">
        <f t="shared" si="61"/>
        <v>0</v>
      </c>
      <c r="DM41" s="429">
        <f t="shared" si="62"/>
        <v>0</v>
      </c>
      <c r="DN41" s="346" t="s">
        <v>324</v>
      </c>
      <c r="DO41" s="346" t="s">
        <v>324</v>
      </c>
      <c r="DP41" s="346" t="s">
        <v>324</v>
      </c>
      <c r="DQ41" s="346"/>
      <c r="DR41" s="346" t="s">
        <v>324</v>
      </c>
      <c r="DS41" s="346" t="s">
        <v>324</v>
      </c>
      <c r="DT41" s="346" t="s">
        <v>324</v>
      </c>
      <c r="DU41" s="346" t="s">
        <v>324</v>
      </c>
      <c r="DV41" s="346" t="s">
        <v>324</v>
      </c>
      <c r="DW41" s="346" t="s">
        <v>324</v>
      </c>
      <c r="DX41" s="346" t="s">
        <v>324</v>
      </c>
      <c r="DY41" s="346"/>
      <c r="DZ41" s="346" t="s">
        <v>324</v>
      </c>
      <c r="EA41" s="346" t="s">
        <v>324</v>
      </c>
      <c r="EB41" s="346" t="s">
        <v>324</v>
      </c>
      <c r="EC41" s="346" t="s">
        <v>324</v>
      </c>
      <c r="ED41" s="346" t="s">
        <v>394</v>
      </c>
      <c r="EE41" s="346" t="s">
        <v>394</v>
      </c>
      <c r="EF41" s="346" t="s">
        <v>394</v>
      </c>
      <c r="EG41" s="346"/>
      <c r="EH41" s="346" t="s">
        <v>394</v>
      </c>
      <c r="EI41" s="346" t="s">
        <v>394</v>
      </c>
      <c r="EJ41" s="346" t="s">
        <v>394</v>
      </c>
      <c r="EK41" s="346" t="s">
        <v>394</v>
      </c>
      <c r="EL41" s="346" t="s">
        <v>394</v>
      </c>
      <c r="EM41" s="346" t="s">
        <v>394</v>
      </c>
      <c r="EN41" s="346" t="s">
        <v>394</v>
      </c>
      <c r="EO41" s="346"/>
      <c r="EP41" s="346" t="s">
        <v>394</v>
      </c>
      <c r="EQ41" s="346" t="s">
        <v>394</v>
      </c>
      <c r="ER41" s="346" t="s">
        <v>394</v>
      </c>
      <c r="ES41" s="346" t="s">
        <v>394</v>
      </c>
      <c r="ET41" s="346"/>
      <c r="EU41" s="346"/>
      <c r="EV41" s="346"/>
      <c r="EW41" s="346"/>
      <c r="EX41" s="346"/>
      <c r="EY41" s="346"/>
      <c r="EZ41" s="346"/>
      <c r="FA41" s="346"/>
      <c r="FB41" s="346" t="s">
        <v>394</v>
      </c>
      <c r="FC41" s="346" t="s">
        <v>394</v>
      </c>
      <c r="FD41" s="346" t="s">
        <v>394</v>
      </c>
      <c r="FE41" s="346" t="s">
        <v>394</v>
      </c>
      <c r="FF41" s="346" t="s">
        <v>394</v>
      </c>
      <c r="FG41" s="346" t="s">
        <v>394</v>
      </c>
      <c r="FH41" s="346" t="s">
        <v>394</v>
      </c>
      <c r="FI41" s="346" t="s">
        <v>394</v>
      </c>
      <c r="FJ41" s="346" t="s">
        <v>394</v>
      </c>
      <c r="FK41" s="346" t="s">
        <v>394</v>
      </c>
      <c r="FL41" s="346" t="s">
        <v>394</v>
      </c>
      <c r="FM41" s="346" t="s">
        <v>394</v>
      </c>
      <c r="FN41" s="346" t="s">
        <v>394</v>
      </c>
      <c r="FO41" s="346" t="s">
        <v>394</v>
      </c>
      <c r="FP41" s="346" t="s">
        <v>394</v>
      </c>
      <c r="FQ41" s="346" t="s">
        <v>394</v>
      </c>
    </row>
    <row r="42" spans="1:173">
      <c r="A42" s="335" t="s">
        <v>2582</v>
      </c>
      <c r="B42" s="346" t="s">
        <v>2582</v>
      </c>
      <c r="C42" s="346" t="s">
        <v>221</v>
      </c>
      <c r="D42" s="346" t="s">
        <v>819</v>
      </c>
      <c r="E42" s="346" t="s">
        <v>2584</v>
      </c>
      <c r="F42" s="346" t="s">
        <v>2940</v>
      </c>
      <c r="G42" s="346" t="s">
        <v>324</v>
      </c>
      <c r="H42" s="346" t="s">
        <v>324</v>
      </c>
      <c r="I42" s="346" t="s">
        <v>324</v>
      </c>
      <c r="J42" s="346" t="s">
        <v>324</v>
      </c>
      <c r="K42" s="346"/>
      <c r="L42" s="346"/>
      <c r="M42" s="346"/>
      <c r="N42" s="346" t="s">
        <v>324</v>
      </c>
      <c r="O42" s="346" t="s">
        <v>324</v>
      </c>
      <c r="P42" s="346" t="s">
        <v>324</v>
      </c>
      <c r="Q42" s="346" t="s">
        <v>324</v>
      </c>
      <c r="R42" s="346" t="s">
        <v>324</v>
      </c>
      <c r="S42" s="346" t="s">
        <v>2583</v>
      </c>
      <c r="T42" s="346" t="s">
        <v>2942</v>
      </c>
      <c r="U42" s="346">
        <v>10</v>
      </c>
      <c r="V42" s="346" t="str" cm="1">
        <f t="array" ref="V42">IFERROR(INDEX('Offer Statistics'!$Q$2:$Q$500,MATCH(1,(B42='Offer Statistics'!$B$2:$B$500)*($B$11='Offer Statistics'!$K$2:$K$500),0)),"/")</f>
        <v>/</v>
      </c>
      <c r="W42" s="346" t="str" cm="1">
        <f t="array" ref="W42">IFERROR(INDEX('Offer Statistics'!$D$2:$D$500,MATCH(1,(B42='Offer Statistics'!$B$2:$B$500)*($B$11='Offer Statistics'!$K$2:$K$500),0)),"/")</f>
        <v>/</v>
      </c>
      <c r="X42" s="346" t="str" cm="1">
        <f t="array" ref="X42">IFERROR(INDEX('Offer Statistics'!$L$2:$L$500,MATCH(1,(B42='Offer Statistics'!$B$2:$B$500)*($B$11='Offer Statistics'!$K$2:$K$500),0)),"/")</f>
        <v>/</v>
      </c>
      <c r="Y42" s="346" t="str">
        <f t="shared" si="48"/>
        <v>新科目</v>
      </c>
      <c r="Z42" s="346" t="s">
        <v>2941</v>
      </c>
      <c r="AA42" s="346" t="str">
        <f>入學要求!AF51</f>
        <v>/</v>
      </c>
      <c r="AB42" s="346" t="str">
        <f>入學要求!AG51</f>
        <v>/</v>
      </c>
      <c r="AC42" s="424" t="s">
        <v>2256</v>
      </c>
      <c r="AD42" s="346" t="s">
        <v>2945</v>
      </c>
      <c r="AE42" s="346" t="s">
        <v>2946</v>
      </c>
      <c r="AF42" s="346" t="s">
        <v>2268</v>
      </c>
      <c r="AG42" s="346" t="s">
        <v>324</v>
      </c>
      <c r="AH42" s="346" t="s">
        <v>770</v>
      </c>
      <c r="AI42" s="346" t="s">
        <v>324</v>
      </c>
      <c r="AJ42" s="346" t="s">
        <v>324</v>
      </c>
      <c r="AK42" s="346"/>
      <c r="AL42" s="346"/>
      <c r="AM42" s="346"/>
      <c r="AN42" s="346"/>
      <c r="AO42" s="346"/>
      <c r="AP42" s="346"/>
      <c r="AQ42" s="346"/>
      <c r="AR42" s="346"/>
      <c r="AT42" s="346" t="s">
        <v>716</v>
      </c>
      <c r="AU42" s="346"/>
      <c r="AV42" s="346" t="s">
        <v>713</v>
      </c>
      <c r="AW42" s="346"/>
      <c r="AX42" s="346"/>
      <c r="AY42" s="346"/>
      <c r="AZ42" s="346" t="s">
        <v>324</v>
      </c>
      <c r="BA42" s="346" t="s">
        <v>324</v>
      </c>
      <c r="BB42" s="346" t="s">
        <v>324</v>
      </c>
      <c r="BC42" s="346"/>
      <c r="BD42" s="346" t="s">
        <v>324</v>
      </c>
      <c r="BE42" s="346" t="s">
        <v>324</v>
      </c>
      <c r="BF42" s="346" t="s">
        <v>324</v>
      </c>
      <c r="BG42" s="346" t="s">
        <v>324</v>
      </c>
      <c r="BH42" s="346" t="s">
        <v>2582</v>
      </c>
      <c r="BI42" s="346" t="s">
        <v>324</v>
      </c>
      <c r="BJ42" s="346" t="s">
        <v>324</v>
      </c>
      <c r="BK42" s="346" t="s">
        <v>324</v>
      </c>
      <c r="BL42" s="346"/>
      <c r="BM42" s="346" t="s">
        <v>324</v>
      </c>
      <c r="BN42" s="346" t="s">
        <v>324</v>
      </c>
      <c r="BO42" s="346" t="s">
        <v>324</v>
      </c>
      <c r="BP42" s="346" t="s">
        <v>324</v>
      </c>
      <c r="BQ42" s="429"/>
      <c r="BR42" s="429"/>
      <c r="BS42" s="429"/>
      <c r="BT42" s="429"/>
      <c r="BU42" s="429"/>
      <c r="BV42" s="429"/>
      <c r="BW42" s="429"/>
      <c r="BX42" s="429"/>
      <c r="BY42" s="346" t="s">
        <v>324</v>
      </c>
      <c r="BZ42" s="346" t="s">
        <v>324</v>
      </c>
      <c r="CA42" s="346" t="s">
        <v>324</v>
      </c>
      <c r="CB42" s="346"/>
      <c r="CC42" s="346" t="s">
        <v>324</v>
      </c>
      <c r="CD42" s="346" t="s">
        <v>324</v>
      </c>
      <c r="CE42" s="346" t="s">
        <v>324</v>
      </c>
      <c r="CF42" s="346" t="s">
        <v>324</v>
      </c>
      <c r="CG42" s="346" t="s">
        <v>324</v>
      </c>
      <c r="CH42" s="346" t="s">
        <v>324</v>
      </c>
      <c r="CI42" s="346" t="s">
        <v>324</v>
      </c>
      <c r="CJ42" s="346"/>
      <c r="CK42" s="346" t="s">
        <v>324</v>
      </c>
      <c r="CL42" s="346" t="s">
        <v>324</v>
      </c>
      <c r="CM42" s="346" t="s">
        <v>324</v>
      </c>
      <c r="CN42" s="346" t="s">
        <v>324</v>
      </c>
      <c r="CO42" s="346" t="s">
        <v>324</v>
      </c>
      <c r="CP42" s="346" t="s">
        <v>324</v>
      </c>
      <c r="CQ42" s="346" t="s">
        <v>324</v>
      </c>
      <c r="CR42" s="346"/>
      <c r="CS42" s="346" t="s">
        <v>324</v>
      </c>
      <c r="CT42" s="346" t="s">
        <v>324</v>
      </c>
      <c r="CU42" s="346" t="s">
        <v>324</v>
      </c>
      <c r="CV42" s="346" t="s">
        <v>324</v>
      </c>
      <c r="CW42" s="346"/>
      <c r="CX42" s="346" t="s">
        <v>324</v>
      </c>
      <c r="CY42" s="346" t="s">
        <v>324</v>
      </c>
      <c r="CZ42" s="346" t="s">
        <v>324</v>
      </c>
      <c r="DA42" s="346"/>
      <c r="DB42" s="346" t="s">
        <v>324</v>
      </c>
      <c r="DC42" s="346" t="s">
        <v>324</v>
      </c>
      <c r="DD42" s="346" t="s">
        <v>324</v>
      </c>
      <c r="DE42" s="346" t="s">
        <v>324</v>
      </c>
      <c r="DF42" s="429"/>
      <c r="DG42" s="429"/>
      <c r="DH42" s="429"/>
      <c r="DI42" s="429"/>
      <c r="DJ42" s="429"/>
      <c r="DK42" s="429"/>
      <c r="DL42" s="429"/>
      <c r="DM42" s="429"/>
      <c r="DN42" s="346" t="s">
        <v>324</v>
      </c>
      <c r="DO42" s="346" t="s">
        <v>324</v>
      </c>
      <c r="DP42" s="346" t="s">
        <v>324</v>
      </c>
      <c r="DQ42" s="346"/>
      <c r="DR42" s="346" t="s">
        <v>324</v>
      </c>
      <c r="DS42" s="346" t="s">
        <v>324</v>
      </c>
      <c r="DT42" s="346" t="s">
        <v>324</v>
      </c>
      <c r="DU42" s="346" t="s">
        <v>324</v>
      </c>
      <c r="DV42" s="346" t="s">
        <v>324</v>
      </c>
      <c r="DW42" s="346" t="s">
        <v>324</v>
      </c>
      <c r="DX42" s="346" t="s">
        <v>324</v>
      </c>
      <c r="DY42" s="346"/>
      <c r="DZ42" s="346" t="s">
        <v>324</v>
      </c>
      <c r="EA42" s="346" t="s">
        <v>324</v>
      </c>
      <c r="EB42" s="346" t="s">
        <v>324</v>
      </c>
      <c r="EC42" s="346" t="s">
        <v>324</v>
      </c>
      <c r="ED42" s="346"/>
      <c r="EE42" s="346"/>
      <c r="EF42" s="346"/>
      <c r="EG42" s="346"/>
      <c r="EH42" s="346"/>
      <c r="EI42" s="346"/>
      <c r="EJ42" s="346"/>
      <c r="EK42" s="346"/>
      <c r="EL42" s="346"/>
      <c r="EM42" s="346"/>
      <c r="EN42" s="346"/>
      <c r="EO42" s="346"/>
      <c r="EP42" s="346"/>
      <c r="EQ42" s="346"/>
      <c r="ER42" s="346"/>
      <c r="ES42" s="346"/>
      <c r="ET42" s="346"/>
      <c r="EU42" s="346"/>
      <c r="EV42" s="346"/>
      <c r="EW42" s="346"/>
      <c r="EX42" s="346"/>
      <c r="EY42" s="346"/>
      <c r="EZ42" s="346"/>
      <c r="FA42" s="346"/>
      <c r="FB42" s="346"/>
      <c r="FC42" s="346"/>
      <c r="FD42" s="346"/>
      <c r="FE42" s="346"/>
      <c r="FF42" s="346"/>
      <c r="FG42" s="346"/>
      <c r="FH42" s="346"/>
      <c r="FI42" s="346"/>
      <c r="FJ42" s="346"/>
      <c r="FK42" s="346"/>
      <c r="FL42" s="346"/>
      <c r="FM42" s="346"/>
      <c r="FN42" s="346"/>
      <c r="FO42" s="346"/>
      <c r="FP42" s="346"/>
      <c r="FQ42" s="346"/>
    </row>
    <row r="43" spans="1:173" s="342" customFormat="1">
      <c r="A43" s="335" t="s">
        <v>818</v>
      </c>
      <c r="B43" s="346" t="s">
        <v>818</v>
      </c>
      <c r="C43" s="346" t="s">
        <v>221</v>
      </c>
      <c r="D43" s="346" t="s">
        <v>819</v>
      </c>
      <c r="E43" s="346" t="s">
        <v>2585</v>
      </c>
      <c r="F43" s="425" t="s">
        <v>785</v>
      </c>
      <c r="G43" s="346" t="s">
        <v>324</v>
      </c>
      <c r="H43" s="346" t="s">
        <v>324</v>
      </c>
      <c r="I43" s="346">
        <v>24</v>
      </c>
      <c r="J43" s="346">
        <v>23.5</v>
      </c>
      <c r="K43" s="422"/>
      <c r="L43" s="422"/>
      <c r="M43" s="422"/>
      <c r="N43" s="426" t="s">
        <v>786</v>
      </c>
      <c r="O43" s="346" t="s">
        <v>324</v>
      </c>
      <c r="P43" s="346" t="s">
        <v>2944</v>
      </c>
      <c r="Q43" s="346" t="s">
        <v>324</v>
      </c>
      <c r="R43" s="346" t="s">
        <v>324</v>
      </c>
      <c r="S43" s="346" t="s">
        <v>2110</v>
      </c>
      <c r="T43" s="346" t="s">
        <v>2942</v>
      </c>
      <c r="U43" s="346">
        <v>20</v>
      </c>
      <c r="V43" s="346" cm="1">
        <f t="array" ref="V43">IFERROR(INDEX('Offer Statistics'!$Q$2:$Q$500,MATCH(1,(B43='Offer Statistics'!$B$2:$B$500)*($B$11='Offer Statistics'!$K$2:$K$500),0)),"/")</f>
        <v>17</v>
      </c>
      <c r="W43" s="346" cm="1">
        <f t="array" ref="W43">IFERROR(INDEX('Offer Statistics'!$D$2:$D$500,MATCH(1,(B43='Offer Statistics'!$B$2:$B$500)*($B$11='Offer Statistics'!$K$2:$K$500),0)),"/")</f>
        <v>274</v>
      </c>
      <c r="X43" s="346" cm="1">
        <f t="array" ref="X43">IFERROR(INDEX('Offer Statistics'!$L$2:$L$500,MATCH(1,(B43='Offer Statistics'!$B$2:$B$500)*($B$11='Offer Statistics'!$K$2:$K$500),0)),"/")</f>
        <v>13</v>
      </c>
      <c r="Y43" s="346">
        <f t="shared" si="48"/>
        <v>21.076923076923077</v>
      </c>
      <c r="Z43" s="346" t="s">
        <v>2941</v>
      </c>
      <c r="AA43" s="346" t="str">
        <f>入學要求!AF52</f>
        <v>/</v>
      </c>
      <c r="AB43" s="346" t="str">
        <f>入學要求!AG52</f>
        <v>/</v>
      </c>
      <c r="AC43" s="425" t="s">
        <v>785</v>
      </c>
      <c r="AD43" s="346" t="s">
        <v>2945</v>
      </c>
      <c r="AE43" s="346" t="s">
        <v>2946</v>
      </c>
      <c r="AF43" s="426" t="s">
        <v>786</v>
      </c>
      <c r="AG43" s="346" t="s">
        <v>324</v>
      </c>
      <c r="AH43" s="346" t="s">
        <v>734</v>
      </c>
      <c r="AI43" s="346" t="s">
        <v>324</v>
      </c>
      <c r="AJ43" s="346" t="s">
        <v>324</v>
      </c>
      <c r="AK43" s="346" t="s">
        <v>793</v>
      </c>
      <c r="AL43" s="346" t="s">
        <v>794</v>
      </c>
      <c r="AM43" s="346" t="s">
        <v>324</v>
      </c>
      <c r="AN43" s="346" t="s">
        <v>394</v>
      </c>
      <c r="AO43" s="346" t="s">
        <v>394</v>
      </c>
      <c r="AP43" s="346" t="s">
        <v>394</v>
      </c>
      <c r="AQ43" s="346" t="s">
        <v>394</v>
      </c>
      <c r="AR43" s="346" t="s">
        <v>324</v>
      </c>
      <c r="AT43" s="346" t="s">
        <v>716</v>
      </c>
      <c r="AU43" s="346"/>
      <c r="AV43" s="346" t="s">
        <v>713</v>
      </c>
      <c r="AW43" s="346"/>
      <c r="AX43" s="346"/>
      <c r="AY43" s="346"/>
      <c r="AZ43" s="346" t="s">
        <v>324</v>
      </c>
      <c r="BA43" s="346" t="s">
        <v>324</v>
      </c>
      <c r="BB43" s="346" t="s">
        <v>324</v>
      </c>
      <c r="BC43" s="346"/>
      <c r="BD43" s="346" t="s">
        <v>324</v>
      </c>
      <c r="BE43" s="346" t="s">
        <v>324</v>
      </c>
      <c r="BF43" s="346" t="s">
        <v>324</v>
      </c>
      <c r="BG43" s="346" t="s">
        <v>324</v>
      </c>
      <c r="BH43" s="346" t="s">
        <v>818</v>
      </c>
      <c r="BI43" s="346" t="s">
        <v>324</v>
      </c>
      <c r="BJ43" s="346" t="s">
        <v>324</v>
      </c>
      <c r="BK43" s="346" t="s">
        <v>324</v>
      </c>
      <c r="BL43" s="346"/>
      <c r="BM43" s="346" t="s">
        <v>324</v>
      </c>
      <c r="BN43" s="346" t="s">
        <v>324</v>
      </c>
      <c r="BO43" s="346" t="s">
        <v>324</v>
      </c>
      <c r="BP43" s="346" t="s">
        <v>324</v>
      </c>
      <c r="BQ43" s="429">
        <f t="shared" si="49"/>
        <v>0</v>
      </c>
      <c r="BR43" s="429">
        <f t="shared" si="50"/>
        <v>0</v>
      </c>
      <c r="BS43" s="429">
        <f t="shared" si="51"/>
        <v>0</v>
      </c>
      <c r="BT43" s="429"/>
      <c r="BU43" s="429">
        <f t="shared" si="52"/>
        <v>0</v>
      </c>
      <c r="BV43" s="429">
        <f t="shared" si="53"/>
        <v>0</v>
      </c>
      <c r="BW43" s="429">
        <f t="shared" si="54"/>
        <v>0</v>
      </c>
      <c r="BX43" s="429">
        <f t="shared" si="55"/>
        <v>0</v>
      </c>
      <c r="BY43" s="346" t="s">
        <v>324</v>
      </c>
      <c r="BZ43" s="346" t="s">
        <v>324</v>
      </c>
      <c r="CA43" s="346" t="s">
        <v>324</v>
      </c>
      <c r="CB43" s="346"/>
      <c r="CC43" s="346" t="s">
        <v>324</v>
      </c>
      <c r="CD43" s="346" t="s">
        <v>324</v>
      </c>
      <c r="CE43" s="346" t="s">
        <v>324</v>
      </c>
      <c r="CF43" s="346" t="s">
        <v>324</v>
      </c>
      <c r="CG43" s="346" t="s">
        <v>324</v>
      </c>
      <c r="CH43" s="346" t="s">
        <v>324</v>
      </c>
      <c r="CI43" s="346" t="s">
        <v>324</v>
      </c>
      <c r="CJ43" s="346"/>
      <c r="CK43" s="346" t="s">
        <v>324</v>
      </c>
      <c r="CL43" s="346" t="s">
        <v>324</v>
      </c>
      <c r="CM43" s="346" t="s">
        <v>324</v>
      </c>
      <c r="CN43" s="346" t="s">
        <v>324</v>
      </c>
      <c r="CO43" s="346" t="s">
        <v>324</v>
      </c>
      <c r="CP43" s="346" t="s">
        <v>324</v>
      </c>
      <c r="CQ43" s="346" t="s">
        <v>324</v>
      </c>
      <c r="CR43" s="346"/>
      <c r="CS43" s="346" t="s">
        <v>324</v>
      </c>
      <c r="CT43" s="346" t="s">
        <v>324</v>
      </c>
      <c r="CU43" s="346" t="s">
        <v>324</v>
      </c>
      <c r="CV43" s="346" t="s">
        <v>324</v>
      </c>
      <c r="CW43" s="346"/>
      <c r="CX43" s="346" t="s">
        <v>324</v>
      </c>
      <c r="CY43" s="346" t="s">
        <v>324</v>
      </c>
      <c r="CZ43" s="346" t="s">
        <v>324</v>
      </c>
      <c r="DA43" s="346"/>
      <c r="DB43" s="346" t="s">
        <v>324</v>
      </c>
      <c r="DC43" s="346" t="s">
        <v>324</v>
      </c>
      <c r="DD43" s="346" t="s">
        <v>324</v>
      </c>
      <c r="DE43" s="346" t="s">
        <v>324</v>
      </c>
      <c r="DF43" s="429">
        <f t="shared" si="56"/>
        <v>0</v>
      </c>
      <c r="DG43" s="429">
        <f t="shared" si="57"/>
        <v>0</v>
      </c>
      <c r="DH43" s="429">
        <f t="shared" si="58"/>
        <v>0</v>
      </c>
      <c r="DI43" s="429"/>
      <c r="DJ43" s="429">
        <f t="shared" si="59"/>
        <v>0</v>
      </c>
      <c r="DK43" s="429">
        <f t="shared" si="60"/>
        <v>0</v>
      </c>
      <c r="DL43" s="429">
        <f t="shared" si="61"/>
        <v>0</v>
      </c>
      <c r="DM43" s="429">
        <f t="shared" si="62"/>
        <v>0</v>
      </c>
      <c r="DN43" s="346" t="s">
        <v>324</v>
      </c>
      <c r="DO43" s="346" t="s">
        <v>324</v>
      </c>
      <c r="DP43" s="346" t="s">
        <v>324</v>
      </c>
      <c r="DQ43" s="346"/>
      <c r="DR43" s="346" t="s">
        <v>324</v>
      </c>
      <c r="DS43" s="346" t="s">
        <v>324</v>
      </c>
      <c r="DT43" s="346" t="s">
        <v>324</v>
      </c>
      <c r="DU43" s="346" t="s">
        <v>324</v>
      </c>
      <c r="DV43" s="346" t="s">
        <v>324</v>
      </c>
      <c r="DW43" s="346" t="s">
        <v>324</v>
      </c>
      <c r="DX43" s="346" t="s">
        <v>324</v>
      </c>
      <c r="DY43" s="346"/>
      <c r="DZ43" s="346" t="s">
        <v>324</v>
      </c>
      <c r="EA43" s="346" t="s">
        <v>324</v>
      </c>
      <c r="EB43" s="346" t="s">
        <v>324</v>
      </c>
      <c r="EC43" s="346" t="s">
        <v>324</v>
      </c>
      <c r="ED43" s="346" t="s">
        <v>394</v>
      </c>
      <c r="EE43" s="346" t="s">
        <v>394</v>
      </c>
      <c r="EF43" s="346" t="s">
        <v>394</v>
      </c>
      <c r="EG43" s="346"/>
      <c r="EH43" s="346" t="s">
        <v>394</v>
      </c>
      <c r="EI43" s="346" t="s">
        <v>394</v>
      </c>
      <c r="EJ43" s="346" t="s">
        <v>394</v>
      </c>
      <c r="EK43" s="346" t="s">
        <v>394</v>
      </c>
      <c r="EL43" s="346" t="s">
        <v>394</v>
      </c>
      <c r="EM43" s="346" t="s">
        <v>394</v>
      </c>
      <c r="EN43" s="346" t="s">
        <v>394</v>
      </c>
      <c r="EO43" s="346"/>
      <c r="EP43" s="346" t="s">
        <v>394</v>
      </c>
      <c r="EQ43" s="346" t="s">
        <v>394</v>
      </c>
      <c r="ER43" s="346" t="s">
        <v>394</v>
      </c>
      <c r="ES43" s="346" t="s">
        <v>394</v>
      </c>
      <c r="ET43" s="346"/>
      <c r="EU43" s="346"/>
      <c r="EV43" s="346"/>
      <c r="EW43" s="346"/>
      <c r="EX43" s="346"/>
      <c r="EY43" s="346"/>
      <c r="EZ43" s="346"/>
      <c r="FA43" s="346"/>
      <c r="FB43" s="346" t="s">
        <v>394</v>
      </c>
      <c r="FC43" s="346" t="s">
        <v>394</v>
      </c>
      <c r="FD43" s="346" t="s">
        <v>394</v>
      </c>
      <c r="FE43" s="346" t="s">
        <v>394</v>
      </c>
      <c r="FF43" s="346" t="s">
        <v>394</v>
      </c>
      <c r="FG43" s="346" t="s">
        <v>394</v>
      </c>
      <c r="FH43" s="346" t="s">
        <v>394</v>
      </c>
      <c r="FI43" s="346" t="s">
        <v>394</v>
      </c>
      <c r="FJ43" s="346" t="s">
        <v>394</v>
      </c>
      <c r="FK43" s="346" t="s">
        <v>394</v>
      </c>
      <c r="FL43" s="346" t="s">
        <v>394</v>
      </c>
      <c r="FM43" s="346" t="s">
        <v>394</v>
      </c>
      <c r="FN43" s="346" t="s">
        <v>394</v>
      </c>
      <c r="FO43" s="346" t="s">
        <v>394</v>
      </c>
      <c r="FP43" s="346" t="s">
        <v>394</v>
      </c>
      <c r="FQ43" s="346" t="s">
        <v>394</v>
      </c>
    </row>
    <row r="44" spans="1:173" s="342" customFormat="1">
      <c r="A44" s="335" t="s">
        <v>822</v>
      </c>
      <c r="B44" s="346" t="s">
        <v>822</v>
      </c>
      <c r="C44" s="346" t="s">
        <v>221</v>
      </c>
      <c r="D44" s="346" t="s">
        <v>819</v>
      </c>
      <c r="E44" s="346" t="s">
        <v>2586</v>
      </c>
      <c r="F44" s="425" t="s">
        <v>2259</v>
      </c>
      <c r="G44" s="346" t="s">
        <v>324</v>
      </c>
      <c r="H44" s="346" t="s">
        <v>324</v>
      </c>
      <c r="I44" s="346">
        <v>34</v>
      </c>
      <c r="J44" s="346">
        <v>33</v>
      </c>
      <c r="K44" s="422"/>
      <c r="L44" s="422"/>
      <c r="M44" s="422"/>
      <c r="N44" s="346" t="s">
        <v>324</v>
      </c>
      <c r="O44" s="346" t="s">
        <v>324</v>
      </c>
      <c r="P44" s="426" t="s">
        <v>825</v>
      </c>
      <c r="Q44" s="426" t="s">
        <v>2266</v>
      </c>
      <c r="R44" s="424" t="s">
        <v>324</v>
      </c>
      <c r="S44" s="346" t="s">
        <v>824</v>
      </c>
      <c r="T44" s="346" t="s">
        <v>2942</v>
      </c>
      <c r="U44" s="346">
        <v>40</v>
      </c>
      <c r="V44" s="346" cm="1">
        <f t="array" ref="V44">IFERROR(INDEX('Offer Statistics'!$Q$2:$Q$500,MATCH(1,(B44='Offer Statistics'!$B$2:$B$500)*($B$11='Offer Statistics'!$K$2:$K$500),0)),"/")</f>
        <v>37</v>
      </c>
      <c r="W44" s="346" cm="1">
        <f t="array" ref="W44">IFERROR(INDEX('Offer Statistics'!$D$2:$D$500,MATCH(1,(B44='Offer Statistics'!$B$2:$B$500)*($B$11='Offer Statistics'!$K$2:$K$500),0)),"/")</f>
        <v>500</v>
      </c>
      <c r="X44" s="346" cm="1">
        <f t="array" ref="X44">IFERROR(INDEX('Offer Statistics'!$L$2:$L$500,MATCH(1,(B44='Offer Statistics'!$B$2:$B$500)*($B$11='Offer Statistics'!$K$2:$K$500),0)),"/")</f>
        <v>34</v>
      </c>
      <c r="Y44" s="346">
        <f t="shared" si="48"/>
        <v>14.705882352941176</v>
      </c>
      <c r="Z44" s="346" t="s">
        <v>2941</v>
      </c>
      <c r="AA44" s="346" t="str">
        <f>入學要求!AF53</f>
        <v>/</v>
      </c>
      <c r="AB44" s="346" t="str">
        <f>入學要求!AG53</f>
        <v>/</v>
      </c>
      <c r="AC44" s="425" t="s">
        <v>2259</v>
      </c>
      <c r="AD44" s="346" t="s">
        <v>2945</v>
      </c>
      <c r="AE44" s="346" t="s">
        <v>2946</v>
      </c>
      <c r="AF44" s="346" t="s">
        <v>324</v>
      </c>
      <c r="AG44" s="346" t="s">
        <v>324</v>
      </c>
      <c r="AH44" s="426" t="s">
        <v>825</v>
      </c>
      <c r="AI44" s="426" t="s">
        <v>2266</v>
      </c>
      <c r="AJ44" s="424" t="s">
        <v>324</v>
      </c>
      <c r="AK44" s="346" t="s">
        <v>714</v>
      </c>
      <c r="AL44" s="346" t="s">
        <v>800</v>
      </c>
      <c r="AM44" s="346" t="s">
        <v>324</v>
      </c>
      <c r="AN44" s="346" t="s">
        <v>394</v>
      </c>
      <c r="AO44" s="346" t="s">
        <v>394</v>
      </c>
      <c r="AP44" s="346" t="s">
        <v>394</v>
      </c>
      <c r="AQ44" s="346" t="s">
        <v>394</v>
      </c>
      <c r="AR44" s="346" t="s">
        <v>324</v>
      </c>
      <c r="AT44" s="346" t="s">
        <v>716</v>
      </c>
      <c r="AU44" s="346"/>
      <c r="AV44" s="346" t="s">
        <v>713</v>
      </c>
      <c r="AW44" s="346"/>
      <c r="AX44" s="346"/>
      <c r="AY44" s="346"/>
      <c r="AZ44" s="346" t="s">
        <v>324</v>
      </c>
      <c r="BA44" s="346" t="s">
        <v>324</v>
      </c>
      <c r="BB44" s="346" t="s">
        <v>324</v>
      </c>
      <c r="BC44" s="346"/>
      <c r="BD44" s="346" t="s">
        <v>324</v>
      </c>
      <c r="BE44" s="346" t="s">
        <v>324</v>
      </c>
      <c r="BF44" s="346" t="s">
        <v>324</v>
      </c>
      <c r="BG44" s="346" t="s">
        <v>324</v>
      </c>
      <c r="BH44" s="346" t="s">
        <v>822</v>
      </c>
      <c r="BI44" s="346" t="s">
        <v>324</v>
      </c>
      <c r="BJ44" s="346" t="s">
        <v>324</v>
      </c>
      <c r="BK44" s="346" t="s">
        <v>324</v>
      </c>
      <c r="BL44" s="346"/>
      <c r="BM44" s="346" t="s">
        <v>324</v>
      </c>
      <c r="BN44" s="346" t="s">
        <v>324</v>
      </c>
      <c r="BO44" s="346" t="s">
        <v>324</v>
      </c>
      <c r="BP44" s="346" t="s">
        <v>324</v>
      </c>
      <c r="BQ44" s="429">
        <f t="shared" si="49"/>
        <v>0</v>
      </c>
      <c r="BR44" s="429">
        <f t="shared" si="50"/>
        <v>0</v>
      </c>
      <c r="BS44" s="429">
        <f t="shared" si="51"/>
        <v>0</v>
      </c>
      <c r="BT44" s="429"/>
      <c r="BU44" s="429">
        <f t="shared" si="52"/>
        <v>0</v>
      </c>
      <c r="BV44" s="429">
        <f t="shared" si="53"/>
        <v>0</v>
      </c>
      <c r="BW44" s="429">
        <f t="shared" si="54"/>
        <v>0</v>
      </c>
      <c r="BX44" s="429">
        <f t="shared" si="55"/>
        <v>0</v>
      </c>
      <c r="BY44" s="346" t="s">
        <v>324</v>
      </c>
      <c r="BZ44" s="346" t="s">
        <v>324</v>
      </c>
      <c r="CA44" s="346" t="s">
        <v>324</v>
      </c>
      <c r="CB44" s="346"/>
      <c r="CC44" s="346" t="s">
        <v>324</v>
      </c>
      <c r="CD44" s="346" t="s">
        <v>324</v>
      </c>
      <c r="CE44" s="346" t="s">
        <v>324</v>
      </c>
      <c r="CF44" s="346" t="s">
        <v>324</v>
      </c>
      <c r="CG44" s="346" t="s">
        <v>324</v>
      </c>
      <c r="CH44" s="346" t="s">
        <v>324</v>
      </c>
      <c r="CI44" s="346" t="s">
        <v>324</v>
      </c>
      <c r="CJ44" s="346"/>
      <c r="CK44" s="346" t="s">
        <v>324</v>
      </c>
      <c r="CL44" s="346" t="s">
        <v>324</v>
      </c>
      <c r="CM44" s="346" t="s">
        <v>324</v>
      </c>
      <c r="CN44" s="346" t="s">
        <v>324</v>
      </c>
      <c r="CO44" s="346" t="s">
        <v>324</v>
      </c>
      <c r="CP44" s="346" t="s">
        <v>324</v>
      </c>
      <c r="CQ44" s="346" t="s">
        <v>324</v>
      </c>
      <c r="CR44" s="346"/>
      <c r="CS44" s="346" t="s">
        <v>324</v>
      </c>
      <c r="CT44" s="346" t="s">
        <v>324</v>
      </c>
      <c r="CU44" s="346" t="s">
        <v>324</v>
      </c>
      <c r="CV44" s="346" t="s">
        <v>324</v>
      </c>
      <c r="CW44" s="346"/>
      <c r="CX44" s="346" t="s">
        <v>324</v>
      </c>
      <c r="CY44" s="346" t="s">
        <v>324</v>
      </c>
      <c r="CZ44" s="346" t="s">
        <v>324</v>
      </c>
      <c r="DA44" s="346"/>
      <c r="DB44" s="346" t="s">
        <v>324</v>
      </c>
      <c r="DC44" s="346" t="s">
        <v>324</v>
      </c>
      <c r="DD44" s="346" t="s">
        <v>324</v>
      </c>
      <c r="DE44" s="346" t="s">
        <v>324</v>
      </c>
      <c r="DF44" s="429">
        <f t="shared" si="56"/>
        <v>0</v>
      </c>
      <c r="DG44" s="429">
        <f t="shared" si="57"/>
        <v>0</v>
      </c>
      <c r="DH44" s="429">
        <f t="shared" si="58"/>
        <v>0</v>
      </c>
      <c r="DI44" s="429"/>
      <c r="DJ44" s="429">
        <f t="shared" si="59"/>
        <v>0</v>
      </c>
      <c r="DK44" s="429">
        <f t="shared" si="60"/>
        <v>0</v>
      </c>
      <c r="DL44" s="429">
        <f t="shared" si="61"/>
        <v>0</v>
      </c>
      <c r="DM44" s="429">
        <f t="shared" si="62"/>
        <v>0</v>
      </c>
      <c r="DN44" s="346" t="s">
        <v>324</v>
      </c>
      <c r="DO44" s="346" t="s">
        <v>324</v>
      </c>
      <c r="DP44" s="346" t="s">
        <v>324</v>
      </c>
      <c r="DQ44" s="346"/>
      <c r="DR44" s="346" t="s">
        <v>324</v>
      </c>
      <c r="DS44" s="346" t="s">
        <v>324</v>
      </c>
      <c r="DT44" s="346" t="s">
        <v>324</v>
      </c>
      <c r="DU44" s="346" t="s">
        <v>324</v>
      </c>
      <c r="DV44" s="346" t="s">
        <v>324</v>
      </c>
      <c r="DW44" s="346" t="s">
        <v>324</v>
      </c>
      <c r="DX44" s="346" t="s">
        <v>324</v>
      </c>
      <c r="DY44" s="346"/>
      <c r="DZ44" s="346" t="s">
        <v>324</v>
      </c>
      <c r="EA44" s="346" t="s">
        <v>324</v>
      </c>
      <c r="EB44" s="346" t="s">
        <v>324</v>
      </c>
      <c r="EC44" s="346" t="s">
        <v>324</v>
      </c>
      <c r="ED44" s="346" t="s">
        <v>394</v>
      </c>
      <c r="EE44" s="346" t="s">
        <v>394</v>
      </c>
      <c r="EF44" s="346" t="s">
        <v>394</v>
      </c>
      <c r="EG44" s="346"/>
      <c r="EH44" s="346" t="s">
        <v>394</v>
      </c>
      <c r="EI44" s="346" t="s">
        <v>394</v>
      </c>
      <c r="EJ44" s="346" t="s">
        <v>394</v>
      </c>
      <c r="EK44" s="346" t="s">
        <v>394</v>
      </c>
      <c r="EL44" s="346" t="s">
        <v>394</v>
      </c>
      <c r="EM44" s="346" t="s">
        <v>394</v>
      </c>
      <c r="EN44" s="346" t="s">
        <v>394</v>
      </c>
      <c r="EO44" s="346"/>
      <c r="EP44" s="346" t="s">
        <v>394</v>
      </c>
      <c r="EQ44" s="346" t="s">
        <v>394</v>
      </c>
      <c r="ER44" s="346" t="s">
        <v>394</v>
      </c>
      <c r="ES44" s="346" t="s">
        <v>394</v>
      </c>
      <c r="ET44" s="346"/>
      <c r="EU44" s="346"/>
      <c r="EV44" s="346"/>
      <c r="EW44" s="346"/>
      <c r="EX44" s="346"/>
      <c r="EY44" s="346"/>
      <c r="EZ44" s="346"/>
      <c r="FA44" s="346"/>
      <c r="FB44" s="346" t="s">
        <v>394</v>
      </c>
      <c r="FC44" s="346" t="s">
        <v>394</v>
      </c>
      <c r="FD44" s="346" t="s">
        <v>394</v>
      </c>
      <c r="FE44" s="346" t="s">
        <v>394</v>
      </c>
      <c r="FF44" s="346" t="s">
        <v>394</v>
      </c>
      <c r="FG44" s="346" t="s">
        <v>394</v>
      </c>
      <c r="FH44" s="346" t="s">
        <v>394</v>
      </c>
      <c r="FI44" s="346" t="s">
        <v>394</v>
      </c>
      <c r="FJ44" s="346" t="s">
        <v>394</v>
      </c>
      <c r="FK44" s="346" t="s">
        <v>394</v>
      </c>
      <c r="FL44" s="346" t="s">
        <v>394</v>
      </c>
      <c r="FM44" s="346" t="s">
        <v>394</v>
      </c>
      <c r="FN44" s="346" t="s">
        <v>394</v>
      </c>
      <c r="FO44" s="346" t="s">
        <v>394</v>
      </c>
      <c r="FP44" s="346" t="s">
        <v>394</v>
      </c>
      <c r="FQ44" s="346" t="s">
        <v>394</v>
      </c>
    </row>
    <row r="45" spans="1:173" s="342" customFormat="1">
      <c r="A45" s="335" t="s">
        <v>826</v>
      </c>
      <c r="B45" s="346" t="s">
        <v>826</v>
      </c>
      <c r="C45" s="346" t="s">
        <v>221</v>
      </c>
      <c r="D45" s="346" t="s">
        <v>819</v>
      </c>
      <c r="E45" s="346" t="s">
        <v>2587</v>
      </c>
      <c r="F45" s="425" t="s">
        <v>785</v>
      </c>
      <c r="G45" s="346" t="s">
        <v>324</v>
      </c>
      <c r="H45" s="346" t="s">
        <v>324</v>
      </c>
      <c r="I45" s="346">
        <v>32.5</v>
      </c>
      <c r="J45" s="346">
        <v>30.5</v>
      </c>
      <c r="K45" s="346"/>
      <c r="L45" s="422"/>
      <c r="M45" s="422"/>
      <c r="N45" s="346" t="s">
        <v>786</v>
      </c>
      <c r="O45" s="346" t="s">
        <v>324</v>
      </c>
      <c r="P45" s="346" t="s">
        <v>829</v>
      </c>
      <c r="Q45" s="426" t="s">
        <v>2267</v>
      </c>
      <c r="R45" s="346" t="s">
        <v>324</v>
      </c>
      <c r="S45" s="346" t="s">
        <v>828</v>
      </c>
      <c r="T45" s="346" t="s">
        <v>2942</v>
      </c>
      <c r="U45" s="346">
        <v>25</v>
      </c>
      <c r="V45" s="346" cm="1">
        <f t="array" ref="V45">IFERROR(INDEX('Offer Statistics'!$Q$2:$Q$500,MATCH(1,(B45='Offer Statistics'!$B$2:$B$500)*($B$11='Offer Statistics'!$K$2:$K$500),0)),"/")</f>
        <v>28</v>
      </c>
      <c r="W45" s="346" cm="1">
        <f t="array" ref="W45">IFERROR(INDEX('Offer Statistics'!$D$2:$D$500,MATCH(1,(B45='Offer Statistics'!$B$2:$B$500)*($B$11='Offer Statistics'!$K$2:$K$500),0)),"/")</f>
        <v>172</v>
      </c>
      <c r="X45" s="346" cm="1">
        <f t="array" ref="X45">IFERROR(INDEX('Offer Statistics'!$L$2:$L$500,MATCH(1,(B45='Offer Statistics'!$B$2:$B$500)*($B$11='Offer Statistics'!$K$2:$K$500),0)),"/")</f>
        <v>20</v>
      </c>
      <c r="Y45" s="346">
        <f t="shared" si="48"/>
        <v>8.6</v>
      </c>
      <c r="Z45" s="346" t="s">
        <v>2941</v>
      </c>
      <c r="AA45" s="346" t="str">
        <f>入學要求!AF54</f>
        <v>/</v>
      </c>
      <c r="AB45" s="346" t="str">
        <f>入學要求!AG54</f>
        <v>/</v>
      </c>
      <c r="AC45" s="425" t="s">
        <v>785</v>
      </c>
      <c r="AD45" s="346" t="s">
        <v>2945</v>
      </c>
      <c r="AE45" s="346" t="s">
        <v>2946</v>
      </c>
      <c r="AF45" s="346" t="s">
        <v>786</v>
      </c>
      <c r="AG45" s="346" t="s">
        <v>324</v>
      </c>
      <c r="AH45" s="346" t="s">
        <v>829</v>
      </c>
      <c r="AI45" s="426" t="s">
        <v>2267</v>
      </c>
      <c r="AJ45" s="346" t="s">
        <v>324</v>
      </c>
      <c r="AK45" s="346" t="s">
        <v>714</v>
      </c>
      <c r="AL45" s="346" t="s">
        <v>740</v>
      </c>
      <c r="AM45" s="346" t="s">
        <v>324</v>
      </c>
      <c r="AN45" s="346" t="s">
        <v>324</v>
      </c>
      <c r="AO45" s="346" t="s">
        <v>394</v>
      </c>
      <c r="AP45" s="346" t="s">
        <v>394</v>
      </c>
      <c r="AQ45" s="346" t="s">
        <v>394</v>
      </c>
      <c r="AR45" s="346" t="s">
        <v>324</v>
      </c>
      <c r="AT45" s="346" t="s">
        <v>716</v>
      </c>
      <c r="AU45" s="346"/>
      <c r="AV45" s="346" t="s">
        <v>713</v>
      </c>
      <c r="AW45" s="346"/>
      <c r="AX45" s="346"/>
      <c r="AY45" s="346"/>
      <c r="AZ45" s="346" t="s">
        <v>324</v>
      </c>
      <c r="BA45" s="346" t="s">
        <v>324</v>
      </c>
      <c r="BB45" s="346" t="s">
        <v>324</v>
      </c>
      <c r="BC45" s="346"/>
      <c r="BD45" s="346" t="s">
        <v>324</v>
      </c>
      <c r="BE45" s="346" t="s">
        <v>324</v>
      </c>
      <c r="BF45" s="346" t="s">
        <v>324</v>
      </c>
      <c r="BG45" s="346" t="s">
        <v>324</v>
      </c>
      <c r="BH45" s="346" t="s">
        <v>826</v>
      </c>
      <c r="BI45" s="346" t="s">
        <v>324</v>
      </c>
      <c r="BJ45" s="346" t="s">
        <v>324</v>
      </c>
      <c r="BK45" s="346" t="s">
        <v>324</v>
      </c>
      <c r="BL45" s="346"/>
      <c r="BM45" s="346" t="s">
        <v>324</v>
      </c>
      <c r="BN45" s="346" t="s">
        <v>324</v>
      </c>
      <c r="BO45" s="346" t="s">
        <v>324</v>
      </c>
      <c r="BP45" s="346" t="s">
        <v>324</v>
      </c>
      <c r="BQ45" s="429">
        <f t="shared" si="49"/>
        <v>0</v>
      </c>
      <c r="BR45" s="429">
        <f t="shared" si="50"/>
        <v>0</v>
      </c>
      <c r="BS45" s="429">
        <f t="shared" si="51"/>
        <v>0</v>
      </c>
      <c r="BT45" s="429"/>
      <c r="BU45" s="429">
        <f t="shared" si="52"/>
        <v>0</v>
      </c>
      <c r="BV45" s="429">
        <f t="shared" si="53"/>
        <v>0</v>
      </c>
      <c r="BW45" s="429">
        <f t="shared" si="54"/>
        <v>0</v>
      </c>
      <c r="BX45" s="429">
        <f t="shared" si="55"/>
        <v>0</v>
      </c>
      <c r="BY45" s="346" t="s">
        <v>324</v>
      </c>
      <c r="BZ45" s="346" t="s">
        <v>324</v>
      </c>
      <c r="CA45" s="346" t="s">
        <v>324</v>
      </c>
      <c r="CB45" s="346"/>
      <c r="CC45" s="346" t="s">
        <v>324</v>
      </c>
      <c r="CD45" s="346" t="s">
        <v>324</v>
      </c>
      <c r="CE45" s="346" t="s">
        <v>324</v>
      </c>
      <c r="CF45" s="346" t="s">
        <v>324</v>
      </c>
      <c r="CG45" s="346" t="s">
        <v>324</v>
      </c>
      <c r="CH45" s="346" t="s">
        <v>324</v>
      </c>
      <c r="CI45" s="346" t="s">
        <v>324</v>
      </c>
      <c r="CJ45" s="346"/>
      <c r="CK45" s="346" t="s">
        <v>324</v>
      </c>
      <c r="CL45" s="346" t="s">
        <v>324</v>
      </c>
      <c r="CM45" s="346" t="s">
        <v>324</v>
      </c>
      <c r="CN45" s="346" t="s">
        <v>324</v>
      </c>
      <c r="CO45" s="346" t="s">
        <v>324</v>
      </c>
      <c r="CP45" s="346" t="s">
        <v>324</v>
      </c>
      <c r="CQ45" s="346" t="s">
        <v>324</v>
      </c>
      <c r="CR45" s="346"/>
      <c r="CS45" s="346" t="s">
        <v>324</v>
      </c>
      <c r="CT45" s="346" t="s">
        <v>324</v>
      </c>
      <c r="CU45" s="346" t="s">
        <v>324</v>
      </c>
      <c r="CV45" s="346" t="s">
        <v>324</v>
      </c>
      <c r="CW45" s="346"/>
      <c r="CX45" s="346" t="s">
        <v>324</v>
      </c>
      <c r="CY45" s="346" t="s">
        <v>324</v>
      </c>
      <c r="CZ45" s="346" t="s">
        <v>324</v>
      </c>
      <c r="DA45" s="346"/>
      <c r="DB45" s="346" t="s">
        <v>324</v>
      </c>
      <c r="DC45" s="346" t="s">
        <v>324</v>
      </c>
      <c r="DD45" s="346" t="s">
        <v>324</v>
      </c>
      <c r="DE45" s="346" t="s">
        <v>324</v>
      </c>
      <c r="DF45" s="429">
        <f t="shared" si="56"/>
        <v>0</v>
      </c>
      <c r="DG45" s="429">
        <f t="shared" si="57"/>
        <v>0</v>
      </c>
      <c r="DH45" s="429">
        <f t="shared" si="58"/>
        <v>0</v>
      </c>
      <c r="DI45" s="429"/>
      <c r="DJ45" s="429">
        <f t="shared" si="59"/>
        <v>0</v>
      </c>
      <c r="DK45" s="429">
        <f t="shared" si="60"/>
        <v>0</v>
      </c>
      <c r="DL45" s="429">
        <f t="shared" si="61"/>
        <v>0</v>
      </c>
      <c r="DM45" s="429">
        <f t="shared" si="62"/>
        <v>0</v>
      </c>
      <c r="DN45" s="346" t="s">
        <v>324</v>
      </c>
      <c r="DO45" s="346" t="s">
        <v>324</v>
      </c>
      <c r="DP45" s="346" t="s">
        <v>324</v>
      </c>
      <c r="DQ45" s="346"/>
      <c r="DR45" s="346" t="s">
        <v>324</v>
      </c>
      <c r="DS45" s="346" t="s">
        <v>324</v>
      </c>
      <c r="DT45" s="346" t="s">
        <v>324</v>
      </c>
      <c r="DU45" s="346" t="s">
        <v>324</v>
      </c>
      <c r="DV45" s="346" t="s">
        <v>324</v>
      </c>
      <c r="DW45" s="346" t="s">
        <v>324</v>
      </c>
      <c r="DX45" s="346" t="s">
        <v>324</v>
      </c>
      <c r="DY45" s="346"/>
      <c r="DZ45" s="346" t="s">
        <v>324</v>
      </c>
      <c r="EA45" s="346" t="s">
        <v>324</v>
      </c>
      <c r="EB45" s="346" t="s">
        <v>324</v>
      </c>
      <c r="EC45" s="346" t="s">
        <v>324</v>
      </c>
      <c r="ED45" s="346" t="s">
        <v>394</v>
      </c>
      <c r="EE45" s="346" t="s">
        <v>394</v>
      </c>
      <c r="EF45" s="346" t="s">
        <v>394</v>
      </c>
      <c r="EG45" s="346"/>
      <c r="EH45" s="346" t="s">
        <v>394</v>
      </c>
      <c r="EI45" s="346" t="s">
        <v>394</v>
      </c>
      <c r="EJ45" s="346" t="s">
        <v>394</v>
      </c>
      <c r="EK45" s="346" t="s">
        <v>394</v>
      </c>
      <c r="EL45" s="346" t="s">
        <v>394</v>
      </c>
      <c r="EM45" s="346" t="s">
        <v>394</v>
      </c>
      <c r="EN45" s="346" t="s">
        <v>394</v>
      </c>
      <c r="EO45" s="346"/>
      <c r="EP45" s="346" t="s">
        <v>394</v>
      </c>
      <c r="EQ45" s="346" t="s">
        <v>394</v>
      </c>
      <c r="ER45" s="346" t="s">
        <v>394</v>
      </c>
      <c r="ES45" s="346" t="s">
        <v>394</v>
      </c>
      <c r="ET45" s="346"/>
      <c r="EU45" s="346"/>
      <c r="EV45" s="346"/>
      <c r="EW45" s="346"/>
      <c r="EX45" s="346"/>
      <c r="EY45" s="346"/>
      <c r="EZ45" s="346"/>
      <c r="FA45" s="346"/>
      <c r="FB45" s="346" t="s">
        <v>394</v>
      </c>
      <c r="FC45" s="346" t="s">
        <v>394</v>
      </c>
      <c r="FD45" s="346" t="s">
        <v>394</v>
      </c>
      <c r="FE45" s="346" t="s">
        <v>394</v>
      </c>
      <c r="FF45" s="346" t="s">
        <v>394</v>
      </c>
      <c r="FG45" s="346" t="s">
        <v>394</v>
      </c>
      <c r="FH45" s="346" t="s">
        <v>394</v>
      </c>
      <c r="FI45" s="346" t="s">
        <v>394</v>
      </c>
      <c r="FJ45" s="346" t="s">
        <v>394</v>
      </c>
      <c r="FK45" s="346" t="s">
        <v>394</v>
      </c>
      <c r="FL45" s="346" t="s">
        <v>394</v>
      </c>
      <c r="FM45" s="346" t="s">
        <v>394</v>
      </c>
      <c r="FN45" s="346" t="s">
        <v>394</v>
      </c>
      <c r="FO45" s="346" t="s">
        <v>394</v>
      </c>
      <c r="FP45" s="346" t="s">
        <v>394</v>
      </c>
      <c r="FQ45" s="346" t="s">
        <v>394</v>
      </c>
    </row>
    <row r="46" spans="1:173">
      <c r="A46" s="335" t="s">
        <v>830</v>
      </c>
      <c r="B46" s="346" t="s">
        <v>830</v>
      </c>
      <c r="C46" s="346" t="s">
        <v>221</v>
      </c>
      <c r="D46" s="346" t="s">
        <v>819</v>
      </c>
      <c r="E46" s="346" t="s">
        <v>2588</v>
      </c>
      <c r="F46" s="425" t="s">
        <v>2256</v>
      </c>
      <c r="G46" s="346" t="s">
        <v>324</v>
      </c>
      <c r="H46" s="346" t="s">
        <v>324</v>
      </c>
      <c r="I46" s="346">
        <v>19.5</v>
      </c>
      <c r="J46" s="346">
        <v>19</v>
      </c>
      <c r="K46" s="346"/>
      <c r="L46" s="346"/>
      <c r="M46" s="346"/>
      <c r="N46" s="346" t="s">
        <v>2268</v>
      </c>
      <c r="O46" s="346" t="s">
        <v>324</v>
      </c>
      <c r="P46" s="346" t="s">
        <v>834</v>
      </c>
      <c r="Q46" s="346" t="s">
        <v>324</v>
      </c>
      <c r="R46" s="346" t="s">
        <v>324</v>
      </c>
      <c r="S46" s="346" t="s">
        <v>833</v>
      </c>
      <c r="T46" s="346" t="s">
        <v>2942</v>
      </c>
      <c r="U46" s="346">
        <v>45</v>
      </c>
      <c r="V46" s="346" cm="1">
        <f t="array" ref="V46">IFERROR(INDEX('Offer Statistics'!$Q$2:$Q$500,MATCH(1,(B46='Offer Statistics'!$B$2:$B$500)*($B$11='Offer Statistics'!$K$2:$K$500),0)),"/")</f>
        <v>43</v>
      </c>
      <c r="W46" s="346" cm="1">
        <f t="array" ref="W46">IFERROR(INDEX('Offer Statistics'!$D$2:$D$500,MATCH(1,(B46='Offer Statistics'!$B$2:$B$500)*($B$11='Offer Statistics'!$K$2:$K$500),0)),"/")</f>
        <v>505</v>
      </c>
      <c r="X46" s="346" cm="1">
        <f t="array" ref="X46">IFERROR(INDEX('Offer Statistics'!$L$2:$L$500,MATCH(1,(B46='Offer Statistics'!$B$2:$B$500)*($B$11='Offer Statistics'!$K$2:$K$500),0)),"/")</f>
        <v>36</v>
      </c>
      <c r="Y46" s="346">
        <f t="shared" si="48"/>
        <v>14.027777777777779</v>
      </c>
      <c r="Z46" s="346" t="s">
        <v>2941</v>
      </c>
      <c r="AA46" s="346" t="str">
        <f>入學要求!AF55</f>
        <v>/</v>
      </c>
      <c r="AB46" s="346" t="str">
        <f>入學要求!AG55</f>
        <v>/</v>
      </c>
      <c r="AC46" s="425" t="s">
        <v>2256</v>
      </c>
      <c r="AD46" s="346" t="s">
        <v>2945</v>
      </c>
      <c r="AE46" s="346" t="s">
        <v>2946</v>
      </c>
      <c r="AF46" s="346" t="s">
        <v>2268</v>
      </c>
      <c r="AG46" s="346" t="s">
        <v>324</v>
      </c>
      <c r="AH46" s="346" t="s">
        <v>834</v>
      </c>
      <c r="AI46" s="346" t="s">
        <v>324</v>
      </c>
      <c r="AJ46" s="346" t="s">
        <v>324</v>
      </c>
      <c r="AK46" s="346" t="s">
        <v>714</v>
      </c>
      <c r="AL46" s="346" t="s">
        <v>835</v>
      </c>
      <c r="AM46" s="346" t="s">
        <v>324</v>
      </c>
      <c r="AN46" s="346" t="s">
        <v>324</v>
      </c>
      <c r="AO46" s="346" t="s">
        <v>394</v>
      </c>
      <c r="AP46" s="346" t="s">
        <v>394</v>
      </c>
      <c r="AQ46" s="346" t="s">
        <v>394</v>
      </c>
      <c r="AR46" s="346" t="s">
        <v>324</v>
      </c>
      <c r="AT46" s="346" t="s">
        <v>716</v>
      </c>
      <c r="AU46" s="346"/>
      <c r="AV46" s="346" t="s">
        <v>713</v>
      </c>
      <c r="AW46" s="346"/>
      <c r="AX46" s="346"/>
      <c r="AY46" s="346"/>
      <c r="AZ46" s="346" t="s">
        <v>324</v>
      </c>
      <c r="BA46" s="346" t="s">
        <v>324</v>
      </c>
      <c r="BB46" s="346" t="s">
        <v>324</v>
      </c>
      <c r="BC46" s="346"/>
      <c r="BD46" s="346" t="s">
        <v>324</v>
      </c>
      <c r="BE46" s="346" t="s">
        <v>324</v>
      </c>
      <c r="BF46" s="346" t="s">
        <v>324</v>
      </c>
      <c r="BG46" s="346" t="s">
        <v>324</v>
      </c>
      <c r="BH46" s="346" t="s">
        <v>830</v>
      </c>
      <c r="BI46" s="346" t="s">
        <v>324</v>
      </c>
      <c r="BJ46" s="346" t="s">
        <v>324</v>
      </c>
      <c r="BK46" s="346" t="s">
        <v>324</v>
      </c>
      <c r="BL46" s="346"/>
      <c r="BM46" s="346" t="s">
        <v>324</v>
      </c>
      <c r="BN46" s="346" t="s">
        <v>324</v>
      </c>
      <c r="BO46" s="346" t="s">
        <v>324</v>
      </c>
      <c r="BP46" s="346" t="s">
        <v>324</v>
      </c>
      <c r="BQ46" s="429">
        <f t="shared" si="49"/>
        <v>0</v>
      </c>
      <c r="BR46" s="429">
        <f t="shared" si="50"/>
        <v>0</v>
      </c>
      <c r="BS46" s="429">
        <f t="shared" si="51"/>
        <v>0</v>
      </c>
      <c r="BT46" s="429"/>
      <c r="BU46" s="429">
        <f t="shared" si="52"/>
        <v>0</v>
      </c>
      <c r="BV46" s="429">
        <f t="shared" si="53"/>
        <v>0</v>
      </c>
      <c r="BW46" s="429">
        <f t="shared" si="54"/>
        <v>0</v>
      </c>
      <c r="BX46" s="429">
        <f t="shared" si="55"/>
        <v>0</v>
      </c>
      <c r="BY46" s="346" t="s">
        <v>324</v>
      </c>
      <c r="BZ46" s="346" t="s">
        <v>324</v>
      </c>
      <c r="CA46" s="346" t="s">
        <v>324</v>
      </c>
      <c r="CB46" s="346"/>
      <c r="CC46" s="346" t="s">
        <v>324</v>
      </c>
      <c r="CD46" s="346" t="s">
        <v>324</v>
      </c>
      <c r="CE46" s="346" t="s">
        <v>324</v>
      </c>
      <c r="CF46" s="346" t="s">
        <v>324</v>
      </c>
      <c r="CG46" s="346" t="s">
        <v>324</v>
      </c>
      <c r="CH46" s="346" t="s">
        <v>324</v>
      </c>
      <c r="CI46" s="346" t="s">
        <v>324</v>
      </c>
      <c r="CJ46" s="346"/>
      <c r="CK46" s="346" t="s">
        <v>324</v>
      </c>
      <c r="CL46" s="346" t="s">
        <v>324</v>
      </c>
      <c r="CM46" s="346" t="s">
        <v>324</v>
      </c>
      <c r="CN46" s="346" t="s">
        <v>324</v>
      </c>
      <c r="CO46" s="346" t="s">
        <v>324</v>
      </c>
      <c r="CP46" s="346" t="s">
        <v>324</v>
      </c>
      <c r="CQ46" s="346" t="s">
        <v>324</v>
      </c>
      <c r="CR46" s="346"/>
      <c r="CS46" s="346" t="s">
        <v>324</v>
      </c>
      <c r="CT46" s="346" t="s">
        <v>324</v>
      </c>
      <c r="CU46" s="346" t="s">
        <v>324</v>
      </c>
      <c r="CV46" s="346" t="s">
        <v>324</v>
      </c>
      <c r="CW46" s="346"/>
      <c r="CX46" s="346" t="s">
        <v>324</v>
      </c>
      <c r="CY46" s="346" t="s">
        <v>324</v>
      </c>
      <c r="CZ46" s="346" t="s">
        <v>324</v>
      </c>
      <c r="DA46" s="346"/>
      <c r="DB46" s="346" t="s">
        <v>324</v>
      </c>
      <c r="DC46" s="346" t="s">
        <v>324</v>
      </c>
      <c r="DD46" s="346" t="s">
        <v>324</v>
      </c>
      <c r="DE46" s="346" t="s">
        <v>324</v>
      </c>
      <c r="DF46" s="429">
        <f t="shared" si="56"/>
        <v>0</v>
      </c>
      <c r="DG46" s="429">
        <f t="shared" si="57"/>
        <v>0</v>
      </c>
      <c r="DH46" s="429">
        <f t="shared" si="58"/>
        <v>0</v>
      </c>
      <c r="DI46" s="429"/>
      <c r="DJ46" s="429">
        <f t="shared" si="59"/>
        <v>0</v>
      </c>
      <c r="DK46" s="429">
        <f t="shared" si="60"/>
        <v>0</v>
      </c>
      <c r="DL46" s="429">
        <f t="shared" si="61"/>
        <v>0</v>
      </c>
      <c r="DM46" s="429">
        <f t="shared" si="62"/>
        <v>0</v>
      </c>
      <c r="DN46" s="346" t="s">
        <v>324</v>
      </c>
      <c r="DO46" s="346" t="s">
        <v>324</v>
      </c>
      <c r="DP46" s="346" t="s">
        <v>324</v>
      </c>
      <c r="DQ46" s="346"/>
      <c r="DR46" s="346" t="s">
        <v>324</v>
      </c>
      <c r="DS46" s="346" t="s">
        <v>324</v>
      </c>
      <c r="DT46" s="346" t="s">
        <v>324</v>
      </c>
      <c r="DU46" s="346" t="s">
        <v>324</v>
      </c>
      <c r="DV46" s="346" t="s">
        <v>324</v>
      </c>
      <c r="DW46" s="346" t="s">
        <v>324</v>
      </c>
      <c r="DX46" s="346" t="s">
        <v>324</v>
      </c>
      <c r="DY46" s="346"/>
      <c r="DZ46" s="346" t="s">
        <v>324</v>
      </c>
      <c r="EA46" s="346" t="s">
        <v>324</v>
      </c>
      <c r="EB46" s="346" t="s">
        <v>324</v>
      </c>
      <c r="EC46" s="346" t="s">
        <v>324</v>
      </c>
      <c r="ED46" s="346" t="s">
        <v>394</v>
      </c>
      <c r="EE46" s="346" t="s">
        <v>394</v>
      </c>
      <c r="EF46" s="346" t="s">
        <v>394</v>
      </c>
      <c r="EG46" s="346"/>
      <c r="EH46" s="346" t="s">
        <v>394</v>
      </c>
      <c r="EI46" s="346" t="s">
        <v>394</v>
      </c>
      <c r="EJ46" s="346" t="s">
        <v>394</v>
      </c>
      <c r="EK46" s="346" t="s">
        <v>394</v>
      </c>
      <c r="EL46" s="346" t="s">
        <v>394</v>
      </c>
      <c r="EM46" s="346" t="s">
        <v>394</v>
      </c>
      <c r="EN46" s="346" t="s">
        <v>394</v>
      </c>
      <c r="EO46" s="346"/>
      <c r="EP46" s="346" t="s">
        <v>394</v>
      </c>
      <c r="EQ46" s="346" t="s">
        <v>394</v>
      </c>
      <c r="ER46" s="346" t="s">
        <v>394</v>
      </c>
      <c r="ES46" s="346" t="s">
        <v>394</v>
      </c>
      <c r="ET46" s="346"/>
      <c r="EU46" s="346"/>
      <c r="EV46" s="346"/>
      <c r="EW46" s="346"/>
      <c r="EX46" s="346"/>
      <c r="EY46" s="346"/>
      <c r="EZ46" s="346"/>
      <c r="FA46" s="346"/>
      <c r="FB46" s="346" t="s">
        <v>394</v>
      </c>
      <c r="FC46" s="346" t="s">
        <v>394</v>
      </c>
      <c r="FD46" s="346" t="s">
        <v>394</v>
      </c>
      <c r="FE46" s="346" t="s">
        <v>394</v>
      </c>
      <c r="FF46" s="346" t="s">
        <v>394</v>
      </c>
      <c r="FG46" s="346" t="s">
        <v>394</v>
      </c>
      <c r="FH46" s="346" t="s">
        <v>394</v>
      </c>
      <c r="FI46" s="346" t="s">
        <v>394</v>
      </c>
      <c r="FJ46" s="346" t="s">
        <v>394</v>
      </c>
      <c r="FK46" s="346" t="s">
        <v>394</v>
      </c>
      <c r="FL46" s="346" t="s">
        <v>394</v>
      </c>
      <c r="FM46" s="346" t="s">
        <v>394</v>
      </c>
      <c r="FN46" s="346" t="s">
        <v>394</v>
      </c>
      <c r="FO46" s="346" t="s">
        <v>394</v>
      </c>
      <c r="FP46" s="346" t="s">
        <v>394</v>
      </c>
      <c r="FQ46" s="346" t="s">
        <v>394</v>
      </c>
    </row>
    <row r="47" spans="1:173">
      <c r="A47" s="335" t="s">
        <v>836</v>
      </c>
      <c r="B47" s="346" t="s">
        <v>836</v>
      </c>
      <c r="C47" s="346" t="s">
        <v>221</v>
      </c>
      <c r="D47" s="346" t="s">
        <v>819</v>
      </c>
      <c r="E47" s="346" t="s">
        <v>2590</v>
      </c>
      <c r="F47" s="425" t="s">
        <v>2259</v>
      </c>
      <c r="G47" s="346" t="s">
        <v>324</v>
      </c>
      <c r="H47" s="346" t="s">
        <v>324</v>
      </c>
      <c r="I47" s="346">
        <v>22</v>
      </c>
      <c r="J47" s="346">
        <v>21</v>
      </c>
      <c r="K47" s="346"/>
      <c r="L47" s="346"/>
      <c r="M47" s="346"/>
      <c r="N47" s="346" t="s">
        <v>324</v>
      </c>
      <c r="O47" s="346" t="s">
        <v>324</v>
      </c>
      <c r="P47" s="346" t="s">
        <v>734</v>
      </c>
      <c r="Q47" s="346" t="s">
        <v>324</v>
      </c>
      <c r="R47" s="346" t="s">
        <v>324</v>
      </c>
      <c r="S47" s="346" t="s">
        <v>2589</v>
      </c>
      <c r="T47" s="346" t="s">
        <v>2942</v>
      </c>
      <c r="U47" s="346">
        <v>63</v>
      </c>
      <c r="V47" s="346" cm="1">
        <f t="array" ref="V47">IFERROR(INDEX('Offer Statistics'!$Q$2:$Q$500,MATCH(1,(B47='Offer Statistics'!$B$2:$B$500)*($B$11='Offer Statistics'!$K$2:$K$500),0)),"/")</f>
        <v>59</v>
      </c>
      <c r="W47" s="346" cm="1">
        <f t="array" ref="W47">IFERROR(INDEX('Offer Statistics'!$D$2:$D$500,MATCH(1,(B47='Offer Statistics'!$B$2:$B$500)*($B$11='Offer Statistics'!$K$2:$K$500),0)),"/")</f>
        <v>271</v>
      </c>
      <c r="X47" s="346" cm="1">
        <f t="array" ref="X47">IFERROR(INDEX('Offer Statistics'!$L$2:$L$500,MATCH(1,(B47='Offer Statistics'!$B$2:$B$500)*($B$11='Offer Statistics'!$K$2:$K$500),0)),"/")</f>
        <v>48</v>
      </c>
      <c r="Y47" s="346">
        <f t="shared" si="48"/>
        <v>5.645833333333333</v>
      </c>
      <c r="Z47" s="346" t="s">
        <v>2941</v>
      </c>
      <c r="AA47" s="346" t="str">
        <f>入學要求!AF56</f>
        <v>/</v>
      </c>
      <c r="AB47" s="346" t="str">
        <f>入學要求!AG56</f>
        <v>/</v>
      </c>
      <c r="AC47" s="425" t="s">
        <v>2259</v>
      </c>
      <c r="AD47" s="346" t="s">
        <v>2945</v>
      </c>
      <c r="AE47" s="346" t="s">
        <v>2946</v>
      </c>
      <c r="AF47" s="346" t="s">
        <v>324</v>
      </c>
      <c r="AG47" s="346" t="s">
        <v>324</v>
      </c>
      <c r="AH47" s="346" t="s">
        <v>734</v>
      </c>
      <c r="AI47" s="346" t="s">
        <v>324</v>
      </c>
      <c r="AJ47" s="346" t="s">
        <v>324</v>
      </c>
      <c r="AK47" s="346" t="s">
        <v>714</v>
      </c>
      <c r="AL47" s="346" t="s">
        <v>324</v>
      </c>
      <c r="AM47" s="346" t="s">
        <v>324</v>
      </c>
      <c r="AN47" s="346" t="s">
        <v>324</v>
      </c>
      <c r="AO47" s="346" t="s">
        <v>394</v>
      </c>
      <c r="AP47" s="346" t="s">
        <v>394</v>
      </c>
      <c r="AQ47" s="346" t="s">
        <v>394</v>
      </c>
      <c r="AR47" s="346" t="s">
        <v>324</v>
      </c>
      <c r="AT47" s="346" t="s">
        <v>716</v>
      </c>
      <c r="AU47" s="346"/>
      <c r="AV47" s="346" t="s">
        <v>713</v>
      </c>
      <c r="AW47" s="346"/>
      <c r="AX47" s="346"/>
      <c r="AY47" s="346"/>
      <c r="AZ47" s="346" t="s">
        <v>324</v>
      </c>
      <c r="BA47" s="346" t="s">
        <v>324</v>
      </c>
      <c r="BB47" s="346" t="s">
        <v>324</v>
      </c>
      <c r="BC47" s="346"/>
      <c r="BD47" s="346" t="s">
        <v>324</v>
      </c>
      <c r="BE47" s="346" t="s">
        <v>324</v>
      </c>
      <c r="BF47" s="346" t="s">
        <v>324</v>
      </c>
      <c r="BG47" s="346" t="s">
        <v>324</v>
      </c>
      <c r="BH47" s="346" t="s">
        <v>836</v>
      </c>
      <c r="BI47" s="346" t="s">
        <v>324</v>
      </c>
      <c r="BJ47" s="346" t="s">
        <v>324</v>
      </c>
      <c r="BK47" s="346" t="s">
        <v>324</v>
      </c>
      <c r="BL47" s="346"/>
      <c r="BM47" s="346" t="s">
        <v>324</v>
      </c>
      <c r="BN47" s="346" t="s">
        <v>324</v>
      </c>
      <c r="BO47" s="346" t="s">
        <v>324</v>
      </c>
      <c r="BP47" s="346" t="s">
        <v>324</v>
      </c>
      <c r="BQ47" s="429">
        <f t="shared" si="49"/>
        <v>0</v>
      </c>
      <c r="BR47" s="429">
        <f t="shared" si="50"/>
        <v>0</v>
      </c>
      <c r="BS47" s="429">
        <f t="shared" si="51"/>
        <v>0</v>
      </c>
      <c r="BT47" s="429"/>
      <c r="BU47" s="429">
        <f t="shared" si="52"/>
        <v>0</v>
      </c>
      <c r="BV47" s="429">
        <f t="shared" si="53"/>
        <v>0</v>
      </c>
      <c r="BW47" s="429">
        <f t="shared" si="54"/>
        <v>0</v>
      </c>
      <c r="BX47" s="429">
        <f t="shared" si="55"/>
        <v>0</v>
      </c>
      <c r="BY47" s="346" t="s">
        <v>324</v>
      </c>
      <c r="BZ47" s="346" t="s">
        <v>324</v>
      </c>
      <c r="CA47" s="346" t="s">
        <v>324</v>
      </c>
      <c r="CB47" s="346"/>
      <c r="CC47" s="346" t="s">
        <v>324</v>
      </c>
      <c r="CD47" s="346" t="s">
        <v>324</v>
      </c>
      <c r="CE47" s="346" t="s">
        <v>324</v>
      </c>
      <c r="CF47" s="346" t="s">
        <v>324</v>
      </c>
      <c r="CG47" s="346" t="s">
        <v>324</v>
      </c>
      <c r="CH47" s="346" t="s">
        <v>324</v>
      </c>
      <c r="CI47" s="346" t="s">
        <v>324</v>
      </c>
      <c r="CJ47" s="346"/>
      <c r="CK47" s="346" t="s">
        <v>324</v>
      </c>
      <c r="CL47" s="346" t="s">
        <v>324</v>
      </c>
      <c r="CM47" s="346" t="s">
        <v>324</v>
      </c>
      <c r="CN47" s="346" t="s">
        <v>324</v>
      </c>
      <c r="CO47" s="346" t="s">
        <v>324</v>
      </c>
      <c r="CP47" s="346" t="s">
        <v>324</v>
      </c>
      <c r="CQ47" s="346" t="s">
        <v>324</v>
      </c>
      <c r="CR47" s="346"/>
      <c r="CS47" s="346" t="s">
        <v>324</v>
      </c>
      <c r="CT47" s="346" t="s">
        <v>324</v>
      </c>
      <c r="CU47" s="346" t="s">
        <v>324</v>
      </c>
      <c r="CV47" s="346" t="s">
        <v>324</v>
      </c>
      <c r="CW47" s="346"/>
      <c r="CX47" s="346" t="s">
        <v>324</v>
      </c>
      <c r="CY47" s="346" t="s">
        <v>324</v>
      </c>
      <c r="CZ47" s="346" t="s">
        <v>324</v>
      </c>
      <c r="DA47" s="346"/>
      <c r="DB47" s="346" t="s">
        <v>324</v>
      </c>
      <c r="DC47" s="346" t="s">
        <v>324</v>
      </c>
      <c r="DD47" s="346" t="s">
        <v>324</v>
      </c>
      <c r="DE47" s="346" t="s">
        <v>324</v>
      </c>
      <c r="DF47" s="429">
        <f t="shared" si="56"/>
        <v>0</v>
      </c>
      <c r="DG47" s="429">
        <f t="shared" si="57"/>
        <v>0</v>
      </c>
      <c r="DH47" s="429">
        <f t="shared" si="58"/>
        <v>0</v>
      </c>
      <c r="DI47" s="429"/>
      <c r="DJ47" s="429">
        <f t="shared" si="59"/>
        <v>0</v>
      </c>
      <c r="DK47" s="429">
        <f t="shared" si="60"/>
        <v>0</v>
      </c>
      <c r="DL47" s="429">
        <f t="shared" si="61"/>
        <v>0</v>
      </c>
      <c r="DM47" s="429">
        <f t="shared" si="62"/>
        <v>0</v>
      </c>
      <c r="DN47" s="346" t="s">
        <v>324</v>
      </c>
      <c r="DO47" s="346" t="s">
        <v>324</v>
      </c>
      <c r="DP47" s="346" t="s">
        <v>324</v>
      </c>
      <c r="DQ47" s="346"/>
      <c r="DR47" s="346" t="s">
        <v>324</v>
      </c>
      <c r="DS47" s="346" t="s">
        <v>324</v>
      </c>
      <c r="DT47" s="346" t="s">
        <v>324</v>
      </c>
      <c r="DU47" s="346" t="s">
        <v>324</v>
      </c>
      <c r="DV47" s="346" t="s">
        <v>324</v>
      </c>
      <c r="DW47" s="346" t="s">
        <v>324</v>
      </c>
      <c r="DX47" s="346" t="s">
        <v>324</v>
      </c>
      <c r="DY47" s="346"/>
      <c r="DZ47" s="346" t="s">
        <v>324</v>
      </c>
      <c r="EA47" s="346" t="s">
        <v>324</v>
      </c>
      <c r="EB47" s="346" t="s">
        <v>324</v>
      </c>
      <c r="EC47" s="346" t="s">
        <v>324</v>
      </c>
      <c r="ED47" s="346" t="s">
        <v>394</v>
      </c>
      <c r="EE47" s="346" t="s">
        <v>394</v>
      </c>
      <c r="EF47" s="346" t="s">
        <v>394</v>
      </c>
      <c r="EG47" s="346"/>
      <c r="EH47" s="346" t="s">
        <v>394</v>
      </c>
      <c r="EI47" s="346" t="s">
        <v>394</v>
      </c>
      <c r="EJ47" s="346" t="s">
        <v>394</v>
      </c>
      <c r="EK47" s="346" t="s">
        <v>394</v>
      </c>
      <c r="EL47" s="346" t="s">
        <v>394</v>
      </c>
      <c r="EM47" s="346" t="s">
        <v>394</v>
      </c>
      <c r="EN47" s="346" t="s">
        <v>394</v>
      </c>
      <c r="EO47" s="346"/>
      <c r="EP47" s="346" t="s">
        <v>394</v>
      </c>
      <c r="EQ47" s="346" t="s">
        <v>394</v>
      </c>
      <c r="ER47" s="346" t="s">
        <v>394</v>
      </c>
      <c r="ES47" s="346" t="s">
        <v>394</v>
      </c>
      <c r="ET47" s="346"/>
      <c r="EU47" s="346"/>
      <c r="EV47" s="346"/>
      <c r="EW47" s="346"/>
      <c r="EX47" s="346"/>
      <c r="EY47" s="346"/>
      <c r="EZ47" s="346"/>
      <c r="FA47" s="346"/>
      <c r="FB47" s="346" t="s">
        <v>394</v>
      </c>
      <c r="FC47" s="346" t="s">
        <v>394</v>
      </c>
      <c r="FD47" s="346" t="s">
        <v>394</v>
      </c>
      <c r="FE47" s="346" t="s">
        <v>394</v>
      </c>
      <c r="FF47" s="346" t="s">
        <v>394</v>
      </c>
      <c r="FG47" s="346" t="s">
        <v>394</v>
      </c>
      <c r="FH47" s="346" t="s">
        <v>394</v>
      </c>
      <c r="FI47" s="346" t="s">
        <v>394</v>
      </c>
      <c r="FJ47" s="346" t="s">
        <v>394</v>
      </c>
      <c r="FK47" s="346" t="s">
        <v>394</v>
      </c>
      <c r="FL47" s="346" t="s">
        <v>394</v>
      </c>
      <c r="FM47" s="346" t="s">
        <v>394</v>
      </c>
      <c r="FN47" s="346" t="s">
        <v>394</v>
      </c>
      <c r="FO47" s="346" t="s">
        <v>394</v>
      </c>
      <c r="FP47" s="346" t="s">
        <v>394</v>
      </c>
      <c r="FQ47" s="346" t="s">
        <v>394</v>
      </c>
    </row>
    <row r="48" spans="1:173">
      <c r="A48" s="335" t="s">
        <v>839</v>
      </c>
      <c r="B48" s="346" t="s">
        <v>839</v>
      </c>
      <c r="C48" s="346" t="s">
        <v>221</v>
      </c>
      <c r="D48" s="346" t="s">
        <v>819</v>
      </c>
      <c r="E48" s="346" t="s">
        <v>2591</v>
      </c>
      <c r="F48" s="425" t="s">
        <v>2259</v>
      </c>
      <c r="G48" s="346" t="s">
        <v>324</v>
      </c>
      <c r="H48" s="346" t="s">
        <v>324</v>
      </c>
      <c r="I48" s="346">
        <v>30.5</v>
      </c>
      <c r="J48" s="346">
        <v>29.5</v>
      </c>
      <c r="K48" s="346"/>
      <c r="L48" s="346"/>
      <c r="M48" s="346"/>
      <c r="N48" s="346" t="s">
        <v>324</v>
      </c>
      <c r="O48" s="346" t="s">
        <v>324</v>
      </c>
      <c r="P48" s="346" t="s">
        <v>770</v>
      </c>
      <c r="Q48" s="346" t="s">
        <v>842</v>
      </c>
      <c r="R48" s="346" t="s">
        <v>324</v>
      </c>
      <c r="S48" s="346" t="s">
        <v>841</v>
      </c>
      <c r="T48" s="346" t="s">
        <v>2942</v>
      </c>
      <c r="U48" s="346">
        <v>25</v>
      </c>
      <c r="V48" s="346" cm="1">
        <f t="array" ref="V48">IFERROR(INDEX('Offer Statistics'!$Q$2:$Q$500,MATCH(1,(B48='Offer Statistics'!$B$2:$B$500)*($B$11='Offer Statistics'!$K$2:$K$500),0)),"/")</f>
        <v>24</v>
      </c>
      <c r="W48" s="346" cm="1">
        <f t="array" ref="W48">IFERROR(INDEX('Offer Statistics'!$D$2:$D$500,MATCH(1,(B48='Offer Statistics'!$B$2:$B$500)*($B$11='Offer Statistics'!$K$2:$K$500),0)),"/")</f>
        <v>130</v>
      </c>
      <c r="X48" s="346" cm="1">
        <f t="array" ref="X48">IFERROR(INDEX('Offer Statistics'!$L$2:$L$500,MATCH(1,(B48='Offer Statistics'!$B$2:$B$500)*($B$11='Offer Statistics'!$K$2:$K$500),0)),"/")</f>
        <v>20</v>
      </c>
      <c r="Y48" s="346">
        <f t="shared" si="48"/>
        <v>6.5</v>
      </c>
      <c r="Z48" s="346" t="s">
        <v>2941</v>
      </c>
      <c r="AA48" s="346" t="str">
        <f>入學要求!AF57</f>
        <v>/</v>
      </c>
      <c r="AB48" s="346" t="str">
        <f>入學要求!AG57</f>
        <v>/</v>
      </c>
      <c r="AC48" s="425" t="s">
        <v>2259</v>
      </c>
      <c r="AD48" s="346" t="s">
        <v>2945</v>
      </c>
      <c r="AE48" s="346" t="s">
        <v>2946</v>
      </c>
      <c r="AF48" s="346" t="s">
        <v>324</v>
      </c>
      <c r="AG48" s="346" t="s">
        <v>324</v>
      </c>
      <c r="AH48" s="346" t="s">
        <v>770</v>
      </c>
      <c r="AI48" s="346" t="s">
        <v>842</v>
      </c>
      <c r="AJ48" s="346" t="s">
        <v>324</v>
      </c>
      <c r="AK48" s="346" t="s">
        <v>714</v>
      </c>
      <c r="AL48" s="346" t="s">
        <v>843</v>
      </c>
      <c r="AM48" s="346" t="s">
        <v>735</v>
      </c>
      <c r="AN48" s="346" t="s">
        <v>844</v>
      </c>
      <c r="AO48" s="346" t="s">
        <v>394</v>
      </c>
      <c r="AP48" s="346" t="s">
        <v>394</v>
      </c>
      <c r="AQ48" s="346" t="s">
        <v>394</v>
      </c>
      <c r="AR48" s="346" t="s">
        <v>324</v>
      </c>
      <c r="AT48" s="346" t="s">
        <v>716</v>
      </c>
      <c r="AU48" s="346"/>
      <c r="AV48" s="346" t="s">
        <v>713</v>
      </c>
      <c r="AW48" s="346"/>
      <c r="AX48" s="346"/>
      <c r="AY48" s="346"/>
      <c r="AZ48" s="346" t="s">
        <v>324</v>
      </c>
      <c r="BA48" s="346" t="s">
        <v>324</v>
      </c>
      <c r="BB48" s="346" t="s">
        <v>324</v>
      </c>
      <c r="BC48" s="346"/>
      <c r="BD48" s="346" t="s">
        <v>324</v>
      </c>
      <c r="BE48" s="346" t="s">
        <v>324</v>
      </c>
      <c r="BF48" s="346" t="s">
        <v>324</v>
      </c>
      <c r="BG48" s="346" t="s">
        <v>324</v>
      </c>
      <c r="BH48" s="346" t="s">
        <v>839</v>
      </c>
      <c r="BI48" s="346" t="s">
        <v>324</v>
      </c>
      <c r="BJ48" s="346" t="s">
        <v>324</v>
      </c>
      <c r="BK48" s="346" t="s">
        <v>324</v>
      </c>
      <c r="BL48" s="346"/>
      <c r="BM48" s="346" t="s">
        <v>324</v>
      </c>
      <c r="BN48" s="346" t="s">
        <v>324</v>
      </c>
      <c r="BO48" s="346" t="s">
        <v>324</v>
      </c>
      <c r="BP48" s="346" t="s">
        <v>324</v>
      </c>
      <c r="BQ48" s="429">
        <f t="shared" si="49"/>
        <v>0</v>
      </c>
      <c r="BR48" s="429">
        <f t="shared" si="50"/>
        <v>0</v>
      </c>
      <c r="BS48" s="429">
        <f t="shared" si="51"/>
        <v>0</v>
      </c>
      <c r="BT48" s="429"/>
      <c r="BU48" s="429">
        <f t="shared" si="52"/>
        <v>0</v>
      </c>
      <c r="BV48" s="429">
        <f t="shared" si="53"/>
        <v>0</v>
      </c>
      <c r="BW48" s="429">
        <f t="shared" si="54"/>
        <v>0</v>
      </c>
      <c r="BX48" s="429">
        <f t="shared" si="55"/>
        <v>0</v>
      </c>
      <c r="BY48" s="346" t="s">
        <v>324</v>
      </c>
      <c r="BZ48" s="346" t="s">
        <v>324</v>
      </c>
      <c r="CA48" s="346" t="s">
        <v>324</v>
      </c>
      <c r="CB48" s="346"/>
      <c r="CC48" s="346" t="s">
        <v>324</v>
      </c>
      <c r="CD48" s="346" t="s">
        <v>324</v>
      </c>
      <c r="CE48" s="346" t="s">
        <v>324</v>
      </c>
      <c r="CF48" s="346" t="s">
        <v>324</v>
      </c>
      <c r="CG48" s="346" t="s">
        <v>324</v>
      </c>
      <c r="CH48" s="346" t="s">
        <v>324</v>
      </c>
      <c r="CI48" s="346" t="s">
        <v>324</v>
      </c>
      <c r="CJ48" s="346"/>
      <c r="CK48" s="346" t="s">
        <v>324</v>
      </c>
      <c r="CL48" s="346" t="s">
        <v>324</v>
      </c>
      <c r="CM48" s="346" t="s">
        <v>324</v>
      </c>
      <c r="CN48" s="346" t="s">
        <v>324</v>
      </c>
      <c r="CO48" s="346" t="s">
        <v>324</v>
      </c>
      <c r="CP48" s="346" t="s">
        <v>324</v>
      </c>
      <c r="CQ48" s="346" t="s">
        <v>324</v>
      </c>
      <c r="CR48" s="346"/>
      <c r="CS48" s="346" t="s">
        <v>324</v>
      </c>
      <c r="CT48" s="346" t="s">
        <v>324</v>
      </c>
      <c r="CU48" s="346" t="s">
        <v>324</v>
      </c>
      <c r="CV48" s="346" t="s">
        <v>324</v>
      </c>
      <c r="CW48" s="346"/>
      <c r="CX48" s="346" t="s">
        <v>324</v>
      </c>
      <c r="CY48" s="346" t="s">
        <v>324</v>
      </c>
      <c r="CZ48" s="346" t="s">
        <v>324</v>
      </c>
      <c r="DA48" s="346"/>
      <c r="DB48" s="346" t="s">
        <v>324</v>
      </c>
      <c r="DC48" s="346" t="s">
        <v>324</v>
      </c>
      <c r="DD48" s="346" t="s">
        <v>324</v>
      </c>
      <c r="DE48" s="346" t="s">
        <v>324</v>
      </c>
      <c r="DF48" s="429">
        <f t="shared" si="56"/>
        <v>0</v>
      </c>
      <c r="DG48" s="429">
        <f t="shared" si="57"/>
        <v>0</v>
      </c>
      <c r="DH48" s="429">
        <f t="shared" si="58"/>
        <v>0</v>
      </c>
      <c r="DI48" s="429"/>
      <c r="DJ48" s="429">
        <f t="shared" si="59"/>
        <v>0</v>
      </c>
      <c r="DK48" s="429">
        <f t="shared" si="60"/>
        <v>0</v>
      </c>
      <c r="DL48" s="429">
        <f t="shared" si="61"/>
        <v>0</v>
      </c>
      <c r="DM48" s="429">
        <f t="shared" si="62"/>
        <v>0</v>
      </c>
      <c r="DN48" s="346" t="s">
        <v>324</v>
      </c>
      <c r="DO48" s="346" t="s">
        <v>324</v>
      </c>
      <c r="DP48" s="346" t="s">
        <v>324</v>
      </c>
      <c r="DQ48" s="346"/>
      <c r="DR48" s="346" t="s">
        <v>324</v>
      </c>
      <c r="DS48" s="346" t="s">
        <v>324</v>
      </c>
      <c r="DT48" s="346" t="s">
        <v>324</v>
      </c>
      <c r="DU48" s="346" t="s">
        <v>324</v>
      </c>
      <c r="DV48" s="346" t="s">
        <v>324</v>
      </c>
      <c r="DW48" s="346" t="s">
        <v>324</v>
      </c>
      <c r="DX48" s="346" t="s">
        <v>324</v>
      </c>
      <c r="DY48" s="346"/>
      <c r="DZ48" s="346" t="s">
        <v>324</v>
      </c>
      <c r="EA48" s="346" t="s">
        <v>324</v>
      </c>
      <c r="EB48" s="346" t="s">
        <v>324</v>
      </c>
      <c r="EC48" s="346" t="s">
        <v>324</v>
      </c>
      <c r="ED48" s="346" t="s">
        <v>394</v>
      </c>
      <c r="EE48" s="346" t="s">
        <v>394</v>
      </c>
      <c r="EF48" s="346" t="s">
        <v>394</v>
      </c>
      <c r="EG48" s="346"/>
      <c r="EH48" s="346" t="s">
        <v>394</v>
      </c>
      <c r="EI48" s="346" t="s">
        <v>394</v>
      </c>
      <c r="EJ48" s="346" t="s">
        <v>394</v>
      </c>
      <c r="EK48" s="346" t="s">
        <v>394</v>
      </c>
      <c r="EL48" s="346" t="s">
        <v>394</v>
      </c>
      <c r="EM48" s="346" t="s">
        <v>394</v>
      </c>
      <c r="EN48" s="346" t="s">
        <v>394</v>
      </c>
      <c r="EO48" s="346"/>
      <c r="EP48" s="346" t="s">
        <v>394</v>
      </c>
      <c r="EQ48" s="346" t="s">
        <v>394</v>
      </c>
      <c r="ER48" s="346" t="s">
        <v>394</v>
      </c>
      <c r="ES48" s="346" t="s">
        <v>394</v>
      </c>
      <c r="ET48" s="346"/>
      <c r="EU48" s="346"/>
      <c r="EV48" s="346"/>
      <c r="EW48" s="346"/>
      <c r="EX48" s="346"/>
      <c r="EY48" s="346"/>
      <c r="EZ48" s="346"/>
      <c r="FA48" s="346"/>
      <c r="FB48" s="346" t="s">
        <v>394</v>
      </c>
      <c r="FC48" s="346" t="s">
        <v>394</v>
      </c>
      <c r="FD48" s="346" t="s">
        <v>394</v>
      </c>
      <c r="FE48" s="346" t="s">
        <v>394</v>
      </c>
      <c r="FF48" s="346" t="s">
        <v>394</v>
      </c>
      <c r="FG48" s="346" t="s">
        <v>394</v>
      </c>
      <c r="FH48" s="346" t="s">
        <v>394</v>
      </c>
      <c r="FI48" s="346" t="s">
        <v>394</v>
      </c>
      <c r="FJ48" s="346" t="s">
        <v>394</v>
      </c>
      <c r="FK48" s="346" t="s">
        <v>394</v>
      </c>
      <c r="FL48" s="346" t="s">
        <v>394</v>
      </c>
      <c r="FM48" s="346" t="s">
        <v>394</v>
      </c>
      <c r="FN48" s="346" t="s">
        <v>394</v>
      </c>
      <c r="FO48" s="346" t="s">
        <v>394</v>
      </c>
      <c r="FP48" s="346" t="s">
        <v>394</v>
      </c>
      <c r="FQ48" s="346" t="s">
        <v>394</v>
      </c>
    </row>
    <row r="49" spans="1:173">
      <c r="A49" s="335" t="s">
        <v>849</v>
      </c>
      <c r="B49" s="346" t="s">
        <v>849</v>
      </c>
      <c r="C49" s="346" t="s">
        <v>221</v>
      </c>
      <c r="D49" s="346" t="s">
        <v>819</v>
      </c>
      <c r="E49" s="346" t="s">
        <v>850</v>
      </c>
      <c r="F49" s="425" t="s">
        <v>2256</v>
      </c>
      <c r="G49" s="346" t="s">
        <v>324</v>
      </c>
      <c r="H49" s="346" t="s">
        <v>324</v>
      </c>
      <c r="I49" s="346">
        <v>21.5</v>
      </c>
      <c r="J49" s="346">
        <v>21.5</v>
      </c>
      <c r="K49" s="422"/>
      <c r="L49" s="422"/>
      <c r="M49" s="422"/>
      <c r="N49" s="346" t="s">
        <v>2268</v>
      </c>
      <c r="O49" s="346" t="s">
        <v>324</v>
      </c>
      <c r="P49" s="346" t="s">
        <v>770</v>
      </c>
      <c r="Q49" s="346" t="s">
        <v>324</v>
      </c>
      <c r="R49" s="346" t="s">
        <v>324</v>
      </c>
      <c r="S49" s="346" t="s">
        <v>851</v>
      </c>
      <c r="T49" s="346" t="s">
        <v>2942</v>
      </c>
      <c r="U49" s="346">
        <v>21</v>
      </c>
      <c r="V49" s="346" cm="1">
        <f t="array" ref="V49">IFERROR(INDEX('Offer Statistics'!$Q$2:$Q$500,MATCH(1,(B49='Offer Statistics'!$B$2:$B$500)*($B$11='Offer Statistics'!$K$2:$K$500),0)),"/")</f>
        <v>23</v>
      </c>
      <c r="W49" s="346" cm="1">
        <f t="array" ref="W49">IFERROR(INDEX('Offer Statistics'!$D$2:$D$500,MATCH(1,(B49='Offer Statistics'!$B$2:$B$500)*($B$11='Offer Statistics'!$K$2:$K$500),0)),"/")</f>
        <v>328</v>
      </c>
      <c r="X49" s="346" cm="1">
        <f t="array" ref="X49">IFERROR(INDEX('Offer Statistics'!$L$2:$L$500,MATCH(1,(B49='Offer Statistics'!$B$2:$B$500)*($B$11='Offer Statistics'!$K$2:$K$500),0)),"/")</f>
        <v>21</v>
      </c>
      <c r="Y49" s="346">
        <f t="shared" si="48"/>
        <v>15.619047619047619</v>
      </c>
      <c r="Z49" s="346" t="s">
        <v>2941</v>
      </c>
      <c r="AA49" s="346" t="str">
        <f>入學要求!AF58</f>
        <v>/</v>
      </c>
      <c r="AB49" s="346" t="str">
        <f>入學要求!AG58</f>
        <v>/</v>
      </c>
      <c r="AC49" s="425" t="s">
        <v>2256</v>
      </c>
      <c r="AD49" s="346" t="s">
        <v>2945</v>
      </c>
      <c r="AE49" s="346" t="s">
        <v>2946</v>
      </c>
      <c r="AF49" s="346" t="s">
        <v>2268</v>
      </c>
      <c r="AG49" s="346" t="s">
        <v>324</v>
      </c>
      <c r="AH49" s="346" t="s">
        <v>770</v>
      </c>
      <c r="AI49" s="346" t="s">
        <v>324</v>
      </c>
      <c r="AJ49" s="346" t="s">
        <v>324</v>
      </c>
      <c r="AK49" s="346" t="s">
        <v>848</v>
      </c>
      <c r="AL49" s="346" t="s">
        <v>714</v>
      </c>
      <c r="AM49" s="346" t="s">
        <v>740</v>
      </c>
      <c r="AN49" s="346" t="s">
        <v>324</v>
      </c>
      <c r="AO49" s="346" t="s">
        <v>394</v>
      </c>
      <c r="AP49" s="346" t="s">
        <v>394</v>
      </c>
      <c r="AQ49" s="346" t="s">
        <v>394</v>
      </c>
      <c r="AR49" s="346" t="s">
        <v>324</v>
      </c>
      <c r="AT49" s="346" t="s">
        <v>716</v>
      </c>
      <c r="AU49" s="346"/>
      <c r="AV49" s="346" t="s">
        <v>713</v>
      </c>
      <c r="AW49" s="346"/>
      <c r="AX49" s="346"/>
      <c r="AY49" s="346"/>
      <c r="AZ49" s="346" t="s">
        <v>324</v>
      </c>
      <c r="BA49" s="346" t="s">
        <v>324</v>
      </c>
      <c r="BB49" s="346" t="s">
        <v>324</v>
      </c>
      <c r="BC49" s="346"/>
      <c r="BD49" s="346" t="s">
        <v>324</v>
      </c>
      <c r="BE49" s="346" t="s">
        <v>324</v>
      </c>
      <c r="BF49" s="346" t="s">
        <v>324</v>
      </c>
      <c r="BG49" s="346" t="s">
        <v>324</v>
      </c>
      <c r="BH49" s="346" t="s">
        <v>849</v>
      </c>
      <c r="BI49" s="346" t="s">
        <v>324</v>
      </c>
      <c r="BJ49" s="346" t="s">
        <v>324</v>
      </c>
      <c r="BK49" s="346" t="s">
        <v>324</v>
      </c>
      <c r="BL49" s="346"/>
      <c r="BM49" s="346" t="s">
        <v>324</v>
      </c>
      <c r="BN49" s="346" t="s">
        <v>324</v>
      </c>
      <c r="BO49" s="346" t="s">
        <v>324</v>
      </c>
      <c r="BP49" s="346" t="s">
        <v>324</v>
      </c>
      <c r="BQ49" s="429">
        <f t="shared" si="49"/>
        <v>0</v>
      </c>
      <c r="BR49" s="429">
        <f t="shared" si="50"/>
        <v>0</v>
      </c>
      <c r="BS49" s="429">
        <f t="shared" si="51"/>
        <v>0</v>
      </c>
      <c r="BT49" s="429"/>
      <c r="BU49" s="429">
        <f t="shared" si="52"/>
        <v>0</v>
      </c>
      <c r="BV49" s="429">
        <f t="shared" si="53"/>
        <v>0</v>
      </c>
      <c r="BW49" s="429">
        <f t="shared" si="54"/>
        <v>0</v>
      </c>
      <c r="BX49" s="429">
        <f t="shared" si="55"/>
        <v>0</v>
      </c>
      <c r="BY49" s="346" t="s">
        <v>324</v>
      </c>
      <c r="BZ49" s="346" t="s">
        <v>324</v>
      </c>
      <c r="CA49" s="346" t="s">
        <v>324</v>
      </c>
      <c r="CB49" s="346"/>
      <c r="CC49" s="346" t="s">
        <v>324</v>
      </c>
      <c r="CD49" s="346" t="s">
        <v>324</v>
      </c>
      <c r="CE49" s="346" t="s">
        <v>324</v>
      </c>
      <c r="CF49" s="346" t="s">
        <v>324</v>
      </c>
      <c r="CG49" s="346" t="s">
        <v>324</v>
      </c>
      <c r="CH49" s="346" t="s">
        <v>324</v>
      </c>
      <c r="CI49" s="346" t="s">
        <v>324</v>
      </c>
      <c r="CJ49" s="346"/>
      <c r="CK49" s="346" t="s">
        <v>324</v>
      </c>
      <c r="CL49" s="346" t="s">
        <v>324</v>
      </c>
      <c r="CM49" s="346" t="s">
        <v>324</v>
      </c>
      <c r="CN49" s="346" t="s">
        <v>324</v>
      </c>
      <c r="CO49" s="346" t="s">
        <v>324</v>
      </c>
      <c r="CP49" s="346" t="s">
        <v>324</v>
      </c>
      <c r="CQ49" s="346" t="s">
        <v>324</v>
      </c>
      <c r="CR49" s="346"/>
      <c r="CS49" s="346" t="s">
        <v>324</v>
      </c>
      <c r="CT49" s="346" t="s">
        <v>324</v>
      </c>
      <c r="CU49" s="346" t="s">
        <v>324</v>
      </c>
      <c r="CV49" s="346" t="s">
        <v>324</v>
      </c>
      <c r="CW49" s="346"/>
      <c r="CX49" s="346" t="s">
        <v>324</v>
      </c>
      <c r="CY49" s="346" t="s">
        <v>324</v>
      </c>
      <c r="CZ49" s="346" t="s">
        <v>324</v>
      </c>
      <c r="DA49" s="346"/>
      <c r="DB49" s="346" t="s">
        <v>324</v>
      </c>
      <c r="DC49" s="346" t="s">
        <v>324</v>
      </c>
      <c r="DD49" s="346" t="s">
        <v>324</v>
      </c>
      <c r="DE49" s="346" t="s">
        <v>324</v>
      </c>
      <c r="DF49" s="429">
        <f t="shared" si="56"/>
        <v>0</v>
      </c>
      <c r="DG49" s="429">
        <f t="shared" si="57"/>
        <v>0</v>
      </c>
      <c r="DH49" s="429">
        <f t="shared" si="58"/>
        <v>0</v>
      </c>
      <c r="DI49" s="429"/>
      <c r="DJ49" s="429">
        <f t="shared" si="59"/>
        <v>0</v>
      </c>
      <c r="DK49" s="429">
        <f t="shared" si="60"/>
        <v>0</v>
      </c>
      <c r="DL49" s="429">
        <f t="shared" si="61"/>
        <v>0</v>
      </c>
      <c r="DM49" s="429">
        <f t="shared" si="62"/>
        <v>0</v>
      </c>
      <c r="DN49" s="346" t="s">
        <v>324</v>
      </c>
      <c r="DO49" s="346" t="s">
        <v>324</v>
      </c>
      <c r="DP49" s="346" t="s">
        <v>324</v>
      </c>
      <c r="DQ49" s="346"/>
      <c r="DR49" s="346" t="s">
        <v>324</v>
      </c>
      <c r="DS49" s="346" t="s">
        <v>324</v>
      </c>
      <c r="DT49" s="346" t="s">
        <v>324</v>
      </c>
      <c r="DU49" s="346" t="s">
        <v>324</v>
      </c>
      <c r="DV49" s="346" t="s">
        <v>324</v>
      </c>
      <c r="DW49" s="346" t="s">
        <v>324</v>
      </c>
      <c r="DX49" s="346" t="s">
        <v>324</v>
      </c>
      <c r="DY49" s="346"/>
      <c r="DZ49" s="346" t="s">
        <v>324</v>
      </c>
      <c r="EA49" s="346" t="s">
        <v>324</v>
      </c>
      <c r="EB49" s="346" t="s">
        <v>324</v>
      </c>
      <c r="EC49" s="346" t="s">
        <v>324</v>
      </c>
      <c r="ED49" s="346" t="s">
        <v>394</v>
      </c>
      <c r="EE49" s="346" t="s">
        <v>394</v>
      </c>
      <c r="EF49" s="346" t="s">
        <v>394</v>
      </c>
      <c r="EG49" s="346"/>
      <c r="EH49" s="346" t="s">
        <v>394</v>
      </c>
      <c r="EI49" s="346" t="s">
        <v>394</v>
      </c>
      <c r="EJ49" s="346" t="s">
        <v>394</v>
      </c>
      <c r="EK49" s="346" t="s">
        <v>394</v>
      </c>
      <c r="EL49" s="346" t="s">
        <v>394</v>
      </c>
      <c r="EM49" s="346" t="s">
        <v>394</v>
      </c>
      <c r="EN49" s="346" t="s">
        <v>394</v>
      </c>
      <c r="EO49" s="346"/>
      <c r="EP49" s="346" t="s">
        <v>394</v>
      </c>
      <c r="EQ49" s="346" t="s">
        <v>394</v>
      </c>
      <c r="ER49" s="346" t="s">
        <v>394</v>
      </c>
      <c r="ES49" s="346" t="s">
        <v>394</v>
      </c>
      <c r="ET49" s="346"/>
      <c r="EU49" s="346"/>
      <c r="EV49" s="346"/>
      <c r="EW49" s="346"/>
      <c r="EX49" s="346"/>
      <c r="EY49" s="346"/>
      <c r="EZ49" s="346"/>
      <c r="FA49" s="346"/>
      <c r="FB49" s="346" t="s">
        <v>394</v>
      </c>
      <c r="FC49" s="346" t="s">
        <v>394</v>
      </c>
      <c r="FD49" s="346" t="s">
        <v>394</v>
      </c>
      <c r="FE49" s="346" t="s">
        <v>394</v>
      </c>
      <c r="FF49" s="346" t="s">
        <v>394</v>
      </c>
      <c r="FG49" s="346" t="s">
        <v>394</v>
      </c>
      <c r="FH49" s="346" t="s">
        <v>394</v>
      </c>
      <c r="FI49" s="346" t="s">
        <v>394</v>
      </c>
      <c r="FJ49" s="346" t="s">
        <v>394</v>
      </c>
      <c r="FK49" s="346" t="s">
        <v>394</v>
      </c>
      <c r="FL49" s="346" t="s">
        <v>394</v>
      </c>
      <c r="FM49" s="346" t="s">
        <v>394</v>
      </c>
      <c r="FN49" s="346" t="s">
        <v>394</v>
      </c>
      <c r="FO49" s="346" t="s">
        <v>394</v>
      </c>
      <c r="FP49" s="346" t="s">
        <v>394</v>
      </c>
      <c r="FQ49" s="346" t="s">
        <v>394</v>
      </c>
    </row>
    <row r="50" spans="1:173">
      <c r="A50" s="335" t="s">
        <v>852</v>
      </c>
      <c r="B50" s="346" t="s">
        <v>852</v>
      </c>
      <c r="C50" s="346" t="s">
        <v>221</v>
      </c>
      <c r="D50" s="346" t="s">
        <v>819</v>
      </c>
      <c r="E50" s="346" t="s">
        <v>853</v>
      </c>
      <c r="F50" s="425" t="s">
        <v>2256</v>
      </c>
      <c r="G50" s="346" t="s">
        <v>324</v>
      </c>
      <c r="H50" s="346" t="s">
        <v>324</v>
      </c>
      <c r="I50" s="346">
        <v>23.5</v>
      </c>
      <c r="J50" s="346">
        <v>23</v>
      </c>
      <c r="K50" s="422"/>
      <c r="L50" s="422"/>
      <c r="M50" s="422"/>
      <c r="N50" s="346" t="s">
        <v>2268</v>
      </c>
      <c r="O50" s="346" t="s">
        <v>324</v>
      </c>
      <c r="P50" s="346" t="s">
        <v>770</v>
      </c>
      <c r="Q50" s="346" t="s">
        <v>324</v>
      </c>
      <c r="R50" s="346" t="s">
        <v>324</v>
      </c>
      <c r="S50" s="346" t="s">
        <v>854</v>
      </c>
      <c r="T50" s="346" t="s">
        <v>2942</v>
      </c>
      <c r="U50" s="346">
        <v>16</v>
      </c>
      <c r="V50" s="346" cm="1">
        <f t="array" ref="V50">IFERROR(INDEX('Offer Statistics'!$Q$2:$Q$500,MATCH(1,(B50='Offer Statistics'!$B$2:$B$500)*($B$11='Offer Statistics'!$K$2:$K$500),0)),"/")</f>
        <v>31</v>
      </c>
      <c r="W50" s="346" cm="1">
        <f t="array" ref="W50">IFERROR(INDEX('Offer Statistics'!$D$2:$D$500,MATCH(1,(B50='Offer Statistics'!$B$2:$B$500)*($B$11='Offer Statistics'!$K$2:$K$500),0)),"/")</f>
        <v>319</v>
      </c>
      <c r="X50" s="346" cm="1">
        <f t="array" ref="X50">IFERROR(INDEX('Offer Statistics'!$L$2:$L$500,MATCH(1,(B50='Offer Statistics'!$B$2:$B$500)*($B$11='Offer Statistics'!$K$2:$K$500),0)),"/")</f>
        <v>27</v>
      </c>
      <c r="Y50" s="346">
        <f t="shared" si="48"/>
        <v>11.814814814814815</v>
      </c>
      <c r="Z50" s="346" t="s">
        <v>2941</v>
      </c>
      <c r="AA50" s="346" t="str">
        <f>入學要求!AF59</f>
        <v>/</v>
      </c>
      <c r="AB50" s="346" t="str">
        <f>入學要求!AG59</f>
        <v>/</v>
      </c>
      <c r="AC50" s="425" t="s">
        <v>2256</v>
      </c>
      <c r="AD50" s="346" t="s">
        <v>2945</v>
      </c>
      <c r="AE50" s="346" t="s">
        <v>2946</v>
      </c>
      <c r="AF50" s="346" t="s">
        <v>2268</v>
      </c>
      <c r="AG50" s="346" t="s">
        <v>324</v>
      </c>
      <c r="AH50" s="346" t="s">
        <v>770</v>
      </c>
      <c r="AI50" s="346" t="s">
        <v>324</v>
      </c>
      <c r="AJ50" s="346" t="s">
        <v>324</v>
      </c>
      <c r="AK50" s="346" t="s">
        <v>848</v>
      </c>
      <c r="AL50" s="346" t="s">
        <v>714</v>
      </c>
      <c r="AM50" s="346" t="s">
        <v>740</v>
      </c>
      <c r="AN50" s="346" t="s">
        <v>324</v>
      </c>
      <c r="AO50" s="346" t="s">
        <v>394</v>
      </c>
      <c r="AP50" s="346" t="s">
        <v>394</v>
      </c>
      <c r="AQ50" s="346" t="s">
        <v>394</v>
      </c>
      <c r="AR50" s="346" t="s">
        <v>324</v>
      </c>
      <c r="AT50" s="346" t="s">
        <v>716</v>
      </c>
      <c r="AU50" s="346"/>
      <c r="AV50" s="346" t="s">
        <v>713</v>
      </c>
      <c r="AW50" s="346"/>
      <c r="AX50" s="346"/>
      <c r="AY50" s="346"/>
      <c r="AZ50" s="346" t="s">
        <v>324</v>
      </c>
      <c r="BA50" s="346" t="s">
        <v>324</v>
      </c>
      <c r="BB50" s="346" t="s">
        <v>324</v>
      </c>
      <c r="BC50" s="346"/>
      <c r="BD50" s="346" t="s">
        <v>324</v>
      </c>
      <c r="BE50" s="346" t="s">
        <v>324</v>
      </c>
      <c r="BF50" s="346" t="s">
        <v>324</v>
      </c>
      <c r="BG50" s="346" t="s">
        <v>324</v>
      </c>
      <c r="BH50" s="346" t="s">
        <v>852</v>
      </c>
      <c r="BI50" s="346" t="s">
        <v>324</v>
      </c>
      <c r="BJ50" s="346" t="s">
        <v>324</v>
      </c>
      <c r="BK50" s="346" t="s">
        <v>324</v>
      </c>
      <c r="BL50" s="346"/>
      <c r="BM50" s="346" t="s">
        <v>324</v>
      </c>
      <c r="BN50" s="346" t="s">
        <v>324</v>
      </c>
      <c r="BO50" s="346" t="s">
        <v>324</v>
      </c>
      <c r="BP50" s="346" t="s">
        <v>324</v>
      </c>
      <c r="BQ50" s="429">
        <f t="shared" si="49"/>
        <v>0</v>
      </c>
      <c r="BR50" s="429">
        <f t="shared" si="50"/>
        <v>0</v>
      </c>
      <c r="BS50" s="429">
        <f t="shared" si="51"/>
        <v>0</v>
      </c>
      <c r="BT50" s="429"/>
      <c r="BU50" s="429">
        <f t="shared" si="52"/>
        <v>0</v>
      </c>
      <c r="BV50" s="429">
        <f t="shared" si="53"/>
        <v>0</v>
      </c>
      <c r="BW50" s="429">
        <f t="shared" si="54"/>
        <v>0</v>
      </c>
      <c r="BX50" s="429">
        <f t="shared" si="55"/>
        <v>0</v>
      </c>
      <c r="BY50" s="346" t="s">
        <v>324</v>
      </c>
      <c r="BZ50" s="346" t="s">
        <v>324</v>
      </c>
      <c r="CA50" s="346" t="s">
        <v>324</v>
      </c>
      <c r="CB50" s="346"/>
      <c r="CC50" s="346" t="s">
        <v>324</v>
      </c>
      <c r="CD50" s="346" t="s">
        <v>324</v>
      </c>
      <c r="CE50" s="346" t="s">
        <v>324</v>
      </c>
      <c r="CF50" s="346" t="s">
        <v>324</v>
      </c>
      <c r="CG50" s="346" t="s">
        <v>324</v>
      </c>
      <c r="CH50" s="346" t="s">
        <v>324</v>
      </c>
      <c r="CI50" s="346" t="s">
        <v>324</v>
      </c>
      <c r="CJ50" s="346"/>
      <c r="CK50" s="346" t="s">
        <v>324</v>
      </c>
      <c r="CL50" s="346" t="s">
        <v>324</v>
      </c>
      <c r="CM50" s="346" t="s">
        <v>324</v>
      </c>
      <c r="CN50" s="346" t="s">
        <v>324</v>
      </c>
      <c r="CO50" s="346" t="s">
        <v>324</v>
      </c>
      <c r="CP50" s="346" t="s">
        <v>324</v>
      </c>
      <c r="CQ50" s="346" t="s">
        <v>324</v>
      </c>
      <c r="CR50" s="346"/>
      <c r="CS50" s="346" t="s">
        <v>324</v>
      </c>
      <c r="CT50" s="346" t="s">
        <v>324</v>
      </c>
      <c r="CU50" s="346" t="s">
        <v>324</v>
      </c>
      <c r="CV50" s="346" t="s">
        <v>324</v>
      </c>
      <c r="CW50" s="346"/>
      <c r="CX50" s="346" t="s">
        <v>324</v>
      </c>
      <c r="CY50" s="346" t="s">
        <v>324</v>
      </c>
      <c r="CZ50" s="346" t="s">
        <v>324</v>
      </c>
      <c r="DA50" s="346"/>
      <c r="DB50" s="346" t="s">
        <v>324</v>
      </c>
      <c r="DC50" s="346" t="s">
        <v>324</v>
      </c>
      <c r="DD50" s="346" t="s">
        <v>324</v>
      </c>
      <c r="DE50" s="346" t="s">
        <v>324</v>
      </c>
      <c r="DF50" s="429">
        <f t="shared" si="56"/>
        <v>0</v>
      </c>
      <c r="DG50" s="429">
        <f t="shared" si="57"/>
        <v>0</v>
      </c>
      <c r="DH50" s="429">
        <f t="shared" si="58"/>
        <v>0</v>
      </c>
      <c r="DI50" s="429"/>
      <c r="DJ50" s="429">
        <f t="shared" si="59"/>
        <v>0</v>
      </c>
      <c r="DK50" s="429">
        <f t="shared" si="60"/>
        <v>0</v>
      </c>
      <c r="DL50" s="429">
        <f t="shared" si="61"/>
        <v>0</v>
      </c>
      <c r="DM50" s="429">
        <f t="shared" si="62"/>
        <v>0</v>
      </c>
      <c r="DN50" s="346" t="s">
        <v>324</v>
      </c>
      <c r="DO50" s="346" t="s">
        <v>324</v>
      </c>
      <c r="DP50" s="346" t="s">
        <v>324</v>
      </c>
      <c r="DQ50" s="346"/>
      <c r="DR50" s="346" t="s">
        <v>324</v>
      </c>
      <c r="DS50" s="346" t="s">
        <v>324</v>
      </c>
      <c r="DT50" s="346" t="s">
        <v>324</v>
      </c>
      <c r="DU50" s="346" t="s">
        <v>324</v>
      </c>
      <c r="DV50" s="346" t="s">
        <v>324</v>
      </c>
      <c r="DW50" s="346" t="s">
        <v>324</v>
      </c>
      <c r="DX50" s="346" t="s">
        <v>324</v>
      </c>
      <c r="DY50" s="346"/>
      <c r="DZ50" s="346" t="s">
        <v>324</v>
      </c>
      <c r="EA50" s="346" t="s">
        <v>324</v>
      </c>
      <c r="EB50" s="346" t="s">
        <v>324</v>
      </c>
      <c r="EC50" s="346" t="s">
        <v>324</v>
      </c>
      <c r="ED50" s="346" t="s">
        <v>394</v>
      </c>
      <c r="EE50" s="346" t="s">
        <v>394</v>
      </c>
      <c r="EF50" s="346" t="s">
        <v>394</v>
      </c>
      <c r="EG50" s="346"/>
      <c r="EH50" s="346" t="s">
        <v>394</v>
      </c>
      <c r="EI50" s="346" t="s">
        <v>394</v>
      </c>
      <c r="EJ50" s="346" t="s">
        <v>394</v>
      </c>
      <c r="EK50" s="346" t="s">
        <v>394</v>
      </c>
      <c r="EL50" s="346" t="s">
        <v>394</v>
      </c>
      <c r="EM50" s="346" t="s">
        <v>394</v>
      </c>
      <c r="EN50" s="346" t="s">
        <v>394</v>
      </c>
      <c r="EO50" s="346"/>
      <c r="EP50" s="346" t="s">
        <v>394</v>
      </c>
      <c r="EQ50" s="346" t="s">
        <v>394</v>
      </c>
      <c r="ER50" s="346" t="s">
        <v>394</v>
      </c>
      <c r="ES50" s="346" t="s">
        <v>394</v>
      </c>
      <c r="ET50" s="346"/>
      <c r="EU50" s="346"/>
      <c r="EV50" s="346"/>
      <c r="EW50" s="346"/>
      <c r="EX50" s="346"/>
      <c r="EY50" s="346"/>
      <c r="EZ50" s="346"/>
      <c r="FA50" s="346"/>
      <c r="FB50" s="346" t="s">
        <v>394</v>
      </c>
      <c r="FC50" s="346" t="s">
        <v>394</v>
      </c>
      <c r="FD50" s="346" t="s">
        <v>394</v>
      </c>
      <c r="FE50" s="346" t="s">
        <v>394</v>
      </c>
      <c r="FF50" s="346" t="s">
        <v>394</v>
      </c>
      <c r="FG50" s="346" t="s">
        <v>394</v>
      </c>
      <c r="FH50" s="346" t="s">
        <v>394</v>
      </c>
      <c r="FI50" s="346" t="s">
        <v>394</v>
      </c>
      <c r="FJ50" s="346" t="s">
        <v>394</v>
      </c>
      <c r="FK50" s="346" t="s">
        <v>394</v>
      </c>
      <c r="FL50" s="346" t="s">
        <v>394</v>
      </c>
      <c r="FM50" s="346" t="s">
        <v>394</v>
      </c>
      <c r="FN50" s="346" t="s">
        <v>394</v>
      </c>
      <c r="FO50" s="346" t="s">
        <v>394</v>
      </c>
      <c r="FP50" s="346" t="s">
        <v>394</v>
      </c>
      <c r="FQ50" s="346" t="s">
        <v>394</v>
      </c>
    </row>
    <row r="51" spans="1:173">
      <c r="A51" s="335" t="s">
        <v>855</v>
      </c>
      <c r="B51" s="346" t="s">
        <v>855</v>
      </c>
      <c r="C51" s="346" t="s">
        <v>221</v>
      </c>
      <c r="D51" s="346" t="s">
        <v>819</v>
      </c>
      <c r="E51" s="346" t="s">
        <v>856</v>
      </c>
      <c r="F51" s="425" t="s">
        <v>2256</v>
      </c>
      <c r="G51" s="346" t="s">
        <v>324</v>
      </c>
      <c r="H51" s="346" t="s">
        <v>324</v>
      </c>
      <c r="I51" s="346">
        <v>22.5</v>
      </c>
      <c r="J51" s="346">
        <v>21.5</v>
      </c>
      <c r="K51" s="422"/>
      <c r="L51" s="422"/>
      <c r="M51" s="422"/>
      <c r="N51" s="346" t="s">
        <v>2268</v>
      </c>
      <c r="O51" s="346" t="s">
        <v>324</v>
      </c>
      <c r="P51" s="346" t="s">
        <v>770</v>
      </c>
      <c r="Q51" s="346" t="s">
        <v>324</v>
      </c>
      <c r="R51" s="346" t="s">
        <v>324</v>
      </c>
      <c r="S51" s="346" t="s">
        <v>857</v>
      </c>
      <c r="T51" s="346" t="s">
        <v>2942</v>
      </c>
      <c r="U51" s="346">
        <v>54</v>
      </c>
      <c r="V51" s="346" cm="1">
        <f t="array" ref="V51">IFERROR(INDEX('Offer Statistics'!$Q$2:$Q$500,MATCH(1,(B51='Offer Statistics'!$B$2:$B$500)*($B$11='Offer Statistics'!$K$2:$K$500),0)),"/")</f>
        <v>24</v>
      </c>
      <c r="W51" s="346" cm="1">
        <f t="array" ref="W51">IFERROR(INDEX('Offer Statistics'!$D$2:$D$500,MATCH(1,(B51='Offer Statistics'!$B$2:$B$500)*($B$11='Offer Statistics'!$K$2:$K$500),0)),"/")</f>
        <v>630</v>
      </c>
      <c r="X51" s="346" cm="1">
        <f t="array" ref="X51">IFERROR(INDEX('Offer Statistics'!$L$2:$L$500,MATCH(1,(B51='Offer Statistics'!$B$2:$B$500)*($B$11='Offer Statistics'!$K$2:$K$500),0)),"/")</f>
        <v>24</v>
      </c>
      <c r="Y51" s="346">
        <f t="shared" si="48"/>
        <v>26.25</v>
      </c>
      <c r="Z51" s="346" t="s">
        <v>2941</v>
      </c>
      <c r="AA51" s="346" t="str">
        <f>入學要求!AF60</f>
        <v>/</v>
      </c>
      <c r="AB51" s="346" t="str">
        <f>入學要求!AG60</f>
        <v>/</v>
      </c>
      <c r="AC51" s="425" t="s">
        <v>2256</v>
      </c>
      <c r="AD51" s="346" t="s">
        <v>2945</v>
      </c>
      <c r="AE51" s="346" t="s">
        <v>2946</v>
      </c>
      <c r="AF51" s="346" t="s">
        <v>2268</v>
      </c>
      <c r="AG51" s="346" t="s">
        <v>324</v>
      </c>
      <c r="AH51" s="346" t="s">
        <v>770</v>
      </c>
      <c r="AI51" s="346" t="s">
        <v>324</v>
      </c>
      <c r="AJ51" s="346" t="s">
        <v>324</v>
      </c>
      <c r="AK51" s="346" t="s">
        <v>848</v>
      </c>
      <c r="AL51" s="346" t="s">
        <v>714</v>
      </c>
      <c r="AM51" s="346" t="s">
        <v>800</v>
      </c>
      <c r="AN51" s="346" t="s">
        <v>324</v>
      </c>
      <c r="AO51" s="346" t="s">
        <v>394</v>
      </c>
      <c r="AP51" s="346" t="s">
        <v>394</v>
      </c>
      <c r="AQ51" s="346" t="s">
        <v>394</v>
      </c>
      <c r="AR51" s="346" t="s">
        <v>324</v>
      </c>
      <c r="AT51" s="346" t="s">
        <v>716</v>
      </c>
      <c r="AU51" s="346"/>
      <c r="AV51" s="346" t="s">
        <v>713</v>
      </c>
      <c r="AW51" s="346"/>
      <c r="AX51" s="346"/>
      <c r="AY51" s="346"/>
      <c r="AZ51" s="346" t="s">
        <v>324</v>
      </c>
      <c r="BA51" s="346" t="s">
        <v>324</v>
      </c>
      <c r="BB51" s="346" t="s">
        <v>324</v>
      </c>
      <c r="BC51" s="346"/>
      <c r="BD51" s="346" t="s">
        <v>324</v>
      </c>
      <c r="BE51" s="346" t="s">
        <v>324</v>
      </c>
      <c r="BF51" s="346" t="s">
        <v>324</v>
      </c>
      <c r="BG51" s="346" t="s">
        <v>324</v>
      </c>
      <c r="BH51" s="346" t="s">
        <v>855</v>
      </c>
      <c r="BI51" s="346" t="s">
        <v>324</v>
      </c>
      <c r="BJ51" s="346" t="s">
        <v>324</v>
      </c>
      <c r="BK51" s="346" t="s">
        <v>324</v>
      </c>
      <c r="BL51" s="346"/>
      <c r="BM51" s="346" t="s">
        <v>324</v>
      </c>
      <c r="BN51" s="346" t="s">
        <v>324</v>
      </c>
      <c r="BO51" s="346" t="s">
        <v>324</v>
      </c>
      <c r="BP51" s="346" t="s">
        <v>324</v>
      </c>
      <c r="BQ51" s="429">
        <f t="shared" si="49"/>
        <v>0</v>
      </c>
      <c r="BR51" s="429">
        <f t="shared" si="50"/>
        <v>0</v>
      </c>
      <c r="BS51" s="429">
        <f t="shared" si="51"/>
        <v>0</v>
      </c>
      <c r="BT51" s="429"/>
      <c r="BU51" s="429">
        <f t="shared" si="52"/>
        <v>0</v>
      </c>
      <c r="BV51" s="429">
        <f t="shared" si="53"/>
        <v>0</v>
      </c>
      <c r="BW51" s="429">
        <f t="shared" si="54"/>
        <v>0</v>
      </c>
      <c r="BX51" s="429">
        <f t="shared" si="55"/>
        <v>0</v>
      </c>
      <c r="BY51" s="346" t="s">
        <v>324</v>
      </c>
      <c r="BZ51" s="346" t="s">
        <v>324</v>
      </c>
      <c r="CA51" s="346" t="s">
        <v>324</v>
      </c>
      <c r="CB51" s="346"/>
      <c r="CC51" s="346" t="s">
        <v>324</v>
      </c>
      <c r="CD51" s="346" t="s">
        <v>324</v>
      </c>
      <c r="CE51" s="346" t="s">
        <v>324</v>
      </c>
      <c r="CF51" s="346" t="s">
        <v>324</v>
      </c>
      <c r="CG51" s="346" t="s">
        <v>324</v>
      </c>
      <c r="CH51" s="346" t="s">
        <v>324</v>
      </c>
      <c r="CI51" s="346" t="s">
        <v>324</v>
      </c>
      <c r="CJ51" s="346"/>
      <c r="CK51" s="346" t="s">
        <v>324</v>
      </c>
      <c r="CL51" s="346" t="s">
        <v>324</v>
      </c>
      <c r="CM51" s="346" t="s">
        <v>324</v>
      </c>
      <c r="CN51" s="346" t="s">
        <v>324</v>
      </c>
      <c r="CO51" s="346" t="s">
        <v>324</v>
      </c>
      <c r="CP51" s="346" t="s">
        <v>324</v>
      </c>
      <c r="CQ51" s="346" t="s">
        <v>324</v>
      </c>
      <c r="CR51" s="346"/>
      <c r="CS51" s="346" t="s">
        <v>324</v>
      </c>
      <c r="CT51" s="346" t="s">
        <v>324</v>
      </c>
      <c r="CU51" s="346" t="s">
        <v>324</v>
      </c>
      <c r="CV51" s="346" t="s">
        <v>324</v>
      </c>
      <c r="CW51" s="346"/>
      <c r="CX51" s="346" t="s">
        <v>324</v>
      </c>
      <c r="CY51" s="346" t="s">
        <v>324</v>
      </c>
      <c r="CZ51" s="346" t="s">
        <v>324</v>
      </c>
      <c r="DA51" s="346"/>
      <c r="DB51" s="346" t="s">
        <v>324</v>
      </c>
      <c r="DC51" s="346" t="s">
        <v>324</v>
      </c>
      <c r="DD51" s="346" t="s">
        <v>324</v>
      </c>
      <c r="DE51" s="346" t="s">
        <v>324</v>
      </c>
      <c r="DF51" s="429">
        <f t="shared" si="56"/>
        <v>0</v>
      </c>
      <c r="DG51" s="429">
        <f t="shared" si="57"/>
        <v>0</v>
      </c>
      <c r="DH51" s="429">
        <f t="shared" si="58"/>
        <v>0</v>
      </c>
      <c r="DI51" s="429"/>
      <c r="DJ51" s="429">
        <f t="shared" si="59"/>
        <v>0</v>
      </c>
      <c r="DK51" s="429">
        <f t="shared" si="60"/>
        <v>0</v>
      </c>
      <c r="DL51" s="429">
        <f t="shared" si="61"/>
        <v>0</v>
      </c>
      <c r="DM51" s="429">
        <f t="shared" si="62"/>
        <v>0</v>
      </c>
      <c r="DN51" s="346" t="s">
        <v>324</v>
      </c>
      <c r="DO51" s="346" t="s">
        <v>324</v>
      </c>
      <c r="DP51" s="346" t="s">
        <v>324</v>
      </c>
      <c r="DQ51" s="346"/>
      <c r="DR51" s="346" t="s">
        <v>324</v>
      </c>
      <c r="DS51" s="346" t="s">
        <v>324</v>
      </c>
      <c r="DT51" s="346" t="s">
        <v>324</v>
      </c>
      <c r="DU51" s="346" t="s">
        <v>324</v>
      </c>
      <c r="DV51" s="346" t="s">
        <v>324</v>
      </c>
      <c r="DW51" s="346" t="s">
        <v>324</v>
      </c>
      <c r="DX51" s="346" t="s">
        <v>324</v>
      </c>
      <c r="DY51" s="346"/>
      <c r="DZ51" s="346" t="s">
        <v>324</v>
      </c>
      <c r="EA51" s="346" t="s">
        <v>324</v>
      </c>
      <c r="EB51" s="346" t="s">
        <v>324</v>
      </c>
      <c r="EC51" s="346" t="s">
        <v>324</v>
      </c>
      <c r="ED51" s="346" t="s">
        <v>394</v>
      </c>
      <c r="EE51" s="346" t="s">
        <v>394</v>
      </c>
      <c r="EF51" s="346" t="s">
        <v>394</v>
      </c>
      <c r="EG51" s="346"/>
      <c r="EH51" s="346" t="s">
        <v>394</v>
      </c>
      <c r="EI51" s="346" t="s">
        <v>394</v>
      </c>
      <c r="EJ51" s="346" t="s">
        <v>394</v>
      </c>
      <c r="EK51" s="346" t="s">
        <v>394</v>
      </c>
      <c r="EL51" s="346" t="s">
        <v>394</v>
      </c>
      <c r="EM51" s="346" t="s">
        <v>394</v>
      </c>
      <c r="EN51" s="346" t="s">
        <v>394</v>
      </c>
      <c r="EO51" s="346"/>
      <c r="EP51" s="346" t="s">
        <v>394</v>
      </c>
      <c r="EQ51" s="346" t="s">
        <v>394</v>
      </c>
      <c r="ER51" s="346" t="s">
        <v>394</v>
      </c>
      <c r="ES51" s="346" t="s">
        <v>394</v>
      </c>
      <c r="ET51" s="346"/>
      <c r="EU51" s="346"/>
      <c r="EV51" s="346"/>
      <c r="EW51" s="346"/>
      <c r="EX51" s="346"/>
      <c r="EY51" s="346"/>
      <c r="EZ51" s="346"/>
      <c r="FA51" s="346"/>
      <c r="FB51" s="346" t="s">
        <v>394</v>
      </c>
      <c r="FC51" s="346" t="s">
        <v>394</v>
      </c>
      <c r="FD51" s="346" t="s">
        <v>394</v>
      </c>
      <c r="FE51" s="346" t="s">
        <v>394</v>
      </c>
      <c r="FF51" s="346" t="s">
        <v>394</v>
      </c>
      <c r="FG51" s="346" t="s">
        <v>394</v>
      </c>
      <c r="FH51" s="346" t="s">
        <v>394</v>
      </c>
      <c r="FI51" s="346" t="s">
        <v>394</v>
      </c>
      <c r="FJ51" s="346" t="s">
        <v>394</v>
      </c>
      <c r="FK51" s="346" t="s">
        <v>394</v>
      </c>
      <c r="FL51" s="346" t="s">
        <v>394</v>
      </c>
      <c r="FM51" s="346" t="s">
        <v>394</v>
      </c>
      <c r="FN51" s="346" t="s">
        <v>394</v>
      </c>
      <c r="FO51" s="346" t="s">
        <v>394</v>
      </c>
      <c r="FP51" s="346" t="s">
        <v>394</v>
      </c>
      <c r="FQ51" s="346" t="s">
        <v>394</v>
      </c>
    </row>
    <row r="52" spans="1:173">
      <c r="A52" s="335" t="s">
        <v>861</v>
      </c>
      <c r="B52" s="346" t="s">
        <v>861</v>
      </c>
      <c r="C52" s="346" t="s">
        <v>221</v>
      </c>
      <c r="D52" s="346" t="s">
        <v>819</v>
      </c>
      <c r="E52" s="346" t="s">
        <v>862</v>
      </c>
      <c r="F52" s="346" t="s">
        <v>785</v>
      </c>
      <c r="G52" s="346" t="s">
        <v>324</v>
      </c>
      <c r="H52" s="346" t="s">
        <v>324</v>
      </c>
      <c r="I52" s="346">
        <v>22</v>
      </c>
      <c r="J52" s="346">
        <v>20.5</v>
      </c>
      <c r="K52" s="422"/>
      <c r="L52" s="422"/>
      <c r="M52" s="422"/>
      <c r="N52" s="346" t="s">
        <v>786</v>
      </c>
      <c r="O52" s="346" t="s">
        <v>324</v>
      </c>
      <c r="P52" s="346" t="s">
        <v>324</v>
      </c>
      <c r="Q52" s="346" t="s">
        <v>324</v>
      </c>
      <c r="R52" s="346" t="s">
        <v>324</v>
      </c>
      <c r="S52" s="346" t="s">
        <v>863</v>
      </c>
      <c r="T52" s="346" t="s">
        <v>2942</v>
      </c>
      <c r="U52" s="346">
        <v>10</v>
      </c>
      <c r="V52" s="346" cm="1">
        <f t="array" ref="V52">IFERROR(INDEX('Offer Statistics'!$Q$2:$Q$500,MATCH(1,(B52='Offer Statistics'!$B$2:$B$500)*($B$11='Offer Statistics'!$K$2:$K$500),0)),"/")</f>
        <v>11</v>
      </c>
      <c r="W52" s="346" cm="1">
        <f t="array" ref="W52">IFERROR(INDEX('Offer Statistics'!$D$2:$D$500,MATCH(1,(B52='Offer Statistics'!$B$2:$B$500)*($B$11='Offer Statistics'!$K$2:$K$500),0)),"/")</f>
        <v>91</v>
      </c>
      <c r="X52" s="346" cm="1">
        <f t="array" ref="X52">IFERROR(INDEX('Offer Statistics'!$L$2:$L$500,MATCH(1,(B52='Offer Statistics'!$B$2:$B$500)*($B$11='Offer Statistics'!$K$2:$K$500),0)),"/")</f>
        <v>9</v>
      </c>
      <c r="Y52" s="346">
        <f t="shared" si="48"/>
        <v>10.111111111111111</v>
      </c>
      <c r="Z52" s="346" t="s">
        <v>2941</v>
      </c>
      <c r="AA52" s="346" t="str">
        <f>入學要求!AF61</f>
        <v>/</v>
      </c>
      <c r="AB52" s="346" t="str">
        <f>入學要求!AG61</f>
        <v>/</v>
      </c>
      <c r="AC52" s="346" t="s">
        <v>785</v>
      </c>
      <c r="AD52" s="346" t="s">
        <v>2945</v>
      </c>
      <c r="AE52" s="346" t="s">
        <v>2946</v>
      </c>
      <c r="AF52" s="346" t="s">
        <v>786</v>
      </c>
      <c r="AG52" s="346" t="s">
        <v>324</v>
      </c>
      <c r="AH52" s="346" t="s">
        <v>324</v>
      </c>
      <c r="AI52" s="346" t="s">
        <v>324</v>
      </c>
      <c r="AJ52" s="346" t="s">
        <v>324</v>
      </c>
      <c r="AK52" s="346" t="s">
        <v>848</v>
      </c>
      <c r="AL52" s="346" t="s">
        <v>714</v>
      </c>
      <c r="AM52" s="346" t="s">
        <v>800</v>
      </c>
      <c r="AN52" s="346" t="s">
        <v>324</v>
      </c>
      <c r="AO52" s="346" t="s">
        <v>394</v>
      </c>
      <c r="AP52" s="346" t="s">
        <v>394</v>
      </c>
      <c r="AQ52" s="346" t="s">
        <v>394</v>
      </c>
      <c r="AR52" s="346" t="s">
        <v>324</v>
      </c>
      <c r="AT52" s="346" t="s">
        <v>716</v>
      </c>
      <c r="AU52" s="346"/>
      <c r="AV52" s="346" t="s">
        <v>713</v>
      </c>
      <c r="AW52" s="346"/>
      <c r="AX52" s="346"/>
      <c r="AY52" s="346"/>
      <c r="AZ52" s="346" t="s">
        <v>324</v>
      </c>
      <c r="BA52" s="346" t="s">
        <v>324</v>
      </c>
      <c r="BB52" s="346" t="s">
        <v>324</v>
      </c>
      <c r="BC52" s="346"/>
      <c r="BD52" s="346" t="s">
        <v>324</v>
      </c>
      <c r="BE52" s="346" t="s">
        <v>324</v>
      </c>
      <c r="BF52" s="346" t="s">
        <v>324</v>
      </c>
      <c r="BG52" s="346" t="s">
        <v>324</v>
      </c>
      <c r="BH52" s="346" t="s">
        <v>861</v>
      </c>
      <c r="BI52" s="346" t="s">
        <v>324</v>
      </c>
      <c r="BJ52" s="346" t="s">
        <v>324</v>
      </c>
      <c r="BK52" s="346" t="s">
        <v>324</v>
      </c>
      <c r="BL52" s="346"/>
      <c r="BM52" s="346" t="s">
        <v>324</v>
      </c>
      <c r="BN52" s="346" t="s">
        <v>324</v>
      </c>
      <c r="BO52" s="346" t="s">
        <v>324</v>
      </c>
      <c r="BP52" s="346" t="s">
        <v>324</v>
      </c>
      <c r="BQ52" s="429">
        <f t="shared" si="49"/>
        <v>0</v>
      </c>
      <c r="BR52" s="429">
        <f t="shared" si="50"/>
        <v>0</v>
      </c>
      <c r="BS52" s="429">
        <f t="shared" si="51"/>
        <v>0</v>
      </c>
      <c r="BT52" s="429"/>
      <c r="BU52" s="429">
        <f t="shared" si="52"/>
        <v>0</v>
      </c>
      <c r="BV52" s="429">
        <f t="shared" si="53"/>
        <v>0</v>
      </c>
      <c r="BW52" s="429">
        <f t="shared" si="54"/>
        <v>0</v>
      </c>
      <c r="BX52" s="429">
        <f t="shared" si="55"/>
        <v>0</v>
      </c>
      <c r="BY52" s="346" t="s">
        <v>324</v>
      </c>
      <c r="BZ52" s="346" t="s">
        <v>324</v>
      </c>
      <c r="CA52" s="346" t="s">
        <v>324</v>
      </c>
      <c r="CB52" s="346"/>
      <c r="CC52" s="346" t="s">
        <v>324</v>
      </c>
      <c r="CD52" s="346" t="s">
        <v>324</v>
      </c>
      <c r="CE52" s="346" t="s">
        <v>324</v>
      </c>
      <c r="CF52" s="346" t="s">
        <v>324</v>
      </c>
      <c r="CG52" s="346" t="s">
        <v>324</v>
      </c>
      <c r="CH52" s="346" t="s">
        <v>324</v>
      </c>
      <c r="CI52" s="346" t="s">
        <v>324</v>
      </c>
      <c r="CJ52" s="346"/>
      <c r="CK52" s="346" t="s">
        <v>324</v>
      </c>
      <c r="CL52" s="346" t="s">
        <v>324</v>
      </c>
      <c r="CM52" s="346" t="s">
        <v>324</v>
      </c>
      <c r="CN52" s="346" t="s">
        <v>324</v>
      </c>
      <c r="CO52" s="346" t="s">
        <v>324</v>
      </c>
      <c r="CP52" s="346" t="s">
        <v>324</v>
      </c>
      <c r="CQ52" s="346" t="s">
        <v>324</v>
      </c>
      <c r="CR52" s="346"/>
      <c r="CS52" s="346" t="s">
        <v>324</v>
      </c>
      <c r="CT52" s="346" t="s">
        <v>324</v>
      </c>
      <c r="CU52" s="346" t="s">
        <v>324</v>
      </c>
      <c r="CV52" s="346" t="s">
        <v>324</v>
      </c>
      <c r="CW52" s="346"/>
      <c r="CX52" s="346" t="s">
        <v>324</v>
      </c>
      <c r="CY52" s="346" t="s">
        <v>324</v>
      </c>
      <c r="CZ52" s="346" t="s">
        <v>324</v>
      </c>
      <c r="DA52" s="346"/>
      <c r="DB52" s="346" t="s">
        <v>324</v>
      </c>
      <c r="DC52" s="346" t="s">
        <v>324</v>
      </c>
      <c r="DD52" s="346" t="s">
        <v>324</v>
      </c>
      <c r="DE52" s="346" t="s">
        <v>324</v>
      </c>
      <c r="DF52" s="429">
        <f t="shared" si="56"/>
        <v>0</v>
      </c>
      <c r="DG52" s="429">
        <f t="shared" si="57"/>
        <v>0</v>
      </c>
      <c r="DH52" s="429">
        <f t="shared" si="58"/>
        <v>0</v>
      </c>
      <c r="DI52" s="429"/>
      <c r="DJ52" s="429">
        <f t="shared" si="59"/>
        <v>0</v>
      </c>
      <c r="DK52" s="429">
        <f t="shared" si="60"/>
        <v>0</v>
      </c>
      <c r="DL52" s="429">
        <f t="shared" si="61"/>
        <v>0</v>
      </c>
      <c r="DM52" s="429">
        <f t="shared" si="62"/>
        <v>0</v>
      </c>
      <c r="DN52" s="346" t="s">
        <v>324</v>
      </c>
      <c r="DO52" s="346" t="s">
        <v>324</v>
      </c>
      <c r="DP52" s="346" t="s">
        <v>324</v>
      </c>
      <c r="DQ52" s="346"/>
      <c r="DR52" s="346" t="s">
        <v>324</v>
      </c>
      <c r="DS52" s="346" t="s">
        <v>324</v>
      </c>
      <c r="DT52" s="346" t="s">
        <v>324</v>
      </c>
      <c r="DU52" s="346" t="s">
        <v>324</v>
      </c>
      <c r="DV52" s="346" t="s">
        <v>324</v>
      </c>
      <c r="DW52" s="346" t="s">
        <v>324</v>
      </c>
      <c r="DX52" s="346" t="s">
        <v>324</v>
      </c>
      <c r="DY52" s="346"/>
      <c r="DZ52" s="346" t="s">
        <v>324</v>
      </c>
      <c r="EA52" s="346" t="s">
        <v>324</v>
      </c>
      <c r="EB52" s="346" t="s">
        <v>324</v>
      </c>
      <c r="EC52" s="346" t="s">
        <v>324</v>
      </c>
      <c r="ED52" s="346" t="s">
        <v>394</v>
      </c>
      <c r="EE52" s="346" t="s">
        <v>394</v>
      </c>
      <c r="EF52" s="346" t="s">
        <v>394</v>
      </c>
      <c r="EG52" s="346"/>
      <c r="EH52" s="346" t="s">
        <v>394</v>
      </c>
      <c r="EI52" s="346" t="s">
        <v>394</v>
      </c>
      <c r="EJ52" s="346" t="s">
        <v>394</v>
      </c>
      <c r="EK52" s="346" t="s">
        <v>394</v>
      </c>
      <c r="EL52" s="346" t="s">
        <v>394</v>
      </c>
      <c r="EM52" s="346" t="s">
        <v>394</v>
      </c>
      <c r="EN52" s="346" t="s">
        <v>394</v>
      </c>
      <c r="EO52" s="346"/>
      <c r="EP52" s="346" t="s">
        <v>394</v>
      </c>
      <c r="EQ52" s="346" t="s">
        <v>394</v>
      </c>
      <c r="ER52" s="346" t="s">
        <v>394</v>
      </c>
      <c r="ES52" s="346" t="s">
        <v>394</v>
      </c>
      <c r="ET52" s="346"/>
      <c r="EU52" s="346"/>
      <c r="EV52" s="346"/>
      <c r="EW52" s="346"/>
      <c r="EX52" s="346"/>
      <c r="EY52" s="346"/>
      <c r="EZ52" s="346"/>
      <c r="FA52" s="346"/>
      <c r="FB52" s="346" t="s">
        <v>394</v>
      </c>
      <c r="FC52" s="346" t="s">
        <v>394</v>
      </c>
      <c r="FD52" s="346" t="s">
        <v>394</v>
      </c>
      <c r="FE52" s="346" t="s">
        <v>394</v>
      </c>
      <c r="FF52" s="346" t="s">
        <v>394</v>
      </c>
      <c r="FG52" s="346" t="s">
        <v>394</v>
      </c>
      <c r="FH52" s="346" t="s">
        <v>394</v>
      </c>
      <c r="FI52" s="346" t="s">
        <v>394</v>
      </c>
      <c r="FJ52" s="346" t="s">
        <v>394</v>
      </c>
      <c r="FK52" s="346" t="s">
        <v>394</v>
      </c>
      <c r="FL52" s="346" t="s">
        <v>394</v>
      </c>
      <c r="FM52" s="346" t="s">
        <v>394</v>
      </c>
      <c r="FN52" s="346" t="s">
        <v>394</v>
      </c>
      <c r="FO52" s="346" t="s">
        <v>394</v>
      </c>
      <c r="FP52" s="346" t="s">
        <v>394</v>
      </c>
      <c r="FQ52" s="346" t="s">
        <v>394</v>
      </c>
    </row>
    <row r="53" spans="1:173">
      <c r="A53" s="335" t="s">
        <v>864</v>
      </c>
      <c r="B53" s="346" t="s">
        <v>864</v>
      </c>
      <c r="C53" s="346" t="s">
        <v>221</v>
      </c>
      <c r="D53" s="346" t="s">
        <v>865</v>
      </c>
      <c r="E53" s="346" t="s">
        <v>866</v>
      </c>
      <c r="F53" s="425" t="s">
        <v>2256</v>
      </c>
      <c r="G53" s="346" t="s">
        <v>324</v>
      </c>
      <c r="H53" s="346" t="s">
        <v>324</v>
      </c>
      <c r="I53" s="346">
        <v>33</v>
      </c>
      <c r="J53" s="346">
        <v>33</v>
      </c>
      <c r="K53" s="422"/>
      <c r="L53" s="422"/>
      <c r="M53" s="422"/>
      <c r="N53" s="346" t="s">
        <v>324</v>
      </c>
      <c r="O53" s="346" t="s">
        <v>324</v>
      </c>
      <c r="P53" s="346" t="s">
        <v>868</v>
      </c>
      <c r="Q53" s="346" t="s">
        <v>770</v>
      </c>
      <c r="R53" s="346" t="s">
        <v>324</v>
      </c>
      <c r="S53" s="346" t="s">
        <v>867</v>
      </c>
      <c r="T53" s="346" t="s">
        <v>2942</v>
      </c>
      <c r="U53" s="346">
        <v>15</v>
      </c>
      <c r="V53" s="346" cm="1">
        <f t="array" ref="V53">IFERROR(INDEX('Offer Statistics'!$Q$2:$Q$500,MATCH(1,(B53='Offer Statistics'!$B$2:$B$500)*($B$11='Offer Statistics'!$K$2:$K$500),0)),"/")</f>
        <v>4</v>
      </c>
      <c r="W53" s="346" cm="1">
        <f t="array" ref="W53">IFERROR(INDEX('Offer Statistics'!$D$2:$D$500,MATCH(1,(B53='Offer Statistics'!$B$2:$B$500)*($B$11='Offer Statistics'!$K$2:$K$500),0)),"/")</f>
        <v>20</v>
      </c>
      <c r="X53" s="346" cm="1">
        <f t="array" ref="X53">IFERROR(INDEX('Offer Statistics'!$L$2:$L$500,MATCH(1,(B53='Offer Statistics'!$B$2:$B$500)*($B$11='Offer Statistics'!$K$2:$K$500),0)),"/")</f>
        <v>2</v>
      </c>
      <c r="Y53" s="346">
        <f t="shared" si="48"/>
        <v>10</v>
      </c>
      <c r="Z53" s="346" t="s">
        <v>2941</v>
      </c>
      <c r="AA53" s="346" t="str">
        <f>入學要求!AF62</f>
        <v xml:space="preserve">以下兩科選修取得Lv.3︰生物、化學、經濟、M1/2、物理 </v>
      </c>
      <c r="AB53" s="346" t="str">
        <f>入學要求!AG62</f>
        <v>/</v>
      </c>
      <c r="AC53" s="424" t="s">
        <v>2256</v>
      </c>
      <c r="AD53" s="346" t="s">
        <v>2945</v>
      </c>
      <c r="AE53" s="346" t="s">
        <v>2946</v>
      </c>
      <c r="AF53" s="346" t="s">
        <v>324</v>
      </c>
      <c r="AG53" s="346" t="s">
        <v>324</v>
      </c>
      <c r="AH53" s="346" t="s">
        <v>868</v>
      </c>
      <c r="AI53" s="346" t="s">
        <v>770</v>
      </c>
      <c r="AJ53" s="346" t="s">
        <v>324</v>
      </c>
      <c r="AK53" s="346" t="s">
        <v>714</v>
      </c>
      <c r="AL53" s="346" t="s">
        <v>800</v>
      </c>
      <c r="AM53" s="346" t="s">
        <v>324</v>
      </c>
      <c r="AN53" s="346" t="s">
        <v>324</v>
      </c>
      <c r="AO53" s="346" t="s">
        <v>394</v>
      </c>
      <c r="AP53" s="346" t="s">
        <v>394</v>
      </c>
      <c r="AQ53" s="346" t="s">
        <v>394</v>
      </c>
      <c r="AR53" s="346" t="s">
        <v>324</v>
      </c>
      <c r="AT53" s="346" t="s">
        <v>716</v>
      </c>
      <c r="AU53" s="346"/>
      <c r="AV53" s="346" t="s">
        <v>713</v>
      </c>
      <c r="AW53" s="346"/>
      <c r="AX53" s="430"/>
      <c r="AY53" s="346"/>
      <c r="AZ53" s="346" t="s">
        <v>324</v>
      </c>
      <c r="BA53" s="346" t="s">
        <v>324</v>
      </c>
      <c r="BB53" s="346" t="s">
        <v>324</v>
      </c>
      <c r="BC53" s="346"/>
      <c r="BD53" s="346" t="s">
        <v>324</v>
      </c>
      <c r="BE53" s="346" t="s">
        <v>324</v>
      </c>
      <c r="BF53" s="346" t="s">
        <v>324</v>
      </c>
      <c r="BG53" s="346" t="s">
        <v>324</v>
      </c>
      <c r="BH53" s="346" t="s">
        <v>864</v>
      </c>
      <c r="BI53" s="346" t="s">
        <v>324</v>
      </c>
      <c r="BJ53" s="346" t="s">
        <v>324</v>
      </c>
      <c r="BK53" s="346" t="s">
        <v>324</v>
      </c>
      <c r="BL53" s="346"/>
      <c r="BM53" s="346" t="s">
        <v>324</v>
      </c>
      <c r="BN53" s="346" t="s">
        <v>324</v>
      </c>
      <c r="BO53" s="346" t="s">
        <v>324</v>
      </c>
      <c r="BP53" s="346" t="s">
        <v>324</v>
      </c>
      <c r="BQ53" s="429">
        <f t="shared" si="49"/>
        <v>0</v>
      </c>
      <c r="BR53" s="429">
        <f t="shared" si="50"/>
        <v>0</v>
      </c>
      <c r="BS53" s="429">
        <f t="shared" si="51"/>
        <v>0</v>
      </c>
      <c r="BT53" s="429"/>
      <c r="BU53" s="429">
        <f t="shared" si="52"/>
        <v>0</v>
      </c>
      <c r="BV53" s="429">
        <f t="shared" si="53"/>
        <v>0</v>
      </c>
      <c r="BW53" s="429">
        <f t="shared" si="54"/>
        <v>0</v>
      </c>
      <c r="BX53" s="429">
        <f t="shared" si="55"/>
        <v>0</v>
      </c>
      <c r="BY53" s="346" t="s">
        <v>324</v>
      </c>
      <c r="BZ53" s="346" t="s">
        <v>324</v>
      </c>
      <c r="CA53" s="346" t="s">
        <v>324</v>
      </c>
      <c r="CB53" s="346"/>
      <c r="CC53" s="346" t="s">
        <v>324</v>
      </c>
      <c r="CD53" s="346" t="s">
        <v>324</v>
      </c>
      <c r="CE53" s="346" t="s">
        <v>324</v>
      </c>
      <c r="CF53" s="346" t="s">
        <v>324</v>
      </c>
      <c r="CG53" s="346" t="s">
        <v>324</v>
      </c>
      <c r="CH53" s="346" t="s">
        <v>324</v>
      </c>
      <c r="CI53" s="346" t="s">
        <v>324</v>
      </c>
      <c r="CJ53" s="346"/>
      <c r="CK53" s="346" t="s">
        <v>324</v>
      </c>
      <c r="CL53" s="346" t="s">
        <v>324</v>
      </c>
      <c r="CM53" s="346" t="s">
        <v>324</v>
      </c>
      <c r="CN53" s="346" t="s">
        <v>324</v>
      </c>
      <c r="CO53" s="346" t="s">
        <v>324</v>
      </c>
      <c r="CP53" s="346" t="s">
        <v>324</v>
      </c>
      <c r="CQ53" s="346" t="s">
        <v>324</v>
      </c>
      <c r="CR53" s="346"/>
      <c r="CS53" s="346" t="s">
        <v>324</v>
      </c>
      <c r="CT53" s="346" t="s">
        <v>324</v>
      </c>
      <c r="CU53" s="346" t="s">
        <v>324</v>
      </c>
      <c r="CV53" s="346" t="s">
        <v>324</v>
      </c>
      <c r="CW53" s="346"/>
      <c r="CX53" s="346" t="s">
        <v>324</v>
      </c>
      <c r="CY53" s="346" t="s">
        <v>324</v>
      </c>
      <c r="CZ53" s="346" t="s">
        <v>324</v>
      </c>
      <c r="DA53" s="346"/>
      <c r="DB53" s="346" t="s">
        <v>324</v>
      </c>
      <c r="DC53" s="346" t="s">
        <v>324</v>
      </c>
      <c r="DD53" s="346" t="s">
        <v>324</v>
      </c>
      <c r="DE53" s="346" t="s">
        <v>324</v>
      </c>
      <c r="DF53" s="429">
        <f t="shared" si="56"/>
        <v>0</v>
      </c>
      <c r="DG53" s="429">
        <f t="shared" si="57"/>
        <v>0</v>
      </c>
      <c r="DH53" s="429">
        <f t="shared" si="58"/>
        <v>0</v>
      </c>
      <c r="DI53" s="429"/>
      <c r="DJ53" s="429">
        <f t="shared" si="59"/>
        <v>0</v>
      </c>
      <c r="DK53" s="429">
        <f t="shared" si="60"/>
        <v>0</v>
      </c>
      <c r="DL53" s="429">
        <f t="shared" si="61"/>
        <v>0</v>
      </c>
      <c r="DM53" s="429">
        <f t="shared" si="62"/>
        <v>0</v>
      </c>
      <c r="DN53" s="346" t="s">
        <v>324</v>
      </c>
      <c r="DO53" s="346" t="s">
        <v>324</v>
      </c>
      <c r="DP53" s="346" t="s">
        <v>324</v>
      </c>
      <c r="DQ53" s="346"/>
      <c r="DR53" s="346" t="s">
        <v>324</v>
      </c>
      <c r="DS53" s="346" t="s">
        <v>324</v>
      </c>
      <c r="DT53" s="346" t="s">
        <v>324</v>
      </c>
      <c r="DU53" s="346" t="s">
        <v>324</v>
      </c>
      <c r="DV53" s="346" t="s">
        <v>324</v>
      </c>
      <c r="DW53" s="346" t="s">
        <v>324</v>
      </c>
      <c r="DX53" s="346" t="s">
        <v>324</v>
      </c>
      <c r="DY53" s="346"/>
      <c r="DZ53" s="346" t="s">
        <v>324</v>
      </c>
      <c r="EA53" s="346" t="s">
        <v>324</v>
      </c>
      <c r="EB53" s="346" t="s">
        <v>324</v>
      </c>
      <c r="EC53" s="346" t="s">
        <v>324</v>
      </c>
      <c r="ED53" s="346" t="s">
        <v>394</v>
      </c>
      <c r="EE53" s="346" t="s">
        <v>394</v>
      </c>
      <c r="EF53" s="346" t="s">
        <v>394</v>
      </c>
      <c r="EG53" s="346"/>
      <c r="EH53" s="346" t="s">
        <v>394</v>
      </c>
      <c r="EI53" s="346" t="s">
        <v>394</v>
      </c>
      <c r="EJ53" s="346" t="s">
        <v>394</v>
      </c>
      <c r="EK53" s="346" t="s">
        <v>394</v>
      </c>
      <c r="EL53" s="346" t="s">
        <v>394</v>
      </c>
      <c r="EM53" s="346" t="s">
        <v>394</v>
      </c>
      <c r="EN53" s="346" t="s">
        <v>394</v>
      </c>
      <c r="EO53" s="346"/>
      <c r="EP53" s="346" t="s">
        <v>394</v>
      </c>
      <c r="EQ53" s="346" t="s">
        <v>394</v>
      </c>
      <c r="ER53" s="346" t="s">
        <v>394</v>
      </c>
      <c r="ES53" s="346" t="s">
        <v>394</v>
      </c>
      <c r="ET53" s="346"/>
      <c r="EU53" s="346"/>
      <c r="EV53" s="346"/>
      <c r="EW53" s="346"/>
      <c r="EX53" s="346"/>
      <c r="EY53" s="346"/>
      <c r="EZ53" s="346"/>
      <c r="FA53" s="346"/>
      <c r="FB53" s="346" t="s">
        <v>394</v>
      </c>
      <c r="FC53" s="346" t="s">
        <v>394</v>
      </c>
      <c r="FD53" s="346" t="s">
        <v>394</v>
      </c>
      <c r="FE53" s="346" t="s">
        <v>394</v>
      </c>
      <c r="FF53" s="346" t="s">
        <v>394</v>
      </c>
      <c r="FG53" s="346" t="s">
        <v>394</v>
      </c>
      <c r="FH53" s="346" t="s">
        <v>394</v>
      </c>
      <c r="FI53" s="346" t="s">
        <v>394</v>
      </c>
      <c r="FJ53" s="346" t="s">
        <v>394</v>
      </c>
      <c r="FK53" s="346" t="s">
        <v>394</v>
      </c>
      <c r="FL53" s="346" t="s">
        <v>394</v>
      </c>
      <c r="FM53" s="346" t="s">
        <v>394</v>
      </c>
      <c r="FN53" s="346" t="s">
        <v>394</v>
      </c>
      <c r="FO53" s="346" t="s">
        <v>394</v>
      </c>
      <c r="FP53" s="346" t="s">
        <v>394</v>
      </c>
      <c r="FQ53" s="346" t="s">
        <v>394</v>
      </c>
    </row>
    <row r="54" spans="1:173" s="342" customFormat="1">
      <c r="A54" s="335" t="s">
        <v>869</v>
      </c>
      <c r="B54" s="346" t="s">
        <v>869</v>
      </c>
      <c r="C54" s="346" t="s">
        <v>221</v>
      </c>
      <c r="D54" s="346" t="s">
        <v>870</v>
      </c>
      <c r="E54" s="346" t="s">
        <v>871</v>
      </c>
      <c r="F54" s="425" t="s">
        <v>785</v>
      </c>
      <c r="G54" s="346" t="s">
        <v>324</v>
      </c>
      <c r="H54" s="346" t="s">
        <v>324</v>
      </c>
      <c r="I54" s="346">
        <v>42</v>
      </c>
      <c r="J54" s="346">
        <v>40</v>
      </c>
      <c r="K54" s="422"/>
      <c r="L54" s="422"/>
      <c r="M54" s="422"/>
      <c r="N54" s="346" t="s">
        <v>786</v>
      </c>
      <c r="O54" s="346" t="s">
        <v>324</v>
      </c>
      <c r="P54" s="424" t="s">
        <v>2260</v>
      </c>
      <c r="Q54" s="346" t="s">
        <v>873</v>
      </c>
      <c r="R54" s="346" t="s">
        <v>324</v>
      </c>
      <c r="S54" s="346" t="s">
        <v>872</v>
      </c>
      <c r="T54" s="346" t="s">
        <v>2942</v>
      </c>
      <c r="U54" s="346">
        <v>87</v>
      </c>
      <c r="V54" s="346" cm="1">
        <f t="array" ref="V54">IFERROR(INDEX('Offer Statistics'!$Q$2:$Q$500,MATCH(1,(B54='Offer Statistics'!$B$2:$B$500)*($B$11='Offer Statistics'!$K$2:$K$500),0)),"/")</f>
        <v>98</v>
      </c>
      <c r="W54" s="346" cm="1">
        <f t="array" ref="W54">IFERROR(INDEX('Offer Statistics'!$D$2:$D$500,MATCH(1,(B54='Offer Statistics'!$B$2:$B$500)*($B$11='Offer Statistics'!$K$2:$K$500),0)),"/")</f>
        <v>507</v>
      </c>
      <c r="X54" s="346" cm="1">
        <f t="array" ref="X54">IFERROR(INDEX('Offer Statistics'!$L$2:$L$500,MATCH(1,(B54='Offer Statistics'!$B$2:$B$500)*($B$11='Offer Statistics'!$K$2:$K$500),0)),"/")</f>
        <v>98</v>
      </c>
      <c r="Y54" s="346">
        <f t="shared" si="48"/>
        <v>5.1734693877551017</v>
      </c>
      <c r="Z54" s="346" t="s">
        <v>2941</v>
      </c>
      <c r="AA54" s="346" t="str">
        <f>入學要求!AF63</f>
        <v xml:space="preserve">以下一科選修取得Lv.3︰物理 </v>
      </c>
      <c r="AB54" s="346" t="str">
        <f>入學要求!AG63</f>
        <v>/</v>
      </c>
      <c r="AC54" s="427" t="s">
        <v>785</v>
      </c>
      <c r="AD54" s="346" t="s">
        <v>2945</v>
      </c>
      <c r="AE54" s="346" t="s">
        <v>2946</v>
      </c>
      <c r="AF54" s="346" t="s">
        <v>786</v>
      </c>
      <c r="AG54" s="346" t="s">
        <v>324</v>
      </c>
      <c r="AH54" s="424" t="s">
        <v>2260</v>
      </c>
      <c r="AI54" s="346" t="s">
        <v>873</v>
      </c>
      <c r="AJ54" s="346" t="s">
        <v>324</v>
      </c>
      <c r="AK54" s="346" t="s">
        <v>848</v>
      </c>
      <c r="AL54" s="346" t="s">
        <v>714</v>
      </c>
      <c r="AM54" s="346" t="s">
        <v>740</v>
      </c>
      <c r="AN54" s="346" t="s">
        <v>324</v>
      </c>
      <c r="AO54" s="346" t="s">
        <v>394</v>
      </c>
      <c r="AP54" s="346" t="s">
        <v>394</v>
      </c>
      <c r="AQ54" s="346" t="s">
        <v>394</v>
      </c>
      <c r="AR54" s="346" t="s">
        <v>324</v>
      </c>
      <c r="AT54" s="346" t="s">
        <v>716</v>
      </c>
      <c r="AU54" s="346"/>
      <c r="AV54" s="346" t="s">
        <v>713</v>
      </c>
      <c r="AW54" s="346"/>
      <c r="AX54" s="430"/>
      <c r="AY54" s="346"/>
      <c r="AZ54" s="346" t="s">
        <v>324</v>
      </c>
      <c r="BA54" s="346" t="s">
        <v>324</v>
      </c>
      <c r="BB54" s="346" t="s">
        <v>324</v>
      </c>
      <c r="BC54" s="346"/>
      <c r="BD54" s="346" t="s">
        <v>324</v>
      </c>
      <c r="BE54" s="346" t="s">
        <v>324</v>
      </c>
      <c r="BF54" s="346" t="s">
        <v>324</v>
      </c>
      <c r="BG54" s="346" t="s">
        <v>324</v>
      </c>
      <c r="BH54" s="346" t="s">
        <v>869</v>
      </c>
      <c r="BI54" s="346" t="s">
        <v>324</v>
      </c>
      <c r="BJ54" s="346" t="s">
        <v>324</v>
      </c>
      <c r="BK54" s="346" t="s">
        <v>324</v>
      </c>
      <c r="BL54" s="346"/>
      <c r="BM54" s="346" t="s">
        <v>324</v>
      </c>
      <c r="BN54" s="346" t="s">
        <v>324</v>
      </c>
      <c r="BO54" s="346" t="s">
        <v>324</v>
      </c>
      <c r="BP54" s="346" t="s">
        <v>324</v>
      </c>
      <c r="BQ54" s="429">
        <f t="shared" si="49"/>
        <v>0</v>
      </c>
      <c r="BR54" s="429">
        <f t="shared" si="50"/>
        <v>0</v>
      </c>
      <c r="BS54" s="429">
        <f t="shared" si="51"/>
        <v>0</v>
      </c>
      <c r="BT54" s="429"/>
      <c r="BU54" s="429">
        <f t="shared" si="52"/>
        <v>0</v>
      </c>
      <c r="BV54" s="429">
        <f t="shared" si="53"/>
        <v>0</v>
      </c>
      <c r="BW54" s="429">
        <f t="shared" si="54"/>
        <v>0</v>
      </c>
      <c r="BX54" s="429">
        <f t="shared" si="55"/>
        <v>0</v>
      </c>
      <c r="BY54" s="346" t="s">
        <v>324</v>
      </c>
      <c r="BZ54" s="346" t="s">
        <v>324</v>
      </c>
      <c r="CA54" s="346" t="s">
        <v>324</v>
      </c>
      <c r="CB54" s="346"/>
      <c r="CC54" s="346" t="s">
        <v>324</v>
      </c>
      <c r="CD54" s="346" t="s">
        <v>324</v>
      </c>
      <c r="CE54" s="346" t="s">
        <v>324</v>
      </c>
      <c r="CF54" s="346" t="s">
        <v>324</v>
      </c>
      <c r="CG54" s="346" t="s">
        <v>324</v>
      </c>
      <c r="CH54" s="346" t="s">
        <v>324</v>
      </c>
      <c r="CI54" s="346" t="s">
        <v>324</v>
      </c>
      <c r="CJ54" s="346"/>
      <c r="CK54" s="346" t="s">
        <v>324</v>
      </c>
      <c r="CL54" s="346" t="s">
        <v>324</v>
      </c>
      <c r="CM54" s="346" t="s">
        <v>324</v>
      </c>
      <c r="CN54" s="346" t="s">
        <v>324</v>
      </c>
      <c r="CO54" s="346" t="s">
        <v>324</v>
      </c>
      <c r="CP54" s="346" t="s">
        <v>324</v>
      </c>
      <c r="CQ54" s="346" t="s">
        <v>324</v>
      </c>
      <c r="CR54" s="346"/>
      <c r="CS54" s="346" t="s">
        <v>324</v>
      </c>
      <c r="CT54" s="346" t="s">
        <v>324</v>
      </c>
      <c r="CU54" s="346" t="s">
        <v>324</v>
      </c>
      <c r="CV54" s="346" t="s">
        <v>324</v>
      </c>
      <c r="CW54" s="346"/>
      <c r="CX54" s="346" t="s">
        <v>324</v>
      </c>
      <c r="CY54" s="346" t="s">
        <v>324</v>
      </c>
      <c r="CZ54" s="346" t="s">
        <v>324</v>
      </c>
      <c r="DA54" s="346"/>
      <c r="DB54" s="346" t="s">
        <v>324</v>
      </c>
      <c r="DC54" s="346" t="s">
        <v>324</v>
      </c>
      <c r="DD54" s="346" t="s">
        <v>324</v>
      </c>
      <c r="DE54" s="346" t="s">
        <v>324</v>
      </c>
      <c r="DF54" s="429">
        <f t="shared" si="56"/>
        <v>0</v>
      </c>
      <c r="DG54" s="429">
        <f t="shared" si="57"/>
        <v>0</v>
      </c>
      <c r="DH54" s="429">
        <f t="shared" si="58"/>
        <v>0</v>
      </c>
      <c r="DI54" s="429"/>
      <c r="DJ54" s="429">
        <f t="shared" si="59"/>
        <v>0</v>
      </c>
      <c r="DK54" s="429">
        <f t="shared" si="60"/>
        <v>0</v>
      </c>
      <c r="DL54" s="429">
        <f t="shared" si="61"/>
        <v>0</v>
      </c>
      <c r="DM54" s="429">
        <f t="shared" si="62"/>
        <v>0</v>
      </c>
      <c r="DN54" s="346" t="s">
        <v>324</v>
      </c>
      <c r="DO54" s="346" t="s">
        <v>324</v>
      </c>
      <c r="DP54" s="346" t="s">
        <v>324</v>
      </c>
      <c r="DQ54" s="346"/>
      <c r="DR54" s="346" t="s">
        <v>324</v>
      </c>
      <c r="DS54" s="346" t="s">
        <v>324</v>
      </c>
      <c r="DT54" s="346" t="s">
        <v>324</v>
      </c>
      <c r="DU54" s="346" t="s">
        <v>324</v>
      </c>
      <c r="DV54" s="346" t="s">
        <v>324</v>
      </c>
      <c r="DW54" s="346" t="s">
        <v>324</v>
      </c>
      <c r="DX54" s="346" t="s">
        <v>324</v>
      </c>
      <c r="DY54" s="346"/>
      <c r="DZ54" s="346" t="s">
        <v>324</v>
      </c>
      <c r="EA54" s="346" t="s">
        <v>324</v>
      </c>
      <c r="EB54" s="346" t="s">
        <v>324</v>
      </c>
      <c r="EC54" s="346" t="s">
        <v>324</v>
      </c>
      <c r="ED54" s="346" t="s">
        <v>394</v>
      </c>
      <c r="EE54" s="346" t="s">
        <v>394</v>
      </c>
      <c r="EF54" s="346" t="s">
        <v>394</v>
      </c>
      <c r="EG54" s="346"/>
      <c r="EH54" s="346" t="s">
        <v>394</v>
      </c>
      <c r="EI54" s="346" t="s">
        <v>394</v>
      </c>
      <c r="EJ54" s="346" t="s">
        <v>394</v>
      </c>
      <c r="EK54" s="346" t="s">
        <v>394</v>
      </c>
      <c r="EL54" s="346" t="s">
        <v>394</v>
      </c>
      <c r="EM54" s="346" t="s">
        <v>394</v>
      </c>
      <c r="EN54" s="346" t="s">
        <v>394</v>
      </c>
      <c r="EO54" s="346"/>
      <c r="EP54" s="346" t="s">
        <v>394</v>
      </c>
      <c r="EQ54" s="346" t="s">
        <v>394</v>
      </c>
      <c r="ER54" s="346" t="s">
        <v>394</v>
      </c>
      <c r="ES54" s="346" t="s">
        <v>394</v>
      </c>
      <c r="ET54" s="346"/>
      <c r="EU54" s="346"/>
      <c r="EV54" s="346"/>
      <c r="EW54" s="346"/>
      <c r="EX54" s="346"/>
      <c r="EY54" s="346"/>
      <c r="EZ54" s="346"/>
      <c r="FA54" s="346"/>
      <c r="FB54" s="346" t="s">
        <v>394</v>
      </c>
      <c r="FC54" s="346" t="s">
        <v>394</v>
      </c>
      <c r="FD54" s="346" t="s">
        <v>394</v>
      </c>
      <c r="FE54" s="346" t="s">
        <v>394</v>
      </c>
      <c r="FF54" s="346" t="s">
        <v>394</v>
      </c>
      <c r="FG54" s="346" t="s">
        <v>394</v>
      </c>
      <c r="FH54" s="346" t="s">
        <v>394</v>
      </c>
      <c r="FI54" s="346" t="s">
        <v>394</v>
      </c>
      <c r="FJ54" s="346" t="s">
        <v>394</v>
      </c>
      <c r="FK54" s="346" t="s">
        <v>394</v>
      </c>
      <c r="FL54" s="346" t="s">
        <v>394</v>
      </c>
      <c r="FM54" s="346" t="s">
        <v>394</v>
      </c>
      <c r="FN54" s="346" t="s">
        <v>394</v>
      </c>
      <c r="FO54" s="346" t="s">
        <v>394</v>
      </c>
      <c r="FP54" s="346" t="s">
        <v>394</v>
      </c>
      <c r="FQ54" s="346" t="s">
        <v>394</v>
      </c>
    </row>
    <row r="55" spans="1:173" s="343" customFormat="1">
      <c r="A55" s="335" t="s">
        <v>874</v>
      </c>
      <c r="B55" s="346" t="s">
        <v>874</v>
      </c>
      <c r="C55" s="346" t="s">
        <v>221</v>
      </c>
      <c r="D55" s="346" t="s">
        <v>865</v>
      </c>
      <c r="E55" s="346" t="s">
        <v>875</v>
      </c>
      <c r="F55" s="425" t="s">
        <v>2256</v>
      </c>
      <c r="G55" s="346" t="s">
        <v>324</v>
      </c>
      <c r="H55" s="346" t="s">
        <v>324</v>
      </c>
      <c r="I55" s="346">
        <v>26</v>
      </c>
      <c r="J55" s="346">
        <v>25.5</v>
      </c>
      <c r="K55" s="422"/>
      <c r="L55" s="422"/>
      <c r="M55" s="422"/>
      <c r="N55" s="346" t="s">
        <v>324</v>
      </c>
      <c r="O55" s="346" t="s">
        <v>324</v>
      </c>
      <c r="P55" s="346" t="s">
        <v>877</v>
      </c>
      <c r="Q55" s="426" t="s">
        <v>780</v>
      </c>
      <c r="R55" s="346" t="s">
        <v>324</v>
      </c>
      <c r="S55" s="346" t="s">
        <v>876</v>
      </c>
      <c r="T55" s="346" t="s">
        <v>2942</v>
      </c>
      <c r="U55" s="346">
        <v>44</v>
      </c>
      <c r="V55" s="346" cm="1">
        <f t="array" ref="V55">IFERROR(INDEX('Offer Statistics'!$Q$2:$Q$500,MATCH(1,(B55='Offer Statistics'!$B$2:$B$500)*($B$11='Offer Statistics'!$K$2:$K$500),0)),"/")</f>
        <v>48</v>
      </c>
      <c r="W55" s="346" cm="1">
        <f t="array" ref="W55">IFERROR(INDEX('Offer Statistics'!$D$2:$D$500,MATCH(1,(B55='Offer Statistics'!$B$2:$B$500)*($B$11='Offer Statistics'!$K$2:$K$500),0)),"/")</f>
        <v>309</v>
      </c>
      <c r="X55" s="346" cm="1">
        <f t="array" ref="X55">IFERROR(INDEX('Offer Statistics'!$L$2:$L$500,MATCH(1,(B55='Offer Statistics'!$B$2:$B$500)*($B$11='Offer Statistics'!$K$2:$K$500),0)),"/")</f>
        <v>40</v>
      </c>
      <c r="Y55" s="346">
        <f t="shared" si="48"/>
        <v>7.7249999999999996</v>
      </c>
      <c r="Z55" s="346" t="s">
        <v>2941</v>
      </c>
      <c r="AA55" s="346" t="str">
        <f>入學要求!AF64</f>
        <v>以下一科選修取得Lv.3︰化學</v>
      </c>
      <c r="AB55" s="346" t="str">
        <f>入學要求!AG64</f>
        <v>若數學未有Lv.3，則以下一科選修需取得Lv.3: 生物、BAFS、DAT、ICT、物理</v>
      </c>
      <c r="AC55" s="425" t="s">
        <v>2256</v>
      </c>
      <c r="AD55" s="346" t="s">
        <v>2945</v>
      </c>
      <c r="AE55" s="346" t="s">
        <v>2946</v>
      </c>
      <c r="AF55" s="346" t="s">
        <v>324</v>
      </c>
      <c r="AG55" s="346" t="s">
        <v>324</v>
      </c>
      <c r="AH55" s="346" t="s">
        <v>877</v>
      </c>
      <c r="AI55" s="426" t="s">
        <v>780</v>
      </c>
      <c r="AJ55" s="346" t="s">
        <v>324</v>
      </c>
      <c r="AK55" s="346" t="s">
        <v>848</v>
      </c>
      <c r="AL55" s="346" t="s">
        <v>714</v>
      </c>
      <c r="AM55" s="346" t="s">
        <v>800</v>
      </c>
      <c r="AN55" s="346" t="s">
        <v>324</v>
      </c>
      <c r="AO55" s="346" t="s">
        <v>394</v>
      </c>
      <c r="AP55" s="346" t="s">
        <v>394</v>
      </c>
      <c r="AQ55" s="346" t="s">
        <v>394</v>
      </c>
      <c r="AR55" s="346" t="s">
        <v>324</v>
      </c>
      <c r="AT55" s="346" t="s">
        <v>716</v>
      </c>
      <c r="AU55" s="346"/>
      <c r="AV55" s="346" t="s">
        <v>713</v>
      </c>
      <c r="AW55" s="346"/>
      <c r="AX55" s="346"/>
      <c r="AY55" s="430"/>
      <c r="AZ55" s="346" t="s">
        <v>324</v>
      </c>
      <c r="BA55" s="346" t="s">
        <v>324</v>
      </c>
      <c r="BB55" s="346" t="s">
        <v>324</v>
      </c>
      <c r="BC55" s="346"/>
      <c r="BD55" s="346" t="s">
        <v>324</v>
      </c>
      <c r="BE55" s="346" t="s">
        <v>324</v>
      </c>
      <c r="BF55" s="346" t="s">
        <v>324</v>
      </c>
      <c r="BG55" s="346" t="s">
        <v>324</v>
      </c>
      <c r="BH55" s="346" t="s">
        <v>874</v>
      </c>
      <c r="BI55" s="346" t="s">
        <v>324</v>
      </c>
      <c r="BJ55" s="346" t="s">
        <v>324</v>
      </c>
      <c r="BK55" s="346" t="s">
        <v>324</v>
      </c>
      <c r="BL55" s="346"/>
      <c r="BM55" s="346" t="s">
        <v>324</v>
      </c>
      <c r="BN55" s="346" t="s">
        <v>324</v>
      </c>
      <c r="BO55" s="346" t="s">
        <v>324</v>
      </c>
      <c r="BP55" s="346" t="s">
        <v>324</v>
      </c>
      <c r="BQ55" s="429">
        <f t="shared" si="49"/>
        <v>0</v>
      </c>
      <c r="BR55" s="429">
        <f t="shared" si="50"/>
        <v>0</v>
      </c>
      <c r="BS55" s="429">
        <f t="shared" si="51"/>
        <v>0</v>
      </c>
      <c r="BT55" s="429"/>
      <c r="BU55" s="429">
        <f t="shared" si="52"/>
        <v>0</v>
      </c>
      <c r="BV55" s="429">
        <f t="shared" si="53"/>
        <v>0</v>
      </c>
      <c r="BW55" s="429">
        <f t="shared" si="54"/>
        <v>0</v>
      </c>
      <c r="BX55" s="429">
        <f t="shared" si="55"/>
        <v>0</v>
      </c>
      <c r="BY55" s="346" t="s">
        <v>324</v>
      </c>
      <c r="BZ55" s="346" t="s">
        <v>324</v>
      </c>
      <c r="CA55" s="346" t="s">
        <v>324</v>
      </c>
      <c r="CB55" s="346"/>
      <c r="CC55" s="346" t="s">
        <v>324</v>
      </c>
      <c r="CD55" s="346" t="s">
        <v>324</v>
      </c>
      <c r="CE55" s="346" t="s">
        <v>324</v>
      </c>
      <c r="CF55" s="346" t="s">
        <v>324</v>
      </c>
      <c r="CG55" s="346" t="s">
        <v>324</v>
      </c>
      <c r="CH55" s="346" t="s">
        <v>324</v>
      </c>
      <c r="CI55" s="346" t="s">
        <v>324</v>
      </c>
      <c r="CJ55" s="346"/>
      <c r="CK55" s="346" t="s">
        <v>324</v>
      </c>
      <c r="CL55" s="346" t="s">
        <v>324</v>
      </c>
      <c r="CM55" s="346" t="s">
        <v>324</v>
      </c>
      <c r="CN55" s="346" t="s">
        <v>324</v>
      </c>
      <c r="CO55" s="346" t="s">
        <v>324</v>
      </c>
      <c r="CP55" s="346" t="s">
        <v>324</v>
      </c>
      <c r="CQ55" s="346" t="s">
        <v>324</v>
      </c>
      <c r="CR55" s="346"/>
      <c r="CS55" s="346" t="s">
        <v>324</v>
      </c>
      <c r="CT55" s="346" t="s">
        <v>324</v>
      </c>
      <c r="CU55" s="346" t="s">
        <v>324</v>
      </c>
      <c r="CV55" s="346" t="s">
        <v>324</v>
      </c>
      <c r="CW55" s="346"/>
      <c r="CX55" s="346" t="s">
        <v>324</v>
      </c>
      <c r="CY55" s="346" t="s">
        <v>324</v>
      </c>
      <c r="CZ55" s="346" t="s">
        <v>324</v>
      </c>
      <c r="DA55" s="346"/>
      <c r="DB55" s="346" t="s">
        <v>324</v>
      </c>
      <c r="DC55" s="346" t="s">
        <v>324</v>
      </c>
      <c r="DD55" s="346" t="s">
        <v>324</v>
      </c>
      <c r="DE55" s="346" t="s">
        <v>324</v>
      </c>
      <c r="DF55" s="429">
        <f t="shared" si="56"/>
        <v>0</v>
      </c>
      <c r="DG55" s="429">
        <f t="shared" si="57"/>
        <v>0</v>
      </c>
      <c r="DH55" s="429">
        <f t="shared" si="58"/>
        <v>0</v>
      </c>
      <c r="DI55" s="429"/>
      <c r="DJ55" s="429">
        <f t="shared" si="59"/>
        <v>0</v>
      </c>
      <c r="DK55" s="429">
        <f t="shared" si="60"/>
        <v>0</v>
      </c>
      <c r="DL55" s="429">
        <f t="shared" si="61"/>
        <v>0</v>
      </c>
      <c r="DM55" s="429">
        <f t="shared" si="62"/>
        <v>0</v>
      </c>
      <c r="DN55" s="346" t="s">
        <v>324</v>
      </c>
      <c r="DO55" s="346" t="s">
        <v>324</v>
      </c>
      <c r="DP55" s="346" t="s">
        <v>324</v>
      </c>
      <c r="DQ55" s="346"/>
      <c r="DR55" s="346" t="s">
        <v>324</v>
      </c>
      <c r="DS55" s="346" t="s">
        <v>324</v>
      </c>
      <c r="DT55" s="346" t="s">
        <v>324</v>
      </c>
      <c r="DU55" s="346" t="s">
        <v>324</v>
      </c>
      <c r="DV55" s="346" t="s">
        <v>324</v>
      </c>
      <c r="DW55" s="346" t="s">
        <v>324</v>
      </c>
      <c r="DX55" s="346" t="s">
        <v>324</v>
      </c>
      <c r="DY55" s="346"/>
      <c r="DZ55" s="346" t="s">
        <v>324</v>
      </c>
      <c r="EA55" s="346" t="s">
        <v>324</v>
      </c>
      <c r="EB55" s="346" t="s">
        <v>324</v>
      </c>
      <c r="EC55" s="346" t="s">
        <v>324</v>
      </c>
      <c r="ED55" s="346" t="s">
        <v>394</v>
      </c>
      <c r="EE55" s="346" t="s">
        <v>394</v>
      </c>
      <c r="EF55" s="346" t="s">
        <v>394</v>
      </c>
      <c r="EG55" s="346"/>
      <c r="EH55" s="346" t="s">
        <v>394</v>
      </c>
      <c r="EI55" s="346" t="s">
        <v>394</v>
      </c>
      <c r="EJ55" s="346" t="s">
        <v>394</v>
      </c>
      <c r="EK55" s="346" t="s">
        <v>394</v>
      </c>
      <c r="EL55" s="346" t="s">
        <v>394</v>
      </c>
      <c r="EM55" s="346" t="s">
        <v>394</v>
      </c>
      <c r="EN55" s="346" t="s">
        <v>394</v>
      </c>
      <c r="EO55" s="346"/>
      <c r="EP55" s="346" t="s">
        <v>394</v>
      </c>
      <c r="EQ55" s="346" t="s">
        <v>394</v>
      </c>
      <c r="ER55" s="346" t="s">
        <v>394</v>
      </c>
      <c r="ES55" s="346" t="s">
        <v>394</v>
      </c>
      <c r="ET55" s="346"/>
      <c r="EU55" s="346"/>
      <c r="EV55" s="346"/>
      <c r="EW55" s="346"/>
      <c r="EX55" s="346"/>
      <c r="EY55" s="346"/>
      <c r="EZ55" s="346"/>
      <c r="FA55" s="346"/>
      <c r="FB55" s="346" t="s">
        <v>394</v>
      </c>
      <c r="FC55" s="346" t="s">
        <v>394</v>
      </c>
      <c r="FD55" s="346" t="s">
        <v>394</v>
      </c>
      <c r="FE55" s="346" t="s">
        <v>394</v>
      </c>
      <c r="FF55" s="346" t="s">
        <v>394</v>
      </c>
      <c r="FG55" s="346" t="s">
        <v>394</v>
      </c>
      <c r="FH55" s="346" t="s">
        <v>394</v>
      </c>
      <c r="FI55" s="346" t="s">
        <v>394</v>
      </c>
      <c r="FJ55" s="346" t="s">
        <v>394</v>
      </c>
      <c r="FK55" s="346" t="s">
        <v>394</v>
      </c>
      <c r="FL55" s="346" t="s">
        <v>394</v>
      </c>
      <c r="FM55" s="346" t="s">
        <v>394</v>
      </c>
      <c r="FN55" s="346" t="s">
        <v>394</v>
      </c>
      <c r="FO55" s="346" t="s">
        <v>394</v>
      </c>
      <c r="FP55" s="346" t="s">
        <v>394</v>
      </c>
      <c r="FQ55" s="346" t="s">
        <v>394</v>
      </c>
    </row>
    <row r="56" spans="1:173" s="342" customFormat="1">
      <c r="A56" s="335" t="s">
        <v>878</v>
      </c>
      <c r="B56" s="346" t="s">
        <v>878</v>
      </c>
      <c r="C56" s="346" t="s">
        <v>221</v>
      </c>
      <c r="D56" s="346" t="s">
        <v>2925</v>
      </c>
      <c r="E56" s="346" t="s">
        <v>879</v>
      </c>
      <c r="F56" s="346" t="s">
        <v>785</v>
      </c>
      <c r="G56" s="346" t="s">
        <v>324</v>
      </c>
      <c r="H56" s="346" t="s">
        <v>324</v>
      </c>
      <c r="I56" s="346">
        <v>20.5</v>
      </c>
      <c r="J56" s="346">
        <v>19.5</v>
      </c>
      <c r="K56" s="422"/>
      <c r="L56" s="422"/>
      <c r="M56" s="422"/>
      <c r="N56" s="346" t="s">
        <v>324</v>
      </c>
      <c r="O56" s="346" t="s">
        <v>324</v>
      </c>
      <c r="P56" s="346" t="s">
        <v>324</v>
      </c>
      <c r="Q56" s="346" t="s">
        <v>324</v>
      </c>
      <c r="R56" s="346" t="s">
        <v>324</v>
      </c>
      <c r="S56" s="346" t="s">
        <v>880</v>
      </c>
      <c r="T56" s="346" t="s">
        <v>2942</v>
      </c>
      <c r="U56" s="346">
        <v>87</v>
      </c>
      <c r="V56" s="346" cm="1">
        <f t="array" ref="V56">IFERROR(INDEX('Offer Statistics'!$Q$2:$Q$500,MATCH(1,(B56='Offer Statistics'!$B$2:$B$500)*($B$11='Offer Statistics'!$K$2:$K$500),0)),"/")</f>
        <v>85</v>
      </c>
      <c r="W56" s="346" cm="1">
        <f t="array" ref="W56">IFERROR(INDEX('Offer Statistics'!$D$2:$D$500,MATCH(1,(B56='Offer Statistics'!$B$2:$B$500)*($B$11='Offer Statistics'!$K$2:$K$500),0)),"/")</f>
        <v>882</v>
      </c>
      <c r="X56" s="346" cm="1">
        <f t="array" ref="X56">IFERROR(INDEX('Offer Statistics'!$L$2:$L$500,MATCH(1,(B56='Offer Statistics'!$B$2:$B$500)*($B$11='Offer Statistics'!$K$2:$K$500),0)),"/")</f>
        <v>78</v>
      </c>
      <c r="Y56" s="346">
        <f t="shared" si="48"/>
        <v>11.307692307692308</v>
      </c>
      <c r="Z56" s="346" t="s">
        <v>2941</v>
      </c>
      <c r="AA56" s="346" t="str">
        <f>入學要求!AF65</f>
        <v>以下一科選修取得Lv.3︰生物、化學、ICT、M1/2、物理</v>
      </c>
      <c r="AB56" s="346" t="str">
        <f>入學要求!AG65</f>
        <v>/</v>
      </c>
      <c r="AC56" s="426" t="s">
        <v>785</v>
      </c>
      <c r="AD56" s="346" t="s">
        <v>2945</v>
      </c>
      <c r="AE56" s="346" t="s">
        <v>2946</v>
      </c>
      <c r="AF56" s="346" t="s">
        <v>324</v>
      </c>
      <c r="AG56" s="346" t="s">
        <v>324</v>
      </c>
      <c r="AH56" s="346" t="s">
        <v>324</v>
      </c>
      <c r="AI56" s="346" t="s">
        <v>324</v>
      </c>
      <c r="AJ56" s="346" t="s">
        <v>324</v>
      </c>
      <c r="AK56" s="346" t="s">
        <v>848</v>
      </c>
      <c r="AL56" s="346" t="s">
        <v>714</v>
      </c>
      <c r="AM56" s="346" t="s">
        <v>881</v>
      </c>
      <c r="AN56" s="346" t="s">
        <v>324</v>
      </c>
      <c r="AO56" s="346" t="s">
        <v>394</v>
      </c>
      <c r="AP56" s="346" t="s">
        <v>394</v>
      </c>
      <c r="AQ56" s="346" t="s">
        <v>394</v>
      </c>
      <c r="AR56" s="346" t="s">
        <v>324</v>
      </c>
      <c r="AT56" s="346" t="s">
        <v>716</v>
      </c>
      <c r="AU56" s="346"/>
      <c r="AV56" s="346" t="s">
        <v>713</v>
      </c>
      <c r="AW56" s="346"/>
      <c r="AX56" s="346"/>
      <c r="AY56" s="346"/>
      <c r="AZ56" s="346" t="s">
        <v>324</v>
      </c>
      <c r="BA56" s="346" t="s">
        <v>324</v>
      </c>
      <c r="BB56" s="346" t="s">
        <v>324</v>
      </c>
      <c r="BC56" s="346"/>
      <c r="BD56" s="346" t="s">
        <v>324</v>
      </c>
      <c r="BE56" s="346" t="s">
        <v>324</v>
      </c>
      <c r="BF56" s="346" t="s">
        <v>324</v>
      </c>
      <c r="BG56" s="346" t="s">
        <v>324</v>
      </c>
      <c r="BH56" s="346" t="s">
        <v>878</v>
      </c>
      <c r="BI56" s="346" t="s">
        <v>324</v>
      </c>
      <c r="BJ56" s="346" t="s">
        <v>324</v>
      </c>
      <c r="BK56" s="346" t="s">
        <v>324</v>
      </c>
      <c r="BL56" s="346"/>
      <c r="BM56" s="346" t="s">
        <v>324</v>
      </c>
      <c r="BN56" s="346" t="s">
        <v>324</v>
      </c>
      <c r="BO56" s="346" t="s">
        <v>324</v>
      </c>
      <c r="BP56" s="346" t="s">
        <v>324</v>
      </c>
      <c r="BQ56" s="429">
        <f t="shared" si="49"/>
        <v>0</v>
      </c>
      <c r="BR56" s="429">
        <f t="shared" si="50"/>
        <v>0</v>
      </c>
      <c r="BS56" s="429">
        <f t="shared" si="51"/>
        <v>0</v>
      </c>
      <c r="BT56" s="429"/>
      <c r="BU56" s="429">
        <f t="shared" si="52"/>
        <v>0</v>
      </c>
      <c r="BV56" s="429">
        <f t="shared" si="53"/>
        <v>0</v>
      </c>
      <c r="BW56" s="429">
        <f t="shared" si="54"/>
        <v>0</v>
      </c>
      <c r="BX56" s="429">
        <f t="shared" si="55"/>
        <v>0</v>
      </c>
      <c r="BY56" s="346" t="s">
        <v>324</v>
      </c>
      <c r="BZ56" s="346" t="s">
        <v>324</v>
      </c>
      <c r="CA56" s="346" t="s">
        <v>324</v>
      </c>
      <c r="CB56" s="346"/>
      <c r="CC56" s="346" t="s">
        <v>324</v>
      </c>
      <c r="CD56" s="346" t="s">
        <v>324</v>
      </c>
      <c r="CE56" s="346" t="s">
        <v>324</v>
      </c>
      <c r="CF56" s="346" t="s">
        <v>324</v>
      </c>
      <c r="CG56" s="346" t="s">
        <v>324</v>
      </c>
      <c r="CH56" s="346" t="s">
        <v>324</v>
      </c>
      <c r="CI56" s="346" t="s">
        <v>324</v>
      </c>
      <c r="CJ56" s="346"/>
      <c r="CK56" s="346" t="s">
        <v>324</v>
      </c>
      <c r="CL56" s="346" t="s">
        <v>324</v>
      </c>
      <c r="CM56" s="346" t="s">
        <v>324</v>
      </c>
      <c r="CN56" s="346" t="s">
        <v>324</v>
      </c>
      <c r="CO56" s="346" t="s">
        <v>324</v>
      </c>
      <c r="CP56" s="346" t="s">
        <v>324</v>
      </c>
      <c r="CQ56" s="346" t="s">
        <v>324</v>
      </c>
      <c r="CR56" s="346"/>
      <c r="CS56" s="346" t="s">
        <v>324</v>
      </c>
      <c r="CT56" s="346" t="s">
        <v>324</v>
      </c>
      <c r="CU56" s="346" t="s">
        <v>324</v>
      </c>
      <c r="CV56" s="346" t="s">
        <v>324</v>
      </c>
      <c r="CW56" s="346"/>
      <c r="CX56" s="346" t="s">
        <v>324</v>
      </c>
      <c r="CY56" s="346" t="s">
        <v>324</v>
      </c>
      <c r="CZ56" s="346" t="s">
        <v>324</v>
      </c>
      <c r="DA56" s="346"/>
      <c r="DB56" s="346" t="s">
        <v>324</v>
      </c>
      <c r="DC56" s="346" t="s">
        <v>324</v>
      </c>
      <c r="DD56" s="346" t="s">
        <v>324</v>
      </c>
      <c r="DE56" s="346" t="s">
        <v>324</v>
      </c>
      <c r="DF56" s="429">
        <f t="shared" si="56"/>
        <v>0</v>
      </c>
      <c r="DG56" s="429">
        <f t="shared" si="57"/>
        <v>0</v>
      </c>
      <c r="DH56" s="429">
        <f t="shared" si="58"/>
        <v>0</v>
      </c>
      <c r="DI56" s="429"/>
      <c r="DJ56" s="429">
        <f t="shared" si="59"/>
        <v>0</v>
      </c>
      <c r="DK56" s="429">
        <f t="shared" si="60"/>
        <v>0</v>
      </c>
      <c r="DL56" s="429">
        <f t="shared" si="61"/>
        <v>0</v>
      </c>
      <c r="DM56" s="429">
        <f t="shared" si="62"/>
        <v>0</v>
      </c>
      <c r="DN56" s="346" t="s">
        <v>324</v>
      </c>
      <c r="DO56" s="346" t="s">
        <v>324</v>
      </c>
      <c r="DP56" s="346" t="s">
        <v>324</v>
      </c>
      <c r="DQ56" s="346"/>
      <c r="DR56" s="346" t="s">
        <v>324</v>
      </c>
      <c r="DS56" s="346" t="s">
        <v>324</v>
      </c>
      <c r="DT56" s="346" t="s">
        <v>324</v>
      </c>
      <c r="DU56" s="346" t="s">
        <v>324</v>
      </c>
      <c r="DV56" s="346" t="s">
        <v>324</v>
      </c>
      <c r="DW56" s="346" t="s">
        <v>324</v>
      </c>
      <c r="DX56" s="346" t="s">
        <v>324</v>
      </c>
      <c r="DY56" s="346"/>
      <c r="DZ56" s="346" t="s">
        <v>324</v>
      </c>
      <c r="EA56" s="346" t="s">
        <v>324</v>
      </c>
      <c r="EB56" s="346" t="s">
        <v>324</v>
      </c>
      <c r="EC56" s="346" t="s">
        <v>324</v>
      </c>
      <c r="ED56" s="346" t="s">
        <v>394</v>
      </c>
      <c r="EE56" s="346" t="s">
        <v>394</v>
      </c>
      <c r="EF56" s="346" t="s">
        <v>394</v>
      </c>
      <c r="EG56" s="346"/>
      <c r="EH56" s="346" t="s">
        <v>394</v>
      </c>
      <c r="EI56" s="346" t="s">
        <v>394</v>
      </c>
      <c r="EJ56" s="346" t="s">
        <v>394</v>
      </c>
      <c r="EK56" s="346" t="s">
        <v>394</v>
      </c>
      <c r="EL56" s="346" t="s">
        <v>394</v>
      </c>
      <c r="EM56" s="346" t="s">
        <v>394</v>
      </c>
      <c r="EN56" s="346" t="s">
        <v>394</v>
      </c>
      <c r="EO56" s="346"/>
      <c r="EP56" s="346" t="s">
        <v>394</v>
      </c>
      <c r="EQ56" s="346" t="s">
        <v>394</v>
      </c>
      <c r="ER56" s="346" t="s">
        <v>394</v>
      </c>
      <c r="ES56" s="346" t="s">
        <v>394</v>
      </c>
      <c r="ET56" s="346"/>
      <c r="EU56" s="346"/>
      <c r="EV56" s="346"/>
      <c r="EW56" s="346"/>
      <c r="EX56" s="346"/>
      <c r="EY56" s="346"/>
      <c r="EZ56" s="346"/>
      <c r="FA56" s="346"/>
      <c r="FB56" s="346" t="s">
        <v>394</v>
      </c>
      <c r="FC56" s="346" t="s">
        <v>394</v>
      </c>
      <c r="FD56" s="346" t="s">
        <v>394</v>
      </c>
      <c r="FE56" s="346" t="s">
        <v>394</v>
      </c>
      <c r="FF56" s="346" t="s">
        <v>394</v>
      </c>
      <c r="FG56" s="346" t="s">
        <v>394</v>
      </c>
      <c r="FH56" s="346" t="s">
        <v>394</v>
      </c>
      <c r="FI56" s="346" t="s">
        <v>394</v>
      </c>
      <c r="FJ56" s="346" t="s">
        <v>394</v>
      </c>
      <c r="FK56" s="346" t="s">
        <v>394</v>
      </c>
      <c r="FL56" s="346" t="s">
        <v>394</v>
      </c>
      <c r="FM56" s="346" t="s">
        <v>394</v>
      </c>
      <c r="FN56" s="346" t="s">
        <v>394</v>
      </c>
      <c r="FO56" s="346" t="s">
        <v>394</v>
      </c>
      <c r="FP56" s="346" t="s">
        <v>394</v>
      </c>
      <c r="FQ56" s="346" t="s">
        <v>394</v>
      </c>
    </row>
    <row r="57" spans="1:173" s="342" customFormat="1" ht="13.95" customHeight="1">
      <c r="A57" s="335" t="s">
        <v>882</v>
      </c>
      <c r="B57" s="346" t="s">
        <v>882</v>
      </c>
      <c r="C57" s="346" t="s">
        <v>221</v>
      </c>
      <c r="D57" s="346" t="s">
        <v>870</v>
      </c>
      <c r="E57" s="346" t="s">
        <v>883</v>
      </c>
      <c r="F57" s="425" t="s">
        <v>785</v>
      </c>
      <c r="G57" s="346" t="s">
        <v>324</v>
      </c>
      <c r="H57" s="346" t="s">
        <v>324</v>
      </c>
      <c r="I57" s="346">
        <v>34.5</v>
      </c>
      <c r="J57" s="346">
        <v>34</v>
      </c>
      <c r="K57" s="422"/>
      <c r="L57" s="422"/>
      <c r="M57" s="422"/>
      <c r="N57" s="346" t="s">
        <v>886</v>
      </c>
      <c r="O57" s="346" t="s">
        <v>324</v>
      </c>
      <c r="P57" s="426" t="s">
        <v>914</v>
      </c>
      <c r="Q57" s="425" t="s">
        <v>2261</v>
      </c>
      <c r="R57" s="346" t="s">
        <v>324</v>
      </c>
      <c r="S57" s="346" t="s">
        <v>885</v>
      </c>
      <c r="T57" s="346" t="s">
        <v>2942</v>
      </c>
      <c r="U57" s="346">
        <v>163</v>
      </c>
      <c r="V57" s="346" cm="1">
        <f t="array" ref="V57">IFERROR(INDEX('Offer Statistics'!$Q$2:$Q$500,MATCH(1,(B57='Offer Statistics'!$B$2:$B$500)*($B$11='Offer Statistics'!$K$2:$K$500),0)),"/")</f>
        <v>126</v>
      </c>
      <c r="W57" s="346" cm="1">
        <f t="array" ref="W57">IFERROR(INDEX('Offer Statistics'!$D$2:$D$500,MATCH(1,(B57='Offer Statistics'!$B$2:$B$500)*($B$11='Offer Statistics'!$K$2:$K$500),0)),"/")</f>
        <v>884</v>
      </c>
      <c r="X57" s="346" cm="1">
        <f t="array" ref="X57">IFERROR(INDEX('Offer Statistics'!$L$2:$L$500,MATCH(1,(B57='Offer Statistics'!$B$2:$B$500)*($B$11='Offer Statistics'!$K$2:$K$500),0)),"/")</f>
        <v>114</v>
      </c>
      <c r="Y57" s="346">
        <f t="shared" si="48"/>
        <v>7.7543859649122808</v>
      </c>
      <c r="Z57" s="346" t="s">
        <v>2941</v>
      </c>
      <c r="AA57" s="346" t="str">
        <f>入學要求!AF66</f>
        <v>以下一科選修取得Lv.3︰生物、化學、ICT、M1/2、物理</v>
      </c>
      <c r="AB57" s="346" t="str">
        <f>入學要求!AG66</f>
        <v>/</v>
      </c>
      <c r="AC57" s="425" t="s">
        <v>785</v>
      </c>
      <c r="AD57" s="346" t="s">
        <v>2945</v>
      </c>
      <c r="AE57" s="346" t="s">
        <v>2946</v>
      </c>
      <c r="AF57" s="426" t="s">
        <v>886</v>
      </c>
      <c r="AG57" s="426" t="s">
        <v>324</v>
      </c>
      <c r="AH57" s="426" t="s">
        <v>914</v>
      </c>
      <c r="AI57" s="426" t="s">
        <v>2261</v>
      </c>
      <c r="AJ57" s="346" t="s">
        <v>324</v>
      </c>
      <c r="AK57" s="346" t="s">
        <v>848</v>
      </c>
      <c r="AL57" s="346" t="s">
        <v>714</v>
      </c>
      <c r="AM57" s="346" t="s">
        <v>887</v>
      </c>
      <c r="AN57" s="346" t="s">
        <v>888</v>
      </c>
      <c r="AO57" s="346" t="s">
        <v>394</v>
      </c>
      <c r="AP57" s="346" t="s">
        <v>394</v>
      </c>
      <c r="AQ57" s="346" t="s">
        <v>394</v>
      </c>
      <c r="AR57" s="346" t="s">
        <v>324</v>
      </c>
      <c r="AT57" s="346" t="s">
        <v>716</v>
      </c>
      <c r="AU57" s="346"/>
      <c r="AV57" s="346" t="s">
        <v>713</v>
      </c>
      <c r="AW57" s="346"/>
      <c r="AX57" s="346"/>
      <c r="AY57" s="346"/>
      <c r="AZ57" s="346" t="s">
        <v>324</v>
      </c>
      <c r="BA57" s="346" t="s">
        <v>324</v>
      </c>
      <c r="BB57" s="346" t="s">
        <v>324</v>
      </c>
      <c r="BC57" s="346"/>
      <c r="BD57" s="346" t="s">
        <v>324</v>
      </c>
      <c r="BE57" s="346" t="s">
        <v>324</v>
      </c>
      <c r="BF57" s="346" t="s">
        <v>324</v>
      </c>
      <c r="BG57" s="346" t="s">
        <v>324</v>
      </c>
      <c r="BH57" s="346" t="s">
        <v>882</v>
      </c>
      <c r="BI57" s="346" t="s">
        <v>324</v>
      </c>
      <c r="BJ57" s="346" t="s">
        <v>324</v>
      </c>
      <c r="BK57" s="346" t="s">
        <v>324</v>
      </c>
      <c r="BL57" s="346"/>
      <c r="BM57" s="346" t="s">
        <v>324</v>
      </c>
      <c r="BN57" s="346" t="s">
        <v>324</v>
      </c>
      <c r="BO57" s="346" t="s">
        <v>324</v>
      </c>
      <c r="BP57" s="346" t="s">
        <v>324</v>
      </c>
      <c r="BQ57" s="429">
        <f t="shared" si="49"/>
        <v>0</v>
      </c>
      <c r="BR57" s="429">
        <f t="shared" si="50"/>
        <v>0</v>
      </c>
      <c r="BS57" s="429">
        <f t="shared" si="51"/>
        <v>0</v>
      </c>
      <c r="BT57" s="429"/>
      <c r="BU57" s="429">
        <f t="shared" si="52"/>
        <v>0</v>
      </c>
      <c r="BV57" s="429">
        <f t="shared" si="53"/>
        <v>0</v>
      </c>
      <c r="BW57" s="429">
        <f t="shared" si="54"/>
        <v>0</v>
      </c>
      <c r="BX57" s="429">
        <f t="shared" si="55"/>
        <v>0</v>
      </c>
      <c r="BY57" s="346" t="s">
        <v>324</v>
      </c>
      <c r="BZ57" s="346" t="s">
        <v>324</v>
      </c>
      <c r="CA57" s="346" t="s">
        <v>324</v>
      </c>
      <c r="CB57" s="346"/>
      <c r="CC57" s="346" t="s">
        <v>324</v>
      </c>
      <c r="CD57" s="346" t="s">
        <v>324</v>
      </c>
      <c r="CE57" s="346" t="s">
        <v>324</v>
      </c>
      <c r="CF57" s="346" t="s">
        <v>324</v>
      </c>
      <c r="CG57" s="346" t="s">
        <v>324</v>
      </c>
      <c r="CH57" s="346" t="s">
        <v>324</v>
      </c>
      <c r="CI57" s="346" t="s">
        <v>324</v>
      </c>
      <c r="CJ57" s="346"/>
      <c r="CK57" s="346" t="s">
        <v>324</v>
      </c>
      <c r="CL57" s="346" t="s">
        <v>324</v>
      </c>
      <c r="CM57" s="346" t="s">
        <v>324</v>
      </c>
      <c r="CN57" s="346" t="s">
        <v>324</v>
      </c>
      <c r="CO57" s="346" t="s">
        <v>324</v>
      </c>
      <c r="CP57" s="346" t="s">
        <v>324</v>
      </c>
      <c r="CQ57" s="346" t="s">
        <v>324</v>
      </c>
      <c r="CR57" s="346"/>
      <c r="CS57" s="346" t="s">
        <v>324</v>
      </c>
      <c r="CT57" s="346" t="s">
        <v>324</v>
      </c>
      <c r="CU57" s="346" t="s">
        <v>324</v>
      </c>
      <c r="CV57" s="346" t="s">
        <v>324</v>
      </c>
      <c r="CW57" s="346"/>
      <c r="CX57" s="346" t="s">
        <v>324</v>
      </c>
      <c r="CY57" s="346" t="s">
        <v>324</v>
      </c>
      <c r="CZ57" s="346" t="s">
        <v>324</v>
      </c>
      <c r="DA57" s="346"/>
      <c r="DB57" s="346" t="s">
        <v>324</v>
      </c>
      <c r="DC57" s="346" t="s">
        <v>324</v>
      </c>
      <c r="DD57" s="346" t="s">
        <v>324</v>
      </c>
      <c r="DE57" s="346" t="s">
        <v>324</v>
      </c>
      <c r="DF57" s="429">
        <f t="shared" si="56"/>
        <v>0</v>
      </c>
      <c r="DG57" s="429">
        <f t="shared" si="57"/>
        <v>0</v>
      </c>
      <c r="DH57" s="429">
        <f t="shared" si="58"/>
        <v>0</v>
      </c>
      <c r="DI57" s="429"/>
      <c r="DJ57" s="429">
        <f t="shared" si="59"/>
        <v>0</v>
      </c>
      <c r="DK57" s="429">
        <f t="shared" si="60"/>
        <v>0</v>
      </c>
      <c r="DL57" s="429">
        <f t="shared" si="61"/>
        <v>0</v>
      </c>
      <c r="DM57" s="429">
        <f t="shared" si="62"/>
        <v>0</v>
      </c>
      <c r="DN57" s="346" t="s">
        <v>324</v>
      </c>
      <c r="DO57" s="346" t="s">
        <v>324</v>
      </c>
      <c r="DP57" s="346" t="s">
        <v>324</v>
      </c>
      <c r="DQ57" s="346"/>
      <c r="DR57" s="346" t="s">
        <v>324</v>
      </c>
      <c r="DS57" s="346" t="s">
        <v>324</v>
      </c>
      <c r="DT57" s="346" t="s">
        <v>324</v>
      </c>
      <c r="DU57" s="346" t="s">
        <v>324</v>
      </c>
      <c r="DV57" s="346" t="s">
        <v>324</v>
      </c>
      <c r="DW57" s="346" t="s">
        <v>324</v>
      </c>
      <c r="DX57" s="346" t="s">
        <v>324</v>
      </c>
      <c r="DY57" s="346"/>
      <c r="DZ57" s="346" t="s">
        <v>324</v>
      </c>
      <c r="EA57" s="346" t="s">
        <v>324</v>
      </c>
      <c r="EB57" s="346" t="s">
        <v>324</v>
      </c>
      <c r="EC57" s="346" t="s">
        <v>324</v>
      </c>
      <c r="ED57" s="346" t="s">
        <v>394</v>
      </c>
      <c r="EE57" s="346" t="s">
        <v>394</v>
      </c>
      <c r="EF57" s="346" t="s">
        <v>394</v>
      </c>
      <c r="EG57" s="346"/>
      <c r="EH57" s="346" t="s">
        <v>394</v>
      </c>
      <c r="EI57" s="346" t="s">
        <v>394</v>
      </c>
      <c r="EJ57" s="346" t="s">
        <v>394</v>
      </c>
      <c r="EK57" s="346" t="s">
        <v>394</v>
      </c>
      <c r="EL57" s="346" t="s">
        <v>394</v>
      </c>
      <c r="EM57" s="346" t="s">
        <v>394</v>
      </c>
      <c r="EN57" s="346" t="s">
        <v>394</v>
      </c>
      <c r="EO57" s="346"/>
      <c r="EP57" s="346" t="s">
        <v>394</v>
      </c>
      <c r="EQ57" s="346" t="s">
        <v>394</v>
      </c>
      <c r="ER57" s="346" t="s">
        <v>394</v>
      </c>
      <c r="ES57" s="346" t="s">
        <v>394</v>
      </c>
      <c r="ET57" s="346"/>
      <c r="EU57" s="346"/>
      <c r="EV57" s="346"/>
      <c r="EW57" s="346"/>
      <c r="EX57" s="346"/>
      <c r="EY57" s="346"/>
      <c r="EZ57" s="346"/>
      <c r="FA57" s="346"/>
      <c r="FB57" s="346" t="s">
        <v>394</v>
      </c>
      <c r="FC57" s="346" t="s">
        <v>394</v>
      </c>
      <c r="FD57" s="346" t="s">
        <v>394</v>
      </c>
      <c r="FE57" s="346" t="s">
        <v>394</v>
      </c>
      <c r="FF57" s="346" t="s">
        <v>394</v>
      </c>
      <c r="FG57" s="346" t="s">
        <v>394</v>
      </c>
      <c r="FH57" s="346" t="s">
        <v>394</v>
      </c>
      <c r="FI57" s="346" t="s">
        <v>394</v>
      </c>
      <c r="FJ57" s="346" t="s">
        <v>394</v>
      </c>
      <c r="FK57" s="346" t="s">
        <v>394</v>
      </c>
      <c r="FL57" s="346" t="s">
        <v>394</v>
      </c>
      <c r="FM57" s="346" t="s">
        <v>394</v>
      </c>
      <c r="FN57" s="346" t="s">
        <v>394</v>
      </c>
      <c r="FO57" s="346" t="s">
        <v>394</v>
      </c>
      <c r="FP57" s="346" t="s">
        <v>394</v>
      </c>
      <c r="FQ57" s="346" t="s">
        <v>394</v>
      </c>
    </row>
    <row r="58" spans="1:173" s="343" customFormat="1">
      <c r="A58" s="335" t="s">
        <v>889</v>
      </c>
      <c r="B58" s="346" t="s">
        <v>889</v>
      </c>
      <c r="C58" s="346" t="s">
        <v>221</v>
      </c>
      <c r="D58" s="346" t="s">
        <v>865</v>
      </c>
      <c r="E58" s="346" t="s">
        <v>890</v>
      </c>
      <c r="F58" s="425" t="s">
        <v>2256</v>
      </c>
      <c r="G58" s="346" t="s">
        <v>324</v>
      </c>
      <c r="H58" s="346" t="s">
        <v>324</v>
      </c>
      <c r="I58" s="346">
        <v>34</v>
      </c>
      <c r="J58" s="346">
        <v>32.5</v>
      </c>
      <c r="K58" s="422"/>
      <c r="L58" s="422"/>
      <c r="M58" s="422"/>
      <c r="N58" s="346" t="s">
        <v>2269</v>
      </c>
      <c r="O58" s="346" t="s">
        <v>324</v>
      </c>
      <c r="P58" s="426" t="s">
        <v>892</v>
      </c>
      <c r="Q58" s="426" t="s">
        <v>2270</v>
      </c>
      <c r="R58" s="346" t="s">
        <v>324</v>
      </c>
      <c r="S58" s="346" t="s">
        <v>779</v>
      </c>
      <c r="T58" s="346" t="s">
        <v>2942</v>
      </c>
      <c r="U58" s="346">
        <v>36</v>
      </c>
      <c r="V58" s="346" cm="1">
        <f t="array" ref="V58">IFERROR(INDEX('Offer Statistics'!$Q$2:$Q$500,MATCH(1,(B58='Offer Statistics'!$B$2:$B$500)*($B$11='Offer Statistics'!$K$2:$K$500),0)),"/")</f>
        <v>27</v>
      </c>
      <c r="W58" s="346" cm="1">
        <f t="array" ref="W58">IFERROR(INDEX('Offer Statistics'!$D$2:$D$500,MATCH(1,(B58='Offer Statistics'!$B$2:$B$500)*($B$11='Offer Statistics'!$K$2:$K$500),0)),"/")</f>
        <v>373</v>
      </c>
      <c r="X58" s="346" cm="1">
        <f t="array" ref="X58">IFERROR(INDEX('Offer Statistics'!$L$2:$L$500,MATCH(1,(B58='Offer Statistics'!$B$2:$B$500)*($B$11='Offer Statistics'!$K$2:$K$500),0)),"/")</f>
        <v>21</v>
      </c>
      <c r="Y58" s="346">
        <f t="shared" si="48"/>
        <v>17.761904761904763</v>
      </c>
      <c r="Z58" s="346" t="s">
        <v>2941</v>
      </c>
      <c r="AA58" s="346" t="str">
        <f>入學要求!AF67</f>
        <v>以下一科選修取得Lv.3︰生物、BAFS、化學、ICT、M1/2、物理</v>
      </c>
      <c r="AB58" s="346" t="str">
        <f>入學要求!AG67</f>
        <v>/</v>
      </c>
      <c r="AC58" s="425" t="s">
        <v>2256</v>
      </c>
      <c r="AD58" s="346" t="s">
        <v>2945</v>
      </c>
      <c r="AE58" s="346" t="s">
        <v>2946</v>
      </c>
      <c r="AF58" s="426" t="s">
        <v>2269</v>
      </c>
      <c r="AG58" s="426" t="s">
        <v>324</v>
      </c>
      <c r="AH58" s="426" t="s">
        <v>892</v>
      </c>
      <c r="AI58" s="426" t="s">
        <v>2270</v>
      </c>
      <c r="AJ58" s="346" t="s">
        <v>324</v>
      </c>
      <c r="AK58" s="346" t="s">
        <v>811</v>
      </c>
      <c r="AL58" s="346" t="s">
        <v>714</v>
      </c>
      <c r="AM58" s="346" t="s">
        <v>800</v>
      </c>
      <c r="AN58" s="346" t="s">
        <v>324</v>
      </c>
      <c r="AO58" s="346" t="s">
        <v>394</v>
      </c>
      <c r="AP58" s="346" t="s">
        <v>394</v>
      </c>
      <c r="AQ58" s="346" t="s">
        <v>394</v>
      </c>
      <c r="AR58" s="346" t="s">
        <v>324</v>
      </c>
      <c r="AT58" s="346" t="s">
        <v>716</v>
      </c>
      <c r="AU58" s="346"/>
      <c r="AV58" s="346" t="s">
        <v>713</v>
      </c>
      <c r="AW58" s="346"/>
      <c r="AX58" s="346"/>
      <c r="AY58" s="346"/>
      <c r="AZ58" s="346" t="s">
        <v>324</v>
      </c>
      <c r="BA58" s="346" t="s">
        <v>324</v>
      </c>
      <c r="BB58" s="346" t="s">
        <v>324</v>
      </c>
      <c r="BC58" s="346"/>
      <c r="BD58" s="346" t="s">
        <v>324</v>
      </c>
      <c r="BE58" s="346" t="s">
        <v>324</v>
      </c>
      <c r="BF58" s="346" t="s">
        <v>324</v>
      </c>
      <c r="BG58" s="346" t="s">
        <v>324</v>
      </c>
      <c r="BH58" s="346" t="s">
        <v>889</v>
      </c>
      <c r="BI58" s="346" t="s">
        <v>324</v>
      </c>
      <c r="BJ58" s="346" t="s">
        <v>324</v>
      </c>
      <c r="BK58" s="346" t="s">
        <v>324</v>
      </c>
      <c r="BL58" s="346"/>
      <c r="BM58" s="346" t="s">
        <v>324</v>
      </c>
      <c r="BN58" s="346" t="s">
        <v>324</v>
      </c>
      <c r="BO58" s="346" t="s">
        <v>324</v>
      </c>
      <c r="BP58" s="346" t="s">
        <v>324</v>
      </c>
      <c r="BQ58" s="429">
        <f t="shared" si="49"/>
        <v>0</v>
      </c>
      <c r="BR58" s="429">
        <f t="shared" si="50"/>
        <v>0</v>
      </c>
      <c r="BS58" s="429">
        <f t="shared" si="51"/>
        <v>0</v>
      </c>
      <c r="BT58" s="429"/>
      <c r="BU58" s="429">
        <f t="shared" si="52"/>
        <v>0</v>
      </c>
      <c r="BV58" s="429">
        <f t="shared" si="53"/>
        <v>0</v>
      </c>
      <c r="BW58" s="429">
        <f t="shared" si="54"/>
        <v>0</v>
      </c>
      <c r="BX58" s="429">
        <f t="shared" si="55"/>
        <v>0</v>
      </c>
      <c r="BY58" s="346" t="s">
        <v>324</v>
      </c>
      <c r="BZ58" s="346" t="s">
        <v>324</v>
      </c>
      <c r="CA58" s="346" t="s">
        <v>324</v>
      </c>
      <c r="CB58" s="346"/>
      <c r="CC58" s="346" t="s">
        <v>324</v>
      </c>
      <c r="CD58" s="346" t="s">
        <v>324</v>
      </c>
      <c r="CE58" s="346" t="s">
        <v>324</v>
      </c>
      <c r="CF58" s="346" t="s">
        <v>324</v>
      </c>
      <c r="CG58" s="346" t="s">
        <v>324</v>
      </c>
      <c r="CH58" s="346" t="s">
        <v>324</v>
      </c>
      <c r="CI58" s="346" t="s">
        <v>324</v>
      </c>
      <c r="CJ58" s="346"/>
      <c r="CK58" s="346" t="s">
        <v>324</v>
      </c>
      <c r="CL58" s="346" t="s">
        <v>324</v>
      </c>
      <c r="CM58" s="346" t="s">
        <v>324</v>
      </c>
      <c r="CN58" s="346" t="s">
        <v>324</v>
      </c>
      <c r="CO58" s="346" t="s">
        <v>324</v>
      </c>
      <c r="CP58" s="346" t="s">
        <v>324</v>
      </c>
      <c r="CQ58" s="346" t="s">
        <v>324</v>
      </c>
      <c r="CR58" s="346"/>
      <c r="CS58" s="346" t="s">
        <v>324</v>
      </c>
      <c r="CT58" s="346" t="s">
        <v>324</v>
      </c>
      <c r="CU58" s="346" t="s">
        <v>324</v>
      </c>
      <c r="CV58" s="346" t="s">
        <v>324</v>
      </c>
      <c r="CW58" s="346"/>
      <c r="CX58" s="346" t="s">
        <v>324</v>
      </c>
      <c r="CY58" s="346" t="s">
        <v>324</v>
      </c>
      <c r="CZ58" s="346" t="s">
        <v>324</v>
      </c>
      <c r="DA58" s="346"/>
      <c r="DB58" s="346" t="s">
        <v>324</v>
      </c>
      <c r="DC58" s="346" t="s">
        <v>324</v>
      </c>
      <c r="DD58" s="346" t="s">
        <v>324</v>
      </c>
      <c r="DE58" s="346" t="s">
        <v>324</v>
      </c>
      <c r="DF58" s="429">
        <f t="shared" si="56"/>
        <v>0</v>
      </c>
      <c r="DG58" s="429">
        <f t="shared" si="57"/>
        <v>0</v>
      </c>
      <c r="DH58" s="429">
        <f t="shared" si="58"/>
        <v>0</v>
      </c>
      <c r="DI58" s="429"/>
      <c r="DJ58" s="429">
        <f t="shared" si="59"/>
        <v>0</v>
      </c>
      <c r="DK58" s="429">
        <f t="shared" si="60"/>
        <v>0</v>
      </c>
      <c r="DL58" s="429">
        <f t="shared" si="61"/>
        <v>0</v>
      </c>
      <c r="DM58" s="429">
        <f t="shared" si="62"/>
        <v>0</v>
      </c>
      <c r="DN58" s="346" t="s">
        <v>324</v>
      </c>
      <c r="DO58" s="346" t="s">
        <v>324</v>
      </c>
      <c r="DP58" s="346" t="s">
        <v>324</v>
      </c>
      <c r="DQ58" s="346"/>
      <c r="DR58" s="346" t="s">
        <v>324</v>
      </c>
      <c r="DS58" s="346" t="s">
        <v>324</v>
      </c>
      <c r="DT58" s="346" t="s">
        <v>324</v>
      </c>
      <c r="DU58" s="346" t="s">
        <v>324</v>
      </c>
      <c r="DV58" s="346" t="s">
        <v>324</v>
      </c>
      <c r="DW58" s="346" t="s">
        <v>324</v>
      </c>
      <c r="DX58" s="346" t="s">
        <v>324</v>
      </c>
      <c r="DY58" s="346"/>
      <c r="DZ58" s="346" t="s">
        <v>324</v>
      </c>
      <c r="EA58" s="346" t="s">
        <v>324</v>
      </c>
      <c r="EB58" s="346" t="s">
        <v>324</v>
      </c>
      <c r="EC58" s="346" t="s">
        <v>324</v>
      </c>
      <c r="ED58" s="346" t="s">
        <v>394</v>
      </c>
      <c r="EE58" s="346" t="s">
        <v>394</v>
      </c>
      <c r="EF58" s="346" t="s">
        <v>394</v>
      </c>
      <c r="EG58" s="346"/>
      <c r="EH58" s="346" t="s">
        <v>394</v>
      </c>
      <c r="EI58" s="346" t="s">
        <v>394</v>
      </c>
      <c r="EJ58" s="346" t="s">
        <v>394</v>
      </c>
      <c r="EK58" s="346" t="s">
        <v>394</v>
      </c>
      <c r="EL58" s="346" t="s">
        <v>394</v>
      </c>
      <c r="EM58" s="346" t="s">
        <v>394</v>
      </c>
      <c r="EN58" s="346" t="s">
        <v>394</v>
      </c>
      <c r="EO58" s="346"/>
      <c r="EP58" s="346" t="s">
        <v>394</v>
      </c>
      <c r="EQ58" s="346" t="s">
        <v>394</v>
      </c>
      <c r="ER58" s="346" t="s">
        <v>394</v>
      </c>
      <c r="ES58" s="346" t="s">
        <v>394</v>
      </c>
      <c r="ET58" s="346"/>
      <c r="EU58" s="346"/>
      <c r="EV58" s="346"/>
      <c r="EW58" s="346"/>
      <c r="EX58" s="346"/>
      <c r="EY58" s="346"/>
      <c r="EZ58" s="346"/>
      <c r="FA58" s="346"/>
      <c r="FB58" s="346" t="s">
        <v>394</v>
      </c>
      <c r="FC58" s="346" t="s">
        <v>394</v>
      </c>
      <c r="FD58" s="346" t="s">
        <v>394</v>
      </c>
      <c r="FE58" s="346" t="s">
        <v>394</v>
      </c>
      <c r="FF58" s="346" t="s">
        <v>394</v>
      </c>
      <c r="FG58" s="346" t="s">
        <v>394</v>
      </c>
      <c r="FH58" s="346" t="s">
        <v>394</v>
      </c>
      <c r="FI58" s="346" t="s">
        <v>394</v>
      </c>
      <c r="FJ58" s="346" t="s">
        <v>394</v>
      </c>
      <c r="FK58" s="346" t="s">
        <v>394</v>
      </c>
      <c r="FL58" s="346" t="s">
        <v>394</v>
      </c>
      <c r="FM58" s="346" t="s">
        <v>394</v>
      </c>
      <c r="FN58" s="346" t="s">
        <v>394</v>
      </c>
      <c r="FO58" s="346" t="s">
        <v>394</v>
      </c>
      <c r="FP58" s="346" t="s">
        <v>394</v>
      </c>
      <c r="FQ58" s="346" t="s">
        <v>394</v>
      </c>
    </row>
    <row r="59" spans="1:173" s="342" customFormat="1">
      <c r="A59" s="335" t="s">
        <v>893</v>
      </c>
      <c r="B59" s="346" t="s">
        <v>893</v>
      </c>
      <c r="C59" s="346" t="s">
        <v>221</v>
      </c>
      <c r="D59" s="346" t="s">
        <v>870</v>
      </c>
      <c r="E59" s="346" t="s">
        <v>894</v>
      </c>
      <c r="F59" s="425" t="s">
        <v>785</v>
      </c>
      <c r="G59" s="346" t="s">
        <v>324</v>
      </c>
      <c r="H59" s="346" t="s">
        <v>324</v>
      </c>
      <c r="I59" s="346">
        <v>31</v>
      </c>
      <c r="J59" s="346">
        <v>30.5</v>
      </c>
      <c r="K59" s="422"/>
      <c r="L59" s="422"/>
      <c r="M59" s="422"/>
      <c r="N59" s="346" t="s">
        <v>891</v>
      </c>
      <c r="O59" s="346" t="s">
        <v>324</v>
      </c>
      <c r="P59" s="346" t="s">
        <v>896</v>
      </c>
      <c r="Q59" s="425" t="s">
        <v>2262</v>
      </c>
      <c r="R59" s="346" t="s">
        <v>324</v>
      </c>
      <c r="S59" s="346" t="s">
        <v>895</v>
      </c>
      <c r="T59" s="346" t="s">
        <v>2942</v>
      </c>
      <c r="U59" s="346">
        <v>87</v>
      </c>
      <c r="V59" s="346" cm="1">
        <f t="array" ref="V59">IFERROR(INDEX('Offer Statistics'!$Q$2:$Q$500,MATCH(1,(B59='Offer Statistics'!$B$2:$B$500)*($B$11='Offer Statistics'!$K$2:$K$500),0)),"/")</f>
        <v>109</v>
      </c>
      <c r="W59" s="346" cm="1">
        <f t="array" ref="W59">IFERROR(INDEX('Offer Statistics'!$D$2:$D$500,MATCH(1,(B59='Offer Statistics'!$B$2:$B$500)*($B$11='Offer Statistics'!$K$2:$K$500),0)),"/")</f>
        <v>711</v>
      </c>
      <c r="X59" s="346" cm="1">
        <f t="array" ref="X59">IFERROR(INDEX('Offer Statistics'!$L$2:$L$500,MATCH(1,(B59='Offer Statistics'!$B$2:$B$500)*($B$11='Offer Statistics'!$K$2:$K$500),0)),"/")</f>
        <v>85</v>
      </c>
      <c r="Y59" s="346">
        <f t="shared" si="48"/>
        <v>8.3647058823529417</v>
      </c>
      <c r="Z59" s="346" t="s">
        <v>2941</v>
      </c>
      <c r="AA59" s="346" t="str">
        <f>入學要求!AF68</f>
        <v>以下一科選修取得Lv.3︰化學、DAT、M1/2、物理</v>
      </c>
      <c r="AB59" s="346" t="str">
        <f>入學要求!AG68</f>
        <v>/</v>
      </c>
      <c r="AC59" s="425" t="s">
        <v>785</v>
      </c>
      <c r="AD59" s="346" t="s">
        <v>2945</v>
      </c>
      <c r="AE59" s="346" t="s">
        <v>2946</v>
      </c>
      <c r="AF59" s="426" t="s">
        <v>891</v>
      </c>
      <c r="AG59" s="426" t="s">
        <v>324</v>
      </c>
      <c r="AH59" s="426" t="s">
        <v>896</v>
      </c>
      <c r="AI59" s="426" t="s">
        <v>2262</v>
      </c>
      <c r="AJ59" s="346" t="s">
        <v>324</v>
      </c>
      <c r="AK59" s="346" t="s">
        <v>848</v>
      </c>
      <c r="AL59" s="346" t="s">
        <v>714</v>
      </c>
      <c r="AM59" s="346" t="s">
        <v>740</v>
      </c>
      <c r="AN59" s="346" t="s">
        <v>324</v>
      </c>
      <c r="AO59" s="346" t="s">
        <v>394</v>
      </c>
      <c r="AP59" s="346" t="s">
        <v>394</v>
      </c>
      <c r="AQ59" s="346" t="s">
        <v>394</v>
      </c>
      <c r="AR59" s="346" t="s">
        <v>324</v>
      </c>
      <c r="AT59" s="346" t="s">
        <v>716</v>
      </c>
      <c r="AU59" s="346"/>
      <c r="AV59" s="346" t="s">
        <v>713</v>
      </c>
      <c r="AW59" s="346"/>
      <c r="AX59" s="346"/>
      <c r="AY59" s="346"/>
      <c r="AZ59" s="346" t="s">
        <v>324</v>
      </c>
      <c r="BA59" s="346" t="s">
        <v>324</v>
      </c>
      <c r="BB59" s="346" t="s">
        <v>324</v>
      </c>
      <c r="BC59" s="346"/>
      <c r="BD59" s="346" t="s">
        <v>324</v>
      </c>
      <c r="BE59" s="346" t="s">
        <v>324</v>
      </c>
      <c r="BF59" s="346" t="s">
        <v>324</v>
      </c>
      <c r="BG59" s="346" t="s">
        <v>324</v>
      </c>
      <c r="BH59" s="346" t="s">
        <v>893</v>
      </c>
      <c r="BI59" s="346" t="s">
        <v>324</v>
      </c>
      <c r="BJ59" s="346" t="s">
        <v>324</v>
      </c>
      <c r="BK59" s="346" t="s">
        <v>324</v>
      </c>
      <c r="BL59" s="346"/>
      <c r="BM59" s="346" t="s">
        <v>324</v>
      </c>
      <c r="BN59" s="346" t="s">
        <v>324</v>
      </c>
      <c r="BO59" s="346" t="s">
        <v>324</v>
      </c>
      <c r="BP59" s="346" t="s">
        <v>324</v>
      </c>
      <c r="BQ59" s="429">
        <f t="shared" si="49"/>
        <v>0</v>
      </c>
      <c r="BR59" s="429">
        <f t="shared" si="50"/>
        <v>0</v>
      </c>
      <c r="BS59" s="429">
        <f t="shared" si="51"/>
        <v>0</v>
      </c>
      <c r="BT59" s="429"/>
      <c r="BU59" s="429">
        <f t="shared" si="52"/>
        <v>0</v>
      </c>
      <c r="BV59" s="429">
        <f t="shared" si="53"/>
        <v>0</v>
      </c>
      <c r="BW59" s="429">
        <f t="shared" si="54"/>
        <v>0</v>
      </c>
      <c r="BX59" s="429">
        <f t="shared" si="55"/>
        <v>0</v>
      </c>
      <c r="BY59" s="346" t="s">
        <v>324</v>
      </c>
      <c r="BZ59" s="346" t="s">
        <v>324</v>
      </c>
      <c r="CA59" s="346" t="s">
        <v>324</v>
      </c>
      <c r="CB59" s="346"/>
      <c r="CC59" s="346" t="s">
        <v>324</v>
      </c>
      <c r="CD59" s="346" t="s">
        <v>324</v>
      </c>
      <c r="CE59" s="346" t="s">
        <v>324</v>
      </c>
      <c r="CF59" s="346" t="s">
        <v>324</v>
      </c>
      <c r="CG59" s="346" t="s">
        <v>324</v>
      </c>
      <c r="CH59" s="346" t="s">
        <v>324</v>
      </c>
      <c r="CI59" s="346" t="s">
        <v>324</v>
      </c>
      <c r="CJ59" s="346"/>
      <c r="CK59" s="346" t="s">
        <v>324</v>
      </c>
      <c r="CL59" s="346" t="s">
        <v>324</v>
      </c>
      <c r="CM59" s="346" t="s">
        <v>324</v>
      </c>
      <c r="CN59" s="346" t="s">
        <v>324</v>
      </c>
      <c r="CO59" s="346" t="s">
        <v>324</v>
      </c>
      <c r="CP59" s="346" t="s">
        <v>324</v>
      </c>
      <c r="CQ59" s="346" t="s">
        <v>324</v>
      </c>
      <c r="CR59" s="346"/>
      <c r="CS59" s="346" t="s">
        <v>324</v>
      </c>
      <c r="CT59" s="346" t="s">
        <v>324</v>
      </c>
      <c r="CU59" s="346" t="s">
        <v>324</v>
      </c>
      <c r="CV59" s="346" t="s">
        <v>324</v>
      </c>
      <c r="CW59" s="346"/>
      <c r="CX59" s="346" t="s">
        <v>324</v>
      </c>
      <c r="CY59" s="346" t="s">
        <v>324</v>
      </c>
      <c r="CZ59" s="346" t="s">
        <v>324</v>
      </c>
      <c r="DA59" s="346"/>
      <c r="DB59" s="346" t="s">
        <v>324</v>
      </c>
      <c r="DC59" s="346" t="s">
        <v>324</v>
      </c>
      <c r="DD59" s="346" t="s">
        <v>324</v>
      </c>
      <c r="DE59" s="346" t="s">
        <v>324</v>
      </c>
      <c r="DF59" s="429">
        <f t="shared" si="56"/>
        <v>0</v>
      </c>
      <c r="DG59" s="429">
        <f t="shared" si="57"/>
        <v>0</v>
      </c>
      <c r="DH59" s="429">
        <f t="shared" si="58"/>
        <v>0</v>
      </c>
      <c r="DI59" s="429"/>
      <c r="DJ59" s="429">
        <f t="shared" si="59"/>
        <v>0</v>
      </c>
      <c r="DK59" s="429">
        <f t="shared" si="60"/>
        <v>0</v>
      </c>
      <c r="DL59" s="429">
        <f t="shared" si="61"/>
        <v>0</v>
      </c>
      <c r="DM59" s="429">
        <f t="shared" si="62"/>
        <v>0</v>
      </c>
      <c r="DN59" s="346" t="s">
        <v>324</v>
      </c>
      <c r="DO59" s="346" t="s">
        <v>324</v>
      </c>
      <c r="DP59" s="346" t="s">
        <v>324</v>
      </c>
      <c r="DQ59" s="346"/>
      <c r="DR59" s="346" t="s">
        <v>324</v>
      </c>
      <c r="DS59" s="346" t="s">
        <v>324</v>
      </c>
      <c r="DT59" s="346" t="s">
        <v>324</v>
      </c>
      <c r="DU59" s="346" t="s">
        <v>324</v>
      </c>
      <c r="DV59" s="346" t="s">
        <v>324</v>
      </c>
      <c r="DW59" s="346" t="s">
        <v>324</v>
      </c>
      <c r="DX59" s="346" t="s">
        <v>324</v>
      </c>
      <c r="DY59" s="346"/>
      <c r="DZ59" s="346" t="s">
        <v>324</v>
      </c>
      <c r="EA59" s="346" t="s">
        <v>324</v>
      </c>
      <c r="EB59" s="346" t="s">
        <v>324</v>
      </c>
      <c r="EC59" s="346" t="s">
        <v>324</v>
      </c>
      <c r="ED59" s="346" t="s">
        <v>394</v>
      </c>
      <c r="EE59" s="346" t="s">
        <v>394</v>
      </c>
      <c r="EF59" s="346" t="s">
        <v>394</v>
      </c>
      <c r="EG59" s="346"/>
      <c r="EH59" s="346" t="s">
        <v>394</v>
      </c>
      <c r="EI59" s="346" t="s">
        <v>394</v>
      </c>
      <c r="EJ59" s="346" t="s">
        <v>394</v>
      </c>
      <c r="EK59" s="346" t="s">
        <v>394</v>
      </c>
      <c r="EL59" s="346" t="s">
        <v>394</v>
      </c>
      <c r="EM59" s="346" t="s">
        <v>394</v>
      </c>
      <c r="EN59" s="346" t="s">
        <v>394</v>
      </c>
      <c r="EO59" s="346"/>
      <c r="EP59" s="346" t="s">
        <v>394</v>
      </c>
      <c r="EQ59" s="346" t="s">
        <v>394</v>
      </c>
      <c r="ER59" s="346" t="s">
        <v>394</v>
      </c>
      <c r="ES59" s="346" t="s">
        <v>394</v>
      </c>
      <c r="ET59" s="346"/>
      <c r="EU59" s="346"/>
      <c r="EV59" s="346"/>
      <c r="EW59" s="346"/>
      <c r="EX59" s="346"/>
      <c r="EY59" s="346"/>
      <c r="EZ59" s="346"/>
      <c r="FA59" s="346"/>
      <c r="FB59" s="346" t="s">
        <v>394</v>
      </c>
      <c r="FC59" s="346" t="s">
        <v>394</v>
      </c>
      <c r="FD59" s="346" t="s">
        <v>394</v>
      </c>
      <c r="FE59" s="346" t="s">
        <v>394</v>
      </c>
      <c r="FF59" s="346" t="s">
        <v>394</v>
      </c>
      <c r="FG59" s="346" t="s">
        <v>394</v>
      </c>
      <c r="FH59" s="346" t="s">
        <v>394</v>
      </c>
      <c r="FI59" s="346" t="s">
        <v>394</v>
      </c>
      <c r="FJ59" s="346" t="s">
        <v>394</v>
      </c>
      <c r="FK59" s="346" t="s">
        <v>394</v>
      </c>
      <c r="FL59" s="346" t="s">
        <v>394</v>
      </c>
      <c r="FM59" s="346" t="s">
        <v>394</v>
      </c>
      <c r="FN59" s="346" t="s">
        <v>394</v>
      </c>
      <c r="FO59" s="346" t="s">
        <v>394</v>
      </c>
      <c r="FP59" s="346" t="s">
        <v>394</v>
      </c>
      <c r="FQ59" s="346" t="s">
        <v>394</v>
      </c>
    </row>
    <row r="60" spans="1:173">
      <c r="A60" s="335" t="s">
        <v>897</v>
      </c>
      <c r="B60" s="346" t="s">
        <v>897</v>
      </c>
      <c r="C60" s="346" t="s">
        <v>221</v>
      </c>
      <c r="D60" s="346" t="s">
        <v>865</v>
      </c>
      <c r="E60" s="346" t="s">
        <v>898</v>
      </c>
      <c r="F60" s="425" t="s">
        <v>2256</v>
      </c>
      <c r="G60" s="346" t="s">
        <v>324</v>
      </c>
      <c r="H60" s="346" t="s">
        <v>324</v>
      </c>
      <c r="I60" s="346">
        <v>25.5</v>
      </c>
      <c r="J60" s="346">
        <v>25</v>
      </c>
      <c r="K60" s="422"/>
      <c r="L60" s="422"/>
      <c r="M60" s="422"/>
      <c r="N60" s="346" t="s">
        <v>2269</v>
      </c>
      <c r="O60" s="346" t="s">
        <v>324</v>
      </c>
      <c r="P60" s="346" t="s">
        <v>900</v>
      </c>
      <c r="Q60" s="426" t="s">
        <v>901</v>
      </c>
      <c r="R60" s="346" t="s">
        <v>324</v>
      </c>
      <c r="S60" s="346" t="s">
        <v>899</v>
      </c>
      <c r="T60" s="346" t="s">
        <v>2942</v>
      </c>
      <c r="U60" s="346">
        <v>20</v>
      </c>
      <c r="V60" s="346" cm="1">
        <f t="array" ref="V60">IFERROR(INDEX('Offer Statistics'!$Q$2:$Q$500,MATCH(1,(B60='Offer Statistics'!$B$2:$B$500)*($B$11='Offer Statistics'!$K$2:$K$500),0)),"/")</f>
        <v>19</v>
      </c>
      <c r="W60" s="346" cm="1">
        <f t="array" ref="W60">IFERROR(INDEX('Offer Statistics'!$D$2:$D$500,MATCH(1,(B60='Offer Statistics'!$B$2:$B$500)*($B$11='Offer Statistics'!$K$2:$K$500),0)),"/")</f>
        <v>214</v>
      </c>
      <c r="X60" s="346" cm="1">
        <f t="array" ref="X60">IFERROR(INDEX('Offer Statistics'!$L$2:$L$500,MATCH(1,(B60='Offer Statistics'!$B$2:$B$500)*($B$11='Offer Statistics'!$K$2:$K$500),0)),"/")</f>
        <v>13</v>
      </c>
      <c r="Y60" s="346">
        <f t="shared" si="48"/>
        <v>16.46153846153846</v>
      </c>
      <c r="Z60" s="346" t="s">
        <v>2941</v>
      </c>
      <c r="AA60" s="346" t="str">
        <f>入學要求!AF69</f>
        <v>以下一科選修取得Lv.3︰化學、DAT、物理、M1/2</v>
      </c>
      <c r="AB60" s="346" t="str">
        <f>入學要求!AG69</f>
        <v>/</v>
      </c>
      <c r="AC60" s="425" t="s">
        <v>2256</v>
      </c>
      <c r="AD60" s="346" t="s">
        <v>2945</v>
      </c>
      <c r="AE60" s="346" t="s">
        <v>2946</v>
      </c>
      <c r="AF60" s="426" t="s">
        <v>2269</v>
      </c>
      <c r="AG60" s="426" t="s">
        <v>324</v>
      </c>
      <c r="AH60" s="426" t="s">
        <v>900</v>
      </c>
      <c r="AI60" s="426" t="s">
        <v>901</v>
      </c>
      <c r="AJ60" s="346" t="s">
        <v>324</v>
      </c>
      <c r="AK60" s="346" t="s">
        <v>848</v>
      </c>
      <c r="AL60" s="346" t="s">
        <v>714</v>
      </c>
      <c r="AM60" s="346" t="s">
        <v>800</v>
      </c>
      <c r="AN60" s="346" t="s">
        <v>324</v>
      </c>
      <c r="AO60" s="346" t="s">
        <v>394</v>
      </c>
      <c r="AP60" s="346" t="s">
        <v>394</v>
      </c>
      <c r="AQ60" s="346" t="s">
        <v>394</v>
      </c>
      <c r="AR60" s="346" t="s">
        <v>324</v>
      </c>
      <c r="AT60" s="346" t="s">
        <v>716</v>
      </c>
      <c r="AU60" s="346"/>
      <c r="AV60" s="346" t="s">
        <v>713</v>
      </c>
      <c r="AW60" s="346"/>
      <c r="AX60" s="430"/>
      <c r="AY60" s="346"/>
      <c r="AZ60" s="346" t="s">
        <v>324</v>
      </c>
      <c r="BA60" s="346" t="s">
        <v>324</v>
      </c>
      <c r="BB60" s="346" t="s">
        <v>324</v>
      </c>
      <c r="BC60" s="346"/>
      <c r="BD60" s="346" t="s">
        <v>324</v>
      </c>
      <c r="BE60" s="346" t="s">
        <v>324</v>
      </c>
      <c r="BF60" s="346" t="s">
        <v>324</v>
      </c>
      <c r="BG60" s="346" t="s">
        <v>324</v>
      </c>
      <c r="BH60" s="346" t="s">
        <v>897</v>
      </c>
      <c r="BI60" s="346" t="s">
        <v>324</v>
      </c>
      <c r="BJ60" s="346" t="s">
        <v>324</v>
      </c>
      <c r="BK60" s="346" t="s">
        <v>324</v>
      </c>
      <c r="BL60" s="346"/>
      <c r="BM60" s="346" t="s">
        <v>324</v>
      </c>
      <c r="BN60" s="346" t="s">
        <v>324</v>
      </c>
      <c r="BO60" s="346" t="s">
        <v>324</v>
      </c>
      <c r="BP60" s="346" t="s">
        <v>324</v>
      </c>
      <c r="BQ60" s="429">
        <f t="shared" si="49"/>
        <v>0</v>
      </c>
      <c r="BR60" s="429">
        <f t="shared" si="50"/>
        <v>0</v>
      </c>
      <c r="BS60" s="429">
        <f t="shared" si="51"/>
        <v>0</v>
      </c>
      <c r="BT60" s="429"/>
      <c r="BU60" s="429">
        <f t="shared" si="52"/>
        <v>0</v>
      </c>
      <c r="BV60" s="429">
        <f t="shared" si="53"/>
        <v>0</v>
      </c>
      <c r="BW60" s="429">
        <f t="shared" si="54"/>
        <v>0</v>
      </c>
      <c r="BX60" s="429">
        <f t="shared" si="55"/>
        <v>0</v>
      </c>
      <c r="BY60" s="346" t="s">
        <v>324</v>
      </c>
      <c r="BZ60" s="346" t="s">
        <v>324</v>
      </c>
      <c r="CA60" s="346" t="s">
        <v>324</v>
      </c>
      <c r="CB60" s="346"/>
      <c r="CC60" s="346" t="s">
        <v>324</v>
      </c>
      <c r="CD60" s="346" t="s">
        <v>324</v>
      </c>
      <c r="CE60" s="346" t="s">
        <v>324</v>
      </c>
      <c r="CF60" s="346" t="s">
        <v>324</v>
      </c>
      <c r="CG60" s="346" t="s">
        <v>324</v>
      </c>
      <c r="CH60" s="346" t="s">
        <v>324</v>
      </c>
      <c r="CI60" s="346" t="s">
        <v>324</v>
      </c>
      <c r="CJ60" s="346"/>
      <c r="CK60" s="346" t="s">
        <v>324</v>
      </c>
      <c r="CL60" s="346" t="s">
        <v>324</v>
      </c>
      <c r="CM60" s="346" t="s">
        <v>324</v>
      </c>
      <c r="CN60" s="346" t="s">
        <v>324</v>
      </c>
      <c r="CO60" s="346" t="s">
        <v>324</v>
      </c>
      <c r="CP60" s="346" t="s">
        <v>324</v>
      </c>
      <c r="CQ60" s="346" t="s">
        <v>324</v>
      </c>
      <c r="CR60" s="346"/>
      <c r="CS60" s="346" t="s">
        <v>324</v>
      </c>
      <c r="CT60" s="346" t="s">
        <v>324</v>
      </c>
      <c r="CU60" s="346" t="s">
        <v>324</v>
      </c>
      <c r="CV60" s="346" t="s">
        <v>324</v>
      </c>
      <c r="CW60" s="346"/>
      <c r="CX60" s="346" t="s">
        <v>324</v>
      </c>
      <c r="CY60" s="346" t="s">
        <v>324</v>
      </c>
      <c r="CZ60" s="346" t="s">
        <v>324</v>
      </c>
      <c r="DA60" s="346"/>
      <c r="DB60" s="346" t="s">
        <v>324</v>
      </c>
      <c r="DC60" s="346" t="s">
        <v>324</v>
      </c>
      <c r="DD60" s="346" t="s">
        <v>324</v>
      </c>
      <c r="DE60" s="346" t="s">
        <v>324</v>
      </c>
      <c r="DF60" s="429">
        <f t="shared" si="56"/>
        <v>0</v>
      </c>
      <c r="DG60" s="429">
        <f t="shared" si="57"/>
        <v>0</v>
      </c>
      <c r="DH60" s="429">
        <f t="shared" si="58"/>
        <v>0</v>
      </c>
      <c r="DI60" s="429"/>
      <c r="DJ60" s="429">
        <f t="shared" si="59"/>
        <v>0</v>
      </c>
      <c r="DK60" s="429">
        <f t="shared" si="60"/>
        <v>0</v>
      </c>
      <c r="DL60" s="429">
        <f t="shared" si="61"/>
        <v>0</v>
      </c>
      <c r="DM60" s="429">
        <f t="shared" si="62"/>
        <v>0</v>
      </c>
      <c r="DN60" s="346" t="s">
        <v>324</v>
      </c>
      <c r="DO60" s="346" t="s">
        <v>324</v>
      </c>
      <c r="DP60" s="346" t="s">
        <v>324</v>
      </c>
      <c r="DQ60" s="346"/>
      <c r="DR60" s="346" t="s">
        <v>324</v>
      </c>
      <c r="DS60" s="346" t="s">
        <v>324</v>
      </c>
      <c r="DT60" s="346" t="s">
        <v>324</v>
      </c>
      <c r="DU60" s="346" t="s">
        <v>324</v>
      </c>
      <c r="DV60" s="346" t="s">
        <v>324</v>
      </c>
      <c r="DW60" s="346" t="s">
        <v>324</v>
      </c>
      <c r="DX60" s="346" t="s">
        <v>324</v>
      </c>
      <c r="DY60" s="346"/>
      <c r="DZ60" s="346" t="s">
        <v>324</v>
      </c>
      <c r="EA60" s="346" t="s">
        <v>324</v>
      </c>
      <c r="EB60" s="346" t="s">
        <v>324</v>
      </c>
      <c r="EC60" s="346" t="s">
        <v>324</v>
      </c>
      <c r="ED60" s="346" t="s">
        <v>394</v>
      </c>
      <c r="EE60" s="346" t="s">
        <v>394</v>
      </c>
      <c r="EF60" s="346" t="s">
        <v>394</v>
      </c>
      <c r="EG60" s="346"/>
      <c r="EH60" s="346" t="s">
        <v>394</v>
      </c>
      <c r="EI60" s="346" t="s">
        <v>394</v>
      </c>
      <c r="EJ60" s="346" t="s">
        <v>394</v>
      </c>
      <c r="EK60" s="346" t="s">
        <v>394</v>
      </c>
      <c r="EL60" s="346" t="s">
        <v>394</v>
      </c>
      <c r="EM60" s="346" t="s">
        <v>394</v>
      </c>
      <c r="EN60" s="346" t="s">
        <v>394</v>
      </c>
      <c r="EO60" s="346"/>
      <c r="EP60" s="346" t="s">
        <v>394</v>
      </c>
      <c r="EQ60" s="346" t="s">
        <v>394</v>
      </c>
      <c r="ER60" s="346" t="s">
        <v>394</v>
      </c>
      <c r="ES60" s="346" t="s">
        <v>394</v>
      </c>
      <c r="ET60" s="346"/>
      <c r="EU60" s="346"/>
      <c r="EV60" s="346"/>
      <c r="EW60" s="346"/>
      <c r="EX60" s="346"/>
      <c r="EY60" s="346"/>
      <c r="EZ60" s="346"/>
      <c r="FA60" s="346"/>
      <c r="FB60" s="346" t="s">
        <v>394</v>
      </c>
      <c r="FC60" s="346" t="s">
        <v>394</v>
      </c>
      <c r="FD60" s="346" t="s">
        <v>394</v>
      </c>
      <c r="FE60" s="346" t="s">
        <v>394</v>
      </c>
      <c r="FF60" s="346" t="s">
        <v>394</v>
      </c>
      <c r="FG60" s="346" t="s">
        <v>394</v>
      </c>
      <c r="FH60" s="346" t="s">
        <v>394</v>
      </c>
      <c r="FI60" s="346" t="s">
        <v>394</v>
      </c>
      <c r="FJ60" s="346" t="s">
        <v>394</v>
      </c>
      <c r="FK60" s="346" t="s">
        <v>394</v>
      </c>
      <c r="FL60" s="346" t="s">
        <v>394</v>
      </c>
      <c r="FM60" s="346" t="s">
        <v>394</v>
      </c>
      <c r="FN60" s="346" t="s">
        <v>394</v>
      </c>
      <c r="FO60" s="346" t="s">
        <v>394</v>
      </c>
      <c r="FP60" s="346" t="s">
        <v>394</v>
      </c>
      <c r="FQ60" s="346" t="s">
        <v>394</v>
      </c>
    </row>
    <row r="61" spans="1:173" s="342" customFormat="1">
      <c r="A61" s="335" t="s">
        <v>902</v>
      </c>
      <c r="B61" s="346" t="s">
        <v>902</v>
      </c>
      <c r="C61" s="346" t="s">
        <v>221</v>
      </c>
      <c r="D61" s="346" t="s">
        <v>870</v>
      </c>
      <c r="E61" s="346" t="s">
        <v>903</v>
      </c>
      <c r="F61" s="425" t="s">
        <v>785</v>
      </c>
      <c r="G61" s="346" t="s">
        <v>324</v>
      </c>
      <c r="H61" s="346" t="s">
        <v>324</v>
      </c>
      <c r="I61" s="346">
        <v>29.5</v>
      </c>
      <c r="J61" s="346">
        <v>29</v>
      </c>
      <c r="K61" s="422"/>
      <c r="L61" s="422"/>
      <c r="M61" s="422"/>
      <c r="N61" s="426" t="s">
        <v>891</v>
      </c>
      <c r="O61" s="346"/>
      <c r="P61" s="346" t="s">
        <v>905</v>
      </c>
      <c r="Q61" s="346" t="s">
        <v>906</v>
      </c>
      <c r="R61" s="346" t="s">
        <v>324</v>
      </c>
      <c r="S61" s="346" t="s">
        <v>904</v>
      </c>
      <c r="T61" s="346" t="s">
        <v>2942</v>
      </c>
      <c r="U61" s="346">
        <v>24</v>
      </c>
      <c r="V61" s="346" cm="1">
        <f t="array" ref="V61">IFERROR(INDEX('Offer Statistics'!$Q$2:$Q$500,MATCH(1,(B61='Offer Statistics'!$B$2:$B$500)*($B$11='Offer Statistics'!$K$2:$K$500),0)),"/")</f>
        <v>31</v>
      </c>
      <c r="W61" s="346" cm="1">
        <f t="array" ref="W61">IFERROR(INDEX('Offer Statistics'!$D$2:$D$500,MATCH(1,(B61='Offer Statistics'!$B$2:$B$500)*($B$11='Offer Statistics'!$K$2:$K$500),0)),"/")</f>
        <v>180</v>
      </c>
      <c r="X61" s="346" cm="1">
        <f t="array" ref="X61">IFERROR(INDEX('Offer Statistics'!$L$2:$L$500,MATCH(1,(B61='Offer Statistics'!$B$2:$B$500)*($B$11='Offer Statistics'!$K$2:$K$500),0)),"/")</f>
        <v>17</v>
      </c>
      <c r="Y61" s="346">
        <f t="shared" si="48"/>
        <v>10.588235294117647</v>
      </c>
      <c r="Z61" s="346" t="s">
        <v>2941</v>
      </c>
      <c r="AA61" s="346" t="str">
        <f>入學要求!AF70</f>
        <v>以下一科選修取得Lv.3︰化學、DAT、物理</v>
      </c>
      <c r="AB61" s="346" t="str">
        <f>入學要求!AG70</f>
        <v>/</v>
      </c>
      <c r="AC61" s="425" t="s">
        <v>785</v>
      </c>
      <c r="AD61" s="346" t="s">
        <v>2945</v>
      </c>
      <c r="AE61" s="346" t="s">
        <v>2946</v>
      </c>
      <c r="AF61" s="426" t="s">
        <v>891</v>
      </c>
      <c r="AG61" s="426"/>
      <c r="AH61" s="426" t="s">
        <v>905</v>
      </c>
      <c r="AI61" s="426" t="s">
        <v>906</v>
      </c>
      <c r="AJ61" s="346" t="s">
        <v>324</v>
      </c>
      <c r="AK61" s="346" t="s">
        <v>848</v>
      </c>
      <c r="AL61" s="346" t="s">
        <v>714</v>
      </c>
      <c r="AM61" s="346" t="s">
        <v>740</v>
      </c>
      <c r="AN61" s="346" t="s">
        <v>324</v>
      </c>
      <c r="AO61" s="346" t="s">
        <v>394</v>
      </c>
      <c r="AP61" s="346" t="s">
        <v>394</v>
      </c>
      <c r="AQ61" s="346" t="s">
        <v>394</v>
      </c>
      <c r="AR61" s="346" t="s">
        <v>324</v>
      </c>
      <c r="AT61" s="346" t="s">
        <v>716</v>
      </c>
      <c r="AU61" s="346"/>
      <c r="AV61" s="346" t="s">
        <v>713</v>
      </c>
      <c r="AW61" s="346"/>
      <c r="AX61" s="346"/>
      <c r="AY61" s="346"/>
      <c r="AZ61" s="346" t="s">
        <v>324</v>
      </c>
      <c r="BA61" s="346" t="s">
        <v>324</v>
      </c>
      <c r="BB61" s="346" t="s">
        <v>324</v>
      </c>
      <c r="BC61" s="346"/>
      <c r="BD61" s="346" t="s">
        <v>324</v>
      </c>
      <c r="BE61" s="346" t="s">
        <v>324</v>
      </c>
      <c r="BF61" s="346" t="s">
        <v>324</v>
      </c>
      <c r="BG61" s="346" t="s">
        <v>324</v>
      </c>
      <c r="BH61" s="346" t="s">
        <v>902</v>
      </c>
      <c r="BI61" s="346" t="s">
        <v>324</v>
      </c>
      <c r="BJ61" s="346" t="s">
        <v>324</v>
      </c>
      <c r="BK61" s="346" t="s">
        <v>324</v>
      </c>
      <c r="BL61" s="346"/>
      <c r="BM61" s="346" t="s">
        <v>324</v>
      </c>
      <c r="BN61" s="346" t="s">
        <v>324</v>
      </c>
      <c r="BO61" s="346" t="s">
        <v>324</v>
      </c>
      <c r="BP61" s="346" t="s">
        <v>324</v>
      </c>
      <c r="BQ61" s="429">
        <f t="shared" si="49"/>
        <v>0</v>
      </c>
      <c r="BR61" s="429">
        <f t="shared" si="50"/>
        <v>0</v>
      </c>
      <c r="BS61" s="429">
        <f t="shared" si="51"/>
        <v>0</v>
      </c>
      <c r="BT61" s="429"/>
      <c r="BU61" s="429">
        <f t="shared" si="52"/>
        <v>0</v>
      </c>
      <c r="BV61" s="429">
        <f t="shared" si="53"/>
        <v>0</v>
      </c>
      <c r="BW61" s="429">
        <f t="shared" si="54"/>
        <v>0</v>
      </c>
      <c r="BX61" s="429">
        <f t="shared" si="55"/>
        <v>0</v>
      </c>
      <c r="BY61" s="346" t="s">
        <v>324</v>
      </c>
      <c r="BZ61" s="346" t="s">
        <v>324</v>
      </c>
      <c r="CA61" s="346" t="s">
        <v>324</v>
      </c>
      <c r="CB61" s="346"/>
      <c r="CC61" s="346" t="s">
        <v>324</v>
      </c>
      <c r="CD61" s="346" t="s">
        <v>324</v>
      </c>
      <c r="CE61" s="346" t="s">
        <v>324</v>
      </c>
      <c r="CF61" s="346" t="s">
        <v>324</v>
      </c>
      <c r="CG61" s="346" t="s">
        <v>324</v>
      </c>
      <c r="CH61" s="346" t="s">
        <v>324</v>
      </c>
      <c r="CI61" s="346" t="s">
        <v>324</v>
      </c>
      <c r="CJ61" s="346"/>
      <c r="CK61" s="346" t="s">
        <v>324</v>
      </c>
      <c r="CL61" s="346" t="s">
        <v>324</v>
      </c>
      <c r="CM61" s="346" t="s">
        <v>324</v>
      </c>
      <c r="CN61" s="346" t="s">
        <v>324</v>
      </c>
      <c r="CO61" s="346" t="s">
        <v>324</v>
      </c>
      <c r="CP61" s="346" t="s">
        <v>324</v>
      </c>
      <c r="CQ61" s="346" t="s">
        <v>324</v>
      </c>
      <c r="CR61" s="346"/>
      <c r="CS61" s="346" t="s">
        <v>324</v>
      </c>
      <c r="CT61" s="346" t="s">
        <v>324</v>
      </c>
      <c r="CU61" s="346" t="s">
        <v>324</v>
      </c>
      <c r="CV61" s="346" t="s">
        <v>324</v>
      </c>
      <c r="CW61" s="346"/>
      <c r="CX61" s="346" t="s">
        <v>324</v>
      </c>
      <c r="CY61" s="346" t="s">
        <v>324</v>
      </c>
      <c r="CZ61" s="346" t="s">
        <v>324</v>
      </c>
      <c r="DA61" s="346"/>
      <c r="DB61" s="346" t="s">
        <v>324</v>
      </c>
      <c r="DC61" s="346" t="s">
        <v>324</v>
      </c>
      <c r="DD61" s="346" t="s">
        <v>324</v>
      </c>
      <c r="DE61" s="346" t="s">
        <v>324</v>
      </c>
      <c r="DF61" s="429">
        <f t="shared" si="56"/>
        <v>0</v>
      </c>
      <c r="DG61" s="429">
        <f t="shared" si="57"/>
        <v>0</v>
      </c>
      <c r="DH61" s="429">
        <f t="shared" si="58"/>
        <v>0</v>
      </c>
      <c r="DI61" s="429"/>
      <c r="DJ61" s="429">
        <f t="shared" si="59"/>
        <v>0</v>
      </c>
      <c r="DK61" s="429">
        <f t="shared" si="60"/>
        <v>0</v>
      </c>
      <c r="DL61" s="429">
        <f t="shared" si="61"/>
        <v>0</v>
      </c>
      <c r="DM61" s="429">
        <f t="shared" si="62"/>
        <v>0</v>
      </c>
      <c r="DN61" s="346" t="s">
        <v>324</v>
      </c>
      <c r="DO61" s="346" t="s">
        <v>324</v>
      </c>
      <c r="DP61" s="346" t="s">
        <v>324</v>
      </c>
      <c r="DQ61" s="346"/>
      <c r="DR61" s="346" t="s">
        <v>324</v>
      </c>
      <c r="DS61" s="346" t="s">
        <v>324</v>
      </c>
      <c r="DT61" s="346" t="s">
        <v>324</v>
      </c>
      <c r="DU61" s="346" t="s">
        <v>324</v>
      </c>
      <c r="DV61" s="346" t="s">
        <v>324</v>
      </c>
      <c r="DW61" s="346" t="s">
        <v>324</v>
      </c>
      <c r="DX61" s="346" t="s">
        <v>324</v>
      </c>
      <c r="DY61" s="346"/>
      <c r="DZ61" s="346" t="s">
        <v>324</v>
      </c>
      <c r="EA61" s="346" t="s">
        <v>324</v>
      </c>
      <c r="EB61" s="346" t="s">
        <v>324</v>
      </c>
      <c r="EC61" s="346" t="s">
        <v>324</v>
      </c>
      <c r="ED61" s="346" t="s">
        <v>394</v>
      </c>
      <c r="EE61" s="346" t="s">
        <v>394</v>
      </c>
      <c r="EF61" s="346" t="s">
        <v>394</v>
      </c>
      <c r="EG61" s="346"/>
      <c r="EH61" s="346" t="s">
        <v>394</v>
      </c>
      <c r="EI61" s="346" t="s">
        <v>394</v>
      </c>
      <c r="EJ61" s="346" t="s">
        <v>394</v>
      </c>
      <c r="EK61" s="346" t="s">
        <v>394</v>
      </c>
      <c r="EL61" s="346" t="s">
        <v>394</v>
      </c>
      <c r="EM61" s="346" t="s">
        <v>394</v>
      </c>
      <c r="EN61" s="346" t="s">
        <v>394</v>
      </c>
      <c r="EO61" s="346"/>
      <c r="EP61" s="346" t="s">
        <v>394</v>
      </c>
      <c r="EQ61" s="346" t="s">
        <v>394</v>
      </c>
      <c r="ER61" s="346" t="s">
        <v>394</v>
      </c>
      <c r="ES61" s="346" t="s">
        <v>394</v>
      </c>
      <c r="ET61" s="346"/>
      <c r="EU61" s="346"/>
      <c r="EV61" s="346"/>
      <c r="EW61" s="346"/>
      <c r="EX61" s="346"/>
      <c r="EY61" s="346"/>
      <c r="EZ61" s="346"/>
      <c r="FA61" s="346"/>
      <c r="FB61" s="346" t="s">
        <v>394</v>
      </c>
      <c r="FC61" s="346" t="s">
        <v>394</v>
      </c>
      <c r="FD61" s="346" t="s">
        <v>394</v>
      </c>
      <c r="FE61" s="346" t="s">
        <v>394</v>
      </c>
      <c r="FF61" s="346" t="s">
        <v>394</v>
      </c>
      <c r="FG61" s="346" t="s">
        <v>394</v>
      </c>
      <c r="FH61" s="346" t="s">
        <v>394</v>
      </c>
      <c r="FI61" s="346" t="s">
        <v>394</v>
      </c>
      <c r="FJ61" s="346" t="s">
        <v>394</v>
      </c>
      <c r="FK61" s="346" t="s">
        <v>394</v>
      </c>
      <c r="FL61" s="346" t="s">
        <v>394</v>
      </c>
      <c r="FM61" s="346" t="s">
        <v>394</v>
      </c>
      <c r="FN61" s="346" t="s">
        <v>394</v>
      </c>
      <c r="FO61" s="346" t="s">
        <v>394</v>
      </c>
      <c r="FP61" s="346" t="s">
        <v>394</v>
      </c>
      <c r="FQ61" s="346" t="s">
        <v>394</v>
      </c>
    </row>
    <row r="62" spans="1:173" s="342" customFormat="1">
      <c r="A62" s="335" t="s">
        <v>907</v>
      </c>
      <c r="B62" s="346" t="s">
        <v>907</v>
      </c>
      <c r="C62" s="346" t="s">
        <v>221</v>
      </c>
      <c r="D62" s="346" t="s">
        <v>870</v>
      </c>
      <c r="E62" s="346" t="s">
        <v>908</v>
      </c>
      <c r="F62" s="425" t="s">
        <v>785</v>
      </c>
      <c r="G62" s="346" t="s">
        <v>324</v>
      </c>
      <c r="H62" s="346" t="s">
        <v>324</v>
      </c>
      <c r="I62" s="346">
        <v>36</v>
      </c>
      <c r="J62" s="346">
        <v>35</v>
      </c>
      <c r="K62" s="422"/>
      <c r="L62" s="422"/>
      <c r="M62" s="422"/>
      <c r="N62" s="346" t="s">
        <v>910</v>
      </c>
      <c r="O62" s="346" t="s">
        <v>324</v>
      </c>
      <c r="P62" s="426" t="s">
        <v>2263</v>
      </c>
      <c r="Q62" s="346" t="s">
        <v>324</v>
      </c>
      <c r="R62" s="346" t="s">
        <v>324</v>
      </c>
      <c r="S62" s="346" t="s">
        <v>909</v>
      </c>
      <c r="T62" s="346" t="s">
        <v>2942</v>
      </c>
      <c r="U62" s="346">
        <v>44</v>
      </c>
      <c r="V62" s="346" cm="1">
        <f t="array" ref="V62">IFERROR(INDEX('Offer Statistics'!$Q$2:$Q$500,MATCH(1,(B62='Offer Statistics'!$B$2:$B$500)*($B$11='Offer Statistics'!$K$2:$K$500),0)),"/")</f>
        <v>57</v>
      </c>
      <c r="W62" s="346" cm="1">
        <f t="array" ref="W62">IFERROR(INDEX('Offer Statistics'!$D$2:$D$500,MATCH(1,(B62='Offer Statistics'!$B$2:$B$500)*($B$11='Offer Statistics'!$K$2:$K$500),0)),"/")</f>
        <v>334</v>
      </c>
      <c r="X62" s="346" cm="1">
        <f t="array" ref="X62">IFERROR(INDEX('Offer Statistics'!$L$2:$L$500,MATCH(1,(B62='Offer Statistics'!$B$2:$B$500)*($B$11='Offer Statistics'!$K$2:$K$500),0)),"/")</f>
        <v>47</v>
      </c>
      <c r="Y62" s="346">
        <f t="shared" si="48"/>
        <v>7.1063829787234045</v>
      </c>
      <c r="Z62" s="346" t="s">
        <v>2941</v>
      </c>
      <c r="AA62" s="346" t="str">
        <f>入學要求!AF71</f>
        <v>以下一科選修取得Lv.3︰生物、化學、物理</v>
      </c>
      <c r="AB62" s="346" t="str">
        <f>入學要求!AG71</f>
        <v>/</v>
      </c>
      <c r="AC62" s="425" t="s">
        <v>785</v>
      </c>
      <c r="AD62" s="346" t="s">
        <v>2945</v>
      </c>
      <c r="AE62" s="346" t="s">
        <v>2946</v>
      </c>
      <c r="AF62" s="426" t="s">
        <v>910</v>
      </c>
      <c r="AG62" s="426" t="s">
        <v>324</v>
      </c>
      <c r="AH62" s="426" t="s">
        <v>2263</v>
      </c>
      <c r="AI62" s="426" t="s">
        <v>324</v>
      </c>
      <c r="AJ62" s="346" t="s">
        <v>324</v>
      </c>
      <c r="AK62" s="346" t="s">
        <v>848</v>
      </c>
      <c r="AL62" s="346" t="s">
        <v>714</v>
      </c>
      <c r="AM62" s="346" t="s">
        <v>740</v>
      </c>
      <c r="AN62" s="346" t="s">
        <v>324</v>
      </c>
      <c r="AO62" s="346" t="s">
        <v>394</v>
      </c>
      <c r="AP62" s="346" t="s">
        <v>394</v>
      </c>
      <c r="AQ62" s="346" t="s">
        <v>394</v>
      </c>
      <c r="AR62" s="346" t="s">
        <v>324</v>
      </c>
      <c r="AT62" s="346" t="s">
        <v>716</v>
      </c>
      <c r="AU62" s="346"/>
      <c r="AV62" s="346" t="s">
        <v>713</v>
      </c>
      <c r="AW62" s="346"/>
      <c r="AX62" s="346"/>
      <c r="AY62" s="346"/>
      <c r="AZ62" s="346" t="s">
        <v>324</v>
      </c>
      <c r="BA62" s="346" t="s">
        <v>324</v>
      </c>
      <c r="BB62" s="346" t="s">
        <v>324</v>
      </c>
      <c r="BC62" s="346"/>
      <c r="BD62" s="346" t="s">
        <v>324</v>
      </c>
      <c r="BE62" s="346" t="s">
        <v>324</v>
      </c>
      <c r="BF62" s="346" t="s">
        <v>324</v>
      </c>
      <c r="BG62" s="346" t="s">
        <v>324</v>
      </c>
      <c r="BH62" s="346" t="s">
        <v>907</v>
      </c>
      <c r="BI62" s="346" t="s">
        <v>324</v>
      </c>
      <c r="BJ62" s="346" t="s">
        <v>324</v>
      </c>
      <c r="BK62" s="346" t="s">
        <v>324</v>
      </c>
      <c r="BL62" s="346"/>
      <c r="BM62" s="346" t="s">
        <v>324</v>
      </c>
      <c r="BN62" s="346" t="s">
        <v>324</v>
      </c>
      <c r="BO62" s="346" t="s">
        <v>324</v>
      </c>
      <c r="BP62" s="346" t="s">
        <v>324</v>
      </c>
      <c r="BQ62" s="429">
        <f t="shared" si="49"/>
        <v>0</v>
      </c>
      <c r="BR62" s="429">
        <f t="shared" si="50"/>
        <v>0</v>
      </c>
      <c r="BS62" s="429">
        <f t="shared" si="51"/>
        <v>0</v>
      </c>
      <c r="BT62" s="429"/>
      <c r="BU62" s="429">
        <f t="shared" si="52"/>
        <v>0</v>
      </c>
      <c r="BV62" s="429">
        <f t="shared" si="53"/>
        <v>0</v>
      </c>
      <c r="BW62" s="429">
        <f t="shared" si="54"/>
        <v>0</v>
      </c>
      <c r="BX62" s="429">
        <f t="shared" si="55"/>
        <v>0</v>
      </c>
      <c r="BY62" s="346" t="s">
        <v>324</v>
      </c>
      <c r="BZ62" s="346" t="s">
        <v>324</v>
      </c>
      <c r="CA62" s="346" t="s">
        <v>324</v>
      </c>
      <c r="CB62" s="346"/>
      <c r="CC62" s="346" t="s">
        <v>324</v>
      </c>
      <c r="CD62" s="346" t="s">
        <v>324</v>
      </c>
      <c r="CE62" s="346" t="s">
        <v>324</v>
      </c>
      <c r="CF62" s="346" t="s">
        <v>324</v>
      </c>
      <c r="CG62" s="346" t="s">
        <v>324</v>
      </c>
      <c r="CH62" s="346" t="s">
        <v>324</v>
      </c>
      <c r="CI62" s="346" t="s">
        <v>324</v>
      </c>
      <c r="CJ62" s="346"/>
      <c r="CK62" s="346" t="s">
        <v>324</v>
      </c>
      <c r="CL62" s="346" t="s">
        <v>324</v>
      </c>
      <c r="CM62" s="346" t="s">
        <v>324</v>
      </c>
      <c r="CN62" s="346" t="s">
        <v>324</v>
      </c>
      <c r="CO62" s="346" t="s">
        <v>324</v>
      </c>
      <c r="CP62" s="346" t="s">
        <v>324</v>
      </c>
      <c r="CQ62" s="346" t="s">
        <v>324</v>
      </c>
      <c r="CR62" s="346"/>
      <c r="CS62" s="346" t="s">
        <v>324</v>
      </c>
      <c r="CT62" s="346" t="s">
        <v>324</v>
      </c>
      <c r="CU62" s="346" t="s">
        <v>324</v>
      </c>
      <c r="CV62" s="346" t="s">
        <v>324</v>
      </c>
      <c r="CW62" s="346"/>
      <c r="CX62" s="346" t="s">
        <v>324</v>
      </c>
      <c r="CY62" s="346" t="s">
        <v>324</v>
      </c>
      <c r="CZ62" s="346" t="s">
        <v>324</v>
      </c>
      <c r="DA62" s="346"/>
      <c r="DB62" s="346" t="s">
        <v>324</v>
      </c>
      <c r="DC62" s="346" t="s">
        <v>324</v>
      </c>
      <c r="DD62" s="346" t="s">
        <v>324</v>
      </c>
      <c r="DE62" s="346" t="s">
        <v>324</v>
      </c>
      <c r="DF62" s="429">
        <f t="shared" si="56"/>
        <v>0</v>
      </c>
      <c r="DG62" s="429">
        <f t="shared" si="57"/>
        <v>0</v>
      </c>
      <c r="DH62" s="429">
        <f t="shared" si="58"/>
        <v>0</v>
      </c>
      <c r="DI62" s="429"/>
      <c r="DJ62" s="429">
        <f t="shared" si="59"/>
        <v>0</v>
      </c>
      <c r="DK62" s="429">
        <f t="shared" si="60"/>
        <v>0</v>
      </c>
      <c r="DL62" s="429">
        <f t="shared" si="61"/>
        <v>0</v>
      </c>
      <c r="DM62" s="429">
        <f t="shared" si="62"/>
        <v>0</v>
      </c>
      <c r="DN62" s="346" t="s">
        <v>324</v>
      </c>
      <c r="DO62" s="346" t="s">
        <v>324</v>
      </c>
      <c r="DP62" s="346" t="s">
        <v>324</v>
      </c>
      <c r="DQ62" s="346"/>
      <c r="DR62" s="346" t="s">
        <v>324</v>
      </c>
      <c r="DS62" s="346" t="s">
        <v>324</v>
      </c>
      <c r="DT62" s="346" t="s">
        <v>324</v>
      </c>
      <c r="DU62" s="346" t="s">
        <v>324</v>
      </c>
      <c r="DV62" s="346" t="s">
        <v>324</v>
      </c>
      <c r="DW62" s="346" t="s">
        <v>324</v>
      </c>
      <c r="DX62" s="346" t="s">
        <v>324</v>
      </c>
      <c r="DY62" s="346"/>
      <c r="DZ62" s="346" t="s">
        <v>324</v>
      </c>
      <c r="EA62" s="346" t="s">
        <v>324</v>
      </c>
      <c r="EB62" s="346" t="s">
        <v>324</v>
      </c>
      <c r="EC62" s="346" t="s">
        <v>324</v>
      </c>
      <c r="ED62" s="346" t="s">
        <v>394</v>
      </c>
      <c r="EE62" s="346" t="s">
        <v>394</v>
      </c>
      <c r="EF62" s="346" t="s">
        <v>394</v>
      </c>
      <c r="EG62" s="346"/>
      <c r="EH62" s="346" t="s">
        <v>394</v>
      </c>
      <c r="EI62" s="346" t="s">
        <v>394</v>
      </c>
      <c r="EJ62" s="346" t="s">
        <v>394</v>
      </c>
      <c r="EK62" s="346" t="s">
        <v>394</v>
      </c>
      <c r="EL62" s="346" t="s">
        <v>394</v>
      </c>
      <c r="EM62" s="346" t="s">
        <v>394</v>
      </c>
      <c r="EN62" s="346" t="s">
        <v>394</v>
      </c>
      <c r="EO62" s="346"/>
      <c r="EP62" s="346" t="s">
        <v>394</v>
      </c>
      <c r="EQ62" s="346" t="s">
        <v>394</v>
      </c>
      <c r="ER62" s="346" t="s">
        <v>394</v>
      </c>
      <c r="ES62" s="346" t="s">
        <v>394</v>
      </c>
      <c r="ET62" s="346"/>
      <c r="EU62" s="346"/>
      <c r="EV62" s="346"/>
      <c r="EW62" s="346"/>
      <c r="EX62" s="346"/>
      <c r="EY62" s="346"/>
      <c r="EZ62" s="346"/>
      <c r="FA62" s="346"/>
      <c r="FB62" s="346" t="s">
        <v>394</v>
      </c>
      <c r="FC62" s="346" t="s">
        <v>394</v>
      </c>
      <c r="FD62" s="346" t="s">
        <v>394</v>
      </c>
      <c r="FE62" s="346" t="s">
        <v>394</v>
      </c>
      <c r="FF62" s="346" t="s">
        <v>394</v>
      </c>
      <c r="FG62" s="346" t="s">
        <v>394</v>
      </c>
      <c r="FH62" s="346" t="s">
        <v>394</v>
      </c>
      <c r="FI62" s="346" t="s">
        <v>394</v>
      </c>
      <c r="FJ62" s="346" t="s">
        <v>394</v>
      </c>
      <c r="FK62" s="346" t="s">
        <v>394</v>
      </c>
      <c r="FL62" s="346" t="s">
        <v>394</v>
      </c>
      <c r="FM62" s="346" t="s">
        <v>394</v>
      </c>
      <c r="FN62" s="346" t="s">
        <v>394</v>
      </c>
      <c r="FO62" s="346" t="s">
        <v>394</v>
      </c>
      <c r="FP62" s="346" t="s">
        <v>394</v>
      </c>
      <c r="FQ62" s="346" t="s">
        <v>394</v>
      </c>
    </row>
    <row r="63" spans="1:173" s="342" customFormat="1">
      <c r="A63" s="335" t="s">
        <v>911</v>
      </c>
      <c r="B63" s="346" t="s">
        <v>911</v>
      </c>
      <c r="C63" s="346" t="s">
        <v>221</v>
      </c>
      <c r="D63" s="346" t="s">
        <v>870</v>
      </c>
      <c r="E63" s="346" t="s">
        <v>912</v>
      </c>
      <c r="F63" s="425" t="s">
        <v>785</v>
      </c>
      <c r="G63" s="346" t="s">
        <v>324</v>
      </c>
      <c r="H63" s="346" t="s">
        <v>324</v>
      </c>
      <c r="I63" s="346">
        <v>35</v>
      </c>
      <c r="J63" s="346">
        <v>33.5</v>
      </c>
      <c r="K63" s="422"/>
      <c r="L63" s="422"/>
      <c r="M63" s="422"/>
      <c r="N63" s="346" t="s">
        <v>886</v>
      </c>
      <c r="O63" s="346" t="s">
        <v>324</v>
      </c>
      <c r="P63" s="426" t="s">
        <v>914</v>
      </c>
      <c r="Q63" s="425" t="s">
        <v>2264</v>
      </c>
      <c r="R63" s="346" t="s">
        <v>324</v>
      </c>
      <c r="S63" s="346" t="s">
        <v>913</v>
      </c>
      <c r="T63" s="346" t="s">
        <v>2942</v>
      </c>
      <c r="U63" s="346">
        <v>24</v>
      </c>
      <c r="V63" s="346" cm="1">
        <f t="array" ref="V63">IFERROR(INDEX('Offer Statistics'!$Q$2:$Q$500,MATCH(1,(B63='Offer Statistics'!$B$2:$B$500)*($B$11='Offer Statistics'!$K$2:$K$500),0)),"/")</f>
        <v>21</v>
      </c>
      <c r="W63" s="346" cm="1">
        <f t="array" ref="W63">IFERROR(INDEX('Offer Statistics'!$D$2:$D$500,MATCH(1,(B63='Offer Statistics'!$B$2:$B$500)*($B$11='Offer Statistics'!$K$2:$K$500),0)),"/")</f>
        <v>183</v>
      </c>
      <c r="X63" s="346" cm="1">
        <f t="array" ref="X63">IFERROR(INDEX('Offer Statistics'!$L$2:$L$500,MATCH(1,(B63='Offer Statistics'!$B$2:$B$500)*($B$11='Offer Statistics'!$K$2:$K$500),0)),"/")</f>
        <v>20</v>
      </c>
      <c r="Y63" s="346">
        <f t="shared" si="48"/>
        <v>9.15</v>
      </c>
      <c r="Z63" s="346" t="s">
        <v>2941</v>
      </c>
      <c r="AA63" s="346" t="str">
        <f>入學要求!AF72</f>
        <v>以下一科選修取得Lv.3︰生物、化學、DAT、經濟、ICT、M1/2、物理</v>
      </c>
      <c r="AB63" s="346" t="str">
        <f>入學要求!AG72</f>
        <v>/</v>
      </c>
      <c r="AC63" s="425" t="s">
        <v>785</v>
      </c>
      <c r="AD63" s="346" t="s">
        <v>2945</v>
      </c>
      <c r="AE63" s="346" t="s">
        <v>2946</v>
      </c>
      <c r="AF63" s="426" t="s">
        <v>886</v>
      </c>
      <c r="AG63" s="426" t="s">
        <v>324</v>
      </c>
      <c r="AH63" s="426" t="s">
        <v>914</v>
      </c>
      <c r="AI63" s="426" t="s">
        <v>2264</v>
      </c>
      <c r="AJ63" s="346" t="s">
        <v>324</v>
      </c>
      <c r="AK63" s="346" t="s">
        <v>848</v>
      </c>
      <c r="AL63" s="346" t="s">
        <v>714</v>
      </c>
      <c r="AM63" s="346" t="s">
        <v>740</v>
      </c>
      <c r="AN63" s="346" t="s">
        <v>324</v>
      </c>
      <c r="AO63" s="346" t="s">
        <v>394</v>
      </c>
      <c r="AP63" s="346" t="s">
        <v>394</v>
      </c>
      <c r="AQ63" s="346" t="s">
        <v>394</v>
      </c>
      <c r="AR63" s="346" t="s">
        <v>324</v>
      </c>
      <c r="AT63" s="346" t="s">
        <v>716</v>
      </c>
      <c r="AU63" s="346"/>
      <c r="AV63" s="346" t="s">
        <v>713</v>
      </c>
      <c r="AW63" s="346"/>
      <c r="AX63" s="346"/>
      <c r="AY63" s="346"/>
      <c r="AZ63" s="346" t="s">
        <v>324</v>
      </c>
      <c r="BA63" s="346" t="s">
        <v>324</v>
      </c>
      <c r="BB63" s="346" t="s">
        <v>324</v>
      </c>
      <c r="BC63" s="346"/>
      <c r="BD63" s="346" t="s">
        <v>324</v>
      </c>
      <c r="BE63" s="346" t="s">
        <v>324</v>
      </c>
      <c r="BF63" s="346" t="s">
        <v>324</v>
      </c>
      <c r="BG63" s="346" t="s">
        <v>324</v>
      </c>
      <c r="BH63" s="346" t="s">
        <v>911</v>
      </c>
      <c r="BI63" s="346" t="s">
        <v>324</v>
      </c>
      <c r="BJ63" s="346" t="s">
        <v>324</v>
      </c>
      <c r="BK63" s="346" t="s">
        <v>324</v>
      </c>
      <c r="BL63" s="346"/>
      <c r="BM63" s="346" t="s">
        <v>324</v>
      </c>
      <c r="BN63" s="346" t="s">
        <v>324</v>
      </c>
      <c r="BO63" s="346" t="s">
        <v>324</v>
      </c>
      <c r="BP63" s="346" t="s">
        <v>324</v>
      </c>
      <c r="BQ63" s="429">
        <f t="shared" si="49"/>
        <v>0</v>
      </c>
      <c r="BR63" s="429">
        <f t="shared" si="50"/>
        <v>0</v>
      </c>
      <c r="BS63" s="429">
        <f t="shared" si="51"/>
        <v>0</v>
      </c>
      <c r="BT63" s="429"/>
      <c r="BU63" s="429">
        <f t="shared" si="52"/>
        <v>0</v>
      </c>
      <c r="BV63" s="429">
        <f t="shared" si="53"/>
        <v>0</v>
      </c>
      <c r="BW63" s="429">
        <f t="shared" si="54"/>
        <v>0</v>
      </c>
      <c r="BX63" s="429">
        <f t="shared" si="55"/>
        <v>0</v>
      </c>
      <c r="BY63" s="346" t="s">
        <v>324</v>
      </c>
      <c r="BZ63" s="346" t="s">
        <v>324</v>
      </c>
      <c r="CA63" s="346" t="s">
        <v>324</v>
      </c>
      <c r="CB63" s="346"/>
      <c r="CC63" s="346" t="s">
        <v>324</v>
      </c>
      <c r="CD63" s="346" t="s">
        <v>324</v>
      </c>
      <c r="CE63" s="346" t="s">
        <v>324</v>
      </c>
      <c r="CF63" s="346" t="s">
        <v>324</v>
      </c>
      <c r="CG63" s="346" t="s">
        <v>324</v>
      </c>
      <c r="CH63" s="346" t="s">
        <v>324</v>
      </c>
      <c r="CI63" s="346" t="s">
        <v>324</v>
      </c>
      <c r="CJ63" s="346"/>
      <c r="CK63" s="346" t="s">
        <v>324</v>
      </c>
      <c r="CL63" s="346" t="s">
        <v>324</v>
      </c>
      <c r="CM63" s="346" t="s">
        <v>324</v>
      </c>
      <c r="CN63" s="346" t="s">
        <v>324</v>
      </c>
      <c r="CO63" s="346" t="s">
        <v>324</v>
      </c>
      <c r="CP63" s="346" t="s">
        <v>324</v>
      </c>
      <c r="CQ63" s="346" t="s">
        <v>324</v>
      </c>
      <c r="CR63" s="346"/>
      <c r="CS63" s="346" t="s">
        <v>324</v>
      </c>
      <c r="CT63" s="346" t="s">
        <v>324</v>
      </c>
      <c r="CU63" s="346" t="s">
        <v>324</v>
      </c>
      <c r="CV63" s="346" t="s">
        <v>324</v>
      </c>
      <c r="CW63" s="346"/>
      <c r="CX63" s="346" t="s">
        <v>324</v>
      </c>
      <c r="CY63" s="346" t="s">
        <v>324</v>
      </c>
      <c r="CZ63" s="346" t="s">
        <v>324</v>
      </c>
      <c r="DA63" s="346"/>
      <c r="DB63" s="346" t="s">
        <v>324</v>
      </c>
      <c r="DC63" s="346" t="s">
        <v>324</v>
      </c>
      <c r="DD63" s="346" t="s">
        <v>324</v>
      </c>
      <c r="DE63" s="346" t="s">
        <v>324</v>
      </c>
      <c r="DF63" s="429">
        <f t="shared" si="56"/>
        <v>0</v>
      </c>
      <c r="DG63" s="429">
        <f t="shared" si="57"/>
        <v>0</v>
      </c>
      <c r="DH63" s="429">
        <f t="shared" si="58"/>
        <v>0</v>
      </c>
      <c r="DI63" s="429"/>
      <c r="DJ63" s="429">
        <f t="shared" si="59"/>
        <v>0</v>
      </c>
      <c r="DK63" s="429">
        <f t="shared" si="60"/>
        <v>0</v>
      </c>
      <c r="DL63" s="429">
        <f t="shared" si="61"/>
        <v>0</v>
      </c>
      <c r="DM63" s="429">
        <f t="shared" si="62"/>
        <v>0</v>
      </c>
      <c r="DN63" s="346" t="s">
        <v>324</v>
      </c>
      <c r="DO63" s="346" t="s">
        <v>324</v>
      </c>
      <c r="DP63" s="346" t="s">
        <v>324</v>
      </c>
      <c r="DQ63" s="346"/>
      <c r="DR63" s="346" t="s">
        <v>324</v>
      </c>
      <c r="DS63" s="346" t="s">
        <v>324</v>
      </c>
      <c r="DT63" s="346" t="s">
        <v>324</v>
      </c>
      <c r="DU63" s="346" t="s">
        <v>324</v>
      </c>
      <c r="DV63" s="346" t="s">
        <v>324</v>
      </c>
      <c r="DW63" s="346" t="s">
        <v>324</v>
      </c>
      <c r="DX63" s="346" t="s">
        <v>324</v>
      </c>
      <c r="DY63" s="346"/>
      <c r="DZ63" s="346" t="s">
        <v>324</v>
      </c>
      <c r="EA63" s="346" t="s">
        <v>324</v>
      </c>
      <c r="EB63" s="346" t="s">
        <v>324</v>
      </c>
      <c r="EC63" s="346" t="s">
        <v>324</v>
      </c>
      <c r="ED63" s="346" t="s">
        <v>394</v>
      </c>
      <c r="EE63" s="346" t="s">
        <v>394</v>
      </c>
      <c r="EF63" s="346" t="s">
        <v>394</v>
      </c>
      <c r="EG63" s="346"/>
      <c r="EH63" s="346" t="s">
        <v>394</v>
      </c>
      <c r="EI63" s="346" t="s">
        <v>394</v>
      </c>
      <c r="EJ63" s="346" t="s">
        <v>394</v>
      </c>
      <c r="EK63" s="346" t="s">
        <v>394</v>
      </c>
      <c r="EL63" s="346" t="s">
        <v>394</v>
      </c>
      <c r="EM63" s="346" t="s">
        <v>394</v>
      </c>
      <c r="EN63" s="346" t="s">
        <v>394</v>
      </c>
      <c r="EO63" s="346"/>
      <c r="EP63" s="346" t="s">
        <v>394</v>
      </c>
      <c r="EQ63" s="346" t="s">
        <v>394</v>
      </c>
      <c r="ER63" s="346" t="s">
        <v>394</v>
      </c>
      <c r="ES63" s="346" t="s">
        <v>394</v>
      </c>
      <c r="ET63" s="346"/>
      <c r="EU63" s="346"/>
      <c r="EV63" s="346"/>
      <c r="EW63" s="346"/>
      <c r="EX63" s="346"/>
      <c r="EY63" s="346"/>
      <c r="EZ63" s="346"/>
      <c r="FA63" s="346"/>
      <c r="FB63" s="346" t="s">
        <v>394</v>
      </c>
      <c r="FC63" s="346" t="s">
        <v>394</v>
      </c>
      <c r="FD63" s="346" t="s">
        <v>394</v>
      </c>
      <c r="FE63" s="346" t="s">
        <v>394</v>
      </c>
      <c r="FF63" s="346" t="s">
        <v>394</v>
      </c>
      <c r="FG63" s="346" t="s">
        <v>394</v>
      </c>
      <c r="FH63" s="346" t="s">
        <v>394</v>
      </c>
      <c r="FI63" s="346" t="s">
        <v>394</v>
      </c>
      <c r="FJ63" s="346" t="s">
        <v>394</v>
      </c>
      <c r="FK63" s="346" t="s">
        <v>394</v>
      </c>
      <c r="FL63" s="346" t="s">
        <v>394</v>
      </c>
      <c r="FM63" s="346" t="s">
        <v>394</v>
      </c>
      <c r="FN63" s="346" t="s">
        <v>394</v>
      </c>
      <c r="FO63" s="346" t="s">
        <v>394</v>
      </c>
      <c r="FP63" s="346" t="s">
        <v>394</v>
      </c>
      <c r="FQ63" s="346" t="s">
        <v>394</v>
      </c>
    </row>
    <row r="64" spans="1:173" s="342" customFormat="1">
      <c r="A64" s="335" t="s">
        <v>915</v>
      </c>
      <c r="B64" s="346" t="s">
        <v>915</v>
      </c>
      <c r="C64" s="346" t="s">
        <v>221</v>
      </c>
      <c r="D64" s="346" t="s">
        <v>870</v>
      </c>
      <c r="E64" s="346" t="s">
        <v>916</v>
      </c>
      <c r="F64" s="425" t="s">
        <v>785</v>
      </c>
      <c r="G64" s="346" t="s">
        <v>324</v>
      </c>
      <c r="H64" s="346" t="s">
        <v>324</v>
      </c>
      <c r="I64" s="346">
        <v>36</v>
      </c>
      <c r="J64" s="346">
        <v>36</v>
      </c>
      <c r="K64" s="422"/>
      <c r="L64" s="422"/>
      <c r="M64" s="422"/>
      <c r="N64" s="346" t="s">
        <v>786</v>
      </c>
      <c r="O64" s="346" t="s">
        <v>324</v>
      </c>
      <c r="P64" s="346" t="s">
        <v>2265</v>
      </c>
      <c r="Q64" s="346" t="s">
        <v>324</v>
      </c>
      <c r="R64" s="346" t="s">
        <v>324</v>
      </c>
      <c r="S64" s="346" t="s">
        <v>917</v>
      </c>
      <c r="T64" s="346" t="s">
        <v>2942</v>
      </c>
      <c r="U64" s="346">
        <v>15</v>
      </c>
      <c r="V64" s="346" cm="1">
        <f t="array" ref="V64">IFERROR(INDEX('Offer Statistics'!$Q$2:$Q$500,MATCH(1,(B64='Offer Statistics'!$B$2:$B$500)*($B$11='Offer Statistics'!$K$2:$K$500),0)),"/")</f>
        <v>12</v>
      </c>
      <c r="W64" s="346" cm="1">
        <f t="array" ref="W64">IFERROR(INDEX('Offer Statistics'!$D$2:$D$500,MATCH(1,(B64='Offer Statistics'!$B$2:$B$500)*($B$11='Offer Statistics'!$K$2:$K$500),0)),"/")</f>
        <v>23</v>
      </c>
      <c r="X64" s="346" cm="1">
        <f t="array" ref="X64">IFERROR(INDEX('Offer Statistics'!$L$2:$L$500,MATCH(1,(B64='Offer Statistics'!$B$2:$B$500)*($B$11='Offer Statistics'!$K$2:$K$500),0)),"/")</f>
        <v>6</v>
      </c>
      <c r="Y64" s="346">
        <f t="shared" si="48"/>
        <v>3.8333333333333335</v>
      </c>
      <c r="Z64" s="346" t="s">
        <v>2941</v>
      </c>
      <c r="AA64" s="346" t="str">
        <f>入學要求!AF73</f>
        <v xml:space="preserve">以下兩科選修取得Lv.3︰生物、化學、DAT、ICT、M1/2、物理 </v>
      </c>
      <c r="AB64" s="346" t="str">
        <f>入學要求!AG73</f>
        <v>/</v>
      </c>
      <c r="AC64" s="425" t="s">
        <v>785</v>
      </c>
      <c r="AD64" s="346" t="s">
        <v>2945</v>
      </c>
      <c r="AE64" s="346" t="s">
        <v>2946</v>
      </c>
      <c r="AF64" s="426" t="s">
        <v>786</v>
      </c>
      <c r="AG64" s="426" t="s">
        <v>324</v>
      </c>
      <c r="AH64" s="426" t="s">
        <v>2265</v>
      </c>
      <c r="AI64" s="426" t="s">
        <v>324</v>
      </c>
      <c r="AJ64" s="346" t="s">
        <v>324</v>
      </c>
      <c r="AK64" s="346" t="s">
        <v>848</v>
      </c>
      <c r="AL64" s="346" t="s">
        <v>714</v>
      </c>
      <c r="AM64" s="346" t="s">
        <v>740</v>
      </c>
      <c r="AN64" s="346" t="s">
        <v>324</v>
      </c>
      <c r="AO64" s="346" t="s">
        <v>394</v>
      </c>
      <c r="AP64" s="346" t="s">
        <v>394</v>
      </c>
      <c r="AQ64" s="346" t="s">
        <v>394</v>
      </c>
      <c r="AR64" s="346" t="s">
        <v>324</v>
      </c>
      <c r="AT64" s="346" t="s">
        <v>716</v>
      </c>
      <c r="AU64" s="346"/>
      <c r="AV64" s="346" t="s">
        <v>713</v>
      </c>
      <c r="AW64" s="346"/>
      <c r="AX64" s="346"/>
      <c r="AY64" s="346"/>
      <c r="AZ64" s="346" t="s">
        <v>324</v>
      </c>
      <c r="BA64" s="346" t="s">
        <v>324</v>
      </c>
      <c r="BB64" s="346" t="s">
        <v>324</v>
      </c>
      <c r="BC64" s="346"/>
      <c r="BD64" s="346" t="s">
        <v>324</v>
      </c>
      <c r="BE64" s="346" t="s">
        <v>324</v>
      </c>
      <c r="BF64" s="346" t="s">
        <v>324</v>
      </c>
      <c r="BG64" s="346" t="s">
        <v>324</v>
      </c>
      <c r="BH64" s="346" t="s">
        <v>915</v>
      </c>
      <c r="BI64" s="346" t="s">
        <v>324</v>
      </c>
      <c r="BJ64" s="346" t="s">
        <v>324</v>
      </c>
      <c r="BK64" s="346" t="s">
        <v>324</v>
      </c>
      <c r="BL64" s="346"/>
      <c r="BM64" s="346" t="s">
        <v>324</v>
      </c>
      <c r="BN64" s="346" t="s">
        <v>324</v>
      </c>
      <c r="BO64" s="346" t="s">
        <v>324</v>
      </c>
      <c r="BP64" s="346" t="s">
        <v>324</v>
      </c>
      <c r="BQ64" s="429">
        <f t="shared" si="49"/>
        <v>0</v>
      </c>
      <c r="BR64" s="429">
        <f t="shared" si="50"/>
        <v>0</v>
      </c>
      <c r="BS64" s="429">
        <f>IFERROR(BK64+0.00000000003,0)</f>
        <v>0</v>
      </c>
      <c r="BT64" s="429"/>
      <c r="BU64" s="429">
        <f t="shared" si="52"/>
        <v>0</v>
      </c>
      <c r="BV64" s="429">
        <f t="shared" si="53"/>
        <v>0</v>
      </c>
      <c r="BW64" s="429">
        <f t="shared" si="54"/>
        <v>0</v>
      </c>
      <c r="BX64" s="429">
        <f t="shared" si="55"/>
        <v>0</v>
      </c>
      <c r="BY64" s="346" t="s">
        <v>324</v>
      </c>
      <c r="BZ64" s="346" t="s">
        <v>324</v>
      </c>
      <c r="CA64" s="346" t="s">
        <v>324</v>
      </c>
      <c r="CB64" s="346"/>
      <c r="CC64" s="346" t="s">
        <v>324</v>
      </c>
      <c r="CD64" s="346" t="s">
        <v>324</v>
      </c>
      <c r="CE64" s="346" t="s">
        <v>324</v>
      </c>
      <c r="CF64" s="346" t="s">
        <v>324</v>
      </c>
      <c r="CG64" s="346" t="s">
        <v>324</v>
      </c>
      <c r="CH64" s="346" t="s">
        <v>324</v>
      </c>
      <c r="CI64" s="346" t="s">
        <v>324</v>
      </c>
      <c r="CJ64" s="346"/>
      <c r="CK64" s="346" t="s">
        <v>324</v>
      </c>
      <c r="CL64" s="346" t="s">
        <v>324</v>
      </c>
      <c r="CM64" s="346" t="s">
        <v>324</v>
      </c>
      <c r="CN64" s="346" t="s">
        <v>324</v>
      </c>
      <c r="CO64" s="346" t="s">
        <v>324</v>
      </c>
      <c r="CP64" s="346" t="s">
        <v>324</v>
      </c>
      <c r="CQ64" s="346" t="s">
        <v>324</v>
      </c>
      <c r="CR64" s="346"/>
      <c r="CS64" s="346" t="s">
        <v>324</v>
      </c>
      <c r="CT64" s="346" t="s">
        <v>324</v>
      </c>
      <c r="CU64" s="346" t="s">
        <v>324</v>
      </c>
      <c r="CV64" s="346" t="s">
        <v>324</v>
      </c>
      <c r="CW64" s="346"/>
      <c r="CX64" s="346" t="s">
        <v>324</v>
      </c>
      <c r="CY64" s="346" t="s">
        <v>324</v>
      </c>
      <c r="CZ64" s="346" t="s">
        <v>324</v>
      </c>
      <c r="DA64" s="346"/>
      <c r="DB64" s="346" t="s">
        <v>324</v>
      </c>
      <c r="DC64" s="346" t="s">
        <v>324</v>
      </c>
      <c r="DD64" s="346" t="s">
        <v>324</v>
      </c>
      <c r="DE64" s="346" t="s">
        <v>324</v>
      </c>
      <c r="DF64" s="429">
        <f t="shared" si="56"/>
        <v>0</v>
      </c>
      <c r="DG64" s="429">
        <f t="shared" si="57"/>
        <v>0</v>
      </c>
      <c r="DH64" s="429">
        <f t="shared" si="58"/>
        <v>0</v>
      </c>
      <c r="DI64" s="429"/>
      <c r="DJ64" s="429">
        <f t="shared" si="59"/>
        <v>0</v>
      </c>
      <c r="DK64" s="429">
        <f t="shared" si="60"/>
        <v>0</v>
      </c>
      <c r="DL64" s="429">
        <f t="shared" si="61"/>
        <v>0</v>
      </c>
      <c r="DM64" s="429">
        <f t="shared" si="62"/>
        <v>0</v>
      </c>
      <c r="DN64" s="346" t="s">
        <v>324</v>
      </c>
      <c r="DO64" s="346" t="s">
        <v>324</v>
      </c>
      <c r="DP64" s="346" t="s">
        <v>324</v>
      </c>
      <c r="DQ64" s="346"/>
      <c r="DR64" s="346" t="s">
        <v>324</v>
      </c>
      <c r="DS64" s="346" t="s">
        <v>324</v>
      </c>
      <c r="DT64" s="346" t="s">
        <v>324</v>
      </c>
      <c r="DU64" s="346" t="s">
        <v>324</v>
      </c>
      <c r="DV64" s="346" t="s">
        <v>324</v>
      </c>
      <c r="DW64" s="346" t="s">
        <v>324</v>
      </c>
      <c r="DX64" s="346" t="s">
        <v>324</v>
      </c>
      <c r="DY64" s="346"/>
      <c r="DZ64" s="346" t="s">
        <v>324</v>
      </c>
      <c r="EA64" s="346" t="s">
        <v>324</v>
      </c>
      <c r="EB64" s="346" t="s">
        <v>324</v>
      </c>
      <c r="EC64" s="346" t="s">
        <v>324</v>
      </c>
      <c r="ED64" s="346" t="s">
        <v>394</v>
      </c>
      <c r="EE64" s="346" t="s">
        <v>394</v>
      </c>
      <c r="EF64" s="346" t="s">
        <v>394</v>
      </c>
      <c r="EG64" s="346"/>
      <c r="EH64" s="346" t="s">
        <v>394</v>
      </c>
      <c r="EI64" s="346" t="s">
        <v>394</v>
      </c>
      <c r="EJ64" s="346" t="s">
        <v>394</v>
      </c>
      <c r="EK64" s="346" t="s">
        <v>394</v>
      </c>
      <c r="EL64" s="346" t="s">
        <v>394</v>
      </c>
      <c r="EM64" s="346" t="s">
        <v>394</v>
      </c>
      <c r="EN64" s="346" t="s">
        <v>394</v>
      </c>
      <c r="EO64" s="346"/>
      <c r="EP64" s="346" t="s">
        <v>394</v>
      </c>
      <c r="EQ64" s="346" t="s">
        <v>394</v>
      </c>
      <c r="ER64" s="346" t="s">
        <v>394</v>
      </c>
      <c r="ES64" s="346" t="s">
        <v>394</v>
      </c>
      <c r="ET64" s="346"/>
      <c r="EU64" s="346"/>
      <c r="EV64" s="346"/>
      <c r="EW64" s="346"/>
      <c r="EX64" s="346"/>
      <c r="EY64" s="346"/>
      <c r="EZ64" s="346"/>
      <c r="FA64" s="346"/>
      <c r="FB64" s="346" t="s">
        <v>394</v>
      </c>
      <c r="FC64" s="346" t="s">
        <v>394</v>
      </c>
      <c r="FD64" s="346" t="s">
        <v>394</v>
      </c>
      <c r="FE64" s="346" t="s">
        <v>394</v>
      </c>
      <c r="FF64" s="346" t="s">
        <v>394</v>
      </c>
      <c r="FG64" s="346" t="s">
        <v>394</v>
      </c>
      <c r="FH64" s="346" t="s">
        <v>394</v>
      </c>
      <c r="FI64" s="346" t="s">
        <v>394</v>
      </c>
      <c r="FJ64" s="346" t="s">
        <v>394</v>
      </c>
      <c r="FK64" s="346" t="s">
        <v>394</v>
      </c>
      <c r="FL64" s="346" t="s">
        <v>394</v>
      </c>
      <c r="FM64" s="346" t="s">
        <v>394</v>
      </c>
      <c r="FN64" s="346" t="s">
        <v>394</v>
      </c>
      <c r="FO64" s="346" t="s">
        <v>394</v>
      </c>
      <c r="FP64" s="346" t="s">
        <v>394</v>
      </c>
      <c r="FQ64" s="346" t="s">
        <v>394</v>
      </c>
    </row>
    <row r="65" spans="1:173" s="342" customFormat="1">
      <c r="A65" s="335" t="s">
        <v>2608</v>
      </c>
      <c r="B65" s="346" t="s">
        <v>2608</v>
      </c>
      <c r="C65" s="346" t="s">
        <v>221</v>
      </c>
      <c r="D65" s="346" t="s">
        <v>2925</v>
      </c>
      <c r="E65" s="346" t="s">
        <v>2610</v>
      </c>
      <c r="F65" s="426" t="s">
        <v>2940</v>
      </c>
      <c r="G65" s="346" t="s">
        <v>324</v>
      </c>
      <c r="H65" s="346" t="s">
        <v>324</v>
      </c>
      <c r="I65" s="346" t="s">
        <v>324</v>
      </c>
      <c r="J65" s="346" t="s">
        <v>324</v>
      </c>
      <c r="K65" s="422"/>
      <c r="L65" s="422"/>
      <c r="M65" s="422"/>
      <c r="N65" s="346" t="s">
        <v>324</v>
      </c>
      <c r="O65" s="346" t="s">
        <v>324</v>
      </c>
      <c r="P65" s="346" t="s">
        <v>324</v>
      </c>
      <c r="Q65" s="346" t="s">
        <v>324</v>
      </c>
      <c r="R65" s="346" t="s">
        <v>324</v>
      </c>
      <c r="S65" s="346" t="s">
        <v>2609</v>
      </c>
      <c r="T65" s="346" t="s">
        <v>2942</v>
      </c>
      <c r="U65" s="346">
        <v>28</v>
      </c>
      <c r="V65" s="346" t="str" cm="1">
        <f t="array" ref="V65">IFERROR(INDEX('Offer Statistics'!$Q$2:$Q$500,MATCH(1,(B65='Offer Statistics'!$B$2:$B$500)*($B$11='Offer Statistics'!$K$2:$K$500),0)),"/")</f>
        <v>/</v>
      </c>
      <c r="W65" s="346" t="str" cm="1">
        <f t="array" ref="W65">IFERROR(INDEX('Offer Statistics'!$D$2:$D$500,MATCH(1,(B65='Offer Statistics'!$B$2:$B$500)*($B$11='Offer Statistics'!$K$2:$K$500),0)),"/")</f>
        <v>/</v>
      </c>
      <c r="X65" s="346" t="str" cm="1">
        <f t="array" ref="X65">IFERROR(INDEX('Offer Statistics'!$L$2:$L$500,MATCH(1,(B65='Offer Statistics'!$B$2:$B$500)*($B$11='Offer Statistics'!$K$2:$K$500),0)),"/")</f>
        <v>/</v>
      </c>
      <c r="Y65" s="346" t="str">
        <f t="shared" si="48"/>
        <v>新科目</v>
      </c>
      <c r="Z65" s="346" t="s">
        <v>2941</v>
      </c>
      <c r="AA65" s="346" t="str">
        <f>入學要求!AF74</f>
        <v>以下一科選修取得Lv.3︰生物、化學、ICT、M1/2、物理</v>
      </c>
      <c r="AB65" s="346" t="str">
        <f>入學要求!AG74</f>
        <v>/</v>
      </c>
      <c r="AC65" s="426" t="s">
        <v>785</v>
      </c>
      <c r="AD65" s="346" t="s">
        <v>2945</v>
      </c>
      <c r="AE65" s="346" t="s">
        <v>2946</v>
      </c>
      <c r="AF65" s="346" t="s">
        <v>324</v>
      </c>
      <c r="AG65" s="346" t="s">
        <v>324</v>
      </c>
      <c r="AH65" s="346" t="s">
        <v>324</v>
      </c>
      <c r="AI65" s="346" t="s">
        <v>324</v>
      </c>
      <c r="AJ65" s="346" t="s">
        <v>324</v>
      </c>
      <c r="AK65" s="346"/>
      <c r="AL65" s="346"/>
      <c r="AM65" s="346"/>
      <c r="AN65" s="346"/>
      <c r="AO65" s="346"/>
      <c r="AP65" s="346"/>
      <c r="AQ65" s="346"/>
      <c r="AR65" s="346"/>
      <c r="AT65" s="346" t="s">
        <v>716</v>
      </c>
      <c r="AU65" s="346"/>
      <c r="AV65" s="346" t="s">
        <v>713</v>
      </c>
      <c r="AW65" s="346"/>
      <c r="AX65" s="346"/>
      <c r="AY65" s="346"/>
      <c r="AZ65" s="346" t="s">
        <v>324</v>
      </c>
      <c r="BA65" s="346" t="s">
        <v>324</v>
      </c>
      <c r="BB65" s="346" t="s">
        <v>324</v>
      </c>
      <c r="BC65" s="346"/>
      <c r="BD65" s="346" t="s">
        <v>324</v>
      </c>
      <c r="BE65" s="346" t="s">
        <v>324</v>
      </c>
      <c r="BF65" s="346" t="s">
        <v>324</v>
      </c>
      <c r="BG65" s="346" t="s">
        <v>324</v>
      </c>
      <c r="BH65" s="346" t="s">
        <v>2608</v>
      </c>
      <c r="BI65" s="346" t="s">
        <v>324</v>
      </c>
      <c r="BJ65" s="346" t="s">
        <v>324</v>
      </c>
      <c r="BK65" s="346" t="s">
        <v>324</v>
      </c>
      <c r="BL65" s="346"/>
      <c r="BM65" s="346" t="s">
        <v>324</v>
      </c>
      <c r="BN65" s="346" t="s">
        <v>324</v>
      </c>
      <c r="BO65" s="346" t="s">
        <v>324</v>
      </c>
      <c r="BP65" s="346" t="s">
        <v>324</v>
      </c>
      <c r="BQ65" s="429"/>
      <c r="BR65" s="429"/>
      <c r="BS65" s="429"/>
      <c r="BT65" s="429"/>
      <c r="BU65" s="429"/>
      <c r="BV65" s="429"/>
      <c r="BW65" s="429"/>
      <c r="BX65" s="429"/>
      <c r="BY65" s="346" t="s">
        <v>324</v>
      </c>
      <c r="BZ65" s="346" t="s">
        <v>324</v>
      </c>
      <c r="CA65" s="346" t="s">
        <v>324</v>
      </c>
      <c r="CB65" s="346"/>
      <c r="CC65" s="346" t="s">
        <v>324</v>
      </c>
      <c r="CD65" s="346" t="s">
        <v>324</v>
      </c>
      <c r="CE65" s="346" t="s">
        <v>324</v>
      </c>
      <c r="CF65" s="346" t="s">
        <v>324</v>
      </c>
      <c r="CG65" s="346" t="s">
        <v>324</v>
      </c>
      <c r="CH65" s="346" t="s">
        <v>324</v>
      </c>
      <c r="CI65" s="346" t="s">
        <v>324</v>
      </c>
      <c r="CJ65" s="346"/>
      <c r="CK65" s="346" t="s">
        <v>324</v>
      </c>
      <c r="CL65" s="346" t="s">
        <v>324</v>
      </c>
      <c r="CM65" s="346" t="s">
        <v>324</v>
      </c>
      <c r="CN65" s="346" t="s">
        <v>324</v>
      </c>
      <c r="CO65" s="346" t="s">
        <v>324</v>
      </c>
      <c r="CP65" s="346" t="s">
        <v>324</v>
      </c>
      <c r="CQ65" s="346" t="s">
        <v>324</v>
      </c>
      <c r="CR65" s="346"/>
      <c r="CS65" s="346" t="s">
        <v>324</v>
      </c>
      <c r="CT65" s="346" t="s">
        <v>324</v>
      </c>
      <c r="CU65" s="346" t="s">
        <v>324</v>
      </c>
      <c r="CV65" s="346" t="s">
        <v>324</v>
      </c>
      <c r="CW65" s="346"/>
      <c r="CX65" s="346" t="s">
        <v>324</v>
      </c>
      <c r="CY65" s="346" t="s">
        <v>324</v>
      </c>
      <c r="CZ65" s="346" t="s">
        <v>324</v>
      </c>
      <c r="DA65" s="346"/>
      <c r="DB65" s="346" t="s">
        <v>324</v>
      </c>
      <c r="DC65" s="346" t="s">
        <v>324</v>
      </c>
      <c r="DD65" s="346" t="s">
        <v>324</v>
      </c>
      <c r="DE65" s="346" t="s">
        <v>324</v>
      </c>
      <c r="DF65" s="429"/>
      <c r="DG65" s="429"/>
      <c r="DH65" s="429"/>
      <c r="DI65" s="429"/>
      <c r="DJ65" s="429"/>
      <c r="DK65" s="429"/>
      <c r="DL65" s="429"/>
      <c r="DM65" s="429"/>
      <c r="DN65" s="346" t="s">
        <v>324</v>
      </c>
      <c r="DO65" s="346" t="s">
        <v>324</v>
      </c>
      <c r="DP65" s="346" t="s">
        <v>324</v>
      </c>
      <c r="DQ65" s="346"/>
      <c r="DR65" s="346" t="s">
        <v>324</v>
      </c>
      <c r="DS65" s="346" t="s">
        <v>324</v>
      </c>
      <c r="DT65" s="346" t="s">
        <v>324</v>
      </c>
      <c r="DU65" s="346" t="s">
        <v>324</v>
      </c>
      <c r="DV65" s="346" t="s">
        <v>324</v>
      </c>
      <c r="DW65" s="346" t="s">
        <v>324</v>
      </c>
      <c r="DX65" s="346" t="s">
        <v>324</v>
      </c>
      <c r="DY65" s="346"/>
      <c r="DZ65" s="346" t="s">
        <v>324</v>
      </c>
      <c r="EA65" s="346" t="s">
        <v>324</v>
      </c>
      <c r="EB65" s="346" t="s">
        <v>324</v>
      </c>
      <c r="EC65" s="346" t="s">
        <v>324</v>
      </c>
      <c r="ED65" s="346"/>
      <c r="EE65" s="346"/>
      <c r="EF65" s="346"/>
      <c r="EG65" s="346"/>
      <c r="EH65" s="346"/>
      <c r="EI65" s="346"/>
      <c r="EJ65" s="346"/>
      <c r="EK65" s="346"/>
      <c r="EL65" s="346"/>
      <c r="EM65" s="346"/>
      <c r="EN65" s="346"/>
      <c r="EO65" s="346"/>
      <c r="EP65" s="346"/>
      <c r="EQ65" s="346"/>
      <c r="ER65" s="346"/>
      <c r="ES65" s="346"/>
      <c r="ET65" s="346"/>
      <c r="EU65" s="346"/>
      <c r="EV65" s="346"/>
      <c r="EW65" s="346"/>
      <c r="EX65" s="346"/>
      <c r="EY65" s="346"/>
      <c r="EZ65" s="346"/>
      <c r="FA65" s="346"/>
      <c r="FB65" s="346"/>
      <c r="FC65" s="346"/>
      <c r="FD65" s="346"/>
      <c r="FE65" s="346"/>
      <c r="FF65" s="346"/>
      <c r="FG65" s="346"/>
      <c r="FH65" s="346"/>
      <c r="FI65" s="346"/>
      <c r="FJ65" s="346"/>
      <c r="FK65" s="346"/>
      <c r="FL65" s="346"/>
      <c r="FM65" s="346"/>
      <c r="FN65" s="346"/>
      <c r="FO65" s="346"/>
      <c r="FP65" s="346"/>
      <c r="FQ65" s="346"/>
    </row>
    <row r="66" spans="1:173" s="342" customFormat="1">
      <c r="A66" s="335" t="s">
        <v>2611</v>
      </c>
      <c r="B66" s="346" t="s">
        <v>2611</v>
      </c>
      <c r="C66" s="346" t="s">
        <v>221</v>
      </c>
      <c r="D66" s="346" t="s">
        <v>870</v>
      </c>
      <c r="E66" s="346" t="s">
        <v>2613</v>
      </c>
      <c r="F66" s="426" t="s">
        <v>2940</v>
      </c>
      <c r="G66" s="346" t="s">
        <v>324</v>
      </c>
      <c r="H66" s="346" t="s">
        <v>324</v>
      </c>
      <c r="I66" s="346" t="s">
        <v>324</v>
      </c>
      <c r="J66" s="346" t="s">
        <v>324</v>
      </c>
      <c r="K66" s="422"/>
      <c r="L66" s="422"/>
      <c r="M66" s="422"/>
      <c r="N66" s="346" t="s">
        <v>324</v>
      </c>
      <c r="O66" s="346" t="s">
        <v>324</v>
      </c>
      <c r="P66" s="346" t="s">
        <v>324</v>
      </c>
      <c r="Q66" s="346" t="s">
        <v>324</v>
      </c>
      <c r="R66" s="346" t="s">
        <v>324</v>
      </c>
      <c r="S66" s="346" t="s">
        <v>2612</v>
      </c>
      <c r="T66" s="346" t="s">
        <v>2942</v>
      </c>
      <c r="U66" s="346">
        <v>16</v>
      </c>
      <c r="V66" s="346" t="str" cm="1">
        <f t="array" ref="V66">IFERROR(INDEX('Offer Statistics'!$Q$2:$Q$500,MATCH(1,(B66='Offer Statistics'!$B$2:$B$500)*($B$11='Offer Statistics'!$K$2:$K$500),0)),"/")</f>
        <v>/</v>
      </c>
      <c r="W66" s="346" t="str" cm="1">
        <f t="array" ref="W66">IFERROR(INDEX('Offer Statistics'!$D$2:$D$500,MATCH(1,(B66='Offer Statistics'!$B$2:$B$500)*($B$11='Offer Statistics'!$K$2:$K$500),0)),"/")</f>
        <v>/</v>
      </c>
      <c r="X66" s="346" t="str" cm="1">
        <f t="array" ref="X66">IFERROR(INDEX('Offer Statistics'!$L$2:$L$500,MATCH(1,(B66='Offer Statistics'!$B$2:$B$500)*($B$11='Offer Statistics'!$K$2:$K$500),0)),"/")</f>
        <v>/</v>
      </c>
      <c r="Y66" s="346" t="str">
        <f t="shared" si="48"/>
        <v>新科目</v>
      </c>
      <c r="Z66" s="346" t="s">
        <v>2941</v>
      </c>
      <c r="AA66" s="346" t="str">
        <f>入學要求!AF75</f>
        <v>以下一科選修取得Lv.3︰生物、化學、DAT、經濟、ICT、M1/2、物理</v>
      </c>
      <c r="AB66" s="346" t="str">
        <f>入學要求!AG75</f>
        <v>/</v>
      </c>
      <c r="AC66" s="425" t="s">
        <v>785</v>
      </c>
      <c r="AD66" s="346" t="s">
        <v>2945</v>
      </c>
      <c r="AE66" s="346" t="s">
        <v>2946</v>
      </c>
      <c r="AF66" s="346" t="s">
        <v>886</v>
      </c>
      <c r="AG66" s="428"/>
      <c r="AH66" s="346" t="s">
        <v>2943</v>
      </c>
      <c r="AI66" s="346" t="s">
        <v>324</v>
      </c>
      <c r="AJ66" s="346" t="s">
        <v>324</v>
      </c>
      <c r="AK66" s="346"/>
      <c r="AL66" s="346"/>
      <c r="AM66" s="346"/>
      <c r="AN66" s="346"/>
      <c r="AO66" s="346"/>
      <c r="AP66" s="346"/>
      <c r="AQ66" s="346"/>
      <c r="AR66" s="346"/>
      <c r="AT66" s="346" t="s">
        <v>716</v>
      </c>
      <c r="AU66" s="346"/>
      <c r="AV66" s="346" t="s">
        <v>713</v>
      </c>
      <c r="AW66" s="346"/>
      <c r="AX66" s="346"/>
      <c r="AY66" s="346"/>
      <c r="AZ66" s="346" t="s">
        <v>324</v>
      </c>
      <c r="BA66" s="346" t="s">
        <v>324</v>
      </c>
      <c r="BB66" s="346" t="s">
        <v>324</v>
      </c>
      <c r="BC66" s="346"/>
      <c r="BD66" s="346" t="s">
        <v>324</v>
      </c>
      <c r="BE66" s="346" t="s">
        <v>324</v>
      </c>
      <c r="BF66" s="346" t="s">
        <v>324</v>
      </c>
      <c r="BG66" s="346" t="s">
        <v>324</v>
      </c>
      <c r="BH66" s="346" t="s">
        <v>2611</v>
      </c>
      <c r="BI66" s="346" t="s">
        <v>324</v>
      </c>
      <c r="BJ66" s="346" t="s">
        <v>324</v>
      </c>
      <c r="BK66" s="346" t="s">
        <v>324</v>
      </c>
      <c r="BL66" s="346"/>
      <c r="BM66" s="346" t="s">
        <v>324</v>
      </c>
      <c r="BN66" s="346" t="s">
        <v>324</v>
      </c>
      <c r="BO66" s="346" t="s">
        <v>324</v>
      </c>
      <c r="BP66" s="346" t="s">
        <v>324</v>
      </c>
      <c r="BQ66" s="429"/>
      <c r="BR66" s="429"/>
      <c r="BS66" s="429"/>
      <c r="BT66" s="429"/>
      <c r="BU66" s="429"/>
      <c r="BV66" s="429"/>
      <c r="BW66" s="429"/>
      <c r="BX66" s="429"/>
      <c r="BY66" s="346" t="s">
        <v>324</v>
      </c>
      <c r="BZ66" s="346" t="s">
        <v>324</v>
      </c>
      <c r="CA66" s="346" t="s">
        <v>324</v>
      </c>
      <c r="CB66" s="346"/>
      <c r="CC66" s="346" t="s">
        <v>324</v>
      </c>
      <c r="CD66" s="346" t="s">
        <v>324</v>
      </c>
      <c r="CE66" s="346" t="s">
        <v>324</v>
      </c>
      <c r="CF66" s="346" t="s">
        <v>324</v>
      </c>
      <c r="CG66" s="346" t="s">
        <v>324</v>
      </c>
      <c r="CH66" s="346" t="s">
        <v>324</v>
      </c>
      <c r="CI66" s="346" t="s">
        <v>324</v>
      </c>
      <c r="CJ66" s="346"/>
      <c r="CK66" s="346" t="s">
        <v>324</v>
      </c>
      <c r="CL66" s="346" t="s">
        <v>324</v>
      </c>
      <c r="CM66" s="346" t="s">
        <v>324</v>
      </c>
      <c r="CN66" s="346" t="s">
        <v>324</v>
      </c>
      <c r="CO66" s="346" t="s">
        <v>324</v>
      </c>
      <c r="CP66" s="346" t="s">
        <v>324</v>
      </c>
      <c r="CQ66" s="346" t="s">
        <v>324</v>
      </c>
      <c r="CR66" s="346"/>
      <c r="CS66" s="346" t="s">
        <v>324</v>
      </c>
      <c r="CT66" s="346" t="s">
        <v>324</v>
      </c>
      <c r="CU66" s="346" t="s">
        <v>324</v>
      </c>
      <c r="CV66" s="346" t="s">
        <v>324</v>
      </c>
      <c r="CW66" s="346"/>
      <c r="CX66" s="346" t="s">
        <v>324</v>
      </c>
      <c r="CY66" s="346" t="s">
        <v>324</v>
      </c>
      <c r="CZ66" s="346" t="s">
        <v>324</v>
      </c>
      <c r="DA66" s="346"/>
      <c r="DB66" s="346" t="s">
        <v>324</v>
      </c>
      <c r="DC66" s="346" t="s">
        <v>324</v>
      </c>
      <c r="DD66" s="346" t="s">
        <v>324</v>
      </c>
      <c r="DE66" s="346" t="s">
        <v>324</v>
      </c>
      <c r="DF66" s="429"/>
      <c r="DG66" s="429"/>
      <c r="DH66" s="429"/>
      <c r="DI66" s="429"/>
      <c r="DJ66" s="429"/>
      <c r="DK66" s="429"/>
      <c r="DL66" s="429"/>
      <c r="DM66" s="429"/>
      <c r="DN66" s="346" t="s">
        <v>324</v>
      </c>
      <c r="DO66" s="346" t="s">
        <v>324</v>
      </c>
      <c r="DP66" s="346" t="s">
        <v>324</v>
      </c>
      <c r="DQ66" s="346"/>
      <c r="DR66" s="346" t="s">
        <v>324</v>
      </c>
      <c r="DS66" s="346" t="s">
        <v>324</v>
      </c>
      <c r="DT66" s="346" t="s">
        <v>324</v>
      </c>
      <c r="DU66" s="346" t="s">
        <v>324</v>
      </c>
      <c r="DV66" s="346" t="s">
        <v>324</v>
      </c>
      <c r="DW66" s="346" t="s">
        <v>324</v>
      </c>
      <c r="DX66" s="346" t="s">
        <v>324</v>
      </c>
      <c r="DY66" s="346"/>
      <c r="DZ66" s="346" t="s">
        <v>324</v>
      </c>
      <c r="EA66" s="346" t="s">
        <v>324</v>
      </c>
      <c r="EB66" s="346" t="s">
        <v>324</v>
      </c>
      <c r="EC66" s="346" t="s">
        <v>324</v>
      </c>
      <c r="ED66" s="346"/>
      <c r="EE66" s="346"/>
      <c r="EF66" s="346"/>
      <c r="EG66" s="346"/>
      <c r="EH66" s="346"/>
      <c r="EI66" s="346"/>
      <c r="EJ66" s="346"/>
      <c r="EK66" s="346"/>
      <c r="EL66" s="346"/>
      <c r="EM66" s="346"/>
      <c r="EN66" s="346"/>
      <c r="EO66" s="346"/>
      <c r="EP66" s="346"/>
      <c r="EQ66" s="346"/>
      <c r="ER66" s="346"/>
      <c r="ES66" s="346"/>
      <c r="ET66" s="346"/>
      <c r="EU66" s="346"/>
      <c r="EV66" s="346"/>
      <c r="EW66" s="346"/>
      <c r="EX66" s="346"/>
      <c r="EY66" s="346"/>
      <c r="EZ66" s="346"/>
      <c r="FA66" s="346"/>
      <c r="FB66" s="346"/>
      <c r="FC66" s="346"/>
      <c r="FD66" s="346"/>
      <c r="FE66" s="346"/>
      <c r="FF66" s="346"/>
      <c r="FG66" s="346"/>
      <c r="FH66" s="346"/>
      <c r="FI66" s="346"/>
      <c r="FJ66" s="346"/>
      <c r="FK66" s="346"/>
      <c r="FL66" s="346"/>
      <c r="FM66" s="346"/>
      <c r="FN66" s="346"/>
      <c r="FO66" s="346"/>
      <c r="FP66" s="346"/>
      <c r="FQ66" s="346"/>
    </row>
    <row r="67" spans="1:173" s="342" customFormat="1">
      <c r="A67" s="335" t="s">
        <v>922</v>
      </c>
      <c r="B67" s="346" t="s">
        <v>922</v>
      </c>
      <c r="C67" s="346" t="s">
        <v>221</v>
      </c>
      <c r="D67" s="346" t="s">
        <v>865</v>
      </c>
      <c r="E67" s="346" t="s">
        <v>923</v>
      </c>
      <c r="F67" s="346" t="s">
        <v>785</v>
      </c>
      <c r="G67" s="346" t="s">
        <v>324</v>
      </c>
      <c r="H67" s="346" t="s">
        <v>324</v>
      </c>
      <c r="I67" s="346">
        <v>21</v>
      </c>
      <c r="J67" s="346">
        <v>20</v>
      </c>
      <c r="K67" s="346"/>
      <c r="L67" s="346"/>
      <c r="M67" s="346"/>
      <c r="N67" s="346" t="s">
        <v>324</v>
      </c>
      <c r="O67" s="346" t="s">
        <v>324</v>
      </c>
      <c r="P67" s="346" t="s">
        <v>324</v>
      </c>
      <c r="Q67" s="346" t="s">
        <v>324</v>
      </c>
      <c r="R67" s="346" t="s">
        <v>324</v>
      </c>
      <c r="S67" s="346" t="s">
        <v>924</v>
      </c>
      <c r="T67" s="346" t="s">
        <v>2942</v>
      </c>
      <c r="U67" s="346">
        <v>10</v>
      </c>
      <c r="V67" s="346" cm="1">
        <f t="array" ref="V67">IFERROR(INDEX('Offer Statistics'!$Q$2:$Q$500,MATCH(1,(B67='Offer Statistics'!$B$2:$B$500)*($B$11='Offer Statistics'!$K$2:$K$500),0)),"/")</f>
        <v>11</v>
      </c>
      <c r="W67" s="346" cm="1">
        <f t="array" ref="W67">IFERROR(INDEX('Offer Statistics'!$D$2:$D$500,MATCH(1,(B67='Offer Statistics'!$B$2:$B$500)*($B$11='Offer Statistics'!$K$2:$K$500),0)),"/")</f>
        <v>98</v>
      </c>
      <c r="X67" s="346" cm="1">
        <f t="array" ref="X67">IFERROR(INDEX('Offer Statistics'!$L$2:$L$500,MATCH(1,(B67='Offer Statistics'!$B$2:$B$500)*($B$11='Offer Statistics'!$K$2:$K$500),0)),"/")</f>
        <v>11</v>
      </c>
      <c r="Y67" s="346">
        <f t="shared" si="48"/>
        <v>8.9090909090909083</v>
      </c>
      <c r="Z67" s="346" t="s">
        <v>2941</v>
      </c>
      <c r="AA67" s="346" t="str">
        <f>入學要求!AF76</f>
        <v>以下一科選修取得Lv.3︰生物、化學、ICT、M1/2、物理</v>
      </c>
      <c r="AB67" s="346" t="str">
        <f>入學要求!AG76</f>
        <v>/</v>
      </c>
      <c r="AC67" s="426" t="s">
        <v>785</v>
      </c>
      <c r="AD67" s="346" t="s">
        <v>2945</v>
      </c>
      <c r="AE67" s="346" t="s">
        <v>2946</v>
      </c>
      <c r="AF67" s="346" t="s">
        <v>324</v>
      </c>
      <c r="AG67" s="346" t="s">
        <v>324</v>
      </c>
      <c r="AH67" s="346" t="s">
        <v>324</v>
      </c>
      <c r="AI67" s="346" t="s">
        <v>324</v>
      </c>
      <c r="AJ67" s="346" t="s">
        <v>324</v>
      </c>
      <c r="AK67" s="346" t="s">
        <v>848</v>
      </c>
      <c r="AL67" s="346" t="s">
        <v>714</v>
      </c>
      <c r="AM67" s="346" t="s">
        <v>881</v>
      </c>
      <c r="AN67" s="346" t="s">
        <v>324</v>
      </c>
      <c r="AO67" s="346" t="s">
        <v>394</v>
      </c>
      <c r="AP67" s="346" t="s">
        <v>394</v>
      </c>
      <c r="AQ67" s="346" t="s">
        <v>394</v>
      </c>
      <c r="AR67" s="346" t="s">
        <v>324</v>
      </c>
      <c r="AT67" s="346" t="s">
        <v>716</v>
      </c>
      <c r="AU67" s="346"/>
      <c r="AV67" s="346" t="s">
        <v>713</v>
      </c>
      <c r="AW67" s="346"/>
      <c r="AX67" s="346"/>
      <c r="AY67" s="346"/>
      <c r="AZ67" s="346" t="s">
        <v>324</v>
      </c>
      <c r="BA67" s="346" t="s">
        <v>324</v>
      </c>
      <c r="BB67" s="346" t="s">
        <v>324</v>
      </c>
      <c r="BC67" s="346"/>
      <c r="BD67" s="346" t="s">
        <v>324</v>
      </c>
      <c r="BE67" s="346" t="s">
        <v>324</v>
      </c>
      <c r="BF67" s="346" t="s">
        <v>324</v>
      </c>
      <c r="BG67" s="346" t="s">
        <v>324</v>
      </c>
      <c r="BH67" s="346" t="s">
        <v>922</v>
      </c>
      <c r="BI67" s="346" t="s">
        <v>324</v>
      </c>
      <c r="BJ67" s="346" t="s">
        <v>324</v>
      </c>
      <c r="BK67" s="346" t="s">
        <v>324</v>
      </c>
      <c r="BL67" s="346"/>
      <c r="BM67" s="346" t="s">
        <v>324</v>
      </c>
      <c r="BN67" s="346" t="s">
        <v>324</v>
      </c>
      <c r="BO67" s="346" t="s">
        <v>324</v>
      </c>
      <c r="BP67" s="346" t="s">
        <v>324</v>
      </c>
      <c r="BQ67" s="429">
        <f t="shared" si="49"/>
        <v>0</v>
      </c>
      <c r="BR67" s="429">
        <f t="shared" si="50"/>
        <v>0</v>
      </c>
      <c r="BS67" s="429">
        <f t="shared" si="51"/>
        <v>0</v>
      </c>
      <c r="BT67" s="429"/>
      <c r="BU67" s="429">
        <f t="shared" si="52"/>
        <v>0</v>
      </c>
      <c r="BV67" s="429">
        <f t="shared" si="53"/>
        <v>0</v>
      </c>
      <c r="BW67" s="429">
        <f t="shared" si="54"/>
        <v>0</v>
      </c>
      <c r="BX67" s="429">
        <f t="shared" si="55"/>
        <v>0</v>
      </c>
      <c r="BY67" s="346" t="s">
        <v>324</v>
      </c>
      <c r="BZ67" s="346" t="s">
        <v>324</v>
      </c>
      <c r="CA67" s="346" t="s">
        <v>324</v>
      </c>
      <c r="CB67" s="346"/>
      <c r="CC67" s="346" t="s">
        <v>324</v>
      </c>
      <c r="CD67" s="346" t="s">
        <v>324</v>
      </c>
      <c r="CE67" s="346" t="s">
        <v>324</v>
      </c>
      <c r="CF67" s="346" t="s">
        <v>324</v>
      </c>
      <c r="CG67" s="346" t="s">
        <v>324</v>
      </c>
      <c r="CH67" s="346" t="s">
        <v>324</v>
      </c>
      <c r="CI67" s="346" t="s">
        <v>324</v>
      </c>
      <c r="CJ67" s="346"/>
      <c r="CK67" s="346" t="s">
        <v>324</v>
      </c>
      <c r="CL67" s="346" t="s">
        <v>324</v>
      </c>
      <c r="CM67" s="346" t="s">
        <v>324</v>
      </c>
      <c r="CN67" s="346" t="s">
        <v>324</v>
      </c>
      <c r="CO67" s="346" t="s">
        <v>324</v>
      </c>
      <c r="CP67" s="346" t="s">
        <v>324</v>
      </c>
      <c r="CQ67" s="346" t="s">
        <v>324</v>
      </c>
      <c r="CR67" s="346"/>
      <c r="CS67" s="346" t="s">
        <v>324</v>
      </c>
      <c r="CT67" s="346" t="s">
        <v>324</v>
      </c>
      <c r="CU67" s="346" t="s">
        <v>324</v>
      </c>
      <c r="CV67" s="346" t="s">
        <v>324</v>
      </c>
      <c r="CW67" s="346"/>
      <c r="CX67" s="346" t="s">
        <v>324</v>
      </c>
      <c r="CY67" s="346" t="s">
        <v>324</v>
      </c>
      <c r="CZ67" s="346" t="s">
        <v>324</v>
      </c>
      <c r="DA67" s="346"/>
      <c r="DB67" s="346" t="s">
        <v>324</v>
      </c>
      <c r="DC67" s="346" t="s">
        <v>324</v>
      </c>
      <c r="DD67" s="346" t="s">
        <v>324</v>
      </c>
      <c r="DE67" s="346" t="s">
        <v>324</v>
      </c>
      <c r="DF67" s="429">
        <f t="shared" si="56"/>
        <v>0</v>
      </c>
      <c r="DG67" s="429">
        <f t="shared" si="57"/>
        <v>0</v>
      </c>
      <c r="DH67" s="429">
        <f t="shared" si="58"/>
        <v>0</v>
      </c>
      <c r="DI67" s="429"/>
      <c r="DJ67" s="429">
        <f t="shared" si="59"/>
        <v>0</v>
      </c>
      <c r="DK67" s="429">
        <f t="shared" si="60"/>
        <v>0</v>
      </c>
      <c r="DL67" s="429">
        <f t="shared" si="61"/>
        <v>0</v>
      </c>
      <c r="DM67" s="429">
        <f t="shared" si="62"/>
        <v>0</v>
      </c>
      <c r="DN67" s="346" t="s">
        <v>324</v>
      </c>
      <c r="DO67" s="346" t="s">
        <v>324</v>
      </c>
      <c r="DP67" s="346" t="s">
        <v>324</v>
      </c>
      <c r="DQ67" s="346"/>
      <c r="DR67" s="346" t="s">
        <v>324</v>
      </c>
      <c r="DS67" s="346" t="s">
        <v>324</v>
      </c>
      <c r="DT67" s="346" t="s">
        <v>324</v>
      </c>
      <c r="DU67" s="346" t="s">
        <v>324</v>
      </c>
      <c r="DV67" s="346" t="s">
        <v>324</v>
      </c>
      <c r="DW67" s="346" t="s">
        <v>324</v>
      </c>
      <c r="DX67" s="346" t="s">
        <v>324</v>
      </c>
      <c r="DY67" s="346"/>
      <c r="DZ67" s="346" t="s">
        <v>324</v>
      </c>
      <c r="EA67" s="346" t="s">
        <v>324</v>
      </c>
      <c r="EB67" s="346" t="s">
        <v>324</v>
      </c>
      <c r="EC67" s="346" t="s">
        <v>324</v>
      </c>
      <c r="ED67" s="346" t="s">
        <v>394</v>
      </c>
      <c r="EE67" s="346" t="s">
        <v>394</v>
      </c>
      <c r="EF67" s="346" t="s">
        <v>394</v>
      </c>
      <c r="EG67" s="346"/>
      <c r="EH67" s="346" t="s">
        <v>394</v>
      </c>
      <c r="EI67" s="346" t="s">
        <v>394</v>
      </c>
      <c r="EJ67" s="346" t="s">
        <v>394</v>
      </c>
      <c r="EK67" s="346" t="s">
        <v>394</v>
      </c>
      <c r="EL67" s="346" t="s">
        <v>394</v>
      </c>
      <c r="EM67" s="346" t="s">
        <v>394</v>
      </c>
      <c r="EN67" s="346" t="s">
        <v>394</v>
      </c>
      <c r="EO67" s="346"/>
      <c r="EP67" s="346" t="s">
        <v>394</v>
      </c>
      <c r="EQ67" s="346" t="s">
        <v>394</v>
      </c>
      <c r="ER67" s="346" t="s">
        <v>394</v>
      </c>
      <c r="ES67" s="346" t="s">
        <v>394</v>
      </c>
      <c r="ET67" s="346"/>
      <c r="EU67" s="346"/>
      <c r="EV67" s="346"/>
      <c r="EW67" s="346"/>
      <c r="EX67" s="346"/>
      <c r="EY67" s="346"/>
      <c r="EZ67" s="346"/>
      <c r="FA67" s="346"/>
      <c r="FB67" s="346" t="s">
        <v>394</v>
      </c>
      <c r="FC67" s="346" t="s">
        <v>394</v>
      </c>
      <c r="FD67" s="346" t="s">
        <v>394</v>
      </c>
      <c r="FE67" s="346" t="s">
        <v>394</v>
      </c>
      <c r="FF67" s="346" t="s">
        <v>394</v>
      </c>
      <c r="FG67" s="346" t="s">
        <v>394</v>
      </c>
      <c r="FH67" s="346" t="s">
        <v>394</v>
      </c>
      <c r="FI67" s="346" t="s">
        <v>394</v>
      </c>
      <c r="FJ67" s="346" t="s">
        <v>394</v>
      </c>
      <c r="FK67" s="346" t="s">
        <v>394</v>
      </c>
      <c r="FL67" s="346" t="s">
        <v>394</v>
      </c>
      <c r="FM67" s="346" t="s">
        <v>394</v>
      </c>
      <c r="FN67" s="346" t="s">
        <v>394</v>
      </c>
      <c r="FO67" s="346" t="s">
        <v>394</v>
      </c>
      <c r="FP67" s="346" t="s">
        <v>394</v>
      </c>
      <c r="FQ67" s="346" t="s">
        <v>394</v>
      </c>
    </row>
    <row r="68" spans="1:173">
      <c r="A68" s="335" t="s">
        <v>925</v>
      </c>
      <c r="B68" s="346" t="s">
        <v>925</v>
      </c>
      <c r="C68" s="346" t="s">
        <v>221</v>
      </c>
      <c r="D68" s="346" t="s">
        <v>926</v>
      </c>
      <c r="E68" s="346" t="s">
        <v>927</v>
      </c>
      <c r="F68" s="346" t="s">
        <v>785</v>
      </c>
      <c r="G68" s="346" t="s">
        <v>324</v>
      </c>
      <c r="H68" s="346" t="s">
        <v>324</v>
      </c>
      <c r="I68" s="346">
        <v>33.5</v>
      </c>
      <c r="J68" s="346">
        <v>32</v>
      </c>
      <c r="K68" s="346"/>
      <c r="L68" s="346"/>
      <c r="M68" s="346"/>
      <c r="N68" s="346" t="s">
        <v>2271</v>
      </c>
      <c r="O68" s="346" t="s">
        <v>324</v>
      </c>
      <c r="P68" s="346" t="s">
        <v>324</v>
      </c>
      <c r="Q68" s="346" t="s">
        <v>324</v>
      </c>
      <c r="R68" s="346" t="s">
        <v>324</v>
      </c>
      <c r="S68" s="346" t="s">
        <v>928</v>
      </c>
      <c r="T68" s="346" t="s">
        <v>2942</v>
      </c>
      <c r="U68" s="346">
        <v>30</v>
      </c>
      <c r="V68" s="346" cm="1">
        <f t="array" ref="V68">IFERROR(INDEX('Offer Statistics'!$Q$2:$Q$500,MATCH(1,(B68='Offer Statistics'!$B$2:$B$500)*($B$11='Offer Statistics'!$K$2:$K$500),0)),"/")</f>
        <v>21</v>
      </c>
      <c r="W68" s="346" cm="1">
        <f t="array" ref="W68">IFERROR(INDEX('Offer Statistics'!$D$2:$D$500,MATCH(1,(B68='Offer Statistics'!$B$2:$B$500)*($B$11='Offer Statistics'!$K$2:$K$500),0)),"/")</f>
        <v>173</v>
      </c>
      <c r="X68" s="346" cm="1">
        <f t="array" ref="X68">IFERROR(INDEX('Offer Statistics'!$L$2:$L$500,MATCH(1,(B68='Offer Statistics'!$B$2:$B$500)*($B$11='Offer Statistics'!$K$2:$K$500),0)),"/")</f>
        <v>21</v>
      </c>
      <c r="Y68" s="346">
        <f t="shared" si="48"/>
        <v>8.2380952380952372</v>
      </c>
      <c r="Z68" s="346" t="s">
        <v>2941</v>
      </c>
      <c r="AA68" s="346" t="str">
        <f>入學要求!AF77</f>
        <v>以下兩科選修取得Lv.3︰生物、化學</v>
      </c>
      <c r="AB68" s="346" t="str">
        <f>入學要求!AG77</f>
        <v>/</v>
      </c>
      <c r="AC68" s="426" t="s">
        <v>785</v>
      </c>
      <c r="AD68" s="346" t="s">
        <v>2945</v>
      </c>
      <c r="AE68" s="346" t="s">
        <v>2946</v>
      </c>
      <c r="AF68" s="346" t="s">
        <v>2271</v>
      </c>
      <c r="AG68" s="346" t="s">
        <v>324</v>
      </c>
      <c r="AH68" s="346" t="s">
        <v>324</v>
      </c>
      <c r="AI68" s="346" t="s">
        <v>324</v>
      </c>
      <c r="AJ68" s="346" t="s">
        <v>324</v>
      </c>
      <c r="AK68" s="346" t="s">
        <v>714</v>
      </c>
      <c r="AL68" s="346" t="s">
        <v>929</v>
      </c>
      <c r="AM68" s="346" t="s">
        <v>930</v>
      </c>
      <c r="AN68" s="346" t="s">
        <v>324</v>
      </c>
      <c r="AO68" s="346" t="s">
        <v>394</v>
      </c>
      <c r="AP68" s="346" t="s">
        <v>394</v>
      </c>
      <c r="AQ68" s="346" t="s">
        <v>394</v>
      </c>
      <c r="AR68" s="346" t="s">
        <v>324</v>
      </c>
      <c r="AT68" s="346" t="s">
        <v>716</v>
      </c>
      <c r="AU68" s="346"/>
      <c r="AV68" s="346" t="s">
        <v>713</v>
      </c>
      <c r="AW68" s="346"/>
      <c r="AX68" s="346"/>
      <c r="AY68" s="346"/>
      <c r="AZ68" s="346" t="s">
        <v>324</v>
      </c>
      <c r="BA68" s="346" t="s">
        <v>324</v>
      </c>
      <c r="BB68" s="346" t="s">
        <v>324</v>
      </c>
      <c r="BC68" s="346"/>
      <c r="BD68" s="346" t="s">
        <v>324</v>
      </c>
      <c r="BE68" s="346" t="s">
        <v>324</v>
      </c>
      <c r="BF68" s="346" t="s">
        <v>324</v>
      </c>
      <c r="BG68" s="346" t="s">
        <v>324</v>
      </c>
      <c r="BH68" s="346" t="s">
        <v>925</v>
      </c>
      <c r="BI68" s="346" t="s">
        <v>324</v>
      </c>
      <c r="BJ68" s="346" t="s">
        <v>324</v>
      </c>
      <c r="BK68" s="346" t="s">
        <v>324</v>
      </c>
      <c r="BL68" s="346"/>
      <c r="BM68" s="346" t="s">
        <v>324</v>
      </c>
      <c r="BN68" s="346" t="s">
        <v>324</v>
      </c>
      <c r="BO68" s="346" t="s">
        <v>324</v>
      </c>
      <c r="BP68" s="346" t="s">
        <v>324</v>
      </c>
      <c r="BQ68" s="429">
        <f t="shared" si="49"/>
        <v>0</v>
      </c>
      <c r="BR68" s="429">
        <f t="shared" si="50"/>
        <v>0</v>
      </c>
      <c r="BS68" s="429">
        <f t="shared" si="51"/>
        <v>0</v>
      </c>
      <c r="BT68" s="429"/>
      <c r="BU68" s="429">
        <f t="shared" si="52"/>
        <v>0</v>
      </c>
      <c r="BV68" s="429">
        <f t="shared" si="53"/>
        <v>0</v>
      </c>
      <c r="BW68" s="429">
        <f t="shared" si="54"/>
        <v>0</v>
      </c>
      <c r="BX68" s="429">
        <f t="shared" si="55"/>
        <v>0</v>
      </c>
      <c r="BY68" s="346" t="s">
        <v>324</v>
      </c>
      <c r="BZ68" s="346" t="s">
        <v>324</v>
      </c>
      <c r="CA68" s="346" t="s">
        <v>324</v>
      </c>
      <c r="CB68" s="346"/>
      <c r="CC68" s="346" t="s">
        <v>324</v>
      </c>
      <c r="CD68" s="346" t="s">
        <v>324</v>
      </c>
      <c r="CE68" s="346" t="s">
        <v>324</v>
      </c>
      <c r="CF68" s="346" t="s">
        <v>324</v>
      </c>
      <c r="CG68" s="346" t="s">
        <v>324</v>
      </c>
      <c r="CH68" s="346" t="s">
        <v>324</v>
      </c>
      <c r="CI68" s="346" t="s">
        <v>324</v>
      </c>
      <c r="CJ68" s="346"/>
      <c r="CK68" s="346" t="s">
        <v>324</v>
      </c>
      <c r="CL68" s="346" t="s">
        <v>324</v>
      </c>
      <c r="CM68" s="346" t="s">
        <v>324</v>
      </c>
      <c r="CN68" s="346" t="s">
        <v>324</v>
      </c>
      <c r="CO68" s="346" t="s">
        <v>324</v>
      </c>
      <c r="CP68" s="346" t="s">
        <v>324</v>
      </c>
      <c r="CQ68" s="346" t="s">
        <v>324</v>
      </c>
      <c r="CR68" s="346"/>
      <c r="CS68" s="346" t="s">
        <v>324</v>
      </c>
      <c r="CT68" s="346" t="s">
        <v>324</v>
      </c>
      <c r="CU68" s="346" t="s">
        <v>324</v>
      </c>
      <c r="CV68" s="346" t="s">
        <v>324</v>
      </c>
      <c r="CW68" s="346"/>
      <c r="CX68" s="346" t="s">
        <v>324</v>
      </c>
      <c r="CY68" s="346" t="s">
        <v>324</v>
      </c>
      <c r="CZ68" s="346" t="s">
        <v>324</v>
      </c>
      <c r="DA68" s="346"/>
      <c r="DB68" s="346" t="s">
        <v>324</v>
      </c>
      <c r="DC68" s="346" t="s">
        <v>324</v>
      </c>
      <c r="DD68" s="346" t="s">
        <v>324</v>
      </c>
      <c r="DE68" s="346" t="s">
        <v>324</v>
      </c>
      <c r="DF68" s="429">
        <f t="shared" si="56"/>
        <v>0</v>
      </c>
      <c r="DG68" s="429">
        <f t="shared" si="57"/>
        <v>0</v>
      </c>
      <c r="DH68" s="429">
        <f t="shared" si="58"/>
        <v>0</v>
      </c>
      <c r="DI68" s="429"/>
      <c r="DJ68" s="429">
        <f t="shared" si="59"/>
        <v>0</v>
      </c>
      <c r="DK68" s="429">
        <f t="shared" si="60"/>
        <v>0</v>
      </c>
      <c r="DL68" s="429">
        <f t="shared" si="61"/>
        <v>0</v>
      </c>
      <c r="DM68" s="429">
        <f t="shared" si="62"/>
        <v>0</v>
      </c>
      <c r="DN68" s="346" t="s">
        <v>324</v>
      </c>
      <c r="DO68" s="346" t="s">
        <v>324</v>
      </c>
      <c r="DP68" s="346" t="s">
        <v>324</v>
      </c>
      <c r="DQ68" s="346"/>
      <c r="DR68" s="346" t="s">
        <v>324</v>
      </c>
      <c r="DS68" s="346" t="s">
        <v>324</v>
      </c>
      <c r="DT68" s="346" t="s">
        <v>324</v>
      </c>
      <c r="DU68" s="346" t="s">
        <v>324</v>
      </c>
      <c r="DV68" s="346" t="s">
        <v>324</v>
      </c>
      <c r="DW68" s="346" t="s">
        <v>324</v>
      </c>
      <c r="DX68" s="346" t="s">
        <v>324</v>
      </c>
      <c r="DY68" s="346"/>
      <c r="DZ68" s="346" t="s">
        <v>324</v>
      </c>
      <c r="EA68" s="346" t="s">
        <v>324</v>
      </c>
      <c r="EB68" s="346" t="s">
        <v>324</v>
      </c>
      <c r="EC68" s="346" t="s">
        <v>324</v>
      </c>
      <c r="ED68" s="346" t="s">
        <v>394</v>
      </c>
      <c r="EE68" s="346" t="s">
        <v>394</v>
      </c>
      <c r="EF68" s="346" t="s">
        <v>394</v>
      </c>
      <c r="EG68" s="346"/>
      <c r="EH68" s="346" t="s">
        <v>394</v>
      </c>
      <c r="EI68" s="346" t="s">
        <v>394</v>
      </c>
      <c r="EJ68" s="346" t="s">
        <v>394</v>
      </c>
      <c r="EK68" s="346" t="s">
        <v>394</v>
      </c>
      <c r="EL68" s="346" t="s">
        <v>394</v>
      </c>
      <c r="EM68" s="346" t="s">
        <v>394</v>
      </c>
      <c r="EN68" s="346" t="s">
        <v>394</v>
      </c>
      <c r="EO68" s="346"/>
      <c r="EP68" s="346" t="s">
        <v>394</v>
      </c>
      <c r="EQ68" s="346" t="s">
        <v>394</v>
      </c>
      <c r="ER68" s="346" t="s">
        <v>394</v>
      </c>
      <c r="ES68" s="346" t="s">
        <v>394</v>
      </c>
      <c r="ET68" s="346"/>
      <c r="EU68" s="346"/>
      <c r="EV68" s="346"/>
      <c r="EW68" s="346"/>
      <c r="EX68" s="346"/>
      <c r="EY68" s="346"/>
      <c r="EZ68" s="346"/>
      <c r="FA68" s="346"/>
      <c r="FB68" s="346" t="s">
        <v>394</v>
      </c>
      <c r="FC68" s="346" t="s">
        <v>394</v>
      </c>
      <c r="FD68" s="346" t="s">
        <v>394</v>
      </c>
      <c r="FE68" s="346" t="s">
        <v>394</v>
      </c>
      <c r="FF68" s="346" t="s">
        <v>394</v>
      </c>
      <c r="FG68" s="346" t="s">
        <v>394</v>
      </c>
      <c r="FH68" s="346" t="s">
        <v>394</v>
      </c>
      <c r="FI68" s="346" t="s">
        <v>394</v>
      </c>
      <c r="FJ68" s="346" t="s">
        <v>394</v>
      </c>
      <c r="FK68" s="346" t="s">
        <v>394</v>
      </c>
      <c r="FL68" s="346" t="s">
        <v>394</v>
      </c>
      <c r="FM68" s="346" t="s">
        <v>394</v>
      </c>
      <c r="FN68" s="346" t="s">
        <v>394</v>
      </c>
      <c r="FO68" s="346" t="s">
        <v>394</v>
      </c>
      <c r="FP68" s="346" t="s">
        <v>394</v>
      </c>
      <c r="FQ68" s="346" t="s">
        <v>394</v>
      </c>
    </row>
    <row r="69" spans="1:173" s="342" customFormat="1">
      <c r="A69" s="335" t="s">
        <v>71</v>
      </c>
      <c r="B69" s="346" t="s">
        <v>71</v>
      </c>
      <c r="C69" s="346" t="s">
        <v>221</v>
      </c>
      <c r="D69" s="346" t="s">
        <v>926</v>
      </c>
      <c r="E69" s="346" t="s">
        <v>931</v>
      </c>
      <c r="F69" s="425" t="s">
        <v>2259</v>
      </c>
      <c r="G69" s="346" t="s">
        <v>324</v>
      </c>
      <c r="H69" s="346" t="s">
        <v>324</v>
      </c>
      <c r="I69" s="346">
        <v>35.5</v>
      </c>
      <c r="J69" s="346">
        <v>34</v>
      </c>
      <c r="K69" s="422"/>
      <c r="L69" s="422"/>
      <c r="M69" s="422"/>
      <c r="N69" s="346" t="s">
        <v>324</v>
      </c>
      <c r="O69" s="346" t="s">
        <v>324</v>
      </c>
      <c r="P69" s="346" t="s">
        <v>2272</v>
      </c>
      <c r="Q69" s="346" t="s">
        <v>2273</v>
      </c>
      <c r="R69" s="346" t="s">
        <v>324</v>
      </c>
      <c r="S69" s="346" t="s">
        <v>932</v>
      </c>
      <c r="T69" s="346" t="s">
        <v>2942</v>
      </c>
      <c r="U69" s="346">
        <v>20</v>
      </c>
      <c r="V69" s="346" cm="1">
        <f t="array" ref="V69">IFERROR(INDEX('Offer Statistics'!$Q$2:$Q$500,MATCH(1,(B69='Offer Statistics'!$B$2:$B$500)*($B$11='Offer Statistics'!$K$2:$K$500),0)),"/")</f>
        <v>23</v>
      </c>
      <c r="W69" s="346" cm="1">
        <f t="array" ref="W69">IFERROR(INDEX('Offer Statistics'!$D$2:$D$500,MATCH(1,(B69='Offer Statistics'!$B$2:$B$500)*($B$11='Offer Statistics'!$K$2:$K$500),0)),"/")</f>
        <v>124</v>
      </c>
      <c r="X69" s="346" cm="1">
        <f t="array" ref="X69">IFERROR(INDEX('Offer Statistics'!$L$2:$L$500,MATCH(1,(B69='Offer Statistics'!$B$2:$B$500)*($B$11='Offer Statistics'!$K$2:$K$500),0)),"/")</f>
        <v>19</v>
      </c>
      <c r="Y69" s="346">
        <f t="shared" si="48"/>
        <v>6.5263157894736841</v>
      </c>
      <c r="Z69" s="346" t="s">
        <v>2941</v>
      </c>
      <c r="AA69" s="346" t="str">
        <f>入學要求!AF78</f>
        <v>以下一科選修取得Lv.3︰生物、化學</v>
      </c>
      <c r="AB69" s="346" t="str">
        <f>入學要求!AG78</f>
        <v>以下一科選修取得Lv.3︰生物、BAFS、化學、DAT、ICT、M1/2、物理</v>
      </c>
      <c r="AC69" s="425" t="s">
        <v>2259</v>
      </c>
      <c r="AD69" s="346" t="s">
        <v>2945</v>
      </c>
      <c r="AE69" s="346" t="s">
        <v>2946</v>
      </c>
      <c r="AF69" s="346" t="s">
        <v>324</v>
      </c>
      <c r="AG69" s="346" t="s">
        <v>324</v>
      </c>
      <c r="AH69" s="346" t="s">
        <v>2272</v>
      </c>
      <c r="AI69" s="346" t="s">
        <v>2273</v>
      </c>
      <c r="AJ69" s="346" t="s">
        <v>324</v>
      </c>
      <c r="AK69" s="346" t="s">
        <v>848</v>
      </c>
      <c r="AL69" s="346" t="s">
        <v>714</v>
      </c>
      <c r="AM69" s="346" t="s">
        <v>800</v>
      </c>
      <c r="AN69" s="346" t="s">
        <v>324</v>
      </c>
      <c r="AO69" s="346" t="s">
        <v>394</v>
      </c>
      <c r="AP69" s="346" t="s">
        <v>394</v>
      </c>
      <c r="AQ69" s="346" t="s">
        <v>394</v>
      </c>
      <c r="AR69" s="346" t="s">
        <v>324</v>
      </c>
      <c r="AT69" s="346" t="s">
        <v>716</v>
      </c>
      <c r="AU69" s="346"/>
      <c r="AV69" s="346" t="s">
        <v>713</v>
      </c>
      <c r="AW69" s="346"/>
      <c r="AX69" s="346"/>
      <c r="AY69" s="346"/>
      <c r="AZ69" s="346" t="s">
        <v>324</v>
      </c>
      <c r="BA69" s="346" t="s">
        <v>324</v>
      </c>
      <c r="BB69" s="346" t="s">
        <v>324</v>
      </c>
      <c r="BC69" s="346"/>
      <c r="BD69" s="346" t="s">
        <v>324</v>
      </c>
      <c r="BE69" s="346" t="s">
        <v>324</v>
      </c>
      <c r="BF69" s="346" t="s">
        <v>324</v>
      </c>
      <c r="BG69" s="346" t="s">
        <v>324</v>
      </c>
      <c r="BH69" s="346" t="s">
        <v>71</v>
      </c>
      <c r="BI69" s="346" t="s">
        <v>324</v>
      </c>
      <c r="BJ69" s="346" t="s">
        <v>324</v>
      </c>
      <c r="BK69" s="346" t="s">
        <v>324</v>
      </c>
      <c r="BL69" s="346"/>
      <c r="BM69" s="346" t="s">
        <v>324</v>
      </c>
      <c r="BN69" s="346" t="s">
        <v>324</v>
      </c>
      <c r="BO69" s="346" t="s">
        <v>324</v>
      </c>
      <c r="BP69" s="346" t="s">
        <v>324</v>
      </c>
      <c r="BQ69" s="429">
        <f t="shared" si="49"/>
        <v>0</v>
      </c>
      <c r="BR69" s="429">
        <f t="shared" si="50"/>
        <v>0</v>
      </c>
      <c r="BS69" s="429">
        <f t="shared" si="51"/>
        <v>0</v>
      </c>
      <c r="BT69" s="429"/>
      <c r="BU69" s="429">
        <f t="shared" si="52"/>
        <v>0</v>
      </c>
      <c r="BV69" s="429">
        <f t="shared" si="53"/>
        <v>0</v>
      </c>
      <c r="BW69" s="429">
        <f t="shared" si="54"/>
        <v>0</v>
      </c>
      <c r="BX69" s="429">
        <f t="shared" si="55"/>
        <v>0</v>
      </c>
      <c r="BY69" s="346" t="s">
        <v>324</v>
      </c>
      <c r="BZ69" s="346" t="s">
        <v>324</v>
      </c>
      <c r="CA69" s="346" t="s">
        <v>324</v>
      </c>
      <c r="CB69" s="346"/>
      <c r="CC69" s="346" t="s">
        <v>324</v>
      </c>
      <c r="CD69" s="346" t="s">
        <v>324</v>
      </c>
      <c r="CE69" s="346" t="s">
        <v>324</v>
      </c>
      <c r="CF69" s="346" t="s">
        <v>324</v>
      </c>
      <c r="CG69" s="346" t="s">
        <v>324</v>
      </c>
      <c r="CH69" s="346" t="s">
        <v>324</v>
      </c>
      <c r="CI69" s="346" t="s">
        <v>324</v>
      </c>
      <c r="CJ69" s="346"/>
      <c r="CK69" s="346" t="s">
        <v>324</v>
      </c>
      <c r="CL69" s="346" t="s">
        <v>324</v>
      </c>
      <c r="CM69" s="346" t="s">
        <v>324</v>
      </c>
      <c r="CN69" s="346" t="s">
        <v>324</v>
      </c>
      <c r="CO69" s="346" t="s">
        <v>324</v>
      </c>
      <c r="CP69" s="346" t="s">
        <v>324</v>
      </c>
      <c r="CQ69" s="346" t="s">
        <v>324</v>
      </c>
      <c r="CR69" s="346"/>
      <c r="CS69" s="346" t="s">
        <v>324</v>
      </c>
      <c r="CT69" s="346" t="s">
        <v>324</v>
      </c>
      <c r="CU69" s="346" t="s">
        <v>324</v>
      </c>
      <c r="CV69" s="346" t="s">
        <v>324</v>
      </c>
      <c r="CW69" s="346"/>
      <c r="CX69" s="346" t="s">
        <v>324</v>
      </c>
      <c r="CY69" s="346" t="s">
        <v>324</v>
      </c>
      <c r="CZ69" s="346" t="s">
        <v>324</v>
      </c>
      <c r="DA69" s="346"/>
      <c r="DB69" s="346" t="s">
        <v>324</v>
      </c>
      <c r="DC69" s="346" t="s">
        <v>324</v>
      </c>
      <c r="DD69" s="346" t="s">
        <v>324</v>
      </c>
      <c r="DE69" s="346" t="s">
        <v>324</v>
      </c>
      <c r="DF69" s="429">
        <f t="shared" si="56"/>
        <v>0</v>
      </c>
      <c r="DG69" s="429">
        <f t="shared" si="57"/>
        <v>0</v>
      </c>
      <c r="DH69" s="429">
        <f t="shared" si="58"/>
        <v>0</v>
      </c>
      <c r="DI69" s="429"/>
      <c r="DJ69" s="429">
        <f t="shared" si="59"/>
        <v>0</v>
      </c>
      <c r="DK69" s="429">
        <f t="shared" si="60"/>
        <v>0</v>
      </c>
      <c r="DL69" s="429">
        <f t="shared" si="61"/>
        <v>0</v>
      </c>
      <c r="DM69" s="429">
        <f t="shared" si="62"/>
        <v>0</v>
      </c>
      <c r="DN69" s="346" t="s">
        <v>324</v>
      </c>
      <c r="DO69" s="346" t="s">
        <v>324</v>
      </c>
      <c r="DP69" s="346" t="s">
        <v>324</v>
      </c>
      <c r="DQ69" s="346"/>
      <c r="DR69" s="346" t="s">
        <v>324</v>
      </c>
      <c r="DS69" s="346" t="s">
        <v>324</v>
      </c>
      <c r="DT69" s="346" t="s">
        <v>324</v>
      </c>
      <c r="DU69" s="346" t="s">
        <v>324</v>
      </c>
      <c r="DV69" s="346" t="s">
        <v>324</v>
      </c>
      <c r="DW69" s="346" t="s">
        <v>324</v>
      </c>
      <c r="DX69" s="346" t="s">
        <v>324</v>
      </c>
      <c r="DY69" s="346"/>
      <c r="DZ69" s="346" t="s">
        <v>324</v>
      </c>
      <c r="EA69" s="346" t="s">
        <v>324</v>
      </c>
      <c r="EB69" s="346" t="s">
        <v>324</v>
      </c>
      <c r="EC69" s="346" t="s">
        <v>324</v>
      </c>
      <c r="ED69" s="346" t="s">
        <v>394</v>
      </c>
      <c r="EE69" s="346" t="s">
        <v>394</v>
      </c>
      <c r="EF69" s="346" t="s">
        <v>394</v>
      </c>
      <c r="EG69" s="346"/>
      <c r="EH69" s="346" t="s">
        <v>394</v>
      </c>
      <c r="EI69" s="346" t="s">
        <v>394</v>
      </c>
      <c r="EJ69" s="346" t="s">
        <v>394</v>
      </c>
      <c r="EK69" s="346" t="s">
        <v>394</v>
      </c>
      <c r="EL69" s="346" t="s">
        <v>394</v>
      </c>
      <c r="EM69" s="346" t="s">
        <v>394</v>
      </c>
      <c r="EN69" s="346" t="s">
        <v>394</v>
      </c>
      <c r="EO69" s="346"/>
      <c r="EP69" s="346" t="s">
        <v>394</v>
      </c>
      <c r="EQ69" s="346" t="s">
        <v>394</v>
      </c>
      <c r="ER69" s="346" t="s">
        <v>394</v>
      </c>
      <c r="ES69" s="346" t="s">
        <v>394</v>
      </c>
      <c r="ET69" s="346"/>
      <c r="EU69" s="346"/>
      <c r="EV69" s="346"/>
      <c r="EW69" s="346"/>
      <c r="EX69" s="346"/>
      <c r="EY69" s="346"/>
      <c r="EZ69" s="346"/>
      <c r="FA69" s="346"/>
      <c r="FB69" s="346" t="s">
        <v>394</v>
      </c>
      <c r="FC69" s="346" t="s">
        <v>394</v>
      </c>
      <c r="FD69" s="346" t="s">
        <v>394</v>
      </c>
      <c r="FE69" s="346" t="s">
        <v>394</v>
      </c>
      <c r="FF69" s="346" t="s">
        <v>394</v>
      </c>
      <c r="FG69" s="346" t="s">
        <v>394</v>
      </c>
      <c r="FH69" s="346" t="s">
        <v>394</v>
      </c>
      <c r="FI69" s="346" t="s">
        <v>394</v>
      </c>
      <c r="FJ69" s="346" t="s">
        <v>394</v>
      </c>
      <c r="FK69" s="346" t="s">
        <v>394</v>
      </c>
      <c r="FL69" s="346" t="s">
        <v>394</v>
      </c>
      <c r="FM69" s="346" t="s">
        <v>394</v>
      </c>
      <c r="FN69" s="346" t="s">
        <v>394</v>
      </c>
      <c r="FO69" s="346" t="s">
        <v>394</v>
      </c>
      <c r="FP69" s="346" t="s">
        <v>394</v>
      </c>
      <c r="FQ69" s="346" t="s">
        <v>394</v>
      </c>
    </row>
    <row r="70" spans="1:173" s="342" customFormat="1">
      <c r="A70" s="335" t="s">
        <v>933</v>
      </c>
      <c r="B70" s="346" t="s">
        <v>933</v>
      </c>
      <c r="C70" s="346" t="s">
        <v>221</v>
      </c>
      <c r="D70" s="346" t="s">
        <v>926</v>
      </c>
      <c r="E70" s="346" t="s">
        <v>934</v>
      </c>
      <c r="F70" s="425" t="s">
        <v>2259</v>
      </c>
      <c r="G70" s="346" t="s">
        <v>324</v>
      </c>
      <c r="H70" s="346" t="s">
        <v>324</v>
      </c>
      <c r="I70" s="346">
        <v>33.5</v>
      </c>
      <c r="J70" s="346">
        <v>33</v>
      </c>
      <c r="K70" s="422"/>
      <c r="L70" s="422"/>
      <c r="M70" s="422"/>
      <c r="N70" s="346" t="s">
        <v>324</v>
      </c>
      <c r="O70" s="346" t="s">
        <v>324</v>
      </c>
      <c r="P70" s="346" t="s">
        <v>2272</v>
      </c>
      <c r="Q70" s="346" t="s">
        <v>2273</v>
      </c>
      <c r="R70" s="346" t="s">
        <v>324</v>
      </c>
      <c r="S70" s="346" t="s">
        <v>935</v>
      </c>
      <c r="T70" s="346" t="s">
        <v>2942</v>
      </c>
      <c r="U70" s="346">
        <v>30</v>
      </c>
      <c r="V70" s="346" cm="1">
        <f t="array" ref="V70">IFERROR(INDEX('Offer Statistics'!$Q$2:$Q$500,MATCH(1,(B70='Offer Statistics'!$B$2:$B$500)*($B$11='Offer Statistics'!$K$2:$K$500),0)),"/")</f>
        <v>29</v>
      </c>
      <c r="W70" s="346" cm="1">
        <f t="array" ref="W70">IFERROR(INDEX('Offer Statistics'!$D$2:$D$500,MATCH(1,(B70='Offer Statistics'!$B$2:$B$500)*($B$11='Offer Statistics'!$K$2:$K$500),0)),"/")</f>
        <v>202</v>
      </c>
      <c r="X70" s="346" cm="1">
        <f t="array" ref="X70">IFERROR(INDEX('Offer Statistics'!$L$2:$L$500,MATCH(1,(B70='Offer Statistics'!$B$2:$B$500)*($B$11='Offer Statistics'!$K$2:$K$500),0)),"/")</f>
        <v>24</v>
      </c>
      <c r="Y70" s="346">
        <f t="shared" si="48"/>
        <v>8.4166666666666661</v>
      </c>
      <c r="Z70" s="346" t="s">
        <v>2941</v>
      </c>
      <c r="AA70" s="346" t="str">
        <f>入學要求!AF79</f>
        <v>以下一科選修取得Lv.3︰生物、化學</v>
      </c>
      <c r="AB70" s="346" t="str">
        <f>入學要求!AG79</f>
        <v>以下一科選修取得Lv.3︰生物、BAFS、化學、DAT、ICT、M1/2、物理</v>
      </c>
      <c r="AC70" s="425" t="s">
        <v>2259</v>
      </c>
      <c r="AD70" s="346" t="s">
        <v>2945</v>
      </c>
      <c r="AE70" s="346" t="s">
        <v>2946</v>
      </c>
      <c r="AF70" s="346" t="s">
        <v>324</v>
      </c>
      <c r="AG70" s="346" t="s">
        <v>324</v>
      </c>
      <c r="AH70" s="346" t="s">
        <v>2272</v>
      </c>
      <c r="AI70" s="346" t="s">
        <v>2273</v>
      </c>
      <c r="AJ70" s="346" t="s">
        <v>324</v>
      </c>
      <c r="AK70" s="346" t="s">
        <v>848</v>
      </c>
      <c r="AL70" s="346" t="s">
        <v>714</v>
      </c>
      <c r="AM70" s="346" t="s">
        <v>800</v>
      </c>
      <c r="AN70" s="346" t="s">
        <v>324</v>
      </c>
      <c r="AO70" s="346" t="s">
        <v>394</v>
      </c>
      <c r="AP70" s="346" t="s">
        <v>394</v>
      </c>
      <c r="AQ70" s="346" t="s">
        <v>394</v>
      </c>
      <c r="AR70" s="346" t="s">
        <v>324</v>
      </c>
      <c r="AT70" s="346" t="s">
        <v>716</v>
      </c>
      <c r="AU70" s="346"/>
      <c r="AV70" s="346" t="s">
        <v>713</v>
      </c>
      <c r="AW70" s="346"/>
      <c r="AX70" s="346"/>
      <c r="AY70" s="346"/>
      <c r="AZ70" s="346" t="s">
        <v>324</v>
      </c>
      <c r="BA70" s="346" t="s">
        <v>324</v>
      </c>
      <c r="BB70" s="346" t="s">
        <v>324</v>
      </c>
      <c r="BC70" s="346"/>
      <c r="BD70" s="346" t="s">
        <v>324</v>
      </c>
      <c r="BE70" s="346" t="s">
        <v>324</v>
      </c>
      <c r="BF70" s="346" t="s">
        <v>324</v>
      </c>
      <c r="BG70" s="346" t="s">
        <v>324</v>
      </c>
      <c r="BH70" s="346" t="s">
        <v>933</v>
      </c>
      <c r="BI70" s="346" t="s">
        <v>324</v>
      </c>
      <c r="BJ70" s="346" t="s">
        <v>324</v>
      </c>
      <c r="BK70" s="346" t="s">
        <v>324</v>
      </c>
      <c r="BL70" s="346"/>
      <c r="BM70" s="346" t="s">
        <v>324</v>
      </c>
      <c r="BN70" s="346" t="s">
        <v>324</v>
      </c>
      <c r="BO70" s="346" t="s">
        <v>324</v>
      </c>
      <c r="BP70" s="346" t="s">
        <v>324</v>
      </c>
      <c r="BQ70" s="429">
        <f t="shared" si="49"/>
        <v>0</v>
      </c>
      <c r="BR70" s="429">
        <f t="shared" si="50"/>
        <v>0</v>
      </c>
      <c r="BS70" s="429">
        <f t="shared" si="51"/>
        <v>0</v>
      </c>
      <c r="BT70" s="429"/>
      <c r="BU70" s="429">
        <f t="shared" si="52"/>
        <v>0</v>
      </c>
      <c r="BV70" s="429">
        <f t="shared" si="53"/>
        <v>0</v>
      </c>
      <c r="BW70" s="429">
        <f t="shared" si="54"/>
        <v>0</v>
      </c>
      <c r="BX70" s="429">
        <f t="shared" si="55"/>
        <v>0</v>
      </c>
      <c r="BY70" s="346" t="s">
        <v>324</v>
      </c>
      <c r="BZ70" s="346" t="s">
        <v>324</v>
      </c>
      <c r="CA70" s="346" t="s">
        <v>324</v>
      </c>
      <c r="CB70" s="346"/>
      <c r="CC70" s="346" t="s">
        <v>324</v>
      </c>
      <c r="CD70" s="346" t="s">
        <v>324</v>
      </c>
      <c r="CE70" s="346" t="s">
        <v>324</v>
      </c>
      <c r="CF70" s="346" t="s">
        <v>324</v>
      </c>
      <c r="CG70" s="346" t="s">
        <v>324</v>
      </c>
      <c r="CH70" s="346" t="s">
        <v>324</v>
      </c>
      <c r="CI70" s="346" t="s">
        <v>324</v>
      </c>
      <c r="CJ70" s="346"/>
      <c r="CK70" s="346" t="s">
        <v>324</v>
      </c>
      <c r="CL70" s="346" t="s">
        <v>324</v>
      </c>
      <c r="CM70" s="346" t="s">
        <v>324</v>
      </c>
      <c r="CN70" s="346" t="s">
        <v>324</v>
      </c>
      <c r="CO70" s="346" t="s">
        <v>324</v>
      </c>
      <c r="CP70" s="346" t="s">
        <v>324</v>
      </c>
      <c r="CQ70" s="346" t="s">
        <v>324</v>
      </c>
      <c r="CR70" s="346"/>
      <c r="CS70" s="346" t="s">
        <v>324</v>
      </c>
      <c r="CT70" s="346" t="s">
        <v>324</v>
      </c>
      <c r="CU70" s="346" t="s">
        <v>324</v>
      </c>
      <c r="CV70" s="346" t="s">
        <v>324</v>
      </c>
      <c r="CW70" s="346"/>
      <c r="CX70" s="346" t="s">
        <v>324</v>
      </c>
      <c r="CY70" s="346" t="s">
        <v>324</v>
      </c>
      <c r="CZ70" s="346" t="s">
        <v>324</v>
      </c>
      <c r="DA70" s="346"/>
      <c r="DB70" s="346" t="s">
        <v>324</v>
      </c>
      <c r="DC70" s="346" t="s">
        <v>324</v>
      </c>
      <c r="DD70" s="346" t="s">
        <v>324</v>
      </c>
      <c r="DE70" s="346" t="s">
        <v>324</v>
      </c>
      <c r="DF70" s="429">
        <f t="shared" si="56"/>
        <v>0</v>
      </c>
      <c r="DG70" s="429">
        <f t="shared" si="57"/>
        <v>0</v>
      </c>
      <c r="DH70" s="429">
        <f t="shared" si="58"/>
        <v>0</v>
      </c>
      <c r="DI70" s="429"/>
      <c r="DJ70" s="429">
        <f t="shared" si="59"/>
        <v>0</v>
      </c>
      <c r="DK70" s="429">
        <f t="shared" si="60"/>
        <v>0</v>
      </c>
      <c r="DL70" s="429">
        <f t="shared" si="61"/>
        <v>0</v>
      </c>
      <c r="DM70" s="429">
        <f t="shared" si="62"/>
        <v>0</v>
      </c>
      <c r="DN70" s="346" t="s">
        <v>324</v>
      </c>
      <c r="DO70" s="346" t="s">
        <v>324</v>
      </c>
      <c r="DP70" s="346" t="s">
        <v>324</v>
      </c>
      <c r="DQ70" s="346"/>
      <c r="DR70" s="346" t="s">
        <v>324</v>
      </c>
      <c r="DS70" s="346" t="s">
        <v>324</v>
      </c>
      <c r="DT70" s="346" t="s">
        <v>324</v>
      </c>
      <c r="DU70" s="346" t="s">
        <v>324</v>
      </c>
      <c r="DV70" s="346" t="s">
        <v>324</v>
      </c>
      <c r="DW70" s="346" t="s">
        <v>324</v>
      </c>
      <c r="DX70" s="346" t="s">
        <v>324</v>
      </c>
      <c r="DY70" s="346"/>
      <c r="DZ70" s="346" t="s">
        <v>324</v>
      </c>
      <c r="EA70" s="346" t="s">
        <v>324</v>
      </c>
      <c r="EB70" s="346" t="s">
        <v>324</v>
      </c>
      <c r="EC70" s="346" t="s">
        <v>324</v>
      </c>
      <c r="ED70" s="346" t="s">
        <v>394</v>
      </c>
      <c r="EE70" s="346" t="s">
        <v>394</v>
      </c>
      <c r="EF70" s="346" t="s">
        <v>394</v>
      </c>
      <c r="EG70" s="346"/>
      <c r="EH70" s="346" t="s">
        <v>394</v>
      </c>
      <c r="EI70" s="346" t="s">
        <v>394</v>
      </c>
      <c r="EJ70" s="346" t="s">
        <v>394</v>
      </c>
      <c r="EK70" s="346" t="s">
        <v>394</v>
      </c>
      <c r="EL70" s="346" t="s">
        <v>394</v>
      </c>
      <c r="EM70" s="346" t="s">
        <v>394</v>
      </c>
      <c r="EN70" s="346" t="s">
        <v>394</v>
      </c>
      <c r="EO70" s="346"/>
      <c r="EP70" s="346" t="s">
        <v>394</v>
      </c>
      <c r="EQ70" s="346" t="s">
        <v>394</v>
      </c>
      <c r="ER70" s="346" t="s">
        <v>394</v>
      </c>
      <c r="ES70" s="346" t="s">
        <v>394</v>
      </c>
      <c r="ET70" s="346"/>
      <c r="EU70" s="346"/>
      <c r="EV70" s="346"/>
      <c r="EW70" s="346"/>
      <c r="EX70" s="346"/>
      <c r="EY70" s="346"/>
      <c r="EZ70" s="346"/>
      <c r="FA70" s="346"/>
      <c r="FB70" s="346" t="s">
        <v>394</v>
      </c>
      <c r="FC70" s="346" t="s">
        <v>394</v>
      </c>
      <c r="FD70" s="346" t="s">
        <v>394</v>
      </c>
      <c r="FE70" s="346" t="s">
        <v>394</v>
      </c>
      <c r="FF70" s="346" t="s">
        <v>394</v>
      </c>
      <c r="FG70" s="346" t="s">
        <v>394</v>
      </c>
      <c r="FH70" s="346" t="s">
        <v>394</v>
      </c>
      <c r="FI70" s="346" t="s">
        <v>394</v>
      </c>
      <c r="FJ70" s="346" t="s">
        <v>394</v>
      </c>
      <c r="FK70" s="346" t="s">
        <v>394</v>
      </c>
      <c r="FL70" s="346" t="s">
        <v>394</v>
      </c>
      <c r="FM70" s="346" t="s">
        <v>394</v>
      </c>
      <c r="FN70" s="346" t="s">
        <v>394</v>
      </c>
      <c r="FO70" s="346" t="s">
        <v>394</v>
      </c>
      <c r="FP70" s="346" t="s">
        <v>394</v>
      </c>
      <c r="FQ70" s="346" t="s">
        <v>394</v>
      </c>
    </row>
    <row r="71" spans="1:173" s="342" customFormat="1">
      <c r="A71" s="335" t="s">
        <v>145</v>
      </c>
      <c r="B71" s="346" t="s">
        <v>145</v>
      </c>
      <c r="C71" s="346" t="s">
        <v>221</v>
      </c>
      <c r="D71" s="346" t="s">
        <v>926</v>
      </c>
      <c r="E71" s="346" t="s">
        <v>936</v>
      </c>
      <c r="F71" s="425" t="s">
        <v>2259</v>
      </c>
      <c r="G71" s="346" t="s">
        <v>324</v>
      </c>
      <c r="H71" s="346" t="s">
        <v>324</v>
      </c>
      <c r="I71" s="346">
        <v>42</v>
      </c>
      <c r="J71" s="346">
        <v>40</v>
      </c>
      <c r="K71" s="422"/>
      <c r="L71" s="422"/>
      <c r="M71" s="422"/>
      <c r="N71" s="346" t="s">
        <v>324</v>
      </c>
      <c r="O71" s="346" t="s">
        <v>324</v>
      </c>
      <c r="P71" s="346" t="s">
        <v>2272</v>
      </c>
      <c r="Q71" s="346" t="s">
        <v>2273</v>
      </c>
      <c r="R71" s="346" t="s">
        <v>324</v>
      </c>
      <c r="S71" s="346" t="s">
        <v>937</v>
      </c>
      <c r="T71" s="346" t="s">
        <v>2942</v>
      </c>
      <c r="U71" s="346">
        <v>30</v>
      </c>
      <c r="V71" s="346" cm="1">
        <f t="array" ref="V71">IFERROR(INDEX('Offer Statistics'!$Q$2:$Q$500,MATCH(1,(B71='Offer Statistics'!$B$2:$B$500)*($B$11='Offer Statistics'!$K$2:$K$500),0)),"/")</f>
        <v>29</v>
      </c>
      <c r="W71" s="346" cm="1">
        <f t="array" ref="W71">IFERROR(INDEX('Offer Statistics'!$D$2:$D$500,MATCH(1,(B71='Offer Statistics'!$B$2:$B$500)*($B$11='Offer Statistics'!$K$2:$K$500),0)),"/")</f>
        <v>130</v>
      </c>
      <c r="X71" s="346" cm="1">
        <f t="array" ref="X71">IFERROR(INDEX('Offer Statistics'!$L$2:$L$500,MATCH(1,(B71='Offer Statistics'!$B$2:$B$500)*($B$11='Offer Statistics'!$K$2:$K$500),0)),"/")</f>
        <v>26</v>
      </c>
      <c r="Y71" s="346">
        <f t="shared" si="48"/>
        <v>5</v>
      </c>
      <c r="Z71" s="346" t="s">
        <v>2941</v>
      </c>
      <c r="AA71" s="346" t="str">
        <f>入學要求!AF80</f>
        <v>以下一科選修取得Lv.3︰生物、化學</v>
      </c>
      <c r="AB71" s="346" t="str">
        <f>入學要求!AG80</f>
        <v>以下一科選修取得Lv.3︰生物、BAFS、化學、DAT、ICT、M1/2、物理</v>
      </c>
      <c r="AC71" s="425" t="s">
        <v>2259</v>
      </c>
      <c r="AD71" s="346" t="s">
        <v>2945</v>
      </c>
      <c r="AE71" s="346" t="s">
        <v>2946</v>
      </c>
      <c r="AF71" s="346" t="s">
        <v>324</v>
      </c>
      <c r="AG71" s="346" t="s">
        <v>324</v>
      </c>
      <c r="AH71" s="346" t="s">
        <v>2272</v>
      </c>
      <c r="AI71" s="346" t="s">
        <v>2273</v>
      </c>
      <c r="AJ71" s="346" t="s">
        <v>324</v>
      </c>
      <c r="AK71" s="346" t="s">
        <v>848</v>
      </c>
      <c r="AL71" s="346" t="s">
        <v>714</v>
      </c>
      <c r="AM71" s="346" t="s">
        <v>800</v>
      </c>
      <c r="AN71" s="346" t="s">
        <v>394</v>
      </c>
      <c r="AO71" s="346" t="s">
        <v>394</v>
      </c>
      <c r="AP71" s="346" t="s">
        <v>394</v>
      </c>
      <c r="AQ71" s="346" t="s">
        <v>394</v>
      </c>
      <c r="AR71" s="346" t="s">
        <v>324</v>
      </c>
      <c r="AT71" s="346" t="s">
        <v>716</v>
      </c>
      <c r="AU71" s="346"/>
      <c r="AV71" s="346" t="s">
        <v>713</v>
      </c>
      <c r="AW71" s="346"/>
      <c r="AX71" s="346"/>
      <c r="AY71" s="346"/>
      <c r="AZ71" s="346" t="s">
        <v>324</v>
      </c>
      <c r="BA71" s="346" t="s">
        <v>324</v>
      </c>
      <c r="BB71" s="346" t="s">
        <v>324</v>
      </c>
      <c r="BC71" s="346"/>
      <c r="BD71" s="346" t="s">
        <v>324</v>
      </c>
      <c r="BE71" s="346" t="s">
        <v>324</v>
      </c>
      <c r="BF71" s="346" t="s">
        <v>324</v>
      </c>
      <c r="BG71" s="346" t="s">
        <v>324</v>
      </c>
      <c r="BH71" s="346" t="s">
        <v>145</v>
      </c>
      <c r="BI71" s="346" t="s">
        <v>324</v>
      </c>
      <c r="BJ71" s="346" t="s">
        <v>324</v>
      </c>
      <c r="BK71" s="346" t="s">
        <v>324</v>
      </c>
      <c r="BL71" s="346"/>
      <c r="BM71" s="346" t="s">
        <v>324</v>
      </c>
      <c r="BN71" s="346" t="s">
        <v>324</v>
      </c>
      <c r="BO71" s="346" t="s">
        <v>324</v>
      </c>
      <c r="BP71" s="346" t="s">
        <v>324</v>
      </c>
      <c r="BQ71" s="429">
        <f t="shared" si="49"/>
        <v>0</v>
      </c>
      <c r="BR71" s="429">
        <f t="shared" si="50"/>
        <v>0</v>
      </c>
      <c r="BS71" s="429">
        <f t="shared" si="51"/>
        <v>0</v>
      </c>
      <c r="BT71" s="429"/>
      <c r="BU71" s="429">
        <f t="shared" si="52"/>
        <v>0</v>
      </c>
      <c r="BV71" s="429">
        <f t="shared" si="53"/>
        <v>0</v>
      </c>
      <c r="BW71" s="429">
        <f t="shared" si="54"/>
        <v>0</v>
      </c>
      <c r="BX71" s="429">
        <f t="shared" si="55"/>
        <v>0</v>
      </c>
      <c r="BY71" s="346" t="s">
        <v>324</v>
      </c>
      <c r="BZ71" s="346" t="s">
        <v>324</v>
      </c>
      <c r="CA71" s="346" t="s">
        <v>324</v>
      </c>
      <c r="CB71" s="346"/>
      <c r="CC71" s="346" t="s">
        <v>324</v>
      </c>
      <c r="CD71" s="346" t="s">
        <v>324</v>
      </c>
      <c r="CE71" s="346" t="s">
        <v>324</v>
      </c>
      <c r="CF71" s="346" t="s">
        <v>324</v>
      </c>
      <c r="CG71" s="346" t="s">
        <v>324</v>
      </c>
      <c r="CH71" s="346" t="s">
        <v>324</v>
      </c>
      <c r="CI71" s="346" t="s">
        <v>324</v>
      </c>
      <c r="CJ71" s="346"/>
      <c r="CK71" s="346" t="s">
        <v>324</v>
      </c>
      <c r="CL71" s="346" t="s">
        <v>324</v>
      </c>
      <c r="CM71" s="346" t="s">
        <v>324</v>
      </c>
      <c r="CN71" s="346" t="s">
        <v>324</v>
      </c>
      <c r="CO71" s="346" t="s">
        <v>324</v>
      </c>
      <c r="CP71" s="346" t="s">
        <v>324</v>
      </c>
      <c r="CQ71" s="346" t="s">
        <v>324</v>
      </c>
      <c r="CR71" s="346"/>
      <c r="CS71" s="346" t="s">
        <v>324</v>
      </c>
      <c r="CT71" s="346" t="s">
        <v>324</v>
      </c>
      <c r="CU71" s="346" t="s">
        <v>324</v>
      </c>
      <c r="CV71" s="346" t="s">
        <v>324</v>
      </c>
      <c r="CW71" s="346"/>
      <c r="CX71" s="346" t="s">
        <v>324</v>
      </c>
      <c r="CY71" s="346" t="s">
        <v>324</v>
      </c>
      <c r="CZ71" s="346" t="s">
        <v>324</v>
      </c>
      <c r="DA71" s="346"/>
      <c r="DB71" s="346" t="s">
        <v>324</v>
      </c>
      <c r="DC71" s="346" t="s">
        <v>324</v>
      </c>
      <c r="DD71" s="346" t="s">
        <v>324</v>
      </c>
      <c r="DE71" s="346" t="s">
        <v>324</v>
      </c>
      <c r="DF71" s="429">
        <f t="shared" si="56"/>
        <v>0</v>
      </c>
      <c r="DG71" s="429">
        <f t="shared" si="57"/>
        <v>0</v>
      </c>
      <c r="DH71" s="429">
        <f t="shared" si="58"/>
        <v>0</v>
      </c>
      <c r="DI71" s="429"/>
      <c r="DJ71" s="429">
        <f t="shared" si="59"/>
        <v>0</v>
      </c>
      <c r="DK71" s="429">
        <f t="shared" si="60"/>
        <v>0</v>
      </c>
      <c r="DL71" s="429">
        <f t="shared" si="61"/>
        <v>0</v>
      </c>
      <c r="DM71" s="429">
        <f t="shared" si="62"/>
        <v>0</v>
      </c>
      <c r="DN71" s="346" t="s">
        <v>324</v>
      </c>
      <c r="DO71" s="346" t="s">
        <v>324</v>
      </c>
      <c r="DP71" s="346" t="s">
        <v>324</v>
      </c>
      <c r="DQ71" s="346"/>
      <c r="DR71" s="346" t="s">
        <v>324</v>
      </c>
      <c r="DS71" s="346" t="s">
        <v>324</v>
      </c>
      <c r="DT71" s="346" t="s">
        <v>324</v>
      </c>
      <c r="DU71" s="346" t="s">
        <v>324</v>
      </c>
      <c r="DV71" s="346" t="s">
        <v>324</v>
      </c>
      <c r="DW71" s="346" t="s">
        <v>324</v>
      </c>
      <c r="DX71" s="346" t="s">
        <v>324</v>
      </c>
      <c r="DY71" s="346"/>
      <c r="DZ71" s="346" t="s">
        <v>324</v>
      </c>
      <c r="EA71" s="346" t="s">
        <v>324</v>
      </c>
      <c r="EB71" s="346" t="s">
        <v>324</v>
      </c>
      <c r="EC71" s="346" t="s">
        <v>324</v>
      </c>
      <c r="ED71" s="346" t="s">
        <v>394</v>
      </c>
      <c r="EE71" s="346" t="s">
        <v>394</v>
      </c>
      <c r="EF71" s="346" t="s">
        <v>394</v>
      </c>
      <c r="EG71" s="346"/>
      <c r="EH71" s="346" t="s">
        <v>394</v>
      </c>
      <c r="EI71" s="346" t="s">
        <v>394</v>
      </c>
      <c r="EJ71" s="346" t="s">
        <v>394</v>
      </c>
      <c r="EK71" s="346" t="s">
        <v>394</v>
      </c>
      <c r="EL71" s="346" t="s">
        <v>394</v>
      </c>
      <c r="EM71" s="346" t="s">
        <v>394</v>
      </c>
      <c r="EN71" s="346" t="s">
        <v>394</v>
      </c>
      <c r="EO71" s="346"/>
      <c r="EP71" s="346" t="s">
        <v>394</v>
      </c>
      <c r="EQ71" s="346" t="s">
        <v>394</v>
      </c>
      <c r="ER71" s="346" t="s">
        <v>394</v>
      </c>
      <c r="ES71" s="346" t="s">
        <v>394</v>
      </c>
      <c r="ET71" s="346"/>
      <c r="EU71" s="346"/>
      <c r="EV71" s="346"/>
      <c r="EW71" s="346"/>
      <c r="EX71" s="346"/>
      <c r="EY71" s="346"/>
      <c r="EZ71" s="346"/>
      <c r="FA71" s="346"/>
      <c r="FB71" s="346" t="s">
        <v>394</v>
      </c>
      <c r="FC71" s="346" t="s">
        <v>394</v>
      </c>
      <c r="FD71" s="346" t="s">
        <v>394</v>
      </c>
      <c r="FE71" s="346" t="s">
        <v>394</v>
      </c>
      <c r="FF71" s="346" t="s">
        <v>394</v>
      </c>
      <c r="FG71" s="346" t="s">
        <v>394</v>
      </c>
      <c r="FH71" s="346" t="s">
        <v>394</v>
      </c>
      <c r="FI71" s="346" t="s">
        <v>394</v>
      </c>
      <c r="FJ71" s="346" t="s">
        <v>394</v>
      </c>
      <c r="FK71" s="346" t="s">
        <v>394</v>
      </c>
      <c r="FL71" s="346" t="s">
        <v>394</v>
      </c>
      <c r="FM71" s="346" t="s">
        <v>394</v>
      </c>
      <c r="FN71" s="346" t="s">
        <v>394</v>
      </c>
      <c r="FO71" s="346" t="s">
        <v>394</v>
      </c>
      <c r="FP71" s="346" t="s">
        <v>394</v>
      </c>
      <c r="FQ71" s="346" t="s">
        <v>394</v>
      </c>
    </row>
    <row r="72" spans="1:173">
      <c r="A72" s="2"/>
      <c r="C72" s="454" t="s">
        <v>2289</v>
      </c>
      <c r="D72" s="432"/>
      <c r="F72" s="11"/>
      <c r="N72" s="346"/>
      <c r="O72" s="346"/>
      <c r="P72" s="346"/>
      <c r="Q72" s="346"/>
      <c r="R72" s="346"/>
      <c r="AJ72" s="346"/>
      <c r="AZ72" s="346"/>
      <c r="BA72" s="346"/>
      <c r="BB72" s="346"/>
      <c r="BC72" s="346"/>
      <c r="BD72" s="346"/>
      <c r="BE72" s="346"/>
      <c r="BF72" s="346"/>
      <c r="BG72" s="346"/>
      <c r="BH72" s="346"/>
      <c r="BI72" s="346"/>
      <c r="BJ72" s="346"/>
      <c r="BK72" s="346"/>
      <c r="BL72" s="346"/>
      <c r="BM72" s="346"/>
      <c r="BN72" s="346"/>
      <c r="BO72" s="346"/>
      <c r="BP72" s="346"/>
      <c r="BQ72" s="429"/>
      <c r="BR72" s="429"/>
      <c r="BS72" s="429"/>
      <c r="BT72" s="429"/>
      <c r="BU72" s="429"/>
      <c r="BV72" s="429"/>
      <c r="BW72" s="429"/>
      <c r="BX72" s="429"/>
      <c r="BY72" s="346"/>
      <c r="BZ72" s="346"/>
      <c r="CA72" s="346"/>
      <c r="CB72" s="346"/>
      <c r="CC72" s="346"/>
      <c r="CD72" s="346"/>
      <c r="CE72" s="346"/>
      <c r="CF72" s="346"/>
      <c r="CG72" s="346"/>
      <c r="CH72" s="346"/>
      <c r="CI72" s="346"/>
      <c r="CJ72" s="346"/>
      <c r="CK72" s="346"/>
      <c r="CL72" s="346"/>
      <c r="CM72" s="346"/>
      <c r="CN72" s="346"/>
      <c r="CO72" s="346"/>
      <c r="CP72" s="346"/>
      <c r="CQ72" s="346"/>
      <c r="CR72" s="346"/>
      <c r="CS72" s="346"/>
      <c r="CT72" s="346"/>
      <c r="CU72" s="346"/>
      <c r="CV72" s="346"/>
      <c r="CW72" s="346"/>
      <c r="CX72" s="346"/>
      <c r="CY72" s="346"/>
      <c r="CZ72" s="346"/>
      <c r="DA72" s="346"/>
      <c r="DB72" s="346"/>
      <c r="DC72" s="346"/>
      <c r="DD72" s="346"/>
      <c r="DE72" s="346"/>
      <c r="DF72" s="429"/>
      <c r="DG72" s="429"/>
      <c r="DH72" s="429"/>
      <c r="DI72" s="429"/>
      <c r="DJ72" s="429"/>
      <c r="DK72" s="429"/>
      <c r="DL72" s="429"/>
      <c r="DM72" s="429"/>
      <c r="DN72" s="346"/>
      <c r="DO72" s="346"/>
      <c r="DP72" s="346"/>
      <c r="DQ72" s="346"/>
      <c r="DR72" s="346"/>
      <c r="DS72" s="346"/>
      <c r="DT72" s="346"/>
      <c r="DU72" s="346"/>
      <c r="DV72" s="346"/>
      <c r="DW72" s="346"/>
      <c r="DX72" s="346"/>
      <c r="DY72" s="346"/>
      <c r="DZ72" s="346"/>
      <c r="EA72" s="346"/>
      <c r="EB72" s="346"/>
      <c r="EC72" s="346"/>
      <c r="ED72" s="346"/>
      <c r="EE72" s="346"/>
      <c r="EF72" s="346"/>
      <c r="EG72" s="346"/>
      <c r="EH72" s="346"/>
      <c r="EI72" s="346"/>
      <c r="EJ72" s="346"/>
      <c r="EK72" s="346"/>
      <c r="EL72" s="346"/>
      <c r="EM72" s="346"/>
      <c r="EN72" s="346"/>
      <c r="EO72" s="346"/>
      <c r="EP72" s="346"/>
      <c r="EQ72" s="346"/>
      <c r="ER72" s="346"/>
      <c r="ES72" s="346"/>
      <c r="ET72" s="346"/>
      <c r="EU72" s="346"/>
      <c r="EV72" s="346"/>
      <c r="EW72" s="346"/>
      <c r="EX72" s="346"/>
      <c r="EY72" s="346"/>
      <c r="EZ72" s="346"/>
      <c r="FA72" s="346"/>
      <c r="FB72" s="346"/>
      <c r="FC72" s="346"/>
      <c r="FD72" s="346"/>
      <c r="FE72" s="346"/>
      <c r="FF72" s="346"/>
      <c r="FG72" s="346"/>
      <c r="FH72" s="346"/>
      <c r="FI72" s="346"/>
      <c r="FJ72" s="346"/>
      <c r="FK72" s="346"/>
      <c r="FL72" s="346"/>
      <c r="FM72" s="346"/>
      <c r="FN72" s="346"/>
      <c r="FO72" s="346"/>
      <c r="FP72" s="346"/>
      <c r="FQ72" s="346"/>
    </row>
    <row r="73" spans="1:173">
      <c r="C73" s="329"/>
      <c r="U73" s="2" t="s">
        <v>70</v>
      </c>
      <c r="V73" s="2" t="s">
        <v>118</v>
      </c>
      <c r="Y73" s="2" t="s">
        <v>938</v>
      </c>
      <c r="AJ73" s="346"/>
      <c r="BQ73" s="2"/>
      <c r="BR73" s="2"/>
      <c r="BS73" s="2"/>
      <c r="BT73" s="2"/>
      <c r="BU73" s="2"/>
      <c r="BV73" s="2"/>
      <c r="BW73" s="2"/>
      <c r="BX73" s="2"/>
      <c r="CG73" s="2" t="s">
        <v>324</v>
      </c>
      <c r="CH73" s="2" t="s">
        <v>324</v>
      </c>
      <c r="CI73" s="2" t="s">
        <v>324</v>
      </c>
      <c r="CK73" s="2" t="s">
        <v>324</v>
      </c>
      <c r="CL73" s="2" t="s">
        <v>324</v>
      </c>
      <c r="CM73" s="2" t="s">
        <v>324</v>
      </c>
      <c r="CN73" s="2" t="s">
        <v>324</v>
      </c>
    </row>
    <row r="74" spans="1:173">
      <c r="A74" s="2" t="s">
        <v>939</v>
      </c>
      <c r="B74" s="346" t="s">
        <v>939</v>
      </c>
      <c r="C74" s="346" t="s">
        <v>222</v>
      </c>
      <c r="D74" s="346" t="s">
        <v>940</v>
      </c>
      <c r="E74" s="346" t="s">
        <v>941</v>
      </c>
      <c r="F74" s="346" t="s">
        <v>785</v>
      </c>
      <c r="G74" s="346">
        <v>21.04</v>
      </c>
      <c r="H74" s="337" t="s">
        <v>324</v>
      </c>
      <c r="I74" s="346">
        <f>SUMIF(DV74:EC74,TRUE,DN74:DU74)</f>
        <v>21.000000000200004</v>
      </c>
      <c r="J74" s="346">
        <f>SUMIF(CG74:CN74,TRUE,BY74:CF74)</f>
        <v>20.000000000250001</v>
      </c>
      <c r="K74" s="337"/>
      <c r="L74" s="337"/>
      <c r="M74" s="337"/>
      <c r="N74" s="346" t="s">
        <v>324</v>
      </c>
      <c r="O74" s="346" t="s">
        <v>324</v>
      </c>
      <c r="P74" s="346" t="s">
        <v>324</v>
      </c>
      <c r="Q74" s="346" t="s">
        <v>324</v>
      </c>
      <c r="R74" s="346" t="s">
        <v>324</v>
      </c>
      <c r="S74" s="346" t="s">
        <v>942</v>
      </c>
      <c r="T74" s="346" t="s">
        <v>713</v>
      </c>
      <c r="U74" s="346">
        <v>87</v>
      </c>
      <c r="V74" s="346" cm="1">
        <f t="array" ref="V74">IFERROR(INDEX('Offer Statistics'!$AI$2:$AI$350,MATCH(1,(B74='Offer Statistics'!$T$2:$T$350)*($B$11='Offer Statistics'!$U$2:$U$350),0)),"/")</f>
        <v>106</v>
      </c>
      <c r="W74" s="346" cm="1">
        <f t="array" ref="W74">IFERROR(INDEX('Offer Statistics'!$V$2:$V$350,MATCH(1,(B74='Offer Statistics'!$T$2:$T$350)*($B$11='Offer Statistics'!$U$2:$U$350),0)),"/")</f>
        <v>563</v>
      </c>
      <c r="X74" s="346" cm="1">
        <f t="array" ref="X74">IFERROR(INDEX('Offer Statistics'!$AD$2:$AD$350,MATCH(1,(B74='Offer Statistics'!$T$2:$T$350)*($B$11='Offer Statistics'!$U$2:$U$350),0)),"/")</f>
        <v>102</v>
      </c>
      <c r="Y74" s="346">
        <f>IFERROR(W74/X74,"新科目")</f>
        <v>5.5196078431372548</v>
      </c>
      <c r="Z74" s="346" t="s">
        <v>713</v>
      </c>
      <c r="AA74" s="346" t="str">
        <f>入學要求!AF83</f>
        <v>/</v>
      </c>
      <c r="AB74" s="346" t="str">
        <f>入學要求!AG83</f>
        <v>/</v>
      </c>
      <c r="AC74" s="426" t="s">
        <v>785</v>
      </c>
      <c r="AD74" s="337"/>
      <c r="AE74" s="337"/>
      <c r="AF74" s="346" t="s">
        <v>324</v>
      </c>
      <c r="AG74" s="346" t="s">
        <v>324</v>
      </c>
      <c r="AH74" s="346" t="s">
        <v>324</v>
      </c>
      <c r="AI74" s="346" t="s">
        <v>324</v>
      </c>
      <c r="AJ74" s="346" t="s">
        <v>324</v>
      </c>
      <c r="AK74" s="359" t="s">
        <v>943</v>
      </c>
      <c r="AL74" s="359" t="s">
        <v>714</v>
      </c>
      <c r="AM74" s="359" t="s">
        <v>944</v>
      </c>
      <c r="AN74" s="359" t="s">
        <v>324</v>
      </c>
      <c r="AO74" s="359" t="s">
        <v>324</v>
      </c>
      <c r="AP74" s="359" t="s">
        <v>324</v>
      </c>
      <c r="AQ74" s="359" t="s">
        <v>394</v>
      </c>
      <c r="AR74" s="359" t="s">
        <v>324</v>
      </c>
      <c r="AS74" s="359"/>
      <c r="AT74" s="2" t="s">
        <v>945</v>
      </c>
      <c r="AU74" s="2" t="s">
        <v>946</v>
      </c>
      <c r="AV74" s="2" t="s">
        <v>713</v>
      </c>
      <c r="AZ74" s="346">
        <v>1</v>
      </c>
      <c r="BA74" s="346">
        <v>1</v>
      </c>
      <c r="BB74" s="346">
        <v>1</v>
      </c>
      <c r="BC74" s="346"/>
      <c r="BD74" s="346">
        <v>1</v>
      </c>
      <c r="BE74" s="346">
        <v>1</v>
      </c>
      <c r="BF74" s="346">
        <v>1</v>
      </c>
      <c r="BG74" s="346">
        <v>1</v>
      </c>
      <c r="BI74" s="2">
        <v>4</v>
      </c>
      <c r="BJ74" s="2">
        <v>3</v>
      </c>
      <c r="BK74" s="2">
        <v>4</v>
      </c>
      <c r="BM74" s="2">
        <v>4</v>
      </c>
      <c r="BN74" s="2">
        <v>4</v>
      </c>
      <c r="BO74" s="2">
        <v>4</v>
      </c>
      <c r="BQ74" s="194">
        <f t="shared" si="49"/>
        <v>4.00000000004</v>
      </c>
      <c r="BR74" s="194">
        <f t="shared" si="50"/>
        <v>3.00000000002</v>
      </c>
      <c r="BS74" s="194">
        <f t="shared" si="51"/>
        <v>4.00000000003</v>
      </c>
      <c r="BU74" s="194">
        <f t="shared" si="52"/>
        <v>4.00000000005</v>
      </c>
      <c r="BV74" s="194">
        <f t="shared" si="53"/>
        <v>4.00000000006</v>
      </c>
      <c r="BW74" s="194">
        <f t="shared" si="54"/>
        <v>4.00000000007</v>
      </c>
      <c r="BX74" s="194">
        <f t="shared" si="55"/>
        <v>7.9999999999999995E-11</v>
      </c>
      <c r="BY74" s="2">
        <f t="shared" ref="BY74:BY94" si="63">AZ74*BQ74</f>
        <v>4.00000000004</v>
      </c>
      <c r="BZ74" s="2">
        <f t="shared" ref="BZ74:BZ94" si="64">BA74*BR74</f>
        <v>3.00000000002</v>
      </c>
      <c r="CA74" s="2">
        <f t="shared" ref="CA74:CA94" si="65">BB74*BS74</f>
        <v>4.00000000003</v>
      </c>
      <c r="CC74" s="2">
        <f t="shared" ref="CC74:CC94" si="66">BD74*BU74</f>
        <v>4.00000000005</v>
      </c>
      <c r="CD74" s="2">
        <f t="shared" ref="CD74:CD94" si="67">BE74*BV74</f>
        <v>4.00000000006</v>
      </c>
      <c r="CE74" s="2">
        <f t="shared" ref="CE74:CE94" si="68">BF74*BW74</f>
        <v>4.00000000007</v>
      </c>
      <c r="CF74" s="2">
        <f t="shared" ref="CF74:CF94" si="69">BG74*BX74</f>
        <v>7.9999999999999995E-11</v>
      </c>
      <c r="CG74" s="364" t="b">
        <f>IF(BY74&gt;LARGE($BY74:$CF74,6),TRUE)</f>
        <v>1</v>
      </c>
      <c r="CH74" s="364" t="b">
        <f t="shared" ref="CH74:CN89" si="70">IF(BZ74&gt;LARGE($BY74:$CF74,6),TRUE)</f>
        <v>0</v>
      </c>
      <c r="CI74" s="364" t="b">
        <f t="shared" si="70"/>
        <v>1</v>
      </c>
      <c r="CJ74" s="364"/>
      <c r="CK74" s="364" t="b">
        <f t="shared" si="70"/>
        <v>1</v>
      </c>
      <c r="CL74" s="364" t="b">
        <f t="shared" si="70"/>
        <v>1</v>
      </c>
      <c r="CM74" s="364" t="b">
        <f t="shared" si="70"/>
        <v>1</v>
      </c>
      <c r="CN74" s="364" t="b">
        <f t="shared" si="70"/>
        <v>0</v>
      </c>
      <c r="CO74" s="346">
        <v>1</v>
      </c>
      <c r="CP74" s="346">
        <v>1</v>
      </c>
      <c r="CQ74" s="346">
        <v>1</v>
      </c>
      <c r="CR74" s="346"/>
      <c r="CS74" s="346">
        <v>1</v>
      </c>
      <c r="CT74" s="346">
        <v>1</v>
      </c>
      <c r="CU74" s="346">
        <v>1</v>
      </c>
      <c r="CV74" s="346">
        <v>1</v>
      </c>
      <c r="CX74" s="2">
        <v>6</v>
      </c>
      <c r="CY74" s="2">
        <v>4</v>
      </c>
      <c r="CZ74" s="2">
        <v>4</v>
      </c>
      <c r="DB74" s="2">
        <v>4</v>
      </c>
      <c r="DC74" s="2">
        <v>3</v>
      </c>
      <c r="DF74" s="194">
        <f>IFERROR(CX74+0.00000000004,0)</f>
        <v>6.00000000004</v>
      </c>
      <c r="DG74" s="194">
        <f>IFERROR(CY74+0.00000000002,0)</f>
        <v>4.00000000002</v>
      </c>
      <c r="DH74" s="194">
        <f>IFERROR(CZ74+0.00000000003,0)</f>
        <v>4.00000000003</v>
      </c>
      <c r="DJ74" s="194">
        <f>IFERROR(DB74+0.00000000005,0)</f>
        <v>4.00000000005</v>
      </c>
      <c r="DK74" s="194">
        <f>IFERROR(DC74+0.00000000006,0)</f>
        <v>3.00000000006</v>
      </c>
      <c r="DL74" s="194">
        <f>IFERROR(DD74+0.00000000007,0)</f>
        <v>7.0000000000000004E-11</v>
      </c>
      <c r="DM74" s="194">
        <f>IFERROR(DE74+0.00000000008,0)</f>
        <v>7.9999999999999995E-11</v>
      </c>
      <c r="DN74" s="2">
        <f t="shared" ref="DN74:DN94" si="71">CO74*DF74</f>
        <v>6.00000000004</v>
      </c>
      <c r="DO74" s="2">
        <f t="shared" ref="DO74:DO94" si="72">CP74*DG74</f>
        <v>4.00000000002</v>
      </c>
      <c r="DP74" s="2">
        <f t="shared" ref="DP74:DP94" si="73">CQ74*DH74</f>
        <v>4.00000000003</v>
      </c>
      <c r="DR74" s="2">
        <f t="shared" ref="DR74:DR94" si="74">CS74*DJ74</f>
        <v>4.00000000005</v>
      </c>
      <c r="DS74" s="2">
        <f t="shared" ref="DS74:DS94" si="75">CT74*DK74</f>
        <v>3.00000000006</v>
      </c>
      <c r="DT74" s="2">
        <f t="shared" ref="DT74:DT94" si="76">CU74*DL74</f>
        <v>7.0000000000000004E-11</v>
      </c>
      <c r="DU74" s="2">
        <f t="shared" ref="DU74:DU94" si="77">CV74*DM74</f>
        <v>7.9999999999999995E-11</v>
      </c>
      <c r="DV74" s="2" t="b">
        <f>IF(DN74&gt;LARGE($DN74:$DU74,6),TRUE)</f>
        <v>1</v>
      </c>
      <c r="DW74" s="2" t="b">
        <f t="shared" ref="DW74:EC74" si="78">IF(DO74&gt;LARGE($DN74:$DU74,6),TRUE)</f>
        <v>1</v>
      </c>
      <c r="DX74" s="2" t="b">
        <f t="shared" si="78"/>
        <v>1</v>
      </c>
      <c r="DZ74" s="2" t="b">
        <f t="shared" si="78"/>
        <v>1</v>
      </c>
      <c r="EA74" s="2" t="b">
        <f t="shared" si="78"/>
        <v>1</v>
      </c>
      <c r="EB74" s="2" t="b">
        <f t="shared" si="78"/>
        <v>0</v>
      </c>
      <c r="EC74" s="2" t="b">
        <f t="shared" si="78"/>
        <v>0</v>
      </c>
      <c r="ED74" s="2" t="s">
        <v>394</v>
      </c>
      <c r="EE74" s="2" t="s">
        <v>394</v>
      </c>
      <c r="EF74" s="2" t="s">
        <v>394</v>
      </c>
      <c r="EH74" s="2" t="s">
        <v>394</v>
      </c>
      <c r="EI74" s="2" t="s">
        <v>394</v>
      </c>
      <c r="EJ74" s="2" t="s">
        <v>394</v>
      </c>
      <c r="EK74" s="2" t="s">
        <v>394</v>
      </c>
      <c r="EL74" s="2" t="s">
        <v>394</v>
      </c>
      <c r="EM74" s="2" t="s">
        <v>394</v>
      </c>
      <c r="EN74" s="2" t="s">
        <v>394</v>
      </c>
      <c r="EP74" s="2" t="s">
        <v>394</v>
      </c>
      <c r="EQ74" s="2" t="s">
        <v>394</v>
      </c>
      <c r="ER74" s="2" t="s">
        <v>394</v>
      </c>
      <c r="ES74" s="2" t="s">
        <v>394</v>
      </c>
      <c r="FB74" s="2" t="s">
        <v>394</v>
      </c>
      <c r="FC74" s="2" t="s">
        <v>394</v>
      </c>
      <c r="FD74" s="2" t="s">
        <v>394</v>
      </c>
      <c r="FE74" s="2" t="s">
        <v>394</v>
      </c>
      <c r="FF74" s="2" t="s">
        <v>394</v>
      </c>
      <c r="FG74" s="2" t="s">
        <v>394</v>
      </c>
      <c r="FH74" s="2" t="s">
        <v>394</v>
      </c>
      <c r="FI74" s="2" t="s">
        <v>394</v>
      </c>
      <c r="FJ74" s="2" t="s">
        <v>394</v>
      </c>
      <c r="FK74" s="2" t="s">
        <v>394</v>
      </c>
      <c r="FL74" s="2" t="s">
        <v>394</v>
      </c>
      <c r="FM74" s="2" t="s">
        <v>394</v>
      </c>
      <c r="FN74" s="2" t="s">
        <v>394</v>
      </c>
      <c r="FO74" s="2" t="s">
        <v>394</v>
      </c>
      <c r="FP74" s="2" t="s">
        <v>394</v>
      </c>
      <c r="FQ74" s="2" t="s">
        <v>394</v>
      </c>
    </row>
    <row r="75" spans="1:173">
      <c r="A75" s="2" t="s">
        <v>947</v>
      </c>
      <c r="B75" s="346" t="s">
        <v>947</v>
      </c>
      <c r="C75" s="346" t="s">
        <v>222</v>
      </c>
      <c r="D75" s="346" t="s">
        <v>948</v>
      </c>
      <c r="E75" s="346" t="s">
        <v>949</v>
      </c>
      <c r="F75" s="346" t="s">
        <v>785</v>
      </c>
      <c r="G75" s="346">
        <v>19.5</v>
      </c>
      <c r="H75" s="337" t="s">
        <v>324</v>
      </c>
      <c r="I75" s="346">
        <f t="shared" ref="I75:I94" si="79">SUMIF(DV75:EC75,TRUE,DN75:DU75)</f>
        <v>20.000000000250001</v>
      </c>
      <c r="J75" s="346">
        <f t="shared" ref="J75:J94" si="80">SUMIF(CG75:CN75,TRUE,BY75:CF75)</f>
        <v>19.000000000250001</v>
      </c>
      <c r="K75" s="337"/>
      <c r="L75" s="337"/>
      <c r="M75" s="337"/>
      <c r="N75" s="346" t="s">
        <v>324</v>
      </c>
      <c r="O75" s="346" t="s">
        <v>324</v>
      </c>
      <c r="P75" s="346" t="s">
        <v>324</v>
      </c>
      <c r="Q75" s="346" t="s">
        <v>324</v>
      </c>
      <c r="R75" s="346" t="s">
        <v>324</v>
      </c>
      <c r="S75" s="346" t="s">
        <v>950</v>
      </c>
      <c r="T75" s="346" t="s">
        <v>713</v>
      </c>
      <c r="U75" s="346">
        <v>11</v>
      </c>
      <c r="V75" s="346" cm="1">
        <f t="array" ref="V75">IFERROR(INDEX('Offer Statistics'!$AI$2:$AI$350,MATCH(1,(B75='Offer Statistics'!$T$2:$T$350)*($B$11='Offer Statistics'!$U$2:$U$350),0)),"/")</f>
        <v>17</v>
      </c>
      <c r="W75" s="346" cm="1">
        <f t="array" ref="W75">IFERROR(INDEX('Offer Statistics'!$V$2:$V$350,MATCH(1,(B75='Offer Statistics'!$T$2:$T$350)*($B$11='Offer Statistics'!$U$2:$U$350),0)),"/")</f>
        <v>157</v>
      </c>
      <c r="X75" s="346" cm="1">
        <f t="array" ref="X75">IFERROR(INDEX('Offer Statistics'!$AD$2:$AD$350,MATCH(1,(B75='Offer Statistics'!$T$2:$T$350)*($B$11='Offer Statistics'!$U$2:$U$350),0)),"/")</f>
        <v>9</v>
      </c>
      <c r="Y75" s="346">
        <f t="shared" ref="Y75:Y95" si="81">IFERROR(W75/X75,"新科目")</f>
        <v>17.444444444444443</v>
      </c>
      <c r="Z75" s="346" t="s">
        <v>713</v>
      </c>
      <c r="AA75" s="346" t="str">
        <f>入學要求!AF84</f>
        <v>/</v>
      </c>
      <c r="AB75" s="346" t="str">
        <f>入學要求!AG84</f>
        <v>/</v>
      </c>
      <c r="AC75" s="426" t="s">
        <v>785</v>
      </c>
      <c r="AD75" s="337"/>
      <c r="AE75" s="337"/>
      <c r="AF75" s="346" t="s">
        <v>324</v>
      </c>
      <c r="AG75" s="346" t="s">
        <v>324</v>
      </c>
      <c r="AH75" s="346" t="s">
        <v>324</v>
      </c>
      <c r="AI75" s="346" t="s">
        <v>324</v>
      </c>
      <c r="AJ75" s="346" t="s">
        <v>324</v>
      </c>
      <c r="AK75" s="359" t="s">
        <v>943</v>
      </c>
      <c r="AL75" s="359" t="s">
        <v>714</v>
      </c>
      <c r="AM75" s="359" t="s">
        <v>944</v>
      </c>
      <c r="AN75" s="359" t="s">
        <v>951</v>
      </c>
      <c r="AO75" s="359" t="s">
        <v>324</v>
      </c>
      <c r="AP75" s="359" t="s">
        <v>324</v>
      </c>
      <c r="AQ75" s="359" t="s">
        <v>394</v>
      </c>
      <c r="AR75" s="359" t="s">
        <v>324</v>
      </c>
      <c r="AS75" s="359"/>
      <c r="AT75" s="2" t="s">
        <v>945</v>
      </c>
      <c r="AU75" s="2" t="s">
        <v>946</v>
      </c>
      <c r="AV75" s="2" t="s">
        <v>713</v>
      </c>
      <c r="AX75" s="191"/>
      <c r="AZ75" s="346">
        <v>1</v>
      </c>
      <c r="BA75" s="346">
        <v>1</v>
      </c>
      <c r="BB75" s="346">
        <v>1</v>
      </c>
      <c r="BC75" s="346"/>
      <c r="BD75" s="346">
        <v>1</v>
      </c>
      <c r="BE75" s="346">
        <v>1</v>
      </c>
      <c r="BF75" s="346">
        <v>1</v>
      </c>
      <c r="BG75" s="346">
        <v>1</v>
      </c>
      <c r="BI75" s="2">
        <v>3</v>
      </c>
      <c r="BJ75" s="2">
        <v>3</v>
      </c>
      <c r="BK75" s="2">
        <v>4</v>
      </c>
      <c r="BM75" s="2">
        <v>5</v>
      </c>
      <c r="BN75" s="2">
        <v>4</v>
      </c>
      <c r="BO75" s="2">
        <v>3</v>
      </c>
      <c r="BQ75" s="194">
        <f t="shared" si="49"/>
        <v>3.00000000004</v>
      </c>
      <c r="BR75" s="194">
        <f t="shared" si="50"/>
        <v>3.00000000002</v>
      </c>
      <c r="BS75" s="194">
        <f t="shared" si="51"/>
        <v>4.00000000003</v>
      </c>
      <c r="BU75" s="194">
        <f t="shared" si="52"/>
        <v>5.00000000005</v>
      </c>
      <c r="BV75" s="194">
        <f t="shared" si="53"/>
        <v>4.00000000006</v>
      </c>
      <c r="BW75" s="194">
        <f t="shared" si="54"/>
        <v>3.00000000007</v>
      </c>
      <c r="BX75" s="194">
        <f t="shared" si="55"/>
        <v>7.9999999999999995E-11</v>
      </c>
      <c r="BY75" s="2">
        <f t="shared" si="63"/>
        <v>3.00000000004</v>
      </c>
      <c r="BZ75" s="2">
        <f t="shared" si="64"/>
        <v>3.00000000002</v>
      </c>
      <c r="CA75" s="2">
        <f t="shared" si="65"/>
        <v>4.00000000003</v>
      </c>
      <c r="CC75" s="2">
        <f t="shared" si="66"/>
        <v>5.00000000005</v>
      </c>
      <c r="CD75" s="2">
        <f t="shared" si="67"/>
        <v>4.00000000006</v>
      </c>
      <c r="CE75" s="2">
        <f t="shared" si="68"/>
        <v>3.00000000007</v>
      </c>
      <c r="CF75" s="2">
        <f t="shared" si="69"/>
        <v>7.9999999999999995E-11</v>
      </c>
      <c r="CG75" s="364" t="b">
        <f t="shared" ref="CG75:CG95" si="82">IF(BY75&gt;LARGE($BY75:$CF75,6),TRUE)</f>
        <v>1</v>
      </c>
      <c r="CH75" s="364" t="b">
        <f t="shared" si="70"/>
        <v>0</v>
      </c>
      <c r="CI75" s="364" t="b">
        <f t="shared" si="70"/>
        <v>1</v>
      </c>
      <c r="CJ75" s="364"/>
      <c r="CK75" s="364" t="b">
        <f t="shared" si="70"/>
        <v>1</v>
      </c>
      <c r="CL75" s="364" t="b">
        <f t="shared" si="70"/>
        <v>1</v>
      </c>
      <c r="CM75" s="364" t="b">
        <f t="shared" si="70"/>
        <v>1</v>
      </c>
      <c r="CN75" s="364" t="b">
        <f t="shared" si="70"/>
        <v>0</v>
      </c>
      <c r="CO75" s="346">
        <v>1</v>
      </c>
      <c r="CP75" s="346">
        <v>1</v>
      </c>
      <c r="CQ75" s="346">
        <v>1</v>
      </c>
      <c r="CR75" s="346"/>
      <c r="CS75" s="346">
        <v>1</v>
      </c>
      <c r="CT75" s="346">
        <v>1</v>
      </c>
      <c r="CU75" s="346">
        <v>1</v>
      </c>
      <c r="CV75" s="346">
        <v>1</v>
      </c>
      <c r="CX75" s="2">
        <v>4</v>
      </c>
      <c r="CY75" s="2">
        <v>3</v>
      </c>
      <c r="CZ75" s="2">
        <v>4</v>
      </c>
      <c r="DB75" s="2">
        <v>4</v>
      </c>
      <c r="DC75" s="2">
        <v>4</v>
      </c>
      <c r="DD75" s="2">
        <v>4</v>
      </c>
      <c r="DF75" s="194">
        <f t="shared" ref="DF75:DF94" si="83">IFERROR(CX75+0.00000000004,0)</f>
        <v>4.00000000004</v>
      </c>
      <c r="DG75" s="194">
        <f t="shared" ref="DG75:DG94" si="84">IFERROR(CY75+0.00000000002,0)</f>
        <v>3.00000000002</v>
      </c>
      <c r="DH75" s="194">
        <f t="shared" ref="DH75:DH94" si="85">IFERROR(CZ75+0.00000000003,0)</f>
        <v>4.00000000003</v>
      </c>
      <c r="DJ75" s="194">
        <f t="shared" ref="DJ75:DJ94" si="86">IFERROR(DB75+0.00000000005,0)</f>
        <v>4.00000000005</v>
      </c>
      <c r="DK75" s="194">
        <f t="shared" ref="DK75:DK94" si="87">IFERROR(DC75+0.00000000006,0)</f>
        <v>4.00000000006</v>
      </c>
      <c r="DL75" s="194">
        <f t="shared" ref="DL75:DL94" si="88">IFERROR(DD75+0.00000000007,0)</f>
        <v>4.00000000007</v>
      </c>
      <c r="DM75" s="194">
        <f t="shared" ref="DM75:DM94" si="89">IFERROR(DE75+0.00000000008,0)</f>
        <v>7.9999999999999995E-11</v>
      </c>
      <c r="DN75" s="2">
        <f t="shared" si="71"/>
        <v>4.00000000004</v>
      </c>
      <c r="DO75" s="2">
        <f t="shared" si="72"/>
        <v>3.00000000002</v>
      </c>
      <c r="DP75" s="2">
        <f t="shared" si="73"/>
        <v>4.00000000003</v>
      </c>
      <c r="DR75" s="2">
        <f t="shared" si="74"/>
        <v>4.00000000005</v>
      </c>
      <c r="DS75" s="2">
        <f t="shared" si="75"/>
        <v>4.00000000006</v>
      </c>
      <c r="DT75" s="2">
        <f t="shared" si="76"/>
        <v>4.00000000007</v>
      </c>
      <c r="DU75" s="2">
        <f t="shared" si="77"/>
        <v>7.9999999999999995E-11</v>
      </c>
      <c r="DV75" s="2" t="b">
        <f t="shared" ref="DV75:DV95" si="90">IF(DN75&gt;LARGE($DN75:$DU75,6),TRUE)</f>
        <v>1</v>
      </c>
      <c r="DW75" s="2" t="b">
        <f t="shared" ref="DW75:DW95" si="91">IF(DO75&gt;LARGE($DN75:$DU75,6),TRUE)</f>
        <v>0</v>
      </c>
      <c r="DX75" s="2" t="b">
        <f t="shared" ref="DX75:DX95" si="92">IF(DP75&gt;LARGE($DN75:$DU75,6),TRUE)</f>
        <v>1</v>
      </c>
      <c r="DZ75" s="2" t="b">
        <f t="shared" ref="DZ75:DZ95" si="93">IF(DR75&gt;LARGE($DN75:$DU75,6),TRUE)</f>
        <v>1</v>
      </c>
      <c r="EA75" s="2" t="b">
        <f t="shared" ref="EA75:EA95" si="94">IF(DS75&gt;LARGE($DN75:$DU75,6),TRUE)</f>
        <v>1</v>
      </c>
      <c r="EB75" s="2" t="b">
        <f t="shared" ref="EB75:EB95" si="95">IF(DT75&gt;LARGE($DN75:$DU75,6),TRUE)</f>
        <v>1</v>
      </c>
      <c r="EC75" s="2" t="b">
        <f t="shared" ref="EC75:EC95" si="96">IF(DU75&gt;LARGE($DN75:$DU75,6),TRUE)</f>
        <v>0</v>
      </c>
      <c r="ED75" s="2" t="s">
        <v>394</v>
      </c>
      <c r="EE75" s="2" t="s">
        <v>394</v>
      </c>
      <c r="EF75" s="2" t="s">
        <v>394</v>
      </c>
      <c r="EH75" s="2" t="s">
        <v>394</v>
      </c>
      <c r="EI75" s="2" t="s">
        <v>394</v>
      </c>
      <c r="EJ75" s="2" t="s">
        <v>394</v>
      </c>
      <c r="EK75" s="2" t="s">
        <v>394</v>
      </c>
      <c r="EL75" s="2" t="s">
        <v>394</v>
      </c>
      <c r="EM75" s="2" t="s">
        <v>394</v>
      </c>
      <c r="EN75" s="2" t="s">
        <v>394</v>
      </c>
      <c r="EP75" s="2" t="s">
        <v>394</v>
      </c>
      <c r="EQ75" s="2" t="s">
        <v>394</v>
      </c>
      <c r="ER75" s="2" t="s">
        <v>394</v>
      </c>
      <c r="ES75" s="2" t="s">
        <v>394</v>
      </c>
      <c r="FB75" s="2" t="s">
        <v>394</v>
      </c>
      <c r="FC75" s="2" t="s">
        <v>394</v>
      </c>
      <c r="FD75" s="2" t="s">
        <v>394</v>
      </c>
      <c r="FE75" s="2" t="s">
        <v>394</v>
      </c>
      <c r="FF75" s="2" t="s">
        <v>394</v>
      </c>
      <c r="FG75" s="2" t="s">
        <v>394</v>
      </c>
      <c r="FH75" s="2" t="s">
        <v>394</v>
      </c>
      <c r="FI75" s="2" t="s">
        <v>394</v>
      </c>
      <c r="FJ75" s="2" t="s">
        <v>394</v>
      </c>
      <c r="FK75" s="2" t="s">
        <v>394</v>
      </c>
      <c r="FL75" s="2" t="s">
        <v>394</v>
      </c>
      <c r="FM75" s="2" t="s">
        <v>394</v>
      </c>
      <c r="FN75" s="2" t="s">
        <v>394</v>
      </c>
      <c r="FO75" s="2" t="s">
        <v>394</v>
      </c>
      <c r="FP75" s="2" t="s">
        <v>394</v>
      </c>
      <c r="FQ75" s="2" t="s">
        <v>394</v>
      </c>
    </row>
    <row r="76" spans="1:173" ht="13.95" customHeight="1">
      <c r="A76" s="2" t="s">
        <v>952</v>
      </c>
      <c r="B76" s="346" t="s">
        <v>952</v>
      </c>
      <c r="C76" s="346" t="s">
        <v>222</v>
      </c>
      <c r="D76" s="346" t="s">
        <v>948</v>
      </c>
      <c r="E76" s="346" t="s">
        <v>953</v>
      </c>
      <c r="F76" s="346" t="s">
        <v>785</v>
      </c>
      <c r="G76" s="346">
        <v>19.87</v>
      </c>
      <c r="H76" s="337" t="s">
        <v>324</v>
      </c>
      <c r="I76" s="346">
        <f t="shared" si="79"/>
        <v>19.000000000250001</v>
      </c>
      <c r="J76" s="346">
        <f t="shared" si="80"/>
        <v>19.000000000200004</v>
      </c>
      <c r="K76" s="337"/>
      <c r="L76" s="337"/>
      <c r="M76" s="337"/>
      <c r="N76" s="346" t="s">
        <v>324</v>
      </c>
      <c r="O76" s="346" t="s">
        <v>324</v>
      </c>
      <c r="P76" s="346" t="s">
        <v>324</v>
      </c>
      <c r="Q76" s="346" t="s">
        <v>324</v>
      </c>
      <c r="R76" s="346" t="s">
        <v>324</v>
      </c>
      <c r="S76" s="346" t="s">
        <v>954</v>
      </c>
      <c r="T76" s="346" t="s">
        <v>713</v>
      </c>
      <c r="U76" s="346">
        <v>38</v>
      </c>
      <c r="V76" s="346" cm="1">
        <f t="array" ref="V76">IFERROR(INDEX('Offer Statistics'!$AI$2:$AI$350,MATCH(1,(B76='Offer Statistics'!$T$2:$T$350)*($B$11='Offer Statistics'!$U$2:$U$350),0)),"/")</f>
        <v>28</v>
      </c>
      <c r="W76" s="346" cm="1">
        <f t="array" ref="W76">IFERROR(INDEX('Offer Statistics'!$V$2:$V$350,MATCH(1,(B76='Offer Statistics'!$T$2:$T$350)*($B$11='Offer Statistics'!$U$2:$U$350),0)),"/")</f>
        <v>251</v>
      </c>
      <c r="X76" s="346" cm="1">
        <f t="array" ref="X76">IFERROR(INDEX('Offer Statistics'!$AD$2:$AD$350,MATCH(1,(B76='Offer Statistics'!$T$2:$T$350)*($B$11='Offer Statistics'!$U$2:$U$350),0)),"/")</f>
        <v>28</v>
      </c>
      <c r="Y76" s="346">
        <f t="shared" si="81"/>
        <v>8.9642857142857135</v>
      </c>
      <c r="Z76" s="346" t="s">
        <v>713</v>
      </c>
      <c r="AA76" s="346" t="str">
        <f>入學要求!AF85</f>
        <v>/</v>
      </c>
      <c r="AB76" s="346" t="str">
        <f>入學要求!AG85</f>
        <v>/</v>
      </c>
      <c r="AC76" s="426" t="s">
        <v>785</v>
      </c>
      <c r="AD76" s="346"/>
      <c r="AE76" s="346"/>
      <c r="AF76" s="346" t="s">
        <v>324</v>
      </c>
      <c r="AG76" s="346" t="s">
        <v>324</v>
      </c>
      <c r="AH76" s="346" t="s">
        <v>324</v>
      </c>
      <c r="AI76" s="346" t="s">
        <v>324</v>
      </c>
      <c r="AJ76" s="346" t="s">
        <v>324</v>
      </c>
      <c r="AK76" s="359" t="s">
        <v>943</v>
      </c>
      <c r="AL76" s="359" t="s">
        <v>714</v>
      </c>
      <c r="AM76" s="359" t="s">
        <v>944</v>
      </c>
      <c r="AN76" s="362" t="s">
        <v>955</v>
      </c>
      <c r="AO76" s="359" t="s">
        <v>956</v>
      </c>
      <c r="AP76" s="359" t="s">
        <v>957</v>
      </c>
      <c r="AQ76" s="359" t="s">
        <v>394</v>
      </c>
      <c r="AR76" s="359" t="s">
        <v>324</v>
      </c>
      <c r="AS76" s="359"/>
      <c r="AT76" s="2" t="s">
        <v>945</v>
      </c>
      <c r="AU76" s="2" t="s">
        <v>946</v>
      </c>
      <c r="AV76" s="2" t="s">
        <v>713</v>
      </c>
      <c r="AZ76" s="346">
        <v>1</v>
      </c>
      <c r="BA76" s="346">
        <v>1</v>
      </c>
      <c r="BB76" s="346">
        <v>1</v>
      </c>
      <c r="BC76" s="346"/>
      <c r="BD76" s="346">
        <v>1</v>
      </c>
      <c r="BE76" s="346">
        <v>1</v>
      </c>
      <c r="BF76" s="346">
        <v>1</v>
      </c>
      <c r="BG76" s="346">
        <v>1</v>
      </c>
      <c r="BI76" s="2">
        <v>3</v>
      </c>
      <c r="BJ76" s="2">
        <v>4</v>
      </c>
      <c r="BK76" s="2">
        <v>4</v>
      </c>
      <c r="BM76" s="2">
        <v>4</v>
      </c>
      <c r="BN76" s="2">
        <v>4</v>
      </c>
      <c r="BQ76" s="194">
        <f t="shared" si="49"/>
        <v>3.00000000004</v>
      </c>
      <c r="BR76" s="194">
        <f t="shared" si="50"/>
        <v>4.00000000002</v>
      </c>
      <c r="BS76" s="194">
        <f t="shared" si="51"/>
        <v>4.00000000003</v>
      </c>
      <c r="BU76" s="194">
        <f t="shared" si="52"/>
        <v>4.00000000005</v>
      </c>
      <c r="BV76" s="194">
        <f t="shared" si="53"/>
        <v>4.00000000006</v>
      </c>
      <c r="BW76" s="194">
        <f t="shared" si="54"/>
        <v>7.0000000000000004E-11</v>
      </c>
      <c r="BX76" s="194">
        <f t="shared" si="55"/>
        <v>7.9999999999999995E-11</v>
      </c>
      <c r="BY76" s="2">
        <f t="shared" si="63"/>
        <v>3.00000000004</v>
      </c>
      <c r="BZ76" s="2">
        <f t="shared" si="64"/>
        <v>4.00000000002</v>
      </c>
      <c r="CA76" s="2">
        <f t="shared" si="65"/>
        <v>4.00000000003</v>
      </c>
      <c r="CC76" s="2">
        <f t="shared" si="66"/>
        <v>4.00000000005</v>
      </c>
      <c r="CD76" s="2">
        <f t="shared" si="67"/>
        <v>4.00000000006</v>
      </c>
      <c r="CE76" s="2">
        <f t="shared" si="68"/>
        <v>7.0000000000000004E-11</v>
      </c>
      <c r="CF76" s="2">
        <f t="shared" si="69"/>
        <v>7.9999999999999995E-11</v>
      </c>
      <c r="CG76" s="364" t="b">
        <f t="shared" si="82"/>
        <v>1</v>
      </c>
      <c r="CH76" s="364" t="b">
        <f t="shared" si="70"/>
        <v>1</v>
      </c>
      <c r="CI76" s="364" t="b">
        <f t="shared" si="70"/>
        <v>1</v>
      </c>
      <c r="CJ76" s="364"/>
      <c r="CK76" s="364" t="b">
        <f t="shared" si="70"/>
        <v>1</v>
      </c>
      <c r="CL76" s="364" t="b">
        <f t="shared" si="70"/>
        <v>1</v>
      </c>
      <c r="CM76" s="364" t="b">
        <f t="shared" si="70"/>
        <v>0</v>
      </c>
      <c r="CN76" s="364" t="b">
        <f t="shared" si="70"/>
        <v>0</v>
      </c>
      <c r="CO76" s="346">
        <v>1</v>
      </c>
      <c r="CP76" s="346">
        <v>1</v>
      </c>
      <c r="CQ76" s="346">
        <v>1</v>
      </c>
      <c r="CR76" s="346"/>
      <c r="CS76" s="346">
        <v>1</v>
      </c>
      <c r="CT76" s="346">
        <v>1</v>
      </c>
      <c r="CU76" s="346">
        <v>1</v>
      </c>
      <c r="CV76" s="346">
        <v>1</v>
      </c>
      <c r="CX76" s="2">
        <v>3</v>
      </c>
      <c r="CY76" s="2">
        <v>3</v>
      </c>
      <c r="CZ76" s="2">
        <v>5</v>
      </c>
      <c r="DB76" s="2">
        <v>4</v>
      </c>
      <c r="DC76" s="2">
        <v>4</v>
      </c>
      <c r="DD76" s="2">
        <v>3</v>
      </c>
      <c r="DF76" s="194">
        <f t="shared" si="83"/>
        <v>3.00000000004</v>
      </c>
      <c r="DG76" s="194">
        <f t="shared" si="84"/>
        <v>3.00000000002</v>
      </c>
      <c r="DH76" s="194">
        <f t="shared" si="85"/>
        <v>5.00000000003</v>
      </c>
      <c r="DJ76" s="194">
        <f t="shared" si="86"/>
        <v>4.00000000005</v>
      </c>
      <c r="DK76" s="194">
        <f t="shared" si="87"/>
        <v>4.00000000006</v>
      </c>
      <c r="DL76" s="194">
        <f t="shared" si="88"/>
        <v>3.00000000007</v>
      </c>
      <c r="DM76" s="194">
        <f t="shared" si="89"/>
        <v>7.9999999999999995E-11</v>
      </c>
      <c r="DN76" s="2">
        <f t="shared" si="71"/>
        <v>3.00000000004</v>
      </c>
      <c r="DO76" s="2">
        <f t="shared" si="72"/>
        <v>3.00000000002</v>
      </c>
      <c r="DP76" s="2">
        <f t="shared" si="73"/>
        <v>5.00000000003</v>
      </c>
      <c r="DR76" s="2">
        <f t="shared" si="74"/>
        <v>4.00000000005</v>
      </c>
      <c r="DS76" s="2">
        <f t="shared" si="75"/>
        <v>4.00000000006</v>
      </c>
      <c r="DT76" s="2">
        <f t="shared" si="76"/>
        <v>3.00000000007</v>
      </c>
      <c r="DU76" s="2">
        <f t="shared" si="77"/>
        <v>7.9999999999999995E-11</v>
      </c>
      <c r="DV76" s="2" t="b">
        <f t="shared" si="90"/>
        <v>1</v>
      </c>
      <c r="DW76" s="2" t="b">
        <f t="shared" si="91"/>
        <v>0</v>
      </c>
      <c r="DX76" s="2" t="b">
        <f t="shared" si="92"/>
        <v>1</v>
      </c>
      <c r="DZ76" s="2" t="b">
        <f t="shared" si="93"/>
        <v>1</v>
      </c>
      <c r="EA76" s="2" t="b">
        <f t="shared" si="94"/>
        <v>1</v>
      </c>
      <c r="EB76" s="2" t="b">
        <f t="shared" si="95"/>
        <v>1</v>
      </c>
      <c r="EC76" s="2" t="b">
        <f t="shared" si="96"/>
        <v>0</v>
      </c>
      <c r="ED76" s="2" t="s">
        <v>394</v>
      </c>
      <c r="EE76" s="2" t="s">
        <v>394</v>
      </c>
      <c r="EF76" s="2" t="s">
        <v>394</v>
      </c>
      <c r="EH76" s="2" t="s">
        <v>394</v>
      </c>
      <c r="EI76" s="2" t="s">
        <v>394</v>
      </c>
      <c r="EJ76" s="2" t="s">
        <v>394</v>
      </c>
      <c r="EK76" s="2" t="s">
        <v>394</v>
      </c>
      <c r="EL76" s="2" t="s">
        <v>394</v>
      </c>
      <c r="EM76" s="2" t="s">
        <v>394</v>
      </c>
      <c r="EN76" s="2" t="s">
        <v>394</v>
      </c>
      <c r="EP76" s="2" t="s">
        <v>394</v>
      </c>
      <c r="EQ76" s="2" t="s">
        <v>394</v>
      </c>
      <c r="ER76" s="2" t="s">
        <v>394</v>
      </c>
      <c r="ES76" s="2" t="s">
        <v>394</v>
      </c>
      <c r="FB76" s="2" t="s">
        <v>394</v>
      </c>
      <c r="FC76" s="2" t="s">
        <v>394</v>
      </c>
      <c r="FD76" s="2" t="s">
        <v>394</v>
      </c>
      <c r="FE76" s="2" t="s">
        <v>394</v>
      </c>
      <c r="FF76" s="2" t="s">
        <v>394</v>
      </c>
      <c r="FG76" s="2" t="s">
        <v>394</v>
      </c>
      <c r="FH76" s="2" t="s">
        <v>394</v>
      </c>
      <c r="FI76" s="2" t="s">
        <v>394</v>
      </c>
      <c r="FJ76" s="2" t="s">
        <v>394</v>
      </c>
      <c r="FK76" s="2" t="s">
        <v>394</v>
      </c>
      <c r="FL76" s="2" t="s">
        <v>394</v>
      </c>
      <c r="FM76" s="2" t="s">
        <v>394</v>
      </c>
      <c r="FN76" s="2" t="s">
        <v>394</v>
      </c>
      <c r="FO76" s="2" t="s">
        <v>394</v>
      </c>
      <c r="FP76" s="2" t="s">
        <v>394</v>
      </c>
      <c r="FQ76" s="2" t="s">
        <v>394</v>
      </c>
    </row>
    <row r="77" spans="1:173" s="364" customFormat="1" ht="16.95" customHeight="1">
      <c r="A77" s="364" t="s">
        <v>958</v>
      </c>
      <c r="B77" s="346" t="s">
        <v>958</v>
      </c>
      <c r="C77" s="346" t="s">
        <v>222</v>
      </c>
      <c r="D77" s="346" t="s">
        <v>710</v>
      </c>
      <c r="E77" s="346" t="s">
        <v>959</v>
      </c>
      <c r="F77" s="424" t="s">
        <v>785</v>
      </c>
      <c r="G77" s="346">
        <v>21.06</v>
      </c>
      <c r="H77" s="337" t="s">
        <v>324</v>
      </c>
      <c r="I77" s="346">
        <f t="shared" si="79"/>
        <v>21.000000000210001</v>
      </c>
      <c r="J77" s="346">
        <f t="shared" si="80"/>
        <v>20.500000000239996</v>
      </c>
      <c r="K77" s="337"/>
      <c r="L77" s="337"/>
      <c r="M77" s="337"/>
      <c r="N77" s="346" t="s">
        <v>324</v>
      </c>
      <c r="O77" s="346" t="s">
        <v>324</v>
      </c>
      <c r="P77" s="427" t="s">
        <v>734</v>
      </c>
      <c r="Q77" s="346" t="s">
        <v>324</v>
      </c>
      <c r="R77" s="346" t="s">
        <v>324</v>
      </c>
      <c r="S77" s="346" t="s">
        <v>960</v>
      </c>
      <c r="T77" s="346" t="s">
        <v>713</v>
      </c>
      <c r="U77" s="346">
        <v>49</v>
      </c>
      <c r="V77" s="346" cm="1">
        <f t="array" ref="V77">IFERROR(INDEX('Offer Statistics'!$AI$2:$AI$350,MATCH(1,(B77='Offer Statistics'!$T$2:$T$350)*($B$11='Offer Statistics'!$U$2:$U$350),0)),"/")</f>
        <v>46</v>
      </c>
      <c r="W77" s="346" cm="1">
        <f t="array" ref="W77">IFERROR(INDEX('Offer Statistics'!$V$2:$V$350,MATCH(1,(B77='Offer Statistics'!$T$2:$T$350)*($B$11='Offer Statistics'!$U$2:$U$350),0)),"/")</f>
        <v>513</v>
      </c>
      <c r="X77" s="346" cm="1">
        <f t="array" ref="X77">IFERROR(INDEX('Offer Statistics'!$AD$2:$AD$350,MATCH(1,(B77='Offer Statistics'!$T$2:$T$350)*($B$11='Offer Statistics'!$U$2:$U$350),0)),"/")</f>
        <v>40</v>
      </c>
      <c r="Y77" s="346">
        <f t="shared" si="81"/>
        <v>12.824999999999999</v>
      </c>
      <c r="Z77" s="346" t="s">
        <v>713</v>
      </c>
      <c r="AA77" s="346" t="str">
        <f>入學要求!AF86</f>
        <v>/</v>
      </c>
      <c r="AB77" s="346" t="str">
        <f>入學要求!AG86</f>
        <v>/</v>
      </c>
      <c r="AC77" s="425" t="s">
        <v>785</v>
      </c>
      <c r="AF77" s="426" t="s">
        <v>324</v>
      </c>
      <c r="AG77" s="426" t="s">
        <v>324</v>
      </c>
      <c r="AH77" s="426" t="s">
        <v>734</v>
      </c>
      <c r="AI77" s="426" t="s">
        <v>324</v>
      </c>
      <c r="AJ77" s="346" t="s">
        <v>324</v>
      </c>
      <c r="AK77" s="364" t="s">
        <v>943</v>
      </c>
      <c r="AL77" s="364" t="s">
        <v>714</v>
      </c>
      <c r="AM77" s="364" t="s">
        <v>961</v>
      </c>
      <c r="AN77" s="364" t="s">
        <v>951</v>
      </c>
      <c r="AO77" s="364" t="s">
        <v>324</v>
      </c>
      <c r="AP77" s="364" t="s">
        <v>324</v>
      </c>
      <c r="AQ77" s="364" t="s">
        <v>394</v>
      </c>
      <c r="AR77" s="364" t="s">
        <v>324</v>
      </c>
      <c r="AT77" s="364" t="s">
        <v>945</v>
      </c>
      <c r="AU77" s="364" t="s">
        <v>946</v>
      </c>
      <c r="AV77" s="364" t="s">
        <v>713</v>
      </c>
      <c r="AZ77" s="346">
        <v>1</v>
      </c>
      <c r="BA77" s="346">
        <v>1.5</v>
      </c>
      <c r="BB77" s="346">
        <v>1</v>
      </c>
      <c r="BC77" s="346"/>
      <c r="BD77" s="346">
        <v>1</v>
      </c>
      <c r="BE77" s="346">
        <v>1</v>
      </c>
      <c r="BF77" s="346">
        <v>1</v>
      </c>
      <c r="BG77" s="346">
        <v>1</v>
      </c>
      <c r="BI77" s="364">
        <v>3</v>
      </c>
      <c r="BJ77" s="364">
        <v>3</v>
      </c>
      <c r="BK77" s="364">
        <v>5</v>
      </c>
      <c r="BM77" s="364">
        <v>4</v>
      </c>
      <c r="BN77" s="364">
        <v>4</v>
      </c>
      <c r="BO77" s="364">
        <v>3</v>
      </c>
      <c r="BQ77" s="194">
        <f t="shared" si="49"/>
        <v>3.00000000004</v>
      </c>
      <c r="BR77" s="194">
        <f t="shared" si="50"/>
        <v>3.00000000002</v>
      </c>
      <c r="BS77" s="194">
        <f t="shared" si="51"/>
        <v>5.00000000003</v>
      </c>
      <c r="BT77" s="194"/>
      <c r="BU77" s="194">
        <f t="shared" si="52"/>
        <v>4.00000000005</v>
      </c>
      <c r="BV77" s="194">
        <f t="shared" si="53"/>
        <v>4.00000000006</v>
      </c>
      <c r="BW77" s="194">
        <f t="shared" si="54"/>
        <v>3.00000000007</v>
      </c>
      <c r="BX77" s="194">
        <f t="shared" si="55"/>
        <v>7.9999999999999995E-11</v>
      </c>
      <c r="BY77" s="364">
        <f t="shared" si="63"/>
        <v>3.00000000004</v>
      </c>
      <c r="BZ77" s="364">
        <f t="shared" si="64"/>
        <v>4.50000000003</v>
      </c>
      <c r="CA77" s="364">
        <f t="shared" si="65"/>
        <v>5.00000000003</v>
      </c>
      <c r="CC77" s="364">
        <f t="shared" si="66"/>
        <v>4.00000000005</v>
      </c>
      <c r="CD77" s="364">
        <f t="shared" si="67"/>
        <v>4.00000000006</v>
      </c>
      <c r="CE77" s="364">
        <f t="shared" si="68"/>
        <v>3.00000000007</v>
      </c>
      <c r="CF77" s="364">
        <f t="shared" si="69"/>
        <v>7.9999999999999995E-11</v>
      </c>
      <c r="CG77" s="364" t="b">
        <f t="shared" si="82"/>
        <v>0</v>
      </c>
      <c r="CH77" s="364" t="b">
        <f t="shared" si="70"/>
        <v>1</v>
      </c>
      <c r="CI77" s="364" t="b">
        <f t="shared" si="70"/>
        <v>1</v>
      </c>
      <c r="CK77" s="364" t="b">
        <f t="shared" si="70"/>
        <v>1</v>
      </c>
      <c r="CL77" s="364" t="b">
        <f t="shared" si="70"/>
        <v>1</v>
      </c>
      <c r="CM77" s="364" t="b">
        <f t="shared" si="70"/>
        <v>1</v>
      </c>
      <c r="CN77" s="364" t="b">
        <f t="shared" si="70"/>
        <v>0</v>
      </c>
      <c r="CO77" s="346">
        <v>1</v>
      </c>
      <c r="CP77" s="346">
        <v>1.5</v>
      </c>
      <c r="CQ77" s="346">
        <v>1</v>
      </c>
      <c r="CR77" s="346"/>
      <c r="CS77" s="346">
        <v>1</v>
      </c>
      <c r="CT77" s="346">
        <v>1</v>
      </c>
      <c r="CU77" s="346">
        <v>1</v>
      </c>
      <c r="CV77" s="346">
        <v>1</v>
      </c>
      <c r="CX77" s="364">
        <v>4</v>
      </c>
      <c r="CY77" s="364">
        <v>4</v>
      </c>
      <c r="CZ77" s="364">
        <v>4</v>
      </c>
      <c r="DB77" s="364">
        <v>4</v>
      </c>
      <c r="DC77" s="364">
        <v>3</v>
      </c>
      <c r="DF77" s="194">
        <f t="shared" si="83"/>
        <v>4.00000000004</v>
      </c>
      <c r="DG77" s="194">
        <f t="shared" si="84"/>
        <v>4.00000000002</v>
      </c>
      <c r="DH77" s="194">
        <f t="shared" si="85"/>
        <v>4.00000000003</v>
      </c>
      <c r="DI77" s="194"/>
      <c r="DJ77" s="194">
        <f t="shared" si="86"/>
        <v>4.00000000005</v>
      </c>
      <c r="DK77" s="194">
        <f t="shared" si="87"/>
        <v>3.00000000006</v>
      </c>
      <c r="DL77" s="194">
        <f t="shared" si="88"/>
        <v>7.0000000000000004E-11</v>
      </c>
      <c r="DM77" s="194">
        <f t="shared" si="89"/>
        <v>7.9999999999999995E-11</v>
      </c>
      <c r="DN77" s="364">
        <f t="shared" si="71"/>
        <v>4.00000000004</v>
      </c>
      <c r="DO77" s="364">
        <f t="shared" si="72"/>
        <v>6.00000000003</v>
      </c>
      <c r="DP77" s="364">
        <f t="shared" si="73"/>
        <v>4.00000000003</v>
      </c>
      <c r="DR77" s="364">
        <f t="shared" si="74"/>
        <v>4.00000000005</v>
      </c>
      <c r="DS77" s="364">
        <f t="shared" si="75"/>
        <v>3.00000000006</v>
      </c>
      <c r="DT77" s="364">
        <f t="shared" si="76"/>
        <v>7.0000000000000004E-11</v>
      </c>
      <c r="DU77" s="364">
        <f t="shared" si="77"/>
        <v>7.9999999999999995E-11</v>
      </c>
      <c r="DV77" s="2" t="b">
        <f t="shared" si="90"/>
        <v>1</v>
      </c>
      <c r="DW77" s="2" t="b">
        <f t="shared" si="91"/>
        <v>1</v>
      </c>
      <c r="DX77" s="2" t="b">
        <f t="shared" si="92"/>
        <v>1</v>
      </c>
      <c r="DY77" s="2"/>
      <c r="DZ77" s="2" t="b">
        <f t="shared" si="93"/>
        <v>1</v>
      </c>
      <c r="EA77" s="2" t="b">
        <f t="shared" si="94"/>
        <v>1</v>
      </c>
      <c r="EB77" s="2" t="b">
        <f t="shared" si="95"/>
        <v>0</v>
      </c>
      <c r="EC77" s="2" t="b">
        <f t="shared" si="96"/>
        <v>0</v>
      </c>
      <c r="ED77" s="364" t="s">
        <v>394</v>
      </c>
      <c r="EE77" s="364" t="s">
        <v>394</v>
      </c>
      <c r="EF77" s="364" t="s">
        <v>394</v>
      </c>
      <c r="EH77" s="364" t="s">
        <v>394</v>
      </c>
      <c r="EI77" s="364" t="s">
        <v>394</v>
      </c>
      <c r="EJ77" s="364" t="s">
        <v>394</v>
      </c>
      <c r="EK77" s="364" t="s">
        <v>394</v>
      </c>
      <c r="EL77" s="364" t="s">
        <v>394</v>
      </c>
      <c r="EM77" s="364" t="s">
        <v>394</v>
      </c>
      <c r="EN77" s="364" t="s">
        <v>394</v>
      </c>
      <c r="EP77" s="364" t="s">
        <v>394</v>
      </c>
      <c r="EQ77" s="364" t="s">
        <v>394</v>
      </c>
      <c r="ER77" s="364" t="s">
        <v>394</v>
      </c>
      <c r="ES77" s="364" t="s">
        <v>394</v>
      </c>
      <c r="FB77" s="364" t="s">
        <v>394</v>
      </c>
      <c r="FC77" s="364" t="s">
        <v>394</v>
      </c>
      <c r="FD77" s="364" t="s">
        <v>394</v>
      </c>
      <c r="FE77" s="364" t="s">
        <v>394</v>
      </c>
      <c r="FF77" s="364" t="s">
        <v>394</v>
      </c>
      <c r="FG77" s="364" t="s">
        <v>394</v>
      </c>
      <c r="FH77" s="364" t="s">
        <v>394</v>
      </c>
      <c r="FI77" s="364" t="s">
        <v>394</v>
      </c>
      <c r="FJ77" s="364" t="s">
        <v>394</v>
      </c>
      <c r="FK77" s="364" t="s">
        <v>394</v>
      </c>
      <c r="FL77" s="364" t="s">
        <v>394</v>
      </c>
      <c r="FM77" s="364" t="s">
        <v>394</v>
      </c>
      <c r="FN77" s="364" t="s">
        <v>394</v>
      </c>
      <c r="FO77" s="364" t="s">
        <v>394</v>
      </c>
      <c r="FP77" s="364" t="s">
        <v>394</v>
      </c>
      <c r="FQ77" s="364" t="s">
        <v>394</v>
      </c>
    </row>
    <row r="78" spans="1:173" s="364" customFormat="1">
      <c r="A78" s="364" t="s">
        <v>962</v>
      </c>
      <c r="B78" s="346" t="s">
        <v>962</v>
      </c>
      <c r="C78" s="346" t="s">
        <v>222</v>
      </c>
      <c r="D78" s="346" t="s">
        <v>710</v>
      </c>
      <c r="E78" s="346" t="s">
        <v>963</v>
      </c>
      <c r="F78" s="424" t="s">
        <v>785</v>
      </c>
      <c r="G78" s="346">
        <v>21.12</v>
      </c>
      <c r="H78" s="337" t="s">
        <v>324</v>
      </c>
      <c r="I78" s="346">
        <f t="shared" si="79"/>
        <v>21.000000000210001</v>
      </c>
      <c r="J78" s="346">
        <f t="shared" si="80"/>
        <v>21.000000000210001</v>
      </c>
      <c r="K78" s="337"/>
      <c r="L78" s="337"/>
      <c r="M78" s="337"/>
      <c r="N78" s="346" t="s">
        <v>324</v>
      </c>
      <c r="O78" s="346" t="s">
        <v>324</v>
      </c>
      <c r="P78" s="427" t="s">
        <v>734</v>
      </c>
      <c r="Q78" s="346" t="s">
        <v>324</v>
      </c>
      <c r="R78" s="346" t="s">
        <v>324</v>
      </c>
      <c r="S78" s="346" t="s">
        <v>964</v>
      </c>
      <c r="T78" s="346" t="s">
        <v>713</v>
      </c>
      <c r="U78" s="346">
        <v>185</v>
      </c>
      <c r="V78" s="346" cm="1">
        <f t="array" ref="V78">IFERROR(INDEX('Offer Statistics'!$AI$2:$AI$350,MATCH(1,(B78='Offer Statistics'!$T$2:$T$350)*($B$11='Offer Statistics'!$U$2:$U$350),0)),"/")</f>
        <v>157</v>
      </c>
      <c r="W78" s="346" cm="1">
        <f t="array" ref="W78">IFERROR(INDEX('Offer Statistics'!$V$2:$V$350,MATCH(1,(B78='Offer Statistics'!$T$2:$T$350)*($B$11='Offer Statistics'!$U$2:$U$350),0)),"/")</f>
        <v>1519</v>
      </c>
      <c r="X78" s="346" cm="1">
        <f t="array" ref="X78">IFERROR(INDEX('Offer Statistics'!$AD$2:$AD$350,MATCH(1,(B78='Offer Statistics'!$T$2:$T$350)*($B$11='Offer Statistics'!$U$2:$U$350),0)),"/")</f>
        <v>124</v>
      </c>
      <c r="Y78" s="346">
        <f t="shared" si="81"/>
        <v>12.25</v>
      </c>
      <c r="Z78" s="346" t="s">
        <v>713</v>
      </c>
      <c r="AA78" s="346" t="str">
        <f>入學要求!AF87</f>
        <v>/</v>
      </c>
      <c r="AB78" s="346" t="str">
        <f>入學要求!AG87</f>
        <v>/</v>
      </c>
      <c r="AC78" s="425" t="s">
        <v>785</v>
      </c>
      <c r="AF78" s="426" t="s">
        <v>324</v>
      </c>
      <c r="AG78" s="426" t="s">
        <v>324</v>
      </c>
      <c r="AH78" s="426" t="s">
        <v>734</v>
      </c>
      <c r="AI78" s="426" t="s">
        <v>324</v>
      </c>
      <c r="AJ78" s="346" t="s">
        <v>324</v>
      </c>
      <c r="AK78" s="364" t="s">
        <v>943</v>
      </c>
      <c r="AL78" s="364" t="s">
        <v>714</v>
      </c>
      <c r="AM78" s="364" t="s">
        <v>961</v>
      </c>
      <c r="AN78" s="364" t="s">
        <v>951</v>
      </c>
      <c r="AO78" s="364" t="s">
        <v>324</v>
      </c>
      <c r="AP78" s="364" t="s">
        <v>324</v>
      </c>
      <c r="AQ78" s="364" t="s">
        <v>394</v>
      </c>
      <c r="AR78" s="364" t="s">
        <v>324</v>
      </c>
      <c r="AT78" s="364" t="s">
        <v>945</v>
      </c>
      <c r="AU78" s="364" t="s">
        <v>946</v>
      </c>
      <c r="AV78" s="364" t="s">
        <v>713</v>
      </c>
      <c r="AZ78" s="346">
        <v>1</v>
      </c>
      <c r="BA78" s="346">
        <v>1.5</v>
      </c>
      <c r="BB78" s="346">
        <v>1</v>
      </c>
      <c r="BC78" s="346"/>
      <c r="BD78" s="346">
        <v>1</v>
      </c>
      <c r="BE78" s="346">
        <v>1</v>
      </c>
      <c r="BF78" s="346">
        <v>1</v>
      </c>
      <c r="BG78" s="346">
        <v>1</v>
      </c>
      <c r="BI78" s="364">
        <v>4</v>
      </c>
      <c r="BJ78" s="364">
        <v>4</v>
      </c>
      <c r="BK78" s="364">
        <v>3</v>
      </c>
      <c r="BM78" s="364">
        <v>4</v>
      </c>
      <c r="BN78" s="364">
        <v>4</v>
      </c>
      <c r="BQ78" s="194">
        <f t="shared" si="49"/>
        <v>4.00000000004</v>
      </c>
      <c r="BR78" s="194">
        <f t="shared" si="50"/>
        <v>4.00000000002</v>
      </c>
      <c r="BS78" s="194">
        <f t="shared" si="51"/>
        <v>3.00000000003</v>
      </c>
      <c r="BT78" s="194"/>
      <c r="BU78" s="194">
        <f t="shared" si="52"/>
        <v>4.00000000005</v>
      </c>
      <c r="BV78" s="194">
        <f t="shared" si="53"/>
        <v>4.00000000006</v>
      </c>
      <c r="BW78" s="194">
        <f t="shared" si="54"/>
        <v>7.0000000000000004E-11</v>
      </c>
      <c r="BX78" s="194">
        <f t="shared" si="55"/>
        <v>7.9999999999999995E-11</v>
      </c>
      <c r="BY78" s="364">
        <f t="shared" si="63"/>
        <v>4.00000000004</v>
      </c>
      <c r="BZ78" s="364">
        <f t="shared" si="64"/>
        <v>6.00000000003</v>
      </c>
      <c r="CA78" s="364">
        <f t="shared" si="65"/>
        <v>3.00000000003</v>
      </c>
      <c r="CC78" s="364">
        <f t="shared" si="66"/>
        <v>4.00000000005</v>
      </c>
      <c r="CD78" s="364">
        <f t="shared" si="67"/>
        <v>4.00000000006</v>
      </c>
      <c r="CE78" s="364">
        <f t="shared" si="68"/>
        <v>7.0000000000000004E-11</v>
      </c>
      <c r="CF78" s="364">
        <f t="shared" si="69"/>
        <v>7.9999999999999995E-11</v>
      </c>
      <c r="CG78" s="364" t="b">
        <f t="shared" si="82"/>
        <v>1</v>
      </c>
      <c r="CH78" s="364" t="b">
        <f t="shared" si="70"/>
        <v>1</v>
      </c>
      <c r="CI78" s="364" t="b">
        <f t="shared" si="70"/>
        <v>1</v>
      </c>
      <c r="CK78" s="364" t="b">
        <f t="shared" si="70"/>
        <v>1</v>
      </c>
      <c r="CL78" s="364" t="b">
        <f t="shared" si="70"/>
        <v>1</v>
      </c>
      <c r="CM78" s="364" t="b">
        <f t="shared" si="70"/>
        <v>0</v>
      </c>
      <c r="CN78" s="364" t="b">
        <f t="shared" si="70"/>
        <v>0</v>
      </c>
      <c r="CO78" s="346">
        <v>1</v>
      </c>
      <c r="CP78" s="346">
        <v>1.5</v>
      </c>
      <c r="CQ78" s="346">
        <v>1</v>
      </c>
      <c r="CR78" s="346"/>
      <c r="CS78" s="346">
        <v>1</v>
      </c>
      <c r="CT78" s="346">
        <v>1</v>
      </c>
      <c r="CU78" s="346">
        <v>1</v>
      </c>
      <c r="CV78" s="346">
        <v>1</v>
      </c>
      <c r="CX78" s="364">
        <v>5</v>
      </c>
      <c r="CY78" s="364">
        <v>4</v>
      </c>
      <c r="CZ78" s="364">
        <v>4</v>
      </c>
      <c r="DB78" s="364">
        <v>3</v>
      </c>
      <c r="DC78" s="364">
        <v>3</v>
      </c>
      <c r="DD78" s="364">
        <v>2</v>
      </c>
      <c r="DF78" s="194">
        <f t="shared" si="83"/>
        <v>5.00000000004</v>
      </c>
      <c r="DG78" s="194">
        <f t="shared" si="84"/>
        <v>4.00000000002</v>
      </c>
      <c r="DH78" s="194">
        <f t="shared" si="85"/>
        <v>4.00000000003</v>
      </c>
      <c r="DI78" s="194"/>
      <c r="DJ78" s="194">
        <f t="shared" si="86"/>
        <v>3.00000000005</v>
      </c>
      <c r="DK78" s="194">
        <f t="shared" si="87"/>
        <v>3.00000000006</v>
      </c>
      <c r="DL78" s="194">
        <f t="shared" si="88"/>
        <v>2.00000000007</v>
      </c>
      <c r="DM78" s="194">
        <f t="shared" si="89"/>
        <v>7.9999999999999995E-11</v>
      </c>
      <c r="DN78" s="364">
        <f t="shared" si="71"/>
        <v>5.00000000004</v>
      </c>
      <c r="DO78" s="364">
        <f t="shared" si="72"/>
        <v>6.00000000003</v>
      </c>
      <c r="DP78" s="364">
        <f t="shared" si="73"/>
        <v>4.00000000003</v>
      </c>
      <c r="DR78" s="364">
        <f t="shared" si="74"/>
        <v>3.00000000005</v>
      </c>
      <c r="DS78" s="364">
        <f t="shared" si="75"/>
        <v>3.00000000006</v>
      </c>
      <c r="DT78" s="364">
        <f t="shared" si="76"/>
        <v>2.00000000007</v>
      </c>
      <c r="DU78" s="364">
        <f t="shared" si="77"/>
        <v>7.9999999999999995E-11</v>
      </c>
      <c r="DV78" s="2" t="b">
        <f t="shared" si="90"/>
        <v>1</v>
      </c>
      <c r="DW78" s="2" t="b">
        <f t="shared" si="91"/>
        <v>1</v>
      </c>
      <c r="DX78" s="2" t="b">
        <f t="shared" si="92"/>
        <v>1</v>
      </c>
      <c r="DY78" s="2"/>
      <c r="DZ78" s="2" t="b">
        <f t="shared" si="93"/>
        <v>1</v>
      </c>
      <c r="EA78" s="2" t="b">
        <f t="shared" si="94"/>
        <v>1</v>
      </c>
      <c r="EB78" s="2" t="b">
        <f t="shared" si="95"/>
        <v>0</v>
      </c>
      <c r="EC78" s="2" t="b">
        <f t="shared" si="96"/>
        <v>0</v>
      </c>
      <c r="ED78" s="364" t="s">
        <v>394</v>
      </c>
      <c r="EE78" s="364" t="s">
        <v>394</v>
      </c>
      <c r="EF78" s="364" t="s">
        <v>394</v>
      </c>
      <c r="EH78" s="364" t="s">
        <v>394</v>
      </c>
      <c r="EI78" s="364" t="s">
        <v>394</v>
      </c>
      <c r="EJ78" s="364" t="s">
        <v>394</v>
      </c>
      <c r="EK78" s="364" t="s">
        <v>394</v>
      </c>
      <c r="EL78" s="364" t="s">
        <v>394</v>
      </c>
      <c r="EM78" s="364" t="s">
        <v>394</v>
      </c>
      <c r="EN78" s="364" t="s">
        <v>394</v>
      </c>
      <c r="EP78" s="364" t="s">
        <v>394</v>
      </c>
      <c r="EQ78" s="364" t="s">
        <v>394</v>
      </c>
      <c r="ER78" s="364" t="s">
        <v>394</v>
      </c>
      <c r="ES78" s="364" t="s">
        <v>394</v>
      </c>
      <c r="FB78" s="364" t="s">
        <v>394</v>
      </c>
      <c r="FC78" s="364" t="s">
        <v>394</v>
      </c>
      <c r="FD78" s="364" t="s">
        <v>394</v>
      </c>
      <c r="FE78" s="364" t="s">
        <v>394</v>
      </c>
      <c r="FF78" s="364" t="s">
        <v>394</v>
      </c>
      <c r="FG78" s="364" t="s">
        <v>394</v>
      </c>
      <c r="FH78" s="364" t="s">
        <v>394</v>
      </c>
      <c r="FI78" s="364" t="s">
        <v>394</v>
      </c>
      <c r="FJ78" s="364" t="s">
        <v>394</v>
      </c>
      <c r="FK78" s="364" t="s">
        <v>394</v>
      </c>
      <c r="FL78" s="364" t="s">
        <v>394</v>
      </c>
      <c r="FM78" s="364" t="s">
        <v>394</v>
      </c>
      <c r="FN78" s="364" t="s">
        <v>394</v>
      </c>
      <c r="FO78" s="364" t="s">
        <v>394</v>
      </c>
      <c r="FP78" s="364" t="s">
        <v>394</v>
      </c>
      <c r="FQ78" s="364" t="s">
        <v>394</v>
      </c>
    </row>
    <row r="79" spans="1:173">
      <c r="A79" s="335" t="s">
        <v>965</v>
      </c>
      <c r="B79" s="346" t="s">
        <v>965</v>
      </c>
      <c r="C79" s="346" t="s">
        <v>222</v>
      </c>
      <c r="D79" s="346" t="s">
        <v>966</v>
      </c>
      <c r="E79" s="346" t="s">
        <v>967</v>
      </c>
      <c r="F79" s="424" t="s">
        <v>785</v>
      </c>
      <c r="G79" s="346">
        <v>22.81</v>
      </c>
      <c r="H79" s="337" t="s">
        <v>324</v>
      </c>
      <c r="I79" s="346">
        <f t="shared" si="79"/>
        <v>22.750000000215003</v>
      </c>
      <c r="J79" s="346">
        <f t="shared" si="80"/>
        <v>22.000000000255003</v>
      </c>
      <c r="K79" s="337"/>
      <c r="L79" s="337"/>
      <c r="M79" s="337"/>
      <c r="N79" s="346" t="s">
        <v>324</v>
      </c>
      <c r="O79" s="346" t="s">
        <v>324</v>
      </c>
      <c r="P79" s="346" t="s">
        <v>832</v>
      </c>
      <c r="Q79" s="346" t="s">
        <v>324</v>
      </c>
      <c r="R79" s="346" t="s">
        <v>324</v>
      </c>
      <c r="S79" s="346" t="s">
        <v>969</v>
      </c>
      <c r="T79" s="346" t="s">
        <v>713</v>
      </c>
      <c r="U79" s="346">
        <v>70</v>
      </c>
      <c r="V79" s="346" cm="1">
        <f t="array" ref="V79">IFERROR(INDEX('Offer Statistics'!$AI$2:$AI$350,MATCH(1,(B79='Offer Statistics'!$T$2:$T$350)*($B$11='Offer Statistics'!$U$2:$U$350),0)),"/")</f>
        <v>74</v>
      </c>
      <c r="W79" s="346" cm="1">
        <f t="array" ref="W79">IFERROR(INDEX('Offer Statistics'!$V$2:$V$350,MATCH(1,(B79='Offer Statistics'!$T$2:$T$350)*($B$11='Offer Statistics'!$U$2:$U$350),0)),"/")</f>
        <v>557</v>
      </c>
      <c r="X79" s="346" cm="1">
        <f t="array" ref="X79">IFERROR(INDEX('Offer Statistics'!$AD$2:$AD$350,MATCH(1,(B79='Offer Statistics'!$T$2:$T$350)*($B$11='Offer Statistics'!$U$2:$U$350),0)),"/")</f>
        <v>66</v>
      </c>
      <c r="Y79" s="346">
        <f t="shared" si="81"/>
        <v>8.4393939393939394</v>
      </c>
      <c r="Z79" s="346" t="s">
        <v>713</v>
      </c>
      <c r="AA79" s="346" t="str">
        <f>入學要求!AF88</f>
        <v>/</v>
      </c>
      <c r="AB79" s="346" t="str">
        <f>入學要求!AG88</f>
        <v>/</v>
      </c>
      <c r="AC79" s="425" t="s">
        <v>785</v>
      </c>
      <c r="AD79" s="337"/>
      <c r="AE79" s="337"/>
      <c r="AF79" s="346" t="s">
        <v>324</v>
      </c>
      <c r="AG79" s="346" t="s">
        <v>324</v>
      </c>
      <c r="AH79" s="346" t="s">
        <v>834</v>
      </c>
      <c r="AI79" s="346" t="s">
        <v>324</v>
      </c>
      <c r="AJ79" s="346" t="s">
        <v>324</v>
      </c>
      <c r="AK79" s="359" t="s">
        <v>943</v>
      </c>
      <c r="AL79" s="359" t="s">
        <v>714</v>
      </c>
      <c r="AM79" s="359" t="s">
        <v>970</v>
      </c>
      <c r="AN79" s="359" t="s">
        <v>324</v>
      </c>
      <c r="AO79" s="359" t="s">
        <v>324</v>
      </c>
      <c r="AP79" s="359" t="s">
        <v>324</v>
      </c>
      <c r="AQ79" s="359" t="s">
        <v>394</v>
      </c>
      <c r="AR79" s="359" t="s">
        <v>324</v>
      </c>
      <c r="AS79" s="359"/>
      <c r="AT79" s="2" t="s">
        <v>945</v>
      </c>
      <c r="AU79" s="2" t="s">
        <v>946</v>
      </c>
      <c r="AV79" s="2" t="s">
        <v>713</v>
      </c>
      <c r="AZ79" s="346">
        <v>1.25</v>
      </c>
      <c r="BA79" s="346">
        <v>1.25</v>
      </c>
      <c r="BB79" s="346">
        <v>1</v>
      </c>
      <c r="BC79" s="346"/>
      <c r="BD79" s="346">
        <v>1</v>
      </c>
      <c r="BE79" s="346">
        <v>1</v>
      </c>
      <c r="BF79" s="346">
        <v>1</v>
      </c>
      <c r="BG79" s="346">
        <v>1</v>
      </c>
      <c r="BI79" s="2">
        <v>4</v>
      </c>
      <c r="BJ79" s="2">
        <v>4</v>
      </c>
      <c r="BK79" s="2">
        <v>4</v>
      </c>
      <c r="BM79" s="2">
        <v>4</v>
      </c>
      <c r="BN79" s="2">
        <v>4</v>
      </c>
      <c r="BO79" s="2">
        <v>4</v>
      </c>
      <c r="BQ79" s="194">
        <f t="shared" si="49"/>
        <v>4.00000000004</v>
      </c>
      <c r="BR79" s="194">
        <f t="shared" si="50"/>
        <v>4.00000000002</v>
      </c>
      <c r="BS79" s="194">
        <f t="shared" si="51"/>
        <v>4.00000000003</v>
      </c>
      <c r="BU79" s="194">
        <f t="shared" si="52"/>
        <v>4.00000000005</v>
      </c>
      <c r="BV79" s="194">
        <f t="shared" si="53"/>
        <v>4.00000000006</v>
      </c>
      <c r="BW79" s="194">
        <f t="shared" si="54"/>
        <v>4.00000000007</v>
      </c>
      <c r="BX79" s="194">
        <f t="shared" si="55"/>
        <v>7.9999999999999995E-11</v>
      </c>
      <c r="BY79" s="2">
        <f t="shared" si="63"/>
        <v>5.00000000005</v>
      </c>
      <c r="BZ79" s="2">
        <f t="shared" si="64"/>
        <v>5.0000000000250004</v>
      </c>
      <c r="CA79" s="2">
        <f t="shared" si="65"/>
        <v>4.00000000003</v>
      </c>
      <c r="CC79" s="2">
        <f t="shared" si="66"/>
        <v>4.00000000005</v>
      </c>
      <c r="CD79" s="2">
        <f t="shared" si="67"/>
        <v>4.00000000006</v>
      </c>
      <c r="CE79" s="2">
        <f t="shared" si="68"/>
        <v>4.00000000007</v>
      </c>
      <c r="CF79" s="2">
        <f t="shared" si="69"/>
        <v>7.9999999999999995E-11</v>
      </c>
      <c r="CG79" s="364" t="b">
        <f t="shared" si="82"/>
        <v>1</v>
      </c>
      <c r="CH79" s="364" t="b">
        <f t="shared" si="70"/>
        <v>1</v>
      </c>
      <c r="CI79" s="364" t="b">
        <f t="shared" si="70"/>
        <v>0</v>
      </c>
      <c r="CJ79" s="364"/>
      <c r="CK79" s="364" t="b">
        <f t="shared" si="70"/>
        <v>1</v>
      </c>
      <c r="CL79" s="364" t="b">
        <f t="shared" si="70"/>
        <v>1</v>
      </c>
      <c r="CM79" s="364" t="b">
        <f t="shared" si="70"/>
        <v>1</v>
      </c>
      <c r="CN79" s="364" t="b">
        <f t="shared" si="70"/>
        <v>0</v>
      </c>
      <c r="CO79" s="346">
        <v>1.25</v>
      </c>
      <c r="CP79" s="346">
        <v>1.25</v>
      </c>
      <c r="CQ79" s="346">
        <v>1</v>
      </c>
      <c r="CR79" s="346"/>
      <c r="CS79" s="346">
        <v>1</v>
      </c>
      <c r="CT79" s="346">
        <v>1</v>
      </c>
      <c r="CU79" s="346">
        <v>1</v>
      </c>
      <c r="CV79" s="346">
        <v>1</v>
      </c>
      <c r="CX79" s="2">
        <v>4</v>
      </c>
      <c r="CY79" s="2">
        <v>3</v>
      </c>
      <c r="CZ79" s="2">
        <v>4</v>
      </c>
      <c r="DB79" s="2">
        <v>6</v>
      </c>
      <c r="DC79" s="2">
        <v>4</v>
      </c>
      <c r="DF79" s="194">
        <f t="shared" si="83"/>
        <v>4.00000000004</v>
      </c>
      <c r="DG79" s="194">
        <f t="shared" si="84"/>
        <v>3.00000000002</v>
      </c>
      <c r="DH79" s="194">
        <f t="shared" si="85"/>
        <v>4.00000000003</v>
      </c>
      <c r="DJ79" s="194">
        <f t="shared" si="86"/>
        <v>6.00000000005</v>
      </c>
      <c r="DK79" s="194">
        <f t="shared" si="87"/>
        <v>4.00000000006</v>
      </c>
      <c r="DL79" s="194">
        <f t="shared" si="88"/>
        <v>7.0000000000000004E-11</v>
      </c>
      <c r="DM79" s="194">
        <f t="shared" si="89"/>
        <v>7.9999999999999995E-11</v>
      </c>
      <c r="DN79" s="2">
        <f t="shared" si="71"/>
        <v>5.00000000005</v>
      </c>
      <c r="DO79" s="2">
        <f t="shared" si="72"/>
        <v>3.750000000025</v>
      </c>
      <c r="DP79" s="2">
        <f t="shared" si="73"/>
        <v>4.00000000003</v>
      </c>
      <c r="DR79" s="2">
        <f t="shared" si="74"/>
        <v>6.00000000005</v>
      </c>
      <c r="DS79" s="2">
        <f t="shared" si="75"/>
        <v>4.00000000006</v>
      </c>
      <c r="DT79" s="2">
        <f t="shared" si="76"/>
        <v>7.0000000000000004E-11</v>
      </c>
      <c r="DU79" s="2">
        <f t="shared" si="77"/>
        <v>7.9999999999999995E-11</v>
      </c>
      <c r="DV79" s="2" t="b">
        <f t="shared" si="90"/>
        <v>1</v>
      </c>
      <c r="DW79" s="2" t="b">
        <f t="shared" si="91"/>
        <v>1</v>
      </c>
      <c r="DX79" s="2" t="b">
        <f t="shared" si="92"/>
        <v>1</v>
      </c>
      <c r="DZ79" s="2" t="b">
        <f t="shared" si="93"/>
        <v>1</v>
      </c>
      <c r="EA79" s="2" t="b">
        <f t="shared" si="94"/>
        <v>1</v>
      </c>
      <c r="EB79" s="2" t="b">
        <f t="shared" si="95"/>
        <v>0</v>
      </c>
      <c r="EC79" s="2" t="b">
        <f t="shared" si="96"/>
        <v>0</v>
      </c>
      <c r="ED79" s="2" t="s">
        <v>394</v>
      </c>
      <c r="EE79" s="2" t="s">
        <v>394</v>
      </c>
      <c r="EF79" s="2" t="s">
        <v>394</v>
      </c>
      <c r="EH79" s="2" t="s">
        <v>394</v>
      </c>
      <c r="EI79" s="2" t="s">
        <v>394</v>
      </c>
      <c r="EJ79" s="2" t="s">
        <v>394</v>
      </c>
      <c r="EK79" s="2" t="s">
        <v>394</v>
      </c>
      <c r="EL79" s="2" t="s">
        <v>394</v>
      </c>
      <c r="EM79" s="2" t="s">
        <v>394</v>
      </c>
      <c r="EN79" s="2" t="s">
        <v>394</v>
      </c>
      <c r="EP79" s="2" t="s">
        <v>394</v>
      </c>
      <c r="EQ79" s="2" t="s">
        <v>394</v>
      </c>
      <c r="ER79" s="2" t="s">
        <v>394</v>
      </c>
      <c r="ES79" s="2" t="s">
        <v>394</v>
      </c>
      <c r="FB79" s="2" t="s">
        <v>394</v>
      </c>
      <c r="FC79" s="2" t="s">
        <v>394</v>
      </c>
      <c r="FD79" s="2" t="s">
        <v>394</v>
      </c>
      <c r="FE79" s="2" t="s">
        <v>394</v>
      </c>
      <c r="FF79" s="2" t="s">
        <v>394</v>
      </c>
      <c r="FG79" s="2" t="s">
        <v>394</v>
      </c>
      <c r="FH79" s="2" t="s">
        <v>394</v>
      </c>
      <c r="FI79" s="2" t="s">
        <v>394</v>
      </c>
      <c r="FJ79" s="2" t="s">
        <v>394</v>
      </c>
      <c r="FK79" s="2" t="s">
        <v>394</v>
      </c>
      <c r="FL79" s="2" t="s">
        <v>394</v>
      </c>
      <c r="FM79" s="2" t="s">
        <v>394</v>
      </c>
      <c r="FN79" s="2" t="s">
        <v>394</v>
      </c>
      <c r="FO79" s="2" t="s">
        <v>394</v>
      </c>
      <c r="FP79" s="2" t="s">
        <v>394</v>
      </c>
      <c r="FQ79" s="2" t="s">
        <v>394</v>
      </c>
    </row>
    <row r="80" spans="1:173">
      <c r="A80" s="335" t="s">
        <v>971</v>
      </c>
      <c r="B80" s="346" t="s">
        <v>971</v>
      </c>
      <c r="C80" s="346" t="s">
        <v>222</v>
      </c>
      <c r="D80" s="346" t="s">
        <v>966</v>
      </c>
      <c r="E80" s="346" t="s">
        <v>972</v>
      </c>
      <c r="F80" s="424" t="s">
        <v>785</v>
      </c>
      <c r="G80" s="346">
        <v>22.93</v>
      </c>
      <c r="H80" s="337" t="s">
        <v>324</v>
      </c>
      <c r="I80" s="346">
        <f t="shared" si="79"/>
        <v>23.500000000215003</v>
      </c>
      <c r="J80" s="346">
        <f t="shared" si="80"/>
        <v>23.000000000215003</v>
      </c>
      <c r="K80" s="337"/>
      <c r="L80" s="337"/>
      <c r="M80" s="337"/>
      <c r="N80" s="346" t="s">
        <v>324</v>
      </c>
      <c r="O80" s="346" t="s">
        <v>324</v>
      </c>
      <c r="P80" s="346" t="s">
        <v>832</v>
      </c>
      <c r="Q80" s="346" t="s">
        <v>324</v>
      </c>
      <c r="R80" s="346" t="s">
        <v>324</v>
      </c>
      <c r="S80" s="346" t="s">
        <v>973</v>
      </c>
      <c r="T80" s="346" t="s">
        <v>713</v>
      </c>
      <c r="U80" s="346">
        <v>18</v>
      </c>
      <c r="V80" s="346" cm="1">
        <f t="array" ref="V80">IFERROR(INDEX('Offer Statistics'!$AI$2:$AI$350,MATCH(1,(B80='Offer Statistics'!$T$2:$T$350)*($B$11='Offer Statistics'!$U$2:$U$350),0)),"/")</f>
        <v>17</v>
      </c>
      <c r="W80" s="346" cm="1">
        <f t="array" ref="W80">IFERROR(INDEX('Offer Statistics'!$V$2:$V$350,MATCH(1,(B80='Offer Statistics'!$T$2:$T$350)*($B$11='Offer Statistics'!$U$2:$U$350),0)),"/")</f>
        <v>387</v>
      </c>
      <c r="X80" s="346" cm="1">
        <f t="array" ref="X80">IFERROR(INDEX('Offer Statistics'!$AD$2:$AD$350,MATCH(1,(B80='Offer Statistics'!$T$2:$T$350)*($B$11='Offer Statistics'!$U$2:$U$350),0)),"/")</f>
        <v>17</v>
      </c>
      <c r="Y80" s="346">
        <f t="shared" si="81"/>
        <v>22.764705882352942</v>
      </c>
      <c r="Z80" s="346" t="s">
        <v>713</v>
      </c>
      <c r="AA80" s="346" t="str">
        <f>入學要求!AF89</f>
        <v>/</v>
      </c>
      <c r="AB80" s="346" t="str">
        <f>入學要求!AG89</f>
        <v>/</v>
      </c>
      <c r="AC80" s="425" t="s">
        <v>785</v>
      </c>
      <c r="AD80" s="346"/>
      <c r="AE80" s="346"/>
      <c r="AF80" s="346" t="s">
        <v>324</v>
      </c>
      <c r="AG80" s="346" t="s">
        <v>324</v>
      </c>
      <c r="AH80" s="346" t="s">
        <v>834</v>
      </c>
      <c r="AI80" s="346" t="s">
        <v>324</v>
      </c>
      <c r="AJ80" s="346" t="s">
        <v>324</v>
      </c>
      <c r="AK80" s="359" t="s">
        <v>943</v>
      </c>
      <c r="AL80" s="359" t="s">
        <v>974</v>
      </c>
      <c r="AM80" s="359" t="s">
        <v>975</v>
      </c>
      <c r="AN80" s="359" t="s">
        <v>976</v>
      </c>
      <c r="AO80" s="359" t="s">
        <v>977</v>
      </c>
      <c r="AP80" s="359" t="s">
        <v>324</v>
      </c>
      <c r="AQ80" s="359" t="s">
        <v>394</v>
      </c>
      <c r="AR80" s="359" t="s">
        <v>324</v>
      </c>
      <c r="AS80" s="359"/>
      <c r="AT80" s="2" t="s">
        <v>945</v>
      </c>
      <c r="AU80" s="2" t="s">
        <v>946</v>
      </c>
      <c r="AV80" s="2" t="s">
        <v>713</v>
      </c>
      <c r="AZ80" s="346">
        <v>1.25</v>
      </c>
      <c r="BA80" s="346">
        <v>1.25</v>
      </c>
      <c r="BB80" s="346">
        <v>1</v>
      </c>
      <c r="BC80" s="346"/>
      <c r="BD80" s="346">
        <v>1</v>
      </c>
      <c r="BE80" s="346">
        <v>1</v>
      </c>
      <c r="BF80" s="346">
        <v>1</v>
      </c>
      <c r="BG80" s="346">
        <v>1</v>
      </c>
      <c r="BI80" s="2">
        <v>3</v>
      </c>
      <c r="BJ80" s="2">
        <v>5</v>
      </c>
      <c r="BK80" s="2">
        <v>4</v>
      </c>
      <c r="BM80" s="2">
        <v>5</v>
      </c>
      <c r="BN80" s="2">
        <v>4</v>
      </c>
      <c r="BO80" s="2">
        <v>3</v>
      </c>
      <c r="BQ80" s="194">
        <f t="shared" si="49"/>
        <v>3.00000000004</v>
      </c>
      <c r="BR80" s="194">
        <f t="shared" si="50"/>
        <v>5.00000000002</v>
      </c>
      <c r="BS80" s="194">
        <f t="shared" si="51"/>
        <v>4.00000000003</v>
      </c>
      <c r="BU80" s="194">
        <f t="shared" si="52"/>
        <v>5.00000000005</v>
      </c>
      <c r="BV80" s="194">
        <f t="shared" si="53"/>
        <v>4.00000000006</v>
      </c>
      <c r="BW80" s="194">
        <f t="shared" si="54"/>
        <v>3.00000000007</v>
      </c>
      <c r="BX80" s="194">
        <f t="shared" si="55"/>
        <v>7.9999999999999995E-11</v>
      </c>
      <c r="BY80" s="2">
        <f t="shared" si="63"/>
        <v>3.75000000005</v>
      </c>
      <c r="BZ80" s="2">
        <f t="shared" si="64"/>
        <v>6.2500000000250004</v>
      </c>
      <c r="CA80" s="2">
        <f t="shared" si="65"/>
        <v>4.00000000003</v>
      </c>
      <c r="CC80" s="2">
        <f t="shared" si="66"/>
        <v>5.00000000005</v>
      </c>
      <c r="CD80" s="2">
        <f t="shared" si="67"/>
        <v>4.00000000006</v>
      </c>
      <c r="CE80" s="2">
        <f t="shared" si="68"/>
        <v>3.00000000007</v>
      </c>
      <c r="CF80" s="2">
        <f t="shared" si="69"/>
        <v>7.9999999999999995E-11</v>
      </c>
      <c r="CG80" s="364" t="b">
        <f t="shared" si="82"/>
        <v>1</v>
      </c>
      <c r="CH80" s="364" t="b">
        <f t="shared" si="70"/>
        <v>1</v>
      </c>
      <c r="CI80" s="364" t="b">
        <f t="shared" si="70"/>
        <v>1</v>
      </c>
      <c r="CJ80" s="364"/>
      <c r="CK80" s="364" t="b">
        <f t="shared" si="70"/>
        <v>1</v>
      </c>
      <c r="CL80" s="364" t="b">
        <f t="shared" si="70"/>
        <v>1</v>
      </c>
      <c r="CM80" s="364" t="b">
        <f t="shared" si="70"/>
        <v>0</v>
      </c>
      <c r="CN80" s="364" t="b">
        <f t="shared" si="70"/>
        <v>0</v>
      </c>
      <c r="CO80" s="346">
        <v>1.25</v>
      </c>
      <c r="CP80" s="346">
        <v>1.25</v>
      </c>
      <c r="CQ80" s="346">
        <v>1</v>
      </c>
      <c r="CR80" s="346"/>
      <c r="CS80" s="346">
        <v>1</v>
      </c>
      <c r="CT80" s="346">
        <v>1</v>
      </c>
      <c r="CU80" s="346">
        <v>1</v>
      </c>
      <c r="CV80" s="346">
        <v>1</v>
      </c>
      <c r="CX80" s="2">
        <v>5</v>
      </c>
      <c r="CY80" s="2">
        <v>5</v>
      </c>
      <c r="CZ80" s="2">
        <v>4</v>
      </c>
      <c r="DB80" s="2">
        <v>4</v>
      </c>
      <c r="DC80" s="2">
        <v>3</v>
      </c>
      <c r="DF80" s="194">
        <f t="shared" si="83"/>
        <v>5.00000000004</v>
      </c>
      <c r="DG80" s="194">
        <f t="shared" si="84"/>
        <v>5.00000000002</v>
      </c>
      <c r="DH80" s="194">
        <f t="shared" si="85"/>
        <v>4.00000000003</v>
      </c>
      <c r="DJ80" s="194">
        <f t="shared" si="86"/>
        <v>4.00000000005</v>
      </c>
      <c r="DK80" s="194">
        <f t="shared" si="87"/>
        <v>3.00000000006</v>
      </c>
      <c r="DL80" s="194">
        <f t="shared" si="88"/>
        <v>7.0000000000000004E-11</v>
      </c>
      <c r="DM80" s="194">
        <f t="shared" si="89"/>
        <v>7.9999999999999995E-11</v>
      </c>
      <c r="DN80" s="2">
        <f t="shared" si="71"/>
        <v>6.25000000005</v>
      </c>
      <c r="DO80" s="2">
        <f t="shared" si="72"/>
        <v>6.2500000000250004</v>
      </c>
      <c r="DP80" s="2">
        <f t="shared" si="73"/>
        <v>4.00000000003</v>
      </c>
      <c r="DR80" s="2">
        <f t="shared" si="74"/>
        <v>4.00000000005</v>
      </c>
      <c r="DS80" s="2">
        <f t="shared" si="75"/>
        <v>3.00000000006</v>
      </c>
      <c r="DT80" s="2">
        <f t="shared" si="76"/>
        <v>7.0000000000000004E-11</v>
      </c>
      <c r="DU80" s="2">
        <f t="shared" si="77"/>
        <v>7.9999999999999995E-11</v>
      </c>
      <c r="DV80" s="2" t="b">
        <f t="shared" si="90"/>
        <v>1</v>
      </c>
      <c r="DW80" s="2" t="b">
        <f t="shared" si="91"/>
        <v>1</v>
      </c>
      <c r="DX80" s="2" t="b">
        <f t="shared" si="92"/>
        <v>1</v>
      </c>
      <c r="DZ80" s="2" t="b">
        <f t="shared" si="93"/>
        <v>1</v>
      </c>
      <c r="EA80" s="2" t="b">
        <f t="shared" si="94"/>
        <v>1</v>
      </c>
      <c r="EB80" s="2" t="b">
        <f t="shared" si="95"/>
        <v>0</v>
      </c>
      <c r="EC80" s="2" t="b">
        <f t="shared" si="96"/>
        <v>0</v>
      </c>
      <c r="ED80" s="2" t="s">
        <v>394</v>
      </c>
      <c r="EE80" s="2" t="s">
        <v>394</v>
      </c>
      <c r="EF80" s="2" t="s">
        <v>394</v>
      </c>
      <c r="EH80" s="2" t="s">
        <v>394</v>
      </c>
      <c r="EI80" s="2" t="s">
        <v>394</v>
      </c>
      <c r="EJ80" s="2" t="s">
        <v>394</v>
      </c>
      <c r="EK80" s="2" t="s">
        <v>394</v>
      </c>
      <c r="EL80" s="2" t="s">
        <v>394</v>
      </c>
      <c r="EM80" s="2" t="s">
        <v>394</v>
      </c>
      <c r="EN80" s="2" t="s">
        <v>394</v>
      </c>
      <c r="EP80" s="2" t="s">
        <v>394</v>
      </c>
      <c r="EQ80" s="2" t="s">
        <v>394</v>
      </c>
      <c r="ER80" s="2" t="s">
        <v>394</v>
      </c>
      <c r="ES80" s="2" t="s">
        <v>394</v>
      </c>
      <c r="FB80" s="2" t="s">
        <v>394</v>
      </c>
      <c r="FC80" s="2" t="s">
        <v>394</v>
      </c>
      <c r="FD80" s="2" t="s">
        <v>394</v>
      </c>
      <c r="FE80" s="2" t="s">
        <v>394</v>
      </c>
      <c r="FF80" s="2" t="s">
        <v>394</v>
      </c>
      <c r="FG80" s="2" t="s">
        <v>394</v>
      </c>
      <c r="FH80" s="2" t="s">
        <v>394</v>
      </c>
      <c r="FI80" s="2" t="s">
        <v>394</v>
      </c>
      <c r="FJ80" s="2" t="s">
        <v>394</v>
      </c>
      <c r="FK80" s="2" t="s">
        <v>394</v>
      </c>
      <c r="FL80" s="2" t="s">
        <v>394</v>
      </c>
      <c r="FM80" s="2" t="s">
        <v>394</v>
      </c>
      <c r="FN80" s="2" t="s">
        <v>394</v>
      </c>
      <c r="FO80" s="2" t="s">
        <v>394</v>
      </c>
      <c r="FP80" s="2" t="s">
        <v>394</v>
      </c>
      <c r="FQ80" s="2" t="s">
        <v>394</v>
      </c>
    </row>
    <row r="81" spans="1:195">
      <c r="A81" s="335" t="s">
        <v>978</v>
      </c>
      <c r="B81" s="346" t="s">
        <v>978</v>
      </c>
      <c r="C81" s="346" t="s">
        <v>222</v>
      </c>
      <c r="D81" s="346" t="s">
        <v>966</v>
      </c>
      <c r="E81" s="346" t="s">
        <v>979</v>
      </c>
      <c r="F81" s="346" t="s">
        <v>785</v>
      </c>
      <c r="G81" s="346">
        <v>16.75</v>
      </c>
      <c r="H81" s="337" t="s">
        <v>324</v>
      </c>
      <c r="I81" s="346">
        <f t="shared" si="79"/>
        <v>17.000000000250001</v>
      </c>
      <c r="J81" s="346">
        <f t="shared" si="80"/>
        <v>17.000000000200004</v>
      </c>
      <c r="K81" s="337"/>
      <c r="L81" s="337"/>
      <c r="M81" s="337"/>
      <c r="N81" s="346" t="s">
        <v>324</v>
      </c>
      <c r="O81" s="346" t="s">
        <v>324</v>
      </c>
      <c r="P81" s="346" t="s">
        <v>324</v>
      </c>
      <c r="Q81" s="346" t="s">
        <v>324</v>
      </c>
      <c r="R81" s="346" t="s">
        <v>324</v>
      </c>
      <c r="S81" s="346" t="s">
        <v>980</v>
      </c>
      <c r="T81" s="346" t="s">
        <v>713</v>
      </c>
      <c r="U81" s="346">
        <v>8</v>
      </c>
      <c r="V81" s="346" cm="1">
        <f t="array" ref="V81">IFERROR(INDEX('Offer Statistics'!$AI$2:$AI$350,MATCH(1,(B81='Offer Statistics'!$T$2:$T$350)*($B$11='Offer Statistics'!$U$2:$U$350),0)),"/")</f>
        <v>8</v>
      </c>
      <c r="W81" s="346" cm="1">
        <f t="array" ref="W81">IFERROR(INDEX('Offer Statistics'!$V$2:$V$350,MATCH(1,(B81='Offer Statistics'!$T$2:$T$350)*($B$11='Offer Statistics'!$U$2:$U$350),0)),"/")</f>
        <v>176</v>
      </c>
      <c r="X81" s="346" cm="1">
        <f t="array" ref="X81">IFERROR(INDEX('Offer Statistics'!$AD$2:$AD$350,MATCH(1,(B81='Offer Statistics'!$T$2:$T$350)*($B$11='Offer Statistics'!$U$2:$U$350),0)),"/")</f>
        <v>8</v>
      </c>
      <c r="Y81" s="346">
        <f t="shared" si="81"/>
        <v>22</v>
      </c>
      <c r="Z81" s="346" t="s">
        <v>713</v>
      </c>
      <c r="AA81" s="346" t="str">
        <f>入學要求!AF90</f>
        <v>/</v>
      </c>
      <c r="AB81" s="346" t="str">
        <f>入學要求!AG90</f>
        <v>/</v>
      </c>
      <c r="AC81" s="426" t="s">
        <v>785</v>
      </c>
      <c r="AD81" s="346"/>
      <c r="AE81" s="346"/>
      <c r="AF81" s="346" t="s">
        <v>324</v>
      </c>
      <c r="AG81" s="346" t="s">
        <v>324</v>
      </c>
      <c r="AH81" s="346" t="s">
        <v>324</v>
      </c>
      <c r="AI81" s="346" t="s">
        <v>324</v>
      </c>
      <c r="AJ81" s="346" t="s">
        <v>324</v>
      </c>
      <c r="AK81" s="359" t="s">
        <v>943</v>
      </c>
      <c r="AL81" s="359" t="s">
        <v>974</v>
      </c>
      <c r="AM81" s="359" t="s">
        <v>961</v>
      </c>
      <c r="AN81" s="359" t="s">
        <v>981</v>
      </c>
      <c r="AO81" s="359" t="s">
        <v>982</v>
      </c>
      <c r="AP81" s="359" t="s">
        <v>983</v>
      </c>
      <c r="AQ81" s="359" t="s">
        <v>394</v>
      </c>
      <c r="AR81" s="359" t="s">
        <v>324</v>
      </c>
      <c r="AS81" s="359"/>
      <c r="AT81" s="2" t="s">
        <v>945</v>
      </c>
      <c r="AU81" s="2" t="s">
        <v>946</v>
      </c>
      <c r="AV81" s="2" t="s">
        <v>713</v>
      </c>
      <c r="AY81" s="191"/>
      <c r="AZ81" s="346">
        <v>1</v>
      </c>
      <c r="BA81" s="346">
        <v>1</v>
      </c>
      <c r="BB81" s="346">
        <v>1</v>
      </c>
      <c r="BC81" s="346"/>
      <c r="BD81" s="346">
        <v>1</v>
      </c>
      <c r="BE81" s="346">
        <v>1</v>
      </c>
      <c r="BF81" s="346">
        <v>1</v>
      </c>
      <c r="BG81" s="346">
        <v>1</v>
      </c>
      <c r="BI81" s="2">
        <v>4</v>
      </c>
      <c r="BJ81" s="2">
        <v>4</v>
      </c>
      <c r="BK81" s="2">
        <v>3</v>
      </c>
      <c r="BM81" s="2">
        <v>3</v>
      </c>
      <c r="BN81" s="2">
        <v>3</v>
      </c>
      <c r="BQ81" s="194">
        <f t="shared" si="49"/>
        <v>4.00000000004</v>
      </c>
      <c r="BR81" s="194">
        <f t="shared" si="50"/>
        <v>4.00000000002</v>
      </c>
      <c r="BS81" s="194">
        <f t="shared" si="51"/>
        <v>3.00000000003</v>
      </c>
      <c r="BU81" s="194">
        <f t="shared" si="52"/>
        <v>3.00000000005</v>
      </c>
      <c r="BV81" s="194">
        <f t="shared" si="53"/>
        <v>3.00000000006</v>
      </c>
      <c r="BW81" s="194">
        <f t="shared" si="54"/>
        <v>7.0000000000000004E-11</v>
      </c>
      <c r="BX81" s="194">
        <f t="shared" si="55"/>
        <v>7.9999999999999995E-11</v>
      </c>
      <c r="BY81" s="2">
        <f t="shared" si="63"/>
        <v>4.00000000004</v>
      </c>
      <c r="BZ81" s="2">
        <f t="shared" si="64"/>
        <v>4.00000000002</v>
      </c>
      <c r="CA81" s="2">
        <f t="shared" si="65"/>
        <v>3.00000000003</v>
      </c>
      <c r="CC81" s="2">
        <f t="shared" si="66"/>
        <v>3.00000000005</v>
      </c>
      <c r="CD81" s="2">
        <f t="shared" si="67"/>
        <v>3.00000000006</v>
      </c>
      <c r="CE81" s="2">
        <f t="shared" si="68"/>
        <v>7.0000000000000004E-11</v>
      </c>
      <c r="CF81" s="2">
        <f t="shared" si="69"/>
        <v>7.9999999999999995E-11</v>
      </c>
      <c r="CG81" s="364" t="b">
        <f t="shared" si="82"/>
        <v>1</v>
      </c>
      <c r="CH81" s="364" t="b">
        <f t="shared" si="70"/>
        <v>1</v>
      </c>
      <c r="CI81" s="364" t="b">
        <f t="shared" si="70"/>
        <v>1</v>
      </c>
      <c r="CJ81" s="364"/>
      <c r="CK81" s="364" t="b">
        <f t="shared" si="70"/>
        <v>1</v>
      </c>
      <c r="CL81" s="364" t="b">
        <f t="shared" si="70"/>
        <v>1</v>
      </c>
      <c r="CM81" s="364" t="b">
        <f t="shared" si="70"/>
        <v>0</v>
      </c>
      <c r="CN81" s="364" t="b">
        <f t="shared" si="70"/>
        <v>0</v>
      </c>
      <c r="CO81" s="346">
        <v>1</v>
      </c>
      <c r="CP81" s="346">
        <v>1</v>
      </c>
      <c r="CQ81" s="346">
        <v>1</v>
      </c>
      <c r="CR81" s="346"/>
      <c r="CS81" s="346">
        <v>1</v>
      </c>
      <c r="CT81" s="346">
        <v>1</v>
      </c>
      <c r="CU81" s="346">
        <v>1</v>
      </c>
      <c r="CV81" s="346">
        <v>1</v>
      </c>
      <c r="CX81" s="2">
        <v>3</v>
      </c>
      <c r="CY81" s="2">
        <v>3</v>
      </c>
      <c r="CZ81" s="2">
        <v>4</v>
      </c>
      <c r="DB81" s="2">
        <v>4</v>
      </c>
      <c r="DC81" s="2">
        <v>3</v>
      </c>
      <c r="DD81" s="2">
        <v>3</v>
      </c>
      <c r="DF81" s="194">
        <f t="shared" si="83"/>
        <v>3.00000000004</v>
      </c>
      <c r="DG81" s="194">
        <f t="shared" si="84"/>
        <v>3.00000000002</v>
      </c>
      <c r="DH81" s="194">
        <f t="shared" si="85"/>
        <v>4.00000000003</v>
      </c>
      <c r="DJ81" s="194">
        <f t="shared" si="86"/>
        <v>4.00000000005</v>
      </c>
      <c r="DK81" s="194">
        <f t="shared" si="87"/>
        <v>3.00000000006</v>
      </c>
      <c r="DL81" s="194">
        <f t="shared" si="88"/>
        <v>3.00000000007</v>
      </c>
      <c r="DM81" s="194">
        <f t="shared" si="89"/>
        <v>7.9999999999999995E-11</v>
      </c>
      <c r="DN81" s="2">
        <f t="shared" si="71"/>
        <v>3.00000000004</v>
      </c>
      <c r="DO81" s="2">
        <f t="shared" si="72"/>
        <v>3.00000000002</v>
      </c>
      <c r="DP81" s="2">
        <f t="shared" si="73"/>
        <v>4.00000000003</v>
      </c>
      <c r="DR81" s="2">
        <f t="shared" si="74"/>
        <v>4.00000000005</v>
      </c>
      <c r="DS81" s="2">
        <f t="shared" si="75"/>
        <v>3.00000000006</v>
      </c>
      <c r="DT81" s="2">
        <f t="shared" si="76"/>
        <v>3.00000000007</v>
      </c>
      <c r="DU81" s="2">
        <f t="shared" si="77"/>
        <v>7.9999999999999995E-11</v>
      </c>
      <c r="DV81" s="2" t="b">
        <f t="shared" si="90"/>
        <v>1</v>
      </c>
      <c r="DW81" s="2" t="b">
        <f t="shared" si="91"/>
        <v>0</v>
      </c>
      <c r="DX81" s="2" t="b">
        <f t="shared" si="92"/>
        <v>1</v>
      </c>
      <c r="DZ81" s="2" t="b">
        <f t="shared" si="93"/>
        <v>1</v>
      </c>
      <c r="EA81" s="2" t="b">
        <f t="shared" si="94"/>
        <v>1</v>
      </c>
      <c r="EB81" s="2" t="b">
        <f t="shared" si="95"/>
        <v>1</v>
      </c>
      <c r="EC81" s="2" t="b">
        <f t="shared" si="96"/>
        <v>0</v>
      </c>
      <c r="ED81" s="2" t="s">
        <v>394</v>
      </c>
      <c r="EE81" s="2" t="s">
        <v>394</v>
      </c>
      <c r="EF81" s="2" t="s">
        <v>394</v>
      </c>
      <c r="EH81" s="2" t="s">
        <v>394</v>
      </c>
      <c r="EI81" s="2" t="s">
        <v>394</v>
      </c>
      <c r="EJ81" s="2" t="s">
        <v>394</v>
      </c>
      <c r="EK81" s="2" t="s">
        <v>394</v>
      </c>
      <c r="EL81" s="2" t="s">
        <v>394</v>
      </c>
      <c r="EM81" s="2" t="s">
        <v>394</v>
      </c>
      <c r="EN81" s="2" t="s">
        <v>394</v>
      </c>
      <c r="EP81" s="2" t="s">
        <v>394</v>
      </c>
      <c r="EQ81" s="2" t="s">
        <v>394</v>
      </c>
      <c r="ER81" s="2" t="s">
        <v>394</v>
      </c>
      <c r="ES81" s="2" t="s">
        <v>394</v>
      </c>
      <c r="FB81" s="2" t="s">
        <v>394</v>
      </c>
      <c r="FC81" s="2" t="s">
        <v>394</v>
      </c>
      <c r="FD81" s="2" t="s">
        <v>394</v>
      </c>
      <c r="FE81" s="2" t="s">
        <v>394</v>
      </c>
      <c r="FF81" s="2" t="s">
        <v>394</v>
      </c>
      <c r="FG81" s="2" t="s">
        <v>394</v>
      </c>
      <c r="FH81" s="2" t="s">
        <v>394</v>
      </c>
      <c r="FI81" s="2" t="s">
        <v>394</v>
      </c>
      <c r="FJ81" s="2" t="s">
        <v>394</v>
      </c>
      <c r="FK81" s="2" t="s">
        <v>394</v>
      </c>
      <c r="FL81" s="2" t="s">
        <v>394</v>
      </c>
      <c r="FM81" s="2" t="s">
        <v>394</v>
      </c>
      <c r="FN81" s="2" t="s">
        <v>394</v>
      </c>
      <c r="FO81" s="2" t="s">
        <v>394</v>
      </c>
      <c r="FP81" s="2" t="s">
        <v>394</v>
      </c>
      <c r="FQ81" s="2" t="s">
        <v>394</v>
      </c>
    </row>
    <row r="82" spans="1:195">
      <c r="A82" s="335" t="s">
        <v>984</v>
      </c>
      <c r="B82" s="346" t="s">
        <v>984</v>
      </c>
      <c r="C82" s="346" t="s">
        <v>222</v>
      </c>
      <c r="D82" s="346" t="s">
        <v>966</v>
      </c>
      <c r="E82" s="346" t="s">
        <v>985</v>
      </c>
      <c r="F82" s="425" t="s">
        <v>785</v>
      </c>
      <c r="G82" s="346">
        <v>21.9</v>
      </c>
      <c r="H82" s="337" t="s">
        <v>324</v>
      </c>
      <c r="I82" s="346">
        <f t="shared" si="79"/>
        <v>22.400000000271998</v>
      </c>
      <c r="J82" s="346">
        <f t="shared" si="80"/>
        <v>20.750000000271999</v>
      </c>
      <c r="K82" s="337"/>
      <c r="L82" s="337"/>
      <c r="M82" s="337"/>
      <c r="N82" s="346" t="s">
        <v>324</v>
      </c>
      <c r="O82" s="346" t="s">
        <v>324</v>
      </c>
      <c r="P82" s="346" t="s">
        <v>987</v>
      </c>
      <c r="Q82" s="346" t="s">
        <v>988</v>
      </c>
      <c r="R82" s="346" t="s">
        <v>989</v>
      </c>
      <c r="S82" s="346" t="s">
        <v>986</v>
      </c>
      <c r="T82" s="346" t="s">
        <v>713</v>
      </c>
      <c r="U82" s="346">
        <v>20</v>
      </c>
      <c r="V82" s="346" cm="1">
        <f t="array" ref="V82">IFERROR(INDEX('Offer Statistics'!$AI$2:$AI$350,MATCH(1,(B82='Offer Statistics'!$T$2:$T$350)*($B$11='Offer Statistics'!$U$2:$U$350),0)),"/")</f>
        <v>16</v>
      </c>
      <c r="W82" s="346" cm="1">
        <f t="array" ref="W82">IFERROR(INDEX('Offer Statistics'!$V$2:$V$350,MATCH(1,(B82='Offer Statistics'!$T$2:$T$350)*($B$11='Offer Statistics'!$U$2:$U$350),0)),"/")</f>
        <v>550</v>
      </c>
      <c r="X82" s="346" cm="1">
        <f t="array" ref="X82">IFERROR(INDEX('Offer Statistics'!$AD$2:$AD$350,MATCH(1,(B82='Offer Statistics'!$T$2:$T$350)*($B$11='Offer Statistics'!$U$2:$U$350),0)),"/")</f>
        <v>16</v>
      </c>
      <c r="Y82" s="346">
        <f t="shared" si="81"/>
        <v>34.375</v>
      </c>
      <c r="Z82" s="346" t="s">
        <v>713</v>
      </c>
      <c r="AA82" s="346" t="str">
        <f>入學要求!AF91</f>
        <v>/</v>
      </c>
      <c r="AB82" s="346" t="str">
        <f>入學要求!AG91</f>
        <v>/</v>
      </c>
      <c r="AC82" s="425" t="s">
        <v>785</v>
      </c>
      <c r="AD82" s="337"/>
      <c r="AE82" s="337"/>
      <c r="AF82" s="346" t="s">
        <v>324</v>
      </c>
      <c r="AG82" s="346" t="s">
        <v>324</v>
      </c>
      <c r="AH82" s="426" t="s">
        <v>987</v>
      </c>
      <c r="AI82" s="346" t="s">
        <v>988</v>
      </c>
      <c r="AJ82" s="346" t="s">
        <v>989</v>
      </c>
      <c r="AK82" s="359" t="s">
        <v>943</v>
      </c>
      <c r="AL82" s="359" t="s">
        <v>974</v>
      </c>
      <c r="AM82" s="359" t="s">
        <v>975</v>
      </c>
      <c r="AN82" s="359" t="s">
        <v>990</v>
      </c>
      <c r="AO82" s="359" t="s">
        <v>991</v>
      </c>
      <c r="AP82" s="359" t="s">
        <v>324</v>
      </c>
      <c r="AQ82" s="359" t="s">
        <v>394</v>
      </c>
      <c r="AR82" s="359" t="s">
        <v>324</v>
      </c>
      <c r="AS82" s="359"/>
      <c r="AT82" s="2" t="s">
        <v>945</v>
      </c>
      <c r="AU82" s="2" t="s">
        <v>946</v>
      </c>
      <c r="AV82" s="2" t="s">
        <v>713</v>
      </c>
      <c r="AW82" s="93"/>
      <c r="AX82" s="93"/>
      <c r="AY82" s="93"/>
      <c r="AZ82" s="346">
        <v>1.25</v>
      </c>
      <c r="BA82" s="346">
        <v>1</v>
      </c>
      <c r="BB82" s="346">
        <v>1.1000000000000001</v>
      </c>
      <c r="BC82" s="346"/>
      <c r="BD82" s="346">
        <v>1</v>
      </c>
      <c r="BE82" s="368">
        <v>1.1499999999999999</v>
      </c>
      <c r="BF82" s="346">
        <v>1</v>
      </c>
      <c r="BG82" s="346">
        <v>1</v>
      </c>
      <c r="BI82" s="2">
        <v>3</v>
      </c>
      <c r="BJ82" s="2">
        <v>3</v>
      </c>
      <c r="BK82" s="2">
        <v>4</v>
      </c>
      <c r="BM82" s="2">
        <v>4</v>
      </c>
      <c r="BN82" s="2">
        <v>4</v>
      </c>
      <c r="BO82" s="2">
        <v>4</v>
      </c>
      <c r="BQ82" s="194">
        <f t="shared" ref="BQ82:BQ94" si="97">IFERROR(BI82+0.00000000004,0)</f>
        <v>3.00000000004</v>
      </c>
      <c r="BR82" s="194">
        <f t="shared" ref="BR82:BR94" si="98">IFERROR(BJ82+0.00000000002,0)</f>
        <v>3.00000000002</v>
      </c>
      <c r="BS82" s="194">
        <f t="shared" ref="BS82:BS94" si="99">IFERROR(BK82+0.00000000003,0)</f>
        <v>4.00000000003</v>
      </c>
      <c r="BU82" s="194">
        <f t="shared" ref="BU82:BU94" si="100">IFERROR(BM82+0.00000000005,0)</f>
        <v>4.00000000005</v>
      </c>
      <c r="BV82" s="194">
        <f t="shared" ref="BV82:BV94" si="101">IFERROR(BN82+0.00000000006,0)</f>
        <v>4.00000000006</v>
      </c>
      <c r="BW82" s="194">
        <f t="shared" ref="BW82:BW94" si="102">IFERROR(BO82+0.00000000007,0)</f>
        <v>4.00000000007</v>
      </c>
      <c r="BX82" s="194">
        <f t="shared" ref="BX82:BX94" si="103">IFERROR(BP82+0.00000000008,0)</f>
        <v>7.9999999999999995E-11</v>
      </c>
      <c r="BY82" s="2">
        <f t="shared" si="63"/>
        <v>3.75000000005</v>
      </c>
      <c r="BZ82" s="2">
        <f t="shared" si="64"/>
        <v>3.00000000002</v>
      </c>
      <c r="CA82" s="2">
        <f t="shared" si="65"/>
        <v>4.4000000000330006</v>
      </c>
      <c r="CC82" s="2">
        <f t="shared" si="66"/>
        <v>4.00000000005</v>
      </c>
      <c r="CD82" s="2">
        <f t="shared" si="67"/>
        <v>4.6000000000689996</v>
      </c>
      <c r="CE82" s="2">
        <f t="shared" si="68"/>
        <v>4.00000000007</v>
      </c>
      <c r="CF82" s="2">
        <f t="shared" si="69"/>
        <v>7.9999999999999995E-11</v>
      </c>
      <c r="CG82" s="364" t="b">
        <f t="shared" si="82"/>
        <v>1</v>
      </c>
      <c r="CH82" s="364" t="b">
        <f t="shared" si="70"/>
        <v>0</v>
      </c>
      <c r="CI82" s="364" t="b">
        <f t="shared" si="70"/>
        <v>1</v>
      </c>
      <c r="CJ82" s="364"/>
      <c r="CK82" s="364" t="b">
        <f t="shared" si="70"/>
        <v>1</v>
      </c>
      <c r="CL82" s="364" t="b">
        <f t="shared" si="70"/>
        <v>1</v>
      </c>
      <c r="CM82" s="364" t="b">
        <f t="shared" si="70"/>
        <v>1</v>
      </c>
      <c r="CN82" s="364" t="b">
        <f t="shared" si="70"/>
        <v>0</v>
      </c>
      <c r="CO82" s="346">
        <v>1.25</v>
      </c>
      <c r="CP82" s="346">
        <v>1</v>
      </c>
      <c r="CQ82" s="346">
        <v>1.1000000000000001</v>
      </c>
      <c r="CR82" s="346"/>
      <c r="CS82" s="346">
        <v>1</v>
      </c>
      <c r="CT82" s="446">
        <v>1.1499999999999999</v>
      </c>
      <c r="CU82" s="346">
        <v>1</v>
      </c>
      <c r="CV82" s="346">
        <v>1</v>
      </c>
      <c r="CX82" s="2">
        <v>4</v>
      </c>
      <c r="CY82" s="2">
        <v>3</v>
      </c>
      <c r="CZ82" s="2">
        <v>3</v>
      </c>
      <c r="DB82" s="2">
        <v>5.5</v>
      </c>
      <c r="DC82" s="2">
        <v>4</v>
      </c>
      <c r="DD82" s="2">
        <v>4</v>
      </c>
      <c r="DE82" s="2">
        <v>2</v>
      </c>
      <c r="DF82" s="194">
        <f t="shared" si="83"/>
        <v>4.00000000004</v>
      </c>
      <c r="DG82" s="194">
        <f t="shared" si="84"/>
        <v>3.00000000002</v>
      </c>
      <c r="DH82" s="194">
        <f t="shared" si="85"/>
        <v>3.00000000003</v>
      </c>
      <c r="DJ82" s="194">
        <f t="shared" si="86"/>
        <v>5.50000000005</v>
      </c>
      <c r="DK82" s="194">
        <f t="shared" si="87"/>
        <v>4.00000000006</v>
      </c>
      <c r="DL82" s="194">
        <f t="shared" si="88"/>
        <v>4.00000000007</v>
      </c>
      <c r="DM82" s="194">
        <f t="shared" si="89"/>
        <v>2.00000000008</v>
      </c>
      <c r="DN82" s="2">
        <f t="shared" si="71"/>
        <v>5.00000000005</v>
      </c>
      <c r="DO82" s="2">
        <f t="shared" si="72"/>
        <v>3.00000000002</v>
      </c>
      <c r="DP82" s="2">
        <f t="shared" si="73"/>
        <v>3.3000000000330001</v>
      </c>
      <c r="DR82" s="2">
        <f t="shared" si="74"/>
        <v>5.50000000005</v>
      </c>
      <c r="DS82" s="2">
        <f t="shared" si="75"/>
        <v>4.6000000000689996</v>
      </c>
      <c r="DT82" s="2">
        <f t="shared" si="76"/>
        <v>4.00000000007</v>
      </c>
      <c r="DU82" s="2">
        <f t="shared" si="77"/>
        <v>2.00000000008</v>
      </c>
      <c r="DV82" s="2" t="b">
        <f t="shared" si="90"/>
        <v>1</v>
      </c>
      <c r="DW82" s="2" t="b">
        <f t="shared" si="91"/>
        <v>0</v>
      </c>
      <c r="DX82" s="2" t="b">
        <f t="shared" si="92"/>
        <v>1</v>
      </c>
      <c r="DZ82" s="2" t="b">
        <f t="shared" si="93"/>
        <v>1</v>
      </c>
      <c r="EA82" s="2" t="b">
        <f t="shared" si="94"/>
        <v>1</v>
      </c>
      <c r="EB82" s="2" t="b">
        <f t="shared" si="95"/>
        <v>1</v>
      </c>
      <c r="EC82" s="2" t="b">
        <f t="shared" si="96"/>
        <v>0</v>
      </c>
      <c r="ED82" s="2" t="s">
        <v>394</v>
      </c>
      <c r="EE82" s="2" t="s">
        <v>394</v>
      </c>
      <c r="EF82" s="2" t="s">
        <v>394</v>
      </c>
      <c r="EH82" s="2" t="s">
        <v>394</v>
      </c>
      <c r="EI82" s="2" t="s">
        <v>394</v>
      </c>
      <c r="EJ82" s="2" t="s">
        <v>394</v>
      </c>
      <c r="EK82" s="2" t="s">
        <v>394</v>
      </c>
      <c r="EL82" s="2" t="s">
        <v>394</v>
      </c>
      <c r="EM82" s="2" t="s">
        <v>394</v>
      </c>
      <c r="EN82" s="2" t="s">
        <v>394</v>
      </c>
      <c r="EP82" s="2" t="s">
        <v>394</v>
      </c>
      <c r="EQ82" s="2" t="s">
        <v>394</v>
      </c>
      <c r="ER82" s="2" t="s">
        <v>394</v>
      </c>
      <c r="ES82" s="2" t="s">
        <v>394</v>
      </c>
      <c r="FB82" s="2" t="s">
        <v>394</v>
      </c>
      <c r="FC82" s="2" t="s">
        <v>394</v>
      </c>
      <c r="FD82" s="2" t="s">
        <v>394</v>
      </c>
      <c r="FE82" s="2" t="s">
        <v>394</v>
      </c>
      <c r="FF82" s="2" t="s">
        <v>394</v>
      </c>
      <c r="FG82" s="2" t="s">
        <v>394</v>
      </c>
      <c r="FH82" s="2" t="s">
        <v>394</v>
      </c>
      <c r="FI82" s="2" t="s">
        <v>394</v>
      </c>
      <c r="FJ82" s="2" t="s">
        <v>394</v>
      </c>
      <c r="FK82" s="2" t="s">
        <v>394</v>
      </c>
      <c r="FL82" s="2" t="s">
        <v>394</v>
      </c>
      <c r="FM82" s="2" t="s">
        <v>394</v>
      </c>
      <c r="FN82" s="2" t="s">
        <v>394</v>
      </c>
      <c r="FO82" s="2" t="s">
        <v>394</v>
      </c>
      <c r="FP82" s="2" t="s">
        <v>394</v>
      </c>
      <c r="FQ82" s="2" t="s">
        <v>394</v>
      </c>
    </row>
    <row r="83" spans="1:195" s="51" customFormat="1">
      <c r="A83" s="335" t="s">
        <v>993</v>
      </c>
      <c r="B83" s="346" t="s">
        <v>993</v>
      </c>
      <c r="C83" s="346" t="s">
        <v>222</v>
      </c>
      <c r="D83" s="346" t="s">
        <v>994</v>
      </c>
      <c r="E83" s="346" t="s">
        <v>995</v>
      </c>
      <c r="F83" s="424" t="s">
        <v>785</v>
      </c>
      <c r="G83" s="346">
        <v>31.4</v>
      </c>
      <c r="H83" s="337" t="s">
        <v>324</v>
      </c>
      <c r="I83" s="346">
        <f t="shared" si="79"/>
        <v>31.500000000317502</v>
      </c>
      <c r="J83" s="346">
        <f t="shared" si="80"/>
        <v>31.000000000317502</v>
      </c>
      <c r="K83" s="337"/>
      <c r="L83" s="337"/>
      <c r="M83" s="337"/>
      <c r="N83" s="346" t="s">
        <v>324</v>
      </c>
      <c r="O83" s="346" t="s">
        <v>324</v>
      </c>
      <c r="P83" s="346" t="s">
        <v>996</v>
      </c>
      <c r="Q83" s="346" t="s">
        <v>997</v>
      </c>
      <c r="R83" s="346"/>
      <c r="S83" s="346" t="s">
        <v>998</v>
      </c>
      <c r="T83" s="346" t="s">
        <v>713</v>
      </c>
      <c r="U83" s="346">
        <v>37</v>
      </c>
      <c r="V83" s="346" cm="1">
        <f t="array" ref="V83">IFERROR(INDEX('Offer Statistics'!$AI$2:$AI$350,MATCH(1,(B83='Offer Statistics'!$T$2:$T$350)*($B$11='Offer Statistics'!$U$2:$U$350),0)),"/")</f>
        <v>46</v>
      </c>
      <c r="W83" s="346" cm="1">
        <f t="array" ref="W83">IFERROR(INDEX('Offer Statistics'!$V$2:$V$350,MATCH(1,(B83='Offer Statistics'!$T$2:$T$350)*($B$11='Offer Statistics'!$U$2:$U$350),0)),"/")</f>
        <v>349</v>
      </c>
      <c r="X83" s="346" cm="1">
        <f t="array" ref="X83">IFERROR(INDEX('Offer Statistics'!$AD$2:$AD$350,MATCH(1,(B83='Offer Statistics'!$T$2:$T$350)*($B$11='Offer Statistics'!$U$2:$U$350),0)),"/")</f>
        <v>46</v>
      </c>
      <c r="Y83" s="346">
        <f t="shared" si="81"/>
        <v>7.5869565217391308</v>
      </c>
      <c r="Z83" s="346" t="s">
        <v>713</v>
      </c>
      <c r="AA83" s="346" t="str">
        <f>入學要求!AF92</f>
        <v>以下一科選修取得Lv.3︰生物、化學</v>
      </c>
      <c r="AB83" s="346" t="str">
        <f>入學要求!AG92</f>
        <v>/</v>
      </c>
      <c r="AC83" s="425" t="s">
        <v>785</v>
      </c>
      <c r="AD83" s="337"/>
      <c r="AE83" s="337"/>
      <c r="AF83" s="346" t="s">
        <v>324</v>
      </c>
      <c r="AG83" s="346" t="s">
        <v>324</v>
      </c>
      <c r="AH83" s="346" t="s">
        <v>996</v>
      </c>
      <c r="AI83" s="346" t="s">
        <v>997</v>
      </c>
      <c r="AJ83" s="346"/>
      <c r="AK83" s="359" t="s">
        <v>943</v>
      </c>
      <c r="AL83" s="359" t="s">
        <v>714</v>
      </c>
      <c r="AM83" s="359" t="s">
        <v>944</v>
      </c>
      <c r="AN83" s="359" t="s">
        <v>951</v>
      </c>
      <c r="AO83" s="359" t="s">
        <v>324</v>
      </c>
      <c r="AP83" s="359" t="s">
        <v>324</v>
      </c>
      <c r="AQ83" s="359" t="s">
        <v>394</v>
      </c>
      <c r="AR83" s="359" t="s">
        <v>324</v>
      </c>
      <c r="AS83" s="359"/>
      <c r="AT83" s="2" t="s">
        <v>945</v>
      </c>
      <c r="AU83" s="2" t="s">
        <v>946</v>
      </c>
      <c r="AV83" s="93" t="s">
        <v>713</v>
      </c>
      <c r="AW83" s="93"/>
      <c r="AX83" s="93"/>
      <c r="AY83" s="93"/>
      <c r="AZ83" s="346">
        <v>1.5</v>
      </c>
      <c r="BA83" s="346">
        <v>1.5</v>
      </c>
      <c r="BB83" s="346">
        <v>1</v>
      </c>
      <c r="BC83" s="346"/>
      <c r="BD83" s="346">
        <v>1</v>
      </c>
      <c r="BE83" s="368">
        <v>1.5</v>
      </c>
      <c r="BF83" s="368">
        <v>1.25</v>
      </c>
      <c r="BG83" s="346">
        <v>1</v>
      </c>
      <c r="BH83" s="93"/>
      <c r="BI83" s="93">
        <v>4</v>
      </c>
      <c r="BJ83" s="93">
        <v>5</v>
      </c>
      <c r="BK83" s="93">
        <v>4</v>
      </c>
      <c r="BL83" s="93"/>
      <c r="BM83" s="93">
        <v>5</v>
      </c>
      <c r="BN83" s="93">
        <v>5</v>
      </c>
      <c r="BO83" s="93">
        <v>4</v>
      </c>
      <c r="BP83" s="93"/>
      <c r="BQ83" s="194">
        <f t="shared" si="97"/>
        <v>4.00000000004</v>
      </c>
      <c r="BR83" s="194">
        <f t="shared" si="98"/>
        <v>5.00000000002</v>
      </c>
      <c r="BS83" s="194">
        <f t="shared" si="99"/>
        <v>4.00000000003</v>
      </c>
      <c r="BT83" s="194"/>
      <c r="BU83" s="194">
        <f t="shared" si="100"/>
        <v>5.00000000005</v>
      </c>
      <c r="BV83" s="194">
        <f t="shared" si="101"/>
        <v>5.00000000006</v>
      </c>
      <c r="BW83" s="194">
        <f t="shared" si="102"/>
        <v>4.00000000007</v>
      </c>
      <c r="BX83" s="194">
        <f t="shared" si="103"/>
        <v>7.9999999999999995E-11</v>
      </c>
      <c r="BY83" s="2">
        <f t="shared" si="63"/>
        <v>6.00000000006</v>
      </c>
      <c r="BZ83" s="2">
        <f t="shared" si="64"/>
        <v>7.50000000003</v>
      </c>
      <c r="CA83" s="2">
        <f t="shared" si="65"/>
        <v>4.00000000003</v>
      </c>
      <c r="CB83" s="2"/>
      <c r="CC83" s="2">
        <f t="shared" si="66"/>
        <v>5.00000000005</v>
      </c>
      <c r="CD83" s="2">
        <f t="shared" si="67"/>
        <v>7.50000000009</v>
      </c>
      <c r="CE83" s="2">
        <f t="shared" si="68"/>
        <v>5.0000000000874998</v>
      </c>
      <c r="CF83" s="2">
        <f t="shared" si="69"/>
        <v>7.9999999999999995E-11</v>
      </c>
      <c r="CG83" s="364" t="b">
        <f t="shared" si="82"/>
        <v>1</v>
      </c>
      <c r="CH83" s="364" t="b">
        <f t="shared" si="70"/>
        <v>1</v>
      </c>
      <c r="CI83" s="364" t="b">
        <f t="shared" si="70"/>
        <v>0</v>
      </c>
      <c r="CJ83" s="364"/>
      <c r="CK83" s="364" t="b">
        <f t="shared" si="70"/>
        <v>1</v>
      </c>
      <c r="CL83" s="364" t="b">
        <f t="shared" si="70"/>
        <v>1</v>
      </c>
      <c r="CM83" s="364" t="b">
        <f t="shared" si="70"/>
        <v>1</v>
      </c>
      <c r="CN83" s="364" t="b">
        <f t="shared" si="70"/>
        <v>0</v>
      </c>
      <c r="CO83" s="346">
        <v>1.5</v>
      </c>
      <c r="CP83" s="346">
        <v>1.5</v>
      </c>
      <c r="CQ83" s="346">
        <v>1</v>
      </c>
      <c r="CR83" s="346"/>
      <c r="CS83" s="346">
        <v>1</v>
      </c>
      <c r="CT83" s="446">
        <v>1.5</v>
      </c>
      <c r="CU83" s="446">
        <v>1.25</v>
      </c>
      <c r="CV83" s="346">
        <v>1</v>
      </c>
      <c r="CW83" s="93"/>
      <c r="CX83" s="93">
        <v>7</v>
      </c>
      <c r="CY83" s="93">
        <v>4</v>
      </c>
      <c r="CZ83" s="93">
        <v>4</v>
      </c>
      <c r="DA83" s="93"/>
      <c r="DB83" s="93">
        <v>4</v>
      </c>
      <c r="DC83" s="93">
        <v>4</v>
      </c>
      <c r="DD83" s="93">
        <v>4</v>
      </c>
      <c r="DE83" s="93"/>
      <c r="DF83" s="194">
        <f t="shared" si="83"/>
        <v>7.00000000004</v>
      </c>
      <c r="DG83" s="194">
        <f t="shared" si="84"/>
        <v>4.00000000002</v>
      </c>
      <c r="DH83" s="194">
        <f t="shared" si="85"/>
        <v>4.00000000003</v>
      </c>
      <c r="DI83" s="194"/>
      <c r="DJ83" s="194">
        <f t="shared" si="86"/>
        <v>4.00000000005</v>
      </c>
      <c r="DK83" s="194">
        <f t="shared" si="87"/>
        <v>4.00000000006</v>
      </c>
      <c r="DL83" s="194">
        <f t="shared" si="88"/>
        <v>4.00000000007</v>
      </c>
      <c r="DM83" s="194">
        <f t="shared" si="89"/>
        <v>7.9999999999999995E-11</v>
      </c>
      <c r="DN83" s="2">
        <f t="shared" si="71"/>
        <v>10.50000000006</v>
      </c>
      <c r="DO83" s="2">
        <f t="shared" si="72"/>
        <v>6.00000000003</v>
      </c>
      <c r="DP83" s="2">
        <f t="shared" si="73"/>
        <v>4.00000000003</v>
      </c>
      <c r="DQ83" s="2"/>
      <c r="DR83" s="2">
        <f t="shared" si="74"/>
        <v>4.00000000005</v>
      </c>
      <c r="DS83" s="2">
        <f t="shared" si="75"/>
        <v>6.00000000009</v>
      </c>
      <c r="DT83" s="2">
        <f t="shared" si="76"/>
        <v>5.0000000000874998</v>
      </c>
      <c r="DU83" s="2">
        <f t="shared" si="77"/>
        <v>7.9999999999999995E-11</v>
      </c>
      <c r="DV83" s="2" t="b">
        <f t="shared" si="90"/>
        <v>1</v>
      </c>
      <c r="DW83" s="2" t="b">
        <f t="shared" si="91"/>
        <v>1</v>
      </c>
      <c r="DX83" s="2" t="b">
        <f t="shared" si="92"/>
        <v>0</v>
      </c>
      <c r="DY83" s="2"/>
      <c r="DZ83" s="2" t="b">
        <f t="shared" si="93"/>
        <v>1</v>
      </c>
      <c r="EA83" s="2" t="b">
        <f t="shared" si="94"/>
        <v>1</v>
      </c>
      <c r="EB83" s="2" t="b">
        <f t="shared" si="95"/>
        <v>1</v>
      </c>
      <c r="EC83" s="2" t="b">
        <f t="shared" si="96"/>
        <v>0</v>
      </c>
      <c r="ED83" s="2" t="s">
        <v>394</v>
      </c>
      <c r="EE83" s="2" t="s">
        <v>394</v>
      </c>
      <c r="EF83" s="2" t="s">
        <v>394</v>
      </c>
      <c r="EG83" s="2"/>
      <c r="EH83" s="2" t="s">
        <v>394</v>
      </c>
      <c r="EI83" s="2" t="s">
        <v>394</v>
      </c>
      <c r="EJ83" s="2" t="s">
        <v>394</v>
      </c>
      <c r="EK83" s="2" t="s">
        <v>394</v>
      </c>
      <c r="EL83" s="2" t="s">
        <v>394</v>
      </c>
      <c r="EM83" s="2" t="s">
        <v>394</v>
      </c>
      <c r="EN83" s="2" t="s">
        <v>394</v>
      </c>
      <c r="EO83" s="2"/>
      <c r="EP83" s="2" t="s">
        <v>394</v>
      </c>
      <c r="EQ83" s="2" t="s">
        <v>394</v>
      </c>
      <c r="ER83" s="2" t="s">
        <v>394</v>
      </c>
      <c r="ES83" s="2" t="s">
        <v>394</v>
      </c>
      <c r="ET83" s="2"/>
      <c r="EU83" s="2"/>
      <c r="EV83" s="2"/>
      <c r="EW83" s="2"/>
      <c r="EX83" s="2"/>
      <c r="EY83" s="2"/>
      <c r="EZ83" s="2"/>
      <c r="FA83" s="2"/>
      <c r="FB83" s="2" t="s">
        <v>394</v>
      </c>
      <c r="FC83" s="2" t="s">
        <v>394</v>
      </c>
      <c r="FD83" s="2" t="s">
        <v>394</v>
      </c>
      <c r="FE83" s="2" t="s">
        <v>394</v>
      </c>
      <c r="FF83" s="2" t="s">
        <v>394</v>
      </c>
      <c r="FG83" s="2" t="s">
        <v>394</v>
      </c>
      <c r="FH83" s="2" t="s">
        <v>394</v>
      </c>
      <c r="FI83" s="2" t="s">
        <v>394</v>
      </c>
      <c r="FJ83" s="2" t="s">
        <v>394</v>
      </c>
      <c r="FK83" s="2" t="s">
        <v>394</v>
      </c>
      <c r="FL83" s="2" t="s">
        <v>394</v>
      </c>
      <c r="FM83" s="2" t="s">
        <v>394</v>
      </c>
      <c r="FN83" s="2" t="s">
        <v>394</v>
      </c>
      <c r="FO83" s="2" t="s">
        <v>394</v>
      </c>
      <c r="FP83" s="2" t="s">
        <v>394</v>
      </c>
      <c r="FQ83" s="2" t="s">
        <v>394</v>
      </c>
      <c r="FR83" s="2"/>
      <c r="GK83" s="2"/>
      <c r="GM83" s="2"/>
    </row>
    <row r="84" spans="1:195" s="51" customFormat="1">
      <c r="A84" s="335" t="s">
        <v>999</v>
      </c>
      <c r="B84" s="346" t="s">
        <v>999</v>
      </c>
      <c r="C84" s="346" t="s">
        <v>222</v>
      </c>
      <c r="D84" s="346" t="s">
        <v>994</v>
      </c>
      <c r="E84" s="346" t="s">
        <v>1000</v>
      </c>
      <c r="F84" s="424" t="s">
        <v>785</v>
      </c>
      <c r="G84" s="346">
        <v>25.01</v>
      </c>
      <c r="H84" s="337" t="s">
        <v>324</v>
      </c>
      <c r="I84" s="346">
        <f t="shared" si="79"/>
        <v>24.500000000295</v>
      </c>
      <c r="J84" s="346">
        <f t="shared" si="80"/>
        <v>23.5000000002475</v>
      </c>
      <c r="K84" s="337"/>
      <c r="L84" s="337"/>
      <c r="M84" s="337"/>
      <c r="N84" s="346" t="s">
        <v>324</v>
      </c>
      <c r="O84" s="346" t="s">
        <v>324</v>
      </c>
      <c r="P84" s="346" t="s">
        <v>1001</v>
      </c>
      <c r="Q84" s="346" t="s">
        <v>1002</v>
      </c>
      <c r="R84" s="346"/>
      <c r="S84" s="346" t="s">
        <v>1003</v>
      </c>
      <c r="T84" s="346" t="s">
        <v>713</v>
      </c>
      <c r="U84" s="346">
        <v>23</v>
      </c>
      <c r="V84" s="346" cm="1">
        <f t="array" ref="V84">IFERROR(INDEX('Offer Statistics'!$AI$2:$AI$350,MATCH(1,(B84='Offer Statistics'!$T$2:$T$350)*($B$11='Offer Statistics'!$U$2:$U$350),0)),"/")</f>
        <v>29</v>
      </c>
      <c r="W84" s="346" cm="1">
        <f t="array" ref="W84">IFERROR(INDEX('Offer Statistics'!$V$2:$V$350,MATCH(1,(B84='Offer Statistics'!$T$2:$T$350)*($B$11='Offer Statistics'!$U$2:$U$350),0)),"/")</f>
        <v>339</v>
      </c>
      <c r="X84" s="346" cm="1">
        <f t="array" ref="X84">IFERROR(INDEX('Offer Statistics'!$AD$2:$AD$350,MATCH(1,(B84='Offer Statistics'!$T$2:$T$350)*($B$11='Offer Statistics'!$U$2:$U$350),0)),"/")</f>
        <v>29</v>
      </c>
      <c r="Y84" s="346">
        <f t="shared" si="81"/>
        <v>11.689655172413794</v>
      </c>
      <c r="Z84" s="346" t="s">
        <v>713</v>
      </c>
      <c r="AA84" s="346" t="str">
        <f>入學要求!AF93</f>
        <v>以下一科選修取得Lv.3︰化學</v>
      </c>
      <c r="AB84" s="346" t="str">
        <f>入學要求!AG93</f>
        <v>/</v>
      </c>
      <c r="AC84" s="425" t="s">
        <v>785</v>
      </c>
      <c r="AD84" s="337"/>
      <c r="AE84" s="337"/>
      <c r="AF84" s="346" t="s">
        <v>324</v>
      </c>
      <c r="AG84" s="346" t="s">
        <v>324</v>
      </c>
      <c r="AH84" s="346" t="s">
        <v>1001</v>
      </c>
      <c r="AI84" s="346" t="s">
        <v>1002</v>
      </c>
      <c r="AJ84" s="346"/>
      <c r="AK84" s="359" t="s">
        <v>943</v>
      </c>
      <c r="AL84" s="359" t="s">
        <v>714</v>
      </c>
      <c r="AM84" s="359" t="s">
        <v>944</v>
      </c>
      <c r="AN84" s="359" t="s">
        <v>951</v>
      </c>
      <c r="AO84" s="359" t="s">
        <v>324</v>
      </c>
      <c r="AP84" s="359" t="s">
        <v>324</v>
      </c>
      <c r="AQ84" s="359" t="s">
        <v>394</v>
      </c>
      <c r="AR84" s="359" t="s">
        <v>324</v>
      </c>
      <c r="AS84" s="359"/>
      <c r="AT84" s="2" t="s">
        <v>945</v>
      </c>
      <c r="AU84" s="2" t="s">
        <v>946</v>
      </c>
      <c r="AV84" s="93" t="s">
        <v>713</v>
      </c>
      <c r="AW84" s="2"/>
      <c r="AX84" s="2"/>
      <c r="AY84" s="2"/>
      <c r="AZ84" s="346">
        <v>1</v>
      </c>
      <c r="BA84" s="346">
        <v>1.5</v>
      </c>
      <c r="BB84" s="346">
        <v>1.25</v>
      </c>
      <c r="BC84" s="346"/>
      <c r="BD84" s="346">
        <v>1</v>
      </c>
      <c r="BE84" s="368">
        <v>1.5</v>
      </c>
      <c r="BF84" s="368">
        <v>1.25</v>
      </c>
      <c r="BG84" s="346">
        <v>1</v>
      </c>
      <c r="BH84" s="93"/>
      <c r="BI84" s="93">
        <v>4</v>
      </c>
      <c r="BJ84" s="93">
        <v>3</v>
      </c>
      <c r="BK84" s="93">
        <v>4</v>
      </c>
      <c r="BL84" s="93"/>
      <c r="BM84" s="93">
        <v>4</v>
      </c>
      <c r="BN84" s="93">
        <v>4</v>
      </c>
      <c r="BO84" s="93">
        <v>3</v>
      </c>
      <c r="BP84" s="93"/>
      <c r="BQ84" s="194">
        <f t="shared" si="97"/>
        <v>4.00000000004</v>
      </c>
      <c r="BR84" s="194">
        <f t="shared" si="98"/>
        <v>3.00000000002</v>
      </c>
      <c r="BS84" s="194">
        <f t="shared" si="99"/>
        <v>4.00000000003</v>
      </c>
      <c r="BT84" s="194"/>
      <c r="BU84" s="194">
        <f t="shared" si="100"/>
        <v>4.00000000005</v>
      </c>
      <c r="BV84" s="194">
        <f t="shared" si="101"/>
        <v>4.00000000006</v>
      </c>
      <c r="BW84" s="194">
        <f t="shared" si="102"/>
        <v>3.00000000007</v>
      </c>
      <c r="BX84" s="194">
        <f t="shared" si="103"/>
        <v>7.9999999999999995E-11</v>
      </c>
      <c r="BY84" s="2">
        <f t="shared" si="63"/>
        <v>4.00000000004</v>
      </c>
      <c r="BZ84" s="2">
        <f t="shared" si="64"/>
        <v>4.50000000003</v>
      </c>
      <c r="CA84" s="2">
        <f t="shared" si="65"/>
        <v>5.0000000000374998</v>
      </c>
      <c r="CB84" s="2"/>
      <c r="CC84" s="2">
        <f t="shared" si="66"/>
        <v>4.00000000005</v>
      </c>
      <c r="CD84" s="2">
        <f t="shared" si="67"/>
        <v>6.00000000009</v>
      </c>
      <c r="CE84" s="2">
        <f t="shared" si="68"/>
        <v>3.7500000000874998</v>
      </c>
      <c r="CF84" s="2">
        <f t="shared" si="69"/>
        <v>7.9999999999999995E-11</v>
      </c>
      <c r="CG84" s="364" t="b">
        <f t="shared" si="82"/>
        <v>1</v>
      </c>
      <c r="CH84" s="364" t="b">
        <f t="shared" si="70"/>
        <v>1</v>
      </c>
      <c r="CI84" s="364" t="b">
        <f t="shared" si="70"/>
        <v>1</v>
      </c>
      <c r="CJ84" s="364"/>
      <c r="CK84" s="364" t="b">
        <f t="shared" si="70"/>
        <v>1</v>
      </c>
      <c r="CL84" s="364" t="b">
        <f t="shared" si="70"/>
        <v>1</v>
      </c>
      <c r="CM84" s="364" t="b">
        <f t="shared" si="70"/>
        <v>0</v>
      </c>
      <c r="CN84" s="364" t="b">
        <f t="shared" si="70"/>
        <v>0</v>
      </c>
      <c r="CO84" s="346">
        <v>1</v>
      </c>
      <c r="CP84" s="346">
        <v>1.5</v>
      </c>
      <c r="CQ84" s="346">
        <v>1.25</v>
      </c>
      <c r="CR84" s="346"/>
      <c r="CS84" s="346">
        <v>1</v>
      </c>
      <c r="CT84" s="446">
        <v>1.5</v>
      </c>
      <c r="CU84" s="446">
        <v>1.25</v>
      </c>
      <c r="CV84" s="346">
        <v>1</v>
      </c>
      <c r="CW84" s="93"/>
      <c r="CX84" s="93">
        <v>3</v>
      </c>
      <c r="CY84" s="93">
        <v>3</v>
      </c>
      <c r="CZ84" s="93">
        <v>5</v>
      </c>
      <c r="DA84" s="93"/>
      <c r="DB84" s="93">
        <v>4</v>
      </c>
      <c r="DC84" s="93">
        <v>4</v>
      </c>
      <c r="DD84" s="93">
        <v>3</v>
      </c>
      <c r="DE84" s="93"/>
      <c r="DF84" s="194">
        <f t="shared" si="83"/>
        <v>3.00000000004</v>
      </c>
      <c r="DG84" s="194">
        <f t="shared" si="84"/>
        <v>3.00000000002</v>
      </c>
      <c r="DH84" s="194">
        <f t="shared" si="85"/>
        <v>5.00000000003</v>
      </c>
      <c r="DI84" s="194"/>
      <c r="DJ84" s="194">
        <f t="shared" si="86"/>
        <v>4.00000000005</v>
      </c>
      <c r="DK84" s="194">
        <f t="shared" si="87"/>
        <v>4.00000000006</v>
      </c>
      <c r="DL84" s="194">
        <f t="shared" si="88"/>
        <v>3.00000000007</v>
      </c>
      <c r="DM84" s="194">
        <f t="shared" si="89"/>
        <v>7.9999999999999995E-11</v>
      </c>
      <c r="DN84" s="2">
        <f t="shared" si="71"/>
        <v>3.00000000004</v>
      </c>
      <c r="DO84" s="2">
        <f t="shared" si="72"/>
        <v>4.50000000003</v>
      </c>
      <c r="DP84" s="2">
        <f t="shared" si="73"/>
        <v>6.2500000000374998</v>
      </c>
      <c r="DQ84" s="2"/>
      <c r="DR84" s="2">
        <f t="shared" si="74"/>
        <v>4.00000000005</v>
      </c>
      <c r="DS84" s="2">
        <f t="shared" si="75"/>
        <v>6.00000000009</v>
      </c>
      <c r="DT84" s="2">
        <f t="shared" si="76"/>
        <v>3.7500000000874998</v>
      </c>
      <c r="DU84" s="2">
        <f t="shared" si="77"/>
        <v>7.9999999999999995E-11</v>
      </c>
      <c r="DV84" s="2" t="b">
        <f t="shared" si="90"/>
        <v>0</v>
      </c>
      <c r="DW84" s="2" t="b">
        <f t="shared" si="91"/>
        <v>1</v>
      </c>
      <c r="DX84" s="2" t="b">
        <f t="shared" si="92"/>
        <v>1</v>
      </c>
      <c r="DY84" s="2"/>
      <c r="DZ84" s="2" t="b">
        <f t="shared" si="93"/>
        <v>1</v>
      </c>
      <c r="EA84" s="2" t="b">
        <f t="shared" si="94"/>
        <v>1</v>
      </c>
      <c r="EB84" s="2" t="b">
        <f t="shared" si="95"/>
        <v>1</v>
      </c>
      <c r="EC84" s="2" t="b">
        <f t="shared" si="96"/>
        <v>0</v>
      </c>
      <c r="ED84" s="2" t="s">
        <v>394</v>
      </c>
      <c r="EE84" s="2" t="s">
        <v>394</v>
      </c>
      <c r="EF84" s="2" t="s">
        <v>394</v>
      </c>
      <c r="EG84" s="2"/>
      <c r="EH84" s="2" t="s">
        <v>394</v>
      </c>
      <c r="EI84" s="2" t="s">
        <v>394</v>
      </c>
      <c r="EJ84" s="2" t="s">
        <v>394</v>
      </c>
      <c r="EK84" s="2" t="s">
        <v>394</v>
      </c>
      <c r="EL84" s="2" t="s">
        <v>394</v>
      </c>
      <c r="EM84" s="2" t="s">
        <v>394</v>
      </c>
      <c r="EN84" s="2" t="s">
        <v>394</v>
      </c>
      <c r="EO84" s="2"/>
      <c r="EP84" s="2" t="s">
        <v>394</v>
      </c>
      <c r="EQ84" s="2" t="s">
        <v>394</v>
      </c>
      <c r="ER84" s="2" t="s">
        <v>394</v>
      </c>
      <c r="ES84" s="2" t="s">
        <v>394</v>
      </c>
      <c r="ET84" s="2"/>
      <c r="EU84" s="2"/>
      <c r="EV84" s="2"/>
      <c r="EW84" s="2"/>
      <c r="EX84" s="2"/>
      <c r="EY84" s="2"/>
      <c r="EZ84" s="2"/>
      <c r="FA84" s="2"/>
      <c r="FB84" s="2" t="s">
        <v>394</v>
      </c>
      <c r="FC84" s="2" t="s">
        <v>394</v>
      </c>
      <c r="FD84" s="2" t="s">
        <v>394</v>
      </c>
      <c r="FE84" s="2" t="s">
        <v>394</v>
      </c>
      <c r="FF84" s="2" t="s">
        <v>394</v>
      </c>
      <c r="FG84" s="2" t="s">
        <v>394</v>
      </c>
      <c r="FH84" s="2" t="s">
        <v>394</v>
      </c>
      <c r="FI84" s="2" t="s">
        <v>394</v>
      </c>
      <c r="FJ84" s="2" t="s">
        <v>394</v>
      </c>
      <c r="FK84" s="2" t="s">
        <v>394</v>
      </c>
      <c r="FL84" s="2" t="s">
        <v>394</v>
      </c>
      <c r="FM84" s="2" t="s">
        <v>394</v>
      </c>
      <c r="FN84" s="2" t="s">
        <v>394</v>
      </c>
      <c r="FO84" s="2" t="s">
        <v>394</v>
      </c>
      <c r="FP84" s="2" t="s">
        <v>394</v>
      </c>
      <c r="FQ84" s="2" t="s">
        <v>394</v>
      </c>
      <c r="FR84" s="2"/>
      <c r="GK84" s="2"/>
      <c r="GM84" s="2"/>
    </row>
    <row r="85" spans="1:195">
      <c r="A85" s="335" t="s">
        <v>1004</v>
      </c>
      <c r="B85" s="346" t="s">
        <v>1004</v>
      </c>
      <c r="C85" s="346" t="s">
        <v>222</v>
      </c>
      <c r="D85" s="346" t="s">
        <v>865</v>
      </c>
      <c r="E85" s="346" t="s">
        <v>1005</v>
      </c>
      <c r="F85" s="346" t="s">
        <v>785</v>
      </c>
      <c r="G85" s="346">
        <v>19.100000000000001</v>
      </c>
      <c r="H85" s="337" t="s">
        <v>324</v>
      </c>
      <c r="I85" s="346">
        <f t="shared" si="79"/>
        <v>19.000000000200004</v>
      </c>
      <c r="J85" s="346">
        <f t="shared" si="80"/>
        <v>18.00000000028</v>
      </c>
      <c r="K85" s="337"/>
      <c r="L85" s="337"/>
      <c r="M85" s="337"/>
      <c r="N85" s="346" t="s">
        <v>324</v>
      </c>
      <c r="O85" s="346" t="s">
        <v>324</v>
      </c>
      <c r="P85" s="346" t="s">
        <v>324</v>
      </c>
      <c r="Q85" s="346" t="s">
        <v>324</v>
      </c>
      <c r="R85" s="346" t="s">
        <v>324</v>
      </c>
      <c r="S85" s="346" t="s">
        <v>1006</v>
      </c>
      <c r="T85" s="346" t="s">
        <v>713</v>
      </c>
      <c r="U85" s="346">
        <v>197</v>
      </c>
      <c r="V85" s="346" cm="1">
        <f t="array" ref="V85">IFERROR(INDEX('Offer Statistics'!$AI$2:$AI$350,MATCH(1,(B85='Offer Statistics'!$T$2:$T$350)*($B$11='Offer Statistics'!$U$2:$U$350),0)),"/")</f>
        <v>198</v>
      </c>
      <c r="W85" s="346" cm="1">
        <f t="array" ref="W85">IFERROR(INDEX('Offer Statistics'!$V$2:$V$350,MATCH(1,(B85='Offer Statistics'!$T$2:$T$350)*($B$11='Offer Statistics'!$U$2:$U$350),0)),"/")</f>
        <v>1296</v>
      </c>
      <c r="X85" s="346" cm="1">
        <f t="array" ref="X85">IFERROR(INDEX('Offer Statistics'!$AD$2:$AD$350,MATCH(1,(B85='Offer Statistics'!$T$2:$T$350)*($B$11='Offer Statistics'!$U$2:$U$350),0)),"/")</f>
        <v>121</v>
      </c>
      <c r="Y85" s="346">
        <f t="shared" si="81"/>
        <v>10.710743801652892</v>
      </c>
      <c r="Z85" s="346" t="s">
        <v>713</v>
      </c>
      <c r="AA85" s="346" t="str">
        <f>入學要求!AF94</f>
        <v>/</v>
      </c>
      <c r="AB85" s="346" t="str">
        <f>入學要求!AG94</f>
        <v>/</v>
      </c>
      <c r="AC85" s="426" t="s">
        <v>785</v>
      </c>
      <c r="AD85" s="337"/>
      <c r="AE85" s="346"/>
      <c r="AF85" s="346" t="s">
        <v>324</v>
      </c>
      <c r="AG85" s="346" t="s">
        <v>324</v>
      </c>
      <c r="AH85" s="346" t="s">
        <v>324</v>
      </c>
      <c r="AI85" s="346" t="s">
        <v>324</v>
      </c>
      <c r="AJ85" s="346" t="s">
        <v>324</v>
      </c>
      <c r="AK85" s="359" t="s">
        <v>943</v>
      </c>
      <c r="AL85" s="359" t="s">
        <v>974</v>
      </c>
      <c r="AM85" s="359" t="s">
        <v>944</v>
      </c>
      <c r="AN85" s="359" t="s">
        <v>1007</v>
      </c>
      <c r="AO85" s="359" t="s">
        <v>1008</v>
      </c>
      <c r="AP85" s="359" t="s">
        <v>324</v>
      </c>
      <c r="AQ85" s="359" t="s">
        <v>394</v>
      </c>
      <c r="AR85" s="359" t="s">
        <v>324</v>
      </c>
      <c r="AS85" s="359"/>
      <c r="AT85" s="2" t="s">
        <v>945</v>
      </c>
      <c r="AU85" s="2" t="s">
        <v>946</v>
      </c>
      <c r="AV85" s="2" t="s">
        <v>713</v>
      </c>
      <c r="AZ85" s="346">
        <v>1</v>
      </c>
      <c r="BA85" s="346">
        <v>1</v>
      </c>
      <c r="BB85" s="346">
        <v>1</v>
      </c>
      <c r="BC85" s="346"/>
      <c r="BD85" s="346">
        <v>1</v>
      </c>
      <c r="BE85" s="346">
        <v>1</v>
      </c>
      <c r="BF85" s="346">
        <v>1</v>
      </c>
      <c r="BG85" s="346">
        <v>1</v>
      </c>
      <c r="BI85" s="2">
        <v>5</v>
      </c>
      <c r="BJ85" s="2">
        <v>3</v>
      </c>
      <c r="BK85" s="2">
        <v>4</v>
      </c>
      <c r="BM85" s="2">
        <v>3</v>
      </c>
      <c r="BN85" s="2">
        <v>3</v>
      </c>
      <c r="BO85" s="2">
        <v>3</v>
      </c>
      <c r="BP85" s="2">
        <v>3</v>
      </c>
      <c r="BQ85" s="194">
        <f t="shared" si="97"/>
        <v>5.00000000004</v>
      </c>
      <c r="BR85" s="194">
        <f t="shared" si="98"/>
        <v>3.00000000002</v>
      </c>
      <c r="BS85" s="194">
        <f t="shared" si="99"/>
        <v>4.00000000003</v>
      </c>
      <c r="BU85" s="194">
        <f t="shared" si="100"/>
        <v>3.00000000005</v>
      </c>
      <c r="BV85" s="194">
        <f t="shared" si="101"/>
        <v>3.00000000006</v>
      </c>
      <c r="BW85" s="194">
        <f t="shared" si="102"/>
        <v>3.00000000007</v>
      </c>
      <c r="BX85" s="194">
        <f t="shared" si="103"/>
        <v>3.00000000008</v>
      </c>
      <c r="BY85" s="2">
        <f t="shared" si="63"/>
        <v>5.00000000004</v>
      </c>
      <c r="BZ85" s="2">
        <f t="shared" si="64"/>
        <v>3.00000000002</v>
      </c>
      <c r="CA85" s="2">
        <f t="shared" si="65"/>
        <v>4.00000000003</v>
      </c>
      <c r="CC85" s="2">
        <f t="shared" si="66"/>
        <v>3.00000000005</v>
      </c>
      <c r="CD85" s="2">
        <f t="shared" si="67"/>
        <v>3.00000000006</v>
      </c>
      <c r="CE85" s="2">
        <f t="shared" si="68"/>
        <v>3.00000000007</v>
      </c>
      <c r="CF85" s="2">
        <f t="shared" si="69"/>
        <v>3.00000000008</v>
      </c>
      <c r="CG85" s="364" t="b">
        <f t="shared" si="82"/>
        <v>1</v>
      </c>
      <c r="CH85" s="364" t="b">
        <f t="shared" si="70"/>
        <v>0</v>
      </c>
      <c r="CI85" s="364" t="b">
        <f t="shared" si="70"/>
        <v>1</v>
      </c>
      <c r="CJ85" s="364"/>
      <c r="CK85" s="364" t="b">
        <f t="shared" si="70"/>
        <v>0</v>
      </c>
      <c r="CL85" s="364" t="b">
        <f t="shared" si="70"/>
        <v>1</v>
      </c>
      <c r="CM85" s="364" t="b">
        <f t="shared" si="70"/>
        <v>1</v>
      </c>
      <c r="CN85" s="364" t="b">
        <f t="shared" si="70"/>
        <v>1</v>
      </c>
      <c r="CO85" s="346">
        <v>1</v>
      </c>
      <c r="CP85" s="346">
        <v>1</v>
      </c>
      <c r="CQ85" s="346">
        <v>1</v>
      </c>
      <c r="CR85" s="346"/>
      <c r="CS85" s="346">
        <v>1</v>
      </c>
      <c r="CT85" s="346">
        <v>1</v>
      </c>
      <c r="CU85" s="346">
        <v>1</v>
      </c>
      <c r="CV85" s="346">
        <v>1</v>
      </c>
      <c r="CX85" s="2">
        <v>4</v>
      </c>
      <c r="CY85" s="2">
        <v>3</v>
      </c>
      <c r="CZ85" s="2">
        <v>4</v>
      </c>
      <c r="DB85" s="2">
        <v>4</v>
      </c>
      <c r="DC85" s="2">
        <v>4</v>
      </c>
      <c r="DD85" s="2">
        <v>2</v>
      </c>
      <c r="DF85" s="194">
        <f t="shared" si="83"/>
        <v>4.00000000004</v>
      </c>
      <c r="DG85" s="194">
        <f t="shared" si="84"/>
        <v>3.00000000002</v>
      </c>
      <c r="DH85" s="194">
        <f t="shared" si="85"/>
        <v>4.00000000003</v>
      </c>
      <c r="DJ85" s="194">
        <f t="shared" si="86"/>
        <v>4.00000000005</v>
      </c>
      <c r="DK85" s="194">
        <f t="shared" si="87"/>
        <v>4.00000000006</v>
      </c>
      <c r="DL85" s="194">
        <f t="shared" si="88"/>
        <v>2.00000000007</v>
      </c>
      <c r="DM85" s="194">
        <f t="shared" si="89"/>
        <v>7.9999999999999995E-11</v>
      </c>
      <c r="DN85" s="2">
        <f t="shared" si="71"/>
        <v>4.00000000004</v>
      </c>
      <c r="DO85" s="2">
        <f t="shared" si="72"/>
        <v>3.00000000002</v>
      </c>
      <c r="DP85" s="2">
        <f t="shared" si="73"/>
        <v>4.00000000003</v>
      </c>
      <c r="DR85" s="2">
        <f t="shared" si="74"/>
        <v>4.00000000005</v>
      </c>
      <c r="DS85" s="2">
        <f t="shared" si="75"/>
        <v>4.00000000006</v>
      </c>
      <c r="DT85" s="2">
        <f t="shared" si="76"/>
        <v>2.00000000007</v>
      </c>
      <c r="DU85" s="2">
        <f t="shared" si="77"/>
        <v>7.9999999999999995E-11</v>
      </c>
      <c r="DV85" s="2" t="b">
        <f t="shared" si="90"/>
        <v>1</v>
      </c>
      <c r="DW85" s="2" t="b">
        <f t="shared" si="91"/>
        <v>1</v>
      </c>
      <c r="DX85" s="2" t="b">
        <f t="shared" si="92"/>
        <v>1</v>
      </c>
      <c r="DZ85" s="2" t="b">
        <f t="shared" si="93"/>
        <v>1</v>
      </c>
      <c r="EA85" s="2" t="b">
        <f t="shared" si="94"/>
        <v>1</v>
      </c>
      <c r="EB85" s="2" t="b">
        <f t="shared" si="95"/>
        <v>0</v>
      </c>
      <c r="EC85" s="2" t="b">
        <f t="shared" si="96"/>
        <v>0</v>
      </c>
      <c r="ED85" s="2" t="s">
        <v>394</v>
      </c>
      <c r="EE85" s="2" t="s">
        <v>394</v>
      </c>
      <c r="EF85" s="2" t="s">
        <v>394</v>
      </c>
      <c r="EH85" s="2" t="s">
        <v>394</v>
      </c>
      <c r="EI85" s="2" t="s">
        <v>394</v>
      </c>
      <c r="EJ85" s="2" t="s">
        <v>394</v>
      </c>
      <c r="EK85" s="2" t="s">
        <v>394</v>
      </c>
      <c r="EL85" s="2" t="s">
        <v>394</v>
      </c>
      <c r="EM85" s="2" t="s">
        <v>394</v>
      </c>
      <c r="EN85" s="2" t="s">
        <v>394</v>
      </c>
      <c r="EP85" s="2" t="s">
        <v>394</v>
      </c>
      <c r="EQ85" s="2" t="s">
        <v>394</v>
      </c>
      <c r="ER85" s="2" t="s">
        <v>394</v>
      </c>
      <c r="ES85" s="2" t="s">
        <v>394</v>
      </c>
      <c r="FB85" s="2" t="s">
        <v>394</v>
      </c>
      <c r="FC85" s="2" t="s">
        <v>394</v>
      </c>
      <c r="FD85" s="2" t="s">
        <v>394</v>
      </c>
      <c r="FE85" s="2" t="s">
        <v>394</v>
      </c>
      <c r="FF85" s="2" t="s">
        <v>394</v>
      </c>
      <c r="FG85" s="2" t="s">
        <v>394</v>
      </c>
      <c r="FH85" s="2" t="s">
        <v>394</v>
      </c>
      <c r="FI85" s="2" t="s">
        <v>394</v>
      </c>
      <c r="FJ85" s="2" t="s">
        <v>394</v>
      </c>
      <c r="FK85" s="2" t="s">
        <v>394</v>
      </c>
      <c r="FL85" s="2" t="s">
        <v>394</v>
      </c>
      <c r="FM85" s="2" t="s">
        <v>394</v>
      </c>
      <c r="FN85" s="2" t="s">
        <v>394</v>
      </c>
      <c r="FO85" s="2" t="s">
        <v>394</v>
      </c>
      <c r="FP85" s="2" t="s">
        <v>394</v>
      </c>
      <c r="FQ85" s="2" t="s">
        <v>394</v>
      </c>
    </row>
    <row r="86" spans="1:195">
      <c r="A86" s="335" t="s">
        <v>1009</v>
      </c>
      <c r="B86" s="346" t="s">
        <v>1009</v>
      </c>
      <c r="C86" s="346" t="s">
        <v>222</v>
      </c>
      <c r="D86" s="346" t="s">
        <v>1010</v>
      </c>
      <c r="E86" s="346" t="s">
        <v>1011</v>
      </c>
      <c r="F86" s="424" t="s">
        <v>785</v>
      </c>
      <c r="G86" s="346">
        <v>24.11</v>
      </c>
      <c r="H86" s="337" t="s">
        <v>324</v>
      </c>
      <c r="I86" s="346">
        <f t="shared" si="79"/>
        <v>24.000000000219998</v>
      </c>
      <c r="J86" s="346">
        <f t="shared" si="80"/>
        <v>23.000000000219998</v>
      </c>
      <c r="K86" s="337"/>
      <c r="L86" s="337"/>
      <c r="M86" s="337"/>
      <c r="N86" s="346" t="s">
        <v>324</v>
      </c>
      <c r="O86" s="346" t="s">
        <v>324</v>
      </c>
      <c r="P86" s="346" t="s">
        <v>768</v>
      </c>
      <c r="Q86" s="346" t="s">
        <v>324</v>
      </c>
      <c r="R86" s="346" t="s">
        <v>324</v>
      </c>
      <c r="S86" s="346" t="s">
        <v>1012</v>
      </c>
      <c r="T86" s="346" t="s">
        <v>713</v>
      </c>
      <c r="U86" s="346">
        <v>122</v>
      </c>
      <c r="V86" s="346" cm="1">
        <f t="array" ref="V86">IFERROR(INDEX('Offer Statistics'!$AI$2:$AI$350,MATCH(1,(B86='Offer Statistics'!$T$2:$T$350)*($B$11='Offer Statistics'!$U$2:$U$350),0)),"/")</f>
        <v>155</v>
      </c>
      <c r="W86" s="346" cm="1">
        <f t="array" ref="W86">IFERROR(INDEX('Offer Statistics'!$V$2:$V$350,MATCH(1,(B86='Offer Statistics'!$T$2:$T$350)*($B$11='Offer Statistics'!$U$2:$U$350),0)),"/")</f>
        <v>994</v>
      </c>
      <c r="X86" s="346" cm="1">
        <f t="array" ref="X86">IFERROR(INDEX('Offer Statistics'!$AD$2:$AD$350,MATCH(1,(B86='Offer Statistics'!$T$2:$T$350)*($B$11='Offer Statistics'!$U$2:$U$350),0)),"/")</f>
        <v>146</v>
      </c>
      <c r="Y86" s="346">
        <f t="shared" si="81"/>
        <v>6.8082191780821919</v>
      </c>
      <c r="Z86" s="346" t="s">
        <v>713</v>
      </c>
      <c r="AA86" s="346" t="str">
        <f>入學要求!AF95</f>
        <v>/</v>
      </c>
      <c r="AB86" s="346" t="str">
        <f>入學要求!AG95</f>
        <v>/</v>
      </c>
      <c r="AC86" s="425" t="s">
        <v>785</v>
      </c>
      <c r="AD86" s="337"/>
      <c r="AE86" s="337"/>
      <c r="AF86" s="346" t="s">
        <v>324</v>
      </c>
      <c r="AG86" s="346" t="s">
        <v>324</v>
      </c>
      <c r="AH86" s="346" t="s">
        <v>770</v>
      </c>
      <c r="AI86" s="346" t="s">
        <v>324</v>
      </c>
      <c r="AJ86" s="346" t="s">
        <v>324</v>
      </c>
      <c r="AK86" s="359" t="s">
        <v>943</v>
      </c>
      <c r="AL86" s="359" t="s">
        <v>714</v>
      </c>
      <c r="AM86" s="359" t="s">
        <v>944</v>
      </c>
      <c r="AN86" s="359" t="s">
        <v>1013</v>
      </c>
      <c r="AO86" s="359" t="s">
        <v>324</v>
      </c>
      <c r="AP86" s="359" t="s">
        <v>324</v>
      </c>
      <c r="AQ86" s="359" t="s">
        <v>394</v>
      </c>
      <c r="AR86" s="359" t="s">
        <v>324</v>
      </c>
      <c r="AS86" s="359"/>
      <c r="AT86" s="2" t="s">
        <v>945</v>
      </c>
      <c r="AU86" s="2" t="s">
        <v>946</v>
      </c>
      <c r="AV86" s="2" t="s">
        <v>713</v>
      </c>
      <c r="AZ86" s="346">
        <v>1</v>
      </c>
      <c r="BA86" s="346">
        <v>2</v>
      </c>
      <c r="BB86" s="346">
        <v>1</v>
      </c>
      <c r="BC86" s="346"/>
      <c r="BD86" s="346">
        <v>1</v>
      </c>
      <c r="BE86" s="346">
        <v>1</v>
      </c>
      <c r="BF86" s="346">
        <v>1</v>
      </c>
      <c r="BG86" s="346">
        <v>1</v>
      </c>
      <c r="BI86" s="2">
        <v>4</v>
      </c>
      <c r="BJ86" s="2">
        <v>4</v>
      </c>
      <c r="BK86" s="2">
        <v>3</v>
      </c>
      <c r="BM86" s="2">
        <v>4</v>
      </c>
      <c r="BN86" s="2">
        <v>4</v>
      </c>
      <c r="BQ86" s="194">
        <f t="shared" si="97"/>
        <v>4.00000000004</v>
      </c>
      <c r="BR86" s="194">
        <f t="shared" si="98"/>
        <v>4.00000000002</v>
      </c>
      <c r="BS86" s="194">
        <f t="shared" si="99"/>
        <v>3.00000000003</v>
      </c>
      <c r="BU86" s="194">
        <f t="shared" si="100"/>
        <v>4.00000000005</v>
      </c>
      <c r="BV86" s="194">
        <f t="shared" si="101"/>
        <v>4.00000000006</v>
      </c>
      <c r="BW86" s="194">
        <f t="shared" si="102"/>
        <v>7.0000000000000004E-11</v>
      </c>
      <c r="BX86" s="194">
        <f t="shared" si="103"/>
        <v>7.9999999999999995E-11</v>
      </c>
      <c r="BY86" s="2">
        <f t="shared" si="63"/>
        <v>4.00000000004</v>
      </c>
      <c r="BZ86" s="2">
        <f t="shared" si="64"/>
        <v>8.00000000004</v>
      </c>
      <c r="CA86" s="2">
        <f t="shared" si="65"/>
        <v>3.00000000003</v>
      </c>
      <c r="CC86" s="2">
        <f t="shared" si="66"/>
        <v>4.00000000005</v>
      </c>
      <c r="CD86" s="2">
        <f t="shared" si="67"/>
        <v>4.00000000006</v>
      </c>
      <c r="CE86" s="2">
        <f t="shared" si="68"/>
        <v>7.0000000000000004E-11</v>
      </c>
      <c r="CF86" s="2">
        <f t="shared" si="69"/>
        <v>7.9999999999999995E-11</v>
      </c>
      <c r="CG86" s="364" t="b">
        <f t="shared" si="82"/>
        <v>1</v>
      </c>
      <c r="CH86" s="364" t="b">
        <f t="shared" si="70"/>
        <v>1</v>
      </c>
      <c r="CI86" s="364" t="b">
        <f t="shared" si="70"/>
        <v>1</v>
      </c>
      <c r="CJ86" s="364"/>
      <c r="CK86" s="364" t="b">
        <f t="shared" si="70"/>
        <v>1</v>
      </c>
      <c r="CL86" s="364" t="b">
        <f t="shared" si="70"/>
        <v>1</v>
      </c>
      <c r="CM86" s="364" t="b">
        <f t="shared" si="70"/>
        <v>0</v>
      </c>
      <c r="CN86" s="364" t="b">
        <f t="shared" si="70"/>
        <v>0</v>
      </c>
      <c r="CO86" s="346">
        <v>1</v>
      </c>
      <c r="CP86" s="346">
        <v>2</v>
      </c>
      <c r="CQ86" s="346">
        <v>1</v>
      </c>
      <c r="CR86" s="346"/>
      <c r="CS86" s="346">
        <v>1</v>
      </c>
      <c r="CT86" s="346">
        <v>1</v>
      </c>
      <c r="CU86" s="346">
        <v>1</v>
      </c>
      <c r="CV86" s="346">
        <v>1</v>
      </c>
      <c r="CX86" s="2">
        <v>4</v>
      </c>
      <c r="CY86" s="2">
        <v>3</v>
      </c>
      <c r="CZ86" s="2">
        <v>4</v>
      </c>
      <c r="DB86" s="2">
        <v>6</v>
      </c>
      <c r="DC86" s="2">
        <v>4</v>
      </c>
      <c r="DF86" s="194">
        <f t="shared" si="83"/>
        <v>4.00000000004</v>
      </c>
      <c r="DG86" s="194">
        <f t="shared" si="84"/>
        <v>3.00000000002</v>
      </c>
      <c r="DH86" s="194">
        <f t="shared" si="85"/>
        <v>4.00000000003</v>
      </c>
      <c r="DJ86" s="194">
        <f t="shared" si="86"/>
        <v>6.00000000005</v>
      </c>
      <c r="DK86" s="194">
        <f t="shared" si="87"/>
        <v>4.00000000006</v>
      </c>
      <c r="DL86" s="194">
        <f t="shared" si="88"/>
        <v>7.0000000000000004E-11</v>
      </c>
      <c r="DM86" s="194">
        <f t="shared" si="89"/>
        <v>7.9999999999999995E-11</v>
      </c>
      <c r="DN86" s="2">
        <f t="shared" si="71"/>
        <v>4.00000000004</v>
      </c>
      <c r="DO86" s="2">
        <f t="shared" si="72"/>
        <v>6.00000000004</v>
      </c>
      <c r="DP86" s="2">
        <f t="shared" si="73"/>
        <v>4.00000000003</v>
      </c>
      <c r="DR86" s="2">
        <f t="shared" si="74"/>
        <v>6.00000000005</v>
      </c>
      <c r="DS86" s="2">
        <f t="shared" si="75"/>
        <v>4.00000000006</v>
      </c>
      <c r="DT86" s="2">
        <f t="shared" si="76"/>
        <v>7.0000000000000004E-11</v>
      </c>
      <c r="DU86" s="2">
        <f t="shared" si="77"/>
        <v>7.9999999999999995E-11</v>
      </c>
      <c r="DV86" s="2" t="b">
        <f t="shared" si="90"/>
        <v>1</v>
      </c>
      <c r="DW86" s="2" t="b">
        <f t="shared" si="91"/>
        <v>1</v>
      </c>
      <c r="DX86" s="2" t="b">
        <f t="shared" si="92"/>
        <v>1</v>
      </c>
      <c r="DZ86" s="2" t="b">
        <f t="shared" si="93"/>
        <v>1</v>
      </c>
      <c r="EA86" s="2" t="b">
        <f t="shared" si="94"/>
        <v>1</v>
      </c>
      <c r="EB86" s="2" t="b">
        <f t="shared" si="95"/>
        <v>0</v>
      </c>
      <c r="EC86" s="2" t="b">
        <f t="shared" si="96"/>
        <v>0</v>
      </c>
      <c r="ED86" s="2" t="s">
        <v>394</v>
      </c>
      <c r="EE86" s="2" t="s">
        <v>394</v>
      </c>
      <c r="EF86" s="2" t="s">
        <v>394</v>
      </c>
      <c r="EH86" s="2" t="s">
        <v>394</v>
      </c>
      <c r="EI86" s="2" t="s">
        <v>394</v>
      </c>
      <c r="EJ86" s="2" t="s">
        <v>394</v>
      </c>
      <c r="EK86" s="2" t="s">
        <v>394</v>
      </c>
      <c r="EL86" s="2" t="s">
        <v>394</v>
      </c>
      <c r="EM86" s="2" t="s">
        <v>394</v>
      </c>
      <c r="EN86" s="2" t="s">
        <v>394</v>
      </c>
      <c r="EP86" s="2" t="s">
        <v>394</v>
      </c>
      <c r="EQ86" s="2" t="s">
        <v>394</v>
      </c>
      <c r="ER86" s="2" t="s">
        <v>394</v>
      </c>
      <c r="ES86" s="2" t="s">
        <v>394</v>
      </c>
      <c r="FB86" s="2" t="s">
        <v>394</v>
      </c>
      <c r="FC86" s="2" t="s">
        <v>394</v>
      </c>
      <c r="FD86" s="2" t="s">
        <v>394</v>
      </c>
      <c r="FE86" s="2" t="s">
        <v>394</v>
      </c>
      <c r="FF86" s="2" t="s">
        <v>394</v>
      </c>
      <c r="FG86" s="2" t="s">
        <v>394</v>
      </c>
      <c r="FH86" s="2" t="s">
        <v>394</v>
      </c>
      <c r="FI86" s="2" t="s">
        <v>394</v>
      </c>
      <c r="FJ86" s="2" t="s">
        <v>394</v>
      </c>
      <c r="FK86" s="2" t="s">
        <v>394</v>
      </c>
      <c r="FL86" s="2" t="s">
        <v>394</v>
      </c>
      <c r="FM86" s="2" t="s">
        <v>394</v>
      </c>
      <c r="FN86" s="2" t="s">
        <v>394</v>
      </c>
      <c r="FO86" s="2" t="s">
        <v>394</v>
      </c>
      <c r="FP86" s="2" t="s">
        <v>394</v>
      </c>
      <c r="FQ86" s="2" t="s">
        <v>394</v>
      </c>
    </row>
    <row r="87" spans="1:195">
      <c r="A87" s="335" t="s">
        <v>1014</v>
      </c>
      <c r="B87" s="346" t="s">
        <v>1014</v>
      </c>
      <c r="C87" s="346" t="s">
        <v>222</v>
      </c>
      <c r="D87" s="346" t="s">
        <v>1010</v>
      </c>
      <c r="E87" s="346" t="s">
        <v>1015</v>
      </c>
      <c r="F87" s="346" t="s">
        <v>785</v>
      </c>
      <c r="G87" s="346">
        <v>21.12</v>
      </c>
      <c r="H87" s="337" t="s">
        <v>324</v>
      </c>
      <c r="I87" s="346">
        <f t="shared" si="79"/>
        <v>21.000000000200004</v>
      </c>
      <c r="J87" s="346">
        <f t="shared" si="80"/>
        <v>20.000000000200004</v>
      </c>
      <c r="K87" s="337"/>
      <c r="L87" s="337"/>
      <c r="M87" s="337"/>
      <c r="N87" s="346" t="s">
        <v>324</v>
      </c>
      <c r="O87" s="346" t="s">
        <v>324</v>
      </c>
      <c r="P87" s="346" t="s">
        <v>324</v>
      </c>
      <c r="Q87" s="346" t="s">
        <v>324</v>
      </c>
      <c r="R87" s="346" t="s">
        <v>324</v>
      </c>
      <c r="S87" s="346" t="s">
        <v>1016</v>
      </c>
      <c r="T87" s="346" t="s">
        <v>713</v>
      </c>
      <c r="U87" s="346">
        <v>35</v>
      </c>
      <c r="V87" s="346" cm="1">
        <f t="array" ref="V87">IFERROR(INDEX('Offer Statistics'!$AI$2:$AI$350,MATCH(1,(B87='Offer Statistics'!$T$2:$T$350)*($B$11='Offer Statistics'!$U$2:$U$350),0)),"/")</f>
        <v>17</v>
      </c>
      <c r="W87" s="346" cm="1">
        <f t="array" ref="W87">IFERROR(INDEX('Offer Statistics'!$V$2:$V$350,MATCH(1,(B87='Offer Statistics'!$T$2:$T$350)*($B$11='Offer Statistics'!$U$2:$U$350),0)),"/")</f>
        <v>667</v>
      </c>
      <c r="X87" s="346" cm="1">
        <f t="array" ref="X87">IFERROR(INDEX('Offer Statistics'!$AD$2:$AD$350,MATCH(1,(B87='Offer Statistics'!$T$2:$T$350)*($B$11='Offer Statistics'!$U$2:$U$350),0)),"/")</f>
        <v>15</v>
      </c>
      <c r="Y87" s="346">
        <f t="shared" si="81"/>
        <v>44.466666666666669</v>
      </c>
      <c r="Z87" s="346" t="s">
        <v>713</v>
      </c>
      <c r="AA87" s="346" t="str">
        <f>入學要求!AF96</f>
        <v>/</v>
      </c>
      <c r="AB87" s="346" t="str">
        <f>入學要求!AG96</f>
        <v>/</v>
      </c>
      <c r="AC87" s="426" t="s">
        <v>785</v>
      </c>
      <c r="AD87" s="337"/>
      <c r="AE87" s="337"/>
      <c r="AF87" s="346" t="s">
        <v>324</v>
      </c>
      <c r="AG87" s="346" t="s">
        <v>324</v>
      </c>
      <c r="AH87" s="346" t="s">
        <v>324</v>
      </c>
      <c r="AI87" s="346" t="s">
        <v>324</v>
      </c>
      <c r="AJ87" s="346" t="s">
        <v>324</v>
      </c>
      <c r="AK87" s="359" t="s">
        <v>943</v>
      </c>
      <c r="AL87" s="359" t="s">
        <v>974</v>
      </c>
      <c r="AM87" s="359" t="s">
        <v>944</v>
      </c>
      <c r="AN87" s="359" t="s">
        <v>324</v>
      </c>
      <c r="AO87" s="359" t="s">
        <v>324</v>
      </c>
      <c r="AP87" s="359" t="s">
        <v>324</v>
      </c>
      <c r="AQ87" s="359" t="s">
        <v>394</v>
      </c>
      <c r="AR87" s="359" t="s">
        <v>324</v>
      </c>
      <c r="AS87" s="359"/>
      <c r="AT87" s="2" t="s">
        <v>945</v>
      </c>
      <c r="AU87" s="2" t="s">
        <v>946</v>
      </c>
      <c r="AV87" s="2" t="s">
        <v>713</v>
      </c>
      <c r="AZ87" s="346">
        <v>1</v>
      </c>
      <c r="BA87" s="346">
        <v>1</v>
      </c>
      <c r="BB87" s="346">
        <v>1</v>
      </c>
      <c r="BC87" s="346"/>
      <c r="BD87" s="346">
        <v>1</v>
      </c>
      <c r="BE87" s="346">
        <v>1</v>
      </c>
      <c r="BF87" s="346">
        <v>1</v>
      </c>
      <c r="BG87" s="346">
        <v>1</v>
      </c>
      <c r="BI87" s="2">
        <v>5</v>
      </c>
      <c r="BJ87" s="2">
        <v>4</v>
      </c>
      <c r="BK87" s="2">
        <v>4</v>
      </c>
      <c r="BM87" s="2">
        <v>4</v>
      </c>
      <c r="BN87" s="2">
        <v>3</v>
      </c>
      <c r="BQ87" s="194">
        <f t="shared" si="97"/>
        <v>5.00000000004</v>
      </c>
      <c r="BR87" s="194">
        <f t="shared" si="98"/>
        <v>4.00000000002</v>
      </c>
      <c r="BS87" s="194">
        <f t="shared" si="99"/>
        <v>4.00000000003</v>
      </c>
      <c r="BU87" s="194">
        <f t="shared" si="100"/>
        <v>4.00000000005</v>
      </c>
      <c r="BV87" s="194">
        <f t="shared" si="101"/>
        <v>3.00000000006</v>
      </c>
      <c r="BW87" s="194">
        <f t="shared" si="102"/>
        <v>7.0000000000000004E-11</v>
      </c>
      <c r="BX87" s="194">
        <f t="shared" si="103"/>
        <v>7.9999999999999995E-11</v>
      </c>
      <c r="BY87" s="2">
        <f t="shared" si="63"/>
        <v>5.00000000004</v>
      </c>
      <c r="BZ87" s="2">
        <f t="shared" si="64"/>
        <v>4.00000000002</v>
      </c>
      <c r="CA87" s="2">
        <f t="shared" si="65"/>
        <v>4.00000000003</v>
      </c>
      <c r="CC87" s="2">
        <f t="shared" si="66"/>
        <v>4.00000000005</v>
      </c>
      <c r="CD87" s="2">
        <f t="shared" si="67"/>
        <v>3.00000000006</v>
      </c>
      <c r="CE87" s="2">
        <f t="shared" si="68"/>
        <v>7.0000000000000004E-11</v>
      </c>
      <c r="CF87" s="2">
        <f t="shared" si="69"/>
        <v>7.9999999999999995E-11</v>
      </c>
      <c r="CG87" s="364" t="b">
        <f t="shared" si="82"/>
        <v>1</v>
      </c>
      <c r="CH87" s="364" t="b">
        <f t="shared" si="70"/>
        <v>1</v>
      </c>
      <c r="CI87" s="364" t="b">
        <f t="shared" si="70"/>
        <v>1</v>
      </c>
      <c r="CJ87" s="364"/>
      <c r="CK87" s="364" t="b">
        <f t="shared" si="70"/>
        <v>1</v>
      </c>
      <c r="CL87" s="364" t="b">
        <f t="shared" si="70"/>
        <v>1</v>
      </c>
      <c r="CM87" s="364" t="b">
        <f t="shared" si="70"/>
        <v>0</v>
      </c>
      <c r="CN87" s="364" t="b">
        <f t="shared" si="70"/>
        <v>0</v>
      </c>
      <c r="CO87" s="346">
        <v>1</v>
      </c>
      <c r="CP87" s="346">
        <v>1</v>
      </c>
      <c r="CQ87" s="346">
        <v>1</v>
      </c>
      <c r="CR87" s="346"/>
      <c r="CS87" s="346">
        <v>1</v>
      </c>
      <c r="CT87" s="346">
        <v>1</v>
      </c>
      <c r="CU87" s="346">
        <v>1</v>
      </c>
      <c r="CV87" s="346">
        <v>1</v>
      </c>
      <c r="CX87" s="2">
        <v>6</v>
      </c>
      <c r="CY87" s="2">
        <v>4</v>
      </c>
      <c r="CZ87" s="2">
        <v>3</v>
      </c>
      <c r="DB87" s="2">
        <v>4</v>
      </c>
      <c r="DC87" s="2">
        <v>4</v>
      </c>
      <c r="DF87" s="194">
        <f t="shared" si="83"/>
        <v>6.00000000004</v>
      </c>
      <c r="DG87" s="194">
        <f t="shared" si="84"/>
        <v>4.00000000002</v>
      </c>
      <c r="DH87" s="194">
        <f t="shared" si="85"/>
        <v>3.00000000003</v>
      </c>
      <c r="DJ87" s="194">
        <f t="shared" si="86"/>
        <v>4.00000000005</v>
      </c>
      <c r="DK87" s="194">
        <f t="shared" si="87"/>
        <v>4.00000000006</v>
      </c>
      <c r="DL87" s="194">
        <f t="shared" si="88"/>
        <v>7.0000000000000004E-11</v>
      </c>
      <c r="DM87" s="194">
        <f t="shared" si="89"/>
        <v>7.9999999999999995E-11</v>
      </c>
      <c r="DN87" s="2">
        <f t="shared" si="71"/>
        <v>6.00000000004</v>
      </c>
      <c r="DO87" s="2">
        <f t="shared" si="72"/>
        <v>4.00000000002</v>
      </c>
      <c r="DP87" s="2">
        <f t="shared" si="73"/>
        <v>3.00000000003</v>
      </c>
      <c r="DR87" s="2">
        <f t="shared" si="74"/>
        <v>4.00000000005</v>
      </c>
      <c r="DS87" s="2">
        <f t="shared" si="75"/>
        <v>4.00000000006</v>
      </c>
      <c r="DT87" s="2">
        <f t="shared" si="76"/>
        <v>7.0000000000000004E-11</v>
      </c>
      <c r="DU87" s="2">
        <f t="shared" si="77"/>
        <v>7.9999999999999995E-11</v>
      </c>
      <c r="DV87" s="2" t="b">
        <f t="shared" si="90"/>
        <v>1</v>
      </c>
      <c r="DW87" s="2" t="b">
        <f t="shared" si="91"/>
        <v>1</v>
      </c>
      <c r="DX87" s="2" t="b">
        <f t="shared" si="92"/>
        <v>1</v>
      </c>
      <c r="DZ87" s="2" t="b">
        <f t="shared" si="93"/>
        <v>1</v>
      </c>
      <c r="EA87" s="2" t="b">
        <f t="shared" si="94"/>
        <v>1</v>
      </c>
      <c r="EB87" s="2" t="b">
        <f t="shared" si="95"/>
        <v>0</v>
      </c>
      <c r="EC87" s="2" t="b">
        <f t="shared" si="96"/>
        <v>0</v>
      </c>
      <c r="ED87" s="2" t="s">
        <v>394</v>
      </c>
      <c r="EE87" s="2" t="s">
        <v>394</v>
      </c>
      <c r="EF87" s="2" t="s">
        <v>394</v>
      </c>
      <c r="EH87" s="2" t="s">
        <v>394</v>
      </c>
      <c r="EI87" s="2" t="s">
        <v>394</v>
      </c>
      <c r="EJ87" s="2" t="s">
        <v>394</v>
      </c>
      <c r="EK87" s="2" t="s">
        <v>394</v>
      </c>
      <c r="EL87" s="2" t="s">
        <v>394</v>
      </c>
      <c r="EM87" s="2" t="s">
        <v>394</v>
      </c>
      <c r="EN87" s="2" t="s">
        <v>394</v>
      </c>
      <c r="EP87" s="2" t="s">
        <v>394</v>
      </c>
      <c r="EQ87" s="2" t="s">
        <v>394</v>
      </c>
      <c r="ER87" s="2" t="s">
        <v>394</v>
      </c>
      <c r="ES87" s="2" t="s">
        <v>394</v>
      </c>
      <c r="FB87" s="2" t="s">
        <v>394</v>
      </c>
      <c r="FC87" s="2" t="s">
        <v>394</v>
      </c>
      <c r="FD87" s="2" t="s">
        <v>394</v>
      </c>
      <c r="FE87" s="2" t="s">
        <v>394</v>
      </c>
      <c r="FF87" s="2" t="s">
        <v>394</v>
      </c>
      <c r="FG87" s="2" t="s">
        <v>394</v>
      </c>
      <c r="FH87" s="2" t="s">
        <v>394</v>
      </c>
      <c r="FI87" s="2" t="s">
        <v>394</v>
      </c>
      <c r="FJ87" s="2" t="s">
        <v>394</v>
      </c>
      <c r="FK87" s="2" t="s">
        <v>394</v>
      </c>
      <c r="FL87" s="2" t="s">
        <v>394</v>
      </c>
      <c r="FM87" s="2" t="s">
        <v>394</v>
      </c>
      <c r="FN87" s="2" t="s">
        <v>394</v>
      </c>
      <c r="FO87" s="2" t="s">
        <v>394</v>
      </c>
      <c r="FP87" s="2" t="s">
        <v>394</v>
      </c>
      <c r="FQ87" s="2" t="s">
        <v>394</v>
      </c>
    </row>
    <row r="88" spans="1:195" s="342" customFormat="1">
      <c r="A88" s="335" t="s">
        <v>1017</v>
      </c>
      <c r="B88" s="346" t="s">
        <v>1017</v>
      </c>
      <c r="C88" s="346" t="s">
        <v>222</v>
      </c>
      <c r="D88" s="346" t="s">
        <v>1010</v>
      </c>
      <c r="E88" s="346" t="s">
        <v>1018</v>
      </c>
      <c r="F88" s="424" t="s">
        <v>785</v>
      </c>
      <c r="G88" s="346">
        <v>25.17</v>
      </c>
      <c r="H88" s="337" t="s">
        <v>324</v>
      </c>
      <c r="I88" s="346">
        <f t="shared" si="79"/>
        <v>25.400000000226001</v>
      </c>
      <c r="J88" s="346">
        <f t="shared" si="80"/>
        <v>25.000000000219998</v>
      </c>
      <c r="K88" s="337"/>
      <c r="L88" s="337"/>
      <c r="M88" s="337"/>
      <c r="N88" s="346" t="s">
        <v>324</v>
      </c>
      <c r="O88" s="426" t="s">
        <v>324</v>
      </c>
      <c r="P88" s="426" t="s">
        <v>768</v>
      </c>
      <c r="Q88" s="426" t="s">
        <v>2317</v>
      </c>
      <c r="R88" s="426" t="s">
        <v>324</v>
      </c>
      <c r="S88" s="346" t="s">
        <v>1019</v>
      </c>
      <c r="T88" s="346" t="s">
        <v>713</v>
      </c>
      <c r="U88" s="346">
        <v>30</v>
      </c>
      <c r="V88" s="346" cm="1">
        <f t="array" ref="V88">IFERROR(INDEX('Offer Statistics'!$AI$2:$AI$350,MATCH(1,(B88='Offer Statistics'!$T$2:$T$350)*($B$11='Offer Statistics'!$U$2:$U$350),0)),"/")</f>
        <v>29</v>
      </c>
      <c r="W88" s="346" cm="1">
        <f t="array" ref="W88">IFERROR(INDEX('Offer Statistics'!$V$2:$V$350,MATCH(1,(B88='Offer Statistics'!$T$2:$T$350)*($B$11='Offer Statistics'!$U$2:$U$350),0)),"/")</f>
        <v>763</v>
      </c>
      <c r="X88" s="346" cm="1">
        <f t="array" ref="X88">IFERROR(INDEX('Offer Statistics'!$AD$2:$AD$350,MATCH(1,(B88='Offer Statistics'!$T$2:$T$350)*($B$11='Offer Statistics'!$U$2:$U$350),0)),"/")</f>
        <v>29</v>
      </c>
      <c r="Y88" s="346">
        <f t="shared" si="81"/>
        <v>26.310344827586206</v>
      </c>
      <c r="Z88" s="346" t="s">
        <v>713</v>
      </c>
      <c r="AA88" s="346" t="str">
        <f>入學要求!AF97</f>
        <v>/</v>
      </c>
      <c r="AB88" s="346" t="str">
        <f>入學要求!AG97</f>
        <v>/</v>
      </c>
      <c r="AC88" s="425" t="s">
        <v>785</v>
      </c>
      <c r="AF88" s="426" t="s">
        <v>324</v>
      </c>
      <c r="AG88" s="426" t="s">
        <v>324</v>
      </c>
      <c r="AH88" s="426" t="s">
        <v>770</v>
      </c>
      <c r="AI88" s="426" t="s">
        <v>2317</v>
      </c>
      <c r="AJ88" s="346" t="s">
        <v>324</v>
      </c>
      <c r="AK88" s="342" t="s">
        <v>943</v>
      </c>
      <c r="AL88" s="342" t="s">
        <v>974</v>
      </c>
      <c r="AM88" s="342" t="s">
        <v>944</v>
      </c>
      <c r="AN88" s="342" t="s">
        <v>324</v>
      </c>
      <c r="AO88" s="342" t="s">
        <v>324</v>
      </c>
      <c r="AP88" s="342" t="s">
        <v>324</v>
      </c>
      <c r="AQ88" s="342" t="s">
        <v>394</v>
      </c>
      <c r="AR88" s="342" t="s">
        <v>324</v>
      </c>
      <c r="AT88" s="342" t="s">
        <v>945</v>
      </c>
      <c r="AU88" s="342" t="s">
        <v>946</v>
      </c>
      <c r="AV88" s="342" t="s">
        <v>713</v>
      </c>
      <c r="AY88" s="335"/>
      <c r="AZ88" s="346">
        <v>1</v>
      </c>
      <c r="BA88" s="346">
        <v>2</v>
      </c>
      <c r="BB88" s="346">
        <v>1</v>
      </c>
      <c r="BC88" s="346"/>
      <c r="BD88" s="346">
        <v>1</v>
      </c>
      <c r="BE88" s="368">
        <v>1</v>
      </c>
      <c r="BF88" s="346">
        <v>1</v>
      </c>
      <c r="BG88" s="346">
        <v>1</v>
      </c>
      <c r="BH88" s="335"/>
      <c r="BI88" s="342">
        <v>3</v>
      </c>
      <c r="BJ88" s="342">
        <v>4</v>
      </c>
      <c r="BK88" s="342">
        <v>3</v>
      </c>
      <c r="BM88" s="342">
        <v>6</v>
      </c>
      <c r="BN88" s="342">
        <v>5</v>
      </c>
      <c r="BQ88" s="194">
        <f t="shared" si="97"/>
        <v>3.00000000004</v>
      </c>
      <c r="BR88" s="194">
        <f t="shared" si="98"/>
        <v>4.00000000002</v>
      </c>
      <c r="BS88" s="194">
        <f t="shared" si="99"/>
        <v>3.00000000003</v>
      </c>
      <c r="BT88" s="194"/>
      <c r="BU88" s="194">
        <f t="shared" si="100"/>
        <v>6.00000000005</v>
      </c>
      <c r="BV88" s="194">
        <f t="shared" si="101"/>
        <v>5.00000000006</v>
      </c>
      <c r="BW88" s="194">
        <f t="shared" si="102"/>
        <v>7.0000000000000004E-11</v>
      </c>
      <c r="BX88" s="194">
        <f t="shared" si="103"/>
        <v>7.9999999999999995E-11</v>
      </c>
      <c r="BY88" s="342">
        <f t="shared" si="63"/>
        <v>3.00000000004</v>
      </c>
      <c r="BZ88" s="342">
        <f t="shared" si="64"/>
        <v>8.00000000004</v>
      </c>
      <c r="CA88" s="342">
        <f t="shared" si="65"/>
        <v>3.00000000003</v>
      </c>
      <c r="CC88" s="342">
        <f t="shared" si="66"/>
        <v>6.00000000005</v>
      </c>
      <c r="CD88" s="342">
        <f t="shared" si="67"/>
        <v>5.00000000006</v>
      </c>
      <c r="CE88" s="342">
        <f t="shared" si="68"/>
        <v>7.0000000000000004E-11</v>
      </c>
      <c r="CF88" s="342">
        <f t="shared" si="69"/>
        <v>7.9999999999999995E-11</v>
      </c>
      <c r="CG88" s="364" t="b">
        <f t="shared" si="82"/>
        <v>1</v>
      </c>
      <c r="CH88" s="364" t="b">
        <f t="shared" si="70"/>
        <v>1</v>
      </c>
      <c r="CI88" s="364" t="b">
        <f t="shared" si="70"/>
        <v>1</v>
      </c>
      <c r="CJ88" s="364"/>
      <c r="CK88" s="364" t="b">
        <f t="shared" si="70"/>
        <v>1</v>
      </c>
      <c r="CL88" s="364" t="b">
        <f t="shared" si="70"/>
        <v>1</v>
      </c>
      <c r="CM88" s="364" t="b">
        <f t="shared" si="70"/>
        <v>0</v>
      </c>
      <c r="CN88" s="364" t="b">
        <f t="shared" si="70"/>
        <v>0</v>
      </c>
      <c r="CO88" s="346">
        <v>1</v>
      </c>
      <c r="CP88" s="346">
        <v>2</v>
      </c>
      <c r="CQ88" s="346">
        <v>1</v>
      </c>
      <c r="CR88" s="346"/>
      <c r="CS88" s="346">
        <v>1</v>
      </c>
      <c r="CT88" s="446">
        <v>1.1000000000000001</v>
      </c>
      <c r="CU88" s="346">
        <v>1</v>
      </c>
      <c r="CV88" s="346">
        <v>1</v>
      </c>
      <c r="CX88" s="342">
        <v>5</v>
      </c>
      <c r="CY88" s="342">
        <v>4</v>
      </c>
      <c r="CZ88" s="342">
        <v>4</v>
      </c>
      <c r="DB88" s="342">
        <v>4</v>
      </c>
      <c r="DC88" s="342">
        <v>4</v>
      </c>
      <c r="DF88" s="194">
        <f t="shared" si="83"/>
        <v>5.00000000004</v>
      </c>
      <c r="DG88" s="194">
        <f t="shared" si="84"/>
        <v>4.00000000002</v>
      </c>
      <c r="DH88" s="194">
        <f t="shared" si="85"/>
        <v>4.00000000003</v>
      </c>
      <c r="DI88" s="194"/>
      <c r="DJ88" s="194">
        <f t="shared" si="86"/>
        <v>4.00000000005</v>
      </c>
      <c r="DK88" s="194">
        <f t="shared" si="87"/>
        <v>4.00000000006</v>
      </c>
      <c r="DL88" s="194">
        <f t="shared" si="88"/>
        <v>7.0000000000000004E-11</v>
      </c>
      <c r="DM88" s="194">
        <f t="shared" si="89"/>
        <v>7.9999999999999995E-11</v>
      </c>
      <c r="DN88" s="342">
        <f t="shared" si="71"/>
        <v>5.00000000004</v>
      </c>
      <c r="DO88" s="342">
        <f t="shared" si="72"/>
        <v>8.00000000004</v>
      </c>
      <c r="DP88" s="342">
        <f t="shared" si="73"/>
        <v>4.00000000003</v>
      </c>
      <c r="DR88" s="342">
        <f t="shared" si="74"/>
        <v>4.00000000005</v>
      </c>
      <c r="DS88" s="342">
        <f t="shared" si="75"/>
        <v>4.400000000066</v>
      </c>
      <c r="DT88" s="342">
        <f t="shared" si="76"/>
        <v>7.0000000000000004E-11</v>
      </c>
      <c r="DU88" s="342">
        <f t="shared" si="77"/>
        <v>7.9999999999999995E-11</v>
      </c>
      <c r="DV88" s="2" t="b">
        <f t="shared" si="90"/>
        <v>1</v>
      </c>
      <c r="DW88" s="2" t="b">
        <f t="shared" si="91"/>
        <v>1</v>
      </c>
      <c r="DX88" s="2" t="b">
        <f t="shared" si="92"/>
        <v>1</v>
      </c>
      <c r="DY88" s="2"/>
      <c r="DZ88" s="2" t="b">
        <f t="shared" si="93"/>
        <v>1</v>
      </c>
      <c r="EA88" s="2" t="b">
        <f t="shared" si="94"/>
        <v>1</v>
      </c>
      <c r="EB88" s="2" t="b">
        <f t="shared" si="95"/>
        <v>0</v>
      </c>
      <c r="EC88" s="2" t="b">
        <f t="shared" si="96"/>
        <v>0</v>
      </c>
      <c r="ED88" s="342" t="s">
        <v>394</v>
      </c>
      <c r="EE88" s="342" t="s">
        <v>394</v>
      </c>
      <c r="EF88" s="342" t="s">
        <v>394</v>
      </c>
      <c r="EH88" s="342" t="s">
        <v>394</v>
      </c>
      <c r="EI88" s="342" t="s">
        <v>394</v>
      </c>
      <c r="EJ88" s="342" t="s">
        <v>394</v>
      </c>
      <c r="EK88" s="342" t="s">
        <v>394</v>
      </c>
      <c r="EL88" s="342" t="s">
        <v>394</v>
      </c>
      <c r="EM88" s="342" t="s">
        <v>394</v>
      </c>
      <c r="EN88" s="342" t="s">
        <v>394</v>
      </c>
      <c r="EP88" s="342" t="s">
        <v>394</v>
      </c>
      <c r="EQ88" s="342" t="s">
        <v>394</v>
      </c>
      <c r="ER88" s="342" t="s">
        <v>394</v>
      </c>
      <c r="ES88" s="342" t="s">
        <v>394</v>
      </c>
      <c r="FB88" s="342" t="s">
        <v>394</v>
      </c>
      <c r="FC88" s="342" t="s">
        <v>394</v>
      </c>
      <c r="FD88" s="342" t="s">
        <v>394</v>
      </c>
      <c r="FE88" s="342" t="s">
        <v>394</v>
      </c>
      <c r="FF88" s="342" t="s">
        <v>394</v>
      </c>
      <c r="FG88" s="342" t="s">
        <v>394</v>
      </c>
      <c r="FH88" s="342" t="s">
        <v>394</v>
      </c>
      <c r="FI88" s="342" t="s">
        <v>394</v>
      </c>
      <c r="FJ88" s="342" t="s">
        <v>394</v>
      </c>
      <c r="FK88" s="342" t="s">
        <v>394</v>
      </c>
      <c r="FL88" s="342" t="s">
        <v>394</v>
      </c>
      <c r="FM88" s="342" t="s">
        <v>394</v>
      </c>
      <c r="FN88" s="342" t="s">
        <v>394</v>
      </c>
      <c r="FO88" s="342" t="s">
        <v>394</v>
      </c>
      <c r="FP88" s="342" t="s">
        <v>394</v>
      </c>
      <c r="FQ88" s="342" t="s">
        <v>394</v>
      </c>
    </row>
    <row r="89" spans="1:195" ht="13.95" customHeight="1">
      <c r="A89" s="335" t="s">
        <v>1020</v>
      </c>
      <c r="B89" s="346" t="s">
        <v>1020</v>
      </c>
      <c r="C89" s="346" t="s">
        <v>222</v>
      </c>
      <c r="D89" s="346" t="s">
        <v>1021</v>
      </c>
      <c r="E89" s="346" t="s">
        <v>1022</v>
      </c>
      <c r="F89" s="346" t="s">
        <v>785</v>
      </c>
      <c r="G89" s="346">
        <v>19.559999999999999</v>
      </c>
      <c r="H89" s="337" t="s">
        <v>324</v>
      </c>
      <c r="I89" s="346">
        <f t="shared" si="79"/>
        <v>21.000000000200004</v>
      </c>
      <c r="J89" s="346">
        <f t="shared" si="80"/>
        <v>18.000000000200004</v>
      </c>
      <c r="K89" s="337"/>
      <c r="L89" s="337"/>
      <c r="M89" s="337"/>
      <c r="N89" s="346" t="s">
        <v>324</v>
      </c>
      <c r="O89" s="346" t="s">
        <v>324</v>
      </c>
      <c r="P89" s="346" t="s">
        <v>324</v>
      </c>
      <c r="Q89" s="346" t="s">
        <v>324</v>
      </c>
      <c r="R89" s="346" t="s">
        <v>324</v>
      </c>
      <c r="S89" s="346" t="s">
        <v>1023</v>
      </c>
      <c r="T89" s="346" t="s">
        <v>713</v>
      </c>
      <c r="U89" s="346">
        <v>35</v>
      </c>
      <c r="V89" s="346" cm="1">
        <f t="array" ref="V89">IFERROR(INDEX('Offer Statistics'!$AI$2:$AI$350,MATCH(1,(B89='Offer Statistics'!$T$2:$T$350)*($B$11='Offer Statistics'!$U$2:$U$350),0)),"/")</f>
        <v>37</v>
      </c>
      <c r="W89" s="346" cm="1">
        <f t="array" ref="W89">IFERROR(INDEX('Offer Statistics'!$V$2:$V$350,MATCH(1,(B89='Offer Statistics'!$T$2:$T$350)*($B$11='Offer Statistics'!$U$2:$U$350),0)),"/")</f>
        <v>605</v>
      </c>
      <c r="X89" s="346" cm="1">
        <f t="array" ref="X89">IFERROR(INDEX('Offer Statistics'!$AD$2:$AD$350,MATCH(1,(B89='Offer Statistics'!$T$2:$T$350)*($B$11='Offer Statistics'!$U$2:$U$350),0)),"/")</f>
        <v>37</v>
      </c>
      <c r="Y89" s="346">
        <f t="shared" si="81"/>
        <v>16.351351351351351</v>
      </c>
      <c r="Z89" s="346" t="s">
        <v>713</v>
      </c>
      <c r="AA89" s="346" t="str">
        <f>入學要求!AF98</f>
        <v>/</v>
      </c>
      <c r="AB89" s="346" t="str">
        <f>入學要求!AG98</f>
        <v>/</v>
      </c>
      <c r="AC89" s="426" t="s">
        <v>785</v>
      </c>
      <c r="AD89" s="346"/>
      <c r="AE89" s="346"/>
      <c r="AF89" s="346" t="s">
        <v>324</v>
      </c>
      <c r="AG89" s="346" t="s">
        <v>324</v>
      </c>
      <c r="AH89" s="346" t="s">
        <v>324</v>
      </c>
      <c r="AI89" s="346" t="s">
        <v>324</v>
      </c>
      <c r="AJ89" s="346" t="s">
        <v>324</v>
      </c>
      <c r="AK89" s="359" t="s">
        <v>943</v>
      </c>
      <c r="AL89" s="359" t="s">
        <v>974</v>
      </c>
      <c r="AM89" s="359" t="s">
        <v>944</v>
      </c>
      <c r="AN89" s="359" t="s">
        <v>1024</v>
      </c>
      <c r="AO89" s="362" t="s">
        <v>1025</v>
      </c>
      <c r="AP89" s="359" t="s">
        <v>324</v>
      </c>
      <c r="AQ89" s="342" t="s">
        <v>394</v>
      </c>
      <c r="AR89" s="342" t="s">
        <v>324</v>
      </c>
      <c r="AS89" s="342"/>
      <c r="AT89" s="2" t="s">
        <v>945</v>
      </c>
      <c r="AU89" s="2" t="s">
        <v>946</v>
      </c>
      <c r="AV89" s="2" t="s">
        <v>713</v>
      </c>
      <c r="AY89" s="191"/>
      <c r="AZ89" s="346">
        <v>1</v>
      </c>
      <c r="BA89" s="346">
        <v>1</v>
      </c>
      <c r="BB89" s="346">
        <v>1</v>
      </c>
      <c r="BC89" s="346"/>
      <c r="BD89" s="346">
        <v>1</v>
      </c>
      <c r="BE89" s="346">
        <v>1</v>
      </c>
      <c r="BF89" s="346">
        <v>1</v>
      </c>
      <c r="BG89" s="346">
        <v>1</v>
      </c>
      <c r="BI89" s="2">
        <v>4</v>
      </c>
      <c r="BJ89" s="2">
        <v>4</v>
      </c>
      <c r="BK89" s="2">
        <v>3</v>
      </c>
      <c r="BM89" s="2">
        <v>4</v>
      </c>
      <c r="BN89" s="2">
        <v>3</v>
      </c>
      <c r="BQ89" s="194">
        <f t="shared" si="97"/>
        <v>4.00000000004</v>
      </c>
      <c r="BR89" s="194">
        <f t="shared" si="98"/>
        <v>4.00000000002</v>
      </c>
      <c r="BS89" s="194">
        <f t="shared" si="99"/>
        <v>3.00000000003</v>
      </c>
      <c r="BU89" s="194">
        <f t="shared" si="100"/>
        <v>4.00000000005</v>
      </c>
      <c r="BV89" s="194">
        <f t="shared" si="101"/>
        <v>3.00000000006</v>
      </c>
      <c r="BW89" s="194">
        <f t="shared" si="102"/>
        <v>7.0000000000000004E-11</v>
      </c>
      <c r="BX89" s="194">
        <f t="shared" si="103"/>
        <v>7.9999999999999995E-11</v>
      </c>
      <c r="BY89" s="2">
        <f t="shared" si="63"/>
        <v>4.00000000004</v>
      </c>
      <c r="BZ89" s="2">
        <f t="shared" si="64"/>
        <v>4.00000000002</v>
      </c>
      <c r="CA89" s="2">
        <f t="shared" si="65"/>
        <v>3.00000000003</v>
      </c>
      <c r="CC89" s="2">
        <f t="shared" si="66"/>
        <v>4.00000000005</v>
      </c>
      <c r="CD89" s="2">
        <f t="shared" si="67"/>
        <v>3.00000000006</v>
      </c>
      <c r="CE89" s="2">
        <f t="shared" si="68"/>
        <v>7.0000000000000004E-11</v>
      </c>
      <c r="CF89" s="2">
        <f t="shared" si="69"/>
        <v>7.9999999999999995E-11</v>
      </c>
      <c r="CG89" s="364" t="b">
        <f t="shared" si="82"/>
        <v>1</v>
      </c>
      <c r="CH89" s="364" t="b">
        <f t="shared" si="70"/>
        <v>1</v>
      </c>
      <c r="CI89" s="364" t="b">
        <f t="shared" si="70"/>
        <v>1</v>
      </c>
      <c r="CJ89" s="364"/>
      <c r="CK89" s="364" t="b">
        <f t="shared" si="70"/>
        <v>1</v>
      </c>
      <c r="CL89" s="364" t="b">
        <f t="shared" si="70"/>
        <v>1</v>
      </c>
      <c r="CM89" s="364" t="b">
        <f t="shared" si="70"/>
        <v>0</v>
      </c>
      <c r="CN89" s="364" t="b">
        <f t="shared" si="70"/>
        <v>0</v>
      </c>
      <c r="CO89" s="346">
        <v>1</v>
      </c>
      <c r="CP89" s="346">
        <v>1</v>
      </c>
      <c r="CQ89" s="346">
        <v>1</v>
      </c>
      <c r="CR89" s="346"/>
      <c r="CS89" s="346">
        <v>1</v>
      </c>
      <c r="CT89" s="346">
        <v>1</v>
      </c>
      <c r="CU89" s="346">
        <v>1</v>
      </c>
      <c r="CV89" s="346">
        <v>1</v>
      </c>
      <c r="CX89" s="2">
        <v>5</v>
      </c>
      <c r="CY89" s="2">
        <v>3</v>
      </c>
      <c r="CZ89" s="2">
        <v>3</v>
      </c>
      <c r="DB89" s="2">
        <v>7</v>
      </c>
      <c r="DC89" s="2">
        <v>3</v>
      </c>
      <c r="DF89" s="194">
        <f t="shared" si="83"/>
        <v>5.00000000004</v>
      </c>
      <c r="DG89" s="194">
        <f t="shared" si="84"/>
        <v>3.00000000002</v>
      </c>
      <c r="DH89" s="194">
        <f t="shared" si="85"/>
        <v>3.00000000003</v>
      </c>
      <c r="DJ89" s="194">
        <f t="shared" si="86"/>
        <v>7.00000000005</v>
      </c>
      <c r="DK89" s="194">
        <f t="shared" si="87"/>
        <v>3.00000000006</v>
      </c>
      <c r="DL89" s="194">
        <f t="shared" si="88"/>
        <v>7.0000000000000004E-11</v>
      </c>
      <c r="DM89" s="194">
        <f t="shared" si="89"/>
        <v>7.9999999999999995E-11</v>
      </c>
      <c r="DN89" s="2">
        <f t="shared" si="71"/>
        <v>5.00000000004</v>
      </c>
      <c r="DO89" s="2">
        <f t="shared" si="72"/>
        <v>3.00000000002</v>
      </c>
      <c r="DP89" s="2">
        <f t="shared" si="73"/>
        <v>3.00000000003</v>
      </c>
      <c r="DR89" s="2">
        <f t="shared" si="74"/>
        <v>7.00000000005</v>
      </c>
      <c r="DS89" s="2">
        <f t="shared" si="75"/>
        <v>3.00000000006</v>
      </c>
      <c r="DT89" s="2">
        <f t="shared" si="76"/>
        <v>7.0000000000000004E-11</v>
      </c>
      <c r="DU89" s="2">
        <f t="shared" si="77"/>
        <v>7.9999999999999995E-11</v>
      </c>
      <c r="DV89" s="2" t="b">
        <f t="shared" si="90"/>
        <v>1</v>
      </c>
      <c r="DW89" s="2" t="b">
        <f t="shared" si="91"/>
        <v>1</v>
      </c>
      <c r="DX89" s="2" t="b">
        <f t="shared" si="92"/>
        <v>1</v>
      </c>
      <c r="DZ89" s="2" t="b">
        <f t="shared" si="93"/>
        <v>1</v>
      </c>
      <c r="EA89" s="2" t="b">
        <f t="shared" si="94"/>
        <v>1</v>
      </c>
      <c r="EB89" s="2" t="b">
        <f t="shared" si="95"/>
        <v>0</v>
      </c>
      <c r="EC89" s="2" t="b">
        <f t="shared" si="96"/>
        <v>0</v>
      </c>
      <c r="ED89" s="2" t="s">
        <v>394</v>
      </c>
      <c r="EE89" s="2" t="s">
        <v>394</v>
      </c>
      <c r="EF89" s="2" t="s">
        <v>394</v>
      </c>
      <c r="EH89" s="2" t="s">
        <v>394</v>
      </c>
      <c r="EI89" s="2" t="s">
        <v>394</v>
      </c>
      <c r="EJ89" s="2" t="s">
        <v>394</v>
      </c>
      <c r="EK89" s="2" t="s">
        <v>394</v>
      </c>
      <c r="EL89" s="2" t="s">
        <v>394</v>
      </c>
      <c r="EM89" s="2" t="s">
        <v>394</v>
      </c>
      <c r="EN89" s="2" t="s">
        <v>394</v>
      </c>
      <c r="EP89" s="2" t="s">
        <v>394</v>
      </c>
      <c r="EQ89" s="2" t="s">
        <v>394</v>
      </c>
      <c r="ER89" s="2" t="s">
        <v>394</v>
      </c>
      <c r="ES89" s="2" t="s">
        <v>394</v>
      </c>
      <c r="FB89" s="2" t="s">
        <v>394</v>
      </c>
      <c r="FC89" s="2" t="s">
        <v>394</v>
      </c>
      <c r="FD89" s="2" t="s">
        <v>394</v>
      </c>
      <c r="FE89" s="2" t="s">
        <v>394</v>
      </c>
      <c r="FF89" s="2" t="s">
        <v>394</v>
      </c>
      <c r="FG89" s="2" t="s">
        <v>394</v>
      </c>
      <c r="FH89" s="2" t="s">
        <v>394</v>
      </c>
      <c r="FI89" s="2" t="s">
        <v>394</v>
      </c>
      <c r="FJ89" s="2" t="s">
        <v>394</v>
      </c>
      <c r="FK89" s="2" t="s">
        <v>394</v>
      </c>
      <c r="FL89" s="2" t="s">
        <v>394</v>
      </c>
      <c r="FM89" s="2" t="s">
        <v>394</v>
      </c>
      <c r="FN89" s="2" t="s">
        <v>394</v>
      </c>
      <c r="FO89" s="2" t="s">
        <v>394</v>
      </c>
      <c r="FP89" s="2" t="s">
        <v>394</v>
      </c>
      <c r="FQ89" s="2" t="s">
        <v>394</v>
      </c>
    </row>
    <row r="90" spans="1:195">
      <c r="A90" s="335" t="s">
        <v>1026</v>
      </c>
      <c r="B90" s="346" t="s">
        <v>1026</v>
      </c>
      <c r="C90" s="346" t="s">
        <v>222</v>
      </c>
      <c r="D90" s="346" t="s">
        <v>1027</v>
      </c>
      <c r="E90" s="346" t="s">
        <v>1028</v>
      </c>
      <c r="F90" s="346" t="s">
        <v>785</v>
      </c>
      <c r="G90" s="346">
        <v>19.57</v>
      </c>
      <c r="H90" s="337" t="s">
        <v>324</v>
      </c>
      <c r="I90" s="346">
        <f t="shared" si="79"/>
        <v>19.000000000250001</v>
      </c>
      <c r="J90" s="346">
        <f t="shared" si="80"/>
        <v>19.000000000200004</v>
      </c>
      <c r="K90" s="337"/>
      <c r="L90" s="337"/>
      <c r="M90" s="337"/>
      <c r="N90" s="346" t="s">
        <v>324</v>
      </c>
      <c r="O90" s="346" t="s">
        <v>324</v>
      </c>
      <c r="P90" s="346" t="s">
        <v>324</v>
      </c>
      <c r="Q90" s="346" t="s">
        <v>324</v>
      </c>
      <c r="R90" s="346" t="s">
        <v>324</v>
      </c>
      <c r="S90" s="346" t="s">
        <v>1029</v>
      </c>
      <c r="T90" s="346" t="s">
        <v>713</v>
      </c>
      <c r="U90" s="346">
        <v>15</v>
      </c>
      <c r="V90" s="346" cm="1">
        <f t="array" ref="V90">IFERROR(INDEX('Offer Statistics'!$AI$2:$AI$350,MATCH(1,(B90='Offer Statistics'!$T$2:$T$350)*($B$11='Offer Statistics'!$U$2:$U$350),0)),"/")</f>
        <v>15</v>
      </c>
      <c r="W90" s="346" cm="1">
        <f t="array" ref="W90">IFERROR(INDEX('Offer Statistics'!$V$2:$V$350,MATCH(1,(B90='Offer Statistics'!$T$2:$T$350)*($B$11='Offer Statistics'!$U$2:$U$350),0)),"/")</f>
        <v>145</v>
      </c>
      <c r="X90" s="346" cm="1">
        <f t="array" ref="X90">IFERROR(INDEX('Offer Statistics'!$AD$2:$AD$350,MATCH(1,(B90='Offer Statistics'!$T$2:$T$350)*($B$11='Offer Statistics'!$U$2:$U$350),0)),"/")</f>
        <v>3</v>
      </c>
      <c r="Y90" s="346">
        <f t="shared" si="81"/>
        <v>48.333333333333336</v>
      </c>
      <c r="Z90" s="346" t="s">
        <v>713</v>
      </c>
      <c r="AA90" s="346" t="str">
        <f>入學要求!AF99</f>
        <v>/</v>
      </c>
      <c r="AB90" s="346" t="str">
        <f>入學要求!AG99</f>
        <v>/</v>
      </c>
      <c r="AC90" s="426" t="s">
        <v>785</v>
      </c>
      <c r="AD90" s="337"/>
      <c r="AE90" s="337"/>
      <c r="AF90" s="346" t="s">
        <v>324</v>
      </c>
      <c r="AG90" s="346" t="s">
        <v>324</v>
      </c>
      <c r="AH90" s="346" t="s">
        <v>324</v>
      </c>
      <c r="AI90" s="346" t="s">
        <v>324</v>
      </c>
      <c r="AJ90" s="346" t="s">
        <v>324</v>
      </c>
      <c r="AK90" s="359" t="s">
        <v>943</v>
      </c>
      <c r="AL90" s="359" t="s">
        <v>714</v>
      </c>
      <c r="AM90" s="359" t="s">
        <v>944</v>
      </c>
      <c r="AN90" s="359" t="s">
        <v>324</v>
      </c>
      <c r="AO90" s="359" t="s">
        <v>324</v>
      </c>
      <c r="AP90" s="359" t="s">
        <v>324</v>
      </c>
      <c r="AQ90" s="342" t="s">
        <v>394</v>
      </c>
      <c r="AR90" s="342" t="s">
        <v>324</v>
      </c>
      <c r="AS90" s="342"/>
      <c r="AT90" s="2" t="s">
        <v>945</v>
      </c>
      <c r="AU90" s="2" t="s">
        <v>946</v>
      </c>
      <c r="AV90" s="2" t="s">
        <v>713</v>
      </c>
      <c r="AZ90" s="346">
        <v>1</v>
      </c>
      <c r="BA90" s="346">
        <v>1</v>
      </c>
      <c r="BB90" s="346">
        <v>1</v>
      </c>
      <c r="BC90" s="346"/>
      <c r="BD90" s="346">
        <v>1</v>
      </c>
      <c r="BE90" s="346">
        <v>1</v>
      </c>
      <c r="BF90" s="346">
        <v>1</v>
      </c>
      <c r="BG90" s="346">
        <v>1</v>
      </c>
      <c r="BI90" s="2">
        <v>4</v>
      </c>
      <c r="BJ90" s="2">
        <v>3</v>
      </c>
      <c r="BK90" s="2">
        <v>4</v>
      </c>
      <c r="BM90" s="2">
        <v>4</v>
      </c>
      <c r="BN90" s="2">
        <v>4</v>
      </c>
      <c r="BO90" s="2">
        <v>2</v>
      </c>
      <c r="BQ90" s="194">
        <f t="shared" si="97"/>
        <v>4.00000000004</v>
      </c>
      <c r="BR90" s="194">
        <f t="shared" si="98"/>
        <v>3.00000000002</v>
      </c>
      <c r="BS90" s="194">
        <f t="shared" si="99"/>
        <v>4.00000000003</v>
      </c>
      <c r="BU90" s="194">
        <f t="shared" si="100"/>
        <v>4.00000000005</v>
      </c>
      <c r="BV90" s="194">
        <f t="shared" si="101"/>
        <v>4.00000000006</v>
      </c>
      <c r="BW90" s="194">
        <f t="shared" si="102"/>
        <v>2.00000000007</v>
      </c>
      <c r="BX90" s="194">
        <f t="shared" si="103"/>
        <v>7.9999999999999995E-11</v>
      </c>
      <c r="BY90" s="2">
        <f t="shared" si="63"/>
        <v>4.00000000004</v>
      </c>
      <c r="BZ90" s="2">
        <f t="shared" si="64"/>
        <v>3.00000000002</v>
      </c>
      <c r="CA90" s="2">
        <f t="shared" si="65"/>
        <v>4.00000000003</v>
      </c>
      <c r="CC90" s="2">
        <f t="shared" si="66"/>
        <v>4.00000000005</v>
      </c>
      <c r="CD90" s="2">
        <f t="shared" si="67"/>
        <v>4.00000000006</v>
      </c>
      <c r="CE90" s="2">
        <f t="shared" si="68"/>
        <v>2.00000000007</v>
      </c>
      <c r="CF90" s="2">
        <f t="shared" si="69"/>
        <v>7.9999999999999995E-11</v>
      </c>
      <c r="CG90" s="364" t="b">
        <f t="shared" si="82"/>
        <v>1</v>
      </c>
      <c r="CH90" s="364" t="b">
        <f t="shared" ref="CH90:CH95" si="104">IF(BZ90&gt;LARGE($BY90:$CF90,6),TRUE)</f>
        <v>1</v>
      </c>
      <c r="CI90" s="364" t="b">
        <f t="shared" ref="CI90:CI95" si="105">IF(CA90&gt;LARGE($BY90:$CF90,6),TRUE)</f>
        <v>1</v>
      </c>
      <c r="CJ90" s="364"/>
      <c r="CK90" s="364" t="b">
        <f t="shared" ref="CK90:CK95" si="106">IF(CC90&gt;LARGE($BY90:$CF90,6),TRUE)</f>
        <v>1</v>
      </c>
      <c r="CL90" s="364" t="b">
        <f t="shared" ref="CL90:CL95" si="107">IF(CD90&gt;LARGE($BY90:$CF90,6),TRUE)</f>
        <v>1</v>
      </c>
      <c r="CM90" s="364" t="b">
        <f t="shared" ref="CM90:CM95" si="108">IF(CE90&gt;LARGE($BY90:$CF90,6),TRUE)</f>
        <v>0</v>
      </c>
      <c r="CN90" s="364" t="b">
        <f t="shared" ref="CN90:CN95" si="109">IF(CF90&gt;LARGE($BY90:$CF90,6),TRUE)</f>
        <v>0</v>
      </c>
      <c r="CO90" s="346">
        <v>1</v>
      </c>
      <c r="CP90" s="346">
        <v>1</v>
      </c>
      <c r="CQ90" s="346">
        <v>1</v>
      </c>
      <c r="CR90" s="346"/>
      <c r="CS90" s="346">
        <v>1</v>
      </c>
      <c r="CT90" s="346">
        <v>1</v>
      </c>
      <c r="CU90" s="346">
        <v>1</v>
      </c>
      <c r="CV90" s="346">
        <v>1</v>
      </c>
      <c r="CX90" s="2">
        <v>4</v>
      </c>
      <c r="CY90" s="2">
        <v>3</v>
      </c>
      <c r="CZ90" s="2">
        <v>4</v>
      </c>
      <c r="DB90" s="2">
        <v>4</v>
      </c>
      <c r="DC90" s="2">
        <v>4</v>
      </c>
      <c r="DD90" s="2">
        <v>3</v>
      </c>
      <c r="DF90" s="194">
        <f t="shared" si="83"/>
        <v>4.00000000004</v>
      </c>
      <c r="DG90" s="194">
        <f t="shared" si="84"/>
        <v>3.00000000002</v>
      </c>
      <c r="DH90" s="194">
        <f t="shared" si="85"/>
        <v>4.00000000003</v>
      </c>
      <c r="DJ90" s="194">
        <f t="shared" si="86"/>
        <v>4.00000000005</v>
      </c>
      <c r="DK90" s="194">
        <f t="shared" si="87"/>
        <v>4.00000000006</v>
      </c>
      <c r="DL90" s="194">
        <f t="shared" si="88"/>
        <v>3.00000000007</v>
      </c>
      <c r="DM90" s="194">
        <f t="shared" si="89"/>
        <v>7.9999999999999995E-11</v>
      </c>
      <c r="DN90" s="2">
        <f t="shared" si="71"/>
        <v>4.00000000004</v>
      </c>
      <c r="DO90" s="2">
        <f t="shared" si="72"/>
        <v>3.00000000002</v>
      </c>
      <c r="DP90" s="2">
        <f t="shared" si="73"/>
        <v>4.00000000003</v>
      </c>
      <c r="DR90" s="2">
        <f t="shared" si="74"/>
        <v>4.00000000005</v>
      </c>
      <c r="DS90" s="2">
        <f t="shared" si="75"/>
        <v>4.00000000006</v>
      </c>
      <c r="DT90" s="2">
        <f t="shared" si="76"/>
        <v>3.00000000007</v>
      </c>
      <c r="DU90" s="2">
        <f t="shared" si="77"/>
        <v>7.9999999999999995E-11</v>
      </c>
      <c r="DV90" s="2" t="b">
        <f t="shared" si="90"/>
        <v>1</v>
      </c>
      <c r="DW90" s="2" t="b">
        <f t="shared" si="91"/>
        <v>0</v>
      </c>
      <c r="DX90" s="2" t="b">
        <f t="shared" si="92"/>
        <v>1</v>
      </c>
      <c r="DZ90" s="2" t="b">
        <f t="shared" si="93"/>
        <v>1</v>
      </c>
      <c r="EA90" s="2" t="b">
        <f t="shared" si="94"/>
        <v>1</v>
      </c>
      <c r="EB90" s="2" t="b">
        <f t="shared" si="95"/>
        <v>1</v>
      </c>
      <c r="EC90" s="2" t="b">
        <f t="shared" si="96"/>
        <v>0</v>
      </c>
      <c r="ED90" s="2" t="s">
        <v>394</v>
      </c>
      <c r="EE90" s="2" t="s">
        <v>394</v>
      </c>
      <c r="EF90" s="2" t="s">
        <v>394</v>
      </c>
      <c r="EH90" s="2" t="s">
        <v>394</v>
      </c>
      <c r="EI90" s="2" t="s">
        <v>394</v>
      </c>
      <c r="EJ90" s="2" t="s">
        <v>394</v>
      </c>
      <c r="EK90" s="2" t="s">
        <v>394</v>
      </c>
      <c r="EL90" s="2" t="s">
        <v>394</v>
      </c>
      <c r="EM90" s="2" t="s">
        <v>394</v>
      </c>
      <c r="EN90" s="2" t="s">
        <v>394</v>
      </c>
      <c r="EP90" s="2" t="s">
        <v>394</v>
      </c>
      <c r="EQ90" s="2" t="s">
        <v>394</v>
      </c>
      <c r="ER90" s="2" t="s">
        <v>394</v>
      </c>
      <c r="ES90" s="2" t="s">
        <v>394</v>
      </c>
      <c r="FB90" s="2" t="s">
        <v>394</v>
      </c>
      <c r="FC90" s="2" t="s">
        <v>394</v>
      </c>
      <c r="FD90" s="2" t="s">
        <v>394</v>
      </c>
      <c r="FE90" s="2" t="s">
        <v>394</v>
      </c>
      <c r="FF90" s="2" t="s">
        <v>394</v>
      </c>
      <c r="FG90" s="2" t="s">
        <v>394</v>
      </c>
      <c r="FH90" s="2" t="s">
        <v>394</v>
      </c>
      <c r="FI90" s="2" t="s">
        <v>394</v>
      </c>
      <c r="FJ90" s="2" t="s">
        <v>394</v>
      </c>
      <c r="FK90" s="2" t="s">
        <v>394</v>
      </c>
      <c r="FL90" s="2" t="s">
        <v>394</v>
      </c>
      <c r="FM90" s="2" t="s">
        <v>394</v>
      </c>
      <c r="FN90" s="2" t="s">
        <v>394</v>
      </c>
      <c r="FO90" s="2" t="s">
        <v>394</v>
      </c>
      <c r="FP90" s="2" t="s">
        <v>394</v>
      </c>
      <c r="FQ90" s="2" t="s">
        <v>394</v>
      </c>
    </row>
    <row r="91" spans="1:195">
      <c r="A91" s="335" t="s">
        <v>1030</v>
      </c>
      <c r="B91" s="346" t="s">
        <v>1030</v>
      </c>
      <c r="C91" s="346" t="s">
        <v>222</v>
      </c>
      <c r="D91" s="346" t="s">
        <v>1027</v>
      </c>
      <c r="E91" s="346" t="s">
        <v>1031</v>
      </c>
      <c r="F91" s="424" t="s">
        <v>785</v>
      </c>
      <c r="G91" s="346">
        <v>18.29</v>
      </c>
      <c r="H91" s="337" t="s">
        <v>324</v>
      </c>
      <c r="I91" s="346">
        <f t="shared" si="79"/>
        <v>19.800000000205998</v>
      </c>
      <c r="J91" s="346">
        <f t="shared" si="80"/>
        <v>19.800000000236</v>
      </c>
      <c r="K91" s="337"/>
      <c r="L91" s="337"/>
      <c r="M91" s="337"/>
      <c r="N91" s="346" t="s">
        <v>324</v>
      </c>
      <c r="O91" s="346" t="s">
        <v>324</v>
      </c>
      <c r="P91" s="346" t="s">
        <v>1032</v>
      </c>
      <c r="Q91" s="346" t="s">
        <v>324</v>
      </c>
      <c r="R91" s="346" t="s">
        <v>324</v>
      </c>
      <c r="S91" s="346" t="s">
        <v>1033</v>
      </c>
      <c r="T91" s="346" t="s">
        <v>713</v>
      </c>
      <c r="U91" s="346">
        <v>40</v>
      </c>
      <c r="V91" s="346" cm="1">
        <f t="array" ref="V91">IFERROR(INDEX('Offer Statistics'!$AI$2:$AI$350,MATCH(1,(B91='Offer Statistics'!$T$2:$T$350)*($B$11='Offer Statistics'!$U$2:$U$350),0)),"/")</f>
        <v>35</v>
      </c>
      <c r="W91" s="346" cm="1">
        <f t="array" ref="W91">IFERROR(INDEX('Offer Statistics'!$V$2:$V$350,MATCH(1,(B91='Offer Statistics'!$T$2:$T$350)*($B$11='Offer Statistics'!$U$2:$U$350),0)),"/")</f>
        <v>317</v>
      </c>
      <c r="X91" s="346" cm="1">
        <f t="array" ref="X91">IFERROR(INDEX('Offer Statistics'!$AD$2:$AD$350,MATCH(1,(B91='Offer Statistics'!$T$2:$T$350)*($B$11='Offer Statistics'!$U$2:$U$350),0)),"/")</f>
        <v>35</v>
      </c>
      <c r="Y91" s="346">
        <f t="shared" si="81"/>
        <v>9.0571428571428569</v>
      </c>
      <c r="Z91" s="346" t="s">
        <v>713</v>
      </c>
      <c r="AA91" s="346" t="str">
        <f>入學要求!AF100</f>
        <v>/</v>
      </c>
      <c r="AB91" s="346" t="str">
        <f>入學要求!AG100</f>
        <v>/</v>
      </c>
      <c r="AC91" s="425" t="s">
        <v>785</v>
      </c>
      <c r="AD91" s="337"/>
      <c r="AE91" s="346"/>
      <c r="AF91" s="346" t="s">
        <v>324</v>
      </c>
      <c r="AG91" s="346" t="s">
        <v>324</v>
      </c>
      <c r="AH91" s="346" t="s">
        <v>2334</v>
      </c>
      <c r="AI91" s="346" t="s">
        <v>324</v>
      </c>
      <c r="AJ91" s="346" t="s">
        <v>324</v>
      </c>
      <c r="AK91" s="359" t="s">
        <v>943</v>
      </c>
      <c r="AL91" s="359" t="s">
        <v>714</v>
      </c>
      <c r="AM91" s="359" t="s">
        <v>944</v>
      </c>
      <c r="AN91" s="359" t="s">
        <v>1034</v>
      </c>
      <c r="AO91" s="359" t="s">
        <v>324</v>
      </c>
      <c r="AP91" s="359" t="s">
        <v>324</v>
      </c>
      <c r="AQ91" s="342" t="s">
        <v>394</v>
      </c>
      <c r="AR91" s="342" t="s">
        <v>324</v>
      </c>
      <c r="AS91" s="342"/>
      <c r="AT91" s="2" t="s">
        <v>945</v>
      </c>
      <c r="AU91" s="2" t="s">
        <v>946</v>
      </c>
      <c r="AV91" s="2" t="s">
        <v>713</v>
      </c>
      <c r="AZ91" s="346">
        <v>1</v>
      </c>
      <c r="BA91" s="346">
        <v>1</v>
      </c>
      <c r="BB91" s="346">
        <v>1.2</v>
      </c>
      <c r="BC91" s="346"/>
      <c r="BD91" s="346">
        <v>1</v>
      </c>
      <c r="BE91" s="346">
        <v>1</v>
      </c>
      <c r="BF91" s="346">
        <v>1</v>
      </c>
      <c r="BG91" s="346">
        <v>1</v>
      </c>
      <c r="BI91" s="2">
        <v>3</v>
      </c>
      <c r="BJ91" s="2">
        <v>4</v>
      </c>
      <c r="BK91" s="2">
        <v>4</v>
      </c>
      <c r="BM91" s="2">
        <v>4</v>
      </c>
      <c r="BN91" s="2">
        <v>4</v>
      </c>
      <c r="BO91" s="2">
        <v>3</v>
      </c>
      <c r="BQ91" s="194">
        <f t="shared" si="97"/>
        <v>3.00000000004</v>
      </c>
      <c r="BR91" s="194">
        <f t="shared" si="98"/>
        <v>4.00000000002</v>
      </c>
      <c r="BS91" s="194">
        <f t="shared" si="99"/>
        <v>4.00000000003</v>
      </c>
      <c r="BU91" s="194">
        <f t="shared" si="100"/>
        <v>4.00000000005</v>
      </c>
      <c r="BV91" s="194">
        <f t="shared" si="101"/>
        <v>4.00000000006</v>
      </c>
      <c r="BW91" s="194">
        <f t="shared" si="102"/>
        <v>3.00000000007</v>
      </c>
      <c r="BX91" s="194">
        <f t="shared" si="103"/>
        <v>7.9999999999999995E-11</v>
      </c>
      <c r="BY91" s="2">
        <f t="shared" si="63"/>
        <v>3.00000000004</v>
      </c>
      <c r="BZ91" s="2">
        <f t="shared" si="64"/>
        <v>4.00000000002</v>
      </c>
      <c r="CA91" s="2">
        <f t="shared" si="65"/>
        <v>4.8000000000359995</v>
      </c>
      <c r="CC91" s="2">
        <f t="shared" si="66"/>
        <v>4.00000000005</v>
      </c>
      <c r="CD91" s="2">
        <f t="shared" si="67"/>
        <v>4.00000000006</v>
      </c>
      <c r="CE91" s="2">
        <f t="shared" si="68"/>
        <v>3.00000000007</v>
      </c>
      <c r="CF91" s="2">
        <f t="shared" si="69"/>
        <v>7.9999999999999995E-11</v>
      </c>
      <c r="CG91" s="364" t="b">
        <f t="shared" si="82"/>
        <v>0</v>
      </c>
      <c r="CH91" s="364" t="b">
        <f t="shared" si="104"/>
        <v>1</v>
      </c>
      <c r="CI91" s="364" t="b">
        <f t="shared" si="105"/>
        <v>1</v>
      </c>
      <c r="CJ91" s="364"/>
      <c r="CK91" s="364" t="b">
        <f t="shared" si="106"/>
        <v>1</v>
      </c>
      <c r="CL91" s="364" t="b">
        <f t="shared" si="107"/>
        <v>1</v>
      </c>
      <c r="CM91" s="364" t="b">
        <f t="shared" si="108"/>
        <v>1</v>
      </c>
      <c r="CN91" s="364" t="b">
        <f t="shared" si="109"/>
        <v>0</v>
      </c>
      <c r="CO91" s="346">
        <v>1</v>
      </c>
      <c r="CP91" s="346">
        <v>1</v>
      </c>
      <c r="CQ91" s="346">
        <v>1.2</v>
      </c>
      <c r="CR91" s="346"/>
      <c r="CS91" s="346">
        <v>1</v>
      </c>
      <c r="CT91" s="346">
        <v>1</v>
      </c>
      <c r="CU91" s="346">
        <v>1</v>
      </c>
      <c r="CV91" s="346">
        <v>1</v>
      </c>
      <c r="CX91" s="2">
        <v>4</v>
      </c>
      <c r="CY91" s="2">
        <v>4</v>
      </c>
      <c r="CZ91" s="2">
        <v>4</v>
      </c>
      <c r="DB91" s="2">
        <v>4</v>
      </c>
      <c r="DC91" s="2">
        <v>3</v>
      </c>
      <c r="DD91" s="2">
        <v>2</v>
      </c>
      <c r="DF91" s="194">
        <f t="shared" si="83"/>
        <v>4.00000000004</v>
      </c>
      <c r="DG91" s="194">
        <f t="shared" si="84"/>
        <v>4.00000000002</v>
      </c>
      <c r="DH91" s="194">
        <f t="shared" si="85"/>
        <v>4.00000000003</v>
      </c>
      <c r="DJ91" s="194">
        <f t="shared" si="86"/>
        <v>4.00000000005</v>
      </c>
      <c r="DK91" s="194">
        <f t="shared" si="87"/>
        <v>3.00000000006</v>
      </c>
      <c r="DL91" s="194">
        <f t="shared" si="88"/>
        <v>2.00000000007</v>
      </c>
      <c r="DM91" s="194">
        <f t="shared" si="89"/>
        <v>7.9999999999999995E-11</v>
      </c>
      <c r="DN91" s="2">
        <f t="shared" si="71"/>
        <v>4.00000000004</v>
      </c>
      <c r="DO91" s="2">
        <f t="shared" si="72"/>
        <v>4.00000000002</v>
      </c>
      <c r="DP91" s="2">
        <f t="shared" si="73"/>
        <v>4.8000000000359995</v>
      </c>
      <c r="DR91" s="2">
        <f t="shared" si="74"/>
        <v>4.00000000005</v>
      </c>
      <c r="DS91" s="2">
        <f t="shared" si="75"/>
        <v>3.00000000006</v>
      </c>
      <c r="DT91" s="2">
        <f t="shared" si="76"/>
        <v>2.00000000007</v>
      </c>
      <c r="DU91" s="2">
        <f t="shared" si="77"/>
        <v>7.9999999999999995E-11</v>
      </c>
      <c r="DV91" s="2" t="b">
        <f t="shared" si="90"/>
        <v>1</v>
      </c>
      <c r="DW91" s="2" t="b">
        <f t="shared" si="91"/>
        <v>1</v>
      </c>
      <c r="DX91" s="2" t="b">
        <f t="shared" si="92"/>
        <v>1</v>
      </c>
      <c r="DZ91" s="2" t="b">
        <f t="shared" si="93"/>
        <v>1</v>
      </c>
      <c r="EA91" s="2" t="b">
        <f t="shared" si="94"/>
        <v>1</v>
      </c>
      <c r="EB91" s="2" t="b">
        <f t="shared" si="95"/>
        <v>0</v>
      </c>
      <c r="EC91" s="2" t="b">
        <f t="shared" si="96"/>
        <v>0</v>
      </c>
      <c r="ED91" s="2" t="s">
        <v>394</v>
      </c>
      <c r="EE91" s="2" t="s">
        <v>394</v>
      </c>
      <c r="EF91" s="2" t="s">
        <v>394</v>
      </c>
      <c r="EH91" s="2" t="s">
        <v>394</v>
      </c>
      <c r="EI91" s="2" t="s">
        <v>394</v>
      </c>
      <c r="EJ91" s="2" t="s">
        <v>394</v>
      </c>
      <c r="EK91" s="2" t="s">
        <v>394</v>
      </c>
      <c r="EL91" s="2" t="s">
        <v>394</v>
      </c>
      <c r="EM91" s="2" t="s">
        <v>394</v>
      </c>
      <c r="EN91" s="2" t="s">
        <v>394</v>
      </c>
      <c r="EP91" s="2" t="s">
        <v>394</v>
      </c>
      <c r="EQ91" s="2" t="s">
        <v>394</v>
      </c>
      <c r="ER91" s="2" t="s">
        <v>394</v>
      </c>
      <c r="ES91" s="2" t="s">
        <v>394</v>
      </c>
      <c r="FB91" s="2" t="s">
        <v>394</v>
      </c>
      <c r="FC91" s="2" t="s">
        <v>394</v>
      </c>
      <c r="FD91" s="2" t="s">
        <v>394</v>
      </c>
      <c r="FE91" s="2" t="s">
        <v>394</v>
      </c>
      <c r="FF91" s="2" t="s">
        <v>394</v>
      </c>
      <c r="FG91" s="2" t="s">
        <v>394</v>
      </c>
      <c r="FH91" s="2" t="s">
        <v>394</v>
      </c>
      <c r="FI91" s="2" t="s">
        <v>394</v>
      </c>
      <c r="FJ91" s="2" t="s">
        <v>394</v>
      </c>
      <c r="FK91" s="2" t="s">
        <v>394</v>
      </c>
      <c r="FL91" s="2" t="s">
        <v>394</v>
      </c>
      <c r="FM91" s="2" t="s">
        <v>394</v>
      </c>
      <c r="FN91" s="2" t="s">
        <v>394</v>
      </c>
      <c r="FO91" s="2" t="s">
        <v>394</v>
      </c>
      <c r="FP91" s="2" t="s">
        <v>394</v>
      </c>
      <c r="FQ91" s="2" t="s">
        <v>394</v>
      </c>
    </row>
    <row r="92" spans="1:195" s="335" customFormat="1">
      <c r="A92" s="335" t="s">
        <v>1035</v>
      </c>
      <c r="B92" s="346" t="s">
        <v>1035</v>
      </c>
      <c r="C92" s="346" t="s">
        <v>222</v>
      </c>
      <c r="D92" s="346" t="s">
        <v>1027</v>
      </c>
      <c r="E92" s="346" t="s">
        <v>1036</v>
      </c>
      <c r="F92" s="346" t="s">
        <v>785</v>
      </c>
      <c r="G92" s="346">
        <v>18.829999999999998</v>
      </c>
      <c r="H92" s="337" t="s">
        <v>324</v>
      </c>
      <c r="I92" s="346">
        <f t="shared" si="79"/>
        <v>19.000000000200004</v>
      </c>
      <c r="J92" s="346">
        <f t="shared" si="80"/>
        <v>18.00000000024</v>
      </c>
      <c r="K92" s="337"/>
      <c r="L92" s="337"/>
      <c r="M92" s="337"/>
      <c r="N92" s="346" t="s">
        <v>324</v>
      </c>
      <c r="O92" s="346" t="s">
        <v>324</v>
      </c>
      <c r="P92" s="346" t="s">
        <v>324</v>
      </c>
      <c r="Q92" s="346" t="s">
        <v>324</v>
      </c>
      <c r="R92" s="346" t="s">
        <v>324</v>
      </c>
      <c r="S92" s="346" t="s">
        <v>1037</v>
      </c>
      <c r="T92" s="346" t="s">
        <v>713</v>
      </c>
      <c r="U92" s="346">
        <v>25</v>
      </c>
      <c r="V92" s="346" cm="1">
        <f t="array" ref="V92">IFERROR(INDEX('Offer Statistics'!$AI$2:$AI$350,MATCH(1,(B92='Offer Statistics'!$T$2:$T$350)*($B$11='Offer Statistics'!$U$2:$U$350),0)),"/")</f>
        <v>12</v>
      </c>
      <c r="W92" s="346" cm="1">
        <f t="array" ref="W92">IFERROR(INDEX('Offer Statistics'!$V$2:$V$350,MATCH(1,(B92='Offer Statistics'!$T$2:$T$350)*($B$11='Offer Statistics'!$U$2:$U$350),0)),"/")</f>
        <v>331</v>
      </c>
      <c r="X92" s="346" cm="1">
        <f t="array" ref="X92">IFERROR(INDEX('Offer Statistics'!$AD$2:$AD$350,MATCH(1,(B92='Offer Statistics'!$T$2:$T$350)*($B$11='Offer Statistics'!$U$2:$U$350),0)),"/")</f>
        <v>12</v>
      </c>
      <c r="Y92" s="346">
        <f t="shared" si="81"/>
        <v>27.583333333333332</v>
      </c>
      <c r="Z92" s="346" t="s">
        <v>713</v>
      </c>
      <c r="AA92" s="346" t="str">
        <f>入學要求!AF101</f>
        <v>/</v>
      </c>
      <c r="AB92" s="346" t="str">
        <f>入學要求!AG101</f>
        <v>/</v>
      </c>
      <c r="AC92" s="426" t="s">
        <v>785</v>
      </c>
      <c r="AD92" s="337"/>
      <c r="AE92" s="346"/>
      <c r="AF92" s="346" t="s">
        <v>324</v>
      </c>
      <c r="AG92" s="346" t="s">
        <v>324</v>
      </c>
      <c r="AH92" s="346" t="s">
        <v>324</v>
      </c>
      <c r="AI92" s="346" t="s">
        <v>324</v>
      </c>
      <c r="AJ92" s="346" t="s">
        <v>324</v>
      </c>
      <c r="AK92" s="359" t="s">
        <v>943</v>
      </c>
      <c r="AL92" s="359" t="s">
        <v>714</v>
      </c>
      <c r="AM92" s="359" t="s">
        <v>944</v>
      </c>
      <c r="AN92" s="359" t="s">
        <v>1034</v>
      </c>
      <c r="AO92" s="359" t="s">
        <v>324</v>
      </c>
      <c r="AP92" s="359" t="s">
        <v>324</v>
      </c>
      <c r="AQ92" s="342" t="s">
        <v>394</v>
      </c>
      <c r="AR92" s="342" t="s">
        <v>324</v>
      </c>
      <c r="AS92" s="342"/>
      <c r="AT92" s="335" t="s">
        <v>945</v>
      </c>
      <c r="AU92" s="335" t="s">
        <v>946</v>
      </c>
      <c r="AV92" s="335" t="s">
        <v>713</v>
      </c>
      <c r="AZ92" s="346">
        <v>1</v>
      </c>
      <c r="BA92" s="346">
        <v>1</v>
      </c>
      <c r="BB92" s="346">
        <v>1</v>
      </c>
      <c r="BC92" s="346"/>
      <c r="BD92" s="346">
        <v>1</v>
      </c>
      <c r="BE92" s="346">
        <v>1</v>
      </c>
      <c r="BF92" s="346">
        <v>1</v>
      </c>
      <c r="BG92" s="346">
        <v>1</v>
      </c>
      <c r="BI92" s="335">
        <v>4</v>
      </c>
      <c r="BJ92" s="335">
        <v>4</v>
      </c>
      <c r="BK92" s="335">
        <v>3</v>
      </c>
      <c r="BM92" s="335">
        <v>4</v>
      </c>
      <c r="BN92" s="335">
        <v>3</v>
      </c>
      <c r="BO92" s="335">
        <v>3</v>
      </c>
      <c r="BQ92" s="194">
        <f t="shared" si="97"/>
        <v>4.00000000004</v>
      </c>
      <c r="BR92" s="194">
        <f t="shared" si="98"/>
        <v>4.00000000002</v>
      </c>
      <c r="BS92" s="194">
        <f t="shared" si="99"/>
        <v>3.00000000003</v>
      </c>
      <c r="BT92" s="194"/>
      <c r="BU92" s="194">
        <f t="shared" si="100"/>
        <v>4.00000000005</v>
      </c>
      <c r="BV92" s="194">
        <f t="shared" si="101"/>
        <v>3.00000000006</v>
      </c>
      <c r="BW92" s="194">
        <f t="shared" si="102"/>
        <v>3.00000000007</v>
      </c>
      <c r="BX92" s="194">
        <f t="shared" si="103"/>
        <v>7.9999999999999995E-11</v>
      </c>
      <c r="BY92" s="335">
        <f t="shared" si="63"/>
        <v>4.00000000004</v>
      </c>
      <c r="BZ92" s="335">
        <f t="shared" si="64"/>
        <v>4.00000000002</v>
      </c>
      <c r="CA92" s="335">
        <f t="shared" si="65"/>
        <v>3.00000000003</v>
      </c>
      <c r="CC92" s="335">
        <f t="shared" si="66"/>
        <v>4.00000000005</v>
      </c>
      <c r="CD92" s="335">
        <f t="shared" si="67"/>
        <v>3.00000000006</v>
      </c>
      <c r="CE92" s="335">
        <f t="shared" si="68"/>
        <v>3.00000000007</v>
      </c>
      <c r="CF92" s="335">
        <f t="shared" si="69"/>
        <v>7.9999999999999995E-11</v>
      </c>
      <c r="CG92" s="364" t="b">
        <f t="shared" si="82"/>
        <v>1</v>
      </c>
      <c r="CH92" s="364" t="b">
        <f t="shared" si="104"/>
        <v>1</v>
      </c>
      <c r="CI92" s="364" t="b">
        <f t="shared" si="105"/>
        <v>0</v>
      </c>
      <c r="CJ92" s="364"/>
      <c r="CK92" s="364" t="b">
        <f t="shared" si="106"/>
        <v>1</v>
      </c>
      <c r="CL92" s="364" t="b">
        <f t="shared" si="107"/>
        <v>1</v>
      </c>
      <c r="CM92" s="364" t="b">
        <f t="shared" si="108"/>
        <v>1</v>
      </c>
      <c r="CN92" s="364" t="b">
        <f t="shared" si="109"/>
        <v>0</v>
      </c>
      <c r="CO92" s="346">
        <v>1</v>
      </c>
      <c r="CP92" s="346">
        <v>1</v>
      </c>
      <c r="CQ92" s="346">
        <v>1</v>
      </c>
      <c r="CR92" s="346"/>
      <c r="CS92" s="346">
        <v>1</v>
      </c>
      <c r="CT92" s="346">
        <v>1</v>
      </c>
      <c r="CU92" s="346">
        <v>1</v>
      </c>
      <c r="CV92" s="346">
        <v>1</v>
      </c>
      <c r="CX92" s="335">
        <v>5</v>
      </c>
      <c r="CY92" s="335">
        <v>3</v>
      </c>
      <c r="CZ92" s="335">
        <v>4</v>
      </c>
      <c r="DB92" s="335">
        <v>4</v>
      </c>
      <c r="DC92" s="335">
        <v>3</v>
      </c>
      <c r="DF92" s="194">
        <f t="shared" si="83"/>
        <v>5.00000000004</v>
      </c>
      <c r="DG92" s="194">
        <f t="shared" si="84"/>
        <v>3.00000000002</v>
      </c>
      <c r="DH92" s="194">
        <f t="shared" si="85"/>
        <v>4.00000000003</v>
      </c>
      <c r="DI92" s="194"/>
      <c r="DJ92" s="194">
        <f t="shared" si="86"/>
        <v>4.00000000005</v>
      </c>
      <c r="DK92" s="194">
        <f t="shared" si="87"/>
        <v>3.00000000006</v>
      </c>
      <c r="DL92" s="194">
        <f t="shared" si="88"/>
        <v>7.0000000000000004E-11</v>
      </c>
      <c r="DM92" s="194">
        <f t="shared" si="89"/>
        <v>7.9999999999999995E-11</v>
      </c>
      <c r="DN92" s="335">
        <f t="shared" si="71"/>
        <v>5.00000000004</v>
      </c>
      <c r="DO92" s="335">
        <f t="shared" si="72"/>
        <v>3.00000000002</v>
      </c>
      <c r="DP92" s="335">
        <f t="shared" si="73"/>
        <v>4.00000000003</v>
      </c>
      <c r="DR92" s="335">
        <f t="shared" si="74"/>
        <v>4.00000000005</v>
      </c>
      <c r="DS92" s="335">
        <f t="shared" si="75"/>
        <v>3.00000000006</v>
      </c>
      <c r="DT92" s="335">
        <f t="shared" si="76"/>
        <v>7.0000000000000004E-11</v>
      </c>
      <c r="DU92" s="335">
        <f t="shared" si="77"/>
        <v>7.9999999999999995E-11</v>
      </c>
      <c r="DV92" s="2" t="b">
        <f t="shared" si="90"/>
        <v>1</v>
      </c>
      <c r="DW92" s="2" t="b">
        <f t="shared" si="91"/>
        <v>1</v>
      </c>
      <c r="DX92" s="2" t="b">
        <f t="shared" si="92"/>
        <v>1</v>
      </c>
      <c r="DY92" s="2"/>
      <c r="DZ92" s="2" t="b">
        <f t="shared" si="93"/>
        <v>1</v>
      </c>
      <c r="EA92" s="2" t="b">
        <f t="shared" si="94"/>
        <v>1</v>
      </c>
      <c r="EB92" s="2" t="b">
        <f t="shared" si="95"/>
        <v>0</v>
      </c>
      <c r="EC92" s="2" t="b">
        <f t="shared" si="96"/>
        <v>0</v>
      </c>
      <c r="ED92" s="335" t="s">
        <v>394</v>
      </c>
      <c r="EE92" s="335" t="s">
        <v>394</v>
      </c>
      <c r="EF92" s="335" t="s">
        <v>394</v>
      </c>
      <c r="EH92" s="335" t="s">
        <v>394</v>
      </c>
      <c r="EI92" s="335" t="s">
        <v>394</v>
      </c>
      <c r="EJ92" s="335" t="s">
        <v>394</v>
      </c>
      <c r="EK92" s="335" t="s">
        <v>394</v>
      </c>
      <c r="EL92" s="335" t="s">
        <v>394</v>
      </c>
      <c r="EM92" s="335" t="s">
        <v>394</v>
      </c>
      <c r="EN92" s="335" t="s">
        <v>394</v>
      </c>
      <c r="EP92" s="335" t="s">
        <v>394</v>
      </c>
      <c r="EQ92" s="335" t="s">
        <v>394</v>
      </c>
      <c r="ER92" s="335" t="s">
        <v>394</v>
      </c>
      <c r="ES92" s="335" t="s">
        <v>394</v>
      </c>
      <c r="FB92" s="335" t="s">
        <v>394</v>
      </c>
      <c r="FC92" s="335" t="s">
        <v>394</v>
      </c>
      <c r="FD92" s="335" t="s">
        <v>394</v>
      </c>
      <c r="FE92" s="335" t="s">
        <v>394</v>
      </c>
      <c r="FF92" s="335" t="s">
        <v>394</v>
      </c>
      <c r="FG92" s="335" t="s">
        <v>394</v>
      </c>
      <c r="FH92" s="335" t="s">
        <v>394</v>
      </c>
      <c r="FI92" s="335" t="s">
        <v>394</v>
      </c>
      <c r="FJ92" s="335" t="s">
        <v>394</v>
      </c>
      <c r="FK92" s="335" t="s">
        <v>394</v>
      </c>
      <c r="FL92" s="335" t="s">
        <v>394</v>
      </c>
      <c r="FM92" s="335" t="s">
        <v>394</v>
      </c>
      <c r="FN92" s="335" t="s">
        <v>394</v>
      </c>
      <c r="FO92" s="335" t="s">
        <v>394</v>
      </c>
      <c r="FP92" s="335" t="s">
        <v>394</v>
      </c>
      <c r="FQ92" s="335" t="s">
        <v>394</v>
      </c>
    </row>
    <row r="93" spans="1:195">
      <c r="A93" s="335" t="s">
        <v>1038</v>
      </c>
      <c r="B93" s="346" t="s">
        <v>1038</v>
      </c>
      <c r="C93" s="346" t="s">
        <v>222</v>
      </c>
      <c r="D93" s="346" t="s">
        <v>1027</v>
      </c>
      <c r="E93" s="346" t="s">
        <v>1039</v>
      </c>
      <c r="F93" s="429" t="s">
        <v>785</v>
      </c>
      <c r="G93" s="346">
        <v>19.329999999999998</v>
      </c>
      <c r="H93" s="337" t="s">
        <v>324</v>
      </c>
      <c r="I93" s="346">
        <f t="shared" si="79"/>
        <v>19.000000000200004</v>
      </c>
      <c r="J93" s="346">
        <f t="shared" si="80"/>
        <v>19.000000000200004</v>
      </c>
      <c r="K93" s="337"/>
      <c r="L93" s="337"/>
      <c r="M93" s="337"/>
      <c r="N93" s="346" t="s">
        <v>324</v>
      </c>
      <c r="O93" s="346" t="s">
        <v>324</v>
      </c>
      <c r="P93" s="346" t="s">
        <v>324</v>
      </c>
      <c r="Q93" s="346" t="s">
        <v>324</v>
      </c>
      <c r="R93" s="346" t="s">
        <v>324</v>
      </c>
      <c r="S93" s="346" t="s">
        <v>1040</v>
      </c>
      <c r="T93" s="346" t="s">
        <v>713</v>
      </c>
      <c r="U93" s="346">
        <v>35</v>
      </c>
      <c r="V93" s="346" cm="1">
        <f t="array" ref="V93">IFERROR(INDEX('Offer Statistics'!$AI$2:$AI$350,MATCH(1,(B93='Offer Statistics'!$T$2:$T$350)*($B$11='Offer Statistics'!$U$2:$U$350),0)),"/")</f>
        <v>42</v>
      </c>
      <c r="W93" s="346" cm="1">
        <f t="array" ref="W93">IFERROR(INDEX('Offer Statistics'!$V$2:$V$350,MATCH(1,(B93='Offer Statistics'!$T$2:$T$350)*($B$11='Offer Statistics'!$U$2:$U$350),0)),"/")</f>
        <v>332</v>
      </c>
      <c r="X93" s="346" cm="1">
        <f t="array" ref="X93">IFERROR(INDEX('Offer Statistics'!$AD$2:$AD$350,MATCH(1,(B93='Offer Statistics'!$T$2:$T$350)*($B$11='Offer Statistics'!$U$2:$U$350),0)),"/")</f>
        <v>30</v>
      </c>
      <c r="Y93" s="346">
        <f t="shared" si="81"/>
        <v>11.066666666666666</v>
      </c>
      <c r="Z93" s="346" t="s">
        <v>713</v>
      </c>
      <c r="AA93" s="346" t="str">
        <f>入學要求!AF102</f>
        <v>/</v>
      </c>
      <c r="AB93" s="346" t="str">
        <f>入學要求!AG102</f>
        <v>/</v>
      </c>
      <c r="AC93" s="425" t="s">
        <v>785</v>
      </c>
      <c r="AD93" s="337"/>
      <c r="AE93" s="337"/>
      <c r="AF93" s="426" t="s">
        <v>324</v>
      </c>
      <c r="AG93" s="426" t="s">
        <v>324</v>
      </c>
      <c r="AH93" s="426" t="s">
        <v>770</v>
      </c>
      <c r="AI93" s="426" t="s">
        <v>2971</v>
      </c>
      <c r="AJ93" s="346" t="s">
        <v>324</v>
      </c>
      <c r="AK93" s="359" t="s">
        <v>943</v>
      </c>
      <c r="AL93" s="359" t="s">
        <v>714</v>
      </c>
      <c r="AM93" s="359" t="s">
        <v>944</v>
      </c>
      <c r="AN93" s="359" t="s">
        <v>324</v>
      </c>
      <c r="AO93" s="359" t="s">
        <v>324</v>
      </c>
      <c r="AP93" s="359" t="s">
        <v>324</v>
      </c>
      <c r="AQ93" s="342" t="s">
        <v>394</v>
      </c>
      <c r="AR93" s="342" t="s">
        <v>324</v>
      </c>
      <c r="AS93" s="342"/>
      <c r="AT93" s="2" t="s">
        <v>945</v>
      </c>
      <c r="AU93" s="2" t="s">
        <v>946</v>
      </c>
      <c r="AV93" s="2" t="s">
        <v>713</v>
      </c>
      <c r="AZ93" s="346">
        <v>1</v>
      </c>
      <c r="BA93" s="346">
        <v>1</v>
      </c>
      <c r="BB93" s="346">
        <v>1</v>
      </c>
      <c r="BC93" s="346"/>
      <c r="BD93" s="346">
        <v>1</v>
      </c>
      <c r="BE93" s="346">
        <v>1</v>
      </c>
      <c r="BF93" s="346">
        <v>1</v>
      </c>
      <c r="BG93" s="346">
        <v>1</v>
      </c>
      <c r="BI93" s="2">
        <v>4</v>
      </c>
      <c r="BJ93" s="2">
        <v>3</v>
      </c>
      <c r="BK93" s="2">
        <v>4</v>
      </c>
      <c r="BM93" s="2">
        <v>4</v>
      </c>
      <c r="BN93" s="2">
        <v>4</v>
      </c>
      <c r="BQ93" s="194">
        <f t="shared" si="97"/>
        <v>4.00000000004</v>
      </c>
      <c r="BR93" s="194">
        <f t="shared" si="98"/>
        <v>3.00000000002</v>
      </c>
      <c r="BS93" s="194">
        <f t="shared" si="99"/>
        <v>4.00000000003</v>
      </c>
      <c r="BU93" s="194">
        <f t="shared" si="100"/>
        <v>4.00000000005</v>
      </c>
      <c r="BV93" s="194">
        <f t="shared" si="101"/>
        <v>4.00000000006</v>
      </c>
      <c r="BW93" s="194">
        <f t="shared" si="102"/>
        <v>7.0000000000000004E-11</v>
      </c>
      <c r="BX93" s="194">
        <f t="shared" si="103"/>
        <v>7.9999999999999995E-11</v>
      </c>
      <c r="BY93" s="2">
        <f t="shared" si="63"/>
        <v>4.00000000004</v>
      </c>
      <c r="BZ93" s="2">
        <f t="shared" si="64"/>
        <v>3.00000000002</v>
      </c>
      <c r="CA93" s="2">
        <f t="shared" si="65"/>
        <v>4.00000000003</v>
      </c>
      <c r="CC93" s="2">
        <f t="shared" si="66"/>
        <v>4.00000000005</v>
      </c>
      <c r="CD93" s="2">
        <f t="shared" si="67"/>
        <v>4.00000000006</v>
      </c>
      <c r="CE93" s="2">
        <f t="shared" si="68"/>
        <v>7.0000000000000004E-11</v>
      </c>
      <c r="CF93" s="2">
        <f t="shared" si="69"/>
        <v>7.9999999999999995E-11</v>
      </c>
      <c r="CG93" s="364" t="b">
        <f t="shared" si="82"/>
        <v>1</v>
      </c>
      <c r="CH93" s="364" t="b">
        <f t="shared" si="104"/>
        <v>1</v>
      </c>
      <c r="CI93" s="364" t="b">
        <f t="shared" si="105"/>
        <v>1</v>
      </c>
      <c r="CJ93" s="364"/>
      <c r="CK93" s="364" t="b">
        <f t="shared" si="106"/>
        <v>1</v>
      </c>
      <c r="CL93" s="364" t="b">
        <f t="shared" si="107"/>
        <v>1</v>
      </c>
      <c r="CM93" s="364" t="b">
        <f t="shared" si="108"/>
        <v>0</v>
      </c>
      <c r="CN93" s="364" t="b">
        <f t="shared" si="109"/>
        <v>0</v>
      </c>
      <c r="CO93" s="346">
        <v>1</v>
      </c>
      <c r="CP93" s="346">
        <v>1</v>
      </c>
      <c r="CQ93" s="346">
        <v>1</v>
      </c>
      <c r="CR93" s="346"/>
      <c r="CS93" s="346">
        <v>1</v>
      </c>
      <c r="CT93" s="346">
        <v>1</v>
      </c>
      <c r="CU93" s="346">
        <v>1</v>
      </c>
      <c r="CV93" s="346">
        <v>1</v>
      </c>
      <c r="CX93" s="2">
        <v>4</v>
      </c>
      <c r="CY93" s="2">
        <v>4</v>
      </c>
      <c r="CZ93" s="2">
        <v>4</v>
      </c>
      <c r="DB93" s="2">
        <v>4</v>
      </c>
      <c r="DC93" s="2">
        <v>3</v>
      </c>
      <c r="DF93" s="194">
        <f t="shared" si="83"/>
        <v>4.00000000004</v>
      </c>
      <c r="DG93" s="194">
        <f t="shared" si="84"/>
        <v>4.00000000002</v>
      </c>
      <c r="DH93" s="194">
        <f t="shared" si="85"/>
        <v>4.00000000003</v>
      </c>
      <c r="DJ93" s="194">
        <f t="shared" si="86"/>
        <v>4.00000000005</v>
      </c>
      <c r="DK93" s="194">
        <f t="shared" si="87"/>
        <v>3.00000000006</v>
      </c>
      <c r="DL93" s="194">
        <f t="shared" si="88"/>
        <v>7.0000000000000004E-11</v>
      </c>
      <c r="DM93" s="194">
        <f t="shared" si="89"/>
        <v>7.9999999999999995E-11</v>
      </c>
      <c r="DN93" s="2">
        <f t="shared" si="71"/>
        <v>4.00000000004</v>
      </c>
      <c r="DO93" s="2">
        <f t="shared" si="72"/>
        <v>4.00000000002</v>
      </c>
      <c r="DP93" s="2">
        <f t="shared" si="73"/>
        <v>4.00000000003</v>
      </c>
      <c r="DR93" s="2">
        <f t="shared" si="74"/>
        <v>4.00000000005</v>
      </c>
      <c r="DS93" s="2">
        <f t="shared" si="75"/>
        <v>3.00000000006</v>
      </c>
      <c r="DT93" s="2">
        <f t="shared" si="76"/>
        <v>7.0000000000000004E-11</v>
      </c>
      <c r="DU93" s="2">
        <f t="shared" si="77"/>
        <v>7.9999999999999995E-11</v>
      </c>
      <c r="DV93" s="2" t="b">
        <f t="shared" si="90"/>
        <v>1</v>
      </c>
      <c r="DW93" s="2" t="b">
        <f t="shared" si="91"/>
        <v>1</v>
      </c>
      <c r="DX93" s="2" t="b">
        <f t="shared" si="92"/>
        <v>1</v>
      </c>
      <c r="DZ93" s="2" t="b">
        <f t="shared" si="93"/>
        <v>1</v>
      </c>
      <c r="EA93" s="2" t="b">
        <f t="shared" si="94"/>
        <v>1</v>
      </c>
      <c r="EB93" s="2" t="b">
        <f t="shared" si="95"/>
        <v>0</v>
      </c>
      <c r="EC93" s="2" t="b">
        <f t="shared" si="96"/>
        <v>0</v>
      </c>
      <c r="ED93" s="2" t="s">
        <v>394</v>
      </c>
      <c r="EE93" s="2" t="s">
        <v>394</v>
      </c>
      <c r="EF93" s="2" t="s">
        <v>394</v>
      </c>
      <c r="EH93" s="2" t="s">
        <v>394</v>
      </c>
      <c r="EI93" s="2" t="s">
        <v>394</v>
      </c>
      <c r="EJ93" s="2" t="s">
        <v>394</v>
      </c>
      <c r="EK93" s="2" t="s">
        <v>394</v>
      </c>
      <c r="EL93" s="2" t="s">
        <v>394</v>
      </c>
      <c r="EM93" s="2" t="s">
        <v>394</v>
      </c>
      <c r="EN93" s="2" t="s">
        <v>394</v>
      </c>
      <c r="EP93" s="2" t="s">
        <v>394</v>
      </c>
      <c r="EQ93" s="2" t="s">
        <v>394</v>
      </c>
      <c r="ER93" s="2" t="s">
        <v>394</v>
      </c>
      <c r="ES93" s="2" t="s">
        <v>394</v>
      </c>
      <c r="FB93" s="2" t="s">
        <v>394</v>
      </c>
      <c r="FC93" s="2" t="s">
        <v>394</v>
      </c>
      <c r="FD93" s="2" t="s">
        <v>394</v>
      </c>
      <c r="FE93" s="2" t="s">
        <v>394</v>
      </c>
      <c r="FF93" s="2" t="s">
        <v>394</v>
      </c>
      <c r="FG93" s="2" t="s">
        <v>394</v>
      </c>
      <c r="FH93" s="2" t="s">
        <v>394</v>
      </c>
      <c r="FI93" s="2" t="s">
        <v>394</v>
      </c>
      <c r="FJ93" s="2" t="s">
        <v>394</v>
      </c>
      <c r="FK93" s="2" t="s">
        <v>394</v>
      </c>
      <c r="FL93" s="2" t="s">
        <v>394</v>
      </c>
      <c r="FM93" s="2" t="s">
        <v>394</v>
      </c>
      <c r="FN93" s="2" t="s">
        <v>394</v>
      </c>
      <c r="FO93" s="2" t="s">
        <v>394</v>
      </c>
      <c r="FP93" s="2" t="s">
        <v>394</v>
      </c>
      <c r="FQ93" s="2" t="s">
        <v>394</v>
      </c>
    </row>
    <row r="94" spans="1:195">
      <c r="A94" s="335" t="s">
        <v>1042</v>
      </c>
      <c r="B94" s="346" t="s">
        <v>1042</v>
      </c>
      <c r="C94" s="346" t="s">
        <v>222</v>
      </c>
      <c r="D94" s="346" t="s">
        <v>1027</v>
      </c>
      <c r="E94" s="346" t="s">
        <v>1043</v>
      </c>
      <c r="F94" s="429" t="s">
        <v>785</v>
      </c>
      <c r="G94" s="346">
        <v>18.07</v>
      </c>
      <c r="H94" s="337" t="s">
        <v>324</v>
      </c>
      <c r="I94" s="346">
        <f t="shared" si="79"/>
        <v>19.000000000200004</v>
      </c>
      <c r="J94" s="346">
        <f t="shared" si="80"/>
        <v>18.000000000250001</v>
      </c>
      <c r="K94" s="337"/>
      <c r="L94" s="337"/>
      <c r="M94" s="337"/>
      <c r="N94" s="346" t="s">
        <v>324</v>
      </c>
      <c r="O94" s="346" t="s">
        <v>324</v>
      </c>
      <c r="P94" s="346" t="s">
        <v>324</v>
      </c>
      <c r="Q94" s="346" t="s">
        <v>324</v>
      </c>
      <c r="R94" s="346" t="s">
        <v>324</v>
      </c>
      <c r="S94" s="346" t="s">
        <v>1044</v>
      </c>
      <c r="T94" s="346" t="s">
        <v>713</v>
      </c>
      <c r="U94" s="346">
        <v>15</v>
      </c>
      <c r="V94" s="346" cm="1">
        <f t="array" ref="V94">IFERROR(INDEX('Offer Statistics'!$AI$2:$AI$350,MATCH(1,(B94='Offer Statistics'!$T$2:$T$350)*($B$11='Offer Statistics'!$U$2:$U$350),0)),"/")</f>
        <v>15</v>
      </c>
      <c r="W94" s="346" cm="1">
        <f t="array" ref="W94">IFERROR(INDEX('Offer Statistics'!$V$2:$V$350,MATCH(1,(B94='Offer Statistics'!$T$2:$T$350)*($B$11='Offer Statistics'!$U$2:$U$350),0)),"/")</f>
        <v>59</v>
      </c>
      <c r="X94" s="346" cm="1">
        <f t="array" ref="X94">IFERROR(INDEX('Offer Statistics'!$AD$2:$AD$350,MATCH(1,(B94='Offer Statistics'!$T$2:$T$350)*($B$11='Offer Statistics'!$U$2:$U$350),0)),"/")</f>
        <v>11</v>
      </c>
      <c r="Y94" s="346">
        <f t="shared" si="81"/>
        <v>5.3636363636363633</v>
      </c>
      <c r="Z94" s="346" t="s">
        <v>713</v>
      </c>
      <c r="AA94" s="346" t="str">
        <f>入學要求!AF103</f>
        <v>/</v>
      </c>
      <c r="AB94" s="346" t="str">
        <f>入學要求!AG103</f>
        <v>/</v>
      </c>
      <c r="AC94" s="425" t="s">
        <v>785</v>
      </c>
      <c r="AD94" s="337"/>
      <c r="AE94" s="346"/>
      <c r="AF94" s="346" t="s">
        <v>324</v>
      </c>
      <c r="AG94" s="346" t="s">
        <v>324</v>
      </c>
      <c r="AH94" s="431" t="s">
        <v>987</v>
      </c>
      <c r="AI94" s="346" t="s">
        <v>324</v>
      </c>
      <c r="AJ94" s="346" t="s">
        <v>324</v>
      </c>
      <c r="AK94" s="359" t="s">
        <v>943</v>
      </c>
      <c r="AL94" s="359" t="s">
        <v>714</v>
      </c>
      <c r="AM94" s="359" t="s">
        <v>944</v>
      </c>
      <c r="AN94" s="359" t="s">
        <v>1034</v>
      </c>
      <c r="AO94" s="359" t="s">
        <v>324</v>
      </c>
      <c r="AP94" s="359" t="s">
        <v>324</v>
      </c>
      <c r="AQ94" s="342" t="s">
        <v>394</v>
      </c>
      <c r="AR94" s="342" t="s">
        <v>324</v>
      </c>
      <c r="AS94" s="342"/>
      <c r="AT94" s="2" t="s">
        <v>945</v>
      </c>
      <c r="AU94" s="2" t="s">
        <v>946</v>
      </c>
      <c r="AV94" s="2" t="s">
        <v>713</v>
      </c>
      <c r="AZ94" s="346">
        <v>1</v>
      </c>
      <c r="BA94" s="346">
        <v>1</v>
      </c>
      <c r="BB94" s="346">
        <v>1</v>
      </c>
      <c r="BC94" s="346"/>
      <c r="BD94" s="346">
        <v>1</v>
      </c>
      <c r="BE94" s="346">
        <v>1</v>
      </c>
      <c r="BF94" s="346">
        <v>1</v>
      </c>
      <c r="BG94" s="346">
        <v>1</v>
      </c>
      <c r="BI94" s="2">
        <v>4</v>
      </c>
      <c r="BJ94" s="2">
        <v>3</v>
      </c>
      <c r="BK94" s="2">
        <v>4</v>
      </c>
      <c r="BM94" s="2">
        <v>4</v>
      </c>
      <c r="BN94" s="2">
        <v>3</v>
      </c>
      <c r="BO94" s="2">
        <v>3</v>
      </c>
      <c r="BQ94" s="194">
        <f t="shared" si="97"/>
        <v>4.00000000004</v>
      </c>
      <c r="BR94" s="194">
        <f t="shared" si="98"/>
        <v>3.00000000002</v>
      </c>
      <c r="BS94" s="194">
        <f t="shared" si="99"/>
        <v>4.00000000003</v>
      </c>
      <c r="BU94" s="194">
        <f t="shared" si="100"/>
        <v>4.00000000005</v>
      </c>
      <c r="BV94" s="194">
        <f t="shared" si="101"/>
        <v>3.00000000006</v>
      </c>
      <c r="BW94" s="194">
        <f t="shared" si="102"/>
        <v>3.00000000007</v>
      </c>
      <c r="BX94" s="194">
        <f t="shared" si="103"/>
        <v>7.9999999999999995E-11</v>
      </c>
      <c r="BY94" s="2">
        <f t="shared" si="63"/>
        <v>4.00000000004</v>
      </c>
      <c r="BZ94" s="2">
        <f t="shared" si="64"/>
        <v>3.00000000002</v>
      </c>
      <c r="CA94" s="2">
        <f t="shared" si="65"/>
        <v>4.00000000003</v>
      </c>
      <c r="CC94" s="2">
        <f t="shared" si="66"/>
        <v>4.00000000005</v>
      </c>
      <c r="CD94" s="2">
        <f t="shared" si="67"/>
        <v>3.00000000006</v>
      </c>
      <c r="CE94" s="2">
        <f t="shared" si="68"/>
        <v>3.00000000007</v>
      </c>
      <c r="CF94" s="2">
        <f t="shared" si="69"/>
        <v>7.9999999999999995E-11</v>
      </c>
      <c r="CG94" s="364" t="b">
        <f t="shared" si="82"/>
        <v>1</v>
      </c>
      <c r="CH94" s="364" t="b">
        <f t="shared" si="104"/>
        <v>0</v>
      </c>
      <c r="CI94" s="364" t="b">
        <f t="shared" si="105"/>
        <v>1</v>
      </c>
      <c r="CJ94" s="364"/>
      <c r="CK94" s="364" t="b">
        <f t="shared" si="106"/>
        <v>1</v>
      </c>
      <c r="CL94" s="364" t="b">
        <f t="shared" si="107"/>
        <v>1</v>
      </c>
      <c r="CM94" s="364" t="b">
        <f t="shared" si="108"/>
        <v>1</v>
      </c>
      <c r="CN94" s="364" t="b">
        <f t="shared" si="109"/>
        <v>0</v>
      </c>
      <c r="CO94" s="346">
        <v>1</v>
      </c>
      <c r="CP94" s="346">
        <v>1</v>
      </c>
      <c r="CQ94" s="346">
        <v>1</v>
      </c>
      <c r="CR94" s="346"/>
      <c r="CS94" s="346">
        <v>1</v>
      </c>
      <c r="CT94" s="346">
        <v>1</v>
      </c>
      <c r="CU94" s="346">
        <v>1</v>
      </c>
      <c r="CV94" s="346">
        <v>1</v>
      </c>
      <c r="CX94" s="2">
        <v>4</v>
      </c>
      <c r="CY94" s="2">
        <v>4</v>
      </c>
      <c r="CZ94" s="2">
        <v>3</v>
      </c>
      <c r="DB94" s="2">
        <v>4</v>
      </c>
      <c r="DC94" s="2">
        <v>4</v>
      </c>
      <c r="DF94" s="194">
        <f t="shared" si="83"/>
        <v>4.00000000004</v>
      </c>
      <c r="DG94" s="194">
        <f t="shared" si="84"/>
        <v>4.00000000002</v>
      </c>
      <c r="DH94" s="194">
        <f t="shared" si="85"/>
        <v>3.00000000003</v>
      </c>
      <c r="DJ94" s="194">
        <f t="shared" si="86"/>
        <v>4.00000000005</v>
      </c>
      <c r="DK94" s="194">
        <f t="shared" si="87"/>
        <v>4.00000000006</v>
      </c>
      <c r="DL94" s="194">
        <f t="shared" si="88"/>
        <v>7.0000000000000004E-11</v>
      </c>
      <c r="DM94" s="194">
        <f t="shared" si="89"/>
        <v>7.9999999999999995E-11</v>
      </c>
      <c r="DN94" s="2">
        <f t="shared" si="71"/>
        <v>4.00000000004</v>
      </c>
      <c r="DO94" s="2">
        <f t="shared" si="72"/>
        <v>4.00000000002</v>
      </c>
      <c r="DP94" s="2">
        <f t="shared" si="73"/>
        <v>3.00000000003</v>
      </c>
      <c r="DR94" s="2">
        <f t="shared" si="74"/>
        <v>4.00000000005</v>
      </c>
      <c r="DS94" s="2">
        <f t="shared" si="75"/>
        <v>4.00000000006</v>
      </c>
      <c r="DT94" s="2">
        <f t="shared" si="76"/>
        <v>7.0000000000000004E-11</v>
      </c>
      <c r="DU94" s="2">
        <f t="shared" si="77"/>
        <v>7.9999999999999995E-11</v>
      </c>
      <c r="DV94" s="2" t="b">
        <f t="shared" si="90"/>
        <v>1</v>
      </c>
      <c r="DW94" s="2" t="b">
        <f t="shared" si="91"/>
        <v>1</v>
      </c>
      <c r="DX94" s="2" t="b">
        <f t="shared" si="92"/>
        <v>1</v>
      </c>
      <c r="DZ94" s="2" t="b">
        <f t="shared" si="93"/>
        <v>1</v>
      </c>
      <c r="EA94" s="2" t="b">
        <f t="shared" si="94"/>
        <v>1</v>
      </c>
      <c r="EB94" s="2" t="b">
        <f t="shared" si="95"/>
        <v>0</v>
      </c>
      <c r="EC94" s="2" t="b">
        <f t="shared" si="96"/>
        <v>0</v>
      </c>
      <c r="ED94" s="2" t="s">
        <v>394</v>
      </c>
      <c r="EE94" s="2" t="s">
        <v>394</v>
      </c>
      <c r="EF94" s="2" t="s">
        <v>394</v>
      </c>
      <c r="EH94" s="2" t="s">
        <v>394</v>
      </c>
      <c r="EI94" s="2" t="s">
        <v>394</v>
      </c>
      <c r="EJ94" s="2" t="s">
        <v>394</v>
      </c>
      <c r="EK94" s="2" t="s">
        <v>394</v>
      </c>
      <c r="EL94" s="2" t="s">
        <v>394</v>
      </c>
      <c r="EM94" s="2" t="s">
        <v>394</v>
      </c>
      <c r="EN94" s="2" t="s">
        <v>394</v>
      </c>
      <c r="EP94" s="2" t="s">
        <v>394</v>
      </c>
      <c r="EQ94" s="2" t="s">
        <v>394</v>
      </c>
      <c r="ER94" s="2" t="s">
        <v>394</v>
      </c>
      <c r="ES94" s="2" t="s">
        <v>394</v>
      </c>
      <c r="FB94" s="2" t="s">
        <v>394</v>
      </c>
      <c r="FC94" s="2" t="s">
        <v>394</v>
      </c>
      <c r="FD94" s="2" t="s">
        <v>394</v>
      </c>
      <c r="FE94" s="2" t="s">
        <v>394</v>
      </c>
      <c r="FF94" s="2" t="s">
        <v>394</v>
      </c>
      <c r="FG94" s="2" t="s">
        <v>394</v>
      </c>
      <c r="FH94" s="2" t="s">
        <v>394</v>
      </c>
      <c r="FI94" s="2" t="s">
        <v>394</v>
      </c>
      <c r="FJ94" s="2" t="s">
        <v>394</v>
      </c>
      <c r="FK94" s="2" t="s">
        <v>394</v>
      </c>
      <c r="FL94" s="2" t="s">
        <v>394</v>
      </c>
      <c r="FM94" s="2" t="s">
        <v>394</v>
      </c>
      <c r="FN94" s="2" t="s">
        <v>394</v>
      </c>
      <c r="FO94" s="2" t="s">
        <v>394</v>
      </c>
      <c r="FP94" s="2" t="s">
        <v>394</v>
      </c>
      <c r="FQ94" s="2" t="s">
        <v>394</v>
      </c>
    </row>
    <row r="95" spans="1:195">
      <c r="A95" s="335" t="s">
        <v>2620</v>
      </c>
      <c r="B95" s="346" t="s">
        <v>2620</v>
      </c>
      <c r="C95" s="346" t="s">
        <v>222</v>
      </c>
      <c r="D95" s="346" t="s">
        <v>2539</v>
      </c>
      <c r="E95" s="346" t="s">
        <v>2622</v>
      </c>
      <c r="F95" s="425" t="s">
        <v>2940</v>
      </c>
      <c r="G95" s="346" t="s">
        <v>324</v>
      </c>
      <c r="H95" s="337" t="s">
        <v>324</v>
      </c>
      <c r="I95" s="346" t="s">
        <v>324</v>
      </c>
      <c r="J95" s="346" t="s">
        <v>324</v>
      </c>
      <c r="K95" s="346"/>
      <c r="L95" s="346"/>
      <c r="M95" s="337"/>
      <c r="N95" s="346" t="s">
        <v>324</v>
      </c>
      <c r="O95" s="346" t="s">
        <v>324</v>
      </c>
      <c r="P95" s="346" t="s">
        <v>324</v>
      </c>
      <c r="Q95" s="346" t="s">
        <v>324</v>
      </c>
      <c r="R95" s="346" t="s">
        <v>324</v>
      </c>
      <c r="S95" s="346" t="s">
        <v>2621</v>
      </c>
      <c r="T95" s="346" t="s">
        <v>713</v>
      </c>
      <c r="U95" s="346">
        <v>40</v>
      </c>
      <c r="V95" s="346" t="str" cm="1">
        <f t="array" ref="V95">IFERROR(INDEX('Offer Statistics'!$AI$2:$AI$350,MATCH(1,(B95='Offer Statistics'!$T$2:$T$350)*($B$11='Offer Statistics'!$U$2:$U$350),0)),"/")</f>
        <v>/</v>
      </c>
      <c r="W95" s="346" t="str" cm="1">
        <f t="array" ref="W95">IFERROR(INDEX('Offer Statistics'!$V$2:$V$350,MATCH(1,(B95='Offer Statistics'!$T$2:$T$350)*($B$11='Offer Statistics'!$U$2:$U$350),0)),"/")</f>
        <v>/</v>
      </c>
      <c r="X95" s="346" t="str" cm="1">
        <f t="array" ref="X95">IFERROR(INDEX('Offer Statistics'!$AD$2:$AD$350,MATCH(1,(B95='Offer Statistics'!$T$2:$T$350)*($B$11='Offer Statistics'!$U$2:$U$350),0)),"/")</f>
        <v>/</v>
      </c>
      <c r="Y95" s="346" t="str">
        <f t="shared" si="81"/>
        <v>新科目</v>
      </c>
      <c r="Z95" s="346" t="s">
        <v>713</v>
      </c>
      <c r="AA95" s="346" t="str">
        <f>入學要求!AF104</f>
        <v>/</v>
      </c>
      <c r="AB95" s="346" t="str">
        <f>入學要求!AG104</f>
        <v>/</v>
      </c>
      <c r="AC95" s="426" t="s">
        <v>785</v>
      </c>
      <c r="AF95" s="346" t="s">
        <v>324</v>
      </c>
      <c r="AG95" s="346" t="s">
        <v>324</v>
      </c>
      <c r="AH95" s="346" t="s">
        <v>324</v>
      </c>
      <c r="AI95" s="346" t="s">
        <v>324</v>
      </c>
      <c r="AJ95" s="346" t="s">
        <v>324</v>
      </c>
      <c r="AK95" s="359"/>
      <c r="AL95" s="359"/>
      <c r="AM95" s="359"/>
      <c r="AU95" s="2" t="s">
        <v>946</v>
      </c>
      <c r="AV95" s="2" t="s">
        <v>713</v>
      </c>
      <c r="AZ95" s="346">
        <v>1</v>
      </c>
      <c r="BA95" s="346">
        <v>1</v>
      </c>
      <c r="BB95" s="346">
        <v>1</v>
      </c>
      <c r="BC95" s="346"/>
      <c r="BD95" s="346">
        <v>1</v>
      </c>
      <c r="BE95" s="346">
        <v>1</v>
      </c>
      <c r="BF95" s="346">
        <v>1</v>
      </c>
      <c r="BG95" s="346">
        <v>1</v>
      </c>
      <c r="BI95" s="2" t="s">
        <v>324</v>
      </c>
      <c r="BJ95" s="2" t="s">
        <v>324</v>
      </c>
      <c r="BK95" s="2" t="s">
        <v>324</v>
      </c>
      <c r="BM95" s="2" t="s">
        <v>324</v>
      </c>
      <c r="BN95" s="2" t="s">
        <v>324</v>
      </c>
      <c r="BO95" s="2" t="s">
        <v>324</v>
      </c>
      <c r="BP95" s="2" t="s">
        <v>324</v>
      </c>
      <c r="BQ95" s="194">
        <f>IFERROR(BI95+0.00000000004,0)</f>
        <v>0</v>
      </c>
      <c r="BR95" s="194">
        <f>IFERROR(BJ95+0.00000000002,0)</f>
        <v>0</v>
      </c>
      <c r="BS95" s="194">
        <f>IFERROR(BK95+0.00000000003,0)</f>
        <v>0</v>
      </c>
      <c r="BU95" s="194">
        <f>IFERROR(BM95+0.00000000005,0)</f>
        <v>0</v>
      </c>
      <c r="BV95" s="194">
        <f>IFERROR(BN95+0.00000000006,0)</f>
        <v>0</v>
      </c>
      <c r="BW95" s="194">
        <f>IFERROR(BO95+0.00000000007,0)</f>
        <v>0</v>
      </c>
      <c r="BX95" s="194">
        <f>IFERROR(BP95+0.00000000008,0)</f>
        <v>0</v>
      </c>
      <c r="BY95" s="2">
        <f t="shared" ref="BY95:CF95" si="110">AZ95*BQ95</f>
        <v>0</v>
      </c>
      <c r="BZ95" s="2">
        <f t="shared" si="110"/>
        <v>0</v>
      </c>
      <c r="CA95" s="2">
        <f t="shared" si="110"/>
        <v>0</v>
      </c>
      <c r="CC95" s="2">
        <f t="shared" si="110"/>
        <v>0</v>
      </c>
      <c r="CD95" s="2">
        <f t="shared" si="110"/>
        <v>0</v>
      </c>
      <c r="CE95" s="2">
        <f t="shared" si="110"/>
        <v>0</v>
      </c>
      <c r="CF95" s="2">
        <f t="shared" si="110"/>
        <v>0</v>
      </c>
      <c r="CG95" s="364" t="b">
        <f t="shared" si="82"/>
        <v>0</v>
      </c>
      <c r="CH95" s="364" t="b">
        <f t="shared" si="104"/>
        <v>0</v>
      </c>
      <c r="CI95" s="364" t="b">
        <f t="shared" si="105"/>
        <v>0</v>
      </c>
      <c r="CJ95" s="364"/>
      <c r="CK95" s="364" t="b">
        <f t="shared" si="106"/>
        <v>0</v>
      </c>
      <c r="CL95" s="364" t="b">
        <f t="shared" si="107"/>
        <v>0</v>
      </c>
      <c r="CM95" s="364" t="b">
        <f t="shared" si="108"/>
        <v>0</v>
      </c>
      <c r="CN95" s="364" t="b">
        <f t="shared" si="109"/>
        <v>0</v>
      </c>
      <c r="CO95" s="346">
        <v>1</v>
      </c>
      <c r="CP95" s="346">
        <v>1</v>
      </c>
      <c r="CQ95" s="346">
        <v>1</v>
      </c>
      <c r="CR95" s="346"/>
      <c r="CS95" s="346">
        <v>1</v>
      </c>
      <c r="CT95" s="346">
        <v>1</v>
      </c>
      <c r="CU95" s="346">
        <v>1</v>
      </c>
      <c r="CV95" s="346">
        <v>1</v>
      </c>
      <c r="CX95" s="2" t="s">
        <v>324</v>
      </c>
      <c r="CY95" s="2" t="s">
        <v>324</v>
      </c>
      <c r="CZ95" s="2" t="s">
        <v>324</v>
      </c>
      <c r="DB95" s="2" t="s">
        <v>324</v>
      </c>
      <c r="DC95" s="2" t="s">
        <v>324</v>
      </c>
      <c r="DD95" s="2" t="s">
        <v>324</v>
      </c>
      <c r="DE95" s="2" t="s">
        <v>324</v>
      </c>
      <c r="DF95" s="194">
        <f>IFERROR(CX95+0.00000000004,0)</f>
        <v>0</v>
      </c>
      <c r="DG95" s="194">
        <f>IFERROR(CY95+0.00000000002,0)</f>
        <v>0</v>
      </c>
      <c r="DH95" s="194">
        <f>IFERROR(CZ95+0.00000000003,0)</f>
        <v>0</v>
      </c>
      <c r="DJ95" s="194">
        <f>IFERROR(DB95+0.00000000005,0)</f>
        <v>0</v>
      </c>
      <c r="DK95" s="194">
        <f>IFERROR(DC95+0.00000000006,0)</f>
        <v>0</v>
      </c>
      <c r="DL95" s="194">
        <f>IFERROR(DD95+0.00000000007,0)</f>
        <v>0</v>
      </c>
      <c r="DM95" s="194">
        <f>IFERROR(DE95+0.00000000008,0)</f>
        <v>0</v>
      </c>
      <c r="DN95" s="2">
        <f t="shared" ref="DN95:DU95" si="111">CO95*DF95</f>
        <v>0</v>
      </c>
      <c r="DO95" s="2">
        <f t="shared" si="111"/>
        <v>0</v>
      </c>
      <c r="DP95" s="2">
        <f t="shared" si="111"/>
        <v>0</v>
      </c>
      <c r="DR95" s="2">
        <f t="shared" si="111"/>
        <v>0</v>
      </c>
      <c r="DS95" s="2">
        <f t="shared" si="111"/>
        <v>0</v>
      </c>
      <c r="DT95" s="2">
        <f t="shared" si="111"/>
        <v>0</v>
      </c>
      <c r="DU95" s="2">
        <f t="shared" si="111"/>
        <v>0</v>
      </c>
      <c r="DV95" s="2" t="b">
        <f t="shared" si="90"/>
        <v>0</v>
      </c>
      <c r="DW95" s="2" t="b">
        <f t="shared" si="91"/>
        <v>0</v>
      </c>
      <c r="DX95" s="2" t="b">
        <f t="shared" si="92"/>
        <v>0</v>
      </c>
      <c r="DZ95" s="2" t="b">
        <f t="shared" si="93"/>
        <v>0</v>
      </c>
      <c r="EA95" s="2" t="b">
        <f t="shared" si="94"/>
        <v>0</v>
      </c>
      <c r="EB95" s="2" t="b">
        <f t="shared" si="95"/>
        <v>0</v>
      </c>
      <c r="EC95" s="2" t="b">
        <f t="shared" si="96"/>
        <v>0</v>
      </c>
      <c r="ED95" s="2" t="s">
        <v>394</v>
      </c>
      <c r="EE95" s="2" t="s">
        <v>394</v>
      </c>
      <c r="EF95" s="2" t="s">
        <v>394</v>
      </c>
      <c r="EH95" s="2" t="s">
        <v>394</v>
      </c>
      <c r="EI95" s="2" t="s">
        <v>394</v>
      </c>
      <c r="EJ95" s="2" t="s">
        <v>394</v>
      </c>
      <c r="EK95" s="2" t="s">
        <v>394</v>
      </c>
      <c r="EL95" s="2" t="s">
        <v>394</v>
      </c>
      <c r="EM95" s="2" t="s">
        <v>394</v>
      </c>
      <c r="EN95" s="2" t="s">
        <v>394</v>
      </c>
      <c r="EP95" s="2" t="s">
        <v>394</v>
      </c>
      <c r="EQ95" s="2" t="s">
        <v>394</v>
      </c>
      <c r="ER95" s="2" t="s">
        <v>394</v>
      </c>
      <c r="ES95" s="2" t="s">
        <v>394</v>
      </c>
    </row>
    <row r="96" spans="1:195">
      <c r="C96" s="424" t="s">
        <v>2318</v>
      </c>
      <c r="F96" s="11"/>
    </row>
    <row r="97" spans="1:173">
      <c r="F97" s="125"/>
      <c r="U97" s="2" t="s">
        <v>70</v>
      </c>
      <c r="V97" s="2" t="s">
        <v>118</v>
      </c>
      <c r="Y97" s="2" t="s">
        <v>938</v>
      </c>
      <c r="AF97" s="333"/>
      <c r="AG97" s="333"/>
    </row>
    <row r="98" spans="1:173" s="364" customFormat="1" ht="15.6">
      <c r="A98" s="335" t="s">
        <v>2712</v>
      </c>
      <c r="B98" s="346" t="s">
        <v>2712</v>
      </c>
      <c r="C98" s="346" t="s">
        <v>225</v>
      </c>
      <c r="D98" s="346" t="s">
        <v>2539</v>
      </c>
      <c r="E98" s="346" t="s">
        <v>2714</v>
      </c>
      <c r="F98" s="424" t="s">
        <v>2940</v>
      </c>
      <c r="G98" s="346" t="s">
        <v>324</v>
      </c>
      <c r="H98" s="346" t="s">
        <v>324</v>
      </c>
      <c r="I98" s="346" t="s">
        <v>324</v>
      </c>
      <c r="J98" s="346" t="s">
        <v>324</v>
      </c>
      <c r="N98" s="346"/>
      <c r="O98" s="346"/>
      <c r="P98" s="486" t="s">
        <v>324</v>
      </c>
      <c r="Q98" s="486" t="s">
        <v>1108</v>
      </c>
      <c r="R98" s="486" t="s">
        <v>324</v>
      </c>
      <c r="S98" s="456" t="s">
        <v>2713</v>
      </c>
      <c r="T98" s="346" t="s">
        <v>1046</v>
      </c>
      <c r="U98" s="346">
        <v>30</v>
      </c>
      <c r="V98" s="346" t="str" cm="1">
        <f t="array" ref="V98">IFERROR(INDEX('Offer Statistics'!$AZ$2:$AZ$350,MATCH(1,($B98='Offer Statistics'!$AK$2:$AK$350)*($B$11='Offer Statistics'!$AL$2:$AL$350),0)),"/")</f>
        <v>/</v>
      </c>
      <c r="W98" s="346" t="str" cm="1">
        <f t="array" ref="W98">IFERROR(INDEX('Offer Statistics'!$AM$2:$AM$350,MATCH(1,($B98='Offer Statistics'!$AK$2:$AK$350)*($B$11='Offer Statistics'!$AL$2:$AL$350),0)),"/")</f>
        <v>/</v>
      </c>
      <c r="X98" s="346" t="str" cm="1">
        <f t="array" ref="X98">IFERROR(INDEX('Offer Statistics'!$AU$2:$AU$350,MATCH(1,($B98='Offer Statistics'!$AK$2:$AK$350)*($B$11='Offer Statistics'!$AL$2:$AL$350),0)),"/")</f>
        <v>/</v>
      </c>
      <c r="Y98" s="346" t="str">
        <f t="shared" ref="Y98:Y142" si="112">IFERROR(W98/X98,"新科目")</f>
        <v>新科目</v>
      </c>
      <c r="Z98" s="346" t="s">
        <v>1046</v>
      </c>
      <c r="AA98" s="346" t="str">
        <f>入學要求!AF107</f>
        <v>/</v>
      </c>
      <c r="AB98" s="346" t="str">
        <f>入學要求!AG107</f>
        <v>/</v>
      </c>
      <c r="AC98" s="346" t="s">
        <v>785</v>
      </c>
      <c r="AF98" s="333" t="s">
        <v>324</v>
      </c>
      <c r="AG98" s="333" t="s">
        <v>324</v>
      </c>
      <c r="AH98" s="431" t="s">
        <v>324</v>
      </c>
      <c r="AI98" s="431" t="s">
        <v>1108</v>
      </c>
      <c r="AJ98" s="431" t="s">
        <v>324</v>
      </c>
      <c r="AK98" s="346" t="s">
        <v>324</v>
      </c>
      <c r="AL98" s="346" t="s">
        <v>324</v>
      </c>
      <c r="AM98" s="346" t="s">
        <v>324</v>
      </c>
      <c r="AN98" s="346" t="s">
        <v>324</v>
      </c>
      <c r="AO98" s="346" t="s">
        <v>324</v>
      </c>
      <c r="AP98" s="346" t="s">
        <v>324</v>
      </c>
      <c r="AQ98" s="346" t="s">
        <v>324</v>
      </c>
      <c r="AR98" s="346" t="s">
        <v>324</v>
      </c>
      <c r="AS98" s="346"/>
      <c r="AT98" s="93" t="s">
        <v>716</v>
      </c>
      <c r="AU98" s="93"/>
      <c r="AV98" s="364" t="s">
        <v>713</v>
      </c>
      <c r="AW98" s="364" t="s">
        <v>324</v>
      </c>
      <c r="AX98" s="364" t="s">
        <v>324</v>
      </c>
      <c r="AY98" s="364" t="s">
        <v>324</v>
      </c>
      <c r="BQ98" s="365">
        <f t="shared" ref="BQ98:BQ104" si="113">IFERROR(BI98+0.00000000004,0)</f>
        <v>3.9999999999999998E-11</v>
      </c>
      <c r="BR98" s="365">
        <f t="shared" ref="BR98:BR104" si="114">IFERROR(BJ98+0.00000000002,0)</f>
        <v>1.9999999999999999E-11</v>
      </c>
      <c r="BS98" s="365">
        <f t="shared" ref="BS98:BS104" si="115">IFERROR(BK98+0.00000000003,0)</f>
        <v>3E-11</v>
      </c>
      <c r="BT98" s="365"/>
      <c r="BU98" s="365">
        <f t="shared" ref="BU98:BU104" si="116">IFERROR(BM98+0.00000000005,0)</f>
        <v>5.0000000000000002E-11</v>
      </c>
      <c r="BV98" s="365">
        <f t="shared" ref="BV98:BV104" si="117">IFERROR(BN98+0.00000000006,0)</f>
        <v>6E-11</v>
      </c>
      <c r="BW98" s="365">
        <f t="shared" ref="BW98:BW104" si="118">IFERROR(BO98+0.00000000007,0)</f>
        <v>7.0000000000000004E-11</v>
      </c>
      <c r="BX98" s="365">
        <f t="shared" ref="BX98:BX104" si="119">IFERROR(BP98+0.00000000008,0)</f>
        <v>7.9999999999999995E-11</v>
      </c>
      <c r="BY98" s="364">
        <f t="shared" ref="BY98:BY104" si="120">AZ98*BQ98</f>
        <v>0</v>
      </c>
      <c r="BZ98" s="364">
        <f t="shared" ref="BZ98:BZ104" si="121">BA98*BR98</f>
        <v>0</v>
      </c>
      <c r="CA98" s="364">
        <f t="shared" ref="CA98:CA104" si="122">BB98*BS98</f>
        <v>0</v>
      </c>
      <c r="CC98" s="364">
        <f t="shared" ref="CC98:CC104" si="123">BD98*BU98</f>
        <v>0</v>
      </c>
      <c r="CD98" s="364">
        <f t="shared" ref="CD98:CD104" si="124">BE98*BV98</f>
        <v>0</v>
      </c>
      <c r="CE98" s="364">
        <f t="shared" ref="CE98:CE104" si="125">BF98*BW98</f>
        <v>0</v>
      </c>
      <c r="CF98" s="364">
        <f t="shared" ref="CF98:CF104" si="126">BG98*BX98</f>
        <v>0</v>
      </c>
      <c r="CG98" s="364" t="b">
        <f t="shared" ref="CG98:CG116" si="127">IF($F98="4C2X",TRUE,IF($F98="Best 5",IF(BY98&gt;LARGE($BY98:$CF98,6),TRUE),IF($F98="Best 6",IF(BY98&gt;LARGE($BY98:$CF98,7),TRUE))))</f>
        <v>0</v>
      </c>
      <c r="CH98" s="364" t="b">
        <f t="shared" ref="CH98:CH116" si="128">IF($F98="4C2X",TRUE,IF($F98="Best 5",IF(BZ98&gt;LARGE($BY98:$CF98,6),TRUE),IF($F98="Best 6",IF(BZ98&gt;LARGE($BY98:$CF98,7),TRUE))))</f>
        <v>0</v>
      </c>
      <c r="CI98" s="364" t="b">
        <f t="shared" ref="CI98:CI116" si="129">IF($F98="4C2X",TRUE,IF($F98="Best 5",IF(CA98&gt;LARGE($BY98:$CF98,6),TRUE),IF($F98="Best 6",IF(CA98&gt;LARGE($BY98:$CF98,7),TRUE))))</f>
        <v>0</v>
      </c>
      <c r="CK98" s="364" t="b">
        <f t="shared" ref="CK98:CK116" si="130">IF($F98="4C2X",IF(CC98&gt;LARGE($CC98:$CF98,3),TRUE),IF($F98="Best 5",IF(CC98&gt;LARGE($BY98:$CF98,6),TRUE),IF($F98="Best 6",IF(CC98&gt;LARGE($BY98:$CF98,7),TRUE))))</f>
        <v>0</v>
      </c>
      <c r="CL98" s="364" t="b">
        <f t="shared" ref="CL98:CL116" si="131">IF($F98="4C2X",IF(CD98&gt;LARGE($CC98:$CF98,3),TRUE),IF($F98="Best 5",IF(CD98&gt;LARGE($BY98:$CF98,6),TRUE),IF($F98="Best 6",IF(CD98&gt;LARGE($BY98:$CF98,7),TRUE))))</f>
        <v>0</v>
      </c>
      <c r="CM98" s="364" t="b">
        <f t="shared" ref="CM98:CM116" si="132">IF($F98="4C2X",IF(CE98&gt;LARGE($CC98:$CF98,3),TRUE),IF($F98="Best 5",IF(CE98&gt;LARGE($BY98:$CF98,6),TRUE),IF($F98="Best 6",IF(CE98&gt;LARGE($BY98:$CF98,7),TRUE))))</f>
        <v>0</v>
      </c>
      <c r="CN98" s="364" t="b">
        <f t="shared" ref="CN98:CN116" si="133">IF($F98="4C2X",IF(CF98&gt;LARGE($CC98:$CF98,3),TRUE),IF($F98="Best 5",IF(CF98&gt;LARGE($BY98:$CF98,6),TRUE),IF($F98="Best 6",IF(CF98&gt;LARGE($BY98:$CF98,7),TRUE))))</f>
        <v>0</v>
      </c>
      <c r="DF98" s="365">
        <f t="shared" ref="DF98:DF104" si="134">IFERROR(CX98+0.00000000001,0)</f>
        <v>9.9999999999999994E-12</v>
      </c>
      <c r="DG98" s="365">
        <f t="shared" ref="DG98:DG104" si="135">IFERROR(CY98+0.00000000002,0)</f>
        <v>1.9999999999999999E-11</v>
      </c>
      <c r="DH98" s="365">
        <f t="shared" ref="DH98:DH104" si="136">IFERROR(CZ98+0.00000000003,0)</f>
        <v>3E-11</v>
      </c>
      <c r="DI98" s="365"/>
      <c r="DJ98" s="365">
        <f t="shared" ref="DJ98:DJ104" si="137">IFERROR(DB98+0.00000000005,0)</f>
        <v>5.0000000000000002E-11</v>
      </c>
      <c r="DK98" s="365">
        <f t="shared" ref="DK98:DK104" si="138">IFERROR(DC98+0.00000000006,0)</f>
        <v>6E-11</v>
      </c>
      <c r="DL98" s="365">
        <f t="shared" ref="DL98:DL104" si="139">IFERROR(DD98+0.00000000007,0)</f>
        <v>7.0000000000000004E-11</v>
      </c>
      <c r="DM98" s="365">
        <f t="shared" ref="DM98:DM104" si="140">IFERROR(DE98+0.00000000008,0)</f>
        <v>7.9999999999999995E-11</v>
      </c>
      <c r="DN98" s="364">
        <f t="shared" ref="DN98:DN104" si="141">CO98*DF98</f>
        <v>0</v>
      </c>
      <c r="DO98" s="364">
        <f t="shared" ref="DO98:DO104" si="142">CP98*DG98</f>
        <v>0</v>
      </c>
      <c r="DP98" s="364">
        <f t="shared" ref="DP98:DP104" si="143">CQ98*DH98</f>
        <v>0</v>
      </c>
      <c r="DR98" s="364">
        <f t="shared" ref="DR98:DR104" si="144">CS98*DJ98</f>
        <v>0</v>
      </c>
      <c r="DS98" s="364">
        <f t="shared" ref="DS98:DS104" si="145">CT98*DK98</f>
        <v>0</v>
      </c>
      <c r="DT98" s="364">
        <f t="shared" ref="DT98:DT104" si="146">CU98*DL98</f>
        <v>0</v>
      </c>
      <c r="DU98" s="364">
        <f t="shared" ref="DU98:DU104" si="147">CV98*DM98</f>
        <v>0</v>
      </c>
      <c r="DV98" s="364" t="b">
        <f t="shared" ref="DV98:DV116" si="148">IF($F98="4C2X",TRUE,IF($F98="Best 5",IF(DN98&gt;LARGE($DN98:$DU98,6),TRUE),IF($F98="Best 6",IF(DN98&gt;LARGE($DN98:$DU98,7),TRUE))))</f>
        <v>0</v>
      </c>
      <c r="DW98" s="364" t="b">
        <f t="shared" ref="DW98:DW116" si="149">IF($F98="4C2X",TRUE,IF($F98="Best 5",IF(DO98&gt;LARGE($DN98:$DU98,6),TRUE),IF($F98="Best 6",IF(DO98&gt;LARGE($DN98:$DU98,7),TRUE))))</f>
        <v>0</v>
      </c>
      <c r="DX98" s="364" t="b">
        <f t="shared" ref="DX98:DX116" si="150">IF($F98="4C2X",TRUE,IF($F98="Best 5",IF(DP98&gt;LARGE($DN98:$DU98,6),TRUE),IF($F98="Best 6",IF(DP98&gt;LARGE($DN98:$DU98,7),TRUE))))</f>
        <v>0</v>
      </c>
      <c r="DZ98" s="364" t="b">
        <f t="shared" ref="DZ98:DZ116" si="151">IF($F98="4C2X",IF(DR98&gt;LARGE($DR98:$DU98,3),TRUE),IF($F98="Best 5",IF(DR98&gt;LARGE($DN98:$DU98,6),TRUE),IF($F98="Best 6",IF(DR98&gt;LARGE($DN98:$DU98,7),TRUE))))</f>
        <v>0</v>
      </c>
      <c r="EA98" s="364" t="b">
        <f t="shared" ref="EA98:EA116" si="152">IF($F98="4C2X",IF(DS98&gt;LARGE($DR98:$DU98,3),TRUE),IF($F98="Best 5",IF(DS98&gt;LARGE($DN98:$DU98,6),TRUE),IF($F98="Best 6",IF(DS98&gt;LARGE($DN98:$DU98,7),TRUE))))</f>
        <v>0</v>
      </c>
      <c r="EB98" s="364" t="b">
        <f t="shared" ref="EB98:EB116" si="153">IF($F98="4C2X",IF(DT98&gt;LARGE($DR98:$DU98,3),TRUE),IF($F98="Best 5",IF(DT98&gt;LARGE($DN98:$DU98,6),TRUE),IF($F98="Best 6",IF(DT98&gt;LARGE($DN98:$DU98,7),TRUE))))</f>
        <v>0</v>
      </c>
      <c r="EC98" s="364" t="b">
        <f t="shared" ref="EC98:EC116" si="154">IF($F98="4C2X",IF(DU98&gt;LARGE($DR98:$DU98,3),TRUE),IF($F98="Best 5",IF(DU98&gt;LARGE($DN98:$DU98,6),TRUE),IF($F98="Best 6",IF(DU98&gt;LARGE($DN98:$DU98,7),TRUE))))</f>
        <v>0</v>
      </c>
      <c r="ED98" s="364" t="s">
        <v>394</v>
      </c>
      <c r="EE98" s="364" t="s">
        <v>394</v>
      </c>
      <c r="EF98" s="364" t="s">
        <v>394</v>
      </c>
      <c r="EH98" s="364" t="s">
        <v>394</v>
      </c>
      <c r="EI98" s="364" t="s">
        <v>394</v>
      </c>
      <c r="EJ98" s="364" t="s">
        <v>394</v>
      </c>
      <c r="EK98" s="364" t="s">
        <v>394</v>
      </c>
      <c r="EL98" s="364" t="s">
        <v>394</v>
      </c>
      <c r="EM98" s="364" t="s">
        <v>394</v>
      </c>
      <c r="EN98" s="364" t="s">
        <v>394</v>
      </c>
      <c r="EP98" s="364" t="s">
        <v>394</v>
      </c>
      <c r="EQ98" s="364" t="s">
        <v>394</v>
      </c>
      <c r="ER98" s="364" t="s">
        <v>394</v>
      </c>
      <c r="ES98" s="364" t="s">
        <v>394</v>
      </c>
      <c r="FB98" s="364" t="s">
        <v>394</v>
      </c>
      <c r="FC98" s="364" t="s">
        <v>394</v>
      </c>
      <c r="FD98" s="364" t="s">
        <v>394</v>
      </c>
      <c r="FE98" s="364" t="s">
        <v>394</v>
      </c>
      <c r="FF98" s="364" t="s">
        <v>394</v>
      </c>
      <c r="FG98" s="364" t="s">
        <v>394</v>
      </c>
      <c r="FH98" s="364" t="s">
        <v>394</v>
      </c>
      <c r="FI98" s="364" t="s">
        <v>394</v>
      </c>
      <c r="FJ98" s="364" t="s">
        <v>394</v>
      </c>
      <c r="FK98" s="364" t="s">
        <v>394</v>
      </c>
      <c r="FL98" s="364" t="s">
        <v>394</v>
      </c>
      <c r="FM98" s="364" t="s">
        <v>394</v>
      </c>
      <c r="FN98" s="364" t="s">
        <v>394</v>
      </c>
      <c r="FO98" s="364" t="s">
        <v>394</v>
      </c>
      <c r="FP98" s="364" t="s">
        <v>394</v>
      </c>
      <c r="FQ98" s="364" t="s">
        <v>394</v>
      </c>
    </row>
    <row r="99" spans="1:173" s="364" customFormat="1" ht="15.6">
      <c r="A99" s="335" t="s">
        <v>2715</v>
      </c>
      <c r="B99" s="346" t="s">
        <v>2715</v>
      </c>
      <c r="C99" s="346" t="s">
        <v>225</v>
      </c>
      <c r="D99" s="346" t="s">
        <v>1058</v>
      </c>
      <c r="E99" s="346" t="s">
        <v>2717</v>
      </c>
      <c r="F99" s="424" t="s">
        <v>2940</v>
      </c>
      <c r="G99" s="346" t="s">
        <v>324</v>
      </c>
      <c r="H99" s="346" t="s">
        <v>324</v>
      </c>
      <c r="I99" s="346" t="s">
        <v>324</v>
      </c>
      <c r="J99" s="346" t="s">
        <v>324</v>
      </c>
      <c r="N99" s="346"/>
      <c r="O99" s="346"/>
      <c r="P99" s="486" t="s">
        <v>2336</v>
      </c>
      <c r="Q99" s="486" t="s">
        <v>1108</v>
      </c>
      <c r="R99" s="486" t="s">
        <v>2993</v>
      </c>
      <c r="S99" s="456" t="s">
        <v>2716</v>
      </c>
      <c r="T99" s="346" t="s">
        <v>1046</v>
      </c>
      <c r="U99" s="346">
        <v>19</v>
      </c>
      <c r="V99" s="346" t="str" cm="1">
        <f t="array" ref="V99">IFERROR(INDEX('Offer Statistics'!$AZ$2:$AZ$350,MATCH(1,($B99='Offer Statistics'!$AK$2:$AK$350)*($B$11='Offer Statistics'!$AL$2:$AL$350),0)),"/")</f>
        <v>/</v>
      </c>
      <c r="W99" s="346" t="str" cm="1">
        <f t="array" ref="W99">IFERROR(INDEX('Offer Statistics'!$AM$2:$AM$350,MATCH(1,($B99='Offer Statistics'!$AK$2:$AK$350)*($B$11='Offer Statistics'!$AL$2:$AL$350),0)),"/")</f>
        <v>/</v>
      </c>
      <c r="X99" s="346" t="str" cm="1">
        <f t="array" ref="X99">IFERROR(INDEX('Offer Statistics'!$AU$2:$AU$350,MATCH(1,($B99='Offer Statistics'!$AK$2:$AK$350)*($B$11='Offer Statistics'!$AL$2:$AL$350),0)),"/")</f>
        <v>/</v>
      </c>
      <c r="Y99" s="346" t="str">
        <f t="shared" si="112"/>
        <v>新科目</v>
      </c>
      <c r="Z99" s="346" t="s">
        <v>1046</v>
      </c>
      <c r="AA99" s="346" t="str">
        <f>入學要求!AF108</f>
        <v>/</v>
      </c>
      <c r="AB99" s="346" t="str">
        <f>入學要求!AG108</f>
        <v>/</v>
      </c>
      <c r="AC99" s="346" t="s">
        <v>785</v>
      </c>
      <c r="AF99" s="333" t="s">
        <v>324</v>
      </c>
      <c r="AG99" s="333" t="s">
        <v>324</v>
      </c>
      <c r="AH99" s="431" t="s">
        <v>2336</v>
      </c>
      <c r="AI99" s="431" t="s">
        <v>1108</v>
      </c>
      <c r="AJ99" s="431" t="s">
        <v>2993</v>
      </c>
      <c r="AK99" s="346" t="s">
        <v>324</v>
      </c>
      <c r="AL99" s="346" t="s">
        <v>324</v>
      </c>
      <c r="AM99" s="346" t="s">
        <v>324</v>
      </c>
      <c r="AN99" s="346" t="s">
        <v>324</v>
      </c>
      <c r="AO99" s="346" t="s">
        <v>324</v>
      </c>
      <c r="AP99" s="346" t="s">
        <v>324</v>
      </c>
      <c r="AQ99" s="346" t="s">
        <v>324</v>
      </c>
      <c r="AR99" s="346" t="s">
        <v>324</v>
      </c>
      <c r="AS99" s="346"/>
      <c r="AT99" s="93" t="s">
        <v>716</v>
      </c>
      <c r="AU99" s="93"/>
      <c r="AV99" s="364" t="s">
        <v>713</v>
      </c>
      <c r="AW99" s="364" t="s">
        <v>324</v>
      </c>
      <c r="AX99" s="364" t="s">
        <v>324</v>
      </c>
      <c r="AY99" s="364" t="s">
        <v>324</v>
      </c>
      <c r="BQ99" s="365">
        <f t="shared" si="113"/>
        <v>3.9999999999999998E-11</v>
      </c>
      <c r="BR99" s="365">
        <f t="shared" si="114"/>
        <v>1.9999999999999999E-11</v>
      </c>
      <c r="BS99" s="365">
        <f t="shared" si="115"/>
        <v>3E-11</v>
      </c>
      <c r="BT99" s="365"/>
      <c r="BU99" s="365">
        <f t="shared" si="116"/>
        <v>5.0000000000000002E-11</v>
      </c>
      <c r="BV99" s="365">
        <f t="shared" si="117"/>
        <v>6E-11</v>
      </c>
      <c r="BW99" s="365">
        <f t="shared" si="118"/>
        <v>7.0000000000000004E-11</v>
      </c>
      <c r="BX99" s="365">
        <f t="shared" si="119"/>
        <v>7.9999999999999995E-11</v>
      </c>
      <c r="BY99" s="364">
        <f t="shared" si="120"/>
        <v>0</v>
      </c>
      <c r="BZ99" s="364">
        <f t="shared" si="121"/>
        <v>0</v>
      </c>
      <c r="CA99" s="364">
        <f t="shared" si="122"/>
        <v>0</v>
      </c>
      <c r="CC99" s="364">
        <f t="shared" si="123"/>
        <v>0</v>
      </c>
      <c r="CD99" s="364">
        <f t="shared" si="124"/>
        <v>0</v>
      </c>
      <c r="CE99" s="364">
        <f t="shared" si="125"/>
        <v>0</v>
      </c>
      <c r="CF99" s="364">
        <f t="shared" si="126"/>
        <v>0</v>
      </c>
      <c r="CG99" s="364" t="b">
        <f t="shared" si="127"/>
        <v>0</v>
      </c>
      <c r="CH99" s="364" t="b">
        <f t="shared" si="128"/>
        <v>0</v>
      </c>
      <c r="CI99" s="364" t="b">
        <f t="shared" si="129"/>
        <v>0</v>
      </c>
      <c r="CK99" s="364" t="b">
        <f t="shared" si="130"/>
        <v>0</v>
      </c>
      <c r="CL99" s="364" t="b">
        <f t="shared" si="131"/>
        <v>0</v>
      </c>
      <c r="CM99" s="364" t="b">
        <f t="shared" si="132"/>
        <v>0</v>
      </c>
      <c r="CN99" s="364" t="b">
        <f t="shared" si="133"/>
        <v>0</v>
      </c>
      <c r="DF99" s="365">
        <f t="shared" si="134"/>
        <v>9.9999999999999994E-12</v>
      </c>
      <c r="DG99" s="365">
        <f t="shared" si="135"/>
        <v>1.9999999999999999E-11</v>
      </c>
      <c r="DH99" s="365">
        <f t="shared" si="136"/>
        <v>3E-11</v>
      </c>
      <c r="DI99" s="365"/>
      <c r="DJ99" s="365">
        <f t="shared" si="137"/>
        <v>5.0000000000000002E-11</v>
      </c>
      <c r="DK99" s="365">
        <f t="shared" si="138"/>
        <v>6E-11</v>
      </c>
      <c r="DL99" s="365">
        <f t="shared" si="139"/>
        <v>7.0000000000000004E-11</v>
      </c>
      <c r="DM99" s="365">
        <f t="shared" si="140"/>
        <v>7.9999999999999995E-11</v>
      </c>
      <c r="DN99" s="364">
        <f t="shared" si="141"/>
        <v>0</v>
      </c>
      <c r="DO99" s="364">
        <f t="shared" si="142"/>
        <v>0</v>
      </c>
      <c r="DP99" s="364">
        <f t="shared" si="143"/>
        <v>0</v>
      </c>
      <c r="DR99" s="364">
        <f t="shared" si="144"/>
        <v>0</v>
      </c>
      <c r="DS99" s="364">
        <f t="shared" si="145"/>
        <v>0</v>
      </c>
      <c r="DT99" s="364">
        <f t="shared" si="146"/>
        <v>0</v>
      </c>
      <c r="DU99" s="364">
        <f t="shared" si="147"/>
        <v>0</v>
      </c>
      <c r="DV99" s="364" t="b">
        <f t="shared" si="148"/>
        <v>0</v>
      </c>
      <c r="DW99" s="364" t="b">
        <f t="shared" si="149"/>
        <v>0</v>
      </c>
      <c r="DX99" s="364" t="b">
        <f t="shared" si="150"/>
        <v>0</v>
      </c>
      <c r="DZ99" s="364" t="b">
        <f t="shared" si="151"/>
        <v>0</v>
      </c>
      <c r="EA99" s="364" t="b">
        <f t="shared" si="152"/>
        <v>0</v>
      </c>
      <c r="EB99" s="364" t="b">
        <f t="shared" si="153"/>
        <v>0</v>
      </c>
      <c r="EC99" s="364" t="b">
        <f t="shared" si="154"/>
        <v>0</v>
      </c>
      <c r="ED99" s="364" t="s">
        <v>394</v>
      </c>
      <c r="EE99" s="364" t="s">
        <v>394</v>
      </c>
      <c r="EF99" s="364" t="s">
        <v>394</v>
      </c>
      <c r="EH99" s="364" t="s">
        <v>394</v>
      </c>
      <c r="EI99" s="364" t="s">
        <v>394</v>
      </c>
      <c r="EJ99" s="364" t="s">
        <v>394</v>
      </c>
      <c r="EK99" s="364" t="s">
        <v>394</v>
      </c>
      <c r="EL99" s="364" t="s">
        <v>394</v>
      </c>
      <c r="EM99" s="364" t="s">
        <v>394</v>
      </c>
      <c r="EN99" s="364" t="s">
        <v>394</v>
      </c>
      <c r="EP99" s="364" t="s">
        <v>394</v>
      </c>
      <c r="EQ99" s="364" t="s">
        <v>394</v>
      </c>
      <c r="ER99" s="364" t="s">
        <v>394</v>
      </c>
      <c r="ES99" s="364" t="s">
        <v>394</v>
      </c>
      <c r="FB99" s="364" t="s">
        <v>394</v>
      </c>
      <c r="FC99" s="364" t="s">
        <v>394</v>
      </c>
      <c r="FD99" s="364" t="s">
        <v>394</v>
      </c>
      <c r="FE99" s="364" t="s">
        <v>394</v>
      </c>
      <c r="FF99" s="364" t="s">
        <v>394</v>
      </c>
      <c r="FG99" s="364" t="s">
        <v>394</v>
      </c>
      <c r="FH99" s="364" t="s">
        <v>394</v>
      </c>
      <c r="FI99" s="364" t="s">
        <v>394</v>
      </c>
      <c r="FJ99" s="364" t="s">
        <v>394</v>
      </c>
      <c r="FK99" s="364" t="s">
        <v>394</v>
      </c>
      <c r="FL99" s="364" t="s">
        <v>394</v>
      </c>
      <c r="FM99" s="364" t="s">
        <v>394</v>
      </c>
      <c r="FN99" s="364" t="s">
        <v>394</v>
      </c>
      <c r="FO99" s="364" t="s">
        <v>394</v>
      </c>
      <c r="FP99" s="364" t="s">
        <v>394</v>
      </c>
      <c r="FQ99" s="364" t="s">
        <v>394</v>
      </c>
    </row>
    <row r="100" spans="1:173" s="364" customFormat="1" ht="15.6">
      <c r="A100" s="335" t="s">
        <v>2718</v>
      </c>
      <c r="B100" s="346" t="s">
        <v>2718</v>
      </c>
      <c r="C100" s="346" t="s">
        <v>225</v>
      </c>
      <c r="D100" s="346" t="s">
        <v>1068</v>
      </c>
      <c r="E100" s="346" t="s">
        <v>2720</v>
      </c>
      <c r="F100" s="424" t="s">
        <v>2940</v>
      </c>
      <c r="G100" s="346" t="s">
        <v>324</v>
      </c>
      <c r="H100" s="346" t="s">
        <v>324</v>
      </c>
      <c r="I100" s="346" t="s">
        <v>324</v>
      </c>
      <c r="J100" s="346" t="s">
        <v>324</v>
      </c>
      <c r="N100" s="346"/>
      <c r="O100" s="346"/>
      <c r="P100" s="486" t="s">
        <v>3023</v>
      </c>
      <c r="Q100" s="486" t="s">
        <v>1108</v>
      </c>
      <c r="R100" s="486" t="s">
        <v>2994</v>
      </c>
      <c r="S100" s="456" t="s">
        <v>2719</v>
      </c>
      <c r="T100" s="346" t="s">
        <v>1046</v>
      </c>
      <c r="U100" s="346">
        <v>33</v>
      </c>
      <c r="V100" s="346" t="str" cm="1">
        <f t="array" ref="V100">IFERROR(INDEX('Offer Statistics'!$AZ$2:$AZ$350,MATCH(1,($B100='Offer Statistics'!$AK$2:$AK$350)*($B$11='Offer Statistics'!$AL$2:$AL$350),0)),"/")</f>
        <v>/</v>
      </c>
      <c r="W100" s="346" t="str" cm="1">
        <f t="array" ref="W100">IFERROR(INDEX('Offer Statistics'!$AM$2:$AM$350,MATCH(1,($B100='Offer Statistics'!$AK$2:$AK$350)*($B$11='Offer Statistics'!$AL$2:$AL$350),0)),"/")</f>
        <v>/</v>
      </c>
      <c r="X100" s="346" t="str" cm="1">
        <f t="array" ref="X100">IFERROR(INDEX('Offer Statistics'!$AU$2:$AU$350,MATCH(1,($B100='Offer Statistics'!$AK$2:$AK$350)*($B$11='Offer Statistics'!$AL$2:$AL$350),0)),"/")</f>
        <v>/</v>
      </c>
      <c r="Y100" s="346" t="str">
        <f t="shared" si="112"/>
        <v>新科目</v>
      </c>
      <c r="Z100" s="346" t="s">
        <v>1046</v>
      </c>
      <c r="AA100" s="346" t="str">
        <f>入學要求!AF109</f>
        <v>/</v>
      </c>
      <c r="AB100" s="346" t="str">
        <f>入學要求!AG109</f>
        <v>/</v>
      </c>
      <c r="AC100" s="346" t="s">
        <v>785</v>
      </c>
      <c r="AF100" s="333" t="s">
        <v>324</v>
      </c>
      <c r="AG100" s="333" t="s">
        <v>324</v>
      </c>
      <c r="AH100" s="431" t="s">
        <v>3023</v>
      </c>
      <c r="AI100" s="431" t="s">
        <v>1108</v>
      </c>
      <c r="AJ100" s="431" t="s">
        <v>2994</v>
      </c>
      <c r="AK100" s="346" t="s">
        <v>324</v>
      </c>
      <c r="AL100" s="346" t="s">
        <v>324</v>
      </c>
      <c r="AM100" s="346" t="s">
        <v>324</v>
      </c>
      <c r="AN100" s="346" t="s">
        <v>324</v>
      </c>
      <c r="AO100" s="346" t="s">
        <v>324</v>
      </c>
      <c r="AP100" s="346" t="s">
        <v>324</v>
      </c>
      <c r="AQ100" s="346" t="s">
        <v>324</v>
      </c>
      <c r="AR100" s="346" t="s">
        <v>324</v>
      </c>
      <c r="AS100" s="346"/>
      <c r="AT100" s="93" t="s">
        <v>716</v>
      </c>
      <c r="AU100" s="93"/>
      <c r="AV100" s="364" t="s">
        <v>713</v>
      </c>
      <c r="AW100" s="364" t="s">
        <v>324</v>
      </c>
      <c r="AX100" s="364" t="s">
        <v>324</v>
      </c>
      <c r="AY100" s="364" t="s">
        <v>324</v>
      </c>
      <c r="BQ100" s="365">
        <f t="shared" si="113"/>
        <v>3.9999999999999998E-11</v>
      </c>
      <c r="BR100" s="365">
        <f t="shared" si="114"/>
        <v>1.9999999999999999E-11</v>
      </c>
      <c r="BS100" s="365">
        <f t="shared" si="115"/>
        <v>3E-11</v>
      </c>
      <c r="BT100" s="365"/>
      <c r="BU100" s="365">
        <f t="shared" si="116"/>
        <v>5.0000000000000002E-11</v>
      </c>
      <c r="BV100" s="365">
        <f t="shared" si="117"/>
        <v>6E-11</v>
      </c>
      <c r="BW100" s="365">
        <f t="shared" si="118"/>
        <v>7.0000000000000004E-11</v>
      </c>
      <c r="BX100" s="365">
        <f t="shared" si="119"/>
        <v>7.9999999999999995E-11</v>
      </c>
      <c r="BY100" s="364">
        <f t="shared" si="120"/>
        <v>0</v>
      </c>
      <c r="BZ100" s="364">
        <f t="shared" si="121"/>
        <v>0</v>
      </c>
      <c r="CA100" s="364">
        <f t="shared" si="122"/>
        <v>0</v>
      </c>
      <c r="CC100" s="364">
        <f t="shared" si="123"/>
        <v>0</v>
      </c>
      <c r="CD100" s="364">
        <f t="shared" si="124"/>
        <v>0</v>
      </c>
      <c r="CE100" s="364">
        <f t="shared" si="125"/>
        <v>0</v>
      </c>
      <c r="CF100" s="364">
        <f t="shared" si="126"/>
        <v>0</v>
      </c>
      <c r="CG100" s="364" t="b">
        <f t="shared" si="127"/>
        <v>0</v>
      </c>
      <c r="CH100" s="364" t="b">
        <f t="shared" si="128"/>
        <v>0</v>
      </c>
      <c r="CI100" s="364" t="b">
        <f t="shared" si="129"/>
        <v>0</v>
      </c>
      <c r="CK100" s="364" t="b">
        <f t="shared" si="130"/>
        <v>0</v>
      </c>
      <c r="CL100" s="364" t="b">
        <f t="shared" si="131"/>
        <v>0</v>
      </c>
      <c r="CM100" s="364" t="b">
        <f t="shared" si="132"/>
        <v>0</v>
      </c>
      <c r="CN100" s="364" t="b">
        <f t="shared" si="133"/>
        <v>0</v>
      </c>
      <c r="DF100" s="365">
        <f t="shared" si="134"/>
        <v>9.9999999999999994E-12</v>
      </c>
      <c r="DG100" s="365">
        <f t="shared" si="135"/>
        <v>1.9999999999999999E-11</v>
      </c>
      <c r="DH100" s="365">
        <f t="shared" si="136"/>
        <v>3E-11</v>
      </c>
      <c r="DI100" s="365"/>
      <c r="DJ100" s="365">
        <f t="shared" si="137"/>
        <v>5.0000000000000002E-11</v>
      </c>
      <c r="DK100" s="365">
        <f t="shared" si="138"/>
        <v>6E-11</v>
      </c>
      <c r="DL100" s="365">
        <f t="shared" si="139"/>
        <v>7.0000000000000004E-11</v>
      </c>
      <c r="DM100" s="365">
        <f t="shared" si="140"/>
        <v>7.9999999999999995E-11</v>
      </c>
      <c r="DN100" s="364">
        <f t="shared" si="141"/>
        <v>0</v>
      </c>
      <c r="DO100" s="364">
        <f t="shared" si="142"/>
        <v>0</v>
      </c>
      <c r="DP100" s="364">
        <f t="shared" si="143"/>
        <v>0</v>
      </c>
      <c r="DR100" s="364">
        <f t="shared" si="144"/>
        <v>0</v>
      </c>
      <c r="DS100" s="364">
        <f t="shared" si="145"/>
        <v>0</v>
      </c>
      <c r="DT100" s="364">
        <f t="shared" si="146"/>
        <v>0</v>
      </c>
      <c r="DU100" s="364">
        <f t="shared" si="147"/>
        <v>0</v>
      </c>
      <c r="DV100" s="364" t="b">
        <f t="shared" si="148"/>
        <v>0</v>
      </c>
      <c r="DW100" s="364" t="b">
        <f t="shared" si="149"/>
        <v>0</v>
      </c>
      <c r="DX100" s="364" t="b">
        <f t="shared" si="150"/>
        <v>0</v>
      </c>
      <c r="DZ100" s="364" t="b">
        <f t="shared" si="151"/>
        <v>0</v>
      </c>
      <c r="EA100" s="364" t="b">
        <f t="shared" si="152"/>
        <v>0</v>
      </c>
      <c r="EB100" s="364" t="b">
        <f t="shared" si="153"/>
        <v>0</v>
      </c>
      <c r="EC100" s="364" t="b">
        <f t="shared" si="154"/>
        <v>0</v>
      </c>
      <c r="ED100" s="364" t="s">
        <v>394</v>
      </c>
      <c r="EE100" s="364" t="s">
        <v>394</v>
      </c>
      <c r="EF100" s="364" t="s">
        <v>394</v>
      </c>
      <c r="EH100" s="364" t="s">
        <v>394</v>
      </c>
      <c r="EI100" s="364" t="s">
        <v>394</v>
      </c>
      <c r="EJ100" s="364" t="s">
        <v>394</v>
      </c>
      <c r="EK100" s="364" t="s">
        <v>394</v>
      </c>
      <c r="EL100" s="364" t="s">
        <v>394</v>
      </c>
      <c r="EM100" s="364" t="s">
        <v>394</v>
      </c>
      <c r="EN100" s="364" t="s">
        <v>394</v>
      </c>
      <c r="EP100" s="364" t="s">
        <v>394</v>
      </c>
      <c r="EQ100" s="364" t="s">
        <v>394</v>
      </c>
      <c r="ER100" s="364" t="s">
        <v>394</v>
      </c>
      <c r="ES100" s="364" t="s">
        <v>394</v>
      </c>
      <c r="FB100" s="364" t="s">
        <v>394</v>
      </c>
      <c r="FC100" s="364" t="s">
        <v>394</v>
      </c>
      <c r="FD100" s="364" t="s">
        <v>394</v>
      </c>
      <c r="FE100" s="364" t="s">
        <v>394</v>
      </c>
      <c r="FF100" s="364" t="s">
        <v>394</v>
      </c>
      <c r="FG100" s="364" t="s">
        <v>394</v>
      </c>
      <c r="FH100" s="364" t="s">
        <v>394</v>
      </c>
      <c r="FI100" s="364" t="s">
        <v>394</v>
      </c>
      <c r="FJ100" s="364" t="s">
        <v>394</v>
      </c>
      <c r="FK100" s="364" t="s">
        <v>394</v>
      </c>
      <c r="FL100" s="364" t="s">
        <v>394</v>
      </c>
      <c r="FM100" s="364" t="s">
        <v>394</v>
      </c>
      <c r="FN100" s="364" t="s">
        <v>394</v>
      </c>
      <c r="FO100" s="364" t="s">
        <v>394</v>
      </c>
      <c r="FP100" s="364" t="s">
        <v>394</v>
      </c>
      <c r="FQ100" s="364" t="s">
        <v>394</v>
      </c>
    </row>
    <row r="101" spans="1:173" s="364" customFormat="1" ht="15.6">
      <c r="A101" s="335" t="s">
        <v>2721</v>
      </c>
      <c r="B101" s="346" t="s">
        <v>2721</v>
      </c>
      <c r="C101" s="346" t="s">
        <v>225</v>
      </c>
      <c r="D101" s="346" t="s">
        <v>1081</v>
      </c>
      <c r="E101" s="346" t="s">
        <v>2723</v>
      </c>
      <c r="F101" s="424" t="s">
        <v>2940</v>
      </c>
      <c r="G101" s="346" t="s">
        <v>324</v>
      </c>
      <c r="H101" s="346" t="s">
        <v>324</v>
      </c>
      <c r="I101" s="346" t="s">
        <v>324</v>
      </c>
      <c r="J101" s="346" t="s">
        <v>324</v>
      </c>
      <c r="N101" s="346"/>
      <c r="O101" s="346"/>
      <c r="P101" s="486" t="s">
        <v>2995</v>
      </c>
      <c r="Q101" s="486" t="s">
        <v>2996</v>
      </c>
      <c r="R101" s="486" t="s">
        <v>2337</v>
      </c>
      <c r="S101" s="456" t="s">
        <v>2722</v>
      </c>
      <c r="T101" s="346" t="s">
        <v>1046</v>
      </c>
      <c r="U101" s="346">
        <v>35</v>
      </c>
      <c r="V101" s="346" t="str" cm="1">
        <f t="array" ref="V101">IFERROR(INDEX('Offer Statistics'!$AZ$2:$AZ$350,MATCH(1,($B101='Offer Statistics'!$AK$2:$AK$350)*($B$11='Offer Statistics'!$AL$2:$AL$350),0)),"/")</f>
        <v>/</v>
      </c>
      <c r="W101" s="346" t="str" cm="1">
        <f t="array" ref="W101">IFERROR(INDEX('Offer Statistics'!$AM$2:$AM$350,MATCH(1,($B101='Offer Statistics'!$AK$2:$AK$350)*($B$11='Offer Statistics'!$AL$2:$AL$350),0)),"/")</f>
        <v>/</v>
      </c>
      <c r="X101" s="346" t="str" cm="1">
        <f t="array" ref="X101">IFERROR(INDEX('Offer Statistics'!$AU$2:$AU$350,MATCH(1,($B101='Offer Statistics'!$AK$2:$AK$350)*($B$11='Offer Statistics'!$AL$2:$AL$350),0)),"/")</f>
        <v>/</v>
      </c>
      <c r="Y101" s="346" t="str">
        <f t="shared" si="112"/>
        <v>新科目</v>
      </c>
      <c r="Z101" s="346" t="s">
        <v>1046</v>
      </c>
      <c r="AA101" s="346" t="str">
        <f>入學要求!AF110</f>
        <v>/</v>
      </c>
      <c r="AB101" s="346" t="str">
        <f>入學要求!AG110</f>
        <v>/</v>
      </c>
      <c r="AC101" s="346" t="s">
        <v>785</v>
      </c>
      <c r="AF101" s="333" t="s">
        <v>324</v>
      </c>
      <c r="AG101" s="333" t="s">
        <v>324</v>
      </c>
      <c r="AH101" s="431" t="s">
        <v>2995</v>
      </c>
      <c r="AI101" s="431" t="s">
        <v>2996</v>
      </c>
      <c r="AJ101" s="431" t="s">
        <v>2337</v>
      </c>
      <c r="AK101" s="346" t="s">
        <v>324</v>
      </c>
      <c r="AL101" s="346" t="s">
        <v>324</v>
      </c>
      <c r="AM101" s="346" t="s">
        <v>324</v>
      </c>
      <c r="AN101" s="346" t="s">
        <v>324</v>
      </c>
      <c r="AO101" s="346" t="s">
        <v>324</v>
      </c>
      <c r="AP101" s="346" t="s">
        <v>324</v>
      </c>
      <c r="AQ101" s="346" t="s">
        <v>324</v>
      </c>
      <c r="AR101" s="346" t="s">
        <v>324</v>
      </c>
      <c r="AS101" s="346"/>
      <c r="AT101" s="93" t="s">
        <v>716</v>
      </c>
      <c r="AU101" s="93"/>
      <c r="AV101" s="364" t="s">
        <v>713</v>
      </c>
      <c r="AW101" s="364" t="s">
        <v>324</v>
      </c>
      <c r="AX101" s="364" t="s">
        <v>324</v>
      </c>
      <c r="AY101" s="364" t="s">
        <v>324</v>
      </c>
      <c r="BQ101" s="365">
        <f t="shared" si="113"/>
        <v>3.9999999999999998E-11</v>
      </c>
      <c r="BR101" s="365">
        <f t="shared" si="114"/>
        <v>1.9999999999999999E-11</v>
      </c>
      <c r="BS101" s="365">
        <f t="shared" si="115"/>
        <v>3E-11</v>
      </c>
      <c r="BT101" s="365"/>
      <c r="BU101" s="365">
        <f t="shared" si="116"/>
        <v>5.0000000000000002E-11</v>
      </c>
      <c r="BV101" s="365">
        <f t="shared" si="117"/>
        <v>6E-11</v>
      </c>
      <c r="BW101" s="365">
        <f t="shared" si="118"/>
        <v>7.0000000000000004E-11</v>
      </c>
      <c r="BX101" s="365">
        <f t="shared" si="119"/>
        <v>7.9999999999999995E-11</v>
      </c>
      <c r="BY101" s="364">
        <f t="shared" si="120"/>
        <v>0</v>
      </c>
      <c r="BZ101" s="364">
        <f t="shared" si="121"/>
        <v>0</v>
      </c>
      <c r="CA101" s="364">
        <f t="shared" si="122"/>
        <v>0</v>
      </c>
      <c r="CC101" s="364">
        <f t="shared" si="123"/>
        <v>0</v>
      </c>
      <c r="CD101" s="364">
        <f t="shared" si="124"/>
        <v>0</v>
      </c>
      <c r="CE101" s="364">
        <f t="shared" si="125"/>
        <v>0</v>
      </c>
      <c r="CF101" s="364">
        <f t="shared" si="126"/>
        <v>0</v>
      </c>
      <c r="CG101" s="364" t="b">
        <f t="shared" si="127"/>
        <v>0</v>
      </c>
      <c r="CH101" s="364" t="b">
        <f t="shared" si="128"/>
        <v>0</v>
      </c>
      <c r="CI101" s="364" t="b">
        <f t="shared" si="129"/>
        <v>0</v>
      </c>
      <c r="CK101" s="364" t="b">
        <f t="shared" si="130"/>
        <v>0</v>
      </c>
      <c r="CL101" s="364" t="b">
        <f t="shared" si="131"/>
        <v>0</v>
      </c>
      <c r="CM101" s="364" t="b">
        <f t="shared" si="132"/>
        <v>0</v>
      </c>
      <c r="CN101" s="364" t="b">
        <f t="shared" si="133"/>
        <v>0</v>
      </c>
      <c r="DF101" s="365">
        <f t="shared" si="134"/>
        <v>9.9999999999999994E-12</v>
      </c>
      <c r="DG101" s="365">
        <f t="shared" si="135"/>
        <v>1.9999999999999999E-11</v>
      </c>
      <c r="DH101" s="365">
        <f t="shared" si="136"/>
        <v>3E-11</v>
      </c>
      <c r="DI101" s="365"/>
      <c r="DJ101" s="365">
        <f t="shared" si="137"/>
        <v>5.0000000000000002E-11</v>
      </c>
      <c r="DK101" s="365">
        <f t="shared" si="138"/>
        <v>6E-11</v>
      </c>
      <c r="DL101" s="365">
        <f t="shared" si="139"/>
        <v>7.0000000000000004E-11</v>
      </c>
      <c r="DM101" s="365">
        <f t="shared" si="140"/>
        <v>7.9999999999999995E-11</v>
      </c>
      <c r="DN101" s="364">
        <f t="shared" si="141"/>
        <v>0</v>
      </c>
      <c r="DO101" s="364">
        <f t="shared" si="142"/>
        <v>0</v>
      </c>
      <c r="DP101" s="364">
        <f t="shared" si="143"/>
        <v>0</v>
      </c>
      <c r="DR101" s="364">
        <f t="shared" si="144"/>
        <v>0</v>
      </c>
      <c r="DS101" s="364">
        <f t="shared" si="145"/>
        <v>0</v>
      </c>
      <c r="DT101" s="364">
        <f t="shared" si="146"/>
        <v>0</v>
      </c>
      <c r="DU101" s="364">
        <f t="shared" si="147"/>
        <v>0</v>
      </c>
      <c r="DV101" s="364" t="b">
        <f t="shared" si="148"/>
        <v>0</v>
      </c>
      <c r="DW101" s="364" t="b">
        <f t="shared" si="149"/>
        <v>0</v>
      </c>
      <c r="DX101" s="364" t="b">
        <f t="shared" si="150"/>
        <v>0</v>
      </c>
      <c r="DZ101" s="364" t="b">
        <f t="shared" si="151"/>
        <v>0</v>
      </c>
      <c r="EA101" s="364" t="b">
        <f t="shared" si="152"/>
        <v>0</v>
      </c>
      <c r="EB101" s="364" t="b">
        <f t="shared" si="153"/>
        <v>0</v>
      </c>
      <c r="EC101" s="364" t="b">
        <f t="shared" si="154"/>
        <v>0</v>
      </c>
      <c r="ED101" s="364" t="s">
        <v>394</v>
      </c>
      <c r="EE101" s="364" t="s">
        <v>394</v>
      </c>
      <c r="EF101" s="364" t="s">
        <v>394</v>
      </c>
      <c r="EH101" s="364" t="s">
        <v>394</v>
      </c>
      <c r="EI101" s="364" t="s">
        <v>394</v>
      </c>
      <c r="EJ101" s="364" t="s">
        <v>394</v>
      </c>
      <c r="EK101" s="364" t="s">
        <v>394</v>
      </c>
      <c r="EL101" s="364" t="s">
        <v>394</v>
      </c>
      <c r="EM101" s="364" t="s">
        <v>394</v>
      </c>
      <c r="EN101" s="364" t="s">
        <v>394</v>
      </c>
      <c r="EP101" s="364" t="s">
        <v>394</v>
      </c>
      <c r="EQ101" s="364" t="s">
        <v>394</v>
      </c>
      <c r="ER101" s="364" t="s">
        <v>394</v>
      </c>
      <c r="ES101" s="364" t="s">
        <v>394</v>
      </c>
      <c r="FB101" s="364" t="s">
        <v>394</v>
      </c>
      <c r="FC101" s="364" t="s">
        <v>394</v>
      </c>
      <c r="FD101" s="364" t="s">
        <v>394</v>
      </c>
      <c r="FE101" s="364" t="s">
        <v>394</v>
      </c>
      <c r="FF101" s="364" t="s">
        <v>394</v>
      </c>
      <c r="FG101" s="364" t="s">
        <v>394</v>
      </c>
      <c r="FH101" s="364" t="s">
        <v>394</v>
      </c>
      <c r="FI101" s="364" t="s">
        <v>394</v>
      </c>
      <c r="FJ101" s="364" t="s">
        <v>394</v>
      </c>
      <c r="FK101" s="364" t="s">
        <v>394</v>
      </c>
      <c r="FL101" s="364" t="s">
        <v>394</v>
      </c>
      <c r="FM101" s="364" t="s">
        <v>394</v>
      </c>
      <c r="FN101" s="364" t="s">
        <v>394</v>
      </c>
      <c r="FO101" s="364" t="s">
        <v>394</v>
      </c>
      <c r="FP101" s="364" t="s">
        <v>394</v>
      </c>
      <c r="FQ101" s="364" t="s">
        <v>394</v>
      </c>
    </row>
    <row r="102" spans="1:173" s="364" customFormat="1" ht="15.6">
      <c r="A102" s="335" t="s">
        <v>2724</v>
      </c>
      <c r="B102" s="346" t="s">
        <v>2724</v>
      </c>
      <c r="C102" s="346" t="s">
        <v>225</v>
      </c>
      <c r="D102" s="346" t="s">
        <v>1081</v>
      </c>
      <c r="E102" s="346" t="s">
        <v>2726</v>
      </c>
      <c r="F102" s="424" t="s">
        <v>2940</v>
      </c>
      <c r="G102" s="346" t="s">
        <v>324</v>
      </c>
      <c r="H102" s="346" t="s">
        <v>324</v>
      </c>
      <c r="I102" s="346" t="s">
        <v>324</v>
      </c>
      <c r="J102" s="346" t="s">
        <v>324</v>
      </c>
      <c r="N102" s="346"/>
      <c r="O102" s="346"/>
      <c r="P102" s="486" t="s">
        <v>2367</v>
      </c>
      <c r="Q102" s="486" t="s">
        <v>2997</v>
      </c>
      <c r="R102" s="486" t="s">
        <v>2337</v>
      </c>
      <c r="S102" s="456" t="s">
        <v>2725</v>
      </c>
      <c r="T102" s="346" t="s">
        <v>1046</v>
      </c>
      <c r="U102" s="346">
        <v>14</v>
      </c>
      <c r="V102" s="346" t="str" cm="1">
        <f t="array" ref="V102">IFERROR(INDEX('Offer Statistics'!$AZ$2:$AZ$350,MATCH(1,($B102='Offer Statistics'!$AK$2:$AK$350)*($B$11='Offer Statistics'!$AL$2:$AL$350),0)),"/")</f>
        <v>/</v>
      </c>
      <c r="W102" s="346" t="str" cm="1">
        <f t="array" ref="W102">IFERROR(INDEX('Offer Statistics'!$AM$2:$AM$350,MATCH(1,($B102='Offer Statistics'!$AK$2:$AK$350)*($B$11='Offer Statistics'!$AL$2:$AL$350),0)),"/")</f>
        <v>/</v>
      </c>
      <c r="X102" s="346" t="str" cm="1">
        <f t="array" ref="X102">IFERROR(INDEX('Offer Statistics'!$AU$2:$AU$350,MATCH(1,($B102='Offer Statistics'!$AK$2:$AK$350)*($B$11='Offer Statistics'!$AL$2:$AL$350),0)),"/")</f>
        <v>/</v>
      </c>
      <c r="Y102" s="346" t="str">
        <f t="shared" si="112"/>
        <v>新科目</v>
      </c>
      <c r="Z102" s="346" t="s">
        <v>1046</v>
      </c>
      <c r="AA102" s="346" t="str">
        <f>入學要求!AF111</f>
        <v>/</v>
      </c>
      <c r="AB102" s="346" t="str">
        <f>入學要求!AG111</f>
        <v>/</v>
      </c>
      <c r="AC102" s="346" t="s">
        <v>785</v>
      </c>
      <c r="AF102" s="333" t="s">
        <v>324</v>
      </c>
      <c r="AG102" s="333" t="s">
        <v>324</v>
      </c>
      <c r="AH102" s="431" t="s">
        <v>2367</v>
      </c>
      <c r="AI102" s="431" t="s">
        <v>2997</v>
      </c>
      <c r="AJ102" s="431" t="s">
        <v>2337</v>
      </c>
      <c r="AK102" s="346" t="s">
        <v>324</v>
      </c>
      <c r="AL102" s="346" t="s">
        <v>324</v>
      </c>
      <c r="AM102" s="346" t="s">
        <v>324</v>
      </c>
      <c r="AN102" s="346" t="s">
        <v>324</v>
      </c>
      <c r="AO102" s="346" t="s">
        <v>324</v>
      </c>
      <c r="AP102" s="346" t="s">
        <v>324</v>
      </c>
      <c r="AQ102" s="346" t="s">
        <v>324</v>
      </c>
      <c r="AR102" s="346" t="s">
        <v>324</v>
      </c>
      <c r="AS102" s="346"/>
      <c r="AT102" s="93" t="s">
        <v>716</v>
      </c>
      <c r="AU102" s="93"/>
      <c r="AV102" s="364" t="s">
        <v>713</v>
      </c>
      <c r="AW102" s="364" t="s">
        <v>324</v>
      </c>
      <c r="AX102" s="364" t="s">
        <v>324</v>
      </c>
      <c r="AY102" s="364" t="s">
        <v>324</v>
      </c>
      <c r="BQ102" s="365">
        <f t="shared" si="113"/>
        <v>3.9999999999999998E-11</v>
      </c>
      <c r="BR102" s="365">
        <f t="shared" si="114"/>
        <v>1.9999999999999999E-11</v>
      </c>
      <c r="BS102" s="365">
        <f t="shared" si="115"/>
        <v>3E-11</v>
      </c>
      <c r="BT102" s="365"/>
      <c r="BU102" s="365">
        <f t="shared" si="116"/>
        <v>5.0000000000000002E-11</v>
      </c>
      <c r="BV102" s="365">
        <f t="shared" si="117"/>
        <v>6E-11</v>
      </c>
      <c r="BW102" s="365">
        <f t="shared" si="118"/>
        <v>7.0000000000000004E-11</v>
      </c>
      <c r="BX102" s="365">
        <f t="shared" si="119"/>
        <v>7.9999999999999995E-11</v>
      </c>
      <c r="BY102" s="364">
        <f t="shared" si="120"/>
        <v>0</v>
      </c>
      <c r="BZ102" s="364">
        <f t="shared" si="121"/>
        <v>0</v>
      </c>
      <c r="CA102" s="364">
        <f t="shared" si="122"/>
        <v>0</v>
      </c>
      <c r="CC102" s="364">
        <f t="shared" si="123"/>
        <v>0</v>
      </c>
      <c r="CD102" s="364">
        <f t="shared" si="124"/>
        <v>0</v>
      </c>
      <c r="CE102" s="364">
        <f t="shared" si="125"/>
        <v>0</v>
      </c>
      <c r="CF102" s="364">
        <f t="shared" si="126"/>
        <v>0</v>
      </c>
      <c r="CG102" s="364" t="b">
        <f t="shared" si="127"/>
        <v>0</v>
      </c>
      <c r="CH102" s="364" t="b">
        <f t="shared" si="128"/>
        <v>0</v>
      </c>
      <c r="CI102" s="364" t="b">
        <f t="shared" si="129"/>
        <v>0</v>
      </c>
      <c r="CK102" s="364" t="b">
        <f t="shared" si="130"/>
        <v>0</v>
      </c>
      <c r="CL102" s="364" t="b">
        <f t="shared" si="131"/>
        <v>0</v>
      </c>
      <c r="CM102" s="364" t="b">
        <f t="shared" si="132"/>
        <v>0</v>
      </c>
      <c r="CN102" s="364" t="b">
        <f t="shared" si="133"/>
        <v>0</v>
      </c>
      <c r="DF102" s="365">
        <f t="shared" si="134"/>
        <v>9.9999999999999994E-12</v>
      </c>
      <c r="DG102" s="365">
        <f t="shared" si="135"/>
        <v>1.9999999999999999E-11</v>
      </c>
      <c r="DH102" s="365">
        <f t="shared" si="136"/>
        <v>3E-11</v>
      </c>
      <c r="DI102" s="365"/>
      <c r="DJ102" s="365">
        <f t="shared" si="137"/>
        <v>5.0000000000000002E-11</v>
      </c>
      <c r="DK102" s="365">
        <f t="shared" si="138"/>
        <v>6E-11</v>
      </c>
      <c r="DL102" s="365">
        <f t="shared" si="139"/>
        <v>7.0000000000000004E-11</v>
      </c>
      <c r="DM102" s="365">
        <f t="shared" si="140"/>
        <v>7.9999999999999995E-11</v>
      </c>
      <c r="DN102" s="364">
        <f t="shared" si="141"/>
        <v>0</v>
      </c>
      <c r="DO102" s="364">
        <f t="shared" si="142"/>
        <v>0</v>
      </c>
      <c r="DP102" s="364">
        <f t="shared" si="143"/>
        <v>0</v>
      </c>
      <c r="DR102" s="364">
        <f t="shared" si="144"/>
        <v>0</v>
      </c>
      <c r="DS102" s="364">
        <f t="shared" si="145"/>
        <v>0</v>
      </c>
      <c r="DT102" s="364">
        <f t="shared" si="146"/>
        <v>0</v>
      </c>
      <c r="DU102" s="364">
        <f t="shared" si="147"/>
        <v>0</v>
      </c>
      <c r="DV102" s="364" t="b">
        <f t="shared" si="148"/>
        <v>0</v>
      </c>
      <c r="DW102" s="364" t="b">
        <f t="shared" si="149"/>
        <v>0</v>
      </c>
      <c r="DX102" s="364" t="b">
        <f t="shared" si="150"/>
        <v>0</v>
      </c>
      <c r="DZ102" s="364" t="b">
        <f t="shared" si="151"/>
        <v>0</v>
      </c>
      <c r="EA102" s="364" t="b">
        <f t="shared" si="152"/>
        <v>0</v>
      </c>
      <c r="EB102" s="364" t="b">
        <f t="shared" si="153"/>
        <v>0</v>
      </c>
      <c r="EC102" s="364" t="b">
        <f t="shared" si="154"/>
        <v>0</v>
      </c>
      <c r="ED102" s="364" t="s">
        <v>394</v>
      </c>
      <c r="EE102" s="364" t="s">
        <v>394</v>
      </c>
      <c r="EF102" s="364" t="s">
        <v>394</v>
      </c>
      <c r="EH102" s="364" t="s">
        <v>394</v>
      </c>
      <c r="EI102" s="364" t="s">
        <v>394</v>
      </c>
      <c r="EJ102" s="364" t="s">
        <v>394</v>
      </c>
      <c r="EK102" s="364" t="s">
        <v>394</v>
      </c>
      <c r="EL102" s="364" t="s">
        <v>394</v>
      </c>
      <c r="EM102" s="364" t="s">
        <v>394</v>
      </c>
      <c r="EN102" s="364" t="s">
        <v>394</v>
      </c>
      <c r="EP102" s="364" t="s">
        <v>394</v>
      </c>
      <c r="EQ102" s="364" t="s">
        <v>394</v>
      </c>
      <c r="ER102" s="364" t="s">
        <v>394</v>
      </c>
      <c r="ES102" s="364" t="s">
        <v>394</v>
      </c>
      <c r="FB102" s="364" t="s">
        <v>394</v>
      </c>
      <c r="FC102" s="364" t="s">
        <v>394</v>
      </c>
      <c r="FD102" s="364" t="s">
        <v>394</v>
      </c>
      <c r="FE102" s="364" t="s">
        <v>394</v>
      </c>
      <c r="FF102" s="364" t="s">
        <v>394</v>
      </c>
      <c r="FG102" s="364" t="s">
        <v>394</v>
      </c>
      <c r="FH102" s="364" t="s">
        <v>394</v>
      </c>
      <c r="FI102" s="364" t="s">
        <v>394</v>
      </c>
      <c r="FJ102" s="364" t="s">
        <v>394</v>
      </c>
      <c r="FK102" s="364" t="s">
        <v>394</v>
      </c>
      <c r="FL102" s="364" t="s">
        <v>394</v>
      </c>
      <c r="FM102" s="364" t="s">
        <v>394</v>
      </c>
      <c r="FN102" s="364" t="s">
        <v>394</v>
      </c>
      <c r="FO102" s="364" t="s">
        <v>394</v>
      </c>
      <c r="FP102" s="364" t="s">
        <v>394</v>
      </c>
      <c r="FQ102" s="364" t="s">
        <v>394</v>
      </c>
    </row>
    <row r="103" spans="1:173" s="364" customFormat="1" ht="15.6">
      <c r="A103" s="335" t="s">
        <v>2727</v>
      </c>
      <c r="B103" s="346" t="s">
        <v>2727</v>
      </c>
      <c r="C103" s="346" t="s">
        <v>225</v>
      </c>
      <c r="D103" s="346" t="s">
        <v>1111</v>
      </c>
      <c r="E103" s="346" t="s">
        <v>2729</v>
      </c>
      <c r="F103" s="424" t="s">
        <v>2940</v>
      </c>
      <c r="G103" s="346" t="s">
        <v>324</v>
      </c>
      <c r="H103" s="346" t="s">
        <v>324</v>
      </c>
      <c r="I103" s="346" t="s">
        <v>324</v>
      </c>
      <c r="J103" s="346" t="s">
        <v>324</v>
      </c>
      <c r="N103" s="346"/>
      <c r="O103" s="346"/>
      <c r="P103" s="486" t="s">
        <v>2339</v>
      </c>
      <c r="Q103" s="486" t="s">
        <v>1108</v>
      </c>
      <c r="R103" s="486" t="s">
        <v>2998</v>
      </c>
      <c r="S103" s="456" t="s">
        <v>2728</v>
      </c>
      <c r="T103" s="346" t="s">
        <v>1046</v>
      </c>
      <c r="U103" s="346">
        <v>13</v>
      </c>
      <c r="V103" s="346" t="str" cm="1">
        <f t="array" ref="V103">IFERROR(INDEX('Offer Statistics'!$AZ$2:$AZ$350,MATCH(1,($B103='Offer Statistics'!$AK$2:$AK$350)*($B$11='Offer Statistics'!$AL$2:$AL$350),0)),"/")</f>
        <v>/</v>
      </c>
      <c r="W103" s="346" t="str" cm="1">
        <f t="array" ref="W103">IFERROR(INDEX('Offer Statistics'!$AM$2:$AM$350,MATCH(1,($B103='Offer Statistics'!$AK$2:$AK$350)*($B$11='Offer Statistics'!$AL$2:$AL$350),0)),"/")</f>
        <v>/</v>
      </c>
      <c r="X103" s="346" t="str" cm="1">
        <f t="array" ref="X103">IFERROR(INDEX('Offer Statistics'!$AU$2:$AU$350,MATCH(1,($B103='Offer Statistics'!$AK$2:$AK$350)*($B$11='Offer Statistics'!$AL$2:$AL$350),0)),"/")</f>
        <v>/</v>
      </c>
      <c r="Y103" s="346" t="str">
        <f t="shared" si="112"/>
        <v>新科目</v>
      </c>
      <c r="Z103" s="346" t="s">
        <v>1046</v>
      </c>
      <c r="AA103" s="346" t="str">
        <f>入學要求!AF112</f>
        <v>/</v>
      </c>
      <c r="AB103" s="346" t="str">
        <f>入學要求!AG112</f>
        <v>/</v>
      </c>
      <c r="AC103" s="346" t="s">
        <v>785</v>
      </c>
      <c r="AF103" s="333" t="s">
        <v>324</v>
      </c>
      <c r="AG103" s="333" t="s">
        <v>324</v>
      </c>
      <c r="AH103" s="431" t="s">
        <v>2339</v>
      </c>
      <c r="AI103" s="431" t="s">
        <v>1108</v>
      </c>
      <c r="AJ103" s="431" t="s">
        <v>2998</v>
      </c>
      <c r="AK103" s="346" t="s">
        <v>324</v>
      </c>
      <c r="AL103" s="346" t="s">
        <v>324</v>
      </c>
      <c r="AM103" s="346" t="s">
        <v>324</v>
      </c>
      <c r="AN103" s="346" t="s">
        <v>324</v>
      </c>
      <c r="AO103" s="346" t="s">
        <v>324</v>
      </c>
      <c r="AP103" s="346" t="s">
        <v>324</v>
      </c>
      <c r="AQ103" s="346" t="s">
        <v>324</v>
      </c>
      <c r="AR103" s="346" t="s">
        <v>324</v>
      </c>
      <c r="AS103" s="346"/>
      <c r="AT103" s="93" t="s">
        <v>716</v>
      </c>
      <c r="AU103" s="93"/>
      <c r="AV103" s="364" t="s">
        <v>713</v>
      </c>
      <c r="AW103" s="364" t="s">
        <v>324</v>
      </c>
      <c r="AX103" s="364" t="s">
        <v>324</v>
      </c>
      <c r="AY103" s="364" t="s">
        <v>324</v>
      </c>
      <c r="BQ103" s="365">
        <f t="shared" si="113"/>
        <v>3.9999999999999998E-11</v>
      </c>
      <c r="BR103" s="365">
        <f t="shared" si="114"/>
        <v>1.9999999999999999E-11</v>
      </c>
      <c r="BS103" s="365">
        <f t="shared" si="115"/>
        <v>3E-11</v>
      </c>
      <c r="BT103" s="365"/>
      <c r="BU103" s="365">
        <f t="shared" si="116"/>
        <v>5.0000000000000002E-11</v>
      </c>
      <c r="BV103" s="365">
        <f t="shared" si="117"/>
        <v>6E-11</v>
      </c>
      <c r="BW103" s="365">
        <f t="shared" si="118"/>
        <v>7.0000000000000004E-11</v>
      </c>
      <c r="BX103" s="365">
        <f t="shared" si="119"/>
        <v>7.9999999999999995E-11</v>
      </c>
      <c r="BY103" s="364">
        <f t="shared" si="120"/>
        <v>0</v>
      </c>
      <c r="BZ103" s="364">
        <f t="shared" si="121"/>
        <v>0</v>
      </c>
      <c r="CA103" s="364">
        <f t="shared" si="122"/>
        <v>0</v>
      </c>
      <c r="CC103" s="364">
        <f t="shared" si="123"/>
        <v>0</v>
      </c>
      <c r="CD103" s="364">
        <f t="shared" si="124"/>
        <v>0</v>
      </c>
      <c r="CE103" s="364">
        <f t="shared" si="125"/>
        <v>0</v>
      </c>
      <c r="CF103" s="364">
        <f t="shared" si="126"/>
        <v>0</v>
      </c>
      <c r="CG103" s="364" t="b">
        <f t="shared" si="127"/>
        <v>0</v>
      </c>
      <c r="CH103" s="364" t="b">
        <f t="shared" si="128"/>
        <v>0</v>
      </c>
      <c r="CI103" s="364" t="b">
        <f t="shared" si="129"/>
        <v>0</v>
      </c>
      <c r="CK103" s="364" t="b">
        <f t="shared" si="130"/>
        <v>0</v>
      </c>
      <c r="CL103" s="364" t="b">
        <f t="shared" si="131"/>
        <v>0</v>
      </c>
      <c r="CM103" s="364" t="b">
        <f t="shared" si="132"/>
        <v>0</v>
      </c>
      <c r="CN103" s="364" t="b">
        <f t="shared" si="133"/>
        <v>0</v>
      </c>
      <c r="DF103" s="365">
        <f t="shared" si="134"/>
        <v>9.9999999999999994E-12</v>
      </c>
      <c r="DG103" s="365">
        <f t="shared" si="135"/>
        <v>1.9999999999999999E-11</v>
      </c>
      <c r="DH103" s="365">
        <f t="shared" si="136"/>
        <v>3E-11</v>
      </c>
      <c r="DI103" s="365"/>
      <c r="DJ103" s="365">
        <f t="shared" si="137"/>
        <v>5.0000000000000002E-11</v>
      </c>
      <c r="DK103" s="365">
        <f t="shared" si="138"/>
        <v>6E-11</v>
      </c>
      <c r="DL103" s="365">
        <f t="shared" si="139"/>
        <v>7.0000000000000004E-11</v>
      </c>
      <c r="DM103" s="365">
        <f t="shared" si="140"/>
        <v>7.9999999999999995E-11</v>
      </c>
      <c r="DN103" s="364">
        <f t="shared" si="141"/>
        <v>0</v>
      </c>
      <c r="DO103" s="364">
        <f t="shared" si="142"/>
        <v>0</v>
      </c>
      <c r="DP103" s="364">
        <f t="shared" si="143"/>
        <v>0</v>
      </c>
      <c r="DR103" s="364">
        <f t="shared" si="144"/>
        <v>0</v>
      </c>
      <c r="DS103" s="364">
        <f t="shared" si="145"/>
        <v>0</v>
      </c>
      <c r="DT103" s="364">
        <f t="shared" si="146"/>
        <v>0</v>
      </c>
      <c r="DU103" s="364">
        <f t="shared" si="147"/>
        <v>0</v>
      </c>
      <c r="DV103" s="364" t="b">
        <f t="shared" si="148"/>
        <v>0</v>
      </c>
      <c r="DW103" s="364" t="b">
        <f t="shared" si="149"/>
        <v>0</v>
      </c>
      <c r="DX103" s="364" t="b">
        <f t="shared" si="150"/>
        <v>0</v>
      </c>
      <c r="DZ103" s="364" t="b">
        <f t="shared" si="151"/>
        <v>0</v>
      </c>
      <c r="EA103" s="364" t="b">
        <f t="shared" si="152"/>
        <v>0</v>
      </c>
      <c r="EB103" s="364" t="b">
        <f t="shared" si="153"/>
        <v>0</v>
      </c>
      <c r="EC103" s="364" t="b">
        <f t="shared" si="154"/>
        <v>0</v>
      </c>
      <c r="ED103" s="364" t="s">
        <v>394</v>
      </c>
      <c r="EE103" s="364" t="s">
        <v>394</v>
      </c>
      <c r="EF103" s="364" t="s">
        <v>394</v>
      </c>
      <c r="EH103" s="364" t="s">
        <v>394</v>
      </c>
      <c r="EI103" s="364" t="s">
        <v>394</v>
      </c>
      <c r="EJ103" s="364" t="s">
        <v>394</v>
      </c>
      <c r="EK103" s="364" t="s">
        <v>394</v>
      </c>
      <c r="EL103" s="364" t="s">
        <v>394</v>
      </c>
      <c r="EM103" s="364" t="s">
        <v>394</v>
      </c>
      <c r="EN103" s="364" t="s">
        <v>394</v>
      </c>
      <c r="EP103" s="364" t="s">
        <v>394</v>
      </c>
      <c r="EQ103" s="364" t="s">
        <v>394</v>
      </c>
      <c r="ER103" s="364" t="s">
        <v>394</v>
      </c>
      <c r="ES103" s="364" t="s">
        <v>394</v>
      </c>
      <c r="FB103" s="364" t="s">
        <v>394</v>
      </c>
      <c r="FC103" s="364" t="s">
        <v>394</v>
      </c>
      <c r="FD103" s="364" t="s">
        <v>394</v>
      </c>
      <c r="FE103" s="364" t="s">
        <v>394</v>
      </c>
      <c r="FF103" s="364" t="s">
        <v>394</v>
      </c>
      <c r="FG103" s="364" t="s">
        <v>394</v>
      </c>
      <c r="FH103" s="364" t="s">
        <v>394</v>
      </c>
      <c r="FI103" s="364" t="s">
        <v>394</v>
      </c>
      <c r="FJ103" s="364" t="s">
        <v>394</v>
      </c>
      <c r="FK103" s="364" t="s">
        <v>394</v>
      </c>
      <c r="FL103" s="364" t="s">
        <v>394</v>
      </c>
      <c r="FM103" s="364" t="s">
        <v>394</v>
      </c>
      <c r="FN103" s="364" t="s">
        <v>394</v>
      </c>
      <c r="FO103" s="364" t="s">
        <v>394</v>
      </c>
      <c r="FP103" s="364" t="s">
        <v>394</v>
      </c>
      <c r="FQ103" s="364" t="s">
        <v>394</v>
      </c>
    </row>
    <row r="104" spans="1:173" s="364" customFormat="1" ht="15.6">
      <c r="A104" s="335" t="s">
        <v>2730</v>
      </c>
      <c r="B104" s="346" t="s">
        <v>2730</v>
      </c>
      <c r="C104" s="346" t="s">
        <v>225</v>
      </c>
      <c r="D104" s="346" t="s">
        <v>865</v>
      </c>
      <c r="E104" s="346" t="s">
        <v>2731</v>
      </c>
      <c r="F104" s="424" t="s">
        <v>2940</v>
      </c>
      <c r="G104" s="346" t="s">
        <v>324</v>
      </c>
      <c r="H104" s="346" t="s">
        <v>324</v>
      </c>
      <c r="I104" s="346" t="s">
        <v>324</v>
      </c>
      <c r="J104" s="346" t="s">
        <v>324</v>
      </c>
      <c r="N104" s="346"/>
      <c r="O104" s="346"/>
      <c r="P104" s="486" t="s">
        <v>3000</v>
      </c>
      <c r="Q104" s="486" t="s">
        <v>2999</v>
      </c>
      <c r="R104" s="486" t="s">
        <v>2337</v>
      </c>
      <c r="S104" s="456" t="s">
        <v>1317</v>
      </c>
      <c r="T104" s="346" t="s">
        <v>1046</v>
      </c>
      <c r="U104" s="346">
        <v>15</v>
      </c>
      <c r="V104" s="346" t="str" cm="1">
        <f t="array" ref="V104">IFERROR(INDEX('Offer Statistics'!$AZ$2:$AZ$350,MATCH(1,($B104='Offer Statistics'!$AK$2:$AK$350)*($B$11='Offer Statistics'!$AL$2:$AL$350),0)),"/")</f>
        <v>/</v>
      </c>
      <c r="W104" s="346" t="str" cm="1">
        <f t="array" ref="W104">IFERROR(INDEX('Offer Statistics'!$AM$2:$AM$350,MATCH(1,($B104='Offer Statistics'!$AK$2:$AK$350)*($B$11='Offer Statistics'!$AL$2:$AL$350),0)),"/")</f>
        <v>/</v>
      </c>
      <c r="X104" s="346" t="str" cm="1">
        <f t="array" ref="X104">IFERROR(INDEX('Offer Statistics'!$AU$2:$AU$350,MATCH(1,($B104='Offer Statistics'!$AK$2:$AK$350)*($B$11='Offer Statistics'!$AL$2:$AL$350),0)),"/")</f>
        <v>/</v>
      </c>
      <c r="Y104" s="346" t="str">
        <f t="shared" si="112"/>
        <v>新科目</v>
      </c>
      <c r="Z104" s="346" t="s">
        <v>1046</v>
      </c>
      <c r="AA104" s="346" t="str">
        <f>入學要求!AF113</f>
        <v>/</v>
      </c>
      <c r="AB104" s="346" t="str">
        <f>入學要求!AG113</f>
        <v>/</v>
      </c>
      <c r="AC104" s="346" t="s">
        <v>785</v>
      </c>
      <c r="AF104" s="333" t="s">
        <v>324</v>
      </c>
      <c r="AG104" s="333" t="s">
        <v>324</v>
      </c>
      <c r="AH104" s="431" t="s">
        <v>3000</v>
      </c>
      <c r="AI104" s="431" t="s">
        <v>2999</v>
      </c>
      <c r="AJ104" s="431" t="s">
        <v>2337</v>
      </c>
      <c r="AK104" s="346" t="s">
        <v>324</v>
      </c>
      <c r="AL104" s="346" t="s">
        <v>324</v>
      </c>
      <c r="AM104" s="346" t="s">
        <v>324</v>
      </c>
      <c r="AN104" s="346" t="s">
        <v>324</v>
      </c>
      <c r="AO104" s="346" t="s">
        <v>324</v>
      </c>
      <c r="AP104" s="346" t="s">
        <v>324</v>
      </c>
      <c r="AQ104" s="346" t="s">
        <v>324</v>
      </c>
      <c r="AR104" s="346" t="s">
        <v>324</v>
      </c>
      <c r="AS104" s="346"/>
      <c r="AT104" s="93" t="s">
        <v>716</v>
      </c>
      <c r="AU104" s="93"/>
      <c r="AV104" s="364" t="s">
        <v>713</v>
      </c>
      <c r="AW104" s="364" t="s">
        <v>324</v>
      </c>
      <c r="AX104" s="364" t="s">
        <v>324</v>
      </c>
      <c r="AY104" s="364" t="s">
        <v>324</v>
      </c>
      <c r="BQ104" s="365">
        <f t="shared" si="113"/>
        <v>3.9999999999999998E-11</v>
      </c>
      <c r="BR104" s="365">
        <f t="shared" si="114"/>
        <v>1.9999999999999999E-11</v>
      </c>
      <c r="BS104" s="365">
        <f t="shared" si="115"/>
        <v>3E-11</v>
      </c>
      <c r="BT104" s="365"/>
      <c r="BU104" s="365">
        <f t="shared" si="116"/>
        <v>5.0000000000000002E-11</v>
      </c>
      <c r="BV104" s="365">
        <f t="shared" si="117"/>
        <v>6E-11</v>
      </c>
      <c r="BW104" s="365">
        <f t="shared" si="118"/>
        <v>7.0000000000000004E-11</v>
      </c>
      <c r="BX104" s="365">
        <f t="shared" si="119"/>
        <v>7.9999999999999995E-11</v>
      </c>
      <c r="BY104" s="364">
        <f t="shared" si="120"/>
        <v>0</v>
      </c>
      <c r="BZ104" s="364">
        <f t="shared" si="121"/>
        <v>0</v>
      </c>
      <c r="CA104" s="364">
        <f t="shared" si="122"/>
        <v>0</v>
      </c>
      <c r="CC104" s="364">
        <f t="shared" si="123"/>
        <v>0</v>
      </c>
      <c r="CD104" s="364">
        <f t="shared" si="124"/>
        <v>0</v>
      </c>
      <c r="CE104" s="364">
        <f t="shared" si="125"/>
        <v>0</v>
      </c>
      <c r="CF104" s="364">
        <f t="shared" si="126"/>
        <v>0</v>
      </c>
      <c r="CG104" s="364" t="b">
        <f t="shared" si="127"/>
        <v>0</v>
      </c>
      <c r="CH104" s="364" t="b">
        <f t="shared" si="128"/>
        <v>0</v>
      </c>
      <c r="CI104" s="364" t="b">
        <f t="shared" si="129"/>
        <v>0</v>
      </c>
      <c r="CK104" s="364" t="b">
        <f t="shared" si="130"/>
        <v>0</v>
      </c>
      <c r="CL104" s="364" t="b">
        <f t="shared" si="131"/>
        <v>0</v>
      </c>
      <c r="CM104" s="364" t="b">
        <f t="shared" si="132"/>
        <v>0</v>
      </c>
      <c r="CN104" s="364" t="b">
        <f t="shared" si="133"/>
        <v>0</v>
      </c>
      <c r="DF104" s="365">
        <f t="shared" si="134"/>
        <v>9.9999999999999994E-12</v>
      </c>
      <c r="DG104" s="365">
        <f t="shared" si="135"/>
        <v>1.9999999999999999E-11</v>
      </c>
      <c r="DH104" s="365">
        <f t="shared" si="136"/>
        <v>3E-11</v>
      </c>
      <c r="DI104" s="365"/>
      <c r="DJ104" s="365">
        <f t="shared" si="137"/>
        <v>5.0000000000000002E-11</v>
      </c>
      <c r="DK104" s="365">
        <f t="shared" si="138"/>
        <v>6E-11</v>
      </c>
      <c r="DL104" s="365">
        <f t="shared" si="139"/>
        <v>7.0000000000000004E-11</v>
      </c>
      <c r="DM104" s="365">
        <f t="shared" si="140"/>
        <v>7.9999999999999995E-11</v>
      </c>
      <c r="DN104" s="364">
        <f t="shared" si="141"/>
        <v>0</v>
      </c>
      <c r="DO104" s="364">
        <f t="shared" si="142"/>
        <v>0</v>
      </c>
      <c r="DP104" s="364">
        <f t="shared" si="143"/>
        <v>0</v>
      </c>
      <c r="DR104" s="364">
        <f t="shared" si="144"/>
        <v>0</v>
      </c>
      <c r="DS104" s="364">
        <f t="shared" si="145"/>
        <v>0</v>
      </c>
      <c r="DT104" s="364">
        <f t="shared" si="146"/>
        <v>0</v>
      </c>
      <c r="DU104" s="364">
        <f t="shared" si="147"/>
        <v>0</v>
      </c>
      <c r="DV104" s="364" t="b">
        <f t="shared" si="148"/>
        <v>0</v>
      </c>
      <c r="DW104" s="364" t="b">
        <f t="shared" si="149"/>
        <v>0</v>
      </c>
      <c r="DX104" s="364" t="b">
        <f t="shared" si="150"/>
        <v>0</v>
      </c>
      <c r="DZ104" s="364" t="b">
        <f t="shared" si="151"/>
        <v>0</v>
      </c>
      <c r="EA104" s="364" t="b">
        <f t="shared" si="152"/>
        <v>0</v>
      </c>
      <c r="EB104" s="364" t="b">
        <f t="shared" si="153"/>
        <v>0</v>
      </c>
      <c r="EC104" s="364" t="b">
        <f t="shared" si="154"/>
        <v>0</v>
      </c>
      <c r="ED104" s="364" t="s">
        <v>394</v>
      </c>
      <c r="EE104" s="364" t="s">
        <v>394</v>
      </c>
      <c r="EF104" s="364" t="s">
        <v>394</v>
      </c>
      <c r="EH104" s="364" t="s">
        <v>394</v>
      </c>
      <c r="EI104" s="364" t="s">
        <v>394</v>
      </c>
      <c r="EJ104" s="364" t="s">
        <v>394</v>
      </c>
      <c r="EK104" s="364" t="s">
        <v>394</v>
      </c>
      <c r="EL104" s="364" t="s">
        <v>394</v>
      </c>
      <c r="EM104" s="364" t="s">
        <v>394</v>
      </c>
      <c r="EN104" s="364" t="s">
        <v>394</v>
      </c>
      <c r="EP104" s="364" t="s">
        <v>394</v>
      </c>
      <c r="EQ104" s="364" t="s">
        <v>394</v>
      </c>
      <c r="ER104" s="364" t="s">
        <v>394</v>
      </c>
      <c r="ES104" s="364" t="s">
        <v>394</v>
      </c>
      <c r="FB104" s="364" t="s">
        <v>394</v>
      </c>
      <c r="FC104" s="364" t="s">
        <v>394</v>
      </c>
      <c r="FD104" s="364" t="s">
        <v>394</v>
      </c>
      <c r="FE104" s="364" t="s">
        <v>394</v>
      </c>
      <c r="FF104" s="364" t="s">
        <v>394</v>
      </c>
      <c r="FG104" s="364" t="s">
        <v>394</v>
      </c>
      <c r="FH104" s="364" t="s">
        <v>394</v>
      </c>
      <c r="FI104" s="364" t="s">
        <v>394</v>
      </c>
      <c r="FJ104" s="364" t="s">
        <v>394</v>
      </c>
      <c r="FK104" s="364" t="s">
        <v>394</v>
      </c>
      <c r="FL104" s="364" t="s">
        <v>394</v>
      </c>
      <c r="FM104" s="364" t="s">
        <v>394</v>
      </c>
      <c r="FN104" s="364" t="s">
        <v>394</v>
      </c>
      <c r="FO104" s="364" t="s">
        <v>394</v>
      </c>
      <c r="FP104" s="364" t="s">
        <v>394</v>
      </c>
      <c r="FQ104" s="364" t="s">
        <v>394</v>
      </c>
    </row>
    <row r="105" spans="1:173" s="364" customFormat="1">
      <c r="A105" s="335" t="s">
        <v>2112</v>
      </c>
      <c r="B105" s="346" t="s">
        <v>2112</v>
      </c>
      <c r="C105" s="346" t="s">
        <v>225</v>
      </c>
      <c r="D105" s="346" t="s">
        <v>865</v>
      </c>
      <c r="E105" s="346" t="s">
        <v>2321</v>
      </c>
      <c r="F105" s="424" t="s">
        <v>785</v>
      </c>
      <c r="G105" s="346">
        <v>200.6</v>
      </c>
      <c r="H105" s="346" t="s">
        <v>324</v>
      </c>
      <c r="I105" s="346">
        <v>196</v>
      </c>
      <c r="J105" s="346">
        <v>190</v>
      </c>
      <c r="N105" s="346"/>
      <c r="O105" s="346"/>
      <c r="P105" s="424" t="s">
        <v>3002</v>
      </c>
      <c r="Q105" s="346" t="s">
        <v>2323</v>
      </c>
      <c r="R105" s="346" t="s">
        <v>2337</v>
      </c>
      <c r="S105" s="346" t="s">
        <v>2281</v>
      </c>
      <c r="T105" s="346" t="s">
        <v>1046</v>
      </c>
      <c r="U105" s="346">
        <v>55</v>
      </c>
      <c r="V105" s="346" cm="1">
        <f t="array" ref="V105">IFERROR(INDEX('Offer Statistics'!$AZ$2:$AZ$350,MATCH(1,($B105='Offer Statistics'!$AK$2:$AK$350)*($B$11='Offer Statistics'!$AL$2:$AL$350),0)),"/")</f>
        <v>53</v>
      </c>
      <c r="W105" s="346" cm="1">
        <f t="array" ref="W105">IFERROR(INDEX('Offer Statistics'!$AM$2:$AM$350,MATCH(1,($B105='Offer Statistics'!$AK$2:$AK$350)*($B$11='Offer Statistics'!$AL$2:$AL$350),0)),"/")</f>
        <v>252</v>
      </c>
      <c r="X105" s="346" cm="1">
        <f t="array" ref="X105">IFERROR(INDEX('Offer Statistics'!$AU$2:$AU$350,MATCH(1,($B105='Offer Statistics'!$AK$2:$AK$350)*($B$11='Offer Statistics'!$AL$2:$AL$350),0)),"/")</f>
        <v>43</v>
      </c>
      <c r="Y105" s="346">
        <f t="shared" si="112"/>
        <v>5.8604651162790695</v>
      </c>
      <c r="Z105" s="346" t="s">
        <v>1046</v>
      </c>
      <c r="AA105" s="346" t="str">
        <f>入學要求!AF114</f>
        <v>/</v>
      </c>
      <c r="AB105" s="346" t="str">
        <f>入學要求!AG114</f>
        <v>/</v>
      </c>
      <c r="AC105" s="346" t="s">
        <v>785</v>
      </c>
      <c r="AF105" s="333" t="s">
        <v>324</v>
      </c>
      <c r="AG105" s="333" t="s">
        <v>324</v>
      </c>
      <c r="AH105" s="426" t="s">
        <v>3002</v>
      </c>
      <c r="AI105" s="426" t="s">
        <v>2323</v>
      </c>
      <c r="AJ105" s="426" t="s">
        <v>2337</v>
      </c>
      <c r="AK105" s="346" t="s">
        <v>324</v>
      </c>
      <c r="AL105" s="346" t="s">
        <v>324</v>
      </c>
      <c r="AM105" s="346" t="s">
        <v>324</v>
      </c>
      <c r="AN105" s="346" t="s">
        <v>324</v>
      </c>
      <c r="AO105" s="346" t="s">
        <v>324</v>
      </c>
      <c r="AP105" s="346" t="s">
        <v>324</v>
      </c>
      <c r="AQ105" s="346" t="s">
        <v>324</v>
      </c>
      <c r="AR105" s="346" t="s">
        <v>324</v>
      </c>
      <c r="AS105" s="346"/>
      <c r="AT105" s="93" t="s">
        <v>716</v>
      </c>
      <c r="AU105" s="93"/>
      <c r="AV105" s="364" t="s">
        <v>713</v>
      </c>
      <c r="AW105" s="364" t="s">
        <v>324</v>
      </c>
      <c r="AX105" s="364" t="s">
        <v>324</v>
      </c>
      <c r="AY105" s="364" t="s">
        <v>324</v>
      </c>
      <c r="BQ105" s="365">
        <f>IFERROR(BI105+0.00000000004,0)</f>
        <v>3.9999999999999998E-11</v>
      </c>
      <c r="BR105" s="365">
        <f>IFERROR(BJ105+0.00000000002,0)</f>
        <v>1.9999999999999999E-11</v>
      </c>
      <c r="BS105" s="365">
        <f>IFERROR(BK105+0.00000000003,0)</f>
        <v>3E-11</v>
      </c>
      <c r="BT105" s="365"/>
      <c r="BU105" s="365">
        <f>IFERROR(BM105+0.00000000005,0)</f>
        <v>5.0000000000000002E-11</v>
      </c>
      <c r="BV105" s="365">
        <f>IFERROR(BN105+0.00000000006,0)</f>
        <v>6E-11</v>
      </c>
      <c r="BW105" s="365">
        <f>IFERROR(BO105+0.00000000007,0)</f>
        <v>7.0000000000000004E-11</v>
      </c>
      <c r="BX105" s="365">
        <f>IFERROR(BP105+0.00000000008,0)</f>
        <v>7.9999999999999995E-11</v>
      </c>
      <c r="BY105" s="364">
        <f t="shared" ref="BY105:BY142" si="155">AZ105*BQ105</f>
        <v>0</v>
      </c>
      <c r="BZ105" s="364">
        <f t="shared" ref="BZ105:BZ142" si="156">BA105*BR105</f>
        <v>0</v>
      </c>
      <c r="CA105" s="364">
        <f t="shared" ref="CA105:CA142" si="157">BB105*BS105</f>
        <v>0</v>
      </c>
      <c r="CC105" s="364">
        <f t="shared" ref="CC105:CC142" si="158">BD105*BU105</f>
        <v>0</v>
      </c>
      <c r="CD105" s="364">
        <f t="shared" ref="CD105:CD142" si="159">BE105*BV105</f>
        <v>0</v>
      </c>
      <c r="CE105" s="364">
        <f t="shared" ref="CE105:CE142" si="160">BF105*BW105</f>
        <v>0</v>
      </c>
      <c r="CF105" s="364">
        <f t="shared" ref="CF105:CF142" si="161">BG105*BX105</f>
        <v>0</v>
      </c>
      <c r="CG105" s="364" t="b">
        <f t="shared" si="127"/>
        <v>0</v>
      </c>
      <c r="CH105" s="364" t="b">
        <f t="shared" si="128"/>
        <v>0</v>
      </c>
      <c r="CI105" s="364" t="b">
        <f t="shared" si="129"/>
        <v>0</v>
      </c>
      <c r="CK105" s="364" t="b">
        <f t="shared" si="130"/>
        <v>0</v>
      </c>
      <c r="CL105" s="364" t="b">
        <f t="shared" si="131"/>
        <v>0</v>
      </c>
      <c r="CM105" s="364" t="b">
        <f t="shared" si="132"/>
        <v>0</v>
      </c>
      <c r="CN105" s="364" t="b">
        <f t="shared" si="133"/>
        <v>0</v>
      </c>
      <c r="DF105" s="365">
        <f t="shared" ref="DF105:DF142" si="162">IFERROR(CX105+0.00000000001,0)</f>
        <v>9.9999999999999994E-12</v>
      </c>
      <c r="DG105" s="365">
        <f>IFERROR(CY105+0.00000000002,0)</f>
        <v>1.9999999999999999E-11</v>
      </c>
      <c r="DH105" s="365">
        <f>IFERROR(CZ105+0.00000000003,0)</f>
        <v>3E-11</v>
      </c>
      <c r="DI105" s="365"/>
      <c r="DJ105" s="365">
        <f>IFERROR(DB105+0.00000000005,0)</f>
        <v>5.0000000000000002E-11</v>
      </c>
      <c r="DK105" s="365">
        <f>IFERROR(DC105+0.00000000006,0)</f>
        <v>6E-11</v>
      </c>
      <c r="DL105" s="365">
        <f>IFERROR(DD105+0.00000000007,0)</f>
        <v>7.0000000000000004E-11</v>
      </c>
      <c r="DM105" s="365">
        <f>IFERROR(DE105+0.00000000008,0)</f>
        <v>7.9999999999999995E-11</v>
      </c>
      <c r="DN105" s="364">
        <f t="shared" ref="DN105:DN142" si="163">CO105*DF105</f>
        <v>0</v>
      </c>
      <c r="DO105" s="364">
        <f t="shared" ref="DO105:DO142" si="164">CP105*DG105</f>
        <v>0</v>
      </c>
      <c r="DP105" s="364">
        <f t="shared" ref="DP105:DP142" si="165">CQ105*DH105</f>
        <v>0</v>
      </c>
      <c r="DR105" s="364">
        <f t="shared" ref="DR105:DR142" si="166">CS105*DJ105</f>
        <v>0</v>
      </c>
      <c r="DS105" s="364">
        <f t="shared" ref="DS105:DS142" si="167">CT105*DK105</f>
        <v>0</v>
      </c>
      <c r="DT105" s="364">
        <f t="shared" ref="DT105:DT142" si="168">CU105*DL105</f>
        <v>0</v>
      </c>
      <c r="DU105" s="364">
        <f t="shared" ref="DU105:DU142" si="169">CV105*DM105</f>
        <v>0</v>
      </c>
      <c r="DV105" s="364" t="b">
        <f t="shared" si="148"/>
        <v>0</v>
      </c>
      <c r="DW105" s="364" t="b">
        <f t="shared" si="149"/>
        <v>0</v>
      </c>
      <c r="DX105" s="364" t="b">
        <f t="shared" si="150"/>
        <v>0</v>
      </c>
      <c r="DZ105" s="364" t="b">
        <f t="shared" si="151"/>
        <v>0</v>
      </c>
      <c r="EA105" s="364" t="b">
        <f t="shared" si="152"/>
        <v>0</v>
      </c>
      <c r="EB105" s="364" t="b">
        <f t="shared" si="153"/>
        <v>0</v>
      </c>
      <c r="EC105" s="364" t="b">
        <f t="shared" si="154"/>
        <v>0</v>
      </c>
      <c r="ED105" s="364" t="s">
        <v>394</v>
      </c>
      <c r="EE105" s="364" t="s">
        <v>394</v>
      </c>
      <c r="EF105" s="364" t="s">
        <v>394</v>
      </c>
      <c r="EH105" s="364" t="s">
        <v>394</v>
      </c>
      <c r="EI105" s="364" t="s">
        <v>394</v>
      </c>
      <c r="EJ105" s="364" t="s">
        <v>394</v>
      </c>
      <c r="EK105" s="364" t="s">
        <v>394</v>
      </c>
      <c r="EL105" s="364" t="s">
        <v>394</v>
      </c>
      <c r="EM105" s="364" t="s">
        <v>394</v>
      </c>
      <c r="EN105" s="364" t="s">
        <v>394</v>
      </c>
      <c r="EP105" s="364" t="s">
        <v>394</v>
      </c>
      <c r="EQ105" s="364" t="s">
        <v>394</v>
      </c>
      <c r="ER105" s="364" t="s">
        <v>394</v>
      </c>
      <c r="ES105" s="364" t="s">
        <v>394</v>
      </c>
      <c r="FB105" s="364" t="s">
        <v>394</v>
      </c>
      <c r="FC105" s="364" t="s">
        <v>394</v>
      </c>
      <c r="FD105" s="364" t="s">
        <v>394</v>
      </c>
      <c r="FE105" s="364" t="s">
        <v>394</v>
      </c>
      <c r="FF105" s="364" t="s">
        <v>394</v>
      </c>
      <c r="FG105" s="364" t="s">
        <v>394</v>
      </c>
      <c r="FH105" s="364" t="s">
        <v>394</v>
      </c>
      <c r="FI105" s="364" t="s">
        <v>394</v>
      </c>
      <c r="FJ105" s="364" t="s">
        <v>394</v>
      </c>
      <c r="FK105" s="364" t="s">
        <v>394</v>
      </c>
      <c r="FL105" s="364" t="s">
        <v>394</v>
      </c>
      <c r="FM105" s="364" t="s">
        <v>394</v>
      </c>
      <c r="FN105" s="364" t="s">
        <v>394</v>
      </c>
      <c r="FO105" s="364" t="s">
        <v>394</v>
      </c>
      <c r="FP105" s="364" t="s">
        <v>394</v>
      </c>
      <c r="FQ105" s="364" t="s">
        <v>394</v>
      </c>
    </row>
    <row r="106" spans="1:173" s="364" customFormat="1">
      <c r="A106" s="335" t="s">
        <v>1050</v>
      </c>
      <c r="B106" s="346" t="s">
        <v>1050</v>
      </c>
      <c r="C106" s="346" t="s">
        <v>225</v>
      </c>
      <c r="D106" s="346" t="s">
        <v>865</v>
      </c>
      <c r="E106" s="346" t="s">
        <v>2732</v>
      </c>
      <c r="F106" s="424" t="s">
        <v>785</v>
      </c>
      <c r="G106" s="346">
        <v>205.3</v>
      </c>
      <c r="H106" s="346" t="s">
        <v>324</v>
      </c>
      <c r="I106" s="346">
        <v>208</v>
      </c>
      <c r="J106" s="346">
        <v>190</v>
      </c>
      <c r="N106" s="346"/>
      <c r="O106" s="346"/>
      <c r="P106" s="424" t="s">
        <v>3001</v>
      </c>
      <c r="Q106" s="424" t="s">
        <v>2324</v>
      </c>
      <c r="R106" s="346" t="s">
        <v>2337</v>
      </c>
      <c r="S106" s="346" t="s">
        <v>1052</v>
      </c>
      <c r="T106" s="346" t="s">
        <v>1046</v>
      </c>
      <c r="U106" s="346">
        <v>23</v>
      </c>
      <c r="V106" s="346" cm="1">
        <f t="array" ref="V106">IFERROR(INDEX('Offer Statistics'!$AZ$2:$AZ$350,MATCH(1,($B106='Offer Statistics'!$AK$2:$AK$350)*($B$11='Offer Statistics'!$AL$2:$AL$350),0)),"/")</f>
        <v>22</v>
      </c>
      <c r="W106" s="346" cm="1">
        <f t="array" ref="W106">IFERROR(INDEX('Offer Statistics'!$AM$2:$AM$350,MATCH(1,($B106='Offer Statistics'!$AK$2:$AK$350)*($B$11='Offer Statistics'!$AL$2:$AL$350),0)),"/")</f>
        <v>178</v>
      </c>
      <c r="X106" s="346" cm="1">
        <f t="array" ref="X106">IFERROR(INDEX('Offer Statistics'!$AU$2:$AU$350,MATCH(1,($B106='Offer Statistics'!$AK$2:$AK$350)*($B$11='Offer Statistics'!$AL$2:$AL$350),0)),"/")</f>
        <v>17</v>
      </c>
      <c r="Y106" s="346">
        <f t="shared" si="112"/>
        <v>10.470588235294118</v>
      </c>
      <c r="Z106" s="346" t="s">
        <v>1046</v>
      </c>
      <c r="AA106" s="346" t="str">
        <f>入學要求!AF128</f>
        <v>/</v>
      </c>
      <c r="AB106" s="346" t="str">
        <f>入學要求!AG128</f>
        <v>/</v>
      </c>
      <c r="AC106" s="346" t="s">
        <v>785</v>
      </c>
      <c r="AF106" s="333" t="s">
        <v>324</v>
      </c>
      <c r="AG106" s="333" t="s">
        <v>324</v>
      </c>
      <c r="AH106" s="426" t="s">
        <v>3001</v>
      </c>
      <c r="AI106" s="426" t="s">
        <v>2324</v>
      </c>
      <c r="AJ106" s="426" t="s">
        <v>2337</v>
      </c>
      <c r="AK106" s="346" t="s">
        <v>324</v>
      </c>
      <c r="AL106" s="346" t="s">
        <v>324</v>
      </c>
      <c r="AM106" s="346" t="s">
        <v>324</v>
      </c>
      <c r="AN106" s="346" t="s">
        <v>324</v>
      </c>
      <c r="AO106" s="346" t="s">
        <v>324</v>
      </c>
      <c r="AP106" s="346" t="s">
        <v>324</v>
      </c>
      <c r="AQ106" s="346" t="s">
        <v>324</v>
      </c>
      <c r="AR106" s="346" t="s">
        <v>324</v>
      </c>
      <c r="AS106" s="346"/>
      <c r="AT106" s="93" t="s">
        <v>716</v>
      </c>
      <c r="AU106" s="93"/>
      <c r="AV106" s="364" t="s">
        <v>713</v>
      </c>
      <c r="AW106" s="364" t="s">
        <v>324</v>
      </c>
      <c r="AX106" s="364" t="s">
        <v>324</v>
      </c>
      <c r="AY106" s="364" t="s">
        <v>324</v>
      </c>
      <c r="BQ106" s="365">
        <f t="shared" ref="BQ106:BQ142" si="170">IFERROR(BI106+0.00000000004,0)</f>
        <v>3.9999999999999998E-11</v>
      </c>
      <c r="BR106" s="365">
        <f t="shared" ref="BR106:BR142" si="171">IFERROR(BJ106+0.00000000002,0)</f>
        <v>1.9999999999999999E-11</v>
      </c>
      <c r="BS106" s="365">
        <f t="shared" ref="BS106:BS142" si="172">IFERROR(BK106+0.00000000003,0)</f>
        <v>3E-11</v>
      </c>
      <c r="BT106" s="365"/>
      <c r="BU106" s="365">
        <f t="shared" ref="BU106:BU142" si="173">IFERROR(BM106+0.00000000005,0)</f>
        <v>5.0000000000000002E-11</v>
      </c>
      <c r="BV106" s="365">
        <f t="shared" ref="BV106:BV142" si="174">IFERROR(BN106+0.00000000006,0)</f>
        <v>6E-11</v>
      </c>
      <c r="BW106" s="365">
        <f t="shared" ref="BW106:BW142" si="175">IFERROR(BO106+0.00000000007,0)</f>
        <v>7.0000000000000004E-11</v>
      </c>
      <c r="BX106" s="365">
        <f t="shared" ref="BX106:BX142" si="176">IFERROR(BP106+0.00000000008,0)</f>
        <v>7.9999999999999995E-11</v>
      </c>
      <c r="BY106" s="364">
        <f t="shared" si="155"/>
        <v>0</v>
      </c>
      <c r="BZ106" s="364">
        <f t="shared" si="156"/>
        <v>0</v>
      </c>
      <c r="CA106" s="364">
        <f t="shared" si="157"/>
        <v>0</v>
      </c>
      <c r="CC106" s="364">
        <f t="shared" si="158"/>
        <v>0</v>
      </c>
      <c r="CD106" s="364">
        <f t="shared" si="159"/>
        <v>0</v>
      </c>
      <c r="CE106" s="364">
        <f t="shared" si="160"/>
        <v>0</v>
      </c>
      <c r="CF106" s="364">
        <f t="shared" si="161"/>
        <v>0</v>
      </c>
      <c r="CG106" s="364" t="b">
        <f t="shared" si="127"/>
        <v>0</v>
      </c>
      <c r="CH106" s="364" t="b">
        <f t="shared" si="128"/>
        <v>0</v>
      </c>
      <c r="CI106" s="364" t="b">
        <f t="shared" si="129"/>
        <v>0</v>
      </c>
      <c r="CK106" s="364" t="b">
        <f t="shared" si="130"/>
        <v>0</v>
      </c>
      <c r="CL106" s="364" t="b">
        <f t="shared" si="131"/>
        <v>0</v>
      </c>
      <c r="CM106" s="364" t="b">
        <f t="shared" si="132"/>
        <v>0</v>
      </c>
      <c r="CN106" s="364" t="b">
        <f t="shared" si="133"/>
        <v>0</v>
      </c>
      <c r="DF106" s="365">
        <f t="shared" si="162"/>
        <v>9.9999999999999994E-12</v>
      </c>
      <c r="DG106" s="365">
        <f t="shared" ref="DG106:DG142" si="177">IFERROR(CY106+0.00000000002,0)</f>
        <v>1.9999999999999999E-11</v>
      </c>
      <c r="DH106" s="365">
        <f t="shared" ref="DH106:DH142" si="178">IFERROR(CZ106+0.00000000003,0)</f>
        <v>3E-11</v>
      </c>
      <c r="DI106" s="365"/>
      <c r="DJ106" s="365">
        <f t="shared" ref="DJ106:DJ142" si="179">IFERROR(DB106+0.00000000005,0)</f>
        <v>5.0000000000000002E-11</v>
      </c>
      <c r="DK106" s="365">
        <f t="shared" ref="DK106:DK142" si="180">IFERROR(DC106+0.00000000006,0)</f>
        <v>6E-11</v>
      </c>
      <c r="DL106" s="365">
        <f t="shared" ref="DL106:DL142" si="181">IFERROR(DD106+0.00000000007,0)</f>
        <v>7.0000000000000004E-11</v>
      </c>
      <c r="DM106" s="365">
        <f t="shared" ref="DM106:DM142" si="182">IFERROR(DE106+0.00000000008,0)</f>
        <v>7.9999999999999995E-11</v>
      </c>
      <c r="DN106" s="364">
        <f t="shared" si="163"/>
        <v>0</v>
      </c>
      <c r="DO106" s="364">
        <f t="shared" si="164"/>
        <v>0</v>
      </c>
      <c r="DP106" s="364">
        <f t="shared" si="165"/>
        <v>0</v>
      </c>
      <c r="DR106" s="364">
        <f t="shared" si="166"/>
        <v>0</v>
      </c>
      <c r="DS106" s="364">
        <f t="shared" si="167"/>
        <v>0</v>
      </c>
      <c r="DT106" s="364">
        <f t="shared" si="168"/>
        <v>0</v>
      </c>
      <c r="DU106" s="364">
        <f t="shared" si="169"/>
        <v>0</v>
      </c>
      <c r="DV106" s="364" t="b">
        <f t="shared" si="148"/>
        <v>0</v>
      </c>
      <c r="DW106" s="364" t="b">
        <f t="shared" si="149"/>
        <v>0</v>
      </c>
      <c r="DX106" s="364" t="b">
        <f t="shared" si="150"/>
        <v>0</v>
      </c>
      <c r="DZ106" s="364" t="b">
        <f t="shared" si="151"/>
        <v>0</v>
      </c>
      <c r="EA106" s="364" t="b">
        <f t="shared" si="152"/>
        <v>0</v>
      </c>
      <c r="EB106" s="364" t="b">
        <f t="shared" si="153"/>
        <v>0</v>
      </c>
      <c r="EC106" s="364" t="b">
        <f t="shared" si="154"/>
        <v>0</v>
      </c>
      <c r="ED106" s="364" t="s">
        <v>394</v>
      </c>
      <c r="EE106" s="364" t="s">
        <v>394</v>
      </c>
      <c r="EF106" s="364" t="s">
        <v>394</v>
      </c>
      <c r="EH106" s="364" t="s">
        <v>394</v>
      </c>
      <c r="EI106" s="364" t="s">
        <v>394</v>
      </c>
      <c r="EJ106" s="364" t="s">
        <v>394</v>
      </c>
      <c r="EK106" s="364" t="s">
        <v>394</v>
      </c>
      <c r="EL106" s="364" t="s">
        <v>394</v>
      </c>
      <c r="EM106" s="364" t="s">
        <v>394</v>
      </c>
      <c r="EN106" s="364" t="s">
        <v>394</v>
      </c>
      <c r="EP106" s="364" t="s">
        <v>394</v>
      </c>
      <c r="EQ106" s="364" t="s">
        <v>394</v>
      </c>
      <c r="ER106" s="364" t="s">
        <v>394</v>
      </c>
      <c r="ES106" s="364" t="s">
        <v>394</v>
      </c>
      <c r="FB106" s="364" t="s">
        <v>394</v>
      </c>
      <c r="FC106" s="364" t="s">
        <v>394</v>
      </c>
      <c r="FD106" s="364" t="s">
        <v>394</v>
      </c>
      <c r="FE106" s="364" t="s">
        <v>394</v>
      </c>
      <c r="FF106" s="364" t="s">
        <v>394</v>
      </c>
      <c r="FG106" s="364" t="s">
        <v>394</v>
      </c>
      <c r="FH106" s="364" t="s">
        <v>394</v>
      </c>
      <c r="FI106" s="364" t="s">
        <v>394</v>
      </c>
      <c r="FJ106" s="364" t="s">
        <v>394</v>
      </c>
      <c r="FK106" s="364" t="s">
        <v>394</v>
      </c>
      <c r="FL106" s="364" t="s">
        <v>394</v>
      </c>
      <c r="FM106" s="364" t="s">
        <v>394</v>
      </c>
      <c r="FN106" s="364" t="s">
        <v>394</v>
      </c>
      <c r="FO106" s="364" t="s">
        <v>394</v>
      </c>
      <c r="FP106" s="364" t="s">
        <v>394</v>
      </c>
      <c r="FQ106" s="364" t="s">
        <v>394</v>
      </c>
    </row>
    <row r="107" spans="1:173" s="364" customFormat="1">
      <c r="A107" s="335" t="s">
        <v>1053</v>
      </c>
      <c r="B107" s="346" t="s">
        <v>1053</v>
      </c>
      <c r="C107" s="346" t="s">
        <v>225</v>
      </c>
      <c r="D107" s="346" t="s">
        <v>1054</v>
      </c>
      <c r="E107" s="346" t="s">
        <v>1055</v>
      </c>
      <c r="F107" s="424" t="s">
        <v>785</v>
      </c>
      <c r="G107" s="346">
        <v>164.6</v>
      </c>
      <c r="H107" s="346" t="s">
        <v>324</v>
      </c>
      <c r="I107" s="346">
        <v>160.5</v>
      </c>
      <c r="J107" s="346">
        <v>146</v>
      </c>
      <c r="N107" s="346"/>
      <c r="O107" s="346"/>
      <c r="P107" s="424" t="s">
        <v>3003</v>
      </c>
      <c r="Q107" s="424" t="s">
        <v>2325</v>
      </c>
      <c r="R107" s="346" t="s">
        <v>2337</v>
      </c>
      <c r="S107" s="346" t="s">
        <v>1056</v>
      </c>
      <c r="T107" s="346" t="s">
        <v>1046</v>
      </c>
      <c r="U107" s="346">
        <v>101</v>
      </c>
      <c r="V107" s="346" cm="1">
        <f t="array" ref="V107">IFERROR(INDEX('Offer Statistics'!$AZ$2:$AZ$350,MATCH(1,($B107='Offer Statistics'!$AK$2:$AK$350)*($B$11='Offer Statistics'!$AL$2:$AL$350),0)),"/")</f>
        <v>82</v>
      </c>
      <c r="W107" s="346" cm="1">
        <f t="array" ref="W107">IFERROR(INDEX('Offer Statistics'!$AM$2:$AM$350,MATCH(1,($B107='Offer Statistics'!$AK$2:$AK$350)*($B$11='Offer Statistics'!$AL$2:$AL$350),0)),"/")</f>
        <v>837</v>
      </c>
      <c r="X107" s="346" cm="1">
        <f t="array" ref="X107">IFERROR(INDEX('Offer Statistics'!$AU$2:$AU$350,MATCH(1,($B107='Offer Statistics'!$AK$2:$AK$350)*($B$11='Offer Statistics'!$AL$2:$AL$350),0)),"/")</f>
        <v>77</v>
      </c>
      <c r="Y107" s="346">
        <f t="shared" si="112"/>
        <v>10.870129870129871</v>
      </c>
      <c r="Z107" s="346" t="s">
        <v>1046</v>
      </c>
      <c r="AA107" s="346" t="str">
        <f>入學要求!AF115</f>
        <v>/</v>
      </c>
      <c r="AB107" s="346" t="str">
        <f>入學要求!AG115</f>
        <v>/</v>
      </c>
      <c r="AC107" s="346" t="s">
        <v>785</v>
      </c>
      <c r="AF107" s="333" t="s">
        <v>324</v>
      </c>
      <c r="AG107" s="333" t="s">
        <v>324</v>
      </c>
      <c r="AH107" s="431" t="s">
        <v>3019</v>
      </c>
      <c r="AI107" s="431" t="s">
        <v>1108</v>
      </c>
      <c r="AJ107" s="431" t="s">
        <v>3004</v>
      </c>
      <c r="AK107" s="346" t="s">
        <v>324</v>
      </c>
      <c r="AL107" s="346" t="s">
        <v>324</v>
      </c>
      <c r="AM107" s="346" t="s">
        <v>324</v>
      </c>
      <c r="AN107" s="346" t="s">
        <v>324</v>
      </c>
      <c r="AO107" s="346" t="s">
        <v>324</v>
      </c>
      <c r="AP107" s="346" t="s">
        <v>324</v>
      </c>
      <c r="AQ107" s="346" t="s">
        <v>324</v>
      </c>
      <c r="AR107" s="346" t="s">
        <v>324</v>
      </c>
      <c r="AS107" s="346"/>
      <c r="AT107" s="93" t="s">
        <v>716</v>
      </c>
      <c r="AU107" s="93"/>
      <c r="AV107" s="364" t="s">
        <v>713</v>
      </c>
      <c r="AW107" s="364" t="s">
        <v>324</v>
      </c>
      <c r="AX107" s="364" t="s">
        <v>324</v>
      </c>
      <c r="AY107" s="364" t="s">
        <v>324</v>
      </c>
      <c r="BQ107" s="365">
        <f t="shared" si="170"/>
        <v>3.9999999999999998E-11</v>
      </c>
      <c r="BR107" s="365">
        <f t="shared" si="171"/>
        <v>1.9999999999999999E-11</v>
      </c>
      <c r="BS107" s="365">
        <f t="shared" si="172"/>
        <v>3E-11</v>
      </c>
      <c r="BT107" s="365"/>
      <c r="BU107" s="365">
        <f t="shared" si="173"/>
        <v>5.0000000000000002E-11</v>
      </c>
      <c r="BV107" s="365">
        <f t="shared" si="174"/>
        <v>6E-11</v>
      </c>
      <c r="BW107" s="365">
        <f t="shared" si="175"/>
        <v>7.0000000000000004E-11</v>
      </c>
      <c r="BX107" s="365">
        <f t="shared" si="176"/>
        <v>7.9999999999999995E-11</v>
      </c>
      <c r="BY107" s="364">
        <f t="shared" si="155"/>
        <v>0</v>
      </c>
      <c r="BZ107" s="364">
        <f t="shared" si="156"/>
        <v>0</v>
      </c>
      <c r="CA107" s="364">
        <f t="shared" si="157"/>
        <v>0</v>
      </c>
      <c r="CC107" s="364">
        <f t="shared" si="158"/>
        <v>0</v>
      </c>
      <c r="CD107" s="364">
        <f t="shared" si="159"/>
        <v>0</v>
      </c>
      <c r="CE107" s="364">
        <f t="shared" si="160"/>
        <v>0</v>
      </c>
      <c r="CF107" s="364">
        <f t="shared" si="161"/>
        <v>0</v>
      </c>
      <c r="CG107" s="364" t="b">
        <f t="shared" si="127"/>
        <v>0</v>
      </c>
      <c r="CH107" s="364" t="b">
        <f t="shared" si="128"/>
        <v>0</v>
      </c>
      <c r="CI107" s="364" t="b">
        <f t="shared" si="129"/>
        <v>0</v>
      </c>
      <c r="CK107" s="364" t="b">
        <f t="shared" si="130"/>
        <v>0</v>
      </c>
      <c r="CL107" s="364" t="b">
        <f t="shared" si="131"/>
        <v>0</v>
      </c>
      <c r="CM107" s="364" t="b">
        <f t="shared" si="132"/>
        <v>0</v>
      </c>
      <c r="CN107" s="364" t="b">
        <f t="shared" si="133"/>
        <v>0</v>
      </c>
      <c r="DF107" s="365">
        <f t="shared" si="162"/>
        <v>9.9999999999999994E-12</v>
      </c>
      <c r="DG107" s="365">
        <f t="shared" si="177"/>
        <v>1.9999999999999999E-11</v>
      </c>
      <c r="DH107" s="365">
        <f t="shared" si="178"/>
        <v>3E-11</v>
      </c>
      <c r="DI107" s="365"/>
      <c r="DJ107" s="365">
        <f t="shared" si="179"/>
        <v>5.0000000000000002E-11</v>
      </c>
      <c r="DK107" s="365">
        <f t="shared" si="180"/>
        <v>6E-11</v>
      </c>
      <c r="DL107" s="365">
        <f t="shared" si="181"/>
        <v>7.0000000000000004E-11</v>
      </c>
      <c r="DM107" s="365">
        <f t="shared" si="182"/>
        <v>7.9999999999999995E-11</v>
      </c>
      <c r="DN107" s="364">
        <f t="shared" si="163"/>
        <v>0</v>
      </c>
      <c r="DO107" s="364">
        <f t="shared" si="164"/>
        <v>0</v>
      </c>
      <c r="DP107" s="364">
        <f t="shared" si="165"/>
        <v>0</v>
      </c>
      <c r="DR107" s="364">
        <f t="shared" si="166"/>
        <v>0</v>
      </c>
      <c r="DS107" s="364">
        <f t="shared" si="167"/>
        <v>0</v>
      </c>
      <c r="DT107" s="364">
        <f t="shared" si="168"/>
        <v>0</v>
      </c>
      <c r="DU107" s="364">
        <f t="shared" si="169"/>
        <v>0</v>
      </c>
      <c r="DV107" s="364" t="b">
        <f t="shared" si="148"/>
        <v>0</v>
      </c>
      <c r="DW107" s="364" t="b">
        <f t="shared" si="149"/>
        <v>0</v>
      </c>
      <c r="DX107" s="364" t="b">
        <f t="shared" si="150"/>
        <v>0</v>
      </c>
      <c r="DZ107" s="364" t="b">
        <f t="shared" si="151"/>
        <v>0</v>
      </c>
      <c r="EA107" s="364" t="b">
        <f t="shared" si="152"/>
        <v>0</v>
      </c>
      <c r="EB107" s="364" t="b">
        <f t="shared" si="153"/>
        <v>0</v>
      </c>
      <c r="EC107" s="364" t="b">
        <f t="shared" si="154"/>
        <v>0</v>
      </c>
      <c r="ED107" s="364" t="s">
        <v>324</v>
      </c>
      <c r="EE107" s="364" t="s">
        <v>324</v>
      </c>
      <c r="EF107" s="364" t="s">
        <v>324</v>
      </c>
      <c r="EH107" s="364" t="s">
        <v>324</v>
      </c>
      <c r="EI107" s="364" t="s">
        <v>324</v>
      </c>
      <c r="EJ107" s="364" t="s">
        <v>324</v>
      </c>
      <c r="EK107" s="364" t="s">
        <v>324</v>
      </c>
      <c r="EL107" s="364" t="s">
        <v>324</v>
      </c>
      <c r="EM107" s="364" t="s">
        <v>324</v>
      </c>
      <c r="EN107" s="364" t="s">
        <v>394</v>
      </c>
      <c r="EP107" s="364" t="s">
        <v>394</v>
      </c>
      <c r="EQ107" s="364" t="s">
        <v>394</v>
      </c>
      <c r="ER107" s="364" t="s">
        <v>394</v>
      </c>
      <c r="ES107" s="364" t="s">
        <v>394</v>
      </c>
      <c r="FB107" s="364" t="s">
        <v>394</v>
      </c>
      <c r="FC107" s="364" t="s">
        <v>394</v>
      </c>
      <c r="FD107" s="364" t="s">
        <v>394</v>
      </c>
      <c r="FE107" s="364" t="s">
        <v>394</v>
      </c>
      <c r="FF107" s="364" t="s">
        <v>394</v>
      </c>
      <c r="FG107" s="364" t="s">
        <v>394</v>
      </c>
      <c r="FH107" s="364" t="s">
        <v>394</v>
      </c>
      <c r="FI107" s="364" t="s">
        <v>394</v>
      </c>
      <c r="FJ107" s="364" t="s">
        <v>394</v>
      </c>
      <c r="FK107" s="364" t="s">
        <v>394</v>
      </c>
      <c r="FL107" s="364" t="s">
        <v>394</v>
      </c>
      <c r="FM107" s="364" t="s">
        <v>394</v>
      </c>
      <c r="FN107" s="364" t="s">
        <v>394</v>
      </c>
      <c r="FO107" s="364" t="s">
        <v>394</v>
      </c>
      <c r="FP107" s="364" t="s">
        <v>394</v>
      </c>
      <c r="FQ107" s="364" t="s">
        <v>394</v>
      </c>
    </row>
    <row r="108" spans="1:173" s="93" customFormat="1">
      <c r="A108" s="335" t="s">
        <v>1057</v>
      </c>
      <c r="B108" s="346" t="s">
        <v>1057</v>
      </c>
      <c r="C108" s="346" t="s">
        <v>225</v>
      </c>
      <c r="D108" s="346" t="s">
        <v>1058</v>
      </c>
      <c r="E108" s="346" t="s">
        <v>1059</v>
      </c>
      <c r="F108" s="424" t="s">
        <v>785</v>
      </c>
      <c r="G108" s="346">
        <v>178.3</v>
      </c>
      <c r="H108" s="346" t="s">
        <v>324</v>
      </c>
      <c r="I108" s="346">
        <v>178</v>
      </c>
      <c r="J108" s="346">
        <v>172</v>
      </c>
      <c r="N108" s="346"/>
      <c r="O108" s="346"/>
      <c r="P108" s="346" t="s">
        <v>2336</v>
      </c>
      <c r="Q108" s="346" t="s">
        <v>1108</v>
      </c>
      <c r="R108" s="346" t="s">
        <v>2335</v>
      </c>
      <c r="S108" s="346" t="s">
        <v>1060</v>
      </c>
      <c r="T108" s="346" t="s">
        <v>1046</v>
      </c>
      <c r="U108" s="346">
        <v>78</v>
      </c>
      <c r="V108" s="346" cm="1">
        <f t="array" ref="V108">IFERROR(INDEX('Offer Statistics'!$AZ$2:$AZ$350,MATCH(1,($B108='Offer Statistics'!$AK$2:$AK$350)*($B$11='Offer Statistics'!$AL$2:$AL$350),0)),"/")</f>
        <v>108</v>
      </c>
      <c r="W108" s="346" cm="1">
        <f t="array" ref="W108">IFERROR(INDEX('Offer Statistics'!$AM$2:$AM$350,MATCH(1,($B108='Offer Statistics'!$AK$2:$AK$350)*($B$11='Offer Statistics'!$AL$2:$AL$350),0)),"/")</f>
        <v>620</v>
      </c>
      <c r="X108" s="346" cm="1">
        <f t="array" ref="X108">IFERROR(INDEX('Offer Statistics'!$AU$2:$AU$350,MATCH(1,($B108='Offer Statistics'!$AK$2:$AK$350)*($B$11='Offer Statistics'!$AL$2:$AL$350),0)),"/")</f>
        <v>99</v>
      </c>
      <c r="Y108" s="346">
        <f t="shared" si="112"/>
        <v>6.262626262626263</v>
      </c>
      <c r="Z108" s="346" t="s">
        <v>1046</v>
      </c>
      <c r="AA108" s="346" t="str">
        <f>入學要求!AF116</f>
        <v>/</v>
      </c>
      <c r="AB108" s="346" t="str">
        <f>入學要求!AG116</f>
        <v>/</v>
      </c>
      <c r="AC108" s="346" t="s">
        <v>785</v>
      </c>
      <c r="AD108" s="51"/>
      <c r="AE108" s="51"/>
      <c r="AF108" s="333" t="s">
        <v>324</v>
      </c>
      <c r="AG108" s="333" t="s">
        <v>324</v>
      </c>
      <c r="AH108" s="426" t="s">
        <v>2336</v>
      </c>
      <c r="AI108" s="426" t="s">
        <v>1108</v>
      </c>
      <c r="AJ108" s="426" t="s">
        <v>2335</v>
      </c>
      <c r="AK108" s="346" t="s">
        <v>324</v>
      </c>
      <c r="AL108" s="346" t="s">
        <v>324</v>
      </c>
      <c r="AM108" s="346" t="s">
        <v>324</v>
      </c>
      <c r="AN108" s="346" t="s">
        <v>324</v>
      </c>
      <c r="AO108" s="346" t="s">
        <v>324</v>
      </c>
      <c r="AP108" s="346" t="s">
        <v>324</v>
      </c>
      <c r="AQ108" s="346" t="s">
        <v>324</v>
      </c>
      <c r="AR108" s="346" t="s">
        <v>324</v>
      </c>
      <c r="AS108" s="346"/>
      <c r="AT108" s="93" t="s">
        <v>716</v>
      </c>
      <c r="AV108" s="93" t="s">
        <v>713</v>
      </c>
      <c r="AW108" s="93" t="s">
        <v>324</v>
      </c>
      <c r="AX108" s="93" t="s">
        <v>324</v>
      </c>
      <c r="AY108" s="93" t="s">
        <v>324</v>
      </c>
      <c r="BQ108" s="365">
        <f t="shared" si="170"/>
        <v>3.9999999999999998E-11</v>
      </c>
      <c r="BR108" s="365">
        <f t="shared" si="171"/>
        <v>1.9999999999999999E-11</v>
      </c>
      <c r="BS108" s="365">
        <f t="shared" si="172"/>
        <v>3E-11</v>
      </c>
      <c r="BT108" s="365"/>
      <c r="BU108" s="365">
        <f t="shared" si="173"/>
        <v>5.0000000000000002E-11</v>
      </c>
      <c r="BV108" s="365">
        <f t="shared" si="174"/>
        <v>6E-11</v>
      </c>
      <c r="BW108" s="365">
        <f t="shared" si="175"/>
        <v>7.0000000000000004E-11</v>
      </c>
      <c r="BX108" s="365">
        <f t="shared" si="176"/>
        <v>7.9999999999999995E-11</v>
      </c>
      <c r="BY108" s="93">
        <f t="shared" si="155"/>
        <v>0</v>
      </c>
      <c r="BZ108" s="93">
        <f t="shared" si="156"/>
        <v>0</v>
      </c>
      <c r="CA108" s="93">
        <f t="shared" si="157"/>
        <v>0</v>
      </c>
      <c r="CC108" s="93">
        <f t="shared" si="158"/>
        <v>0</v>
      </c>
      <c r="CD108" s="93">
        <f t="shared" si="159"/>
        <v>0</v>
      </c>
      <c r="CE108" s="93">
        <f t="shared" si="160"/>
        <v>0</v>
      </c>
      <c r="CF108" s="93">
        <f t="shared" si="161"/>
        <v>0</v>
      </c>
      <c r="CG108" s="93" t="b">
        <f t="shared" si="127"/>
        <v>0</v>
      </c>
      <c r="CH108" s="93" t="b">
        <f t="shared" si="128"/>
        <v>0</v>
      </c>
      <c r="CI108" s="93" t="b">
        <f t="shared" si="129"/>
        <v>0</v>
      </c>
      <c r="CK108" s="93" t="b">
        <f t="shared" si="130"/>
        <v>0</v>
      </c>
      <c r="CL108" s="93" t="b">
        <f t="shared" si="131"/>
        <v>0</v>
      </c>
      <c r="CM108" s="93" t="b">
        <f t="shared" si="132"/>
        <v>0</v>
      </c>
      <c r="CN108" s="93" t="b">
        <f t="shared" si="133"/>
        <v>0</v>
      </c>
      <c r="DF108" s="206">
        <f t="shared" si="162"/>
        <v>9.9999999999999994E-12</v>
      </c>
      <c r="DG108" s="206">
        <f t="shared" si="177"/>
        <v>1.9999999999999999E-11</v>
      </c>
      <c r="DH108" s="206">
        <f t="shared" si="178"/>
        <v>3E-11</v>
      </c>
      <c r="DI108" s="206"/>
      <c r="DJ108" s="206">
        <f t="shared" si="179"/>
        <v>5.0000000000000002E-11</v>
      </c>
      <c r="DK108" s="206">
        <f t="shared" si="180"/>
        <v>6E-11</v>
      </c>
      <c r="DL108" s="206">
        <f t="shared" si="181"/>
        <v>7.0000000000000004E-11</v>
      </c>
      <c r="DM108" s="206">
        <f t="shared" si="182"/>
        <v>7.9999999999999995E-11</v>
      </c>
      <c r="DN108" s="93">
        <f t="shared" si="163"/>
        <v>0</v>
      </c>
      <c r="DO108" s="93">
        <f t="shared" si="164"/>
        <v>0</v>
      </c>
      <c r="DP108" s="93">
        <f t="shared" si="165"/>
        <v>0</v>
      </c>
      <c r="DR108" s="93">
        <f t="shared" si="166"/>
        <v>0</v>
      </c>
      <c r="DS108" s="93">
        <f t="shared" si="167"/>
        <v>0</v>
      </c>
      <c r="DT108" s="93">
        <f t="shared" si="168"/>
        <v>0</v>
      </c>
      <c r="DU108" s="93">
        <f t="shared" si="169"/>
        <v>0</v>
      </c>
      <c r="DV108" s="93" t="b">
        <f t="shared" si="148"/>
        <v>0</v>
      </c>
      <c r="DW108" s="93" t="b">
        <f t="shared" si="149"/>
        <v>0</v>
      </c>
      <c r="DX108" s="93" t="b">
        <f t="shared" si="150"/>
        <v>0</v>
      </c>
      <c r="DZ108" s="93" t="b">
        <f t="shared" si="151"/>
        <v>0</v>
      </c>
      <c r="EA108" s="93" t="b">
        <f t="shared" si="152"/>
        <v>0</v>
      </c>
      <c r="EB108" s="93" t="b">
        <f t="shared" si="153"/>
        <v>0</v>
      </c>
      <c r="EC108" s="93" t="b">
        <f t="shared" si="154"/>
        <v>0</v>
      </c>
      <c r="ED108" s="93" t="s">
        <v>394</v>
      </c>
      <c r="EE108" s="93" t="s">
        <v>394</v>
      </c>
      <c r="EF108" s="93" t="s">
        <v>394</v>
      </c>
      <c r="EH108" s="93" t="s">
        <v>394</v>
      </c>
      <c r="EI108" s="93" t="s">
        <v>394</v>
      </c>
      <c r="EJ108" s="93" t="s">
        <v>394</v>
      </c>
      <c r="EK108" s="93" t="s">
        <v>394</v>
      </c>
      <c r="EL108" s="93" t="s">
        <v>394</v>
      </c>
      <c r="EM108" s="93" t="s">
        <v>394</v>
      </c>
      <c r="EN108" s="93" t="s">
        <v>394</v>
      </c>
      <c r="EP108" s="93" t="s">
        <v>394</v>
      </c>
      <c r="EQ108" s="93" t="s">
        <v>394</v>
      </c>
      <c r="ER108" s="93" t="s">
        <v>394</v>
      </c>
      <c r="ES108" s="93" t="s">
        <v>394</v>
      </c>
      <c r="FB108" s="93" t="s">
        <v>394</v>
      </c>
      <c r="FC108" s="93" t="s">
        <v>394</v>
      </c>
      <c r="FD108" s="93" t="s">
        <v>394</v>
      </c>
      <c r="FE108" s="93" t="s">
        <v>394</v>
      </c>
      <c r="FF108" s="93" t="s">
        <v>394</v>
      </c>
      <c r="FG108" s="93" t="s">
        <v>394</v>
      </c>
      <c r="FH108" s="93" t="s">
        <v>394</v>
      </c>
      <c r="FI108" s="93" t="s">
        <v>394</v>
      </c>
      <c r="FJ108" s="93" t="s">
        <v>394</v>
      </c>
      <c r="FK108" s="93" t="s">
        <v>394</v>
      </c>
      <c r="FL108" s="93" t="s">
        <v>394</v>
      </c>
      <c r="FM108" s="93" t="s">
        <v>394</v>
      </c>
      <c r="FN108" s="93" t="s">
        <v>394</v>
      </c>
      <c r="FO108" s="93" t="s">
        <v>394</v>
      </c>
      <c r="FP108" s="93" t="s">
        <v>394</v>
      </c>
      <c r="FQ108" s="93" t="s">
        <v>394</v>
      </c>
    </row>
    <row r="109" spans="1:173" s="93" customFormat="1">
      <c r="A109" s="335" t="s">
        <v>1061</v>
      </c>
      <c r="B109" s="346" t="s">
        <v>1061</v>
      </c>
      <c r="C109" s="346" t="s">
        <v>225</v>
      </c>
      <c r="D109" s="346" t="s">
        <v>1058</v>
      </c>
      <c r="E109" s="346" t="s">
        <v>2734</v>
      </c>
      <c r="F109" s="424" t="s">
        <v>785</v>
      </c>
      <c r="G109" s="346">
        <v>169.3</v>
      </c>
      <c r="H109" s="346" t="s">
        <v>324</v>
      </c>
      <c r="I109" s="346">
        <v>168</v>
      </c>
      <c r="J109" s="346">
        <v>164.5</v>
      </c>
      <c r="N109" s="346"/>
      <c r="O109" s="346"/>
      <c r="P109" s="346" t="s">
        <v>2336</v>
      </c>
      <c r="Q109" s="346" t="s">
        <v>1108</v>
      </c>
      <c r="R109" s="346" t="s">
        <v>2335</v>
      </c>
      <c r="S109" s="346" t="s">
        <v>2733</v>
      </c>
      <c r="T109" s="346" t="s">
        <v>1046</v>
      </c>
      <c r="U109" s="346">
        <v>43</v>
      </c>
      <c r="V109" s="346" cm="1">
        <f t="array" ref="V109">IFERROR(INDEX('Offer Statistics'!$AZ$2:$AZ$350,MATCH(1,($B109='Offer Statistics'!$AK$2:$AK$350)*($B$11='Offer Statistics'!$AL$2:$AL$350),0)),"/")</f>
        <v>46</v>
      </c>
      <c r="W109" s="346" cm="1">
        <f t="array" ref="W109">IFERROR(INDEX('Offer Statistics'!$AM$2:$AM$350,MATCH(1,($B109='Offer Statistics'!$AK$2:$AK$350)*($B$11='Offer Statistics'!$AL$2:$AL$350),0)),"/")</f>
        <v>515</v>
      </c>
      <c r="X109" s="346" cm="1">
        <f t="array" ref="X109">IFERROR(INDEX('Offer Statistics'!$AU$2:$AU$350,MATCH(1,($B109='Offer Statistics'!$AK$2:$AK$350)*($B$11='Offer Statistics'!$AL$2:$AL$350),0)),"/")</f>
        <v>42</v>
      </c>
      <c r="Y109" s="346">
        <f t="shared" si="112"/>
        <v>12.261904761904763</v>
      </c>
      <c r="Z109" s="346" t="s">
        <v>1046</v>
      </c>
      <c r="AA109" s="346" t="str">
        <f>入學要求!AF117</f>
        <v>/</v>
      </c>
      <c r="AB109" s="346" t="str">
        <f>入學要求!AG117</f>
        <v>/</v>
      </c>
      <c r="AC109" s="346" t="s">
        <v>785</v>
      </c>
      <c r="AD109" s="51"/>
      <c r="AE109" s="51"/>
      <c r="AF109" s="333" t="s">
        <v>324</v>
      </c>
      <c r="AG109" s="333" t="s">
        <v>324</v>
      </c>
      <c r="AH109" s="426" t="s">
        <v>2336</v>
      </c>
      <c r="AI109" s="426" t="s">
        <v>1108</v>
      </c>
      <c r="AJ109" s="426" t="s">
        <v>2335</v>
      </c>
      <c r="AK109" s="346" t="s">
        <v>324</v>
      </c>
      <c r="AL109" s="346" t="s">
        <v>324</v>
      </c>
      <c r="AM109" s="346" t="s">
        <v>324</v>
      </c>
      <c r="AN109" s="346" t="s">
        <v>324</v>
      </c>
      <c r="AO109" s="346" t="s">
        <v>324</v>
      </c>
      <c r="AP109" s="346" t="s">
        <v>324</v>
      </c>
      <c r="AQ109" s="346" t="s">
        <v>324</v>
      </c>
      <c r="AR109" s="346" t="s">
        <v>324</v>
      </c>
      <c r="AS109" s="346"/>
      <c r="AT109" s="93" t="s">
        <v>716</v>
      </c>
      <c r="AV109" s="93" t="s">
        <v>713</v>
      </c>
      <c r="AW109" s="93" t="s">
        <v>324</v>
      </c>
      <c r="AX109" s="93" t="s">
        <v>324</v>
      </c>
      <c r="AY109" s="93" t="s">
        <v>324</v>
      </c>
      <c r="BQ109" s="365">
        <f t="shared" si="170"/>
        <v>3.9999999999999998E-11</v>
      </c>
      <c r="BR109" s="365">
        <f t="shared" si="171"/>
        <v>1.9999999999999999E-11</v>
      </c>
      <c r="BS109" s="365">
        <f t="shared" si="172"/>
        <v>3E-11</v>
      </c>
      <c r="BT109" s="365"/>
      <c r="BU109" s="365">
        <f t="shared" si="173"/>
        <v>5.0000000000000002E-11</v>
      </c>
      <c r="BV109" s="365">
        <f t="shared" si="174"/>
        <v>6E-11</v>
      </c>
      <c r="BW109" s="365">
        <f t="shared" si="175"/>
        <v>7.0000000000000004E-11</v>
      </c>
      <c r="BX109" s="365">
        <f t="shared" si="176"/>
        <v>7.9999999999999995E-11</v>
      </c>
      <c r="BY109" s="93">
        <f t="shared" si="155"/>
        <v>0</v>
      </c>
      <c r="BZ109" s="93">
        <f t="shared" si="156"/>
        <v>0</v>
      </c>
      <c r="CA109" s="93">
        <f t="shared" si="157"/>
        <v>0</v>
      </c>
      <c r="CC109" s="93">
        <f t="shared" si="158"/>
        <v>0</v>
      </c>
      <c r="CD109" s="93">
        <f t="shared" si="159"/>
        <v>0</v>
      </c>
      <c r="CE109" s="93">
        <f t="shared" si="160"/>
        <v>0</v>
      </c>
      <c r="CF109" s="93">
        <f t="shared" si="161"/>
        <v>0</v>
      </c>
      <c r="CG109" s="93" t="b">
        <f t="shared" si="127"/>
        <v>0</v>
      </c>
      <c r="CH109" s="93" t="b">
        <f t="shared" si="128"/>
        <v>0</v>
      </c>
      <c r="CI109" s="93" t="b">
        <f t="shared" si="129"/>
        <v>0</v>
      </c>
      <c r="CK109" s="93" t="b">
        <f t="shared" si="130"/>
        <v>0</v>
      </c>
      <c r="CL109" s="93" t="b">
        <f t="shared" si="131"/>
        <v>0</v>
      </c>
      <c r="CM109" s="93" t="b">
        <f t="shared" si="132"/>
        <v>0</v>
      </c>
      <c r="CN109" s="93" t="b">
        <f t="shared" si="133"/>
        <v>0</v>
      </c>
      <c r="DF109" s="206">
        <f t="shared" si="162"/>
        <v>9.9999999999999994E-12</v>
      </c>
      <c r="DG109" s="206">
        <f t="shared" si="177"/>
        <v>1.9999999999999999E-11</v>
      </c>
      <c r="DH109" s="206">
        <f t="shared" si="178"/>
        <v>3E-11</v>
      </c>
      <c r="DI109" s="206"/>
      <c r="DJ109" s="206">
        <f t="shared" si="179"/>
        <v>5.0000000000000002E-11</v>
      </c>
      <c r="DK109" s="206">
        <f t="shared" si="180"/>
        <v>6E-11</v>
      </c>
      <c r="DL109" s="206">
        <f t="shared" si="181"/>
        <v>7.0000000000000004E-11</v>
      </c>
      <c r="DM109" s="206">
        <f t="shared" si="182"/>
        <v>7.9999999999999995E-11</v>
      </c>
      <c r="DN109" s="93">
        <f t="shared" si="163"/>
        <v>0</v>
      </c>
      <c r="DO109" s="93">
        <f t="shared" si="164"/>
        <v>0</v>
      </c>
      <c r="DP109" s="93">
        <f t="shared" si="165"/>
        <v>0</v>
      </c>
      <c r="DR109" s="93">
        <f t="shared" si="166"/>
        <v>0</v>
      </c>
      <c r="DS109" s="93">
        <f t="shared" si="167"/>
        <v>0</v>
      </c>
      <c r="DT109" s="93">
        <f t="shared" si="168"/>
        <v>0</v>
      </c>
      <c r="DU109" s="93">
        <f t="shared" si="169"/>
        <v>0</v>
      </c>
      <c r="DV109" s="93" t="b">
        <f t="shared" si="148"/>
        <v>0</v>
      </c>
      <c r="DW109" s="93" t="b">
        <f t="shared" si="149"/>
        <v>0</v>
      </c>
      <c r="DX109" s="93" t="b">
        <f t="shared" si="150"/>
        <v>0</v>
      </c>
      <c r="DZ109" s="93" t="b">
        <f t="shared" si="151"/>
        <v>0</v>
      </c>
      <c r="EA109" s="93" t="b">
        <f t="shared" si="152"/>
        <v>0</v>
      </c>
      <c r="EB109" s="93" t="b">
        <f t="shared" si="153"/>
        <v>0</v>
      </c>
      <c r="EC109" s="93" t="b">
        <f t="shared" si="154"/>
        <v>0</v>
      </c>
      <c r="ED109" s="93" t="s">
        <v>394</v>
      </c>
      <c r="EE109" s="93" t="s">
        <v>394</v>
      </c>
      <c r="EF109" s="93" t="s">
        <v>394</v>
      </c>
      <c r="EH109" s="93" t="s">
        <v>394</v>
      </c>
      <c r="EI109" s="93" t="s">
        <v>394</v>
      </c>
      <c r="EJ109" s="93" t="s">
        <v>394</v>
      </c>
      <c r="EK109" s="93" t="s">
        <v>394</v>
      </c>
      <c r="EL109" s="93" t="s">
        <v>394</v>
      </c>
      <c r="EM109" s="93" t="s">
        <v>394</v>
      </c>
      <c r="EN109" s="93" t="s">
        <v>394</v>
      </c>
      <c r="EP109" s="93" t="s">
        <v>394</v>
      </c>
      <c r="EQ109" s="93" t="s">
        <v>394</v>
      </c>
      <c r="ER109" s="93" t="s">
        <v>394</v>
      </c>
      <c r="ES109" s="93" t="s">
        <v>394</v>
      </c>
      <c r="FB109" s="93" t="s">
        <v>394</v>
      </c>
      <c r="FC109" s="93" t="s">
        <v>394</v>
      </c>
      <c r="FD109" s="93" t="s">
        <v>394</v>
      </c>
      <c r="FE109" s="93" t="s">
        <v>394</v>
      </c>
      <c r="FF109" s="93" t="s">
        <v>394</v>
      </c>
      <c r="FG109" s="93" t="s">
        <v>394</v>
      </c>
      <c r="FH109" s="93" t="s">
        <v>394</v>
      </c>
      <c r="FI109" s="93" t="s">
        <v>394</v>
      </c>
      <c r="FJ109" s="93" t="s">
        <v>394</v>
      </c>
      <c r="FK109" s="93" t="s">
        <v>394</v>
      </c>
      <c r="FL109" s="93" t="s">
        <v>394</v>
      </c>
      <c r="FM109" s="93" t="s">
        <v>394</v>
      </c>
      <c r="FN109" s="93" t="s">
        <v>394</v>
      </c>
      <c r="FO109" s="93" t="s">
        <v>394</v>
      </c>
      <c r="FP109" s="93" t="s">
        <v>394</v>
      </c>
      <c r="FQ109" s="93" t="s">
        <v>394</v>
      </c>
    </row>
    <row r="110" spans="1:173" s="93" customFormat="1">
      <c r="A110" s="335" t="s">
        <v>1064</v>
      </c>
      <c r="B110" s="346" t="s">
        <v>1064</v>
      </c>
      <c r="C110" s="346" t="s">
        <v>225</v>
      </c>
      <c r="D110" s="346" t="s">
        <v>1058</v>
      </c>
      <c r="E110" s="346" t="s">
        <v>1065</v>
      </c>
      <c r="F110" s="424" t="s">
        <v>785</v>
      </c>
      <c r="G110" s="346">
        <v>175.2</v>
      </c>
      <c r="H110" s="346" t="s">
        <v>324</v>
      </c>
      <c r="I110" s="346">
        <v>174.5</v>
      </c>
      <c r="J110" s="346">
        <v>169</v>
      </c>
      <c r="N110" s="346"/>
      <c r="O110" s="346"/>
      <c r="P110" s="346" t="s">
        <v>2336</v>
      </c>
      <c r="Q110" s="346" t="s">
        <v>1108</v>
      </c>
      <c r="R110" s="346" t="s">
        <v>2335</v>
      </c>
      <c r="S110" s="346" t="s">
        <v>1066</v>
      </c>
      <c r="T110" s="346" t="s">
        <v>1046</v>
      </c>
      <c r="U110" s="346">
        <v>48</v>
      </c>
      <c r="V110" s="346" cm="1">
        <f t="array" ref="V110">IFERROR(INDEX('Offer Statistics'!$AZ$2:$AZ$350,MATCH(1,($B110='Offer Statistics'!$AK$2:$AK$350)*($B$11='Offer Statistics'!$AL$2:$AL$350),0)),"/")</f>
        <v>65</v>
      </c>
      <c r="W110" s="346" cm="1">
        <f t="array" ref="W110">IFERROR(INDEX('Offer Statistics'!$AM$2:$AM$350,MATCH(1,($B110='Offer Statistics'!$AK$2:$AK$350)*($B$11='Offer Statistics'!$AL$2:$AL$350),0)),"/")</f>
        <v>664</v>
      </c>
      <c r="X110" s="346" cm="1">
        <f t="array" ref="X110">IFERROR(INDEX('Offer Statistics'!$AU$2:$AU$350,MATCH(1,($B110='Offer Statistics'!$AK$2:$AK$350)*($B$11='Offer Statistics'!$AL$2:$AL$350),0)),"/")</f>
        <v>59</v>
      </c>
      <c r="Y110" s="346">
        <f t="shared" si="112"/>
        <v>11.254237288135593</v>
      </c>
      <c r="Z110" s="346" t="s">
        <v>1046</v>
      </c>
      <c r="AA110" s="346" t="str">
        <f>入學要求!AF118</f>
        <v>/</v>
      </c>
      <c r="AB110" s="346" t="str">
        <f>入學要求!AG118</f>
        <v>/</v>
      </c>
      <c r="AC110" s="346" t="s">
        <v>785</v>
      </c>
      <c r="AD110" s="51"/>
      <c r="AE110" s="51"/>
      <c r="AF110" s="333" t="s">
        <v>324</v>
      </c>
      <c r="AG110" s="333" t="s">
        <v>324</v>
      </c>
      <c r="AH110" s="426" t="s">
        <v>2336</v>
      </c>
      <c r="AI110" s="426" t="s">
        <v>1108</v>
      </c>
      <c r="AJ110" s="426" t="s">
        <v>2335</v>
      </c>
      <c r="AK110" s="346" t="s">
        <v>324</v>
      </c>
      <c r="AL110" s="346" t="s">
        <v>324</v>
      </c>
      <c r="AM110" s="346" t="s">
        <v>324</v>
      </c>
      <c r="AN110" s="346" t="s">
        <v>324</v>
      </c>
      <c r="AO110" s="346" t="s">
        <v>324</v>
      </c>
      <c r="AP110" s="346" t="s">
        <v>324</v>
      </c>
      <c r="AQ110" s="346" t="s">
        <v>324</v>
      </c>
      <c r="AR110" s="346" t="s">
        <v>324</v>
      </c>
      <c r="AS110" s="346"/>
      <c r="AT110" s="93" t="s">
        <v>716</v>
      </c>
      <c r="AV110" s="93" t="s">
        <v>713</v>
      </c>
      <c r="AW110" s="93" t="s">
        <v>324</v>
      </c>
      <c r="AX110" s="93" t="s">
        <v>324</v>
      </c>
      <c r="AY110" s="93" t="s">
        <v>324</v>
      </c>
      <c r="BQ110" s="365">
        <f t="shared" si="170"/>
        <v>3.9999999999999998E-11</v>
      </c>
      <c r="BR110" s="365">
        <f t="shared" si="171"/>
        <v>1.9999999999999999E-11</v>
      </c>
      <c r="BS110" s="365">
        <f t="shared" si="172"/>
        <v>3E-11</v>
      </c>
      <c r="BT110" s="365"/>
      <c r="BU110" s="365">
        <f t="shared" si="173"/>
        <v>5.0000000000000002E-11</v>
      </c>
      <c r="BV110" s="365">
        <f t="shared" si="174"/>
        <v>6E-11</v>
      </c>
      <c r="BW110" s="365">
        <f t="shared" si="175"/>
        <v>7.0000000000000004E-11</v>
      </c>
      <c r="BX110" s="365">
        <f t="shared" si="176"/>
        <v>7.9999999999999995E-11</v>
      </c>
      <c r="BY110" s="93">
        <f t="shared" si="155"/>
        <v>0</v>
      </c>
      <c r="BZ110" s="93">
        <f t="shared" si="156"/>
        <v>0</v>
      </c>
      <c r="CA110" s="93">
        <f t="shared" si="157"/>
        <v>0</v>
      </c>
      <c r="CC110" s="93">
        <f t="shared" si="158"/>
        <v>0</v>
      </c>
      <c r="CD110" s="93">
        <f t="shared" si="159"/>
        <v>0</v>
      </c>
      <c r="CE110" s="93">
        <f t="shared" si="160"/>
        <v>0</v>
      </c>
      <c r="CF110" s="93">
        <f t="shared" si="161"/>
        <v>0</v>
      </c>
      <c r="CG110" s="93" t="b">
        <f t="shared" si="127"/>
        <v>0</v>
      </c>
      <c r="CH110" s="93" t="b">
        <f t="shared" si="128"/>
        <v>0</v>
      </c>
      <c r="CI110" s="93" t="b">
        <f t="shared" si="129"/>
        <v>0</v>
      </c>
      <c r="CK110" s="93" t="b">
        <f t="shared" si="130"/>
        <v>0</v>
      </c>
      <c r="CL110" s="93" t="b">
        <f t="shared" si="131"/>
        <v>0</v>
      </c>
      <c r="CM110" s="93" t="b">
        <f t="shared" si="132"/>
        <v>0</v>
      </c>
      <c r="CN110" s="93" t="b">
        <f t="shared" si="133"/>
        <v>0</v>
      </c>
      <c r="DF110" s="206">
        <f t="shared" si="162"/>
        <v>9.9999999999999994E-12</v>
      </c>
      <c r="DG110" s="206">
        <f t="shared" si="177"/>
        <v>1.9999999999999999E-11</v>
      </c>
      <c r="DH110" s="206">
        <f t="shared" si="178"/>
        <v>3E-11</v>
      </c>
      <c r="DI110" s="206"/>
      <c r="DJ110" s="206">
        <f t="shared" si="179"/>
        <v>5.0000000000000002E-11</v>
      </c>
      <c r="DK110" s="206">
        <f t="shared" si="180"/>
        <v>6E-11</v>
      </c>
      <c r="DL110" s="206">
        <f t="shared" si="181"/>
        <v>7.0000000000000004E-11</v>
      </c>
      <c r="DM110" s="206">
        <f t="shared" si="182"/>
        <v>7.9999999999999995E-11</v>
      </c>
      <c r="DN110" s="93">
        <f t="shared" si="163"/>
        <v>0</v>
      </c>
      <c r="DO110" s="93">
        <f t="shared" si="164"/>
        <v>0</v>
      </c>
      <c r="DP110" s="93">
        <f t="shared" si="165"/>
        <v>0</v>
      </c>
      <c r="DR110" s="93">
        <f t="shared" si="166"/>
        <v>0</v>
      </c>
      <c r="DS110" s="93">
        <f t="shared" si="167"/>
        <v>0</v>
      </c>
      <c r="DT110" s="93">
        <f t="shared" si="168"/>
        <v>0</v>
      </c>
      <c r="DU110" s="93">
        <f t="shared" si="169"/>
        <v>0</v>
      </c>
      <c r="DV110" s="93" t="b">
        <f t="shared" si="148"/>
        <v>0</v>
      </c>
      <c r="DW110" s="93" t="b">
        <f t="shared" si="149"/>
        <v>0</v>
      </c>
      <c r="DX110" s="93" t="b">
        <f t="shared" si="150"/>
        <v>0</v>
      </c>
      <c r="DZ110" s="93" t="b">
        <f t="shared" si="151"/>
        <v>0</v>
      </c>
      <c r="EA110" s="93" t="b">
        <f t="shared" si="152"/>
        <v>0</v>
      </c>
      <c r="EB110" s="93" t="b">
        <f t="shared" si="153"/>
        <v>0</v>
      </c>
      <c r="EC110" s="93" t="b">
        <f t="shared" si="154"/>
        <v>0</v>
      </c>
      <c r="ED110" s="93" t="s">
        <v>394</v>
      </c>
      <c r="EE110" s="93" t="s">
        <v>394</v>
      </c>
      <c r="EF110" s="93" t="s">
        <v>394</v>
      </c>
      <c r="EH110" s="93" t="s">
        <v>394</v>
      </c>
      <c r="EI110" s="93" t="s">
        <v>394</v>
      </c>
      <c r="EJ110" s="93" t="s">
        <v>394</v>
      </c>
      <c r="EK110" s="93" t="s">
        <v>394</v>
      </c>
      <c r="EL110" s="93" t="s">
        <v>394</v>
      </c>
      <c r="EM110" s="93" t="s">
        <v>394</v>
      </c>
      <c r="EN110" s="93" t="s">
        <v>394</v>
      </c>
      <c r="EP110" s="93" t="s">
        <v>394</v>
      </c>
      <c r="EQ110" s="93" t="s">
        <v>394</v>
      </c>
      <c r="ER110" s="93" t="s">
        <v>394</v>
      </c>
      <c r="ES110" s="93" t="s">
        <v>394</v>
      </c>
      <c r="FB110" s="93" t="s">
        <v>394</v>
      </c>
      <c r="FC110" s="93" t="s">
        <v>394</v>
      </c>
      <c r="FD110" s="93" t="s">
        <v>394</v>
      </c>
      <c r="FE110" s="93" t="s">
        <v>394</v>
      </c>
      <c r="FF110" s="93" t="s">
        <v>394</v>
      </c>
      <c r="FG110" s="93" t="s">
        <v>394</v>
      </c>
      <c r="FH110" s="93" t="s">
        <v>394</v>
      </c>
      <c r="FI110" s="93" t="s">
        <v>394</v>
      </c>
      <c r="FJ110" s="93" t="s">
        <v>394</v>
      </c>
      <c r="FK110" s="93" t="s">
        <v>394</v>
      </c>
      <c r="FL110" s="93" t="s">
        <v>394</v>
      </c>
      <c r="FM110" s="93" t="s">
        <v>394</v>
      </c>
      <c r="FN110" s="93" t="s">
        <v>394</v>
      </c>
      <c r="FO110" s="93" t="s">
        <v>394</v>
      </c>
      <c r="FP110" s="93" t="s">
        <v>394</v>
      </c>
      <c r="FQ110" s="93" t="s">
        <v>394</v>
      </c>
    </row>
    <row r="111" spans="1:173" s="93" customFormat="1">
      <c r="A111" s="335" t="s">
        <v>1077</v>
      </c>
      <c r="B111" s="346" t="s">
        <v>1077</v>
      </c>
      <c r="C111" s="346" t="s">
        <v>225</v>
      </c>
      <c r="D111" s="346" t="s">
        <v>1068</v>
      </c>
      <c r="E111" s="346" t="s">
        <v>2736</v>
      </c>
      <c r="F111" s="424" t="s">
        <v>785</v>
      </c>
      <c r="G111" s="346">
        <v>199.5</v>
      </c>
      <c r="H111" s="346" t="s">
        <v>324</v>
      </c>
      <c r="I111" s="346">
        <v>199.5</v>
      </c>
      <c r="J111" s="346">
        <v>191</v>
      </c>
      <c r="N111" s="346"/>
      <c r="O111" s="346"/>
      <c r="P111" s="346" t="s">
        <v>3023</v>
      </c>
      <c r="Q111" s="346" t="s">
        <v>1108</v>
      </c>
      <c r="R111" s="346" t="s">
        <v>324</v>
      </c>
      <c r="S111" s="346" t="s">
        <v>2735</v>
      </c>
      <c r="T111" s="346" t="s">
        <v>1046</v>
      </c>
      <c r="U111" s="346">
        <v>35</v>
      </c>
      <c r="V111" s="346" cm="1">
        <f t="array" ref="V111">IFERROR(INDEX('Offer Statistics'!$AZ$2:$AZ$350,MATCH(1,($B111='Offer Statistics'!$AK$2:$AK$350)*($B$11='Offer Statistics'!$AL$2:$AL$350),0)),"/")</f>
        <v>26</v>
      </c>
      <c r="W111" s="346" cm="1">
        <f t="array" ref="W111">IFERROR(INDEX('Offer Statistics'!$AM$2:$AM$350,MATCH(1,($B111='Offer Statistics'!$AK$2:$AK$350)*($B$11='Offer Statistics'!$AL$2:$AL$350),0)),"/")</f>
        <v>173</v>
      </c>
      <c r="X111" s="346" cm="1">
        <f t="array" ref="X111">IFERROR(INDEX('Offer Statistics'!$AU$2:$AU$350,MATCH(1,($B111='Offer Statistics'!$AK$2:$AK$350)*($B$11='Offer Statistics'!$AL$2:$AL$350),0)),"/")</f>
        <v>26</v>
      </c>
      <c r="Y111" s="346">
        <f t="shared" si="112"/>
        <v>6.6538461538461542</v>
      </c>
      <c r="Z111" s="346" t="s">
        <v>1046</v>
      </c>
      <c r="AA111" s="346" t="str">
        <f>入學要求!AF119</f>
        <v>/</v>
      </c>
      <c r="AB111" s="346" t="str">
        <f>入學要求!AG119</f>
        <v>/</v>
      </c>
      <c r="AC111" s="346" t="s">
        <v>785</v>
      </c>
      <c r="AD111" s="334"/>
      <c r="AE111" s="51"/>
      <c r="AF111" s="333" t="s">
        <v>324</v>
      </c>
      <c r="AG111" s="333" t="s">
        <v>324</v>
      </c>
      <c r="AH111" s="426" t="s">
        <v>3023</v>
      </c>
      <c r="AI111" s="426" t="s">
        <v>1108</v>
      </c>
      <c r="AJ111" s="426" t="s">
        <v>324</v>
      </c>
      <c r="AK111" s="346" t="s">
        <v>324</v>
      </c>
      <c r="AL111" s="346" t="s">
        <v>324</v>
      </c>
      <c r="AM111" s="346" t="s">
        <v>324</v>
      </c>
      <c r="AN111" s="346" t="s">
        <v>324</v>
      </c>
      <c r="AO111" s="346" t="s">
        <v>324</v>
      </c>
      <c r="AP111" s="346" t="s">
        <v>324</v>
      </c>
      <c r="AQ111" s="346" t="s">
        <v>324</v>
      </c>
      <c r="AR111" s="346" t="s">
        <v>324</v>
      </c>
      <c r="AS111" s="346"/>
      <c r="AT111" s="93" t="s">
        <v>716</v>
      </c>
      <c r="AV111" s="93" t="s">
        <v>713</v>
      </c>
      <c r="AW111" s="93" t="s">
        <v>324</v>
      </c>
      <c r="AX111" s="93" t="s">
        <v>324</v>
      </c>
      <c r="AY111" s="93" t="s">
        <v>324</v>
      </c>
      <c r="BQ111" s="365">
        <f t="shared" si="170"/>
        <v>3.9999999999999998E-11</v>
      </c>
      <c r="BR111" s="365">
        <f t="shared" si="171"/>
        <v>1.9999999999999999E-11</v>
      </c>
      <c r="BS111" s="365">
        <f t="shared" si="172"/>
        <v>3E-11</v>
      </c>
      <c r="BT111" s="365"/>
      <c r="BU111" s="365">
        <f t="shared" si="173"/>
        <v>5.0000000000000002E-11</v>
      </c>
      <c r="BV111" s="365">
        <f t="shared" si="174"/>
        <v>6E-11</v>
      </c>
      <c r="BW111" s="365">
        <f t="shared" si="175"/>
        <v>7.0000000000000004E-11</v>
      </c>
      <c r="BX111" s="365">
        <f t="shared" si="176"/>
        <v>7.9999999999999995E-11</v>
      </c>
      <c r="BY111" s="93">
        <f t="shared" si="155"/>
        <v>0</v>
      </c>
      <c r="BZ111" s="93">
        <f t="shared" si="156"/>
        <v>0</v>
      </c>
      <c r="CA111" s="93">
        <f t="shared" si="157"/>
        <v>0</v>
      </c>
      <c r="CC111" s="93">
        <f t="shared" si="158"/>
        <v>0</v>
      </c>
      <c r="CD111" s="93">
        <f t="shared" si="159"/>
        <v>0</v>
      </c>
      <c r="CE111" s="93">
        <f t="shared" si="160"/>
        <v>0</v>
      </c>
      <c r="CF111" s="93">
        <f t="shared" si="161"/>
        <v>0</v>
      </c>
      <c r="CG111" s="93" t="b">
        <f t="shared" si="127"/>
        <v>0</v>
      </c>
      <c r="CH111" s="93" t="b">
        <f t="shared" si="128"/>
        <v>0</v>
      </c>
      <c r="CI111" s="93" t="b">
        <f t="shared" si="129"/>
        <v>0</v>
      </c>
      <c r="CK111" s="93" t="b">
        <f t="shared" si="130"/>
        <v>0</v>
      </c>
      <c r="CL111" s="93" t="b">
        <f t="shared" si="131"/>
        <v>0</v>
      </c>
      <c r="CM111" s="93" t="b">
        <f t="shared" si="132"/>
        <v>0</v>
      </c>
      <c r="CN111" s="93" t="b">
        <f t="shared" si="133"/>
        <v>0</v>
      </c>
      <c r="DF111" s="206">
        <f t="shared" si="162"/>
        <v>9.9999999999999994E-12</v>
      </c>
      <c r="DG111" s="206">
        <f>IFERROR(CY111+0.00000000002,0)</f>
        <v>1.9999999999999999E-11</v>
      </c>
      <c r="DH111" s="206">
        <f>IFERROR(CZ111+0.00000000003,0)</f>
        <v>3E-11</v>
      </c>
      <c r="DI111" s="206"/>
      <c r="DJ111" s="206">
        <f>IFERROR(DB111+0.00000000005,0)</f>
        <v>5.0000000000000002E-11</v>
      </c>
      <c r="DK111" s="206">
        <f>IFERROR(DC111+0.00000000006,0)</f>
        <v>6E-11</v>
      </c>
      <c r="DL111" s="206">
        <f>IFERROR(DD111+0.00000000007,0)</f>
        <v>7.0000000000000004E-11</v>
      </c>
      <c r="DM111" s="206">
        <f>IFERROR(DE111+0.00000000008,0)</f>
        <v>7.9999999999999995E-11</v>
      </c>
      <c r="DN111" s="93">
        <f t="shared" si="163"/>
        <v>0</v>
      </c>
      <c r="DO111" s="93">
        <f t="shared" si="164"/>
        <v>0</v>
      </c>
      <c r="DP111" s="93">
        <f t="shared" si="165"/>
        <v>0</v>
      </c>
      <c r="DR111" s="93">
        <f t="shared" si="166"/>
        <v>0</v>
      </c>
      <c r="DS111" s="93">
        <f t="shared" si="167"/>
        <v>0</v>
      </c>
      <c r="DT111" s="93">
        <f t="shared" si="168"/>
        <v>0</v>
      </c>
      <c r="DU111" s="93">
        <f t="shared" si="169"/>
        <v>0</v>
      </c>
      <c r="DV111" s="93" t="b">
        <f t="shared" si="148"/>
        <v>0</v>
      </c>
      <c r="DW111" s="93" t="b">
        <f t="shared" si="149"/>
        <v>0</v>
      </c>
      <c r="DX111" s="93" t="b">
        <f t="shared" si="150"/>
        <v>0</v>
      </c>
      <c r="DZ111" s="93" t="b">
        <f t="shared" si="151"/>
        <v>0</v>
      </c>
      <c r="EA111" s="93" t="b">
        <f t="shared" si="152"/>
        <v>0</v>
      </c>
      <c r="EB111" s="93" t="b">
        <f t="shared" si="153"/>
        <v>0</v>
      </c>
      <c r="EC111" s="93" t="b">
        <f t="shared" si="154"/>
        <v>0</v>
      </c>
      <c r="ED111" s="93" t="s">
        <v>394</v>
      </c>
      <c r="EE111" s="93" t="s">
        <v>394</v>
      </c>
      <c r="EF111" s="93" t="s">
        <v>394</v>
      </c>
      <c r="EH111" s="93" t="s">
        <v>394</v>
      </c>
      <c r="EI111" s="93" t="s">
        <v>394</v>
      </c>
      <c r="EJ111" s="93" t="s">
        <v>394</v>
      </c>
      <c r="EK111" s="93" t="s">
        <v>394</v>
      </c>
      <c r="EL111" s="93" t="s">
        <v>394</v>
      </c>
      <c r="EM111" s="93" t="s">
        <v>394</v>
      </c>
      <c r="EN111" s="93" t="s">
        <v>394</v>
      </c>
      <c r="EP111" s="93" t="s">
        <v>394</v>
      </c>
      <c r="EQ111" s="93" t="s">
        <v>394</v>
      </c>
      <c r="ER111" s="93" t="s">
        <v>394</v>
      </c>
      <c r="ES111" s="93" t="s">
        <v>394</v>
      </c>
      <c r="FB111" s="93" t="s">
        <v>394</v>
      </c>
      <c r="FC111" s="93" t="s">
        <v>394</v>
      </c>
      <c r="FD111" s="93" t="s">
        <v>394</v>
      </c>
      <c r="FE111" s="93" t="s">
        <v>394</v>
      </c>
      <c r="FF111" s="93" t="s">
        <v>394</v>
      </c>
      <c r="FG111" s="93" t="s">
        <v>394</v>
      </c>
      <c r="FH111" s="93" t="s">
        <v>394</v>
      </c>
      <c r="FI111" s="93" t="s">
        <v>394</v>
      </c>
      <c r="FJ111" s="93" t="s">
        <v>394</v>
      </c>
      <c r="FK111" s="93" t="s">
        <v>394</v>
      </c>
      <c r="FL111" s="93" t="s">
        <v>394</v>
      </c>
      <c r="FM111" s="93" t="s">
        <v>394</v>
      </c>
      <c r="FN111" s="93" t="s">
        <v>394</v>
      </c>
      <c r="FO111" s="93" t="s">
        <v>394</v>
      </c>
      <c r="FP111" s="93" t="s">
        <v>394</v>
      </c>
      <c r="FQ111" s="93" t="s">
        <v>394</v>
      </c>
    </row>
    <row r="112" spans="1:173" s="93" customFormat="1">
      <c r="A112" s="335" t="s">
        <v>1080</v>
      </c>
      <c r="B112" s="346" t="s">
        <v>1080</v>
      </c>
      <c r="C112" s="346" t="s">
        <v>225</v>
      </c>
      <c r="D112" s="346" t="s">
        <v>1081</v>
      </c>
      <c r="E112" s="346" t="s">
        <v>1082</v>
      </c>
      <c r="F112" s="424" t="s">
        <v>785</v>
      </c>
      <c r="G112" s="346">
        <v>203.3</v>
      </c>
      <c r="H112" s="346" t="s">
        <v>324</v>
      </c>
      <c r="I112" s="346">
        <v>195</v>
      </c>
      <c r="J112" s="346">
        <v>184</v>
      </c>
      <c r="N112" s="346"/>
      <c r="O112" s="346"/>
      <c r="P112" s="346" t="s">
        <v>3024</v>
      </c>
      <c r="Q112" s="346" t="s">
        <v>3020</v>
      </c>
      <c r="R112" s="346" t="s">
        <v>2337</v>
      </c>
      <c r="S112" s="346" t="s">
        <v>1083</v>
      </c>
      <c r="T112" s="346" t="s">
        <v>1046</v>
      </c>
      <c r="U112" s="346">
        <v>49</v>
      </c>
      <c r="V112" s="346" cm="1">
        <f t="array" ref="V112">IFERROR(INDEX('Offer Statistics'!$AZ$2:$AZ$350,MATCH(1,($B112='Offer Statistics'!$AK$2:$AK$350)*($B$11='Offer Statistics'!$AL$2:$AL$350),0)),"/")</f>
        <v>48</v>
      </c>
      <c r="W112" s="346" cm="1">
        <f t="array" ref="W112">IFERROR(INDEX('Offer Statistics'!$AM$2:$AM$350,MATCH(1,($B112='Offer Statistics'!$AK$2:$AK$350)*($B$11='Offer Statistics'!$AL$2:$AL$350),0)),"/")</f>
        <v>426</v>
      </c>
      <c r="X112" s="346" cm="1">
        <f t="array" ref="X112">IFERROR(INDEX('Offer Statistics'!$AU$2:$AU$350,MATCH(1,($B112='Offer Statistics'!$AK$2:$AK$350)*($B$11='Offer Statistics'!$AL$2:$AL$350),0)),"/")</f>
        <v>39</v>
      </c>
      <c r="Y112" s="346">
        <f t="shared" si="112"/>
        <v>10.923076923076923</v>
      </c>
      <c r="Z112" s="346" t="s">
        <v>1046</v>
      </c>
      <c r="AA112" s="346" t="str">
        <f>入學要求!AF149</f>
        <v>/</v>
      </c>
      <c r="AB112" s="346" t="str">
        <f>入學要求!AG149</f>
        <v>/</v>
      </c>
      <c r="AC112" s="346" t="s">
        <v>785</v>
      </c>
      <c r="AD112" s="334"/>
      <c r="AE112" s="51"/>
      <c r="AF112" s="333" t="s">
        <v>324</v>
      </c>
      <c r="AG112" s="333" t="s">
        <v>324</v>
      </c>
      <c r="AH112" s="426" t="s">
        <v>3024</v>
      </c>
      <c r="AI112" s="426" t="s">
        <v>3020</v>
      </c>
      <c r="AJ112" s="426" t="s">
        <v>2337</v>
      </c>
      <c r="AK112" s="346" t="s">
        <v>324</v>
      </c>
      <c r="AL112" s="346" t="s">
        <v>324</v>
      </c>
      <c r="AM112" s="346" t="s">
        <v>324</v>
      </c>
      <c r="AN112" s="346" t="s">
        <v>324</v>
      </c>
      <c r="AO112" s="346" t="s">
        <v>324</v>
      </c>
      <c r="AP112" s="346" t="s">
        <v>324</v>
      </c>
      <c r="AQ112" s="346" t="s">
        <v>324</v>
      </c>
      <c r="AR112" s="346" t="s">
        <v>324</v>
      </c>
      <c r="AS112" s="346"/>
      <c r="AT112" s="93" t="s">
        <v>716</v>
      </c>
      <c r="AV112" s="93" t="s">
        <v>713</v>
      </c>
      <c r="AW112" s="93" t="s">
        <v>324</v>
      </c>
      <c r="AX112" s="93" t="s">
        <v>324</v>
      </c>
      <c r="AY112" s="93" t="s">
        <v>324</v>
      </c>
      <c r="BQ112" s="365">
        <f t="shared" si="170"/>
        <v>3.9999999999999998E-11</v>
      </c>
      <c r="BR112" s="365">
        <f t="shared" si="171"/>
        <v>1.9999999999999999E-11</v>
      </c>
      <c r="BS112" s="365">
        <f t="shared" si="172"/>
        <v>3E-11</v>
      </c>
      <c r="BT112" s="365"/>
      <c r="BU112" s="365">
        <f t="shared" si="173"/>
        <v>5.0000000000000002E-11</v>
      </c>
      <c r="BV112" s="365">
        <f t="shared" si="174"/>
        <v>6E-11</v>
      </c>
      <c r="BW112" s="365">
        <f t="shared" si="175"/>
        <v>7.0000000000000004E-11</v>
      </c>
      <c r="BX112" s="365">
        <f t="shared" si="176"/>
        <v>7.9999999999999995E-11</v>
      </c>
      <c r="BY112" s="93">
        <f t="shared" si="155"/>
        <v>0</v>
      </c>
      <c r="BZ112" s="93">
        <f t="shared" si="156"/>
        <v>0</v>
      </c>
      <c r="CA112" s="93">
        <f t="shared" si="157"/>
        <v>0</v>
      </c>
      <c r="CC112" s="93">
        <f t="shared" si="158"/>
        <v>0</v>
      </c>
      <c r="CD112" s="93">
        <f t="shared" si="159"/>
        <v>0</v>
      </c>
      <c r="CE112" s="93">
        <f t="shared" si="160"/>
        <v>0</v>
      </c>
      <c r="CF112" s="93">
        <f t="shared" si="161"/>
        <v>0</v>
      </c>
      <c r="CG112" s="93" t="b">
        <f t="shared" si="127"/>
        <v>0</v>
      </c>
      <c r="CH112" s="93" t="b">
        <f t="shared" si="128"/>
        <v>0</v>
      </c>
      <c r="CI112" s="93" t="b">
        <f t="shared" si="129"/>
        <v>0</v>
      </c>
      <c r="CK112" s="93" t="b">
        <f t="shared" si="130"/>
        <v>0</v>
      </c>
      <c r="CL112" s="93" t="b">
        <f t="shared" si="131"/>
        <v>0</v>
      </c>
      <c r="CM112" s="93" t="b">
        <f t="shared" si="132"/>
        <v>0</v>
      </c>
      <c r="CN112" s="93" t="b">
        <f t="shared" si="133"/>
        <v>0</v>
      </c>
      <c r="DF112" s="206">
        <f t="shared" si="162"/>
        <v>9.9999999999999994E-12</v>
      </c>
      <c r="DG112" s="206">
        <f t="shared" si="177"/>
        <v>1.9999999999999999E-11</v>
      </c>
      <c r="DH112" s="206">
        <f t="shared" si="178"/>
        <v>3E-11</v>
      </c>
      <c r="DI112" s="206"/>
      <c r="DJ112" s="206">
        <f t="shared" si="179"/>
        <v>5.0000000000000002E-11</v>
      </c>
      <c r="DK112" s="206">
        <f t="shared" si="180"/>
        <v>6E-11</v>
      </c>
      <c r="DL112" s="206">
        <f t="shared" si="181"/>
        <v>7.0000000000000004E-11</v>
      </c>
      <c r="DM112" s="206">
        <f t="shared" si="182"/>
        <v>7.9999999999999995E-11</v>
      </c>
      <c r="DN112" s="93">
        <f t="shared" si="163"/>
        <v>0</v>
      </c>
      <c r="DO112" s="93">
        <f t="shared" si="164"/>
        <v>0</v>
      </c>
      <c r="DP112" s="93">
        <f t="shared" si="165"/>
        <v>0</v>
      </c>
      <c r="DR112" s="93">
        <f t="shared" si="166"/>
        <v>0</v>
      </c>
      <c r="DS112" s="93">
        <f t="shared" si="167"/>
        <v>0</v>
      </c>
      <c r="DT112" s="93">
        <f t="shared" si="168"/>
        <v>0</v>
      </c>
      <c r="DU112" s="93">
        <f t="shared" si="169"/>
        <v>0</v>
      </c>
      <c r="DV112" s="93" t="b">
        <f t="shared" si="148"/>
        <v>0</v>
      </c>
      <c r="DW112" s="93" t="b">
        <f t="shared" si="149"/>
        <v>0</v>
      </c>
      <c r="DX112" s="93" t="b">
        <f t="shared" si="150"/>
        <v>0</v>
      </c>
      <c r="DZ112" s="93" t="b">
        <f t="shared" si="151"/>
        <v>0</v>
      </c>
      <c r="EA112" s="93" t="b">
        <f t="shared" si="152"/>
        <v>0</v>
      </c>
      <c r="EB112" s="93" t="b">
        <f t="shared" si="153"/>
        <v>0</v>
      </c>
      <c r="EC112" s="93" t="b">
        <f t="shared" si="154"/>
        <v>0</v>
      </c>
      <c r="ED112" s="93" t="s">
        <v>394</v>
      </c>
      <c r="EE112" s="93" t="s">
        <v>394</v>
      </c>
      <c r="EF112" s="93" t="s">
        <v>394</v>
      </c>
      <c r="EH112" s="93" t="s">
        <v>394</v>
      </c>
      <c r="EI112" s="93" t="s">
        <v>394</v>
      </c>
      <c r="EJ112" s="93" t="s">
        <v>394</v>
      </c>
      <c r="EK112" s="93" t="s">
        <v>394</v>
      </c>
      <c r="EL112" s="93" t="s">
        <v>394</v>
      </c>
      <c r="EM112" s="93" t="s">
        <v>394</v>
      </c>
      <c r="EN112" s="93" t="s">
        <v>394</v>
      </c>
      <c r="EP112" s="93" t="s">
        <v>394</v>
      </c>
      <c r="EQ112" s="93" t="s">
        <v>394</v>
      </c>
      <c r="ER112" s="93" t="s">
        <v>394</v>
      </c>
      <c r="ES112" s="93" t="s">
        <v>394</v>
      </c>
      <c r="FB112" s="93" t="s">
        <v>394</v>
      </c>
      <c r="FC112" s="93" t="s">
        <v>394</v>
      </c>
      <c r="FD112" s="93" t="s">
        <v>394</v>
      </c>
      <c r="FE112" s="93" t="s">
        <v>394</v>
      </c>
      <c r="FF112" s="93" t="s">
        <v>394</v>
      </c>
      <c r="FG112" s="93" t="s">
        <v>394</v>
      </c>
      <c r="FH112" s="93" t="s">
        <v>394</v>
      </c>
      <c r="FI112" s="93" t="s">
        <v>394</v>
      </c>
      <c r="FJ112" s="93" t="s">
        <v>394</v>
      </c>
      <c r="FK112" s="93" t="s">
        <v>394</v>
      </c>
      <c r="FL112" s="93" t="s">
        <v>394</v>
      </c>
      <c r="FM112" s="93" t="s">
        <v>394</v>
      </c>
      <c r="FN112" s="93" t="s">
        <v>394</v>
      </c>
      <c r="FO112" s="93" t="s">
        <v>394</v>
      </c>
      <c r="FP112" s="93" t="s">
        <v>394</v>
      </c>
      <c r="FQ112" s="93" t="s">
        <v>394</v>
      </c>
    </row>
    <row r="113" spans="1:173" s="93" customFormat="1">
      <c r="A113" s="335" t="s">
        <v>1084</v>
      </c>
      <c r="B113" s="346" t="s">
        <v>1084</v>
      </c>
      <c r="C113" s="346" t="s">
        <v>225</v>
      </c>
      <c r="D113" s="346" t="s">
        <v>1081</v>
      </c>
      <c r="E113" s="346" t="s">
        <v>1085</v>
      </c>
      <c r="F113" s="424" t="s">
        <v>785</v>
      </c>
      <c r="G113" s="346">
        <v>211</v>
      </c>
      <c r="H113" s="346" t="s">
        <v>324</v>
      </c>
      <c r="I113" s="346">
        <v>208</v>
      </c>
      <c r="J113" s="346">
        <v>178</v>
      </c>
      <c r="N113" s="346"/>
      <c r="O113" s="346"/>
      <c r="P113" s="346" t="s">
        <v>2360</v>
      </c>
      <c r="Q113" s="346" t="s">
        <v>2327</v>
      </c>
      <c r="R113" s="346" t="s">
        <v>2337</v>
      </c>
      <c r="S113" s="346" t="s">
        <v>1086</v>
      </c>
      <c r="T113" s="346" t="s">
        <v>1046</v>
      </c>
      <c r="U113" s="346">
        <v>22</v>
      </c>
      <c r="V113" s="346" cm="1">
        <f t="array" ref="V113">IFERROR(INDEX('Offer Statistics'!$AZ$2:$AZ$350,MATCH(1,($B113='Offer Statistics'!$AK$2:$AK$350)*($B$11='Offer Statistics'!$AL$2:$AL$350),0)),"/")</f>
        <v>42</v>
      </c>
      <c r="W113" s="346" cm="1">
        <f t="array" ref="W113">IFERROR(INDEX('Offer Statistics'!$AM$2:$AM$350,MATCH(1,($B113='Offer Statistics'!$AK$2:$AK$350)*($B$11='Offer Statistics'!$AL$2:$AL$350),0)),"/")</f>
        <v>108</v>
      </c>
      <c r="X113" s="346" cm="1">
        <f t="array" ref="X113">IFERROR(INDEX('Offer Statistics'!$AU$2:$AU$350,MATCH(1,($B113='Offer Statistics'!$AK$2:$AK$350)*($B$11='Offer Statistics'!$AL$2:$AL$350),0)),"/")</f>
        <v>28</v>
      </c>
      <c r="Y113" s="346">
        <f t="shared" si="112"/>
        <v>3.8571428571428572</v>
      </c>
      <c r="Z113" s="346" t="s">
        <v>1046</v>
      </c>
      <c r="AA113" s="346" t="str">
        <f>入學要求!AF125</f>
        <v>/</v>
      </c>
      <c r="AB113" s="346" t="str">
        <f>入學要求!AG125</f>
        <v>/</v>
      </c>
      <c r="AC113" s="346" t="s">
        <v>785</v>
      </c>
      <c r="AD113" s="334"/>
      <c r="AE113" s="51"/>
      <c r="AF113" s="333" t="s">
        <v>324</v>
      </c>
      <c r="AG113" s="333" t="s">
        <v>324</v>
      </c>
      <c r="AH113" s="426" t="s">
        <v>2360</v>
      </c>
      <c r="AI113" s="426" t="s">
        <v>2327</v>
      </c>
      <c r="AJ113" s="426" t="s">
        <v>2337</v>
      </c>
      <c r="AK113" s="346" t="s">
        <v>324</v>
      </c>
      <c r="AL113" s="346" t="s">
        <v>324</v>
      </c>
      <c r="AM113" s="346" t="s">
        <v>324</v>
      </c>
      <c r="AN113" s="346" t="s">
        <v>324</v>
      </c>
      <c r="AO113" s="346" t="s">
        <v>324</v>
      </c>
      <c r="AP113" s="346" t="s">
        <v>324</v>
      </c>
      <c r="AQ113" s="346" t="s">
        <v>324</v>
      </c>
      <c r="AR113" s="346" t="s">
        <v>324</v>
      </c>
      <c r="AS113" s="346"/>
      <c r="AT113" s="93" t="s">
        <v>716</v>
      </c>
      <c r="AV113" s="93" t="s">
        <v>713</v>
      </c>
      <c r="AW113" s="93" t="s">
        <v>324</v>
      </c>
      <c r="AX113" s="93" t="s">
        <v>324</v>
      </c>
      <c r="AY113" s="93" t="s">
        <v>324</v>
      </c>
      <c r="BQ113" s="365">
        <f t="shared" si="170"/>
        <v>3.9999999999999998E-11</v>
      </c>
      <c r="BR113" s="365">
        <f t="shared" si="171"/>
        <v>1.9999999999999999E-11</v>
      </c>
      <c r="BS113" s="365">
        <f t="shared" si="172"/>
        <v>3E-11</v>
      </c>
      <c r="BT113" s="365"/>
      <c r="BU113" s="365">
        <f t="shared" si="173"/>
        <v>5.0000000000000002E-11</v>
      </c>
      <c r="BV113" s="365">
        <f t="shared" si="174"/>
        <v>6E-11</v>
      </c>
      <c r="BW113" s="365">
        <f t="shared" si="175"/>
        <v>7.0000000000000004E-11</v>
      </c>
      <c r="BX113" s="365">
        <f t="shared" si="176"/>
        <v>7.9999999999999995E-11</v>
      </c>
      <c r="BY113" s="93">
        <f t="shared" si="155"/>
        <v>0</v>
      </c>
      <c r="BZ113" s="93">
        <f t="shared" si="156"/>
        <v>0</v>
      </c>
      <c r="CA113" s="93">
        <f t="shared" si="157"/>
        <v>0</v>
      </c>
      <c r="CC113" s="93">
        <f t="shared" si="158"/>
        <v>0</v>
      </c>
      <c r="CD113" s="93">
        <f t="shared" si="159"/>
        <v>0</v>
      </c>
      <c r="CE113" s="93">
        <f t="shared" si="160"/>
        <v>0</v>
      </c>
      <c r="CF113" s="93">
        <f t="shared" si="161"/>
        <v>0</v>
      </c>
      <c r="CG113" s="93" t="b">
        <f t="shared" si="127"/>
        <v>0</v>
      </c>
      <c r="CH113" s="93" t="b">
        <f t="shared" si="128"/>
        <v>0</v>
      </c>
      <c r="CI113" s="93" t="b">
        <f t="shared" si="129"/>
        <v>0</v>
      </c>
      <c r="CK113" s="93" t="b">
        <f t="shared" si="130"/>
        <v>0</v>
      </c>
      <c r="CL113" s="93" t="b">
        <f t="shared" si="131"/>
        <v>0</v>
      </c>
      <c r="CM113" s="93" t="b">
        <f t="shared" si="132"/>
        <v>0</v>
      </c>
      <c r="CN113" s="93" t="b">
        <f t="shared" si="133"/>
        <v>0</v>
      </c>
      <c r="DF113" s="206">
        <f t="shared" si="162"/>
        <v>9.9999999999999994E-12</v>
      </c>
      <c r="DG113" s="206">
        <f t="shared" si="177"/>
        <v>1.9999999999999999E-11</v>
      </c>
      <c r="DH113" s="206">
        <f t="shared" si="178"/>
        <v>3E-11</v>
      </c>
      <c r="DI113" s="206"/>
      <c r="DJ113" s="206">
        <f t="shared" si="179"/>
        <v>5.0000000000000002E-11</v>
      </c>
      <c r="DK113" s="206">
        <f t="shared" si="180"/>
        <v>6E-11</v>
      </c>
      <c r="DL113" s="206">
        <f t="shared" si="181"/>
        <v>7.0000000000000004E-11</v>
      </c>
      <c r="DM113" s="206">
        <f t="shared" si="182"/>
        <v>7.9999999999999995E-11</v>
      </c>
      <c r="DN113" s="93">
        <f t="shared" si="163"/>
        <v>0</v>
      </c>
      <c r="DO113" s="93">
        <f t="shared" si="164"/>
        <v>0</v>
      </c>
      <c r="DP113" s="93">
        <f t="shared" si="165"/>
        <v>0</v>
      </c>
      <c r="DR113" s="93">
        <f t="shared" si="166"/>
        <v>0</v>
      </c>
      <c r="DS113" s="93">
        <f t="shared" si="167"/>
        <v>0</v>
      </c>
      <c r="DT113" s="93">
        <f t="shared" si="168"/>
        <v>0</v>
      </c>
      <c r="DU113" s="93">
        <f t="shared" si="169"/>
        <v>0</v>
      </c>
      <c r="DV113" s="93" t="b">
        <f t="shared" si="148"/>
        <v>0</v>
      </c>
      <c r="DW113" s="93" t="b">
        <f t="shared" si="149"/>
        <v>0</v>
      </c>
      <c r="DX113" s="93" t="b">
        <f t="shared" si="150"/>
        <v>0</v>
      </c>
      <c r="DZ113" s="93" t="b">
        <f t="shared" si="151"/>
        <v>0</v>
      </c>
      <c r="EA113" s="93" t="b">
        <f t="shared" si="152"/>
        <v>0</v>
      </c>
      <c r="EB113" s="93" t="b">
        <f t="shared" si="153"/>
        <v>0</v>
      </c>
      <c r="EC113" s="93" t="b">
        <f t="shared" si="154"/>
        <v>0</v>
      </c>
      <c r="ED113" s="93" t="s">
        <v>394</v>
      </c>
      <c r="EE113" s="93" t="s">
        <v>394</v>
      </c>
      <c r="EF113" s="93" t="s">
        <v>394</v>
      </c>
      <c r="EH113" s="93" t="s">
        <v>394</v>
      </c>
      <c r="EI113" s="93" t="s">
        <v>394</v>
      </c>
      <c r="EJ113" s="93" t="s">
        <v>394</v>
      </c>
      <c r="EK113" s="93" t="s">
        <v>394</v>
      </c>
      <c r="EL113" s="93" t="s">
        <v>394</v>
      </c>
      <c r="EM113" s="93" t="s">
        <v>394</v>
      </c>
      <c r="EN113" s="93" t="s">
        <v>394</v>
      </c>
      <c r="EP113" s="93" t="s">
        <v>394</v>
      </c>
      <c r="EQ113" s="93" t="s">
        <v>394</v>
      </c>
      <c r="ER113" s="93" t="s">
        <v>394</v>
      </c>
      <c r="ES113" s="93" t="s">
        <v>394</v>
      </c>
      <c r="FB113" s="93" t="s">
        <v>394</v>
      </c>
      <c r="FC113" s="93" t="s">
        <v>394</v>
      </c>
      <c r="FD113" s="93" t="s">
        <v>394</v>
      </c>
      <c r="FE113" s="93" t="s">
        <v>394</v>
      </c>
      <c r="FF113" s="93" t="s">
        <v>394</v>
      </c>
      <c r="FG113" s="93" t="s">
        <v>394</v>
      </c>
      <c r="FH113" s="93" t="s">
        <v>394</v>
      </c>
      <c r="FI113" s="93" t="s">
        <v>394</v>
      </c>
      <c r="FJ113" s="93" t="s">
        <v>394</v>
      </c>
      <c r="FK113" s="93" t="s">
        <v>394</v>
      </c>
      <c r="FL113" s="93" t="s">
        <v>394</v>
      </c>
      <c r="FM113" s="93" t="s">
        <v>394</v>
      </c>
      <c r="FN113" s="93" t="s">
        <v>394</v>
      </c>
      <c r="FO113" s="93" t="s">
        <v>394</v>
      </c>
      <c r="FP113" s="93" t="s">
        <v>394</v>
      </c>
      <c r="FQ113" s="93" t="s">
        <v>394</v>
      </c>
    </row>
    <row r="114" spans="1:173" s="93" customFormat="1">
      <c r="A114" s="335" t="s">
        <v>1087</v>
      </c>
      <c r="B114" s="346" t="s">
        <v>1087</v>
      </c>
      <c r="C114" s="346" t="s">
        <v>225</v>
      </c>
      <c r="D114" s="346" t="s">
        <v>1081</v>
      </c>
      <c r="E114" s="346" t="s">
        <v>1088</v>
      </c>
      <c r="F114" s="424" t="s">
        <v>785</v>
      </c>
      <c r="G114" s="346">
        <v>201.7</v>
      </c>
      <c r="H114" s="346" t="s">
        <v>324</v>
      </c>
      <c r="I114" s="346">
        <v>195</v>
      </c>
      <c r="J114" s="346">
        <v>191</v>
      </c>
      <c r="N114" s="346"/>
      <c r="O114" s="346"/>
      <c r="P114" s="346" t="s">
        <v>2361</v>
      </c>
      <c r="Q114" s="346" t="s">
        <v>2328</v>
      </c>
      <c r="R114" s="346" t="s">
        <v>2337</v>
      </c>
      <c r="S114" s="346" t="s">
        <v>1089</v>
      </c>
      <c r="T114" s="346" t="s">
        <v>1046</v>
      </c>
      <c r="U114" s="346">
        <v>49</v>
      </c>
      <c r="V114" s="346" cm="1">
        <f t="array" ref="V114">IFERROR(INDEX('Offer Statistics'!$AZ$2:$AZ$350,MATCH(1,($B114='Offer Statistics'!$AK$2:$AK$350)*($B$11='Offer Statistics'!$AL$2:$AL$350),0)),"/")</f>
        <v>52</v>
      </c>
      <c r="W114" s="346" cm="1">
        <f t="array" ref="W114">IFERROR(INDEX('Offer Statistics'!$AM$2:$AM$350,MATCH(1,($B114='Offer Statistics'!$AK$2:$AK$350)*($B$11='Offer Statistics'!$AL$2:$AL$350),0)),"/")</f>
        <v>494</v>
      </c>
      <c r="X114" s="346" cm="1">
        <f t="array" ref="X114">IFERROR(INDEX('Offer Statistics'!$AU$2:$AU$350,MATCH(1,($B114='Offer Statistics'!$AK$2:$AK$350)*($B$11='Offer Statistics'!$AL$2:$AL$350),0)),"/")</f>
        <v>48</v>
      </c>
      <c r="Y114" s="346">
        <f t="shared" si="112"/>
        <v>10.291666666666666</v>
      </c>
      <c r="Z114" s="346" t="s">
        <v>1046</v>
      </c>
      <c r="AA114" s="346" t="str">
        <f>入學要求!AF140</f>
        <v>/</v>
      </c>
      <c r="AB114" s="346" t="str">
        <f>入學要求!AG140</f>
        <v>/</v>
      </c>
      <c r="AC114" s="346" t="s">
        <v>785</v>
      </c>
      <c r="AD114" s="334"/>
      <c r="AE114" s="51"/>
      <c r="AF114" s="333" t="s">
        <v>324</v>
      </c>
      <c r="AG114" s="333" t="s">
        <v>324</v>
      </c>
      <c r="AH114" s="426" t="s">
        <v>2361</v>
      </c>
      <c r="AI114" s="426" t="s">
        <v>2328</v>
      </c>
      <c r="AJ114" s="426" t="s">
        <v>2337</v>
      </c>
      <c r="AK114" s="346" t="s">
        <v>324</v>
      </c>
      <c r="AL114" s="346" t="s">
        <v>324</v>
      </c>
      <c r="AM114" s="346" t="s">
        <v>324</v>
      </c>
      <c r="AN114" s="346" t="s">
        <v>324</v>
      </c>
      <c r="AO114" s="346" t="s">
        <v>324</v>
      </c>
      <c r="AP114" s="346" t="s">
        <v>324</v>
      </c>
      <c r="AQ114" s="346" t="s">
        <v>324</v>
      </c>
      <c r="AR114" s="346" t="s">
        <v>324</v>
      </c>
      <c r="AS114" s="346"/>
      <c r="AT114" s="93" t="s">
        <v>716</v>
      </c>
      <c r="AV114" s="93" t="s">
        <v>713</v>
      </c>
      <c r="AW114" s="93" t="s">
        <v>324</v>
      </c>
      <c r="AX114" s="93" t="s">
        <v>324</v>
      </c>
      <c r="AY114" s="93" t="s">
        <v>324</v>
      </c>
      <c r="BQ114" s="365">
        <f t="shared" si="170"/>
        <v>3.9999999999999998E-11</v>
      </c>
      <c r="BR114" s="365">
        <f t="shared" si="171"/>
        <v>1.9999999999999999E-11</v>
      </c>
      <c r="BS114" s="365">
        <f t="shared" si="172"/>
        <v>3E-11</v>
      </c>
      <c r="BT114" s="365"/>
      <c r="BU114" s="365">
        <f t="shared" si="173"/>
        <v>5.0000000000000002E-11</v>
      </c>
      <c r="BV114" s="365">
        <f t="shared" si="174"/>
        <v>6E-11</v>
      </c>
      <c r="BW114" s="365">
        <f t="shared" si="175"/>
        <v>7.0000000000000004E-11</v>
      </c>
      <c r="BX114" s="365">
        <f t="shared" si="176"/>
        <v>7.9999999999999995E-11</v>
      </c>
      <c r="BY114" s="93">
        <f t="shared" si="155"/>
        <v>0</v>
      </c>
      <c r="BZ114" s="93">
        <f t="shared" si="156"/>
        <v>0</v>
      </c>
      <c r="CA114" s="93">
        <f t="shared" si="157"/>
        <v>0</v>
      </c>
      <c r="CC114" s="93">
        <f t="shared" si="158"/>
        <v>0</v>
      </c>
      <c r="CD114" s="93">
        <f t="shared" si="159"/>
        <v>0</v>
      </c>
      <c r="CE114" s="93">
        <f t="shared" si="160"/>
        <v>0</v>
      </c>
      <c r="CF114" s="93">
        <f t="shared" si="161"/>
        <v>0</v>
      </c>
      <c r="CG114" s="93" t="b">
        <f t="shared" si="127"/>
        <v>0</v>
      </c>
      <c r="CH114" s="93" t="b">
        <f t="shared" si="128"/>
        <v>0</v>
      </c>
      <c r="CI114" s="93" t="b">
        <f t="shared" si="129"/>
        <v>0</v>
      </c>
      <c r="CK114" s="93" t="b">
        <f t="shared" si="130"/>
        <v>0</v>
      </c>
      <c r="CL114" s="93" t="b">
        <f t="shared" si="131"/>
        <v>0</v>
      </c>
      <c r="CM114" s="93" t="b">
        <f t="shared" si="132"/>
        <v>0</v>
      </c>
      <c r="CN114" s="93" t="b">
        <f t="shared" si="133"/>
        <v>0</v>
      </c>
      <c r="DF114" s="206">
        <f t="shared" si="162"/>
        <v>9.9999999999999994E-12</v>
      </c>
      <c r="DG114" s="206">
        <f t="shared" si="177"/>
        <v>1.9999999999999999E-11</v>
      </c>
      <c r="DH114" s="206">
        <f t="shared" si="178"/>
        <v>3E-11</v>
      </c>
      <c r="DI114" s="206"/>
      <c r="DJ114" s="206">
        <f t="shared" si="179"/>
        <v>5.0000000000000002E-11</v>
      </c>
      <c r="DK114" s="206">
        <f t="shared" si="180"/>
        <v>6E-11</v>
      </c>
      <c r="DL114" s="206">
        <f t="shared" si="181"/>
        <v>7.0000000000000004E-11</v>
      </c>
      <c r="DM114" s="206">
        <f t="shared" si="182"/>
        <v>7.9999999999999995E-11</v>
      </c>
      <c r="DN114" s="93">
        <f t="shared" si="163"/>
        <v>0</v>
      </c>
      <c r="DO114" s="93">
        <f t="shared" si="164"/>
        <v>0</v>
      </c>
      <c r="DP114" s="93">
        <f t="shared" si="165"/>
        <v>0</v>
      </c>
      <c r="DR114" s="93">
        <f t="shared" si="166"/>
        <v>0</v>
      </c>
      <c r="DS114" s="93">
        <f t="shared" si="167"/>
        <v>0</v>
      </c>
      <c r="DT114" s="93">
        <f t="shared" si="168"/>
        <v>0</v>
      </c>
      <c r="DU114" s="93">
        <f t="shared" si="169"/>
        <v>0</v>
      </c>
      <c r="DV114" s="93" t="b">
        <f t="shared" si="148"/>
        <v>0</v>
      </c>
      <c r="DW114" s="93" t="b">
        <f t="shared" si="149"/>
        <v>0</v>
      </c>
      <c r="DX114" s="93" t="b">
        <f t="shared" si="150"/>
        <v>0</v>
      </c>
      <c r="DZ114" s="93" t="b">
        <f t="shared" si="151"/>
        <v>0</v>
      </c>
      <c r="EA114" s="93" t="b">
        <f t="shared" si="152"/>
        <v>0</v>
      </c>
      <c r="EB114" s="93" t="b">
        <f t="shared" si="153"/>
        <v>0</v>
      </c>
      <c r="EC114" s="93" t="b">
        <f t="shared" si="154"/>
        <v>0</v>
      </c>
      <c r="ED114" s="93" t="s">
        <v>394</v>
      </c>
      <c r="EE114" s="93" t="s">
        <v>394</v>
      </c>
      <c r="EF114" s="93" t="s">
        <v>394</v>
      </c>
      <c r="EH114" s="93" t="s">
        <v>394</v>
      </c>
      <c r="EI114" s="93" t="s">
        <v>394</v>
      </c>
      <c r="EJ114" s="93" t="s">
        <v>394</v>
      </c>
      <c r="EK114" s="93" t="s">
        <v>394</v>
      </c>
      <c r="EL114" s="93" t="s">
        <v>394</v>
      </c>
      <c r="EM114" s="93" t="s">
        <v>394</v>
      </c>
      <c r="EN114" s="93" t="s">
        <v>394</v>
      </c>
      <c r="EP114" s="93" t="s">
        <v>394</v>
      </c>
      <c r="EQ114" s="93" t="s">
        <v>394</v>
      </c>
      <c r="ER114" s="93" t="s">
        <v>394</v>
      </c>
      <c r="ES114" s="93" t="s">
        <v>394</v>
      </c>
      <c r="FB114" s="93" t="s">
        <v>394</v>
      </c>
      <c r="FC114" s="93" t="s">
        <v>394</v>
      </c>
      <c r="FD114" s="93" t="s">
        <v>394</v>
      </c>
      <c r="FE114" s="93" t="s">
        <v>394</v>
      </c>
      <c r="FF114" s="93" t="s">
        <v>394</v>
      </c>
      <c r="FG114" s="93" t="s">
        <v>394</v>
      </c>
      <c r="FH114" s="93" t="s">
        <v>394</v>
      </c>
      <c r="FI114" s="93" t="s">
        <v>394</v>
      </c>
      <c r="FJ114" s="93" t="s">
        <v>394</v>
      </c>
      <c r="FK114" s="93" t="s">
        <v>394</v>
      </c>
      <c r="FL114" s="93" t="s">
        <v>394</v>
      </c>
      <c r="FM114" s="93" t="s">
        <v>394</v>
      </c>
      <c r="FN114" s="93" t="s">
        <v>394</v>
      </c>
      <c r="FO114" s="93" t="s">
        <v>394</v>
      </c>
      <c r="FP114" s="93" t="s">
        <v>394</v>
      </c>
      <c r="FQ114" s="93" t="s">
        <v>394</v>
      </c>
    </row>
    <row r="115" spans="1:173" s="93" customFormat="1">
      <c r="A115" s="335" t="s">
        <v>1090</v>
      </c>
      <c r="B115" s="346" t="s">
        <v>1090</v>
      </c>
      <c r="C115" s="346" t="s">
        <v>225</v>
      </c>
      <c r="D115" s="346" t="s">
        <v>1081</v>
      </c>
      <c r="E115" s="346" t="s">
        <v>2737</v>
      </c>
      <c r="F115" s="424" t="s">
        <v>785</v>
      </c>
      <c r="G115" s="346">
        <v>207.7</v>
      </c>
      <c r="H115" s="346" t="s">
        <v>324</v>
      </c>
      <c r="I115" s="346">
        <v>201</v>
      </c>
      <c r="J115" s="346">
        <v>195</v>
      </c>
      <c r="N115" s="346"/>
      <c r="O115" s="346"/>
      <c r="P115" s="346" t="s">
        <v>2361</v>
      </c>
      <c r="Q115" s="346" t="s">
        <v>2329</v>
      </c>
      <c r="R115" s="346" t="s">
        <v>2337</v>
      </c>
      <c r="S115" s="346" t="s">
        <v>1092</v>
      </c>
      <c r="T115" s="346" t="s">
        <v>1046</v>
      </c>
      <c r="U115" s="346">
        <v>56</v>
      </c>
      <c r="V115" s="346" cm="1">
        <f t="array" ref="V115">IFERROR(INDEX('Offer Statistics'!$AZ$2:$AZ$350,MATCH(1,($B115='Offer Statistics'!$AK$2:$AK$350)*($B$11='Offer Statistics'!$AL$2:$AL$350),0)),"/")</f>
        <v>50</v>
      </c>
      <c r="W115" s="346" cm="1">
        <f t="array" ref="W115">IFERROR(INDEX('Offer Statistics'!$AM$2:$AM$350,MATCH(1,($B115='Offer Statistics'!$AK$2:$AK$350)*($B$11='Offer Statistics'!$AL$2:$AL$350),0)),"/")</f>
        <v>608</v>
      </c>
      <c r="X115" s="346" cm="1">
        <f t="array" ref="X115">IFERROR(INDEX('Offer Statistics'!$AU$2:$AU$350,MATCH(1,($B115='Offer Statistics'!$AK$2:$AK$350)*($B$11='Offer Statistics'!$AL$2:$AL$350),0)),"/")</f>
        <v>42</v>
      </c>
      <c r="Y115" s="346">
        <f t="shared" si="112"/>
        <v>14.476190476190476</v>
      </c>
      <c r="Z115" s="346" t="s">
        <v>1046</v>
      </c>
      <c r="AA115" s="346" t="str">
        <f>入學要求!AF120</f>
        <v>/</v>
      </c>
      <c r="AB115" s="346" t="str">
        <f>入學要求!AG120</f>
        <v>/</v>
      </c>
      <c r="AC115" s="346" t="s">
        <v>785</v>
      </c>
      <c r="AD115" s="334"/>
      <c r="AE115" s="51"/>
      <c r="AF115" s="333" t="s">
        <v>324</v>
      </c>
      <c r="AG115" s="333" t="s">
        <v>324</v>
      </c>
      <c r="AH115" s="426" t="s">
        <v>2361</v>
      </c>
      <c r="AI115" s="426" t="s">
        <v>2329</v>
      </c>
      <c r="AJ115" s="426" t="s">
        <v>2337</v>
      </c>
      <c r="AK115" s="346" t="s">
        <v>324</v>
      </c>
      <c r="AL115" s="346" t="s">
        <v>324</v>
      </c>
      <c r="AM115" s="346" t="s">
        <v>324</v>
      </c>
      <c r="AN115" s="346" t="s">
        <v>324</v>
      </c>
      <c r="AO115" s="346" t="s">
        <v>324</v>
      </c>
      <c r="AP115" s="346" t="s">
        <v>324</v>
      </c>
      <c r="AQ115" s="346" t="s">
        <v>324</v>
      </c>
      <c r="AR115" s="346" t="s">
        <v>324</v>
      </c>
      <c r="AS115" s="346"/>
      <c r="AT115" s="93" t="s">
        <v>716</v>
      </c>
      <c r="AV115" s="93" t="s">
        <v>713</v>
      </c>
      <c r="AW115" s="93" t="s">
        <v>324</v>
      </c>
      <c r="AX115" s="93" t="s">
        <v>324</v>
      </c>
      <c r="AY115" s="93" t="s">
        <v>324</v>
      </c>
      <c r="BQ115" s="365">
        <f t="shared" si="170"/>
        <v>3.9999999999999998E-11</v>
      </c>
      <c r="BR115" s="365">
        <f t="shared" si="171"/>
        <v>1.9999999999999999E-11</v>
      </c>
      <c r="BS115" s="365">
        <f t="shared" si="172"/>
        <v>3E-11</v>
      </c>
      <c r="BT115" s="365"/>
      <c r="BU115" s="365">
        <f t="shared" si="173"/>
        <v>5.0000000000000002E-11</v>
      </c>
      <c r="BV115" s="365">
        <f t="shared" si="174"/>
        <v>6E-11</v>
      </c>
      <c r="BW115" s="365">
        <f t="shared" si="175"/>
        <v>7.0000000000000004E-11</v>
      </c>
      <c r="BX115" s="365">
        <f t="shared" si="176"/>
        <v>7.9999999999999995E-11</v>
      </c>
      <c r="BY115" s="93">
        <f t="shared" si="155"/>
        <v>0</v>
      </c>
      <c r="BZ115" s="93">
        <f t="shared" si="156"/>
        <v>0</v>
      </c>
      <c r="CA115" s="93">
        <f t="shared" si="157"/>
        <v>0</v>
      </c>
      <c r="CC115" s="93">
        <f t="shared" si="158"/>
        <v>0</v>
      </c>
      <c r="CD115" s="93">
        <f t="shared" si="159"/>
        <v>0</v>
      </c>
      <c r="CE115" s="93">
        <f t="shared" si="160"/>
        <v>0</v>
      </c>
      <c r="CF115" s="93">
        <f t="shared" si="161"/>
        <v>0</v>
      </c>
      <c r="CG115" s="93" t="b">
        <f t="shared" si="127"/>
        <v>0</v>
      </c>
      <c r="CH115" s="93" t="b">
        <f t="shared" si="128"/>
        <v>0</v>
      </c>
      <c r="CI115" s="93" t="b">
        <f t="shared" si="129"/>
        <v>0</v>
      </c>
      <c r="CK115" s="93" t="b">
        <f t="shared" si="130"/>
        <v>0</v>
      </c>
      <c r="CL115" s="93" t="b">
        <f t="shared" si="131"/>
        <v>0</v>
      </c>
      <c r="CM115" s="93" t="b">
        <f t="shared" si="132"/>
        <v>0</v>
      </c>
      <c r="CN115" s="93" t="b">
        <f t="shared" si="133"/>
        <v>0</v>
      </c>
      <c r="DF115" s="206">
        <f t="shared" si="162"/>
        <v>9.9999999999999994E-12</v>
      </c>
      <c r="DG115" s="206">
        <f t="shared" si="177"/>
        <v>1.9999999999999999E-11</v>
      </c>
      <c r="DH115" s="206">
        <f t="shared" si="178"/>
        <v>3E-11</v>
      </c>
      <c r="DI115" s="206"/>
      <c r="DJ115" s="206">
        <f t="shared" si="179"/>
        <v>5.0000000000000002E-11</v>
      </c>
      <c r="DK115" s="206">
        <f t="shared" si="180"/>
        <v>6E-11</v>
      </c>
      <c r="DL115" s="206">
        <f t="shared" si="181"/>
        <v>7.0000000000000004E-11</v>
      </c>
      <c r="DM115" s="206">
        <f t="shared" si="182"/>
        <v>7.9999999999999995E-11</v>
      </c>
      <c r="DN115" s="93">
        <f t="shared" si="163"/>
        <v>0</v>
      </c>
      <c r="DO115" s="93">
        <f t="shared" si="164"/>
        <v>0</v>
      </c>
      <c r="DP115" s="93">
        <f t="shared" si="165"/>
        <v>0</v>
      </c>
      <c r="DR115" s="93">
        <f t="shared" si="166"/>
        <v>0</v>
      </c>
      <c r="DS115" s="93">
        <f t="shared" si="167"/>
        <v>0</v>
      </c>
      <c r="DT115" s="93">
        <f t="shared" si="168"/>
        <v>0</v>
      </c>
      <c r="DU115" s="93">
        <f t="shared" si="169"/>
        <v>0</v>
      </c>
      <c r="DV115" s="93" t="b">
        <f t="shared" si="148"/>
        <v>0</v>
      </c>
      <c r="DW115" s="93" t="b">
        <f t="shared" si="149"/>
        <v>0</v>
      </c>
      <c r="DX115" s="93" t="b">
        <f t="shared" si="150"/>
        <v>0</v>
      </c>
      <c r="DZ115" s="93" t="b">
        <f t="shared" si="151"/>
        <v>0</v>
      </c>
      <c r="EA115" s="93" t="b">
        <f t="shared" si="152"/>
        <v>0</v>
      </c>
      <c r="EB115" s="93" t="b">
        <f t="shared" si="153"/>
        <v>0</v>
      </c>
      <c r="EC115" s="93" t="b">
        <f t="shared" si="154"/>
        <v>0</v>
      </c>
      <c r="ED115" s="93" t="s">
        <v>394</v>
      </c>
      <c r="EE115" s="93" t="s">
        <v>394</v>
      </c>
      <c r="EF115" s="93" t="s">
        <v>394</v>
      </c>
      <c r="EH115" s="93" t="s">
        <v>394</v>
      </c>
      <c r="EI115" s="93" t="s">
        <v>394</v>
      </c>
      <c r="EJ115" s="93" t="s">
        <v>394</v>
      </c>
      <c r="EK115" s="93" t="s">
        <v>394</v>
      </c>
      <c r="EL115" s="93" t="s">
        <v>394</v>
      </c>
      <c r="EM115" s="93" t="s">
        <v>394</v>
      </c>
      <c r="EN115" s="93" t="s">
        <v>394</v>
      </c>
      <c r="EP115" s="93" t="s">
        <v>394</v>
      </c>
      <c r="EQ115" s="93" t="s">
        <v>394</v>
      </c>
      <c r="ER115" s="93" t="s">
        <v>394</v>
      </c>
      <c r="ES115" s="93" t="s">
        <v>394</v>
      </c>
      <c r="FB115" s="93" t="s">
        <v>394</v>
      </c>
      <c r="FC115" s="93" t="s">
        <v>394</v>
      </c>
      <c r="FD115" s="93" t="s">
        <v>394</v>
      </c>
      <c r="FE115" s="93" t="s">
        <v>394</v>
      </c>
      <c r="FF115" s="93" t="s">
        <v>394</v>
      </c>
      <c r="FG115" s="93" t="s">
        <v>394</v>
      </c>
      <c r="FH115" s="93" t="s">
        <v>394</v>
      </c>
      <c r="FI115" s="93" t="s">
        <v>394</v>
      </c>
      <c r="FJ115" s="93" t="s">
        <v>394</v>
      </c>
      <c r="FK115" s="93" t="s">
        <v>394</v>
      </c>
      <c r="FL115" s="93" t="s">
        <v>394</v>
      </c>
      <c r="FM115" s="93" t="s">
        <v>394</v>
      </c>
      <c r="FN115" s="93" t="s">
        <v>394</v>
      </c>
      <c r="FO115" s="93" t="s">
        <v>394</v>
      </c>
      <c r="FP115" s="93" t="s">
        <v>394</v>
      </c>
      <c r="FQ115" s="93" t="s">
        <v>394</v>
      </c>
    </row>
    <row r="116" spans="1:173" s="93" customFormat="1">
      <c r="A116" s="335" t="s">
        <v>1071</v>
      </c>
      <c r="B116" s="346" t="s">
        <v>2738</v>
      </c>
      <c r="C116" s="346" t="s">
        <v>225</v>
      </c>
      <c r="D116" s="346" t="s">
        <v>1068</v>
      </c>
      <c r="E116" s="346" t="s">
        <v>2739</v>
      </c>
      <c r="F116" s="431" t="s">
        <v>785</v>
      </c>
      <c r="G116" s="346">
        <v>180.9</v>
      </c>
      <c r="H116" s="346" t="s">
        <v>324</v>
      </c>
      <c r="I116" s="346">
        <v>176.5</v>
      </c>
      <c r="J116" s="346">
        <v>175</v>
      </c>
      <c r="N116" s="346" t="s">
        <v>2985</v>
      </c>
      <c r="O116" s="346" t="s">
        <v>2986</v>
      </c>
      <c r="P116" s="346" t="s">
        <v>3025</v>
      </c>
      <c r="Q116" s="346" t="s">
        <v>1108</v>
      </c>
      <c r="R116" s="346" t="s">
        <v>2338</v>
      </c>
      <c r="S116" s="346" t="s">
        <v>1073</v>
      </c>
      <c r="T116" s="346" t="s">
        <v>1046</v>
      </c>
      <c r="U116" s="346">
        <v>38</v>
      </c>
      <c r="V116" s="346" t="str" cm="1">
        <f t="array" ref="V116">IFERROR(INDEX('Offer Statistics'!$AZ$2:$AZ$350,MATCH(1,($B116='Offer Statistics'!$AK$2:$AK$350)*($B$11='Offer Statistics'!$AL$2:$AL$350),0)),"/")</f>
        <v>/</v>
      </c>
      <c r="W116" s="346" t="str" cm="1">
        <f t="array" ref="W116">IFERROR(INDEX('Offer Statistics'!$AM$2:$AM$350,MATCH(1,($B116='Offer Statistics'!$AK$2:$AK$350)*($B$11='Offer Statistics'!$AL$2:$AL$350),0)),"/")</f>
        <v>/</v>
      </c>
      <c r="X116" s="346" t="str" cm="1">
        <f t="array" ref="X116">IFERROR(INDEX('Offer Statistics'!$AU$2:$AU$350,MATCH(1,($B116='Offer Statistics'!$AK$2:$AK$350)*($B$11='Offer Statistics'!$AL$2:$AL$350),0)),"/")</f>
        <v>/</v>
      </c>
      <c r="Y116" s="346" t="str">
        <f t="shared" si="112"/>
        <v>新科目</v>
      </c>
      <c r="Z116" s="346" t="s">
        <v>1046</v>
      </c>
      <c r="AA116" s="346" t="str">
        <f>入學要求!AF121</f>
        <v>/</v>
      </c>
      <c r="AB116" s="346" t="str">
        <f>入學要求!AG121</f>
        <v>/</v>
      </c>
      <c r="AC116" s="346" t="s">
        <v>785</v>
      </c>
      <c r="AD116" s="51"/>
      <c r="AE116" s="51"/>
      <c r="AF116" s="333" t="s">
        <v>324</v>
      </c>
      <c r="AG116" s="333" t="s">
        <v>324</v>
      </c>
      <c r="AH116" s="426" t="s">
        <v>3025</v>
      </c>
      <c r="AI116" s="426" t="s">
        <v>1108</v>
      </c>
      <c r="AJ116" s="426" t="s">
        <v>2338</v>
      </c>
      <c r="AK116" s="346" t="s">
        <v>324</v>
      </c>
      <c r="AL116" s="346" t="s">
        <v>324</v>
      </c>
      <c r="AM116" s="346" t="s">
        <v>324</v>
      </c>
      <c r="AN116" s="346" t="s">
        <v>324</v>
      </c>
      <c r="AO116" s="346" t="s">
        <v>324</v>
      </c>
      <c r="AP116" s="346" t="s">
        <v>324</v>
      </c>
      <c r="AQ116" s="346" t="s">
        <v>324</v>
      </c>
      <c r="AR116" s="346" t="s">
        <v>324</v>
      </c>
      <c r="AS116" s="346"/>
      <c r="AT116" s="93" t="s">
        <v>716</v>
      </c>
      <c r="AV116" s="93" t="s">
        <v>713</v>
      </c>
      <c r="AW116" s="93" t="s">
        <v>324</v>
      </c>
      <c r="AX116" s="93" t="s">
        <v>324</v>
      </c>
      <c r="AY116" s="93" t="s">
        <v>324</v>
      </c>
      <c r="BQ116" s="365">
        <f>IFERROR(BI116+0.00000000004,0)</f>
        <v>3.9999999999999998E-11</v>
      </c>
      <c r="BR116" s="365">
        <f>IFERROR(BJ116+0.00000000002,0)</f>
        <v>1.9999999999999999E-11</v>
      </c>
      <c r="BS116" s="365">
        <f>IFERROR(BK116+0.00000000003,0)</f>
        <v>3E-11</v>
      </c>
      <c r="BT116" s="365"/>
      <c r="BU116" s="365">
        <f>IFERROR(BM116+0.00000000005,0)</f>
        <v>5.0000000000000002E-11</v>
      </c>
      <c r="BV116" s="365">
        <f>IFERROR(BN116+0.00000000006,0)</f>
        <v>6E-11</v>
      </c>
      <c r="BW116" s="365">
        <f>IFERROR(BO116+0.00000000007,0)</f>
        <v>7.0000000000000004E-11</v>
      </c>
      <c r="BX116" s="365">
        <f>IFERROR(BP116+0.00000000008,0)</f>
        <v>7.9999999999999995E-11</v>
      </c>
      <c r="BY116" s="93">
        <f t="shared" ref="BY116:CF116" si="183">AZ116*BQ116</f>
        <v>0</v>
      </c>
      <c r="BZ116" s="93">
        <f t="shared" si="183"/>
        <v>0</v>
      </c>
      <c r="CA116" s="93">
        <f t="shared" si="183"/>
        <v>0</v>
      </c>
      <c r="CC116" s="93">
        <f t="shared" si="183"/>
        <v>0</v>
      </c>
      <c r="CD116" s="93">
        <f t="shared" si="183"/>
        <v>0</v>
      </c>
      <c r="CE116" s="93">
        <f t="shared" si="183"/>
        <v>0</v>
      </c>
      <c r="CF116" s="93">
        <f t="shared" si="183"/>
        <v>0</v>
      </c>
      <c r="CG116" s="93" t="b">
        <f t="shared" si="127"/>
        <v>0</v>
      </c>
      <c r="CH116" s="93" t="b">
        <f t="shared" si="128"/>
        <v>0</v>
      </c>
      <c r="CI116" s="93" t="b">
        <f t="shared" si="129"/>
        <v>0</v>
      </c>
      <c r="CK116" s="93" t="b">
        <f t="shared" si="130"/>
        <v>0</v>
      </c>
      <c r="CL116" s="93" t="b">
        <f t="shared" si="131"/>
        <v>0</v>
      </c>
      <c r="CM116" s="93" t="b">
        <f t="shared" si="132"/>
        <v>0</v>
      </c>
      <c r="CN116" s="93" t="b">
        <f t="shared" si="133"/>
        <v>0</v>
      </c>
      <c r="CT116" s="59"/>
      <c r="DF116" s="206">
        <f>IFERROR(CX116+0.00000000001,0)</f>
        <v>9.9999999999999994E-12</v>
      </c>
      <c r="DG116" s="206">
        <f>IFERROR(CY116+0.00000000002,0)</f>
        <v>1.9999999999999999E-11</v>
      </c>
      <c r="DH116" s="206">
        <f>IFERROR(CZ116+0.00000000003,0)</f>
        <v>3E-11</v>
      </c>
      <c r="DI116" s="206"/>
      <c r="DJ116" s="206">
        <f>IFERROR(DB116+0.00000000005,0)</f>
        <v>5.0000000000000002E-11</v>
      </c>
      <c r="DK116" s="206">
        <f>IFERROR(DC116+0.00000000006,0)</f>
        <v>6E-11</v>
      </c>
      <c r="DL116" s="206">
        <f>IFERROR(DD116+0.00000000007,0)</f>
        <v>7.0000000000000004E-11</v>
      </c>
      <c r="DM116" s="206">
        <f>IFERROR(DE116+0.00000000008,0)</f>
        <v>7.9999999999999995E-11</v>
      </c>
      <c r="DN116" s="93">
        <f t="shared" ref="DN116:DU116" si="184">CO116*DF116</f>
        <v>0</v>
      </c>
      <c r="DO116" s="93">
        <f t="shared" si="184"/>
        <v>0</v>
      </c>
      <c r="DP116" s="93">
        <f t="shared" si="184"/>
        <v>0</v>
      </c>
      <c r="DR116" s="93">
        <f t="shared" si="184"/>
        <v>0</v>
      </c>
      <c r="DS116" s="93">
        <f t="shared" si="184"/>
        <v>0</v>
      </c>
      <c r="DT116" s="93">
        <f t="shared" si="184"/>
        <v>0</v>
      </c>
      <c r="DU116" s="93">
        <f t="shared" si="184"/>
        <v>0</v>
      </c>
      <c r="DV116" s="93" t="b">
        <f t="shared" si="148"/>
        <v>0</v>
      </c>
      <c r="DW116" s="93" t="b">
        <f t="shared" si="149"/>
        <v>0</v>
      </c>
      <c r="DX116" s="93" t="b">
        <f t="shared" si="150"/>
        <v>0</v>
      </c>
      <c r="DZ116" s="93" t="b">
        <f t="shared" si="151"/>
        <v>0</v>
      </c>
      <c r="EA116" s="93" t="b">
        <f t="shared" si="152"/>
        <v>0</v>
      </c>
      <c r="EB116" s="93" t="b">
        <f t="shared" si="153"/>
        <v>0</v>
      </c>
      <c r="EC116" s="93" t="b">
        <f t="shared" si="154"/>
        <v>0</v>
      </c>
      <c r="ED116" s="93" t="s">
        <v>394</v>
      </c>
      <c r="EE116" s="93" t="s">
        <v>394</v>
      </c>
      <c r="EF116" s="93" t="s">
        <v>394</v>
      </c>
      <c r="EH116" s="93" t="s">
        <v>394</v>
      </c>
      <c r="EI116" s="93" t="s">
        <v>394</v>
      </c>
      <c r="EJ116" s="93" t="s">
        <v>394</v>
      </c>
      <c r="EK116" s="93" t="s">
        <v>394</v>
      </c>
      <c r="EL116" s="93" t="s">
        <v>394</v>
      </c>
      <c r="EM116" s="93" t="s">
        <v>394</v>
      </c>
      <c r="EN116" s="93" t="s">
        <v>394</v>
      </c>
      <c r="EP116" s="93" t="s">
        <v>394</v>
      </c>
      <c r="EQ116" s="93" t="s">
        <v>394</v>
      </c>
      <c r="ER116" s="93" t="s">
        <v>394</v>
      </c>
      <c r="ES116" s="93" t="s">
        <v>394</v>
      </c>
      <c r="FB116" s="93" t="s">
        <v>394</v>
      </c>
      <c r="FC116" s="93" t="s">
        <v>394</v>
      </c>
      <c r="FD116" s="93" t="s">
        <v>394</v>
      </c>
      <c r="FE116" s="93" t="s">
        <v>394</v>
      </c>
      <c r="FF116" s="93" t="s">
        <v>394</v>
      </c>
      <c r="FG116" s="93" t="s">
        <v>394</v>
      </c>
      <c r="FH116" s="93" t="s">
        <v>394</v>
      </c>
      <c r="FI116" s="93" t="s">
        <v>394</v>
      </c>
      <c r="FJ116" s="93" t="s">
        <v>394</v>
      </c>
      <c r="FK116" s="93" t="s">
        <v>394</v>
      </c>
      <c r="FL116" s="93" t="s">
        <v>394</v>
      </c>
      <c r="FM116" s="93" t="s">
        <v>394</v>
      </c>
      <c r="FN116" s="93" t="s">
        <v>394</v>
      </c>
      <c r="FO116" s="93" t="s">
        <v>394</v>
      </c>
      <c r="FP116" s="93" t="s">
        <v>394</v>
      </c>
      <c r="FQ116" s="93" t="s">
        <v>394</v>
      </c>
    </row>
    <row r="117" spans="1:173" s="93" customFormat="1">
      <c r="A117" s="335"/>
      <c r="B117" s="346" t="s">
        <v>2740</v>
      </c>
      <c r="C117" s="346" t="s">
        <v>225</v>
      </c>
      <c r="D117" s="346" t="s">
        <v>1068</v>
      </c>
      <c r="E117" s="346" t="s">
        <v>2742</v>
      </c>
      <c r="F117" s="424" t="s">
        <v>2940</v>
      </c>
      <c r="G117" s="346" t="s">
        <v>324</v>
      </c>
      <c r="H117" s="346" t="s">
        <v>324</v>
      </c>
      <c r="I117" s="346" t="s">
        <v>324</v>
      </c>
      <c r="J117" s="346" t="s">
        <v>324</v>
      </c>
      <c r="N117" s="346"/>
      <c r="O117" s="346"/>
      <c r="P117" s="486" t="s">
        <v>2342</v>
      </c>
      <c r="Q117" s="486" t="s">
        <v>1108</v>
      </c>
      <c r="R117" s="486" t="s">
        <v>3005</v>
      </c>
      <c r="S117" s="346" t="s">
        <v>2741</v>
      </c>
      <c r="T117" s="346" t="s">
        <v>1046</v>
      </c>
      <c r="U117" s="346">
        <v>27</v>
      </c>
      <c r="V117" s="346" t="str" cm="1">
        <f t="array" ref="V117">IFERROR(INDEX('Offer Statistics'!$AZ$2:$AZ$350,MATCH(1,($B117='Offer Statistics'!$AK$2:$AK$350)*($B$11='Offer Statistics'!$AL$2:$AL$350),0)),"/")</f>
        <v>/</v>
      </c>
      <c r="W117" s="346" t="str" cm="1">
        <f t="array" ref="W117">IFERROR(INDEX('Offer Statistics'!$AM$2:$AM$350,MATCH(1,($B117='Offer Statistics'!$AK$2:$AK$350)*($B$11='Offer Statistics'!$AL$2:$AL$350),0)),"/")</f>
        <v>/</v>
      </c>
      <c r="X117" s="346" t="str" cm="1">
        <f t="array" ref="X117">IFERROR(INDEX('Offer Statistics'!$AU$2:$AU$350,MATCH(1,($B117='Offer Statistics'!$AK$2:$AK$350)*($B$11='Offer Statistics'!$AL$2:$AL$350),0)),"/")</f>
        <v>/</v>
      </c>
      <c r="Y117" s="346" t="str">
        <f t="shared" si="112"/>
        <v>新科目</v>
      </c>
      <c r="Z117" s="346" t="s">
        <v>1046</v>
      </c>
      <c r="AA117" s="346" t="str">
        <f>入學要求!AF122</f>
        <v>/</v>
      </c>
      <c r="AB117" s="346" t="str">
        <f>入學要求!AG122</f>
        <v>/</v>
      </c>
      <c r="AC117" s="346" t="s">
        <v>785</v>
      </c>
      <c r="AD117" s="334"/>
      <c r="AE117" s="51"/>
      <c r="AF117" s="333"/>
      <c r="AG117" s="333"/>
      <c r="AH117" s="431" t="s">
        <v>2342</v>
      </c>
      <c r="AI117" s="431" t="s">
        <v>1108</v>
      </c>
      <c r="AJ117" s="431" t="s">
        <v>3005</v>
      </c>
      <c r="AK117" s="346" t="s">
        <v>324</v>
      </c>
      <c r="AL117" s="346" t="s">
        <v>324</v>
      </c>
      <c r="AM117" s="346" t="s">
        <v>324</v>
      </c>
      <c r="AN117" s="346" t="s">
        <v>324</v>
      </c>
      <c r="AO117" s="346" t="s">
        <v>324</v>
      </c>
      <c r="AP117" s="346" t="s">
        <v>324</v>
      </c>
      <c r="AQ117" s="346"/>
      <c r="AR117" s="346"/>
      <c r="AS117" s="346"/>
      <c r="BQ117" s="365"/>
      <c r="BR117" s="365"/>
      <c r="BS117" s="365"/>
      <c r="BT117" s="365"/>
      <c r="BU117" s="365"/>
      <c r="BV117" s="365"/>
      <c r="BW117" s="365"/>
      <c r="BX117" s="365"/>
      <c r="DF117" s="206"/>
      <c r="DG117" s="206"/>
      <c r="DH117" s="206"/>
      <c r="DI117" s="206"/>
      <c r="DJ117" s="206"/>
      <c r="DK117" s="206"/>
      <c r="DL117" s="206"/>
      <c r="DM117" s="206"/>
    </row>
    <row r="118" spans="1:173" s="93" customFormat="1">
      <c r="A118" s="335" t="s">
        <v>1047</v>
      </c>
      <c r="B118" s="346" t="s">
        <v>2743</v>
      </c>
      <c r="C118" s="346" t="s">
        <v>225</v>
      </c>
      <c r="D118" s="346" t="s">
        <v>1081</v>
      </c>
      <c r="E118" s="346" t="s">
        <v>2745</v>
      </c>
      <c r="F118" s="431" t="s">
        <v>785</v>
      </c>
      <c r="G118" s="346">
        <v>180.8</v>
      </c>
      <c r="H118" s="346" t="s">
        <v>324</v>
      </c>
      <c r="I118" s="346">
        <v>179</v>
      </c>
      <c r="J118" s="346">
        <v>172.5</v>
      </c>
      <c r="N118" s="346" t="s">
        <v>2988</v>
      </c>
      <c r="O118" s="346" t="s">
        <v>2989</v>
      </c>
      <c r="P118" s="346" t="s">
        <v>2336</v>
      </c>
      <c r="Q118" s="346" t="s">
        <v>3017</v>
      </c>
      <c r="R118" s="346" t="s">
        <v>2337</v>
      </c>
      <c r="S118" s="346" t="s">
        <v>2744</v>
      </c>
      <c r="T118" s="346" t="s">
        <v>1046</v>
      </c>
      <c r="U118" s="346">
        <v>19</v>
      </c>
      <c r="V118" s="346" t="str" cm="1">
        <f t="array" ref="V118">IFERROR(INDEX('Offer Statistics'!$AZ$2:$AZ$350,MATCH(1,($B118='Offer Statistics'!$AK$2:$AK$350)*($B$11='Offer Statistics'!$AL$2:$AL$350),0)),"/")</f>
        <v>/</v>
      </c>
      <c r="W118" s="346" t="str" cm="1">
        <f t="array" ref="W118">IFERROR(INDEX('Offer Statistics'!$AM$2:$AM$350,MATCH(1,($B118='Offer Statistics'!$AK$2:$AK$350)*($B$11='Offer Statistics'!$AL$2:$AL$350),0)),"/")</f>
        <v>/</v>
      </c>
      <c r="X118" s="346" t="str" cm="1">
        <f t="array" ref="X118">IFERROR(INDEX('Offer Statistics'!$AU$2:$AU$350,MATCH(1,($B118='Offer Statistics'!$AK$2:$AK$350)*($B$11='Offer Statistics'!$AL$2:$AL$350),0)),"/")</f>
        <v>/</v>
      </c>
      <c r="Y118" s="346" t="str">
        <f t="shared" si="112"/>
        <v>新科目</v>
      </c>
      <c r="Z118" s="346" t="s">
        <v>1046</v>
      </c>
      <c r="AA118" s="346" t="str">
        <f>入學要求!AF123</f>
        <v>/</v>
      </c>
      <c r="AB118" s="346" t="str">
        <f>入學要求!AG123</f>
        <v>/</v>
      </c>
      <c r="AC118" s="346" t="s">
        <v>785</v>
      </c>
      <c r="AD118" s="333"/>
      <c r="AE118" s="333"/>
      <c r="AF118" s="333" t="s">
        <v>324</v>
      </c>
      <c r="AG118" s="333" t="s">
        <v>324</v>
      </c>
      <c r="AH118" s="426" t="s">
        <v>2336</v>
      </c>
      <c r="AI118" s="426" t="s">
        <v>3017</v>
      </c>
      <c r="AJ118" s="426" t="s">
        <v>2337</v>
      </c>
      <c r="AK118" s="346" t="s">
        <v>324</v>
      </c>
      <c r="AL118" s="346" t="s">
        <v>324</v>
      </c>
      <c r="AM118" s="346" t="s">
        <v>324</v>
      </c>
      <c r="AN118" s="346" t="s">
        <v>324</v>
      </c>
      <c r="AO118" s="346" t="s">
        <v>324</v>
      </c>
      <c r="AP118" s="346" t="s">
        <v>324</v>
      </c>
      <c r="AQ118" s="346" t="s">
        <v>324</v>
      </c>
      <c r="AR118" s="346" t="s">
        <v>324</v>
      </c>
      <c r="AS118" s="346"/>
      <c r="AT118" s="93" t="s">
        <v>716</v>
      </c>
      <c r="AV118" s="93" t="s">
        <v>713</v>
      </c>
      <c r="AW118" s="93" t="s">
        <v>324</v>
      </c>
      <c r="AX118" s="93" t="s">
        <v>324</v>
      </c>
      <c r="AY118" s="93" t="s">
        <v>324</v>
      </c>
      <c r="BQ118" s="365">
        <f>IFERROR(BI118+0.00000000004,0)</f>
        <v>3.9999999999999998E-11</v>
      </c>
      <c r="BR118" s="365">
        <f>IFERROR(BJ118+0.00000000002,0)</f>
        <v>1.9999999999999999E-11</v>
      </c>
      <c r="BS118" s="365">
        <f>IFERROR(BK118+0.00000000003,0)</f>
        <v>3E-11</v>
      </c>
      <c r="BT118" s="365"/>
      <c r="BU118" s="365">
        <f>IFERROR(BM118+0.00000000005,0)</f>
        <v>5.0000000000000002E-11</v>
      </c>
      <c r="BV118" s="365">
        <f>IFERROR(BN118+0.00000000006,0)</f>
        <v>6E-11</v>
      </c>
      <c r="BW118" s="365">
        <f>IFERROR(BO118+0.00000000007,0)</f>
        <v>7.0000000000000004E-11</v>
      </c>
      <c r="BX118" s="365">
        <f>IFERROR(BP118+0.00000000008,0)</f>
        <v>7.9999999999999995E-11</v>
      </c>
      <c r="BY118" s="93">
        <f t="shared" ref="BY118:CF121" si="185">AZ118*BQ118</f>
        <v>0</v>
      </c>
      <c r="BZ118" s="93">
        <f t="shared" si="185"/>
        <v>0</v>
      </c>
      <c r="CA118" s="93">
        <f t="shared" si="185"/>
        <v>0</v>
      </c>
      <c r="CC118" s="93">
        <f t="shared" si="185"/>
        <v>0</v>
      </c>
      <c r="CD118" s="93">
        <f t="shared" si="185"/>
        <v>0</v>
      </c>
      <c r="CE118" s="93">
        <f t="shared" si="185"/>
        <v>0</v>
      </c>
      <c r="CF118" s="93">
        <f t="shared" si="185"/>
        <v>0</v>
      </c>
      <c r="CG118" s="93" t="b">
        <f t="shared" ref="CG118:CI121" si="186">IF($F118="4C2X",TRUE,IF($F118="Best 5",IF(BY118&gt;LARGE($BY118:$CF118,6),TRUE),IF($F118="Best 6",IF(BY118&gt;LARGE($BY118:$CF118,7),TRUE))))</f>
        <v>0</v>
      </c>
      <c r="CH118" s="93" t="b">
        <f t="shared" si="186"/>
        <v>0</v>
      </c>
      <c r="CI118" s="93" t="b">
        <f t="shared" si="186"/>
        <v>0</v>
      </c>
      <c r="CK118" s="93" t="b">
        <f t="shared" ref="CK118:CN121" si="187">IF($F118="4C2X",IF(CC118&gt;LARGE($CC118:$CF118,3),TRUE),IF($F118="Best 5",IF(CC118&gt;LARGE($BY118:$CF118,6),TRUE),IF($F118="Best 6",IF(CC118&gt;LARGE($BY118:$CF118,7),TRUE))))</f>
        <v>0</v>
      </c>
      <c r="CL118" s="93" t="b">
        <f t="shared" si="187"/>
        <v>0</v>
      </c>
      <c r="CM118" s="93" t="b">
        <f t="shared" si="187"/>
        <v>0</v>
      </c>
      <c r="CN118" s="93" t="b">
        <f t="shared" si="187"/>
        <v>0</v>
      </c>
      <c r="DF118" s="206">
        <f>IFERROR(CX118+0.00000000001,0)</f>
        <v>9.9999999999999994E-12</v>
      </c>
      <c r="DG118" s="206">
        <f>IFERROR(CY118+0.00000000002,0)</f>
        <v>1.9999999999999999E-11</v>
      </c>
      <c r="DH118" s="206">
        <f>IFERROR(CZ118+0.00000000003,0)</f>
        <v>3E-11</v>
      </c>
      <c r="DI118" s="206"/>
      <c r="DJ118" s="206">
        <f>IFERROR(DB118+0.00000000005,0)</f>
        <v>5.0000000000000002E-11</v>
      </c>
      <c r="DK118" s="206">
        <f>IFERROR(DC118+0.00000000006,0)</f>
        <v>6E-11</v>
      </c>
      <c r="DL118" s="206">
        <f>IFERROR(DD118+0.00000000007,0)</f>
        <v>7.0000000000000004E-11</v>
      </c>
      <c r="DM118" s="206">
        <f>IFERROR(DE118+0.00000000008,0)</f>
        <v>7.9999999999999995E-11</v>
      </c>
      <c r="DN118" s="93">
        <f t="shared" ref="DN118:DU121" si="188">CO118*DF118</f>
        <v>0</v>
      </c>
      <c r="DO118" s="93">
        <f t="shared" si="188"/>
        <v>0</v>
      </c>
      <c r="DP118" s="93">
        <f t="shared" si="188"/>
        <v>0</v>
      </c>
      <c r="DR118" s="93">
        <f t="shared" si="188"/>
        <v>0</v>
      </c>
      <c r="DS118" s="93">
        <f t="shared" si="188"/>
        <v>0</v>
      </c>
      <c r="DT118" s="93">
        <f t="shared" si="188"/>
        <v>0</v>
      </c>
      <c r="DU118" s="93">
        <f t="shared" si="188"/>
        <v>0</v>
      </c>
      <c r="DV118" s="93" t="b">
        <f t="shared" ref="DV118:DX121" si="189">IF($F118="4C2X",TRUE,IF($F118="Best 5",IF(DN118&gt;LARGE($DN118:$DU118,6),TRUE),IF($F118="Best 6",IF(DN118&gt;LARGE($DN118:$DU118,7),TRUE))))</f>
        <v>0</v>
      </c>
      <c r="DW118" s="93" t="b">
        <f t="shared" si="189"/>
        <v>0</v>
      </c>
      <c r="DX118" s="93" t="b">
        <f t="shared" si="189"/>
        <v>0</v>
      </c>
      <c r="DZ118" s="93" t="b">
        <f t="shared" ref="DZ118:EC121" si="190">IF($F118="4C2X",IF(DR118&gt;LARGE($DR118:$DU118,3),TRUE),IF($F118="Best 5",IF(DR118&gt;LARGE($DN118:$DU118,6),TRUE),IF($F118="Best 6",IF(DR118&gt;LARGE($DN118:$DU118,7),TRUE))))</f>
        <v>0</v>
      </c>
      <c r="EA118" s="93" t="b">
        <f t="shared" si="190"/>
        <v>0</v>
      </c>
      <c r="EB118" s="93" t="b">
        <f t="shared" si="190"/>
        <v>0</v>
      </c>
      <c r="EC118" s="93" t="b">
        <f t="shared" si="190"/>
        <v>0</v>
      </c>
      <c r="ED118" s="93" t="s">
        <v>394</v>
      </c>
      <c r="EE118" s="93" t="s">
        <v>394</v>
      </c>
      <c r="EF118" s="93" t="s">
        <v>394</v>
      </c>
      <c r="EH118" s="93" t="s">
        <v>394</v>
      </c>
      <c r="EI118" s="93" t="s">
        <v>394</v>
      </c>
      <c r="EJ118" s="93" t="s">
        <v>394</v>
      </c>
      <c r="EK118" s="93" t="s">
        <v>394</v>
      </c>
      <c r="EL118" s="93" t="s">
        <v>394</v>
      </c>
      <c r="EM118" s="93" t="s">
        <v>394</v>
      </c>
      <c r="EN118" s="93" t="s">
        <v>394</v>
      </c>
      <c r="EP118" s="93" t="s">
        <v>394</v>
      </c>
      <c r="EQ118" s="93" t="s">
        <v>394</v>
      </c>
      <c r="ER118" s="93" t="s">
        <v>394</v>
      </c>
      <c r="ES118" s="93" t="s">
        <v>394</v>
      </c>
      <c r="FB118" s="93" t="s">
        <v>394</v>
      </c>
      <c r="FC118" s="93" t="s">
        <v>394</v>
      </c>
      <c r="FD118" s="93" t="s">
        <v>394</v>
      </c>
      <c r="FE118" s="93" t="s">
        <v>394</v>
      </c>
      <c r="FF118" s="93" t="s">
        <v>394</v>
      </c>
      <c r="FG118" s="93" t="s">
        <v>394</v>
      </c>
      <c r="FH118" s="93" t="s">
        <v>394</v>
      </c>
      <c r="FI118" s="93" t="s">
        <v>394</v>
      </c>
      <c r="FJ118" s="93" t="s">
        <v>394</v>
      </c>
      <c r="FK118" s="93" t="s">
        <v>394</v>
      </c>
      <c r="FL118" s="93" t="s">
        <v>394</v>
      </c>
      <c r="FM118" s="93" t="s">
        <v>394</v>
      </c>
      <c r="FN118" s="93" t="s">
        <v>394</v>
      </c>
      <c r="FO118" s="93" t="s">
        <v>394</v>
      </c>
      <c r="FP118" s="93" t="s">
        <v>394</v>
      </c>
      <c r="FQ118" s="93" t="s">
        <v>394</v>
      </c>
    </row>
    <row r="119" spans="1:173" s="93" customFormat="1">
      <c r="A119" s="335" t="s">
        <v>1047</v>
      </c>
      <c r="B119" s="346" t="s">
        <v>2746</v>
      </c>
      <c r="C119" s="346" t="s">
        <v>225</v>
      </c>
      <c r="D119" s="346" t="s">
        <v>1081</v>
      </c>
      <c r="E119" s="346" t="s">
        <v>2748</v>
      </c>
      <c r="F119" s="431" t="s">
        <v>785</v>
      </c>
      <c r="G119" s="346">
        <v>180.8</v>
      </c>
      <c r="H119" s="346" t="s">
        <v>324</v>
      </c>
      <c r="I119" s="346">
        <v>179</v>
      </c>
      <c r="J119" s="346">
        <v>172.5</v>
      </c>
      <c r="N119" s="346" t="s">
        <v>2988</v>
      </c>
      <c r="O119" s="346" t="s">
        <v>2989</v>
      </c>
      <c r="P119" s="346" t="s">
        <v>2336</v>
      </c>
      <c r="Q119" s="346" t="s">
        <v>3017</v>
      </c>
      <c r="R119" s="346" t="s">
        <v>2337</v>
      </c>
      <c r="S119" s="346" t="s">
        <v>2747</v>
      </c>
      <c r="T119" s="346" t="s">
        <v>1046</v>
      </c>
      <c r="U119" s="346">
        <v>32</v>
      </c>
      <c r="V119" s="346" t="str" cm="1">
        <f t="array" ref="V119">IFERROR(INDEX('Offer Statistics'!$AZ$2:$AZ$350,MATCH(1,($B119='Offer Statistics'!$AK$2:$AK$350)*($B$11='Offer Statistics'!$AL$2:$AL$350),0)),"/")</f>
        <v>/</v>
      </c>
      <c r="W119" s="346" t="str" cm="1">
        <f t="array" ref="W119">IFERROR(INDEX('Offer Statistics'!$AM$2:$AM$350,MATCH(1,($B119='Offer Statistics'!$AK$2:$AK$350)*($B$11='Offer Statistics'!$AL$2:$AL$350),0)),"/")</f>
        <v>/</v>
      </c>
      <c r="X119" s="346" t="str" cm="1">
        <f t="array" ref="X119">IFERROR(INDEX('Offer Statistics'!$AU$2:$AU$350,MATCH(1,($B119='Offer Statistics'!$AK$2:$AK$350)*($B$11='Offer Statistics'!$AL$2:$AL$350),0)),"/")</f>
        <v>/</v>
      </c>
      <c r="Y119" s="346" t="str">
        <f t="shared" si="112"/>
        <v>新科目</v>
      </c>
      <c r="Z119" s="346" t="s">
        <v>1046</v>
      </c>
      <c r="AA119" s="346" t="str">
        <f>入學要求!AF124</f>
        <v>/</v>
      </c>
      <c r="AB119" s="346" t="str">
        <f>入學要求!AG124</f>
        <v>/</v>
      </c>
      <c r="AC119" s="346" t="s">
        <v>785</v>
      </c>
      <c r="AD119" s="333"/>
      <c r="AE119" s="333"/>
      <c r="AF119" s="333" t="s">
        <v>324</v>
      </c>
      <c r="AG119" s="333" t="s">
        <v>324</v>
      </c>
      <c r="AH119" s="431" t="s">
        <v>2367</v>
      </c>
      <c r="AI119" s="431" t="s">
        <v>2997</v>
      </c>
      <c r="AJ119" s="431" t="s">
        <v>2337</v>
      </c>
      <c r="AK119" s="346" t="s">
        <v>324</v>
      </c>
      <c r="AL119" s="346" t="s">
        <v>324</v>
      </c>
      <c r="AM119" s="346" t="s">
        <v>324</v>
      </c>
      <c r="AN119" s="346" t="s">
        <v>324</v>
      </c>
      <c r="AO119" s="346" t="s">
        <v>324</v>
      </c>
      <c r="AP119" s="346" t="s">
        <v>324</v>
      </c>
      <c r="AQ119" s="346" t="s">
        <v>324</v>
      </c>
      <c r="AR119" s="346" t="s">
        <v>324</v>
      </c>
      <c r="AS119" s="346"/>
      <c r="AT119" s="93" t="s">
        <v>716</v>
      </c>
      <c r="AV119" s="93" t="s">
        <v>713</v>
      </c>
      <c r="AW119" s="93" t="s">
        <v>324</v>
      </c>
      <c r="AX119" s="93" t="s">
        <v>324</v>
      </c>
      <c r="AY119" s="93" t="s">
        <v>324</v>
      </c>
      <c r="BQ119" s="365">
        <f>IFERROR(BI119+0.00000000004,0)</f>
        <v>3.9999999999999998E-11</v>
      </c>
      <c r="BR119" s="365">
        <f>IFERROR(BJ119+0.00000000002,0)</f>
        <v>1.9999999999999999E-11</v>
      </c>
      <c r="BS119" s="365">
        <f>IFERROR(BK119+0.00000000003,0)</f>
        <v>3E-11</v>
      </c>
      <c r="BT119" s="365"/>
      <c r="BU119" s="365">
        <f>IFERROR(BM119+0.00000000005,0)</f>
        <v>5.0000000000000002E-11</v>
      </c>
      <c r="BV119" s="365">
        <f>IFERROR(BN119+0.00000000006,0)</f>
        <v>6E-11</v>
      </c>
      <c r="BW119" s="365">
        <f>IFERROR(BO119+0.00000000007,0)</f>
        <v>7.0000000000000004E-11</v>
      </c>
      <c r="BX119" s="365">
        <f>IFERROR(BP119+0.00000000008,0)</f>
        <v>7.9999999999999995E-11</v>
      </c>
      <c r="BY119" s="93">
        <f t="shared" si="185"/>
        <v>0</v>
      </c>
      <c r="BZ119" s="93">
        <f t="shared" si="185"/>
        <v>0</v>
      </c>
      <c r="CA119" s="93">
        <f t="shared" si="185"/>
        <v>0</v>
      </c>
      <c r="CC119" s="93">
        <f t="shared" si="185"/>
        <v>0</v>
      </c>
      <c r="CD119" s="93">
        <f t="shared" si="185"/>
        <v>0</v>
      </c>
      <c r="CE119" s="93">
        <f t="shared" si="185"/>
        <v>0</v>
      </c>
      <c r="CF119" s="93">
        <f t="shared" si="185"/>
        <v>0</v>
      </c>
      <c r="CG119" s="93" t="b">
        <f t="shared" si="186"/>
        <v>0</v>
      </c>
      <c r="CH119" s="93" t="b">
        <f t="shared" si="186"/>
        <v>0</v>
      </c>
      <c r="CI119" s="93" t="b">
        <f t="shared" si="186"/>
        <v>0</v>
      </c>
      <c r="CK119" s="93" t="b">
        <f t="shared" si="187"/>
        <v>0</v>
      </c>
      <c r="CL119" s="93" t="b">
        <f t="shared" si="187"/>
        <v>0</v>
      </c>
      <c r="CM119" s="93" t="b">
        <f t="shared" si="187"/>
        <v>0</v>
      </c>
      <c r="CN119" s="93" t="b">
        <f t="shared" si="187"/>
        <v>0</v>
      </c>
      <c r="DF119" s="206">
        <f>IFERROR(CX119+0.00000000001,0)</f>
        <v>9.9999999999999994E-12</v>
      </c>
      <c r="DG119" s="206">
        <f>IFERROR(CY119+0.00000000002,0)</f>
        <v>1.9999999999999999E-11</v>
      </c>
      <c r="DH119" s="206">
        <f>IFERROR(CZ119+0.00000000003,0)</f>
        <v>3E-11</v>
      </c>
      <c r="DI119" s="206"/>
      <c r="DJ119" s="206">
        <f>IFERROR(DB119+0.00000000005,0)</f>
        <v>5.0000000000000002E-11</v>
      </c>
      <c r="DK119" s="206">
        <f>IFERROR(DC119+0.00000000006,0)</f>
        <v>6E-11</v>
      </c>
      <c r="DL119" s="206">
        <f>IFERROR(DD119+0.00000000007,0)</f>
        <v>7.0000000000000004E-11</v>
      </c>
      <c r="DM119" s="206">
        <f>IFERROR(DE119+0.00000000008,0)</f>
        <v>7.9999999999999995E-11</v>
      </c>
      <c r="DN119" s="93">
        <f t="shared" si="188"/>
        <v>0</v>
      </c>
      <c r="DO119" s="93">
        <f t="shared" si="188"/>
        <v>0</v>
      </c>
      <c r="DP119" s="93">
        <f t="shared" si="188"/>
        <v>0</v>
      </c>
      <c r="DR119" s="93">
        <f t="shared" si="188"/>
        <v>0</v>
      </c>
      <c r="DS119" s="93">
        <f t="shared" si="188"/>
        <v>0</v>
      </c>
      <c r="DT119" s="93">
        <f t="shared" si="188"/>
        <v>0</v>
      </c>
      <c r="DU119" s="93">
        <f t="shared" si="188"/>
        <v>0</v>
      </c>
      <c r="DV119" s="93" t="b">
        <f t="shared" si="189"/>
        <v>0</v>
      </c>
      <c r="DW119" s="93" t="b">
        <f t="shared" si="189"/>
        <v>0</v>
      </c>
      <c r="DX119" s="93" t="b">
        <f t="shared" si="189"/>
        <v>0</v>
      </c>
      <c r="DZ119" s="93" t="b">
        <f t="shared" si="190"/>
        <v>0</v>
      </c>
      <c r="EA119" s="93" t="b">
        <f t="shared" si="190"/>
        <v>0</v>
      </c>
      <c r="EB119" s="93" t="b">
        <f t="shared" si="190"/>
        <v>0</v>
      </c>
      <c r="EC119" s="93" t="b">
        <f t="shared" si="190"/>
        <v>0</v>
      </c>
      <c r="ED119" s="93" t="s">
        <v>394</v>
      </c>
      <c r="EE119" s="93" t="s">
        <v>394</v>
      </c>
      <c r="EF119" s="93" t="s">
        <v>394</v>
      </c>
      <c r="EH119" s="93" t="s">
        <v>394</v>
      </c>
      <c r="EI119" s="93" t="s">
        <v>394</v>
      </c>
      <c r="EJ119" s="93" t="s">
        <v>394</v>
      </c>
      <c r="EK119" s="93" t="s">
        <v>394</v>
      </c>
      <c r="EL119" s="93" t="s">
        <v>394</v>
      </c>
      <c r="EM119" s="93" t="s">
        <v>394</v>
      </c>
      <c r="EN119" s="93" t="s">
        <v>394</v>
      </c>
      <c r="EP119" s="93" t="s">
        <v>394</v>
      </c>
      <c r="EQ119" s="93" t="s">
        <v>394</v>
      </c>
      <c r="ER119" s="93" t="s">
        <v>394</v>
      </c>
      <c r="ES119" s="93" t="s">
        <v>394</v>
      </c>
      <c r="FB119" s="93" t="s">
        <v>394</v>
      </c>
      <c r="FC119" s="93" t="s">
        <v>394</v>
      </c>
      <c r="FD119" s="93" t="s">
        <v>394</v>
      </c>
      <c r="FE119" s="93" t="s">
        <v>394</v>
      </c>
      <c r="FF119" s="93" t="s">
        <v>394</v>
      </c>
      <c r="FG119" s="93" t="s">
        <v>394</v>
      </c>
      <c r="FH119" s="93" t="s">
        <v>394</v>
      </c>
      <c r="FI119" s="93" t="s">
        <v>394</v>
      </c>
      <c r="FJ119" s="93" t="s">
        <v>394</v>
      </c>
      <c r="FK119" s="93" t="s">
        <v>394</v>
      </c>
      <c r="FL119" s="93" t="s">
        <v>394</v>
      </c>
      <c r="FM119" s="93" t="s">
        <v>394</v>
      </c>
      <c r="FN119" s="93" t="s">
        <v>394</v>
      </c>
      <c r="FO119" s="93" t="s">
        <v>394</v>
      </c>
      <c r="FP119" s="93" t="s">
        <v>394</v>
      </c>
      <c r="FQ119" s="93" t="s">
        <v>394</v>
      </c>
    </row>
    <row r="120" spans="1:173" s="93" customFormat="1">
      <c r="A120" s="335" t="s">
        <v>1123</v>
      </c>
      <c r="B120" s="346" t="s">
        <v>2749</v>
      </c>
      <c r="C120" s="346" t="s">
        <v>225</v>
      </c>
      <c r="D120" s="346" t="s">
        <v>1081</v>
      </c>
      <c r="E120" s="346" t="s">
        <v>2751</v>
      </c>
      <c r="F120" s="431" t="s">
        <v>785</v>
      </c>
      <c r="G120" s="346">
        <v>148.30000000000001</v>
      </c>
      <c r="H120" s="346" t="s">
        <v>324</v>
      </c>
      <c r="I120" s="346">
        <v>148</v>
      </c>
      <c r="J120" s="346">
        <v>143.5</v>
      </c>
      <c r="N120" s="346" t="s">
        <v>2990</v>
      </c>
      <c r="O120" s="346" t="s">
        <v>2991</v>
      </c>
      <c r="P120" s="346" t="s">
        <v>2336</v>
      </c>
      <c r="Q120" s="346" t="s">
        <v>2324</v>
      </c>
      <c r="R120" s="346" t="s">
        <v>2337</v>
      </c>
      <c r="S120" s="346" t="s">
        <v>2750</v>
      </c>
      <c r="T120" s="346" t="s">
        <v>1046</v>
      </c>
      <c r="U120" s="346">
        <v>46</v>
      </c>
      <c r="V120" s="346" t="str" cm="1">
        <f t="array" ref="V120">IFERROR(INDEX('Offer Statistics'!$AZ$2:$AZ$350,MATCH(1,($B120='Offer Statistics'!$AK$2:$AK$350)*($B$11='Offer Statistics'!$AL$2:$AL$350),0)),"/")</f>
        <v>/</v>
      </c>
      <c r="W120" s="346" t="str" cm="1">
        <f t="array" ref="W120">IFERROR(INDEX('Offer Statistics'!$AM$2:$AM$350,MATCH(1,($B120='Offer Statistics'!$AK$2:$AK$350)*($B$11='Offer Statistics'!$AL$2:$AL$350),0)),"/")</f>
        <v>/</v>
      </c>
      <c r="X120" s="346" t="str" cm="1">
        <f t="array" ref="X120">IFERROR(INDEX('Offer Statistics'!$AU$2:$AU$350,MATCH(1,($B120='Offer Statistics'!$AK$2:$AK$350)*($B$11='Offer Statistics'!$AL$2:$AL$350),0)),"/")</f>
        <v>/</v>
      </c>
      <c r="Y120" s="346" t="str">
        <f t="shared" si="112"/>
        <v>新科目</v>
      </c>
      <c r="Z120" s="346" t="s">
        <v>1046</v>
      </c>
      <c r="AA120" s="346" t="str">
        <f>入學要求!AF131</f>
        <v>/</v>
      </c>
      <c r="AB120" s="346" t="str">
        <f>入學要求!AG131</f>
        <v>/</v>
      </c>
      <c r="AC120" s="346" t="s">
        <v>785</v>
      </c>
      <c r="AD120" s="334"/>
      <c r="AE120" s="51"/>
      <c r="AF120" s="333" t="s">
        <v>324</v>
      </c>
      <c r="AG120" s="333" t="s">
        <v>324</v>
      </c>
      <c r="AH120" s="431" t="s">
        <v>2361</v>
      </c>
      <c r="AI120" s="431" t="s">
        <v>3006</v>
      </c>
      <c r="AJ120" s="431" t="s">
        <v>2337</v>
      </c>
      <c r="AK120" s="346" t="s">
        <v>324</v>
      </c>
      <c r="AL120" s="346" t="s">
        <v>324</v>
      </c>
      <c r="AM120" s="346" t="s">
        <v>324</v>
      </c>
      <c r="AN120" s="346" t="s">
        <v>324</v>
      </c>
      <c r="AO120" s="346" t="s">
        <v>324</v>
      </c>
      <c r="AP120" s="346" t="s">
        <v>324</v>
      </c>
      <c r="AQ120" s="346" t="s">
        <v>324</v>
      </c>
      <c r="AR120" s="346" t="s">
        <v>324</v>
      </c>
      <c r="AS120" s="346"/>
      <c r="AT120" s="93" t="s">
        <v>716</v>
      </c>
      <c r="AV120" s="93" t="s">
        <v>713</v>
      </c>
      <c r="AW120" s="93" t="s">
        <v>324</v>
      </c>
      <c r="AX120" s="93" t="s">
        <v>324</v>
      </c>
      <c r="AY120" s="93" t="s">
        <v>324</v>
      </c>
      <c r="BQ120" s="365">
        <f>IFERROR(BI120+0.00000000004,0)</f>
        <v>3.9999999999999998E-11</v>
      </c>
      <c r="BR120" s="365">
        <f>IFERROR(BJ120+0.00000000002,0)</f>
        <v>1.9999999999999999E-11</v>
      </c>
      <c r="BS120" s="365">
        <f>IFERROR(BK120+0.00000000003,0)</f>
        <v>3E-11</v>
      </c>
      <c r="BT120" s="365"/>
      <c r="BU120" s="365">
        <f>IFERROR(BM120+0.00000000005,0)</f>
        <v>5.0000000000000002E-11</v>
      </c>
      <c r="BV120" s="365">
        <f>IFERROR(BN120+0.00000000006,0)</f>
        <v>6E-11</v>
      </c>
      <c r="BW120" s="365">
        <f>IFERROR(BO120+0.00000000007,0)</f>
        <v>7.0000000000000004E-11</v>
      </c>
      <c r="BX120" s="365">
        <f>IFERROR(BP120+0.00000000008,0)</f>
        <v>7.9999999999999995E-11</v>
      </c>
      <c r="BY120" s="93">
        <f t="shared" si="185"/>
        <v>0</v>
      </c>
      <c r="BZ120" s="93">
        <f t="shared" si="185"/>
        <v>0</v>
      </c>
      <c r="CA120" s="93">
        <f t="shared" si="185"/>
        <v>0</v>
      </c>
      <c r="CC120" s="93">
        <f t="shared" si="185"/>
        <v>0</v>
      </c>
      <c r="CD120" s="93">
        <f t="shared" si="185"/>
        <v>0</v>
      </c>
      <c r="CE120" s="93">
        <f t="shared" si="185"/>
        <v>0</v>
      </c>
      <c r="CF120" s="93">
        <f t="shared" si="185"/>
        <v>0</v>
      </c>
      <c r="CG120" s="93" t="b">
        <f t="shared" si="186"/>
        <v>0</v>
      </c>
      <c r="CH120" s="93" t="b">
        <f t="shared" si="186"/>
        <v>0</v>
      </c>
      <c r="CI120" s="93" t="b">
        <f t="shared" si="186"/>
        <v>0</v>
      </c>
      <c r="CK120" s="93" t="b">
        <f t="shared" si="187"/>
        <v>0</v>
      </c>
      <c r="CL120" s="93" t="b">
        <f t="shared" si="187"/>
        <v>0</v>
      </c>
      <c r="CM120" s="93" t="b">
        <f t="shared" si="187"/>
        <v>0</v>
      </c>
      <c r="CN120" s="93" t="b">
        <f t="shared" si="187"/>
        <v>0</v>
      </c>
      <c r="DF120" s="206">
        <f>IFERROR(CX120+0.00000000001,0)</f>
        <v>9.9999999999999994E-12</v>
      </c>
      <c r="DG120" s="206">
        <f>IFERROR(CY120+0.00000000002,0)</f>
        <v>1.9999999999999999E-11</v>
      </c>
      <c r="DH120" s="206">
        <f>IFERROR(CZ120+0.00000000003,0)</f>
        <v>3E-11</v>
      </c>
      <c r="DI120" s="206"/>
      <c r="DJ120" s="206">
        <f>IFERROR(DB120+0.00000000005,0)</f>
        <v>5.0000000000000002E-11</v>
      </c>
      <c r="DK120" s="206">
        <f>IFERROR(DC120+0.00000000006,0)</f>
        <v>6E-11</v>
      </c>
      <c r="DL120" s="206">
        <f>IFERROR(DD120+0.00000000007,0)</f>
        <v>7.0000000000000004E-11</v>
      </c>
      <c r="DM120" s="206">
        <f>IFERROR(DE120+0.00000000008,0)</f>
        <v>7.9999999999999995E-11</v>
      </c>
      <c r="DN120" s="93">
        <f t="shared" si="188"/>
        <v>0</v>
      </c>
      <c r="DO120" s="93">
        <f t="shared" si="188"/>
        <v>0</v>
      </c>
      <c r="DP120" s="93">
        <f t="shared" si="188"/>
        <v>0</v>
      </c>
      <c r="DR120" s="93">
        <f t="shared" si="188"/>
        <v>0</v>
      </c>
      <c r="DS120" s="93">
        <f t="shared" si="188"/>
        <v>0</v>
      </c>
      <c r="DT120" s="93">
        <f t="shared" si="188"/>
        <v>0</v>
      </c>
      <c r="DU120" s="93">
        <f t="shared" si="188"/>
        <v>0</v>
      </c>
      <c r="DV120" s="93" t="b">
        <f t="shared" si="189"/>
        <v>0</v>
      </c>
      <c r="DW120" s="93" t="b">
        <f t="shared" si="189"/>
        <v>0</v>
      </c>
      <c r="DX120" s="93" t="b">
        <f t="shared" si="189"/>
        <v>0</v>
      </c>
      <c r="DZ120" s="93" t="b">
        <f t="shared" si="190"/>
        <v>0</v>
      </c>
      <c r="EA120" s="93" t="b">
        <f t="shared" si="190"/>
        <v>0</v>
      </c>
      <c r="EB120" s="93" t="b">
        <f t="shared" si="190"/>
        <v>0</v>
      </c>
      <c r="EC120" s="93" t="b">
        <f t="shared" si="190"/>
        <v>0</v>
      </c>
      <c r="ED120" s="93" t="s">
        <v>394</v>
      </c>
      <c r="EE120" s="93" t="s">
        <v>394</v>
      </c>
      <c r="EF120" s="93" t="s">
        <v>394</v>
      </c>
      <c r="EH120" s="93" t="s">
        <v>394</v>
      </c>
      <c r="EI120" s="93" t="s">
        <v>394</v>
      </c>
      <c r="EJ120" s="93" t="s">
        <v>394</v>
      </c>
      <c r="EK120" s="93" t="s">
        <v>394</v>
      </c>
      <c r="EL120" s="93" t="s">
        <v>394</v>
      </c>
      <c r="EM120" s="93" t="s">
        <v>394</v>
      </c>
      <c r="EN120" s="93" t="s">
        <v>394</v>
      </c>
      <c r="EP120" s="93" t="s">
        <v>394</v>
      </c>
      <c r="EQ120" s="93" t="s">
        <v>394</v>
      </c>
      <c r="ER120" s="93" t="s">
        <v>394</v>
      </c>
      <c r="ES120" s="93" t="s">
        <v>394</v>
      </c>
      <c r="FB120" s="93" t="s">
        <v>394</v>
      </c>
      <c r="FC120" s="93" t="s">
        <v>394</v>
      </c>
      <c r="FD120" s="93" t="s">
        <v>394</v>
      </c>
      <c r="FE120" s="93" t="s">
        <v>394</v>
      </c>
      <c r="FF120" s="93" t="s">
        <v>394</v>
      </c>
      <c r="FG120" s="93" t="s">
        <v>394</v>
      </c>
      <c r="FH120" s="93" t="s">
        <v>394</v>
      </c>
      <c r="FI120" s="93" t="s">
        <v>394</v>
      </c>
      <c r="FJ120" s="93" t="s">
        <v>394</v>
      </c>
      <c r="FK120" s="93" t="s">
        <v>394</v>
      </c>
      <c r="FL120" s="93" t="s">
        <v>394</v>
      </c>
      <c r="FM120" s="93" t="s">
        <v>394</v>
      </c>
      <c r="FN120" s="93" t="s">
        <v>394</v>
      </c>
      <c r="FO120" s="93" t="s">
        <v>394</v>
      </c>
      <c r="FP120" s="93" t="s">
        <v>394</v>
      </c>
      <c r="FQ120" s="93" t="s">
        <v>394</v>
      </c>
    </row>
    <row r="121" spans="1:173" s="93" customFormat="1">
      <c r="A121" s="335" t="s">
        <v>1131</v>
      </c>
      <c r="B121" s="346" t="s">
        <v>2752</v>
      </c>
      <c r="C121" s="346" t="s">
        <v>225</v>
      </c>
      <c r="D121" s="346" t="s">
        <v>1081</v>
      </c>
      <c r="E121" s="346" t="s">
        <v>2754</v>
      </c>
      <c r="F121" s="431" t="s">
        <v>785</v>
      </c>
      <c r="G121" s="346">
        <v>146.4</v>
      </c>
      <c r="H121" s="346" t="s">
        <v>324</v>
      </c>
      <c r="I121" s="346">
        <v>146</v>
      </c>
      <c r="J121" s="346">
        <v>143</v>
      </c>
      <c r="N121" s="346" t="s">
        <v>2978</v>
      </c>
      <c r="O121" s="346" t="s">
        <v>2984</v>
      </c>
      <c r="P121" s="346" t="s">
        <v>2336</v>
      </c>
      <c r="Q121" s="346" t="s">
        <v>2324</v>
      </c>
      <c r="R121" s="346" t="s">
        <v>2337</v>
      </c>
      <c r="S121" s="346" t="s">
        <v>2753</v>
      </c>
      <c r="T121" s="346" t="s">
        <v>1046</v>
      </c>
      <c r="U121" s="346">
        <v>43</v>
      </c>
      <c r="V121" s="346" t="str" cm="1">
        <f t="array" ref="V121">IFERROR(INDEX('Offer Statistics'!$AZ$2:$AZ$350,MATCH(1,($B121='Offer Statistics'!$AK$2:$AK$350)*($B$11='Offer Statistics'!$AL$2:$AL$350),0)),"/")</f>
        <v>/</v>
      </c>
      <c r="W121" s="346" t="str" cm="1">
        <f t="array" ref="W121">IFERROR(INDEX('Offer Statistics'!$AM$2:$AM$350,MATCH(1,($B121='Offer Statistics'!$AK$2:$AK$350)*($B$11='Offer Statistics'!$AL$2:$AL$350),0)),"/")</f>
        <v>/</v>
      </c>
      <c r="X121" s="346" t="str" cm="1">
        <f t="array" ref="X121">IFERROR(INDEX('Offer Statistics'!$AU$2:$AU$350,MATCH(1,($B121='Offer Statistics'!$AK$2:$AK$350)*($B$11='Offer Statistics'!$AL$2:$AL$350),0)),"/")</f>
        <v>/</v>
      </c>
      <c r="Y121" s="346" t="str">
        <f t="shared" si="112"/>
        <v>新科目</v>
      </c>
      <c r="Z121" s="346" t="s">
        <v>1046</v>
      </c>
      <c r="AA121" s="346" t="str">
        <f>入學要求!AF134</f>
        <v>/</v>
      </c>
      <c r="AB121" s="346" t="str">
        <f>入學要求!AG134</f>
        <v>/</v>
      </c>
      <c r="AC121" s="346" t="s">
        <v>785</v>
      </c>
      <c r="AD121" s="334"/>
      <c r="AE121" s="51"/>
      <c r="AF121" s="333" t="s">
        <v>324</v>
      </c>
      <c r="AG121" s="369" t="s">
        <v>324</v>
      </c>
      <c r="AH121" s="431" t="s">
        <v>3007</v>
      </c>
      <c r="AI121" s="431" t="s">
        <v>3008</v>
      </c>
      <c r="AJ121" s="431" t="s">
        <v>2337</v>
      </c>
      <c r="AK121" s="346" t="s">
        <v>324</v>
      </c>
      <c r="AL121" s="346" t="s">
        <v>324</v>
      </c>
      <c r="AM121" s="346" t="s">
        <v>324</v>
      </c>
      <c r="AN121" s="346" t="s">
        <v>324</v>
      </c>
      <c r="AO121" s="346" t="s">
        <v>324</v>
      </c>
      <c r="AP121" s="346" t="s">
        <v>324</v>
      </c>
      <c r="AQ121" s="346" t="s">
        <v>324</v>
      </c>
      <c r="AR121" s="346" t="s">
        <v>324</v>
      </c>
      <c r="AS121" s="346"/>
      <c r="AT121" s="93" t="s">
        <v>716</v>
      </c>
      <c r="AV121" s="93" t="s">
        <v>713</v>
      </c>
      <c r="AW121" s="93" t="s">
        <v>324</v>
      </c>
      <c r="AX121" s="93" t="s">
        <v>324</v>
      </c>
      <c r="AY121" s="93" t="s">
        <v>324</v>
      </c>
      <c r="BQ121" s="365">
        <f>IFERROR(BI121+0.00000000004,0)</f>
        <v>3.9999999999999998E-11</v>
      </c>
      <c r="BR121" s="365">
        <f>IFERROR(BJ121+0.00000000002,0)</f>
        <v>1.9999999999999999E-11</v>
      </c>
      <c r="BS121" s="365">
        <f>IFERROR(BK121+0.00000000003,0)</f>
        <v>3E-11</v>
      </c>
      <c r="BT121" s="365"/>
      <c r="BU121" s="365">
        <f>IFERROR(BM121+0.00000000005,0)</f>
        <v>5.0000000000000002E-11</v>
      </c>
      <c r="BV121" s="365">
        <f>IFERROR(BN121+0.00000000006,0)</f>
        <v>6E-11</v>
      </c>
      <c r="BW121" s="365">
        <f>IFERROR(BO121+0.00000000007,0)</f>
        <v>7.0000000000000004E-11</v>
      </c>
      <c r="BX121" s="365">
        <f>IFERROR(BP121+0.00000000008,0)</f>
        <v>7.9999999999999995E-11</v>
      </c>
      <c r="BY121" s="93">
        <f t="shared" si="185"/>
        <v>0</v>
      </c>
      <c r="BZ121" s="93">
        <f t="shared" si="185"/>
        <v>0</v>
      </c>
      <c r="CA121" s="93">
        <f t="shared" si="185"/>
        <v>0</v>
      </c>
      <c r="CC121" s="93">
        <f t="shared" si="185"/>
        <v>0</v>
      </c>
      <c r="CD121" s="93">
        <f t="shared" si="185"/>
        <v>0</v>
      </c>
      <c r="CE121" s="93">
        <f t="shared" si="185"/>
        <v>0</v>
      </c>
      <c r="CF121" s="93">
        <f t="shared" si="185"/>
        <v>0</v>
      </c>
      <c r="CG121" s="93" t="b">
        <f t="shared" si="186"/>
        <v>0</v>
      </c>
      <c r="CH121" s="93" t="b">
        <f t="shared" si="186"/>
        <v>0</v>
      </c>
      <c r="CI121" s="93" t="b">
        <f t="shared" si="186"/>
        <v>0</v>
      </c>
      <c r="CK121" s="93" t="b">
        <f t="shared" si="187"/>
        <v>0</v>
      </c>
      <c r="CL121" s="93" t="b">
        <f t="shared" si="187"/>
        <v>0</v>
      </c>
      <c r="CM121" s="93" t="b">
        <f t="shared" si="187"/>
        <v>0</v>
      </c>
      <c r="CN121" s="93" t="b">
        <f t="shared" si="187"/>
        <v>0</v>
      </c>
      <c r="DF121" s="206">
        <f>IFERROR(CX121+0.00000000001,0)</f>
        <v>9.9999999999999994E-12</v>
      </c>
      <c r="DG121" s="206">
        <f>IFERROR(CY121+0.00000000002,0)</f>
        <v>1.9999999999999999E-11</v>
      </c>
      <c r="DH121" s="206">
        <f>IFERROR(CZ121+0.00000000003,0)</f>
        <v>3E-11</v>
      </c>
      <c r="DI121" s="206"/>
      <c r="DJ121" s="206">
        <f>IFERROR(DB121+0.00000000005,0)</f>
        <v>5.0000000000000002E-11</v>
      </c>
      <c r="DK121" s="206">
        <f>IFERROR(DC121+0.00000000006,0)</f>
        <v>6E-11</v>
      </c>
      <c r="DL121" s="206">
        <f>IFERROR(DD121+0.00000000007,0)</f>
        <v>7.0000000000000004E-11</v>
      </c>
      <c r="DM121" s="206">
        <f>IFERROR(DE121+0.00000000008,0)</f>
        <v>7.9999999999999995E-11</v>
      </c>
      <c r="DN121" s="93">
        <f t="shared" si="188"/>
        <v>0</v>
      </c>
      <c r="DO121" s="93">
        <f t="shared" si="188"/>
        <v>0</v>
      </c>
      <c r="DP121" s="93">
        <f t="shared" si="188"/>
        <v>0</v>
      </c>
      <c r="DR121" s="93">
        <f t="shared" si="188"/>
        <v>0</v>
      </c>
      <c r="DS121" s="93">
        <f t="shared" si="188"/>
        <v>0</v>
      </c>
      <c r="DT121" s="93">
        <f t="shared" si="188"/>
        <v>0</v>
      </c>
      <c r="DU121" s="93">
        <f t="shared" si="188"/>
        <v>0</v>
      </c>
      <c r="DV121" s="93" t="b">
        <f t="shared" si="189"/>
        <v>0</v>
      </c>
      <c r="DW121" s="93" t="b">
        <f t="shared" si="189"/>
        <v>0</v>
      </c>
      <c r="DX121" s="93" t="b">
        <f t="shared" si="189"/>
        <v>0</v>
      </c>
      <c r="DZ121" s="93" t="b">
        <f t="shared" si="190"/>
        <v>0</v>
      </c>
      <c r="EA121" s="93" t="b">
        <f t="shared" si="190"/>
        <v>0</v>
      </c>
      <c r="EB121" s="93" t="b">
        <f t="shared" si="190"/>
        <v>0</v>
      </c>
      <c r="EC121" s="93" t="b">
        <f t="shared" si="190"/>
        <v>0</v>
      </c>
      <c r="ED121" s="93" t="s">
        <v>394</v>
      </c>
      <c r="EE121" s="93" t="s">
        <v>394</v>
      </c>
      <c r="EF121" s="93" t="s">
        <v>394</v>
      </c>
      <c r="EH121" s="93" t="s">
        <v>394</v>
      </c>
      <c r="EI121" s="93" t="s">
        <v>394</v>
      </c>
      <c r="EJ121" s="93" t="s">
        <v>394</v>
      </c>
      <c r="EK121" s="93" t="s">
        <v>394</v>
      </c>
      <c r="EL121" s="93" t="s">
        <v>394</v>
      </c>
      <c r="EM121" s="93" t="s">
        <v>394</v>
      </c>
      <c r="EN121" s="93" t="s">
        <v>394</v>
      </c>
      <c r="EP121" s="93" t="s">
        <v>394</v>
      </c>
      <c r="EQ121" s="93" t="s">
        <v>394</v>
      </c>
      <c r="ER121" s="93" t="s">
        <v>394</v>
      </c>
      <c r="ES121" s="93" t="s">
        <v>394</v>
      </c>
      <c r="FB121" s="93" t="s">
        <v>394</v>
      </c>
      <c r="FC121" s="93" t="s">
        <v>394</v>
      </c>
      <c r="FD121" s="93" t="s">
        <v>394</v>
      </c>
      <c r="FE121" s="93" t="s">
        <v>394</v>
      </c>
      <c r="FF121" s="93" t="s">
        <v>394</v>
      </c>
      <c r="FG121" s="93" t="s">
        <v>394</v>
      </c>
      <c r="FH121" s="93" t="s">
        <v>394</v>
      </c>
      <c r="FI121" s="93" t="s">
        <v>394</v>
      </c>
      <c r="FJ121" s="93" t="s">
        <v>394</v>
      </c>
      <c r="FK121" s="93" t="s">
        <v>394</v>
      </c>
      <c r="FL121" s="93" t="s">
        <v>394</v>
      </c>
      <c r="FM121" s="93" t="s">
        <v>394</v>
      </c>
      <c r="FN121" s="93" t="s">
        <v>394</v>
      </c>
      <c r="FO121" s="93" t="s">
        <v>394</v>
      </c>
      <c r="FP121" s="93" t="s">
        <v>394</v>
      </c>
      <c r="FQ121" s="93" t="s">
        <v>394</v>
      </c>
    </row>
    <row r="122" spans="1:173" s="93" customFormat="1">
      <c r="A122" s="335" t="s">
        <v>1093</v>
      </c>
      <c r="B122" s="346" t="s">
        <v>1093</v>
      </c>
      <c r="C122" s="346" t="s">
        <v>225</v>
      </c>
      <c r="D122" s="346" t="s">
        <v>1111</v>
      </c>
      <c r="E122" s="346" t="s">
        <v>2755</v>
      </c>
      <c r="F122" s="424" t="s">
        <v>1096</v>
      </c>
      <c r="G122" s="346">
        <v>169.8</v>
      </c>
      <c r="H122" s="346" t="s">
        <v>324</v>
      </c>
      <c r="I122" s="346">
        <v>169.5</v>
      </c>
      <c r="J122" s="346">
        <v>163</v>
      </c>
      <c r="N122" s="346"/>
      <c r="O122" s="346"/>
      <c r="P122" s="346" t="s">
        <v>2339</v>
      </c>
      <c r="Q122" s="346" t="s">
        <v>1108</v>
      </c>
      <c r="R122" s="346" t="s">
        <v>2362</v>
      </c>
      <c r="S122" s="346" t="s">
        <v>1097</v>
      </c>
      <c r="T122" s="346" t="s">
        <v>1046</v>
      </c>
      <c r="U122" s="346">
        <v>32</v>
      </c>
      <c r="V122" s="346" cm="1">
        <f t="array" ref="V122">IFERROR(INDEX('Offer Statistics'!$AZ$2:$AZ$350,MATCH(1,($B122='Offer Statistics'!$AK$2:$AK$350)*($B$11='Offer Statistics'!$AL$2:$AL$350),0)),"/")</f>
        <v>28</v>
      </c>
      <c r="W122" s="346" cm="1">
        <f t="array" ref="W122">IFERROR(INDEX('Offer Statistics'!$AM$2:$AM$350,MATCH(1,($B122='Offer Statistics'!$AK$2:$AK$350)*($B$11='Offer Statistics'!$AL$2:$AL$350),0)),"/")</f>
        <v>119</v>
      </c>
      <c r="X122" s="346" cm="1">
        <f t="array" ref="X122">IFERROR(INDEX('Offer Statistics'!$AU$2:$AU$350,MATCH(1,($B122='Offer Statistics'!$AK$2:$AK$350)*($B$11='Offer Statistics'!$AL$2:$AL$350),0)),"/")</f>
        <v>23</v>
      </c>
      <c r="Y122" s="346">
        <f t="shared" si="112"/>
        <v>5.1739130434782608</v>
      </c>
      <c r="Z122" s="346" t="s">
        <v>1046</v>
      </c>
      <c r="AA122" s="346" t="str">
        <f>入學要求!AF136</f>
        <v>/</v>
      </c>
      <c r="AB122" s="346" t="str">
        <f>入學要求!AG136</f>
        <v>/</v>
      </c>
      <c r="AC122" s="346" t="s">
        <v>1096</v>
      </c>
      <c r="AD122" s="334"/>
      <c r="AE122" s="51"/>
      <c r="AF122" s="333" t="s">
        <v>324</v>
      </c>
      <c r="AG122" s="333" t="s">
        <v>324</v>
      </c>
      <c r="AH122" s="426" t="s">
        <v>2339</v>
      </c>
      <c r="AI122" s="426" t="s">
        <v>1108</v>
      </c>
      <c r="AJ122" s="426" t="s">
        <v>2362</v>
      </c>
      <c r="AK122" s="346" t="s">
        <v>324</v>
      </c>
      <c r="AL122" s="346" t="s">
        <v>324</v>
      </c>
      <c r="AM122" s="346" t="s">
        <v>324</v>
      </c>
      <c r="AN122" s="346" t="s">
        <v>324</v>
      </c>
      <c r="AO122" s="346" t="s">
        <v>324</v>
      </c>
      <c r="AP122" s="346" t="s">
        <v>324</v>
      </c>
      <c r="AQ122" s="346" t="s">
        <v>324</v>
      </c>
      <c r="AR122" s="346" t="s">
        <v>324</v>
      </c>
      <c r="AS122" s="346"/>
      <c r="AT122" s="93" t="s">
        <v>716</v>
      </c>
      <c r="AV122" s="93" t="s">
        <v>713</v>
      </c>
      <c r="AW122" s="93" t="s">
        <v>324</v>
      </c>
      <c r="AX122" s="93" t="s">
        <v>324</v>
      </c>
      <c r="AY122" s="93" t="s">
        <v>324</v>
      </c>
      <c r="BQ122" s="365">
        <f t="shared" si="170"/>
        <v>3.9999999999999998E-11</v>
      </c>
      <c r="BR122" s="365">
        <f t="shared" si="171"/>
        <v>1.9999999999999999E-11</v>
      </c>
      <c r="BS122" s="365">
        <f t="shared" si="172"/>
        <v>3E-11</v>
      </c>
      <c r="BT122" s="365"/>
      <c r="BU122" s="365">
        <f t="shared" si="173"/>
        <v>5.0000000000000002E-11</v>
      </c>
      <c r="BV122" s="365">
        <f t="shared" si="174"/>
        <v>6E-11</v>
      </c>
      <c r="BW122" s="365">
        <f t="shared" si="175"/>
        <v>7.0000000000000004E-11</v>
      </c>
      <c r="BX122" s="365">
        <f t="shared" si="176"/>
        <v>7.9999999999999995E-11</v>
      </c>
      <c r="BY122" s="93">
        <f t="shared" si="155"/>
        <v>0</v>
      </c>
      <c r="BZ122" s="93">
        <f t="shared" si="156"/>
        <v>0</v>
      </c>
      <c r="CA122" s="93">
        <f t="shared" si="157"/>
        <v>0</v>
      </c>
      <c r="CC122" s="93">
        <f t="shared" si="158"/>
        <v>0</v>
      </c>
      <c r="CD122" s="93">
        <f t="shared" si="159"/>
        <v>0</v>
      </c>
      <c r="CE122" s="93">
        <f t="shared" si="160"/>
        <v>0</v>
      </c>
      <c r="CF122" s="93">
        <f t="shared" si="161"/>
        <v>0</v>
      </c>
      <c r="CG122" s="93" t="b">
        <v>1</v>
      </c>
      <c r="CH122" s="93" t="b">
        <v>1</v>
      </c>
      <c r="CI122" s="93" t="b">
        <f>IF(CA122&gt;LARGE($CA122:$CF122,4),TRUE)</f>
        <v>0</v>
      </c>
      <c r="CK122" s="93" t="b">
        <f t="shared" ref="CK122:CN124" si="191">IF(CC122&gt;LARGE($CA122:$CF122,4),TRUE)</f>
        <v>0</v>
      </c>
      <c r="CL122" s="93" t="b">
        <f t="shared" si="191"/>
        <v>0</v>
      </c>
      <c r="CM122" s="93" t="b">
        <f t="shared" si="191"/>
        <v>0</v>
      </c>
      <c r="CN122" s="93" t="b">
        <f t="shared" si="191"/>
        <v>0</v>
      </c>
      <c r="DF122" s="206">
        <f t="shared" si="162"/>
        <v>9.9999999999999994E-12</v>
      </c>
      <c r="DG122" s="206">
        <f t="shared" si="177"/>
        <v>1.9999999999999999E-11</v>
      </c>
      <c r="DH122" s="206">
        <f t="shared" si="178"/>
        <v>3E-11</v>
      </c>
      <c r="DI122" s="206"/>
      <c r="DJ122" s="206">
        <f t="shared" si="179"/>
        <v>5.0000000000000002E-11</v>
      </c>
      <c r="DK122" s="206">
        <f t="shared" si="180"/>
        <v>6E-11</v>
      </c>
      <c r="DL122" s="206">
        <f t="shared" si="181"/>
        <v>7.0000000000000004E-11</v>
      </c>
      <c r="DM122" s="206">
        <f t="shared" si="182"/>
        <v>7.9999999999999995E-11</v>
      </c>
      <c r="DN122" s="93">
        <f t="shared" si="163"/>
        <v>0</v>
      </c>
      <c r="DO122" s="93">
        <f t="shared" si="164"/>
        <v>0</v>
      </c>
      <c r="DP122" s="93">
        <f t="shared" si="165"/>
        <v>0</v>
      </c>
      <c r="DR122" s="93">
        <f t="shared" si="166"/>
        <v>0</v>
      </c>
      <c r="DS122" s="93">
        <f t="shared" si="167"/>
        <v>0</v>
      </c>
      <c r="DT122" s="93">
        <f t="shared" si="168"/>
        <v>0</v>
      </c>
      <c r="DU122" s="93">
        <f t="shared" si="169"/>
        <v>0</v>
      </c>
      <c r="DV122" s="93" t="b">
        <v>1</v>
      </c>
      <c r="DW122" s="93" t="b">
        <v>1</v>
      </c>
      <c r="DX122" s="93" t="b">
        <f>IF(DP122&gt;LARGE($DP122:$DU122,4),TRUE)</f>
        <v>0</v>
      </c>
      <c r="DZ122" s="93" t="b">
        <f t="shared" ref="DZ122:EC124" si="192">IF(DR122&gt;LARGE($DP122:$DU122,4),TRUE)</f>
        <v>0</v>
      </c>
      <c r="EA122" s="93" t="b">
        <f t="shared" si="192"/>
        <v>0</v>
      </c>
      <c r="EB122" s="93" t="b">
        <f t="shared" si="192"/>
        <v>0</v>
      </c>
      <c r="EC122" s="93" t="b">
        <f t="shared" si="192"/>
        <v>0</v>
      </c>
      <c r="ED122" s="93" t="s">
        <v>394</v>
      </c>
      <c r="EE122" s="93" t="s">
        <v>394</v>
      </c>
      <c r="EF122" s="93" t="s">
        <v>394</v>
      </c>
      <c r="EH122" s="93" t="s">
        <v>394</v>
      </c>
      <c r="EI122" s="93" t="s">
        <v>394</v>
      </c>
      <c r="EJ122" s="93" t="s">
        <v>394</v>
      </c>
      <c r="EK122" s="93" t="s">
        <v>394</v>
      </c>
      <c r="EL122" s="93" t="s">
        <v>394</v>
      </c>
      <c r="EM122" s="93" t="s">
        <v>394</v>
      </c>
      <c r="EN122" s="93" t="s">
        <v>394</v>
      </c>
      <c r="EP122" s="93" t="s">
        <v>394</v>
      </c>
      <c r="EQ122" s="93" t="s">
        <v>394</v>
      </c>
      <c r="ER122" s="93" t="s">
        <v>394</v>
      </c>
      <c r="ES122" s="93" t="s">
        <v>394</v>
      </c>
      <c r="FB122" s="93" t="s">
        <v>394</v>
      </c>
      <c r="FC122" s="93" t="s">
        <v>394</v>
      </c>
      <c r="FD122" s="93" t="s">
        <v>394</v>
      </c>
      <c r="FE122" s="93" t="s">
        <v>394</v>
      </c>
      <c r="FF122" s="93" t="s">
        <v>394</v>
      </c>
      <c r="FG122" s="93" t="s">
        <v>394</v>
      </c>
      <c r="FH122" s="93" t="s">
        <v>394</v>
      </c>
      <c r="FI122" s="93" t="s">
        <v>394</v>
      </c>
      <c r="FJ122" s="93" t="s">
        <v>394</v>
      </c>
      <c r="FK122" s="93" t="s">
        <v>394</v>
      </c>
      <c r="FL122" s="93" t="s">
        <v>394</v>
      </c>
      <c r="FM122" s="93" t="s">
        <v>394</v>
      </c>
      <c r="FN122" s="93" t="s">
        <v>394</v>
      </c>
      <c r="FO122" s="93" t="s">
        <v>394</v>
      </c>
      <c r="FP122" s="93" t="s">
        <v>394</v>
      </c>
      <c r="FQ122" s="93" t="s">
        <v>394</v>
      </c>
    </row>
    <row r="123" spans="1:173" s="334" customFormat="1">
      <c r="A123" s="335" t="s">
        <v>1114</v>
      </c>
      <c r="B123" s="346" t="s">
        <v>2756</v>
      </c>
      <c r="C123" s="346" t="s">
        <v>225</v>
      </c>
      <c r="D123" s="346" t="s">
        <v>1111</v>
      </c>
      <c r="E123" s="346" t="s">
        <v>2758</v>
      </c>
      <c r="F123" s="431" t="s">
        <v>785</v>
      </c>
      <c r="G123" s="346">
        <v>242.2</v>
      </c>
      <c r="H123" s="346" t="s">
        <v>324</v>
      </c>
      <c r="I123" s="346">
        <v>242</v>
      </c>
      <c r="J123" s="346">
        <v>231.5</v>
      </c>
      <c r="N123" s="346" t="s">
        <v>2976</v>
      </c>
      <c r="O123" s="346" t="s">
        <v>2977</v>
      </c>
      <c r="P123" s="346" t="s">
        <v>2341</v>
      </c>
      <c r="Q123" s="346" t="s">
        <v>1108</v>
      </c>
      <c r="R123" s="346" t="s">
        <v>2331</v>
      </c>
      <c r="S123" s="346" t="s">
        <v>2757</v>
      </c>
      <c r="T123" s="346" t="s">
        <v>1046</v>
      </c>
      <c r="U123" s="346">
        <v>15</v>
      </c>
      <c r="V123" s="346" t="str" cm="1">
        <f t="array" ref="V123">IFERROR(INDEX('Offer Statistics'!$AZ$2:$AZ$350,MATCH(1,($B123='Offer Statistics'!$AK$2:$AK$350)*($B$11='Offer Statistics'!$AL$2:$AL$350),0)),"/")</f>
        <v>/</v>
      </c>
      <c r="W123" s="346" t="str" cm="1">
        <f t="array" ref="W123">IFERROR(INDEX('Offer Statistics'!$AM$2:$AM$350,MATCH(1,($B123='Offer Statistics'!$AK$2:$AK$350)*($B$11='Offer Statistics'!$AL$2:$AL$350),0)),"/")</f>
        <v>/</v>
      </c>
      <c r="X123" s="346" t="str" cm="1">
        <f t="array" ref="X123">IFERROR(INDEX('Offer Statistics'!$AU$2:$AU$350,MATCH(1,($B123='Offer Statistics'!$AK$2:$AK$350)*($B$11='Offer Statistics'!$AL$2:$AL$350),0)),"/")</f>
        <v>/</v>
      </c>
      <c r="Y123" s="346" t="str">
        <f t="shared" si="112"/>
        <v>新科目</v>
      </c>
      <c r="Z123" s="346" t="s">
        <v>1046</v>
      </c>
      <c r="AA123" s="346" t="str">
        <f>入學要求!AF137</f>
        <v>/</v>
      </c>
      <c r="AB123" s="346" t="str">
        <f>入學要求!AG137</f>
        <v>/</v>
      </c>
      <c r="AC123" s="346" t="s">
        <v>785</v>
      </c>
      <c r="AF123" s="334" t="s">
        <v>324</v>
      </c>
      <c r="AG123" s="334" t="s">
        <v>324</v>
      </c>
      <c r="AH123" s="426" t="s">
        <v>2341</v>
      </c>
      <c r="AI123" s="426" t="s">
        <v>1108</v>
      </c>
      <c r="AJ123" s="426" t="s">
        <v>2331</v>
      </c>
      <c r="AK123" s="346" t="s">
        <v>324</v>
      </c>
      <c r="AL123" s="346" t="s">
        <v>324</v>
      </c>
      <c r="AM123" s="346" t="s">
        <v>324</v>
      </c>
      <c r="AN123" s="346" t="s">
        <v>324</v>
      </c>
      <c r="AO123" s="346" t="s">
        <v>324</v>
      </c>
      <c r="AP123" s="346" t="s">
        <v>324</v>
      </c>
      <c r="AQ123" s="346" t="s">
        <v>324</v>
      </c>
      <c r="AR123" s="346" t="s">
        <v>324</v>
      </c>
      <c r="AS123" s="346"/>
      <c r="AT123" s="93" t="s">
        <v>716</v>
      </c>
      <c r="AU123" s="93"/>
      <c r="AV123" s="334" t="s">
        <v>713</v>
      </c>
      <c r="AW123" s="334" t="s">
        <v>324</v>
      </c>
      <c r="AX123" s="334" t="s">
        <v>324</v>
      </c>
      <c r="AY123" s="334" t="s">
        <v>324</v>
      </c>
      <c r="BQ123" s="365">
        <f>IFERROR(BI123+0.00000000004,0)</f>
        <v>3.9999999999999998E-11</v>
      </c>
      <c r="BR123" s="365">
        <f>IFERROR(BJ123+0.00000000002,0)</f>
        <v>1.9999999999999999E-11</v>
      </c>
      <c r="BS123" s="365">
        <f>IFERROR(BK123+0.00000000003,0)</f>
        <v>3E-11</v>
      </c>
      <c r="BT123" s="365"/>
      <c r="BU123" s="365">
        <f>IFERROR(BM123+0.00000000005,0)</f>
        <v>5.0000000000000002E-11</v>
      </c>
      <c r="BV123" s="365">
        <f>IFERROR(BN123+0.00000000006,0)</f>
        <v>6E-11</v>
      </c>
      <c r="BW123" s="365">
        <f>IFERROR(BO123+0.00000000007,0)</f>
        <v>7.0000000000000004E-11</v>
      </c>
      <c r="BX123" s="365">
        <f>IFERROR(BP123+0.00000000008,0)</f>
        <v>7.9999999999999995E-11</v>
      </c>
      <c r="BY123" s="334">
        <f t="shared" ref="BY123:CF124" si="193">AZ123*BQ123</f>
        <v>0</v>
      </c>
      <c r="BZ123" s="334">
        <f t="shared" si="193"/>
        <v>0</v>
      </c>
      <c r="CA123" s="334">
        <f t="shared" si="193"/>
        <v>0</v>
      </c>
      <c r="CC123" s="334">
        <f t="shared" si="193"/>
        <v>0</v>
      </c>
      <c r="CD123" s="334">
        <f t="shared" si="193"/>
        <v>0</v>
      </c>
      <c r="CE123" s="334">
        <f t="shared" si="193"/>
        <v>0</v>
      </c>
      <c r="CF123" s="334">
        <f t="shared" si="193"/>
        <v>0</v>
      </c>
      <c r="CG123" s="334" t="b">
        <v>1</v>
      </c>
      <c r="CH123" s="334" t="b">
        <v>1</v>
      </c>
      <c r="CI123" s="334" t="b">
        <f>IF(CA123&gt;LARGE($CA123:$CF123,4),TRUE)</f>
        <v>0</v>
      </c>
      <c r="CK123" s="334" t="b">
        <f t="shared" si="191"/>
        <v>0</v>
      </c>
      <c r="CL123" s="334" t="b">
        <f t="shared" si="191"/>
        <v>0</v>
      </c>
      <c r="CM123" s="334" t="b">
        <f t="shared" si="191"/>
        <v>0</v>
      </c>
      <c r="CN123" s="334" t="b">
        <f t="shared" si="191"/>
        <v>0</v>
      </c>
      <c r="DF123" s="350">
        <f>IFERROR(CX123+0.00000000001,0)</f>
        <v>9.9999999999999994E-12</v>
      </c>
      <c r="DG123" s="350">
        <f>IFERROR(CY123+0.00000000002,0)</f>
        <v>1.9999999999999999E-11</v>
      </c>
      <c r="DH123" s="350">
        <f>IFERROR(CZ123+0.00000000003,0)</f>
        <v>3E-11</v>
      </c>
      <c r="DI123" s="350"/>
      <c r="DJ123" s="350">
        <f>IFERROR(DB123+0.00000000005,0)</f>
        <v>5.0000000000000002E-11</v>
      </c>
      <c r="DK123" s="350">
        <f>IFERROR(DC123+0.00000000006,0)</f>
        <v>6E-11</v>
      </c>
      <c r="DL123" s="350">
        <f>IFERROR(DD123+0.00000000007,0)</f>
        <v>7.0000000000000004E-11</v>
      </c>
      <c r="DM123" s="350">
        <f>IFERROR(DE123+0.00000000008,0)</f>
        <v>7.9999999999999995E-11</v>
      </c>
      <c r="DN123" s="334">
        <f t="shared" ref="DN123:DU124" si="194">CO123*DF123</f>
        <v>0</v>
      </c>
      <c r="DO123" s="334">
        <f t="shared" si="194"/>
        <v>0</v>
      </c>
      <c r="DP123" s="334">
        <f t="shared" si="194"/>
        <v>0</v>
      </c>
      <c r="DR123" s="334">
        <f t="shared" si="194"/>
        <v>0</v>
      </c>
      <c r="DS123" s="334">
        <f t="shared" si="194"/>
        <v>0</v>
      </c>
      <c r="DT123" s="334">
        <f t="shared" si="194"/>
        <v>0</v>
      </c>
      <c r="DU123" s="334">
        <f t="shared" si="194"/>
        <v>0</v>
      </c>
      <c r="DV123" s="334" t="b">
        <v>1</v>
      </c>
      <c r="DW123" s="334" t="b">
        <v>1</v>
      </c>
      <c r="DX123" s="334" t="b">
        <f>IF(DP123&gt;LARGE($DP123:$DU123,4),TRUE)</f>
        <v>0</v>
      </c>
      <c r="DZ123" s="334" t="b">
        <f t="shared" si="192"/>
        <v>0</v>
      </c>
      <c r="EA123" s="334" t="b">
        <f t="shared" si="192"/>
        <v>0</v>
      </c>
      <c r="EB123" s="334" t="b">
        <f t="shared" si="192"/>
        <v>0</v>
      </c>
      <c r="EC123" s="334" t="b">
        <f t="shared" si="192"/>
        <v>0</v>
      </c>
      <c r="ED123" s="334" t="s">
        <v>394</v>
      </c>
      <c r="EE123" s="334" t="s">
        <v>394</v>
      </c>
      <c r="EF123" s="334" t="s">
        <v>394</v>
      </c>
      <c r="EH123" s="334" t="s">
        <v>394</v>
      </c>
      <c r="EI123" s="334" t="s">
        <v>394</v>
      </c>
      <c r="EJ123" s="334" t="s">
        <v>394</v>
      </c>
      <c r="EK123" s="334" t="s">
        <v>394</v>
      </c>
      <c r="EL123" s="334" t="s">
        <v>394</v>
      </c>
      <c r="EM123" s="334" t="s">
        <v>394</v>
      </c>
      <c r="EN123" s="334" t="s">
        <v>394</v>
      </c>
      <c r="EP123" s="334" t="s">
        <v>394</v>
      </c>
      <c r="EQ123" s="334" t="s">
        <v>394</v>
      </c>
      <c r="ER123" s="334" t="s">
        <v>394</v>
      </c>
      <c r="ES123" s="334" t="s">
        <v>394</v>
      </c>
      <c r="FB123" s="334" t="s">
        <v>394</v>
      </c>
      <c r="FC123" s="334" t="s">
        <v>394</v>
      </c>
      <c r="FD123" s="334" t="s">
        <v>394</v>
      </c>
      <c r="FE123" s="334" t="s">
        <v>394</v>
      </c>
      <c r="FF123" s="334" t="s">
        <v>394</v>
      </c>
      <c r="FG123" s="334" t="s">
        <v>394</v>
      </c>
      <c r="FH123" s="334" t="s">
        <v>394</v>
      </c>
      <c r="FI123" s="334" t="s">
        <v>394</v>
      </c>
      <c r="FJ123" s="334" t="s">
        <v>394</v>
      </c>
      <c r="FK123" s="334" t="s">
        <v>394</v>
      </c>
      <c r="FL123" s="334" t="s">
        <v>394</v>
      </c>
      <c r="FM123" s="334" t="s">
        <v>394</v>
      </c>
      <c r="FN123" s="334" t="s">
        <v>394</v>
      </c>
      <c r="FO123" s="334" t="s">
        <v>394</v>
      </c>
      <c r="FP123" s="334" t="s">
        <v>394</v>
      </c>
      <c r="FQ123" s="334" t="s">
        <v>394</v>
      </c>
    </row>
    <row r="124" spans="1:173" s="334" customFormat="1">
      <c r="A124" s="335" t="s">
        <v>1114</v>
      </c>
      <c r="B124" s="346" t="s">
        <v>2759</v>
      </c>
      <c r="C124" s="346" t="s">
        <v>225</v>
      </c>
      <c r="D124" s="346" t="s">
        <v>1111</v>
      </c>
      <c r="E124" s="346" t="s">
        <v>2761</v>
      </c>
      <c r="F124" s="431" t="s">
        <v>785</v>
      </c>
      <c r="G124" s="346">
        <v>242.2</v>
      </c>
      <c r="H124" s="346" t="s">
        <v>324</v>
      </c>
      <c r="I124" s="346">
        <v>242</v>
      </c>
      <c r="J124" s="346">
        <v>231.5</v>
      </c>
      <c r="N124" s="346" t="s">
        <v>2979</v>
      </c>
      <c r="O124" s="346" t="s">
        <v>2977</v>
      </c>
      <c r="P124" s="346" t="s">
        <v>2341</v>
      </c>
      <c r="Q124" s="346" t="s">
        <v>1108</v>
      </c>
      <c r="R124" s="346" t="s">
        <v>2331</v>
      </c>
      <c r="S124" s="346" t="s">
        <v>2760</v>
      </c>
      <c r="T124" s="346" t="s">
        <v>1046</v>
      </c>
      <c r="U124" s="346">
        <v>30</v>
      </c>
      <c r="V124" s="346" t="str" cm="1">
        <f t="array" ref="V124">IFERROR(INDEX('Offer Statistics'!$AZ$2:$AZ$350,MATCH(1,($B124='Offer Statistics'!$AK$2:$AK$350)*($B$11='Offer Statistics'!$AL$2:$AL$350),0)),"/")</f>
        <v>/</v>
      </c>
      <c r="W124" s="346" t="str" cm="1">
        <f t="array" ref="W124">IFERROR(INDEX('Offer Statistics'!$AM$2:$AM$350,MATCH(1,($B124='Offer Statistics'!$AK$2:$AK$350)*($B$11='Offer Statistics'!$AL$2:$AL$350),0)),"/")</f>
        <v>/</v>
      </c>
      <c r="X124" s="346" t="str" cm="1">
        <f t="array" ref="X124">IFERROR(INDEX('Offer Statistics'!$AU$2:$AU$350,MATCH(1,($B124='Offer Statistics'!$AK$2:$AK$350)*($B$11='Offer Statistics'!$AL$2:$AL$350),0)),"/")</f>
        <v>/</v>
      </c>
      <c r="Y124" s="346" t="str">
        <f t="shared" si="112"/>
        <v>新科目</v>
      </c>
      <c r="Z124" s="346" t="s">
        <v>1046</v>
      </c>
      <c r="AA124" s="346" t="str">
        <f>入學要求!AF138</f>
        <v>/</v>
      </c>
      <c r="AB124" s="346" t="str">
        <f>入學要求!AG138</f>
        <v>/</v>
      </c>
      <c r="AC124" s="346" t="s">
        <v>785</v>
      </c>
      <c r="AF124" s="334" t="s">
        <v>324</v>
      </c>
      <c r="AG124" s="334" t="s">
        <v>324</v>
      </c>
      <c r="AH124" s="426" t="s">
        <v>2341</v>
      </c>
      <c r="AI124" s="426" t="s">
        <v>1108</v>
      </c>
      <c r="AJ124" s="426" t="s">
        <v>2331</v>
      </c>
      <c r="AK124" s="346" t="s">
        <v>324</v>
      </c>
      <c r="AL124" s="346" t="s">
        <v>324</v>
      </c>
      <c r="AM124" s="346" t="s">
        <v>324</v>
      </c>
      <c r="AN124" s="346" t="s">
        <v>324</v>
      </c>
      <c r="AO124" s="346" t="s">
        <v>324</v>
      </c>
      <c r="AP124" s="346" t="s">
        <v>324</v>
      </c>
      <c r="AQ124" s="346" t="s">
        <v>324</v>
      </c>
      <c r="AR124" s="346" t="s">
        <v>324</v>
      </c>
      <c r="AS124" s="346"/>
      <c r="AT124" s="93" t="s">
        <v>716</v>
      </c>
      <c r="AU124" s="93"/>
      <c r="AV124" s="334" t="s">
        <v>713</v>
      </c>
      <c r="AW124" s="334" t="s">
        <v>324</v>
      </c>
      <c r="AX124" s="334" t="s">
        <v>324</v>
      </c>
      <c r="AY124" s="334" t="s">
        <v>324</v>
      </c>
      <c r="BQ124" s="365">
        <f>IFERROR(BI124+0.00000000004,0)</f>
        <v>3.9999999999999998E-11</v>
      </c>
      <c r="BR124" s="365">
        <f>IFERROR(BJ124+0.00000000002,0)</f>
        <v>1.9999999999999999E-11</v>
      </c>
      <c r="BS124" s="365">
        <f>IFERROR(BK124+0.00000000003,0)</f>
        <v>3E-11</v>
      </c>
      <c r="BT124" s="365"/>
      <c r="BU124" s="365">
        <f>IFERROR(BM124+0.00000000005,0)</f>
        <v>5.0000000000000002E-11</v>
      </c>
      <c r="BV124" s="365">
        <f>IFERROR(BN124+0.00000000006,0)</f>
        <v>6E-11</v>
      </c>
      <c r="BW124" s="365">
        <f>IFERROR(BO124+0.00000000007,0)</f>
        <v>7.0000000000000004E-11</v>
      </c>
      <c r="BX124" s="365">
        <f>IFERROR(BP124+0.00000000008,0)</f>
        <v>7.9999999999999995E-11</v>
      </c>
      <c r="BY124" s="334">
        <f t="shared" si="193"/>
        <v>0</v>
      </c>
      <c r="BZ124" s="334">
        <f t="shared" si="193"/>
        <v>0</v>
      </c>
      <c r="CA124" s="334">
        <f t="shared" si="193"/>
        <v>0</v>
      </c>
      <c r="CC124" s="334">
        <f t="shared" si="193"/>
        <v>0</v>
      </c>
      <c r="CD124" s="334">
        <f t="shared" si="193"/>
        <v>0</v>
      </c>
      <c r="CE124" s="334">
        <f t="shared" si="193"/>
        <v>0</v>
      </c>
      <c r="CF124" s="334">
        <f t="shared" si="193"/>
        <v>0</v>
      </c>
      <c r="CG124" s="334" t="b">
        <v>1</v>
      </c>
      <c r="CH124" s="334" t="b">
        <v>1</v>
      </c>
      <c r="CI124" s="334" t="b">
        <f>IF(CA124&gt;LARGE($CA124:$CF124,4),TRUE)</f>
        <v>0</v>
      </c>
      <c r="CK124" s="334" t="b">
        <f t="shared" si="191"/>
        <v>0</v>
      </c>
      <c r="CL124" s="334" t="b">
        <f t="shared" si="191"/>
        <v>0</v>
      </c>
      <c r="CM124" s="334" t="b">
        <f t="shared" si="191"/>
        <v>0</v>
      </c>
      <c r="CN124" s="334" t="b">
        <f t="shared" si="191"/>
        <v>0</v>
      </c>
      <c r="DF124" s="350">
        <f>IFERROR(CX124+0.00000000001,0)</f>
        <v>9.9999999999999994E-12</v>
      </c>
      <c r="DG124" s="350">
        <f>IFERROR(CY124+0.00000000002,0)</f>
        <v>1.9999999999999999E-11</v>
      </c>
      <c r="DH124" s="350">
        <f>IFERROR(CZ124+0.00000000003,0)</f>
        <v>3E-11</v>
      </c>
      <c r="DI124" s="350"/>
      <c r="DJ124" s="350">
        <f>IFERROR(DB124+0.00000000005,0)</f>
        <v>5.0000000000000002E-11</v>
      </c>
      <c r="DK124" s="350">
        <f>IFERROR(DC124+0.00000000006,0)</f>
        <v>6E-11</v>
      </c>
      <c r="DL124" s="350">
        <f>IFERROR(DD124+0.00000000007,0)</f>
        <v>7.0000000000000004E-11</v>
      </c>
      <c r="DM124" s="350">
        <f>IFERROR(DE124+0.00000000008,0)</f>
        <v>7.9999999999999995E-11</v>
      </c>
      <c r="DN124" s="334">
        <f t="shared" si="194"/>
        <v>0</v>
      </c>
      <c r="DO124" s="334">
        <f t="shared" si="194"/>
        <v>0</v>
      </c>
      <c r="DP124" s="334">
        <f t="shared" si="194"/>
        <v>0</v>
      </c>
      <c r="DR124" s="334">
        <f t="shared" si="194"/>
        <v>0</v>
      </c>
      <c r="DS124" s="334">
        <f t="shared" si="194"/>
        <v>0</v>
      </c>
      <c r="DT124" s="334">
        <f t="shared" si="194"/>
        <v>0</v>
      </c>
      <c r="DU124" s="334">
        <f t="shared" si="194"/>
        <v>0</v>
      </c>
      <c r="DV124" s="334" t="b">
        <v>1</v>
      </c>
      <c r="DW124" s="334" t="b">
        <v>1</v>
      </c>
      <c r="DX124" s="334" t="b">
        <f>IF(DP124&gt;LARGE($DP124:$DU124,4),TRUE)</f>
        <v>0</v>
      </c>
      <c r="DZ124" s="334" t="b">
        <f t="shared" si="192"/>
        <v>0</v>
      </c>
      <c r="EA124" s="334" t="b">
        <f t="shared" si="192"/>
        <v>0</v>
      </c>
      <c r="EB124" s="334" t="b">
        <f t="shared" si="192"/>
        <v>0</v>
      </c>
      <c r="EC124" s="334" t="b">
        <f t="shared" si="192"/>
        <v>0</v>
      </c>
      <c r="ED124" s="334" t="s">
        <v>394</v>
      </c>
      <c r="EE124" s="334" t="s">
        <v>394</v>
      </c>
      <c r="EF124" s="334" t="s">
        <v>394</v>
      </c>
      <c r="EH124" s="334" t="s">
        <v>394</v>
      </c>
      <c r="EI124" s="334" t="s">
        <v>394</v>
      </c>
      <c r="EJ124" s="334" t="s">
        <v>394</v>
      </c>
      <c r="EK124" s="334" t="s">
        <v>394</v>
      </c>
      <c r="EL124" s="334" t="s">
        <v>394</v>
      </c>
      <c r="EM124" s="334" t="s">
        <v>394</v>
      </c>
      <c r="EN124" s="334" t="s">
        <v>394</v>
      </c>
      <c r="EP124" s="334" t="s">
        <v>394</v>
      </c>
      <c r="EQ124" s="334" t="s">
        <v>394</v>
      </c>
      <c r="ER124" s="334" t="s">
        <v>394</v>
      </c>
      <c r="ES124" s="334" t="s">
        <v>394</v>
      </c>
      <c r="FB124" s="334" t="s">
        <v>394</v>
      </c>
      <c r="FC124" s="334" t="s">
        <v>394</v>
      </c>
      <c r="FD124" s="334" t="s">
        <v>394</v>
      </c>
      <c r="FE124" s="334" t="s">
        <v>394</v>
      </c>
      <c r="FF124" s="334" t="s">
        <v>394</v>
      </c>
      <c r="FG124" s="334" t="s">
        <v>394</v>
      </c>
      <c r="FH124" s="334" t="s">
        <v>394</v>
      </c>
      <c r="FI124" s="334" t="s">
        <v>394</v>
      </c>
      <c r="FJ124" s="334" t="s">
        <v>394</v>
      </c>
      <c r="FK124" s="334" t="s">
        <v>394</v>
      </c>
      <c r="FL124" s="334" t="s">
        <v>394</v>
      </c>
      <c r="FM124" s="334" t="s">
        <v>394</v>
      </c>
      <c r="FN124" s="334" t="s">
        <v>394</v>
      </c>
      <c r="FO124" s="334" t="s">
        <v>394</v>
      </c>
      <c r="FP124" s="334" t="s">
        <v>394</v>
      </c>
      <c r="FQ124" s="334" t="s">
        <v>394</v>
      </c>
    </row>
    <row r="125" spans="1:173" s="93" customFormat="1">
      <c r="A125" s="335" t="s">
        <v>1098</v>
      </c>
      <c r="B125" s="346" t="s">
        <v>1098</v>
      </c>
      <c r="C125" s="346" t="s">
        <v>225</v>
      </c>
      <c r="D125" s="346" t="s">
        <v>1094</v>
      </c>
      <c r="E125" s="346" t="s">
        <v>1099</v>
      </c>
      <c r="F125" s="346" t="s">
        <v>785</v>
      </c>
      <c r="G125" s="346">
        <v>166.6</v>
      </c>
      <c r="H125" s="346" t="s">
        <v>324</v>
      </c>
      <c r="I125" s="346">
        <v>164.5</v>
      </c>
      <c r="J125" s="346">
        <v>161</v>
      </c>
      <c r="N125" s="346"/>
      <c r="O125" s="346"/>
      <c r="P125" s="346" t="s">
        <v>324</v>
      </c>
      <c r="Q125" s="346" t="s">
        <v>1108</v>
      </c>
      <c r="R125" s="346" t="s">
        <v>324</v>
      </c>
      <c r="S125" s="346" t="s">
        <v>1100</v>
      </c>
      <c r="T125" s="346" t="s">
        <v>1046</v>
      </c>
      <c r="U125" s="346">
        <v>64</v>
      </c>
      <c r="V125" s="346" cm="1">
        <f t="array" ref="V125">IFERROR(INDEX('Offer Statistics'!$AZ$2:$AZ$350,MATCH(1,($B125='Offer Statistics'!$AK$2:$AK$350)*($B$11='Offer Statistics'!$AL$2:$AL$350),0)),"/")</f>
        <v>38</v>
      </c>
      <c r="W125" s="346" cm="1">
        <f t="array" ref="W125">IFERROR(INDEX('Offer Statistics'!$AM$2:$AM$350,MATCH(1,($B125='Offer Statistics'!$AK$2:$AK$350)*($B$11='Offer Statistics'!$AL$2:$AL$350),0)),"/")</f>
        <v>400</v>
      </c>
      <c r="X125" s="346" cm="1">
        <f t="array" ref="X125">IFERROR(INDEX('Offer Statistics'!$AU$2:$AU$350,MATCH(1,($B125='Offer Statistics'!$AK$2:$AK$350)*($B$11='Offer Statistics'!$AL$2:$AL$350),0)),"/")</f>
        <v>38</v>
      </c>
      <c r="Y125" s="346">
        <f t="shared" si="112"/>
        <v>10.526315789473685</v>
      </c>
      <c r="Z125" s="346" t="s">
        <v>1046</v>
      </c>
      <c r="AA125" s="346" t="str">
        <f>入學要求!AF132</f>
        <v>/</v>
      </c>
      <c r="AB125" s="346" t="str">
        <f>入學要求!AG132</f>
        <v>/</v>
      </c>
      <c r="AC125" s="429" t="s">
        <v>785</v>
      </c>
      <c r="AD125" s="334"/>
      <c r="AE125" s="51"/>
      <c r="AF125" s="333" t="s">
        <v>324</v>
      </c>
      <c r="AG125" s="333" t="s">
        <v>324</v>
      </c>
      <c r="AH125" s="426" t="s">
        <v>324</v>
      </c>
      <c r="AI125" s="426" t="s">
        <v>1108</v>
      </c>
      <c r="AJ125" s="426" t="s">
        <v>324</v>
      </c>
      <c r="AK125" s="346" t="s">
        <v>324</v>
      </c>
      <c r="AL125" s="346" t="s">
        <v>324</v>
      </c>
      <c r="AM125" s="346" t="s">
        <v>324</v>
      </c>
      <c r="AN125" s="346" t="s">
        <v>324</v>
      </c>
      <c r="AO125" s="346" t="s">
        <v>324</v>
      </c>
      <c r="AP125" s="346" t="s">
        <v>324</v>
      </c>
      <c r="AQ125" s="346" t="s">
        <v>324</v>
      </c>
      <c r="AR125" s="346" t="s">
        <v>324</v>
      </c>
      <c r="AS125" s="346"/>
      <c r="AT125" s="93" t="s">
        <v>716</v>
      </c>
      <c r="AV125" s="93" t="s">
        <v>713</v>
      </c>
      <c r="AW125" s="93" t="s">
        <v>324</v>
      </c>
      <c r="AX125" s="93" t="s">
        <v>324</v>
      </c>
      <c r="AY125" s="93" t="s">
        <v>324</v>
      </c>
      <c r="BQ125" s="365">
        <f t="shared" si="170"/>
        <v>3.9999999999999998E-11</v>
      </c>
      <c r="BR125" s="365">
        <f t="shared" si="171"/>
        <v>1.9999999999999999E-11</v>
      </c>
      <c r="BS125" s="365">
        <f t="shared" si="172"/>
        <v>3E-11</v>
      </c>
      <c r="BT125" s="365"/>
      <c r="BU125" s="365">
        <f t="shared" si="173"/>
        <v>5.0000000000000002E-11</v>
      </c>
      <c r="BV125" s="365">
        <f t="shared" si="174"/>
        <v>6E-11</v>
      </c>
      <c r="BW125" s="365">
        <f t="shared" si="175"/>
        <v>7.0000000000000004E-11</v>
      </c>
      <c r="BX125" s="365">
        <f t="shared" si="176"/>
        <v>7.9999999999999995E-11</v>
      </c>
      <c r="BY125" s="93">
        <f t="shared" si="155"/>
        <v>0</v>
      </c>
      <c r="BZ125" s="93">
        <f t="shared" si="156"/>
        <v>0</v>
      </c>
      <c r="CA125" s="93">
        <f t="shared" si="157"/>
        <v>0</v>
      </c>
      <c r="CC125" s="93">
        <f t="shared" si="158"/>
        <v>0</v>
      </c>
      <c r="CD125" s="93">
        <f t="shared" si="159"/>
        <v>0</v>
      </c>
      <c r="CE125" s="93">
        <f t="shared" si="160"/>
        <v>0</v>
      </c>
      <c r="CF125" s="93">
        <f t="shared" si="161"/>
        <v>0</v>
      </c>
      <c r="CG125" s="93" t="b">
        <f>IF($F125="4C2X",TRUE,IF($F125="Best 5",IF(BY125&gt;LARGE($BY125:$CF125,6),TRUE),IF($F125="Best 6",IF(BY125&gt;LARGE($BY125:$CF125,7),TRUE))))</f>
        <v>0</v>
      </c>
      <c r="CH125" s="93" t="b">
        <f>IF($F125="4C2X",TRUE,IF($F125="Best 5",IF(BZ125&gt;LARGE($BY125:$CF125,6),TRUE),IF($F125="Best 6",IF(BZ125&gt;LARGE($BY125:$CF125,7),TRUE))))</f>
        <v>0</v>
      </c>
      <c r="CI125" s="93" t="b">
        <f>IF($F125="4C2X",TRUE,IF($F125="Best 5",IF(CA125&gt;LARGE($BY125:$CF125,6),TRUE),IF($F125="Best 6",IF(CA125&gt;LARGE($BY125:$CF125,7),TRUE))))</f>
        <v>0</v>
      </c>
      <c r="CK125" s="93" t="b">
        <f>IF($F125="4C2X",IF(CC125&gt;LARGE($CC125:$CF125,3),TRUE),IF($F125="Best 5",IF(CC125&gt;LARGE($BY125:$CF125,6),TRUE),IF($F125="Best 6",IF(CC125&gt;LARGE($BY125:$CF125,7),TRUE))))</f>
        <v>0</v>
      </c>
      <c r="CL125" s="93" t="b">
        <f>IF($F125="4C2X",IF(CD125&gt;LARGE($CC125:$CF125,3),TRUE),IF($F125="Best 5",IF(CD125&gt;LARGE($BY125:$CF125,6),TRUE),IF($F125="Best 6",IF(CD125&gt;LARGE($BY125:$CF125,7),TRUE))))</f>
        <v>0</v>
      </c>
      <c r="CM125" s="93" t="b">
        <f>IF($F125="4C2X",IF(CE125&gt;LARGE($CC125:$CF125,3),TRUE),IF($F125="Best 5",IF(CE125&gt;LARGE($BY125:$CF125,6),TRUE),IF($F125="Best 6",IF(CE125&gt;LARGE($BY125:$CF125,7),TRUE))))</f>
        <v>0</v>
      </c>
      <c r="CN125" s="93" t="b">
        <f>IF($F125="4C2X",IF(CF125&gt;LARGE($CC125:$CF125,3),TRUE),IF($F125="Best 5",IF(CF125&gt;LARGE($BY125:$CF125,6),TRUE),IF($F125="Best 6",IF(CF125&gt;LARGE($BY125:$CF125,7),TRUE))))</f>
        <v>0</v>
      </c>
      <c r="DF125" s="206">
        <f t="shared" si="162"/>
        <v>9.9999999999999994E-12</v>
      </c>
      <c r="DG125" s="206">
        <f t="shared" si="177"/>
        <v>1.9999999999999999E-11</v>
      </c>
      <c r="DH125" s="206">
        <f t="shared" si="178"/>
        <v>3E-11</v>
      </c>
      <c r="DI125" s="206"/>
      <c r="DJ125" s="206">
        <f t="shared" si="179"/>
        <v>5.0000000000000002E-11</v>
      </c>
      <c r="DK125" s="206">
        <f t="shared" si="180"/>
        <v>6E-11</v>
      </c>
      <c r="DL125" s="206">
        <f t="shared" si="181"/>
        <v>7.0000000000000004E-11</v>
      </c>
      <c r="DM125" s="206">
        <f t="shared" si="182"/>
        <v>7.9999999999999995E-11</v>
      </c>
      <c r="DN125" s="93">
        <f t="shared" si="163"/>
        <v>0</v>
      </c>
      <c r="DO125" s="93">
        <f t="shared" si="164"/>
        <v>0</v>
      </c>
      <c r="DP125" s="93">
        <f t="shared" si="165"/>
        <v>0</v>
      </c>
      <c r="DR125" s="93">
        <f t="shared" si="166"/>
        <v>0</v>
      </c>
      <c r="DS125" s="93">
        <f t="shared" si="167"/>
        <v>0</v>
      </c>
      <c r="DT125" s="93">
        <f t="shared" si="168"/>
        <v>0</v>
      </c>
      <c r="DU125" s="93">
        <f t="shared" si="169"/>
        <v>0</v>
      </c>
      <c r="DV125" s="93" t="b">
        <f>IF($F125="4C2X",TRUE,IF($F125="Best 5",IF(DN125&gt;LARGE($DN125:$DU125,6),TRUE),IF($F125="Best 6",IF(DN125&gt;LARGE($DN125:$DU125,7),TRUE))))</f>
        <v>0</v>
      </c>
      <c r="DW125" s="93" t="b">
        <f>IF($F125="4C2X",TRUE,IF($F125="Best 5",IF(DO125&gt;LARGE($DN125:$DU125,6),TRUE),IF($F125="Best 6",IF(DO125&gt;LARGE($DN125:$DU125,7),TRUE))))</f>
        <v>0</v>
      </c>
      <c r="DX125" s="93" t="b">
        <f>IF($F125="4C2X",TRUE,IF($F125="Best 5",IF(DP125&gt;LARGE($DN125:$DU125,6),TRUE),IF($F125="Best 6",IF(DP125&gt;LARGE($DN125:$DU125,7),TRUE))))</f>
        <v>0</v>
      </c>
      <c r="DZ125" s="93" t="b">
        <f>IF($F125="4C2X",IF(DR125&gt;LARGE($DR125:$DU125,3),TRUE),IF($F125="Best 5",IF(DR125&gt;LARGE($DN125:$DU125,6),TRUE),IF($F125="Best 6",IF(DR125&gt;LARGE($DN125:$DU125,7),TRUE))))</f>
        <v>0</v>
      </c>
      <c r="EA125" s="93" t="b">
        <f>IF($F125="4C2X",IF(DS125&gt;LARGE($DR125:$DU125,3),TRUE),IF($F125="Best 5",IF(DS125&gt;LARGE($DN125:$DU125,6),TRUE),IF($F125="Best 6",IF(DS125&gt;LARGE($DN125:$DU125,7),TRUE))))</f>
        <v>0</v>
      </c>
      <c r="EB125" s="93" t="b">
        <f>IF($F125="4C2X",IF(DT125&gt;LARGE($DR125:$DU125,3),TRUE),IF($F125="Best 5",IF(DT125&gt;LARGE($DN125:$DU125,6),TRUE),IF($F125="Best 6",IF(DT125&gt;LARGE($DN125:$DU125,7),TRUE))))</f>
        <v>0</v>
      </c>
      <c r="EC125" s="93" t="b">
        <f>IF($F125="4C2X",IF(DU125&gt;LARGE($DR125:$DU125,3),TRUE),IF($F125="Best 5",IF(DU125&gt;LARGE($DN125:$DU125,6),TRUE),IF($F125="Best 6",IF(DU125&gt;LARGE($DN125:$DU125,7),TRUE))))</f>
        <v>0</v>
      </c>
      <c r="ED125" s="93" t="s">
        <v>394</v>
      </c>
      <c r="EE125" s="93" t="s">
        <v>394</v>
      </c>
      <c r="EF125" s="93" t="s">
        <v>394</v>
      </c>
      <c r="EH125" s="93" t="s">
        <v>394</v>
      </c>
      <c r="EI125" s="93" t="s">
        <v>394</v>
      </c>
      <c r="EJ125" s="93" t="s">
        <v>394</v>
      </c>
      <c r="EK125" s="93" t="s">
        <v>394</v>
      </c>
      <c r="EL125" s="93" t="s">
        <v>394</v>
      </c>
      <c r="EM125" s="93" t="s">
        <v>394</v>
      </c>
      <c r="EN125" s="93" t="s">
        <v>394</v>
      </c>
      <c r="EP125" s="93" t="s">
        <v>394</v>
      </c>
      <c r="EQ125" s="93" t="s">
        <v>394</v>
      </c>
      <c r="ER125" s="93" t="s">
        <v>394</v>
      </c>
      <c r="ES125" s="93" t="s">
        <v>394</v>
      </c>
      <c r="FB125" s="93" t="s">
        <v>394</v>
      </c>
      <c r="FC125" s="93" t="s">
        <v>394</v>
      </c>
      <c r="FD125" s="93" t="s">
        <v>394</v>
      </c>
      <c r="FE125" s="93" t="s">
        <v>394</v>
      </c>
      <c r="FF125" s="93" t="s">
        <v>394</v>
      </c>
      <c r="FG125" s="93" t="s">
        <v>394</v>
      </c>
      <c r="FH125" s="93" t="s">
        <v>394</v>
      </c>
      <c r="FI125" s="93" t="s">
        <v>394</v>
      </c>
      <c r="FJ125" s="93" t="s">
        <v>394</v>
      </c>
      <c r="FK125" s="93" t="s">
        <v>394</v>
      </c>
      <c r="FL125" s="93" t="s">
        <v>394</v>
      </c>
      <c r="FM125" s="93" t="s">
        <v>394</v>
      </c>
      <c r="FN125" s="93" t="s">
        <v>394</v>
      </c>
      <c r="FO125" s="93" t="s">
        <v>394</v>
      </c>
      <c r="FP125" s="93" t="s">
        <v>394</v>
      </c>
      <c r="FQ125" s="93" t="s">
        <v>394</v>
      </c>
    </row>
    <row r="126" spans="1:173" s="364" customFormat="1">
      <c r="A126" s="335" t="s">
        <v>2113</v>
      </c>
      <c r="B126" s="346" t="s">
        <v>2762</v>
      </c>
      <c r="C126" s="346" t="s">
        <v>225</v>
      </c>
      <c r="D126" s="346" t="s">
        <v>865</v>
      </c>
      <c r="E126" s="346" t="s">
        <v>2764</v>
      </c>
      <c r="F126" s="424" t="s">
        <v>785</v>
      </c>
      <c r="G126" s="346">
        <v>191</v>
      </c>
      <c r="H126" s="346" t="s">
        <v>324</v>
      </c>
      <c r="I126" s="346">
        <v>187.5</v>
      </c>
      <c r="J126" s="346">
        <v>178.5</v>
      </c>
      <c r="N126" s="346" t="s">
        <v>2979</v>
      </c>
      <c r="O126" s="346" t="s">
        <v>2983</v>
      </c>
      <c r="P126" s="424" t="s">
        <v>2358</v>
      </c>
      <c r="Q126" s="424" t="s">
        <v>2333</v>
      </c>
      <c r="R126" s="424" t="s">
        <v>2337</v>
      </c>
      <c r="S126" s="346" t="s">
        <v>2763</v>
      </c>
      <c r="T126" s="346" t="s">
        <v>1046</v>
      </c>
      <c r="U126" s="346">
        <v>59</v>
      </c>
      <c r="V126" s="346" t="str" cm="1">
        <f t="array" ref="V126">IFERROR(INDEX('Offer Statistics'!$AZ$2:$AZ$350,MATCH(1,($B126='Offer Statistics'!$AK$2:$AK$350)*($B$11='Offer Statistics'!$AL$2:$AL$350),0)),"/")</f>
        <v>/</v>
      </c>
      <c r="W126" s="346" t="str" cm="1">
        <f t="array" ref="W126">IFERROR(INDEX('Offer Statistics'!$AM$2:$AM$350,MATCH(1,($B126='Offer Statistics'!$AK$2:$AK$350)*($B$11='Offer Statistics'!$AL$2:$AL$350),0)),"/")</f>
        <v>/</v>
      </c>
      <c r="X126" s="346" t="str" cm="1">
        <f t="array" ref="X126">IFERROR(INDEX('Offer Statistics'!$AU$2:$AU$350,MATCH(1,($B126='Offer Statistics'!$AK$2:$AK$350)*($B$11='Offer Statistics'!$AL$2:$AL$350),0)),"/")</f>
        <v>/</v>
      </c>
      <c r="Y126" s="346" t="str">
        <f t="shared" si="112"/>
        <v>新科目</v>
      </c>
      <c r="Z126" s="346" t="s">
        <v>1046</v>
      </c>
      <c r="AA126" s="346" t="str">
        <f>入學要求!AF139</f>
        <v>/</v>
      </c>
      <c r="AB126" s="346" t="str">
        <f>入學要求!AG139</f>
        <v>/</v>
      </c>
      <c r="AC126" s="429" t="s">
        <v>785</v>
      </c>
      <c r="AD126" s="51"/>
      <c r="AE126" s="51"/>
      <c r="AF126" s="333" t="s">
        <v>324</v>
      </c>
      <c r="AG126" s="333" t="s">
        <v>324</v>
      </c>
      <c r="AH126" s="426" t="s">
        <v>2358</v>
      </c>
      <c r="AI126" s="426" t="s">
        <v>2333</v>
      </c>
      <c r="AJ126" s="426" t="s">
        <v>2337</v>
      </c>
      <c r="AK126" s="346" t="s">
        <v>324</v>
      </c>
      <c r="AL126" s="346" t="s">
        <v>324</v>
      </c>
      <c r="AM126" s="346" t="s">
        <v>324</v>
      </c>
      <c r="AN126" s="346" t="s">
        <v>324</v>
      </c>
      <c r="AO126" s="346" t="s">
        <v>324</v>
      </c>
      <c r="AP126" s="346" t="s">
        <v>324</v>
      </c>
      <c r="AQ126" s="346"/>
      <c r="AR126" s="346"/>
      <c r="AS126" s="346"/>
      <c r="BQ126" s="365"/>
      <c r="BR126" s="365"/>
      <c r="BS126" s="365"/>
      <c r="BT126" s="365"/>
      <c r="BU126" s="365"/>
      <c r="BV126" s="365"/>
      <c r="BW126" s="365"/>
      <c r="BX126" s="365"/>
      <c r="DF126" s="365"/>
      <c r="DG126" s="365"/>
      <c r="DH126" s="365"/>
      <c r="DI126" s="365"/>
      <c r="DJ126" s="365"/>
      <c r="DK126" s="365"/>
      <c r="DL126" s="365"/>
      <c r="DM126" s="365"/>
    </row>
    <row r="127" spans="1:173" s="334" customFormat="1">
      <c r="A127" s="335" t="s">
        <v>1101</v>
      </c>
      <c r="B127" s="346" t="s">
        <v>1101</v>
      </c>
      <c r="C127" s="346" t="s">
        <v>225</v>
      </c>
      <c r="D127" s="346" t="s">
        <v>1094</v>
      </c>
      <c r="E127" s="346" t="s">
        <v>2765</v>
      </c>
      <c r="F127" s="424" t="s">
        <v>785</v>
      </c>
      <c r="G127" s="346">
        <v>284</v>
      </c>
      <c r="H127" s="346" t="s">
        <v>324</v>
      </c>
      <c r="I127" s="346">
        <v>275</v>
      </c>
      <c r="J127" s="346">
        <v>275</v>
      </c>
      <c r="N127" s="346"/>
      <c r="O127" s="346"/>
      <c r="P127" s="346" t="s">
        <v>2363</v>
      </c>
      <c r="Q127" s="346" t="s">
        <v>2324</v>
      </c>
      <c r="R127" s="346" t="s">
        <v>2337</v>
      </c>
      <c r="S127" s="346" t="s">
        <v>1103</v>
      </c>
      <c r="T127" s="346" t="s">
        <v>1046</v>
      </c>
      <c r="U127" s="346">
        <v>60</v>
      </c>
      <c r="V127" s="346" cm="1">
        <f t="array" ref="V127">IFERROR(INDEX('Offer Statistics'!$AZ$2:$AZ$350,MATCH(1,($B127='Offer Statistics'!$AK$2:$AK$350)*($B$11='Offer Statistics'!$AL$2:$AL$350),0)),"/")</f>
        <v>55</v>
      </c>
      <c r="W127" s="346" cm="1">
        <f t="array" ref="W127">IFERROR(INDEX('Offer Statistics'!$AM$2:$AM$350,MATCH(1,($B127='Offer Statistics'!$AK$2:$AK$350)*($B$11='Offer Statistics'!$AL$2:$AL$350),0)),"/")</f>
        <v>199</v>
      </c>
      <c r="X127" s="346" cm="1">
        <f t="array" ref="X127">IFERROR(INDEX('Offer Statistics'!$AU$2:$AU$350,MATCH(1,($B127='Offer Statistics'!$AK$2:$AK$350)*($B$11='Offer Statistics'!$AL$2:$AL$350),0)),"/")</f>
        <v>53</v>
      </c>
      <c r="Y127" s="346">
        <f t="shared" si="112"/>
        <v>3.7547169811320753</v>
      </c>
      <c r="Z127" s="346" t="s">
        <v>1046</v>
      </c>
      <c r="AA127" s="346" t="str">
        <f>入學要求!AF141</f>
        <v>/</v>
      </c>
      <c r="AB127" s="346" t="str">
        <f>入學要求!AG141</f>
        <v>/</v>
      </c>
      <c r="AC127" s="346" t="s">
        <v>785</v>
      </c>
      <c r="AF127" s="334" t="s">
        <v>324</v>
      </c>
      <c r="AG127" s="337" t="s">
        <v>324</v>
      </c>
      <c r="AH127" s="426" t="s">
        <v>2363</v>
      </c>
      <c r="AI127" s="426" t="s">
        <v>2324</v>
      </c>
      <c r="AJ127" s="426" t="s">
        <v>2337</v>
      </c>
      <c r="AK127" s="346" t="s">
        <v>324</v>
      </c>
      <c r="AL127" s="346" t="s">
        <v>324</v>
      </c>
      <c r="AM127" s="346" t="s">
        <v>324</v>
      </c>
      <c r="AN127" s="346" t="s">
        <v>324</v>
      </c>
      <c r="AO127" s="346" t="s">
        <v>324</v>
      </c>
      <c r="AP127" s="346" t="s">
        <v>324</v>
      </c>
      <c r="AQ127" s="346" t="s">
        <v>324</v>
      </c>
      <c r="AR127" s="346" t="s">
        <v>324</v>
      </c>
      <c r="AS127" s="346"/>
      <c r="AT127" s="93" t="s">
        <v>716</v>
      </c>
      <c r="AU127" s="93"/>
      <c r="AV127" s="334" t="s">
        <v>713</v>
      </c>
      <c r="AW127" s="334" t="s">
        <v>324</v>
      </c>
      <c r="AX127" s="334" t="s">
        <v>324</v>
      </c>
      <c r="AY127" s="334" t="s">
        <v>324</v>
      </c>
      <c r="BQ127" s="365">
        <f t="shared" si="170"/>
        <v>3.9999999999999998E-11</v>
      </c>
      <c r="BR127" s="365">
        <f t="shared" si="171"/>
        <v>1.9999999999999999E-11</v>
      </c>
      <c r="BS127" s="365">
        <f t="shared" si="172"/>
        <v>3E-11</v>
      </c>
      <c r="BT127" s="365"/>
      <c r="BU127" s="365">
        <f t="shared" si="173"/>
        <v>5.0000000000000002E-11</v>
      </c>
      <c r="BV127" s="365">
        <f t="shared" si="174"/>
        <v>6E-11</v>
      </c>
      <c r="BW127" s="365">
        <f t="shared" si="175"/>
        <v>7.0000000000000004E-11</v>
      </c>
      <c r="BX127" s="365">
        <f t="shared" si="176"/>
        <v>7.9999999999999995E-11</v>
      </c>
      <c r="BY127" s="334">
        <f t="shared" si="155"/>
        <v>0</v>
      </c>
      <c r="BZ127" s="334">
        <f t="shared" si="156"/>
        <v>0</v>
      </c>
      <c r="CA127" s="334">
        <f t="shared" si="157"/>
        <v>0</v>
      </c>
      <c r="CC127" s="334">
        <f t="shared" si="158"/>
        <v>0</v>
      </c>
      <c r="CD127" s="334">
        <f t="shared" si="159"/>
        <v>0</v>
      </c>
      <c r="CE127" s="334">
        <f t="shared" si="160"/>
        <v>0</v>
      </c>
      <c r="CF127" s="334">
        <f t="shared" si="161"/>
        <v>0</v>
      </c>
      <c r="CG127" s="334" t="b">
        <f t="shared" ref="CG127:CG142" si="195">IF($F127="4C2X",TRUE,IF($F127="Best 5",IF(BY127&gt;LARGE($BY127:$CF127,6),TRUE),IF($F127="Best 6",IF(BY127&gt;LARGE($BY127:$CF127,7),TRUE))))</f>
        <v>0</v>
      </c>
      <c r="CH127" s="334" t="b">
        <f t="shared" ref="CH127:CH142" si="196">IF($F127="4C2X",TRUE,IF($F127="Best 5",IF(BZ127&gt;LARGE($BY127:$CF127,6),TRUE),IF($F127="Best 6",IF(BZ127&gt;LARGE($BY127:$CF127,7),TRUE))))</f>
        <v>0</v>
      </c>
      <c r="CI127" s="334" t="b">
        <f t="shared" ref="CI127:CI142" si="197">IF($F127="4C2X",TRUE,IF($F127="Best 5",IF(CA127&gt;LARGE($BY127:$CF127,6),TRUE),IF($F127="Best 6",IF(CA127&gt;LARGE($BY127:$CF127,7),TRUE))))</f>
        <v>0</v>
      </c>
      <c r="CK127" s="334" t="b">
        <f t="shared" ref="CK127:CK142" si="198">IF($F127="4C2X",IF(CC127&gt;LARGE($CC127:$CF127,3),TRUE),IF($F127="Best 5",IF(CC127&gt;LARGE($BY127:$CF127,6),TRUE),IF($F127="Best 6",IF(CC127&gt;LARGE($BY127:$CF127,7),TRUE))))</f>
        <v>0</v>
      </c>
      <c r="CL127" s="334" t="b">
        <f t="shared" ref="CL127:CL142" si="199">IF($F127="4C2X",IF(CD127&gt;LARGE($CC127:$CF127,3),TRUE),IF($F127="Best 5",IF(CD127&gt;LARGE($BY127:$CF127,6),TRUE),IF($F127="Best 6",IF(CD127&gt;LARGE($BY127:$CF127,7),TRUE))))</f>
        <v>0</v>
      </c>
      <c r="CM127" s="334" t="b">
        <f t="shared" ref="CM127:CM142" si="200">IF($F127="4C2X",IF(CE127&gt;LARGE($CC127:$CF127,3),TRUE),IF($F127="Best 5",IF(CE127&gt;LARGE($BY127:$CF127,6),TRUE),IF($F127="Best 6",IF(CE127&gt;LARGE($BY127:$CF127,7),TRUE))))</f>
        <v>0</v>
      </c>
      <c r="CN127" s="334" t="b">
        <f t="shared" ref="CN127:CN142" si="201">IF($F127="4C2X",IF(CF127&gt;LARGE($CC127:$CF127,3),TRUE),IF($F127="Best 5",IF(CF127&gt;LARGE($BY127:$CF127,6),TRUE),IF($F127="Best 6",IF(CF127&gt;LARGE($BY127:$CF127,7),TRUE))))</f>
        <v>0</v>
      </c>
      <c r="DF127" s="350">
        <f t="shared" si="162"/>
        <v>9.9999999999999994E-12</v>
      </c>
      <c r="DG127" s="350">
        <f t="shared" si="177"/>
        <v>1.9999999999999999E-11</v>
      </c>
      <c r="DH127" s="350">
        <f t="shared" si="178"/>
        <v>3E-11</v>
      </c>
      <c r="DI127" s="350"/>
      <c r="DJ127" s="350">
        <f t="shared" si="179"/>
        <v>5.0000000000000002E-11</v>
      </c>
      <c r="DK127" s="350">
        <f t="shared" si="180"/>
        <v>6E-11</v>
      </c>
      <c r="DL127" s="350">
        <f t="shared" si="181"/>
        <v>7.0000000000000004E-11</v>
      </c>
      <c r="DM127" s="350">
        <f t="shared" si="182"/>
        <v>7.9999999999999995E-11</v>
      </c>
      <c r="DN127" s="334">
        <f t="shared" si="163"/>
        <v>0</v>
      </c>
      <c r="DO127" s="334">
        <f t="shared" si="164"/>
        <v>0</v>
      </c>
      <c r="DP127" s="334">
        <f t="shared" si="165"/>
        <v>0</v>
      </c>
      <c r="DR127" s="334">
        <f t="shared" si="166"/>
        <v>0</v>
      </c>
      <c r="DS127" s="334">
        <f t="shared" si="167"/>
        <v>0</v>
      </c>
      <c r="DT127" s="334">
        <f t="shared" si="168"/>
        <v>0</v>
      </c>
      <c r="DU127" s="334">
        <f t="shared" si="169"/>
        <v>0</v>
      </c>
      <c r="DV127" s="334" t="b">
        <f t="shared" ref="DV127:DV142" si="202">IF($F127="4C2X",TRUE,IF($F127="Best 5",IF(DN127&gt;LARGE($DN127:$DU127,6),TRUE),IF($F127="Best 6",IF(DN127&gt;LARGE($DN127:$DU127,7),TRUE))))</f>
        <v>0</v>
      </c>
      <c r="DW127" s="334" t="b">
        <f t="shared" ref="DW127:DW142" si="203">IF($F127="4C2X",TRUE,IF($F127="Best 5",IF(DO127&gt;LARGE($DN127:$DU127,6),TRUE),IF($F127="Best 6",IF(DO127&gt;LARGE($DN127:$DU127,7),TRUE))))</f>
        <v>0</v>
      </c>
      <c r="DX127" s="334" t="b">
        <f t="shared" ref="DX127:DX142" si="204">IF($F127="4C2X",TRUE,IF($F127="Best 5",IF(DP127&gt;LARGE($DN127:$DU127,6),TRUE),IF($F127="Best 6",IF(DP127&gt;LARGE($DN127:$DU127,7),TRUE))))</f>
        <v>0</v>
      </c>
      <c r="DZ127" s="334" t="b">
        <f t="shared" ref="DZ127:DZ142" si="205">IF($F127="4C2X",IF(DR127&gt;LARGE($DR127:$DU127,3),TRUE),IF($F127="Best 5",IF(DR127&gt;LARGE($DN127:$DU127,6),TRUE),IF($F127="Best 6",IF(DR127&gt;LARGE($DN127:$DU127,7),TRUE))))</f>
        <v>0</v>
      </c>
      <c r="EA127" s="334" t="b">
        <f t="shared" ref="EA127:EA142" si="206">IF($F127="4C2X",IF(DS127&gt;LARGE($DR127:$DU127,3),TRUE),IF($F127="Best 5",IF(DS127&gt;LARGE($DN127:$DU127,6),TRUE),IF($F127="Best 6",IF(DS127&gt;LARGE($DN127:$DU127,7),TRUE))))</f>
        <v>0</v>
      </c>
      <c r="EB127" s="334" t="b">
        <f t="shared" ref="EB127:EB142" si="207">IF($F127="4C2X",IF(DT127&gt;LARGE($DR127:$DU127,3),TRUE),IF($F127="Best 5",IF(DT127&gt;LARGE($DN127:$DU127,6),TRUE),IF($F127="Best 6",IF(DT127&gt;LARGE($DN127:$DU127,7),TRUE))))</f>
        <v>0</v>
      </c>
      <c r="EC127" s="334" t="b">
        <f t="shared" ref="EC127:EC142" si="208">IF($F127="4C2X",IF(DU127&gt;LARGE($DR127:$DU127,3),TRUE),IF($F127="Best 5",IF(DU127&gt;LARGE($DN127:$DU127,6),TRUE),IF($F127="Best 6",IF(DU127&gt;LARGE($DN127:$DU127,7),TRUE))))</f>
        <v>0</v>
      </c>
      <c r="ED127" s="334" t="s">
        <v>394</v>
      </c>
      <c r="EE127" s="334" t="s">
        <v>394</v>
      </c>
      <c r="EF127" s="334" t="s">
        <v>394</v>
      </c>
      <c r="EH127" s="334" t="s">
        <v>394</v>
      </c>
      <c r="EI127" s="334" t="s">
        <v>394</v>
      </c>
      <c r="EJ127" s="334" t="s">
        <v>394</v>
      </c>
      <c r="EK127" s="334" t="s">
        <v>394</v>
      </c>
      <c r="EL127" s="334" t="s">
        <v>394</v>
      </c>
      <c r="EM127" s="334" t="s">
        <v>394</v>
      </c>
      <c r="EN127" s="334" t="s">
        <v>394</v>
      </c>
      <c r="EP127" s="334" t="s">
        <v>394</v>
      </c>
      <c r="EQ127" s="334" t="s">
        <v>394</v>
      </c>
      <c r="ER127" s="334" t="s">
        <v>394</v>
      </c>
      <c r="ES127" s="334" t="s">
        <v>394</v>
      </c>
      <c r="FB127" s="334" t="s">
        <v>394</v>
      </c>
      <c r="FC127" s="334" t="s">
        <v>394</v>
      </c>
      <c r="FD127" s="334" t="s">
        <v>394</v>
      </c>
      <c r="FE127" s="334" t="s">
        <v>394</v>
      </c>
      <c r="FF127" s="334" t="s">
        <v>394</v>
      </c>
      <c r="FG127" s="334" t="s">
        <v>394</v>
      </c>
      <c r="FH127" s="334" t="s">
        <v>394</v>
      </c>
      <c r="FI127" s="334" t="s">
        <v>394</v>
      </c>
      <c r="FJ127" s="334" t="s">
        <v>394</v>
      </c>
      <c r="FK127" s="334" t="s">
        <v>394</v>
      </c>
      <c r="FL127" s="334" t="s">
        <v>394</v>
      </c>
      <c r="FM127" s="334" t="s">
        <v>394</v>
      </c>
      <c r="FN127" s="334" t="s">
        <v>394</v>
      </c>
      <c r="FO127" s="334" t="s">
        <v>394</v>
      </c>
      <c r="FP127" s="334" t="s">
        <v>394</v>
      </c>
      <c r="FQ127" s="334" t="s">
        <v>394</v>
      </c>
    </row>
    <row r="128" spans="1:173" s="93" customFormat="1">
      <c r="A128" s="335" t="s">
        <v>1104</v>
      </c>
      <c r="B128" s="346" t="s">
        <v>1104</v>
      </c>
      <c r="C128" s="346" t="s">
        <v>225</v>
      </c>
      <c r="D128" s="346" t="s">
        <v>1105</v>
      </c>
      <c r="E128" s="346" t="s">
        <v>1106</v>
      </c>
      <c r="F128" s="424" t="s">
        <v>785</v>
      </c>
      <c r="G128" s="346">
        <v>160.5</v>
      </c>
      <c r="H128" s="346" t="s">
        <v>324</v>
      </c>
      <c r="I128" s="346">
        <v>156</v>
      </c>
      <c r="J128" s="346">
        <v>155.5</v>
      </c>
      <c r="N128" s="346"/>
      <c r="O128" s="346"/>
      <c r="P128" s="346" t="s">
        <v>1107</v>
      </c>
      <c r="Q128" s="346" t="s">
        <v>1108</v>
      </c>
      <c r="R128" s="346" t="s">
        <v>324</v>
      </c>
      <c r="S128" s="346" t="s">
        <v>1109</v>
      </c>
      <c r="T128" s="346" t="s">
        <v>1046</v>
      </c>
      <c r="U128" s="346">
        <v>74</v>
      </c>
      <c r="V128" s="346" cm="1">
        <f t="array" ref="V128">IFERROR(INDEX('Offer Statistics'!$AZ$2:$AZ$350,MATCH(1,($B128='Offer Statistics'!$AK$2:$AK$350)*($B$11='Offer Statistics'!$AL$2:$AL$350),0)),"/")</f>
        <v>75</v>
      </c>
      <c r="W128" s="346" cm="1">
        <f t="array" ref="W128">IFERROR(INDEX('Offer Statistics'!$AM$2:$AM$350,MATCH(1,($B128='Offer Statistics'!$AK$2:$AK$350)*($B$11='Offer Statistics'!$AL$2:$AL$350),0)),"/")</f>
        <v>1086</v>
      </c>
      <c r="X128" s="346" cm="1">
        <f t="array" ref="X128">IFERROR(INDEX('Offer Statistics'!$AU$2:$AU$350,MATCH(1,($B128='Offer Statistics'!$AK$2:$AK$350)*($B$11='Offer Statistics'!$AL$2:$AL$350),0)),"/")</f>
        <v>75</v>
      </c>
      <c r="Y128" s="346">
        <f t="shared" si="112"/>
        <v>14.48</v>
      </c>
      <c r="Z128" s="346" t="s">
        <v>1046</v>
      </c>
      <c r="AA128" s="346" t="str">
        <f>入學要求!AF129</f>
        <v>/</v>
      </c>
      <c r="AB128" s="346" t="str">
        <f>入學要求!AG129</f>
        <v>/</v>
      </c>
      <c r="AC128" s="346" t="s">
        <v>785</v>
      </c>
      <c r="AD128" s="334"/>
      <c r="AE128" s="51"/>
      <c r="AF128" s="333" t="s">
        <v>324</v>
      </c>
      <c r="AG128" s="337" t="s">
        <v>324</v>
      </c>
      <c r="AH128" s="426" t="s">
        <v>1107</v>
      </c>
      <c r="AI128" s="426" t="s">
        <v>1108</v>
      </c>
      <c r="AJ128" s="426" t="s">
        <v>324</v>
      </c>
      <c r="AK128" s="346" t="s">
        <v>324</v>
      </c>
      <c r="AL128" s="346" t="s">
        <v>324</v>
      </c>
      <c r="AM128" s="346" t="s">
        <v>324</v>
      </c>
      <c r="AN128" s="346" t="s">
        <v>324</v>
      </c>
      <c r="AO128" s="346" t="s">
        <v>324</v>
      </c>
      <c r="AP128" s="346" t="s">
        <v>324</v>
      </c>
      <c r="AQ128" s="346" t="s">
        <v>324</v>
      </c>
      <c r="AR128" s="346" t="s">
        <v>324</v>
      </c>
      <c r="AS128" s="346"/>
      <c r="AT128" s="93" t="s">
        <v>716</v>
      </c>
      <c r="AV128" s="93" t="s">
        <v>713</v>
      </c>
      <c r="AW128" s="93" t="s">
        <v>324</v>
      </c>
      <c r="AX128" s="93" t="s">
        <v>324</v>
      </c>
      <c r="AY128" s="93" t="s">
        <v>324</v>
      </c>
      <c r="BQ128" s="365">
        <f t="shared" si="170"/>
        <v>3.9999999999999998E-11</v>
      </c>
      <c r="BR128" s="365">
        <f t="shared" si="171"/>
        <v>1.9999999999999999E-11</v>
      </c>
      <c r="BS128" s="365">
        <f t="shared" si="172"/>
        <v>3E-11</v>
      </c>
      <c r="BT128" s="365"/>
      <c r="BU128" s="365">
        <f t="shared" si="173"/>
        <v>5.0000000000000002E-11</v>
      </c>
      <c r="BV128" s="365">
        <f t="shared" si="174"/>
        <v>6E-11</v>
      </c>
      <c r="BW128" s="365">
        <f t="shared" si="175"/>
        <v>7.0000000000000004E-11</v>
      </c>
      <c r="BX128" s="365">
        <f t="shared" si="176"/>
        <v>7.9999999999999995E-11</v>
      </c>
      <c r="BY128" s="93">
        <f t="shared" si="155"/>
        <v>0</v>
      </c>
      <c r="BZ128" s="93">
        <f t="shared" si="156"/>
        <v>0</v>
      </c>
      <c r="CA128" s="93">
        <f t="shared" si="157"/>
        <v>0</v>
      </c>
      <c r="CC128" s="93">
        <f t="shared" si="158"/>
        <v>0</v>
      </c>
      <c r="CD128" s="93">
        <f t="shared" si="159"/>
        <v>0</v>
      </c>
      <c r="CE128" s="93">
        <f t="shared" si="160"/>
        <v>0</v>
      </c>
      <c r="CF128" s="93">
        <f t="shared" si="161"/>
        <v>0</v>
      </c>
      <c r="CG128" s="93" t="b">
        <f t="shared" si="195"/>
        <v>0</v>
      </c>
      <c r="CH128" s="93" t="b">
        <f t="shared" si="196"/>
        <v>0</v>
      </c>
      <c r="CI128" s="93" t="b">
        <f t="shared" si="197"/>
        <v>0</v>
      </c>
      <c r="CK128" s="93" t="b">
        <f t="shared" si="198"/>
        <v>0</v>
      </c>
      <c r="CL128" s="93" t="b">
        <f t="shared" si="199"/>
        <v>0</v>
      </c>
      <c r="CM128" s="93" t="b">
        <f t="shared" si="200"/>
        <v>0</v>
      </c>
      <c r="CN128" s="93" t="b">
        <f t="shared" si="201"/>
        <v>0</v>
      </c>
      <c r="DF128" s="206">
        <f t="shared" si="162"/>
        <v>9.9999999999999994E-12</v>
      </c>
      <c r="DG128" s="206">
        <f t="shared" si="177"/>
        <v>1.9999999999999999E-11</v>
      </c>
      <c r="DH128" s="206">
        <f t="shared" si="178"/>
        <v>3E-11</v>
      </c>
      <c r="DI128" s="206"/>
      <c r="DJ128" s="206">
        <f t="shared" si="179"/>
        <v>5.0000000000000002E-11</v>
      </c>
      <c r="DK128" s="206">
        <f t="shared" si="180"/>
        <v>6E-11</v>
      </c>
      <c r="DL128" s="206">
        <f t="shared" si="181"/>
        <v>7.0000000000000004E-11</v>
      </c>
      <c r="DM128" s="206">
        <f t="shared" si="182"/>
        <v>7.9999999999999995E-11</v>
      </c>
      <c r="DN128" s="93">
        <f t="shared" si="163"/>
        <v>0</v>
      </c>
      <c r="DO128" s="93">
        <f t="shared" si="164"/>
        <v>0</v>
      </c>
      <c r="DP128" s="93">
        <f t="shared" si="165"/>
        <v>0</v>
      </c>
      <c r="DR128" s="93">
        <f t="shared" si="166"/>
        <v>0</v>
      </c>
      <c r="DS128" s="93">
        <f t="shared" si="167"/>
        <v>0</v>
      </c>
      <c r="DT128" s="93">
        <f t="shared" si="168"/>
        <v>0</v>
      </c>
      <c r="DU128" s="93">
        <f t="shared" si="169"/>
        <v>0</v>
      </c>
      <c r="DV128" s="93" t="b">
        <f t="shared" si="202"/>
        <v>0</v>
      </c>
      <c r="DW128" s="93" t="b">
        <f t="shared" si="203"/>
        <v>0</v>
      </c>
      <c r="DX128" s="93" t="b">
        <f t="shared" si="204"/>
        <v>0</v>
      </c>
      <c r="DZ128" s="93" t="b">
        <f t="shared" si="205"/>
        <v>0</v>
      </c>
      <c r="EA128" s="93" t="b">
        <f t="shared" si="206"/>
        <v>0</v>
      </c>
      <c r="EB128" s="93" t="b">
        <f t="shared" si="207"/>
        <v>0</v>
      </c>
      <c r="EC128" s="93" t="b">
        <f t="shared" si="208"/>
        <v>0</v>
      </c>
      <c r="ED128" s="93" t="s">
        <v>394</v>
      </c>
      <c r="EE128" s="93" t="s">
        <v>394</v>
      </c>
      <c r="EF128" s="93" t="s">
        <v>394</v>
      </c>
      <c r="EH128" s="93" t="s">
        <v>394</v>
      </c>
      <c r="EI128" s="93" t="s">
        <v>394</v>
      </c>
      <c r="EJ128" s="93" t="s">
        <v>394</v>
      </c>
      <c r="EK128" s="93" t="s">
        <v>394</v>
      </c>
      <c r="EL128" s="93" t="s">
        <v>394</v>
      </c>
      <c r="EM128" s="93" t="s">
        <v>394</v>
      </c>
      <c r="EN128" s="93" t="s">
        <v>394</v>
      </c>
      <c r="EP128" s="93" t="s">
        <v>394</v>
      </c>
      <c r="EQ128" s="93" t="s">
        <v>394</v>
      </c>
      <c r="ER128" s="93" t="s">
        <v>394</v>
      </c>
      <c r="ES128" s="93" t="s">
        <v>394</v>
      </c>
      <c r="FB128" s="93" t="s">
        <v>394</v>
      </c>
      <c r="FC128" s="93" t="s">
        <v>394</v>
      </c>
      <c r="FD128" s="93" t="s">
        <v>394</v>
      </c>
      <c r="FE128" s="93" t="s">
        <v>394</v>
      </c>
      <c r="FF128" s="93" t="s">
        <v>394</v>
      </c>
      <c r="FG128" s="93" t="s">
        <v>394</v>
      </c>
      <c r="FH128" s="93" t="s">
        <v>394</v>
      </c>
      <c r="FI128" s="93" t="s">
        <v>394</v>
      </c>
      <c r="FJ128" s="93" t="s">
        <v>394</v>
      </c>
      <c r="FK128" s="93" t="s">
        <v>394</v>
      </c>
      <c r="FL128" s="93" t="s">
        <v>394</v>
      </c>
      <c r="FM128" s="93" t="s">
        <v>394</v>
      </c>
      <c r="FN128" s="93" t="s">
        <v>394</v>
      </c>
      <c r="FO128" s="93" t="s">
        <v>394</v>
      </c>
      <c r="FP128" s="93" t="s">
        <v>394</v>
      </c>
      <c r="FQ128" s="93" t="s">
        <v>394</v>
      </c>
    </row>
    <row r="129" spans="1:173" s="93" customFormat="1">
      <c r="A129" s="335" t="s">
        <v>1110</v>
      </c>
      <c r="B129" s="346" t="s">
        <v>1110</v>
      </c>
      <c r="C129" s="346" t="s">
        <v>225</v>
      </c>
      <c r="D129" s="346" t="s">
        <v>1111</v>
      </c>
      <c r="E129" s="346" t="s">
        <v>2766</v>
      </c>
      <c r="F129" s="424" t="s">
        <v>1096</v>
      </c>
      <c r="G129" s="346">
        <v>194.7</v>
      </c>
      <c r="H129" s="346" t="s">
        <v>324</v>
      </c>
      <c r="I129" s="346">
        <v>193</v>
      </c>
      <c r="J129" s="346">
        <v>186</v>
      </c>
      <c r="N129" s="346"/>
      <c r="O129" s="346"/>
      <c r="P129" s="346" t="s">
        <v>2340</v>
      </c>
      <c r="Q129" s="346" t="s">
        <v>2330</v>
      </c>
      <c r="R129" s="346" t="s">
        <v>2337</v>
      </c>
      <c r="S129" s="346" t="s">
        <v>1113</v>
      </c>
      <c r="T129" s="346" t="s">
        <v>1046</v>
      </c>
      <c r="U129" s="346">
        <v>16</v>
      </c>
      <c r="V129" s="346" cm="1">
        <f t="array" ref="V129">IFERROR(INDEX('Offer Statistics'!$AZ$2:$AZ$350,MATCH(1,($B129='Offer Statistics'!$AK$2:$AK$350)*($B$11='Offer Statistics'!$AL$2:$AL$350),0)),"/")</f>
        <v>23</v>
      </c>
      <c r="W129" s="346" cm="1">
        <f t="array" ref="W129">IFERROR(INDEX('Offer Statistics'!$AM$2:$AM$350,MATCH(1,($B129='Offer Statistics'!$AK$2:$AK$350)*($B$11='Offer Statistics'!$AL$2:$AL$350),0)),"/")</f>
        <v>280</v>
      </c>
      <c r="X129" s="346" cm="1">
        <f t="array" ref="X129">IFERROR(INDEX('Offer Statistics'!$AU$2:$AU$350,MATCH(1,($B129='Offer Statistics'!$AK$2:$AK$350)*($B$11='Offer Statistics'!$AL$2:$AL$350),0)),"/")</f>
        <v>19</v>
      </c>
      <c r="Y129" s="346">
        <f t="shared" si="112"/>
        <v>14.736842105263158</v>
      </c>
      <c r="Z129" s="346" t="s">
        <v>1046</v>
      </c>
      <c r="AA129" s="346" t="str">
        <f>入學要求!AF142</f>
        <v>/</v>
      </c>
      <c r="AB129" s="346" t="str">
        <f>入學要求!AG142</f>
        <v>/</v>
      </c>
      <c r="AC129" s="346" t="s">
        <v>1096</v>
      </c>
      <c r="AD129" s="334"/>
      <c r="AE129" s="51"/>
      <c r="AF129" s="333" t="s">
        <v>324</v>
      </c>
      <c r="AG129" s="333" t="s">
        <v>324</v>
      </c>
      <c r="AH129" s="426" t="s">
        <v>2340</v>
      </c>
      <c r="AI129" s="426" t="s">
        <v>2330</v>
      </c>
      <c r="AJ129" s="426" t="s">
        <v>2337</v>
      </c>
      <c r="AK129" s="346" t="s">
        <v>324</v>
      </c>
      <c r="AL129" s="346" t="s">
        <v>324</v>
      </c>
      <c r="AM129" s="346" t="s">
        <v>324</v>
      </c>
      <c r="AN129" s="346" t="s">
        <v>324</v>
      </c>
      <c r="AO129" s="346" t="s">
        <v>324</v>
      </c>
      <c r="AP129" s="346" t="s">
        <v>324</v>
      </c>
      <c r="AQ129" s="346" t="s">
        <v>324</v>
      </c>
      <c r="AR129" s="346" t="s">
        <v>324</v>
      </c>
      <c r="AS129" s="346"/>
      <c r="AT129" s="93" t="s">
        <v>716</v>
      </c>
      <c r="AV129" s="93" t="s">
        <v>713</v>
      </c>
      <c r="AW129" s="93" t="s">
        <v>324</v>
      </c>
      <c r="AX129" s="93" t="s">
        <v>324</v>
      </c>
      <c r="AY129" s="93" t="s">
        <v>324</v>
      </c>
      <c r="BQ129" s="365">
        <f t="shared" si="170"/>
        <v>3.9999999999999998E-11</v>
      </c>
      <c r="BR129" s="365">
        <f t="shared" si="171"/>
        <v>1.9999999999999999E-11</v>
      </c>
      <c r="BS129" s="365">
        <f t="shared" si="172"/>
        <v>3E-11</v>
      </c>
      <c r="BT129" s="365"/>
      <c r="BU129" s="365">
        <f t="shared" si="173"/>
        <v>5.0000000000000002E-11</v>
      </c>
      <c r="BV129" s="365">
        <f t="shared" si="174"/>
        <v>6E-11</v>
      </c>
      <c r="BW129" s="365">
        <f t="shared" si="175"/>
        <v>7.0000000000000004E-11</v>
      </c>
      <c r="BX129" s="365">
        <f t="shared" si="176"/>
        <v>7.9999999999999995E-11</v>
      </c>
      <c r="BY129" s="93">
        <f t="shared" si="155"/>
        <v>0</v>
      </c>
      <c r="BZ129" s="93">
        <f t="shared" si="156"/>
        <v>0</v>
      </c>
      <c r="CA129" s="93">
        <f t="shared" si="157"/>
        <v>0</v>
      </c>
      <c r="CC129" s="93">
        <f t="shared" si="158"/>
        <v>0</v>
      </c>
      <c r="CD129" s="93">
        <f t="shared" si="159"/>
        <v>0</v>
      </c>
      <c r="CE129" s="93">
        <f t="shared" si="160"/>
        <v>0</v>
      </c>
      <c r="CF129" s="93">
        <f t="shared" si="161"/>
        <v>0</v>
      </c>
      <c r="CG129" s="93" t="b">
        <f t="shared" si="195"/>
        <v>0</v>
      </c>
      <c r="CH129" s="93" t="b">
        <f t="shared" si="196"/>
        <v>0</v>
      </c>
      <c r="CI129" s="93" t="b">
        <f t="shared" si="197"/>
        <v>0</v>
      </c>
      <c r="CK129" s="93" t="b">
        <f t="shared" si="198"/>
        <v>0</v>
      </c>
      <c r="CL129" s="93" t="b">
        <f t="shared" si="199"/>
        <v>0</v>
      </c>
      <c r="CM129" s="93" t="b">
        <f t="shared" si="200"/>
        <v>0</v>
      </c>
      <c r="CN129" s="93" t="b">
        <f t="shared" si="201"/>
        <v>0</v>
      </c>
      <c r="DF129" s="206">
        <f t="shared" si="162"/>
        <v>9.9999999999999994E-12</v>
      </c>
      <c r="DG129" s="206">
        <f t="shared" si="177"/>
        <v>1.9999999999999999E-11</v>
      </c>
      <c r="DH129" s="206">
        <f t="shared" si="178"/>
        <v>3E-11</v>
      </c>
      <c r="DI129" s="206"/>
      <c r="DJ129" s="206">
        <f t="shared" si="179"/>
        <v>5.0000000000000002E-11</v>
      </c>
      <c r="DK129" s="206">
        <f t="shared" si="180"/>
        <v>6E-11</v>
      </c>
      <c r="DL129" s="206">
        <f t="shared" si="181"/>
        <v>7.0000000000000004E-11</v>
      </c>
      <c r="DM129" s="206">
        <f t="shared" si="182"/>
        <v>7.9999999999999995E-11</v>
      </c>
      <c r="DN129" s="93">
        <f t="shared" si="163"/>
        <v>0</v>
      </c>
      <c r="DO129" s="93">
        <f t="shared" si="164"/>
        <v>0</v>
      </c>
      <c r="DP129" s="93">
        <f t="shared" si="165"/>
        <v>0</v>
      </c>
      <c r="DR129" s="93">
        <f t="shared" si="166"/>
        <v>0</v>
      </c>
      <c r="DS129" s="93">
        <f t="shared" si="167"/>
        <v>0</v>
      </c>
      <c r="DT129" s="93">
        <f t="shared" si="168"/>
        <v>0</v>
      </c>
      <c r="DU129" s="93">
        <f t="shared" si="169"/>
        <v>0</v>
      </c>
      <c r="DV129" s="93" t="b">
        <f t="shared" si="202"/>
        <v>0</v>
      </c>
      <c r="DW129" s="93" t="b">
        <f t="shared" si="203"/>
        <v>0</v>
      </c>
      <c r="DX129" s="93" t="b">
        <f t="shared" si="204"/>
        <v>0</v>
      </c>
      <c r="DZ129" s="93" t="b">
        <f t="shared" si="205"/>
        <v>0</v>
      </c>
      <c r="EA129" s="93" t="b">
        <f t="shared" si="206"/>
        <v>0</v>
      </c>
      <c r="EB129" s="93" t="b">
        <f t="shared" si="207"/>
        <v>0</v>
      </c>
      <c r="EC129" s="93" t="b">
        <f t="shared" si="208"/>
        <v>0</v>
      </c>
      <c r="ED129" s="93" t="s">
        <v>324</v>
      </c>
      <c r="EE129" s="93" t="s">
        <v>324</v>
      </c>
      <c r="EF129" s="93" t="s">
        <v>324</v>
      </c>
      <c r="EH129" s="93" t="s">
        <v>324</v>
      </c>
      <c r="EI129" s="93" t="s">
        <v>324</v>
      </c>
      <c r="EJ129" s="93" t="s">
        <v>324</v>
      </c>
      <c r="EK129" s="93" t="s">
        <v>324</v>
      </c>
      <c r="EL129" s="93" t="s">
        <v>324</v>
      </c>
      <c r="EM129" s="93" t="s">
        <v>324</v>
      </c>
      <c r="EN129" s="93" t="s">
        <v>324</v>
      </c>
      <c r="EP129" s="93" t="s">
        <v>324</v>
      </c>
      <c r="EQ129" s="93" t="s">
        <v>324</v>
      </c>
      <c r="ER129" s="93" t="s">
        <v>324</v>
      </c>
      <c r="ES129" s="93" t="s">
        <v>324</v>
      </c>
      <c r="FB129" s="93" t="s">
        <v>394</v>
      </c>
      <c r="FC129" s="93" t="s">
        <v>394</v>
      </c>
      <c r="FD129" s="93" t="s">
        <v>394</v>
      </c>
      <c r="FE129" s="93" t="s">
        <v>394</v>
      </c>
      <c r="FF129" s="93" t="s">
        <v>394</v>
      </c>
      <c r="FG129" s="93" t="s">
        <v>394</v>
      </c>
      <c r="FH129" s="93" t="s">
        <v>394</v>
      </c>
      <c r="FI129" s="93" t="s">
        <v>394</v>
      </c>
      <c r="FJ129" s="93" t="s">
        <v>394</v>
      </c>
      <c r="FK129" s="93" t="s">
        <v>394</v>
      </c>
      <c r="FL129" s="93" t="s">
        <v>394</v>
      </c>
      <c r="FM129" s="93" t="s">
        <v>394</v>
      </c>
      <c r="FN129" s="93" t="s">
        <v>394</v>
      </c>
      <c r="FO129" s="93" t="s">
        <v>394</v>
      </c>
      <c r="FP129" s="93" t="s">
        <v>394</v>
      </c>
      <c r="FQ129" s="93" t="s">
        <v>394</v>
      </c>
    </row>
    <row r="130" spans="1:173" s="93" customFormat="1">
      <c r="A130" s="335" t="s">
        <v>1117</v>
      </c>
      <c r="B130" s="346" t="s">
        <v>1117</v>
      </c>
      <c r="C130" s="346" t="s">
        <v>225</v>
      </c>
      <c r="D130" s="346" t="s">
        <v>1094</v>
      </c>
      <c r="E130" s="346" t="s">
        <v>2767</v>
      </c>
      <c r="F130" s="424" t="s">
        <v>785</v>
      </c>
      <c r="G130" s="346">
        <v>212.5</v>
      </c>
      <c r="H130" s="346" t="s">
        <v>324</v>
      </c>
      <c r="I130" s="346">
        <v>203.5</v>
      </c>
      <c r="J130" s="346">
        <v>203</v>
      </c>
      <c r="N130" s="346"/>
      <c r="O130" s="346"/>
      <c r="P130" s="346" t="s">
        <v>3021</v>
      </c>
      <c r="Q130" s="346" t="s">
        <v>1108</v>
      </c>
      <c r="R130" s="346" t="s">
        <v>324</v>
      </c>
      <c r="S130" s="346" t="s">
        <v>1119</v>
      </c>
      <c r="T130" s="346" t="s">
        <v>1046</v>
      </c>
      <c r="U130" s="346">
        <v>70</v>
      </c>
      <c r="V130" s="346" cm="1">
        <f t="array" ref="V130">IFERROR(INDEX('Offer Statistics'!$AZ$2:$AZ$350,MATCH(1,($B130='Offer Statistics'!$AK$2:$AK$350)*($B$11='Offer Statistics'!$AL$2:$AL$350),0)),"/")</f>
        <v>58</v>
      </c>
      <c r="W130" s="346" cm="1">
        <f t="array" ref="W130">IFERROR(INDEX('Offer Statistics'!$AM$2:$AM$350,MATCH(1,($B130='Offer Statistics'!$AK$2:$AK$350)*($B$11='Offer Statistics'!$AL$2:$AL$350),0)),"/")</f>
        <v>482</v>
      </c>
      <c r="X130" s="346" cm="1">
        <f t="array" ref="X130">IFERROR(INDEX('Offer Statistics'!$AU$2:$AU$350,MATCH(1,($B130='Offer Statistics'!$AK$2:$AK$350)*($B$11='Offer Statistics'!$AL$2:$AL$350),0)),"/")</f>
        <v>58</v>
      </c>
      <c r="Y130" s="346">
        <f t="shared" si="112"/>
        <v>8.3103448275862064</v>
      </c>
      <c r="Z130" s="346" t="s">
        <v>1046</v>
      </c>
      <c r="AA130" s="346" t="str">
        <f>入學要求!AF130</f>
        <v>/</v>
      </c>
      <c r="AB130" s="346" t="str">
        <f>入學要求!AG130</f>
        <v>/</v>
      </c>
      <c r="AC130" s="427" t="s">
        <v>785</v>
      </c>
      <c r="AD130" s="334"/>
      <c r="AE130" s="51"/>
      <c r="AF130" s="333" t="s">
        <v>324</v>
      </c>
      <c r="AG130" s="333" t="s">
        <v>324</v>
      </c>
      <c r="AH130" s="426" t="s">
        <v>3021</v>
      </c>
      <c r="AI130" s="426" t="s">
        <v>1108</v>
      </c>
      <c r="AJ130" s="426" t="s">
        <v>324</v>
      </c>
      <c r="AK130" s="346" t="s">
        <v>324</v>
      </c>
      <c r="AL130" s="346" t="s">
        <v>324</v>
      </c>
      <c r="AM130" s="346" t="s">
        <v>324</v>
      </c>
      <c r="AN130" s="346" t="s">
        <v>324</v>
      </c>
      <c r="AO130" s="346" t="s">
        <v>324</v>
      </c>
      <c r="AP130" s="346" t="s">
        <v>324</v>
      </c>
      <c r="AQ130" s="346" t="s">
        <v>324</v>
      </c>
      <c r="AR130" s="346" t="s">
        <v>324</v>
      </c>
      <c r="AS130" s="346"/>
      <c r="AT130" s="93" t="s">
        <v>716</v>
      </c>
      <c r="AV130" s="93" t="s">
        <v>713</v>
      </c>
      <c r="AW130" s="93" t="s">
        <v>324</v>
      </c>
      <c r="AX130" s="93" t="s">
        <v>324</v>
      </c>
      <c r="AY130" s="93" t="s">
        <v>324</v>
      </c>
      <c r="BQ130" s="365">
        <f t="shared" si="170"/>
        <v>3.9999999999999998E-11</v>
      </c>
      <c r="BR130" s="365">
        <f t="shared" si="171"/>
        <v>1.9999999999999999E-11</v>
      </c>
      <c r="BS130" s="365">
        <f t="shared" si="172"/>
        <v>3E-11</v>
      </c>
      <c r="BT130" s="365"/>
      <c r="BU130" s="365">
        <f t="shared" si="173"/>
        <v>5.0000000000000002E-11</v>
      </c>
      <c r="BV130" s="365">
        <f t="shared" si="174"/>
        <v>6E-11</v>
      </c>
      <c r="BW130" s="365">
        <f t="shared" si="175"/>
        <v>7.0000000000000004E-11</v>
      </c>
      <c r="BX130" s="365">
        <f t="shared" si="176"/>
        <v>7.9999999999999995E-11</v>
      </c>
      <c r="BY130" s="93">
        <f t="shared" si="155"/>
        <v>0</v>
      </c>
      <c r="BZ130" s="93">
        <f t="shared" si="156"/>
        <v>0</v>
      </c>
      <c r="CA130" s="93">
        <f t="shared" si="157"/>
        <v>0</v>
      </c>
      <c r="CC130" s="93">
        <f t="shared" si="158"/>
        <v>0</v>
      </c>
      <c r="CD130" s="93">
        <f t="shared" si="159"/>
        <v>0</v>
      </c>
      <c r="CE130" s="93">
        <f t="shared" si="160"/>
        <v>0</v>
      </c>
      <c r="CF130" s="93">
        <f t="shared" si="161"/>
        <v>0</v>
      </c>
      <c r="CG130" s="93" t="b">
        <f t="shared" si="195"/>
        <v>0</v>
      </c>
      <c r="CH130" s="93" t="b">
        <f t="shared" si="196"/>
        <v>0</v>
      </c>
      <c r="CI130" s="93" t="b">
        <f t="shared" si="197"/>
        <v>0</v>
      </c>
      <c r="CK130" s="93" t="b">
        <f t="shared" si="198"/>
        <v>0</v>
      </c>
      <c r="CL130" s="93" t="b">
        <f t="shared" si="199"/>
        <v>0</v>
      </c>
      <c r="CM130" s="93" t="b">
        <f t="shared" si="200"/>
        <v>0</v>
      </c>
      <c r="CN130" s="93" t="b">
        <f t="shared" si="201"/>
        <v>0</v>
      </c>
      <c r="DF130" s="206">
        <f t="shared" si="162"/>
        <v>9.9999999999999994E-12</v>
      </c>
      <c r="DG130" s="206">
        <f t="shared" si="177"/>
        <v>1.9999999999999999E-11</v>
      </c>
      <c r="DH130" s="206">
        <f t="shared" si="178"/>
        <v>3E-11</v>
      </c>
      <c r="DI130" s="206"/>
      <c r="DJ130" s="206">
        <f t="shared" si="179"/>
        <v>5.0000000000000002E-11</v>
      </c>
      <c r="DK130" s="206">
        <f t="shared" si="180"/>
        <v>6E-11</v>
      </c>
      <c r="DL130" s="206">
        <f t="shared" si="181"/>
        <v>7.0000000000000004E-11</v>
      </c>
      <c r="DM130" s="206">
        <f t="shared" si="182"/>
        <v>7.9999999999999995E-11</v>
      </c>
      <c r="DN130" s="93">
        <f t="shared" si="163"/>
        <v>0</v>
      </c>
      <c r="DO130" s="93">
        <f t="shared" si="164"/>
        <v>0</v>
      </c>
      <c r="DP130" s="93">
        <f t="shared" si="165"/>
        <v>0</v>
      </c>
      <c r="DR130" s="93">
        <f t="shared" si="166"/>
        <v>0</v>
      </c>
      <c r="DS130" s="93">
        <f t="shared" si="167"/>
        <v>0</v>
      </c>
      <c r="DT130" s="93">
        <f t="shared" si="168"/>
        <v>0</v>
      </c>
      <c r="DU130" s="93">
        <f t="shared" si="169"/>
        <v>0</v>
      </c>
      <c r="DV130" s="93" t="b">
        <f t="shared" si="202"/>
        <v>0</v>
      </c>
      <c r="DW130" s="93" t="b">
        <f t="shared" si="203"/>
        <v>0</v>
      </c>
      <c r="DX130" s="93" t="b">
        <f t="shared" si="204"/>
        <v>0</v>
      </c>
      <c r="DZ130" s="93" t="b">
        <f t="shared" si="205"/>
        <v>0</v>
      </c>
      <c r="EA130" s="93" t="b">
        <f t="shared" si="206"/>
        <v>0</v>
      </c>
      <c r="EB130" s="93" t="b">
        <f t="shared" si="207"/>
        <v>0</v>
      </c>
      <c r="EC130" s="93" t="b">
        <f t="shared" si="208"/>
        <v>0</v>
      </c>
      <c r="ED130" s="93" t="s">
        <v>394</v>
      </c>
      <c r="EE130" s="93" t="s">
        <v>394</v>
      </c>
      <c r="EF130" s="93" t="s">
        <v>394</v>
      </c>
      <c r="EH130" s="93" t="s">
        <v>394</v>
      </c>
      <c r="EI130" s="93" t="s">
        <v>394</v>
      </c>
      <c r="EJ130" s="93" t="s">
        <v>394</v>
      </c>
      <c r="EK130" s="93" t="s">
        <v>394</v>
      </c>
      <c r="EL130" s="93" t="s">
        <v>394</v>
      </c>
      <c r="EM130" s="93" t="s">
        <v>394</v>
      </c>
      <c r="EN130" s="93" t="s">
        <v>394</v>
      </c>
      <c r="EP130" s="93" t="s">
        <v>394</v>
      </c>
      <c r="EQ130" s="93" t="s">
        <v>394</v>
      </c>
      <c r="ER130" s="93" t="s">
        <v>394</v>
      </c>
      <c r="ES130" s="93" t="s">
        <v>394</v>
      </c>
      <c r="FB130" s="93" t="s">
        <v>394</v>
      </c>
      <c r="FC130" s="93" t="s">
        <v>394</v>
      </c>
      <c r="FD130" s="93" t="s">
        <v>394</v>
      </c>
      <c r="FE130" s="93" t="s">
        <v>394</v>
      </c>
      <c r="FF130" s="93" t="s">
        <v>394</v>
      </c>
      <c r="FG130" s="93" t="s">
        <v>394</v>
      </c>
      <c r="FH130" s="93" t="s">
        <v>394</v>
      </c>
      <c r="FI130" s="93" t="s">
        <v>394</v>
      </c>
      <c r="FJ130" s="93" t="s">
        <v>394</v>
      </c>
      <c r="FK130" s="93" t="s">
        <v>394</v>
      </c>
      <c r="FL130" s="93" t="s">
        <v>394</v>
      </c>
      <c r="FM130" s="93" t="s">
        <v>394</v>
      </c>
      <c r="FN130" s="93" t="s">
        <v>394</v>
      </c>
      <c r="FO130" s="93" t="s">
        <v>394</v>
      </c>
      <c r="FP130" s="93" t="s">
        <v>394</v>
      </c>
      <c r="FQ130" s="93" t="s">
        <v>394</v>
      </c>
    </row>
    <row r="131" spans="1:173" s="93" customFormat="1">
      <c r="A131" s="335" t="s">
        <v>1074</v>
      </c>
      <c r="B131" s="346" t="s">
        <v>1936</v>
      </c>
      <c r="C131" s="346" t="s">
        <v>225</v>
      </c>
      <c r="D131" s="346" t="s">
        <v>1068</v>
      </c>
      <c r="E131" s="346" t="s">
        <v>2769</v>
      </c>
      <c r="F131" s="431" t="s">
        <v>785</v>
      </c>
      <c r="G131" s="346">
        <v>226.1</v>
      </c>
      <c r="H131" s="346" t="s">
        <v>324</v>
      </c>
      <c r="I131" s="346">
        <v>220</v>
      </c>
      <c r="J131" s="346">
        <v>215</v>
      </c>
      <c r="N131" s="346" t="s">
        <v>2980</v>
      </c>
      <c r="O131" s="346" t="s">
        <v>2987</v>
      </c>
      <c r="P131" s="346" t="s">
        <v>2359</v>
      </c>
      <c r="Q131" s="346" t="s">
        <v>2344</v>
      </c>
      <c r="R131" s="346" t="s">
        <v>2337</v>
      </c>
      <c r="S131" s="346" t="s">
        <v>2768</v>
      </c>
      <c r="T131" s="346" t="s">
        <v>1046</v>
      </c>
      <c r="U131" s="346">
        <v>20</v>
      </c>
      <c r="V131" s="346" t="str" cm="1">
        <f t="array" ref="V131">IFERROR(INDEX('Offer Statistics'!$AZ$2:$AZ$350,MATCH(1,($B131='Offer Statistics'!$AK$2:$AK$350)*($B$11='Offer Statistics'!$AL$2:$AL$350),0)),"/")</f>
        <v>/</v>
      </c>
      <c r="W131" s="346" t="str" cm="1">
        <f t="array" ref="W131">IFERROR(INDEX('Offer Statistics'!$AM$2:$AM$350,MATCH(1,($B131='Offer Statistics'!$AK$2:$AK$350)*($B$11='Offer Statistics'!$AL$2:$AL$350),0)),"/")</f>
        <v>/</v>
      </c>
      <c r="X131" s="346" t="str" cm="1">
        <f t="array" ref="X131">IFERROR(INDEX('Offer Statistics'!$AU$2:$AU$350,MATCH(1,($B131='Offer Statistics'!$AK$2:$AK$350)*($B$11='Offer Statistics'!$AL$2:$AL$350),0)),"/")</f>
        <v>/</v>
      </c>
      <c r="Y131" s="346" t="str">
        <f t="shared" si="112"/>
        <v>新科目</v>
      </c>
      <c r="Z131" s="346" t="s">
        <v>1046</v>
      </c>
      <c r="AA131" s="346" t="str">
        <f>入學要求!AF143</f>
        <v>/</v>
      </c>
      <c r="AB131" s="346" t="str">
        <f>入學要求!AG143</f>
        <v>/</v>
      </c>
      <c r="AC131" s="346" t="s">
        <v>785</v>
      </c>
      <c r="AD131" s="51"/>
      <c r="AE131" s="51"/>
      <c r="AF131" s="333" t="s">
        <v>324</v>
      </c>
      <c r="AG131" s="333" t="s">
        <v>324</v>
      </c>
      <c r="AH131" s="426" t="s">
        <v>2359</v>
      </c>
      <c r="AI131" s="426" t="s">
        <v>2344</v>
      </c>
      <c r="AJ131" s="426" t="s">
        <v>2337</v>
      </c>
      <c r="AK131" s="346" t="s">
        <v>324</v>
      </c>
      <c r="AL131" s="346" t="s">
        <v>324</v>
      </c>
      <c r="AM131" s="346" t="s">
        <v>324</v>
      </c>
      <c r="AN131" s="346" t="s">
        <v>324</v>
      </c>
      <c r="AO131" s="346" t="s">
        <v>324</v>
      </c>
      <c r="AP131" s="346" t="s">
        <v>324</v>
      </c>
      <c r="AQ131" s="346" t="s">
        <v>324</v>
      </c>
      <c r="AR131" s="346" t="s">
        <v>324</v>
      </c>
      <c r="AS131" s="346"/>
      <c r="AT131" s="93" t="s">
        <v>716</v>
      </c>
      <c r="AV131" s="93" t="s">
        <v>713</v>
      </c>
      <c r="AW131" s="93" t="s">
        <v>324</v>
      </c>
      <c r="AX131" s="93" t="s">
        <v>324</v>
      </c>
      <c r="AY131" s="93" t="s">
        <v>324</v>
      </c>
      <c r="BQ131" s="365">
        <f>IFERROR(BI131+0.00000000004,0)</f>
        <v>3.9999999999999998E-11</v>
      </c>
      <c r="BR131" s="365">
        <f>IFERROR(BJ131+0.00000000002,0)</f>
        <v>1.9999999999999999E-11</v>
      </c>
      <c r="BS131" s="365">
        <f>IFERROR(BK131+0.00000000003,0)</f>
        <v>3E-11</v>
      </c>
      <c r="BT131" s="365"/>
      <c r="BU131" s="365">
        <f>IFERROR(BM131+0.00000000005,0)</f>
        <v>5.0000000000000002E-11</v>
      </c>
      <c r="BV131" s="365">
        <f>IFERROR(BN131+0.00000000006,0)</f>
        <v>6E-11</v>
      </c>
      <c r="BW131" s="365">
        <f>IFERROR(BO131+0.00000000007,0)</f>
        <v>7.0000000000000004E-11</v>
      </c>
      <c r="BX131" s="365">
        <f>IFERROR(BP131+0.00000000008,0)</f>
        <v>7.9999999999999995E-11</v>
      </c>
      <c r="BY131" s="93">
        <f t="shared" ref="BY131:CF131" si="209">AZ131*BQ131</f>
        <v>0</v>
      </c>
      <c r="BZ131" s="93">
        <f t="shared" si="209"/>
        <v>0</v>
      </c>
      <c r="CA131" s="93">
        <f t="shared" si="209"/>
        <v>0</v>
      </c>
      <c r="CC131" s="93">
        <f t="shared" si="209"/>
        <v>0</v>
      </c>
      <c r="CD131" s="93">
        <f t="shared" si="209"/>
        <v>0</v>
      </c>
      <c r="CE131" s="93">
        <f t="shared" si="209"/>
        <v>0</v>
      </c>
      <c r="CF131" s="93">
        <f t="shared" si="209"/>
        <v>0</v>
      </c>
      <c r="CG131" s="93" t="b">
        <f t="shared" si="195"/>
        <v>0</v>
      </c>
      <c r="CH131" s="93" t="b">
        <f t="shared" si="196"/>
        <v>0</v>
      </c>
      <c r="CI131" s="93" t="b">
        <f t="shared" si="197"/>
        <v>0</v>
      </c>
      <c r="CK131" s="93" t="b">
        <f t="shared" si="198"/>
        <v>0</v>
      </c>
      <c r="CL131" s="93" t="b">
        <f t="shared" si="199"/>
        <v>0</v>
      </c>
      <c r="CM131" s="93" t="b">
        <f t="shared" si="200"/>
        <v>0</v>
      </c>
      <c r="CN131" s="93" t="b">
        <f t="shared" si="201"/>
        <v>0</v>
      </c>
      <c r="DF131" s="206">
        <f>IFERROR(CX131+0.00000000001,0)</f>
        <v>9.9999999999999994E-12</v>
      </c>
      <c r="DG131" s="206">
        <f>IFERROR(CY131+0.00000000002,0)</f>
        <v>1.9999999999999999E-11</v>
      </c>
      <c r="DH131" s="206">
        <f>IFERROR(CZ131+0.00000000003,0)</f>
        <v>3E-11</v>
      </c>
      <c r="DI131" s="206"/>
      <c r="DJ131" s="206">
        <f>IFERROR(DB131+0.00000000005,0)</f>
        <v>5.0000000000000002E-11</v>
      </c>
      <c r="DK131" s="206">
        <f>IFERROR(DC131+0.00000000006,0)</f>
        <v>6E-11</v>
      </c>
      <c r="DL131" s="206">
        <f>IFERROR(DD131+0.00000000007,0)</f>
        <v>7.0000000000000004E-11</v>
      </c>
      <c r="DM131" s="206">
        <f>IFERROR(DE131+0.00000000008,0)</f>
        <v>7.9999999999999995E-11</v>
      </c>
      <c r="DN131" s="93">
        <f t="shared" ref="DN131:DU131" si="210">CO131*DF131</f>
        <v>0</v>
      </c>
      <c r="DO131" s="93">
        <f t="shared" si="210"/>
        <v>0</v>
      </c>
      <c r="DP131" s="93">
        <f t="shared" si="210"/>
        <v>0</v>
      </c>
      <c r="DR131" s="93">
        <f t="shared" si="210"/>
        <v>0</v>
      </c>
      <c r="DS131" s="93">
        <f t="shared" si="210"/>
        <v>0</v>
      </c>
      <c r="DT131" s="93">
        <f t="shared" si="210"/>
        <v>0</v>
      </c>
      <c r="DU131" s="93">
        <f t="shared" si="210"/>
        <v>0</v>
      </c>
      <c r="DV131" s="93" t="b">
        <f t="shared" si="202"/>
        <v>0</v>
      </c>
      <c r="DW131" s="93" t="b">
        <f t="shared" si="203"/>
        <v>0</v>
      </c>
      <c r="DX131" s="93" t="b">
        <f t="shared" si="204"/>
        <v>0</v>
      </c>
      <c r="DZ131" s="93" t="b">
        <f t="shared" si="205"/>
        <v>0</v>
      </c>
      <c r="EA131" s="93" t="b">
        <f t="shared" si="206"/>
        <v>0</v>
      </c>
      <c r="EB131" s="93" t="b">
        <f t="shared" si="207"/>
        <v>0</v>
      </c>
      <c r="EC131" s="93" t="b">
        <f t="shared" si="208"/>
        <v>0</v>
      </c>
      <c r="ED131" s="93" t="s">
        <v>394</v>
      </c>
      <c r="EE131" s="93" t="s">
        <v>394</v>
      </c>
      <c r="EF131" s="93" t="s">
        <v>394</v>
      </c>
      <c r="EH131" s="93" t="s">
        <v>394</v>
      </c>
      <c r="EI131" s="93" t="s">
        <v>394</v>
      </c>
      <c r="EJ131" s="93" t="s">
        <v>394</v>
      </c>
      <c r="EK131" s="93" t="s">
        <v>394</v>
      </c>
      <c r="EL131" s="93" t="s">
        <v>394</v>
      </c>
      <c r="EM131" s="93" t="s">
        <v>394</v>
      </c>
      <c r="EN131" s="93" t="s">
        <v>394</v>
      </c>
      <c r="EP131" s="93" t="s">
        <v>394</v>
      </c>
      <c r="EQ131" s="93" t="s">
        <v>394</v>
      </c>
      <c r="ER131" s="93" t="s">
        <v>394</v>
      </c>
      <c r="ES131" s="93" t="s">
        <v>394</v>
      </c>
      <c r="FB131" s="93" t="s">
        <v>394</v>
      </c>
      <c r="FC131" s="93" t="s">
        <v>394</v>
      </c>
      <c r="FD131" s="93" t="s">
        <v>394</v>
      </c>
      <c r="FE131" s="93" t="s">
        <v>394</v>
      </c>
      <c r="FF131" s="93" t="s">
        <v>394</v>
      </c>
      <c r="FG131" s="93" t="s">
        <v>394</v>
      </c>
      <c r="FH131" s="93" t="s">
        <v>394</v>
      </c>
      <c r="FI131" s="93" t="s">
        <v>394</v>
      </c>
      <c r="FJ131" s="93" t="s">
        <v>394</v>
      </c>
      <c r="FK131" s="93" t="s">
        <v>394</v>
      </c>
      <c r="FL131" s="93" t="s">
        <v>394</v>
      </c>
      <c r="FM131" s="93" t="s">
        <v>394</v>
      </c>
      <c r="FN131" s="93" t="s">
        <v>394</v>
      </c>
      <c r="FO131" s="93" t="s">
        <v>394</v>
      </c>
      <c r="FP131" s="93" t="s">
        <v>394</v>
      </c>
      <c r="FQ131" s="93" t="s">
        <v>394</v>
      </c>
    </row>
    <row r="132" spans="1:173" s="93" customFormat="1">
      <c r="A132" s="335" t="s">
        <v>1120</v>
      </c>
      <c r="B132" s="346" t="s">
        <v>1120</v>
      </c>
      <c r="C132" s="346" t="s">
        <v>225</v>
      </c>
      <c r="D132" s="346" t="s">
        <v>1094</v>
      </c>
      <c r="E132" s="346" t="s">
        <v>2770</v>
      </c>
      <c r="F132" s="424" t="s">
        <v>785</v>
      </c>
      <c r="G132" s="346">
        <v>300.89999999999998</v>
      </c>
      <c r="H132" s="346" t="s">
        <v>324</v>
      </c>
      <c r="I132" s="346">
        <v>299</v>
      </c>
      <c r="J132" s="346">
        <v>290</v>
      </c>
      <c r="N132" s="346"/>
      <c r="O132" s="346"/>
      <c r="P132" s="346" t="s">
        <v>3022</v>
      </c>
      <c r="Q132" s="346" t="s">
        <v>3026</v>
      </c>
      <c r="R132" s="346" t="s">
        <v>2337</v>
      </c>
      <c r="S132" s="346" t="s">
        <v>1122</v>
      </c>
      <c r="T132" s="346" t="s">
        <v>1046</v>
      </c>
      <c r="U132" s="346">
        <v>60</v>
      </c>
      <c r="V132" s="346" cm="1">
        <f t="array" ref="V132">IFERROR(INDEX('Offer Statistics'!$AZ$2:$AZ$350,MATCH(1,($B132='Offer Statistics'!$AK$2:$AK$350)*($B$11='Offer Statistics'!$AL$2:$AL$350),0)),"/")</f>
        <v>56</v>
      </c>
      <c r="W132" s="346" cm="1">
        <f t="array" ref="W132">IFERROR(INDEX('Offer Statistics'!$AM$2:$AM$350,MATCH(1,($B132='Offer Statistics'!$AK$2:$AK$350)*($B$11='Offer Statistics'!$AL$2:$AL$350),0)),"/")</f>
        <v>313</v>
      </c>
      <c r="X132" s="346" cm="1">
        <f t="array" ref="X132">IFERROR(INDEX('Offer Statistics'!$AU$2:$AU$350,MATCH(1,($B132='Offer Statistics'!$AK$2:$AK$350)*($B$11='Offer Statistics'!$AL$2:$AL$350),0)),"/")</f>
        <v>54</v>
      </c>
      <c r="Y132" s="346">
        <f t="shared" si="112"/>
        <v>5.7962962962962967</v>
      </c>
      <c r="Z132" s="346" t="s">
        <v>1046</v>
      </c>
      <c r="AA132" s="346" t="str">
        <f>入學要求!AF144</f>
        <v>/</v>
      </c>
      <c r="AB132" s="346" t="str">
        <f>入學要求!AG144</f>
        <v>/</v>
      </c>
      <c r="AC132" s="424" t="s">
        <v>785</v>
      </c>
      <c r="AD132" s="334"/>
      <c r="AE132" s="51"/>
      <c r="AF132" s="333" t="s">
        <v>324</v>
      </c>
      <c r="AG132" s="333" t="s">
        <v>324</v>
      </c>
      <c r="AH132" s="426" t="s">
        <v>3022</v>
      </c>
      <c r="AI132" s="426" t="s">
        <v>3026</v>
      </c>
      <c r="AJ132" s="426" t="s">
        <v>2337</v>
      </c>
      <c r="AK132" s="346" t="s">
        <v>324</v>
      </c>
      <c r="AL132" s="346" t="s">
        <v>324</v>
      </c>
      <c r="AM132" s="346" t="s">
        <v>324</v>
      </c>
      <c r="AN132" s="346" t="s">
        <v>324</v>
      </c>
      <c r="AO132" s="346" t="s">
        <v>324</v>
      </c>
      <c r="AP132" s="346" t="s">
        <v>324</v>
      </c>
      <c r="AQ132" s="346" t="s">
        <v>324</v>
      </c>
      <c r="AR132" s="346" t="s">
        <v>324</v>
      </c>
      <c r="AS132" s="346"/>
      <c r="AT132" s="93" t="s">
        <v>716</v>
      </c>
      <c r="AV132" s="93" t="s">
        <v>713</v>
      </c>
      <c r="AW132" s="93" t="s">
        <v>324</v>
      </c>
      <c r="AX132" s="93" t="s">
        <v>324</v>
      </c>
      <c r="AY132" s="93" t="s">
        <v>324</v>
      </c>
      <c r="BQ132" s="365">
        <f t="shared" si="170"/>
        <v>3.9999999999999998E-11</v>
      </c>
      <c r="BR132" s="365">
        <f t="shared" si="171"/>
        <v>1.9999999999999999E-11</v>
      </c>
      <c r="BS132" s="365">
        <f t="shared" si="172"/>
        <v>3E-11</v>
      </c>
      <c r="BT132" s="365"/>
      <c r="BU132" s="365">
        <f t="shared" si="173"/>
        <v>5.0000000000000002E-11</v>
      </c>
      <c r="BV132" s="365">
        <f t="shared" si="174"/>
        <v>6E-11</v>
      </c>
      <c r="BW132" s="365">
        <f t="shared" si="175"/>
        <v>7.0000000000000004E-11</v>
      </c>
      <c r="BX132" s="365">
        <f t="shared" si="176"/>
        <v>7.9999999999999995E-11</v>
      </c>
      <c r="BY132" s="93">
        <f t="shared" si="155"/>
        <v>0</v>
      </c>
      <c r="BZ132" s="93">
        <f t="shared" si="156"/>
        <v>0</v>
      </c>
      <c r="CA132" s="93">
        <f t="shared" si="157"/>
        <v>0</v>
      </c>
      <c r="CC132" s="93">
        <f t="shared" si="158"/>
        <v>0</v>
      </c>
      <c r="CD132" s="93">
        <f t="shared" si="159"/>
        <v>0</v>
      </c>
      <c r="CE132" s="93">
        <f t="shared" si="160"/>
        <v>0</v>
      </c>
      <c r="CF132" s="93">
        <f t="shared" si="161"/>
        <v>0</v>
      </c>
      <c r="CG132" s="93" t="b">
        <f t="shared" si="195"/>
        <v>0</v>
      </c>
      <c r="CH132" s="93" t="b">
        <f t="shared" si="196"/>
        <v>0</v>
      </c>
      <c r="CI132" s="93" t="b">
        <f t="shared" si="197"/>
        <v>0</v>
      </c>
      <c r="CK132" s="93" t="b">
        <f t="shared" si="198"/>
        <v>0</v>
      </c>
      <c r="CL132" s="93" t="b">
        <f t="shared" si="199"/>
        <v>0</v>
      </c>
      <c r="CM132" s="93" t="b">
        <f t="shared" si="200"/>
        <v>0</v>
      </c>
      <c r="CN132" s="93" t="b">
        <f t="shared" si="201"/>
        <v>0</v>
      </c>
      <c r="DF132" s="206">
        <f t="shared" si="162"/>
        <v>9.9999999999999994E-12</v>
      </c>
      <c r="DG132" s="206">
        <f t="shared" si="177"/>
        <v>1.9999999999999999E-11</v>
      </c>
      <c r="DH132" s="206">
        <f t="shared" si="178"/>
        <v>3E-11</v>
      </c>
      <c r="DI132" s="206"/>
      <c r="DJ132" s="206">
        <f t="shared" si="179"/>
        <v>5.0000000000000002E-11</v>
      </c>
      <c r="DK132" s="206">
        <f t="shared" si="180"/>
        <v>6E-11</v>
      </c>
      <c r="DL132" s="206">
        <f t="shared" si="181"/>
        <v>7.0000000000000004E-11</v>
      </c>
      <c r="DM132" s="206">
        <f t="shared" si="182"/>
        <v>7.9999999999999995E-11</v>
      </c>
      <c r="DN132" s="93">
        <f t="shared" si="163"/>
        <v>0</v>
      </c>
      <c r="DO132" s="93">
        <f t="shared" si="164"/>
        <v>0</v>
      </c>
      <c r="DP132" s="93">
        <f t="shared" si="165"/>
        <v>0</v>
      </c>
      <c r="DR132" s="93">
        <f t="shared" si="166"/>
        <v>0</v>
      </c>
      <c r="DS132" s="93">
        <f t="shared" si="167"/>
        <v>0</v>
      </c>
      <c r="DT132" s="93">
        <f t="shared" si="168"/>
        <v>0</v>
      </c>
      <c r="DU132" s="93">
        <f t="shared" si="169"/>
        <v>0</v>
      </c>
      <c r="DV132" s="93" t="b">
        <f t="shared" si="202"/>
        <v>0</v>
      </c>
      <c r="DW132" s="93" t="b">
        <f t="shared" si="203"/>
        <v>0</v>
      </c>
      <c r="DX132" s="93" t="b">
        <f t="shared" si="204"/>
        <v>0</v>
      </c>
      <c r="DZ132" s="93" t="b">
        <f t="shared" si="205"/>
        <v>0</v>
      </c>
      <c r="EA132" s="93" t="b">
        <f t="shared" si="206"/>
        <v>0</v>
      </c>
      <c r="EB132" s="93" t="b">
        <f t="shared" si="207"/>
        <v>0</v>
      </c>
      <c r="EC132" s="93" t="b">
        <f t="shared" si="208"/>
        <v>0</v>
      </c>
      <c r="ED132" s="93" t="s">
        <v>394</v>
      </c>
      <c r="EE132" s="93" t="s">
        <v>394</v>
      </c>
      <c r="EF132" s="93" t="s">
        <v>394</v>
      </c>
      <c r="EH132" s="93" t="s">
        <v>394</v>
      </c>
      <c r="EI132" s="93" t="s">
        <v>394</v>
      </c>
      <c r="EJ132" s="93" t="s">
        <v>394</v>
      </c>
      <c r="EK132" s="93" t="s">
        <v>394</v>
      </c>
      <c r="EL132" s="93" t="s">
        <v>394</v>
      </c>
      <c r="EM132" s="93" t="s">
        <v>394</v>
      </c>
      <c r="EN132" s="93" t="s">
        <v>394</v>
      </c>
      <c r="EP132" s="93" t="s">
        <v>394</v>
      </c>
      <c r="EQ132" s="93" t="s">
        <v>394</v>
      </c>
      <c r="ER132" s="93" t="s">
        <v>394</v>
      </c>
      <c r="ES132" s="93" t="s">
        <v>394</v>
      </c>
      <c r="FB132" s="93" t="s">
        <v>394</v>
      </c>
      <c r="FC132" s="93" t="s">
        <v>394</v>
      </c>
      <c r="FD132" s="93" t="s">
        <v>394</v>
      </c>
      <c r="FE132" s="93" t="s">
        <v>394</v>
      </c>
      <c r="FF132" s="93" t="s">
        <v>394</v>
      </c>
      <c r="FG132" s="93" t="s">
        <v>394</v>
      </c>
      <c r="FH132" s="93" t="s">
        <v>394</v>
      </c>
      <c r="FI132" s="93" t="s">
        <v>394</v>
      </c>
      <c r="FJ132" s="93" t="s">
        <v>394</v>
      </c>
      <c r="FK132" s="93" t="s">
        <v>394</v>
      </c>
      <c r="FL132" s="93" t="s">
        <v>394</v>
      </c>
      <c r="FM132" s="93" t="s">
        <v>394</v>
      </c>
      <c r="FN132" s="93" t="s">
        <v>394</v>
      </c>
      <c r="FO132" s="93" t="s">
        <v>394</v>
      </c>
      <c r="FP132" s="93" t="s">
        <v>394</v>
      </c>
      <c r="FQ132" s="93" t="s">
        <v>394</v>
      </c>
    </row>
    <row r="133" spans="1:173" s="93" customFormat="1">
      <c r="A133" s="335" t="s">
        <v>1126</v>
      </c>
      <c r="B133" s="346" t="s">
        <v>1126</v>
      </c>
      <c r="C133" s="346" t="s">
        <v>225</v>
      </c>
      <c r="D133" s="346" t="s">
        <v>1127</v>
      </c>
      <c r="E133" s="346" t="s">
        <v>1128</v>
      </c>
      <c r="F133" s="424" t="s">
        <v>785</v>
      </c>
      <c r="G133" s="346">
        <v>188.2</v>
      </c>
      <c r="H133" s="346" t="s">
        <v>324</v>
      </c>
      <c r="I133" s="346">
        <v>176</v>
      </c>
      <c r="J133" s="346">
        <v>202.5</v>
      </c>
      <c r="N133" s="346"/>
      <c r="O133" s="346"/>
      <c r="P133" s="346" t="s">
        <v>2343</v>
      </c>
      <c r="Q133" s="346" t="s">
        <v>1130</v>
      </c>
      <c r="R133" s="346" t="s">
        <v>2337</v>
      </c>
      <c r="S133" s="346" t="s">
        <v>1129</v>
      </c>
      <c r="T133" s="346" t="s">
        <v>1046</v>
      </c>
      <c r="U133" s="346">
        <v>83</v>
      </c>
      <c r="V133" s="346" cm="1">
        <f t="array" ref="V133">IFERROR(INDEX('Offer Statistics'!$AZ$2:$AZ$350,MATCH(1,($B133='Offer Statistics'!$AK$2:$AK$350)*($B$11='Offer Statistics'!$AL$2:$AL$350),0)),"/")</f>
        <v>80</v>
      </c>
      <c r="W133" s="346" cm="1">
        <f t="array" ref="W133">IFERROR(INDEX('Offer Statistics'!$AM$2:$AM$350,MATCH(1,($B133='Offer Statistics'!$AK$2:$AK$350)*($B$11='Offer Statistics'!$AL$2:$AL$350),0)),"/")</f>
        <v>822</v>
      </c>
      <c r="X133" s="346" cm="1">
        <f t="array" ref="X133">IFERROR(INDEX('Offer Statistics'!$AU$2:$AU$350,MATCH(1,($B133='Offer Statistics'!$AK$2:$AK$350)*($B$11='Offer Statistics'!$AL$2:$AL$350),0)),"/")</f>
        <v>80</v>
      </c>
      <c r="Y133" s="346">
        <f t="shared" si="112"/>
        <v>10.275</v>
      </c>
      <c r="Z133" s="346" t="s">
        <v>1046</v>
      </c>
      <c r="AA133" s="346" t="str">
        <f>入學要求!AF145</f>
        <v>/</v>
      </c>
      <c r="AB133" s="346" t="str">
        <f>入學要求!AG145</f>
        <v>/</v>
      </c>
      <c r="AC133" s="346" t="s">
        <v>785</v>
      </c>
      <c r="AD133" s="334"/>
      <c r="AE133" s="51"/>
      <c r="AF133" s="333" t="s">
        <v>324</v>
      </c>
      <c r="AG133" s="369" t="s">
        <v>324</v>
      </c>
      <c r="AH133" s="426" t="s">
        <v>2343</v>
      </c>
      <c r="AI133" s="426" t="s">
        <v>1130</v>
      </c>
      <c r="AJ133" s="426" t="s">
        <v>2337</v>
      </c>
      <c r="AK133" s="346" t="s">
        <v>324</v>
      </c>
      <c r="AL133" s="346" t="s">
        <v>324</v>
      </c>
      <c r="AM133" s="346" t="s">
        <v>324</v>
      </c>
      <c r="AN133" s="346" t="s">
        <v>324</v>
      </c>
      <c r="AO133" s="346" t="s">
        <v>324</v>
      </c>
      <c r="AP133" s="346" t="s">
        <v>324</v>
      </c>
      <c r="AQ133" s="346" t="s">
        <v>2322</v>
      </c>
      <c r="AR133" s="346" t="s">
        <v>1041</v>
      </c>
      <c r="AS133" s="346" t="s">
        <v>992</v>
      </c>
      <c r="AT133" s="93" t="s">
        <v>716</v>
      </c>
      <c r="AV133" s="93" t="s">
        <v>713</v>
      </c>
      <c r="AW133" s="93" t="s">
        <v>324</v>
      </c>
      <c r="AX133" s="93" t="s">
        <v>324</v>
      </c>
      <c r="AY133" s="93" t="s">
        <v>324</v>
      </c>
      <c r="BQ133" s="365">
        <f t="shared" si="170"/>
        <v>3.9999999999999998E-11</v>
      </c>
      <c r="BR133" s="365">
        <f t="shared" si="171"/>
        <v>1.9999999999999999E-11</v>
      </c>
      <c r="BS133" s="365">
        <f t="shared" si="172"/>
        <v>3E-11</v>
      </c>
      <c r="BT133" s="365"/>
      <c r="BU133" s="365">
        <f t="shared" si="173"/>
        <v>5.0000000000000002E-11</v>
      </c>
      <c r="BV133" s="365">
        <f t="shared" si="174"/>
        <v>6E-11</v>
      </c>
      <c r="BW133" s="365">
        <f t="shared" si="175"/>
        <v>7.0000000000000004E-11</v>
      </c>
      <c r="BX133" s="365">
        <f t="shared" si="176"/>
        <v>7.9999999999999995E-11</v>
      </c>
      <c r="BY133" s="93">
        <f t="shared" si="155"/>
        <v>0</v>
      </c>
      <c r="BZ133" s="93">
        <f t="shared" si="156"/>
        <v>0</v>
      </c>
      <c r="CA133" s="93">
        <f t="shared" si="157"/>
        <v>0</v>
      </c>
      <c r="CC133" s="93">
        <f t="shared" si="158"/>
        <v>0</v>
      </c>
      <c r="CD133" s="93">
        <f t="shared" si="159"/>
        <v>0</v>
      </c>
      <c r="CE133" s="93">
        <f t="shared" si="160"/>
        <v>0</v>
      </c>
      <c r="CF133" s="93">
        <f t="shared" si="161"/>
        <v>0</v>
      </c>
      <c r="CG133" s="93" t="b">
        <f t="shared" si="195"/>
        <v>0</v>
      </c>
      <c r="CH133" s="93" t="b">
        <f t="shared" si="196"/>
        <v>0</v>
      </c>
      <c r="CI133" s="93" t="b">
        <f t="shared" si="197"/>
        <v>0</v>
      </c>
      <c r="CK133" s="93" t="b">
        <f t="shared" si="198"/>
        <v>0</v>
      </c>
      <c r="CL133" s="93" t="b">
        <f t="shared" si="199"/>
        <v>0</v>
      </c>
      <c r="CM133" s="93" t="b">
        <f t="shared" si="200"/>
        <v>0</v>
      </c>
      <c r="CN133" s="93" t="b">
        <f t="shared" si="201"/>
        <v>0</v>
      </c>
      <c r="DF133" s="206">
        <f t="shared" si="162"/>
        <v>9.9999999999999994E-12</v>
      </c>
      <c r="DG133" s="206">
        <f t="shared" si="177"/>
        <v>1.9999999999999999E-11</v>
      </c>
      <c r="DH133" s="206">
        <f t="shared" si="178"/>
        <v>3E-11</v>
      </c>
      <c r="DI133" s="206"/>
      <c r="DJ133" s="206">
        <f t="shared" si="179"/>
        <v>5.0000000000000002E-11</v>
      </c>
      <c r="DK133" s="206">
        <f t="shared" si="180"/>
        <v>6E-11</v>
      </c>
      <c r="DL133" s="206">
        <f t="shared" si="181"/>
        <v>7.0000000000000004E-11</v>
      </c>
      <c r="DM133" s="206">
        <f t="shared" si="182"/>
        <v>7.9999999999999995E-11</v>
      </c>
      <c r="DN133" s="93">
        <f t="shared" si="163"/>
        <v>0</v>
      </c>
      <c r="DO133" s="93">
        <f t="shared" si="164"/>
        <v>0</v>
      </c>
      <c r="DP133" s="93">
        <f t="shared" si="165"/>
        <v>0</v>
      </c>
      <c r="DR133" s="93">
        <f t="shared" si="166"/>
        <v>0</v>
      </c>
      <c r="DS133" s="93">
        <f t="shared" si="167"/>
        <v>0</v>
      </c>
      <c r="DT133" s="93">
        <f t="shared" si="168"/>
        <v>0</v>
      </c>
      <c r="DU133" s="93">
        <f t="shared" si="169"/>
        <v>0</v>
      </c>
      <c r="DV133" s="93" t="b">
        <f t="shared" si="202"/>
        <v>0</v>
      </c>
      <c r="DW133" s="93" t="b">
        <f t="shared" si="203"/>
        <v>0</v>
      </c>
      <c r="DX133" s="93" t="b">
        <f t="shared" si="204"/>
        <v>0</v>
      </c>
      <c r="DZ133" s="93" t="b">
        <f t="shared" si="205"/>
        <v>0</v>
      </c>
      <c r="EA133" s="93" t="b">
        <f t="shared" si="206"/>
        <v>0</v>
      </c>
      <c r="EB133" s="93" t="b">
        <f t="shared" si="207"/>
        <v>0</v>
      </c>
      <c r="EC133" s="93" t="b">
        <f t="shared" si="208"/>
        <v>0</v>
      </c>
      <c r="ED133" s="93" t="s">
        <v>394</v>
      </c>
      <c r="EE133" s="93" t="s">
        <v>394</v>
      </c>
      <c r="EF133" s="93" t="s">
        <v>394</v>
      </c>
      <c r="EH133" s="93" t="s">
        <v>394</v>
      </c>
      <c r="EI133" s="93" t="s">
        <v>394</v>
      </c>
      <c r="EJ133" s="93" t="s">
        <v>394</v>
      </c>
      <c r="EK133" s="93" t="s">
        <v>394</v>
      </c>
      <c r="EL133" s="93" t="s">
        <v>394</v>
      </c>
      <c r="EM133" s="93" t="s">
        <v>394</v>
      </c>
      <c r="EN133" s="93" t="s">
        <v>394</v>
      </c>
      <c r="EP133" s="93" t="s">
        <v>394</v>
      </c>
      <c r="EQ133" s="93" t="s">
        <v>394</v>
      </c>
      <c r="ER133" s="93" t="s">
        <v>394</v>
      </c>
      <c r="ES133" s="93" t="s">
        <v>394</v>
      </c>
      <c r="FB133" s="93" t="s">
        <v>394</v>
      </c>
      <c r="FC133" s="93" t="s">
        <v>394</v>
      </c>
      <c r="FD133" s="93" t="s">
        <v>394</v>
      </c>
      <c r="FE133" s="93" t="s">
        <v>394</v>
      </c>
      <c r="FF133" s="93" t="s">
        <v>394</v>
      </c>
      <c r="FG133" s="93" t="s">
        <v>394</v>
      </c>
      <c r="FH133" s="93" t="s">
        <v>394</v>
      </c>
      <c r="FI133" s="93" t="s">
        <v>394</v>
      </c>
      <c r="FJ133" s="93" t="s">
        <v>394</v>
      </c>
      <c r="FK133" s="93" t="s">
        <v>394</v>
      </c>
      <c r="FL133" s="93" t="s">
        <v>394</v>
      </c>
      <c r="FM133" s="93" t="s">
        <v>394</v>
      </c>
      <c r="FN133" s="93" t="s">
        <v>394</v>
      </c>
      <c r="FO133" s="93" t="s">
        <v>394</v>
      </c>
      <c r="FP133" s="93" t="s">
        <v>394</v>
      </c>
      <c r="FQ133" s="93" t="s">
        <v>394</v>
      </c>
    </row>
    <row r="134" spans="1:173" s="93" customFormat="1">
      <c r="A134" s="335" t="s">
        <v>1134</v>
      </c>
      <c r="B134" s="346" t="s">
        <v>1134</v>
      </c>
      <c r="C134" s="346" t="s">
        <v>225</v>
      </c>
      <c r="D134" s="346" t="s">
        <v>1094</v>
      </c>
      <c r="E134" s="346" t="s">
        <v>2771</v>
      </c>
      <c r="F134" s="424" t="s">
        <v>785</v>
      </c>
      <c r="G134" s="346">
        <v>325.8</v>
      </c>
      <c r="H134" s="346" t="s">
        <v>324</v>
      </c>
      <c r="I134" s="346">
        <v>320</v>
      </c>
      <c r="J134" s="346">
        <v>318.5</v>
      </c>
      <c r="N134" s="346"/>
      <c r="O134" s="346"/>
      <c r="P134" s="346" t="s">
        <v>2364</v>
      </c>
      <c r="Q134" s="346" t="s">
        <v>2332</v>
      </c>
      <c r="R134" s="346" t="s">
        <v>2337</v>
      </c>
      <c r="S134" s="346" t="s">
        <v>1136</v>
      </c>
      <c r="T134" s="346" t="s">
        <v>1046</v>
      </c>
      <c r="U134" s="346">
        <v>115</v>
      </c>
      <c r="V134" s="346" cm="1">
        <f t="array" ref="V134">IFERROR(INDEX('Offer Statistics'!$AZ$2:$AZ$350,MATCH(1,($B134='Offer Statistics'!$AK$2:$AK$350)*($B$11='Offer Statistics'!$AL$2:$AL$350),0)),"/")</f>
        <v>108</v>
      </c>
      <c r="W134" s="346" cm="1">
        <f t="array" ref="W134">IFERROR(INDEX('Offer Statistics'!$AM$2:$AM$350,MATCH(1,($B134='Offer Statistics'!$AK$2:$AK$350)*($B$11='Offer Statistics'!$AL$2:$AL$350),0)),"/")</f>
        <v>439</v>
      </c>
      <c r="X134" s="346" cm="1">
        <f t="array" ref="X134">IFERROR(INDEX('Offer Statistics'!$AU$2:$AU$350,MATCH(1,($B134='Offer Statistics'!$AK$2:$AK$350)*($B$11='Offer Statistics'!$AL$2:$AL$350),0)),"/")</f>
        <v>107</v>
      </c>
      <c r="Y134" s="346">
        <f t="shared" si="112"/>
        <v>4.1028037383177569</v>
      </c>
      <c r="Z134" s="346" t="s">
        <v>1046</v>
      </c>
      <c r="AA134" s="346" t="str">
        <f>入學要求!AF146</f>
        <v>/</v>
      </c>
      <c r="AB134" s="346" t="str">
        <f>入學要求!AG146</f>
        <v>/</v>
      </c>
      <c r="AC134" s="346" t="s">
        <v>785</v>
      </c>
      <c r="AD134" s="334"/>
      <c r="AE134" s="51"/>
      <c r="AF134" s="333" t="s">
        <v>324</v>
      </c>
      <c r="AG134" s="333" t="s">
        <v>324</v>
      </c>
      <c r="AH134" s="426" t="s">
        <v>2364</v>
      </c>
      <c r="AI134" s="426" t="s">
        <v>2332</v>
      </c>
      <c r="AJ134" s="426" t="s">
        <v>2337</v>
      </c>
      <c r="AK134" s="346" t="s">
        <v>324</v>
      </c>
      <c r="AL134" s="346" t="s">
        <v>324</v>
      </c>
      <c r="AM134" s="346" t="s">
        <v>324</v>
      </c>
      <c r="AN134" s="346" t="s">
        <v>324</v>
      </c>
      <c r="AO134" s="346" t="s">
        <v>324</v>
      </c>
      <c r="AP134" s="346" t="s">
        <v>324</v>
      </c>
      <c r="AQ134" s="346" t="s">
        <v>324</v>
      </c>
      <c r="AR134" s="346" t="s">
        <v>324</v>
      </c>
      <c r="AS134" s="346"/>
      <c r="AT134" s="93" t="s">
        <v>716</v>
      </c>
      <c r="AV134" s="93" t="s">
        <v>713</v>
      </c>
      <c r="AW134" s="93" t="s">
        <v>324</v>
      </c>
      <c r="AX134" s="93" t="s">
        <v>324</v>
      </c>
      <c r="AY134" s="93" t="s">
        <v>324</v>
      </c>
      <c r="BQ134" s="365">
        <f t="shared" si="170"/>
        <v>3.9999999999999998E-11</v>
      </c>
      <c r="BR134" s="365">
        <f t="shared" si="171"/>
        <v>1.9999999999999999E-11</v>
      </c>
      <c r="BS134" s="365">
        <f t="shared" si="172"/>
        <v>3E-11</v>
      </c>
      <c r="BT134" s="365"/>
      <c r="BU134" s="365">
        <f t="shared" si="173"/>
        <v>5.0000000000000002E-11</v>
      </c>
      <c r="BV134" s="365">
        <f t="shared" si="174"/>
        <v>6E-11</v>
      </c>
      <c r="BW134" s="365">
        <f t="shared" si="175"/>
        <v>7.0000000000000004E-11</v>
      </c>
      <c r="BX134" s="365">
        <f t="shared" si="176"/>
        <v>7.9999999999999995E-11</v>
      </c>
      <c r="BY134" s="93">
        <f t="shared" si="155"/>
        <v>0</v>
      </c>
      <c r="BZ134" s="93">
        <f t="shared" si="156"/>
        <v>0</v>
      </c>
      <c r="CA134" s="93">
        <f t="shared" si="157"/>
        <v>0</v>
      </c>
      <c r="CC134" s="93">
        <f t="shared" si="158"/>
        <v>0</v>
      </c>
      <c r="CD134" s="93">
        <f t="shared" si="159"/>
        <v>0</v>
      </c>
      <c r="CE134" s="93">
        <f t="shared" si="160"/>
        <v>0</v>
      </c>
      <c r="CF134" s="93">
        <f t="shared" si="161"/>
        <v>0</v>
      </c>
      <c r="CG134" s="93" t="b">
        <f t="shared" si="195"/>
        <v>0</v>
      </c>
      <c r="CH134" s="93" t="b">
        <f t="shared" si="196"/>
        <v>0</v>
      </c>
      <c r="CI134" s="93" t="b">
        <f t="shared" si="197"/>
        <v>0</v>
      </c>
      <c r="CK134" s="93" t="b">
        <f t="shared" si="198"/>
        <v>0</v>
      </c>
      <c r="CL134" s="93" t="b">
        <f t="shared" si="199"/>
        <v>0</v>
      </c>
      <c r="CM134" s="93" t="b">
        <f t="shared" si="200"/>
        <v>0</v>
      </c>
      <c r="CN134" s="93" t="b">
        <f t="shared" si="201"/>
        <v>0</v>
      </c>
      <c r="DF134" s="206">
        <f t="shared" si="162"/>
        <v>9.9999999999999994E-12</v>
      </c>
      <c r="DG134" s="206">
        <f t="shared" si="177"/>
        <v>1.9999999999999999E-11</v>
      </c>
      <c r="DH134" s="206">
        <f t="shared" si="178"/>
        <v>3E-11</v>
      </c>
      <c r="DI134" s="206"/>
      <c r="DJ134" s="206">
        <f t="shared" si="179"/>
        <v>5.0000000000000002E-11</v>
      </c>
      <c r="DK134" s="206">
        <f t="shared" si="180"/>
        <v>6E-11</v>
      </c>
      <c r="DL134" s="206">
        <f t="shared" si="181"/>
        <v>7.0000000000000004E-11</v>
      </c>
      <c r="DM134" s="206">
        <f t="shared" si="182"/>
        <v>7.9999999999999995E-11</v>
      </c>
      <c r="DN134" s="93">
        <f t="shared" si="163"/>
        <v>0</v>
      </c>
      <c r="DO134" s="93">
        <f t="shared" si="164"/>
        <v>0</v>
      </c>
      <c r="DP134" s="93">
        <f t="shared" si="165"/>
        <v>0</v>
      </c>
      <c r="DR134" s="93">
        <f t="shared" si="166"/>
        <v>0</v>
      </c>
      <c r="DS134" s="93">
        <f t="shared" si="167"/>
        <v>0</v>
      </c>
      <c r="DT134" s="93">
        <f t="shared" si="168"/>
        <v>0</v>
      </c>
      <c r="DU134" s="93">
        <f t="shared" si="169"/>
        <v>0</v>
      </c>
      <c r="DV134" s="93" t="b">
        <f t="shared" si="202"/>
        <v>0</v>
      </c>
      <c r="DW134" s="93" t="b">
        <f t="shared" si="203"/>
        <v>0</v>
      </c>
      <c r="DX134" s="93" t="b">
        <f t="shared" si="204"/>
        <v>0</v>
      </c>
      <c r="DZ134" s="93" t="b">
        <f t="shared" si="205"/>
        <v>0</v>
      </c>
      <c r="EA134" s="93" t="b">
        <f t="shared" si="206"/>
        <v>0</v>
      </c>
      <c r="EB134" s="93" t="b">
        <f t="shared" si="207"/>
        <v>0</v>
      </c>
      <c r="EC134" s="93" t="b">
        <f t="shared" si="208"/>
        <v>0</v>
      </c>
      <c r="ED134" s="93" t="s">
        <v>394</v>
      </c>
      <c r="EE134" s="93" t="s">
        <v>394</v>
      </c>
      <c r="EF134" s="93" t="s">
        <v>394</v>
      </c>
      <c r="EH134" s="93" t="s">
        <v>394</v>
      </c>
      <c r="EI134" s="93" t="s">
        <v>394</v>
      </c>
      <c r="EJ134" s="93" t="s">
        <v>394</v>
      </c>
      <c r="EK134" s="93" t="s">
        <v>394</v>
      </c>
      <c r="EL134" s="93" t="s">
        <v>394</v>
      </c>
      <c r="EM134" s="93" t="s">
        <v>394</v>
      </c>
      <c r="EN134" s="93" t="s">
        <v>394</v>
      </c>
      <c r="EP134" s="93" t="s">
        <v>394</v>
      </c>
      <c r="EQ134" s="93" t="s">
        <v>394</v>
      </c>
      <c r="ER134" s="93" t="s">
        <v>394</v>
      </c>
      <c r="ES134" s="93" t="s">
        <v>394</v>
      </c>
      <c r="FB134" s="93" t="s">
        <v>394</v>
      </c>
      <c r="FC134" s="93" t="s">
        <v>394</v>
      </c>
      <c r="FD134" s="93" t="s">
        <v>394</v>
      </c>
      <c r="FE134" s="93" t="s">
        <v>394</v>
      </c>
      <c r="FF134" s="93" t="s">
        <v>394</v>
      </c>
      <c r="FG134" s="93" t="s">
        <v>394</v>
      </c>
      <c r="FH134" s="93" t="s">
        <v>394</v>
      </c>
      <c r="FI134" s="93" t="s">
        <v>394</v>
      </c>
      <c r="FJ134" s="93" t="s">
        <v>394</v>
      </c>
      <c r="FK134" s="93" t="s">
        <v>394</v>
      </c>
      <c r="FL134" s="93" t="s">
        <v>394</v>
      </c>
      <c r="FM134" s="93" t="s">
        <v>394</v>
      </c>
      <c r="FN134" s="93" t="s">
        <v>394</v>
      </c>
      <c r="FO134" s="93" t="s">
        <v>394</v>
      </c>
      <c r="FP134" s="93" t="s">
        <v>394</v>
      </c>
      <c r="FQ134" s="93" t="s">
        <v>394</v>
      </c>
    </row>
    <row r="135" spans="1:173" s="93" customFormat="1">
      <c r="A135" s="335" t="s">
        <v>1137</v>
      </c>
      <c r="B135" s="346" t="s">
        <v>1137</v>
      </c>
      <c r="C135" s="346" t="s">
        <v>225</v>
      </c>
      <c r="D135" s="346" t="s">
        <v>1094</v>
      </c>
      <c r="E135" s="346" t="s">
        <v>2772</v>
      </c>
      <c r="F135" s="431" t="s">
        <v>785</v>
      </c>
      <c r="G135" s="346">
        <v>281.8</v>
      </c>
      <c r="H135" s="346" t="s">
        <v>324</v>
      </c>
      <c r="I135" s="346">
        <v>293</v>
      </c>
      <c r="J135" s="346">
        <v>273.5</v>
      </c>
      <c r="N135" s="346"/>
      <c r="O135" s="346"/>
      <c r="P135" s="346" t="s">
        <v>2365</v>
      </c>
      <c r="Q135" s="346" t="s">
        <v>1108</v>
      </c>
      <c r="R135" s="346" t="s">
        <v>2331</v>
      </c>
      <c r="S135" s="346" t="s">
        <v>1139</v>
      </c>
      <c r="T135" s="346" t="s">
        <v>1046</v>
      </c>
      <c r="U135" s="346">
        <v>100</v>
      </c>
      <c r="V135" s="346" cm="1">
        <f t="array" ref="V135">IFERROR(INDEX('Offer Statistics'!$AZ$2:$AZ$350,MATCH(1,($B135='Offer Statistics'!$AK$2:$AK$350)*($B$11='Offer Statistics'!$AL$2:$AL$350),0)),"/")</f>
        <v>78</v>
      </c>
      <c r="W135" s="346" cm="1">
        <f t="array" ref="W135">IFERROR(INDEX('Offer Statistics'!$AM$2:$AM$350,MATCH(1,($B135='Offer Statistics'!$AK$2:$AK$350)*($B$11='Offer Statistics'!$AL$2:$AL$350),0)),"/")</f>
        <v>343</v>
      </c>
      <c r="X135" s="346" cm="1">
        <f t="array" ref="X135">IFERROR(INDEX('Offer Statistics'!$AU$2:$AU$350,MATCH(1,($B135='Offer Statistics'!$AK$2:$AK$350)*($B$11='Offer Statistics'!$AL$2:$AL$350),0)),"/")</f>
        <v>78</v>
      </c>
      <c r="Y135" s="346">
        <f t="shared" si="112"/>
        <v>4.3974358974358978</v>
      </c>
      <c r="Z135" s="346" t="s">
        <v>1046</v>
      </c>
      <c r="AA135" s="346" t="str">
        <f>入學要求!AF148</f>
        <v>/</v>
      </c>
      <c r="AB135" s="346" t="str">
        <f>入學要求!AG148</f>
        <v>/</v>
      </c>
      <c r="AC135" s="346" t="s">
        <v>785</v>
      </c>
      <c r="AD135" s="334"/>
      <c r="AE135" s="51"/>
      <c r="AF135" s="333" t="s">
        <v>324</v>
      </c>
      <c r="AG135" s="333" t="s">
        <v>324</v>
      </c>
      <c r="AH135" s="431" t="s">
        <v>3009</v>
      </c>
      <c r="AI135" s="426" t="s">
        <v>1108</v>
      </c>
      <c r="AJ135" s="426" t="s">
        <v>2331</v>
      </c>
      <c r="AK135" s="346" t="s">
        <v>324</v>
      </c>
      <c r="AL135" s="346" t="s">
        <v>324</v>
      </c>
      <c r="AM135" s="346" t="s">
        <v>324</v>
      </c>
      <c r="AN135" s="346" t="s">
        <v>324</v>
      </c>
      <c r="AO135" s="346" t="s">
        <v>324</v>
      </c>
      <c r="AP135" s="346" t="s">
        <v>324</v>
      </c>
      <c r="AQ135" s="346" t="s">
        <v>324</v>
      </c>
      <c r="AR135" s="346" t="s">
        <v>324</v>
      </c>
      <c r="AS135" s="346"/>
      <c r="AT135" s="93" t="s">
        <v>716</v>
      </c>
      <c r="AV135" s="93" t="s">
        <v>713</v>
      </c>
      <c r="AW135" s="93" t="s">
        <v>324</v>
      </c>
      <c r="AX135" s="93" t="s">
        <v>324</v>
      </c>
      <c r="AY135" s="93" t="s">
        <v>324</v>
      </c>
      <c r="BQ135" s="365">
        <f t="shared" si="170"/>
        <v>3.9999999999999998E-11</v>
      </c>
      <c r="BR135" s="365">
        <f t="shared" si="171"/>
        <v>1.9999999999999999E-11</v>
      </c>
      <c r="BS135" s="365">
        <f t="shared" si="172"/>
        <v>3E-11</v>
      </c>
      <c r="BT135" s="365"/>
      <c r="BU135" s="365">
        <f t="shared" si="173"/>
        <v>5.0000000000000002E-11</v>
      </c>
      <c r="BV135" s="365">
        <f t="shared" si="174"/>
        <v>6E-11</v>
      </c>
      <c r="BW135" s="365">
        <f t="shared" si="175"/>
        <v>7.0000000000000004E-11</v>
      </c>
      <c r="BX135" s="365">
        <f t="shared" si="176"/>
        <v>7.9999999999999995E-11</v>
      </c>
      <c r="BY135" s="93">
        <f t="shared" si="155"/>
        <v>0</v>
      </c>
      <c r="BZ135" s="93">
        <f t="shared" si="156"/>
        <v>0</v>
      </c>
      <c r="CA135" s="93">
        <f t="shared" si="157"/>
        <v>0</v>
      </c>
      <c r="CC135" s="93">
        <f t="shared" si="158"/>
        <v>0</v>
      </c>
      <c r="CD135" s="93">
        <f t="shared" si="159"/>
        <v>0</v>
      </c>
      <c r="CE135" s="93">
        <f t="shared" si="160"/>
        <v>0</v>
      </c>
      <c r="CF135" s="93">
        <f t="shared" si="161"/>
        <v>0</v>
      </c>
      <c r="CG135" s="93" t="b">
        <f t="shared" si="195"/>
        <v>0</v>
      </c>
      <c r="CH135" s="93" t="b">
        <f t="shared" si="196"/>
        <v>0</v>
      </c>
      <c r="CI135" s="93" t="b">
        <f t="shared" si="197"/>
        <v>0</v>
      </c>
      <c r="CK135" s="93" t="b">
        <f t="shared" si="198"/>
        <v>0</v>
      </c>
      <c r="CL135" s="93" t="b">
        <f t="shared" si="199"/>
        <v>0</v>
      </c>
      <c r="CM135" s="93" t="b">
        <f t="shared" si="200"/>
        <v>0</v>
      </c>
      <c r="CN135" s="93" t="b">
        <f t="shared" si="201"/>
        <v>0</v>
      </c>
      <c r="DF135" s="206">
        <f t="shared" si="162"/>
        <v>9.9999999999999994E-12</v>
      </c>
      <c r="DG135" s="206">
        <f t="shared" si="177"/>
        <v>1.9999999999999999E-11</v>
      </c>
      <c r="DH135" s="206">
        <f t="shared" si="178"/>
        <v>3E-11</v>
      </c>
      <c r="DI135" s="206"/>
      <c r="DJ135" s="206">
        <f t="shared" si="179"/>
        <v>5.0000000000000002E-11</v>
      </c>
      <c r="DK135" s="206">
        <f t="shared" si="180"/>
        <v>6E-11</v>
      </c>
      <c r="DL135" s="206">
        <f t="shared" si="181"/>
        <v>7.0000000000000004E-11</v>
      </c>
      <c r="DM135" s="206">
        <f t="shared" si="182"/>
        <v>7.9999999999999995E-11</v>
      </c>
      <c r="DN135" s="93">
        <f t="shared" si="163"/>
        <v>0</v>
      </c>
      <c r="DO135" s="93">
        <f t="shared" si="164"/>
        <v>0</v>
      </c>
      <c r="DP135" s="93">
        <f t="shared" si="165"/>
        <v>0</v>
      </c>
      <c r="DR135" s="93">
        <f t="shared" si="166"/>
        <v>0</v>
      </c>
      <c r="DS135" s="93">
        <f t="shared" si="167"/>
        <v>0</v>
      </c>
      <c r="DT135" s="93">
        <f t="shared" si="168"/>
        <v>0</v>
      </c>
      <c r="DU135" s="93">
        <f t="shared" si="169"/>
        <v>0</v>
      </c>
      <c r="DV135" s="93" t="b">
        <f t="shared" si="202"/>
        <v>0</v>
      </c>
      <c r="DW135" s="93" t="b">
        <f t="shared" si="203"/>
        <v>0</v>
      </c>
      <c r="DX135" s="93" t="b">
        <f t="shared" si="204"/>
        <v>0</v>
      </c>
      <c r="DZ135" s="93" t="b">
        <f t="shared" si="205"/>
        <v>0</v>
      </c>
      <c r="EA135" s="93" t="b">
        <f t="shared" si="206"/>
        <v>0</v>
      </c>
      <c r="EB135" s="93" t="b">
        <f t="shared" si="207"/>
        <v>0</v>
      </c>
      <c r="EC135" s="93" t="b">
        <f t="shared" si="208"/>
        <v>0</v>
      </c>
      <c r="ED135" s="93" t="s">
        <v>394</v>
      </c>
      <c r="EE135" s="93" t="s">
        <v>394</v>
      </c>
      <c r="EF135" s="93" t="s">
        <v>394</v>
      </c>
      <c r="EH135" s="93" t="s">
        <v>394</v>
      </c>
      <c r="EI135" s="93" t="s">
        <v>394</v>
      </c>
      <c r="EJ135" s="93" t="s">
        <v>394</v>
      </c>
      <c r="EK135" s="93" t="s">
        <v>394</v>
      </c>
      <c r="EL135" s="93" t="s">
        <v>394</v>
      </c>
      <c r="EM135" s="93" t="s">
        <v>394</v>
      </c>
      <c r="EN135" s="93" t="s">
        <v>394</v>
      </c>
      <c r="EP135" s="93" t="s">
        <v>394</v>
      </c>
      <c r="EQ135" s="93" t="s">
        <v>394</v>
      </c>
      <c r="ER135" s="93" t="s">
        <v>394</v>
      </c>
      <c r="ES135" s="93" t="s">
        <v>394</v>
      </c>
      <c r="FB135" s="93" t="s">
        <v>394</v>
      </c>
      <c r="FC135" s="93" t="s">
        <v>394</v>
      </c>
      <c r="FD135" s="93" t="s">
        <v>394</v>
      </c>
      <c r="FE135" s="93" t="s">
        <v>394</v>
      </c>
      <c r="FF135" s="93" t="s">
        <v>394</v>
      </c>
      <c r="FG135" s="93" t="s">
        <v>394</v>
      </c>
      <c r="FH135" s="93" t="s">
        <v>394</v>
      </c>
      <c r="FI135" s="93" t="s">
        <v>394</v>
      </c>
      <c r="FJ135" s="93" t="s">
        <v>394</v>
      </c>
      <c r="FK135" s="93" t="s">
        <v>394</v>
      </c>
      <c r="FL135" s="93" t="s">
        <v>394</v>
      </c>
      <c r="FM135" s="93" t="s">
        <v>394</v>
      </c>
      <c r="FN135" s="93" t="s">
        <v>394</v>
      </c>
      <c r="FO135" s="93" t="s">
        <v>394</v>
      </c>
      <c r="FP135" s="93" t="s">
        <v>394</v>
      </c>
      <c r="FQ135" s="93" t="s">
        <v>394</v>
      </c>
    </row>
    <row r="136" spans="1:173" s="93" customFormat="1">
      <c r="A136" s="335" t="s">
        <v>1140</v>
      </c>
      <c r="B136" s="346" t="s">
        <v>1140</v>
      </c>
      <c r="C136" s="346" t="s">
        <v>225</v>
      </c>
      <c r="D136" s="346" t="s">
        <v>1094</v>
      </c>
      <c r="E136" s="346" t="s">
        <v>2169</v>
      </c>
      <c r="F136" s="431" t="s">
        <v>785</v>
      </c>
      <c r="G136" s="346">
        <v>294.7</v>
      </c>
      <c r="H136" s="346" t="s">
        <v>324</v>
      </c>
      <c r="I136" s="346">
        <v>293</v>
      </c>
      <c r="J136" s="346">
        <v>284</v>
      </c>
      <c r="N136" s="346"/>
      <c r="O136" s="346"/>
      <c r="P136" s="346" t="s">
        <v>3018</v>
      </c>
      <c r="Q136" s="346" t="s">
        <v>3027</v>
      </c>
      <c r="R136" s="346" t="s">
        <v>2337</v>
      </c>
      <c r="S136" s="346" t="s">
        <v>1142</v>
      </c>
      <c r="T136" s="346" t="s">
        <v>1046</v>
      </c>
      <c r="U136" s="346">
        <v>150</v>
      </c>
      <c r="V136" s="346" cm="1">
        <f t="array" ref="V136">IFERROR(INDEX('Offer Statistics'!$AZ$2:$AZ$350,MATCH(1,($B136='Offer Statistics'!$AK$2:$AK$350)*($B$11='Offer Statistics'!$AL$2:$AL$350),0)),"/")</f>
        <v>128</v>
      </c>
      <c r="W136" s="346" cm="1">
        <f t="array" ref="W136">IFERROR(INDEX('Offer Statistics'!$AM$2:$AM$350,MATCH(1,($B136='Offer Statistics'!$AK$2:$AK$350)*($B$11='Offer Statistics'!$AL$2:$AL$350),0)),"/")</f>
        <v>409</v>
      </c>
      <c r="X136" s="346" cm="1">
        <f t="array" ref="X136">IFERROR(INDEX('Offer Statistics'!$AU$2:$AU$350,MATCH(1,($B136='Offer Statistics'!$AK$2:$AK$350)*($B$11='Offer Statistics'!$AL$2:$AL$350),0)),"/")</f>
        <v>124</v>
      </c>
      <c r="Y136" s="346">
        <f t="shared" si="112"/>
        <v>3.2983870967741935</v>
      </c>
      <c r="Z136" s="346" t="s">
        <v>1046</v>
      </c>
      <c r="AA136" s="346" t="str">
        <f>入學要求!AF151</f>
        <v>/</v>
      </c>
      <c r="AB136" s="346" t="str">
        <f>入學要求!AG151</f>
        <v>/</v>
      </c>
      <c r="AC136" s="346" t="s">
        <v>785</v>
      </c>
      <c r="AD136" s="334"/>
      <c r="AE136" s="51"/>
      <c r="AF136" s="333" t="s">
        <v>324</v>
      </c>
      <c r="AG136" s="333" t="s">
        <v>324</v>
      </c>
      <c r="AH136" s="431" t="s">
        <v>3010</v>
      </c>
      <c r="AI136" s="431" t="s">
        <v>3011</v>
      </c>
      <c r="AJ136" s="426" t="s">
        <v>2337</v>
      </c>
      <c r="AK136" s="346" t="s">
        <v>324</v>
      </c>
      <c r="AL136" s="346" t="s">
        <v>324</v>
      </c>
      <c r="AM136" s="346" t="s">
        <v>324</v>
      </c>
      <c r="AN136" s="346" t="s">
        <v>324</v>
      </c>
      <c r="AO136" s="346" t="s">
        <v>324</v>
      </c>
      <c r="AP136" s="346" t="s">
        <v>324</v>
      </c>
      <c r="AQ136" s="346" t="s">
        <v>324</v>
      </c>
      <c r="AR136" s="346" t="s">
        <v>324</v>
      </c>
      <c r="AS136" s="346"/>
      <c r="AT136" s="93" t="s">
        <v>716</v>
      </c>
      <c r="AV136" s="93" t="s">
        <v>713</v>
      </c>
      <c r="AW136" s="93" t="s">
        <v>324</v>
      </c>
      <c r="AX136" s="93" t="s">
        <v>324</v>
      </c>
      <c r="AY136" s="93" t="s">
        <v>324</v>
      </c>
      <c r="BF136" s="59"/>
      <c r="BQ136" s="365">
        <f t="shared" si="170"/>
        <v>3.9999999999999998E-11</v>
      </c>
      <c r="BR136" s="365">
        <f t="shared" si="171"/>
        <v>1.9999999999999999E-11</v>
      </c>
      <c r="BS136" s="365">
        <f t="shared" si="172"/>
        <v>3E-11</v>
      </c>
      <c r="BT136" s="365"/>
      <c r="BU136" s="365">
        <f t="shared" si="173"/>
        <v>5.0000000000000002E-11</v>
      </c>
      <c r="BV136" s="365">
        <f t="shared" si="174"/>
        <v>6E-11</v>
      </c>
      <c r="BW136" s="365">
        <f t="shared" si="175"/>
        <v>7.0000000000000004E-11</v>
      </c>
      <c r="BX136" s="365">
        <f t="shared" si="176"/>
        <v>7.9999999999999995E-11</v>
      </c>
      <c r="BY136" s="93">
        <f t="shared" si="155"/>
        <v>0</v>
      </c>
      <c r="BZ136" s="93">
        <f t="shared" si="156"/>
        <v>0</v>
      </c>
      <c r="CA136" s="93">
        <f t="shared" si="157"/>
        <v>0</v>
      </c>
      <c r="CC136" s="93">
        <f t="shared" si="158"/>
        <v>0</v>
      </c>
      <c r="CD136" s="93">
        <f t="shared" si="159"/>
        <v>0</v>
      </c>
      <c r="CE136" s="93">
        <f t="shared" si="160"/>
        <v>0</v>
      </c>
      <c r="CF136" s="93">
        <f t="shared" si="161"/>
        <v>0</v>
      </c>
      <c r="CG136" s="93" t="b">
        <f t="shared" si="195"/>
        <v>0</v>
      </c>
      <c r="CH136" s="93" t="b">
        <f t="shared" si="196"/>
        <v>0</v>
      </c>
      <c r="CI136" s="93" t="b">
        <f t="shared" si="197"/>
        <v>0</v>
      </c>
      <c r="CK136" s="93" t="b">
        <f t="shared" si="198"/>
        <v>0</v>
      </c>
      <c r="CL136" s="93" t="b">
        <f t="shared" si="199"/>
        <v>0</v>
      </c>
      <c r="CM136" s="93" t="b">
        <f t="shared" si="200"/>
        <v>0</v>
      </c>
      <c r="CN136" s="93" t="b">
        <f t="shared" si="201"/>
        <v>0</v>
      </c>
      <c r="CU136" s="59"/>
      <c r="DF136" s="206">
        <f t="shared" si="162"/>
        <v>9.9999999999999994E-12</v>
      </c>
      <c r="DG136" s="206">
        <f t="shared" si="177"/>
        <v>1.9999999999999999E-11</v>
      </c>
      <c r="DH136" s="206">
        <f t="shared" si="178"/>
        <v>3E-11</v>
      </c>
      <c r="DI136" s="206"/>
      <c r="DJ136" s="206">
        <f t="shared" si="179"/>
        <v>5.0000000000000002E-11</v>
      </c>
      <c r="DK136" s="206">
        <f t="shared" si="180"/>
        <v>6E-11</v>
      </c>
      <c r="DL136" s="206">
        <f t="shared" si="181"/>
        <v>7.0000000000000004E-11</v>
      </c>
      <c r="DM136" s="206">
        <f t="shared" si="182"/>
        <v>7.9999999999999995E-11</v>
      </c>
      <c r="DN136" s="93">
        <f t="shared" si="163"/>
        <v>0</v>
      </c>
      <c r="DO136" s="93">
        <f t="shared" si="164"/>
        <v>0</v>
      </c>
      <c r="DP136" s="93">
        <f t="shared" si="165"/>
        <v>0</v>
      </c>
      <c r="DR136" s="93">
        <f t="shared" si="166"/>
        <v>0</v>
      </c>
      <c r="DS136" s="93">
        <f t="shared" si="167"/>
        <v>0</v>
      </c>
      <c r="DT136" s="93">
        <f t="shared" si="168"/>
        <v>0</v>
      </c>
      <c r="DU136" s="93">
        <f t="shared" si="169"/>
        <v>0</v>
      </c>
      <c r="DV136" s="93" t="b">
        <f t="shared" si="202"/>
        <v>0</v>
      </c>
      <c r="DW136" s="93" t="b">
        <f t="shared" si="203"/>
        <v>0</v>
      </c>
      <c r="DX136" s="93" t="b">
        <f t="shared" si="204"/>
        <v>0</v>
      </c>
      <c r="DZ136" s="93" t="b">
        <f t="shared" si="205"/>
        <v>0</v>
      </c>
      <c r="EA136" s="93" t="b">
        <f t="shared" si="206"/>
        <v>0</v>
      </c>
      <c r="EB136" s="93" t="b">
        <f t="shared" si="207"/>
        <v>0</v>
      </c>
      <c r="EC136" s="93" t="b">
        <f t="shared" si="208"/>
        <v>0</v>
      </c>
      <c r="ED136" s="93" t="s">
        <v>394</v>
      </c>
      <c r="EE136" s="93" t="s">
        <v>394</v>
      </c>
      <c r="EF136" s="93" t="s">
        <v>394</v>
      </c>
      <c r="EH136" s="93" t="s">
        <v>394</v>
      </c>
      <c r="EI136" s="93" t="s">
        <v>394</v>
      </c>
      <c r="EJ136" s="93" t="s">
        <v>394</v>
      </c>
      <c r="EK136" s="93" t="s">
        <v>394</v>
      </c>
      <c r="EL136" s="93" t="s">
        <v>394</v>
      </c>
      <c r="EM136" s="93" t="s">
        <v>394</v>
      </c>
      <c r="EN136" s="93" t="s">
        <v>394</v>
      </c>
      <c r="EP136" s="93" t="s">
        <v>394</v>
      </c>
      <c r="EQ136" s="93" t="s">
        <v>394</v>
      </c>
      <c r="ER136" s="93" t="s">
        <v>394</v>
      </c>
      <c r="ES136" s="93" t="s">
        <v>394</v>
      </c>
      <c r="FB136" s="93" t="s">
        <v>394</v>
      </c>
      <c r="FC136" s="93" t="s">
        <v>394</v>
      </c>
      <c r="FD136" s="93" t="s">
        <v>394</v>
      </c>
      <c r="FE136" s="93" t="s">
        <v>394</v>
      </c>
      <c r="FF136" s="93" t="s">
        <v>394</v>
      </c>
      <c r="FG136" s="93" t="s">
        <v>394</v>
      </c>
      <c r="FH136" s="93" t="s">
        <v>394</v>
      </c>
      <c r="FI136" s="93" t="s">
        <v>394</v>
      </c>
      <c r="FJ136" s="93" t="s">
        <v>394</v>
      </c>
      <c r="FK136" s="93" t="s">
        <v>394</v>
      </c>
      <c r="FL136" s="93" t="s">
        <v>394</v>
      </c>
      <c r="FM136" s="93" t="s">
        <v>394</v>
      </c>
      <c r="FN136" s="93" t="s">
        <v>394</v>
      </c>
      <c r="FO136" s="93" t="s">
        <v>394</v>
      </c>
      <c r="FP136" s="93" t="s">
        <v>394</v>
      </c>
      <c r="FQ136" s="93" t="s">
        <v>394</v>
      </c>
    </row>
    <row r="137" spans="1:173" s="93" customFormat="1">
      <c r="A137" s="335" t="s">
        <v>1143</v>
      </c>
      <c r="B137" s="346" t="s">
        <v>1143</v>
      </c>
      <c r="C137" s="346" t="s">
        <v>225</v>
      </c>
      <c r="D137" s="346" t="s">
        <v>1094</v>
      </c>
      <c r="E137" s="346" t="s">
        <v>2773</v>
      </c>
      <c r="F137" s="424" t="s">
        <v>785</v>
      </c>
      <c r="G137" s="346">
        <v>216.7</v>
      </c>
      <c r="H137" s="346" t="s">
        <v>324</v>
      </c>
      <c r="I137" s="346">
        <v>213.5</v>
      </c>
      <c r="J137" s="346">
        <v>208</v>
      </c>
      <c r="N137" s="346"/>
      <c r="O137" s="346"/>
      <c r="P137" s="346" t="s">
        <v>3021</v>
      </c>
      <c r="Q137" s="346" t="s">
        <v>1108</v>
      </c>
      <c r="R137" s="346" t="s">
        <v>324</v>
      </c>
      <c r="S137" s="346" t="s">
        <v>1145</v>
      </c>
      <c r="T137" s="346" t="s">
        <v>1046</v>
      </c>
      <c r="U137" s="346">
        <v>193</v>
      </c>
      <c r="V137" s="346" cm="1">
        <f t="array" ref="V137">IFERROR(INDEX('Offer Statistics'!$AZ$2:$AZ$350,MATCH(1,($B137='Offer Statistics'!$AK$2:$AK$350)*($B$11='Offer Statistics'!$AL$2:$AL$350),0)),"/")</f>
        <v>176</v>
      </c>
      <c r="W137" s="346" cm="1">
        <f t="array" ref="W137">IFERROR(INDEX('Offer Statistics'!$AM$2:$AM$350,MATCH(1,($B137='Offer Statistics'!$AK$2:$AK$350)*($B$11='Offer Statistics'!$AL$2:$AL$350),0)),"/")</f>
        <v>1007</v>
      </c>
      <c r="X137" s="346" cm="1">
        <f t="array" ref="X137">IFERROR(INDEX('Offer Statistics'!$AU$2:$AU$350,MATCH(1,($B137='Offer Statistics'!$AK$2:$AK$350)*($B$11='Offer Statistics'!$AL$2:$AL$350),0)),"/")</f>
        <v>171</v>
      </c>
      <c r="Y137" s="346">
        <f t="shared" si="112"/>
        <v>5.8888888888888893</v>
      </c>
      <c r="Z137" s="346" t="s">
        <v>1046</v>
      </c>
      <c r="AA137" s="346" t="str">
        <f>入學要求!AF135</f>
        <v>/</v>
      </c>
      <c r="AB137" s="346" t="str">
        <f>入學要求!AG135</f>
        <v>/</v>
      </c>
      <c r="AC137" s="427" t="s">
        <v>785</v>
      </c>
      <c r="AD137" s="334"/>
      <c r="AE137" s="51"/>
      <c r="AF137" s="333" t="s">
        <v>324</v>
      </c>
      <c r="AG137" s="333" t="s">
        <v>324</v>
      </c>
      <c r="AH137" s="426" t="s">
        <v>3021</v>
      </c>
      <c r="AI137" s="426" t="s">
        <v>1108</v>
      </c>
      <c r="AJ137" s="426" t="s">
        <v>324</v>
      </c>
      <c r="AK137" s="346" t="s">
        <v>324</v>
      </c>
      <c r="AL137" s="346" t="s">
        <v>324</v>
      </c>
      <c r="AM137" s="346" t="s">
        <v>324</v>
      </c>
      <c r="AN137" s="346" t="s">
        <v>324</v>
      </c>
      <c r="AO137" s="346" t="s">
        <v>324</v>
      </c>
      <c r="AP137" s="346" t="s">
        <v>324</v>
      </c>
      <c r="AQ137" s="346" t="s">
        <v>324</v>
      </c>
      <c r="AR137" s="346" t="s">
        <v>324</v>
      </c>
      <c r="AS137" s="346"/>
      <c r="AT137" s="93" t="s">
        <v>716</v>
      </c>
      <c r="AV137" s="93" t="s">
        <v>713</v>
      </c>
      <c r="AW137" s="93" t="s">
        <v>324</v>
      </c>
      <c r="AX137" s="93" t="s">
        <v>324</v>
      </c>
      <c r="AY137" s="93" t="s">
        <v>324</v>
      </c>
      <c r="BQ137" s="365">
        <f t="shared" si="170"/>
        <v>3.9999999999999998E-11</v>
      </c>
      <c r="BR137" s="365">
        <f t="shared" si="171"/>
        <v>1.9999999999999999E-11</v>
      </c>
      <c r="BS137" s="365">
        <f t="shared" si="172"/>
        <v>3E-11</v>
      </c>
      <c r="BT137" s="365"/>
      <c r="BU137" s="365">
        <f t="shared" si="173"/>
        <v>5.0000000000000002E-11</v>
      </c>
      <c r="BV137" s="365">
        <f t="shared" si="174"/>
        <v>6E-11</v>
      </c>
      <c r="BW137" s="365">
        <f t="shared" si="175"/>
        <v>7.0000000000000004E-11</v>
      </c>
      <c r="BX137" s="365">
        <f t="shared" si="176"/>
        <v>7.9999999999999995E-11</v>
      </c>
      <c r="BY137" s="93">
        <f t="shared" si="155"/>
        <v>0</v>
      </c>
      <c r="BZ137" s="93">
        <f t="shared" si="156"/>
        <v>0</v>
      </c>
      <c r="CA137" s="93">
        <f t="shared" si="157"/>
        <v>0</v>
      </c>
      <c r="CC137" s="93">
        <f t="shared" si="158"/>
        <v>0</v>
      </c>
      <c r="CD137" s="93">
        <f t="shared" si="159"/>
        <v>0</v>
      </c>
      <c r="CE137" s="93">
        <f t="shared" si="160"/>
        <v>0</v>
      </c>
      <c r="CF137" s="93">
        <f t="shared" si="161"/>
        <v>0</v>
      </c>
      <c r="CG137" s="93" t="b">
        <f t="shared" si="195"/>
        <v>0</v>
      </c>
      <c r="CH137" s="93" t="b">
        <f t="shared" si="196"/>
        <v>0</v>
      </c>
      <c r="CI137" s="93" t="b">
        <f t="shared" si="197"/>
        <v>0</v>
      </c>
      <c r="CK137" s="93" t="b">
        <f t="shared" si="198"/>
        <v>0</v>
      </c>
      <c r="CL137" s="93" t="b">
        <f t="shared" si="199"/>
        <v>0</v>
      </c>
      <c r="CM137" s="93" t="b">
        <f t="shared" si="200"/>
        <v>0</v>
      </c>
      <c r="CN137" s="93" t="b">
        <f t="shared" si="201"/>
        <v>0</v>
      </c>
      <c r="DF137" s="206">
        <f t="shared" si="162"/>
        <v>9.9999999999999994E-12</v>
      </c>
      <c r="DG137" s="206">
        <f t="shared" si="177"/>
        <v>1.9999999999999999E-11</v>
      </c>
      <c r="DH137" s="206">
        <f t="shared" si="178"/>
        <v>3E-11</v>
      </c>
      <c r="DI137" s="206"/>
      <c r="DJ137" s="206">
        <f t="shared" si="179"/>
        <v>5.0000000000000002E-11</v>
      </c>
      <c r="DK137" s="206">
        <f t="shared" si="180"/>
        <v>6E-11</v>
      </c>
      <c r="DL137" s="206">
        <f t="shared" si="181"/>
        <v>7.0000000000000004E-11</v>
      </c>
      <c r="DM137" s="206">
        <f t="shared" si="182"/>
        <v>7.9999999999999995E-11</v>
      </c>
      <c r="DN137" s="93">
        <f t="shared" si="163"/>
        <v>0</v>
      </c>
      <c r="DO137" s="93">
        <f t="shared" si="164"/>
        <v>0</v>
      </c>
      <c r="DP137" s="93">
        <f t="shared" si="165"/>
        <v>0</v>
      </c>
      <c r="DR137" s="93">
        <f t="shared" si="166"/>
        <v>0</v>
      </c>
      <c r="DS137" s="93">
        <f t="shared" si="167"/>
        <v>0</v>
      </c>
      <c r="DT137" s="93">
        <f t="shared" si="168"/>
        <v>0</v>
      </c>
      <c r="DU137" s="93">
        <f t="shared" si="169"/>
        <v>0</v>
      </c>
      <c r="DV137" s="93" t="b">
        <f t="shared" si="202"/>
        <v>0</v>
      </c>
      <c r="DW137" s="93" t="b">
        <f t="shared" si="203"/>
        <v>0</v>
      </c>
      <c r="DX137" s="93" t="b">
        <f t="shared" si="204"/>
        <v>0</v>
      </c>
      <c r="DZ137" s="93" t="b">
        <f t="shared" si="205"/>
        <v>0</v>
      </c>
      <c r="EA137" s="93" t="b">
        <f t="shared" si="206"/>
        <v>0</v>
      </c>
      <c r="EB137" s="93" t="b">
        <f t="shared" si="207"/>
        <v>0</v>
      </c>
      <c r="EC137" s="93" t="b">
        <f t="shared" si="208"/>
        <v>0</v>
      </c>
      <c r="ED137" s="93" t="s">
        <v>394</v>
      </c>
      <c r="EE137" s="93" t="s">
        <v>394</v>
      </c>
      <c r="EF137" s="93" t="s">
        <v>394</v>
      </c>
      <c r="EH137" s="93" t="s">
        <v>394</v>
      </c>
      <c r="EI137" s="93" t="s">
        <v>394</v>
      </c>
      <c r="EJ137" s="93" t="s">
        <v>394</v>
      </c>
      <c r="EK137" s="93" t="s">
        <v>394</v>
      </c>
      <c r="EL137" s="93" t="s">
        <v>394</v>
      </c>
      <c r="EM137" s="93" t="s">
        <v>394</v>
      </c>
      <c r="EN137" s="93" t="s">
        <v>394</v>
      </c>
      <c r="EP137" s="93" t="s">
        <v>394</v>
      </c>
      <c r="EQ137" s="93" t="s">
        <v>394</v>
      </c>
      <c r="ER137" s="93" t="s">
        <v>394</v>
      </c>
      <c r="ES137" s="93" t="s">
        <v>394</v>
      </c>
      <c r="FB137" s="93" t="s">
        <v>394</v>
      </c>
      <c r="FC137" s="93" t="s">
        <v>394</v>
      </c>
      <c r="FD137" s="93" t="s">
        <v>394</v>
      </c>
      <c r="FE137" s="93" t="s">
        <v>394</v>
      </c>
      <c r="FF137" s="93" t="s">
        <v>394</v>
      </c>
      <c r="FG137" s="93" t="s">
        <v>394</v>
      </c>
      <c r="FH137" s="93" t="s">
        <v>394</v>
      </c>
      <c r="FI137" s="93" t="s">
        <v>394</v>
      </c>
      <c r="FJ137" s="93" t="s">
        <v>394</v>
      </c>
      <c r="FK137" s="93" t="s">
        <v>394</v>
      </c>
      <c r="FL137" s="93" t="s">
        <v>394</v>
      </c>
      <c r="FM137" s="93" t="s">
        <v>394</v>
      </c>
      <c r="FN137" s="93" t="s">
        <v>394</v>
      </c>
      <c r="FO137" s="93" t="s">
        <v>394</v>
      </c>
      <c r="FP137" s="93" t="s">
        <v>394</v>
      </c>
      <c r="FQ137" s="93" t="s">
        <v>394</v>
      </c>
    </row>
    <row r="138" spans="1:173" s="93" customFormat="1">
      <c r="A138" s="335" t="s">
        <v>1074</v>
      </c>
      <c r="B138" s="346" t="s">
        <v>1937</v>
      </c>
      <c r="C138" s="346" t="s">
        <v>225</v>
      </c>
      <c r="D138" s="346" t="s">
        <v>1081</v>
      </c>
      <c r="E138" s="346" t="s">
        <v>2775</v>
      </c>
      <c r="F138" s="431" t="s">
        <v>785</v>
      </c>
      <c r="G138" s="346">
        <v>226.1</v>
      </c>
      <c r="H138" s="346" t="s">
        <v>324</v>
      </c>
      <c r="I138" s="346">
        <v>220</v>
      </c>
      <c r="J138" s="346">
        <v>215</v>
      </c>
      <c r="N138" s="346" t="s">
        <v>2981</v>
      </c>
      <c r="O138" s="346" t="s">
        <v>2987</v>
      </c>
      <c r="P138" s="346" t="s">
        <v>2359</v>
      </c>
      <c r="Q138" s="346" t="s">
        <v>2344</v>
      </c>
      <c r="R138" s="346" t="s">
        <v>2337</v>
      </c>
      <c r="S138" s="346" t="s">
        <v>2774</v>
      </c>
      <c r="T138" s="346" t="s">
        <v>1046</v>
      </c>
      <c r="U138" s="346">
        <v>87</v>
      </c>
      <c r="V138" s="346" t="str" cm="1">
        <f t="array" ref="V138">IFERROR(INDEX('Offer Statistics'!$AZ$2:$AZ$350,MATCH(1,($B138='Offer Statistics'!$AK$2:$AK$350)*($B$11='Offer Statistics'!$AL$2:$AL$350),0)),"/")</f>
        <v>/</v>
      </c>
      <c r="W138" s="346" t="str" cm="1">
        <f t="array" ref="W138">IFERROR(INDEX('Offer Statistics'!$AM$2:$AM$350,MATCH(1,($B138='Offer Statistics'!$AK$2:$AK$350)*($B$11='Offer Statistics'!$AL$2:$AL$350),0)),"/")</f>
        <v>/</v>
      </c>
      <c r="X138" s="346" t="str" cm="1">
        <f t="array" ref="X138">IFERROR(INDEX('Offer Statistics'!$AU$2:$AU$350,MATCH(1,($B138='Offer Statistics'!$AK$2:$AK$350)*($B$11='Offer Statistics'!$AL$2:$AL$350),0)),"/")</f>
        <v>/</v>
      </c>
      <c r="Y138" s="346" t="str">
        <f t="shared" si="112"/>
        <v>新科目</v>
      </c>
      <c r="Z138" s="346" t="s">
        <v>1046</v>
      </c>
      <c r="AA138" s="346">
        <f>入學要求!AF152</f>
        <v>0</v>
      </c>
      <c r="AB138" s="346">
        <f>入學要求!AG152</f>
        <v>0</v>
      </c>
      <c r="AC138" s="346" t="s">
        <v>785</v>
      </c>
      <c r="AD138" s="51"/>
      <c r="AE138" s="51"/>
      <c r="AF138" s="333" t="s">
        <v>324</v>
      </c>
      <c r="AG138" s="333" t="s">
        <v>324</v>
      </c>
      <c r="AH138" s="431" t="s">
        <v>3012</v>
      </c>
      <c r="AI138" s="431" t="s">
        <v>3013</v>
      </c>
      <c r="AJ138" s="426" t="s">
        <v>2337</v>
      </c>
      <c r="AK138" s="346" t="s">
        <v>324</v>
      </c>
      <c r="AL138" s="346" t="s">
        <v>324</v>
      </c>
      <c r="AM138" s="346" t="s">
        <v>324</v>
      </c>
      <c r="AN138" s="346" t="s">
        <v>324</v>
      </c>
      <c r="AO138" s="346" t="s">
        <v>324</v>
      </c>
      <c r="AP138" s="346" t="s">
        <v>324</v>
      </c>
      <c r="AQ138" s="346" t="s">
        <v>324</v>
      </c>
      <c r="AR138" s="346" t="s">
        <v>324</v>
      </c>
      <c r="AS138" s="346"/>
      <c r="AT138" s="93" t="s">
        <v>716</v>
      </c>
      <c r="AV138" s="93" t="s">
        <v>713</v>
      </c>
      <c r="AW138" s="93" t="s">
        <v>324</v>
      </c>
      <c r="AX138" s="93" t="s">
        <v>324</v>
      </c>
      <c r="AY138" s="93" t="s">
        <v>324</v>
      </c>
      <c r="BQ138" s="365">
        <f>IFERROR(BI138+0.00000000004,0)</f>
        <v>3.9999999999999998E-11</v>
      </c>
      <c r="BR138" s="365">
        <f>IFERROR(BJ138+0.00000000002,0)</f>
        <v>1.9999999999999999E-11</v>
      </c>
      <c r="BS138" s="365">
        <f>IFERROR(BK138+0.00000000003,0)</f>
        <v>3E-11</v>
      </c>
      <c r="BT138" s="365"/>
      <c r="BU138" s="365">
        <f>IFERROR(BM138+0.00000000005,0)</f>
        <v>5.0000000000000002E-11</v>
      </c>
      <c r="BV138" s="365">
        <f>IFERROR(BN138+0.00000000006,0)</f>
        <v>6E-11</v>
      </c>
      <c r="BW138" s="365">
        <f>IFERROR(BO138+0.00000000007,0)</f>
        <v>7.0000000000000004E-11</v>
      </c>
      <c r="BX138" s="365">
        <f>IFERROR(BP138+0.00000000008,0)</f>
        <v>7.9999999999999995E-11</v>
      </c>
      <c r="BY138" s="93">
        <f t="shared" ref="BY138:CF138" si="211">AZ138*BQ138</f>
        <v>0</v>
      </c>
      <c r="BZ138" s="93">
        <f t="shared" si="211"/>
        <v>0</v>
      </c>
      <c r="CA138" s="93">
        <f t="shared" si="211"/>
        <v>0</v>
      </c>
      <c r="CC138" s="93">
        <f t="shared" si="211"/>
        <v>0</v>
      </c>
      <c r="CD138" s="93">
        <f t="shared" si="211"/>
        <v>0</v>
      </c>
      <c r="CE138" s="93">
        <f t="shared" si="211"/>
        <v>0</v>
      </c>
      <c r="CF138" s="93">
        <f t="shared" si="211"/>
        <v>0</v>
      </c>
      <c r="CG138" s="93" t="b">
        <f t="shared" si="195"/>
        <v>0</v>
      </c>
      <c r="CH138" s="93" t="b">
        <f t="shared" si="196"/>
        <v>0</v>
      </c>
      <c r="CI138" s="93" t="b">
        <f t="shared" si="197"/>
        <v>0</v>
      </c>
      <c r="CK138" s="93" t="b">
        <f t="shared" si="198"/>
        <v>0</v>
      </c>
      <c r="CL138" s="93" t="b">
        <f t="shared" si="199"/>
        <v>0</v>
      </c>
      <c r="CM138" s="93" t="b">
        <f t="shared" si="200"/>
        <v>0</v>
      </c>
      <c r="CN138" s="93" t="b">
        <f t="shared" si="201"/>
        <v>0</v>
      </c>
      <c r="DF138" s="206">
        <f>IFERROR(CX138+0.00000000001,0)</f>
        <v>9.9999999999999994E-12</v>
      </c>
      <c r="DG138" s="206">
        <f>IFERROR(CY138+0.00000000002,0)</f>
        <v>1.9999999999999999E-11</v>
      </c>
      <c r="DH138" s="206">
        <f>IFERROR(CZ138+0.00000000003,0)</f>
        <v>3E-11</v>
      </c>
      <c r="DI138" s="206"/>
      <c r="DJ138" s="206">
        <f>IFERROR(DB138+0.00000000005,0)</f>
        <v>5.0000000000000002E-11</v>
      </c>
      <c r="DK138" s="206">
        <f>IFERROR(DC138+0.00000000006,0)</f>
        <v>6E-11</v>
      </c>
      <c r="DL138" s="206">
        <f>IFERROR(DD138+0.00000000007,0)</f>
        <v>7.0000000000000004E-11</v>
      </c>
      <c r="DM138" s="206">
        <f>IFERROR(DE138+0.00000000008,0)</f>
        <v>7.9999999999999995E-11</v>
      </c>
      <c r="DN138" s="93">
        <f t="shared" ref="DN138:DU138" si="212">CO138*DF138</f>
        <v>0</v>
      </c>
      <c r="DO138" s="93">
        <f t="shared" si="212"/>
        <v>0</v>
      </c>
      <c r="DP138" s="93">
        <f t="shared" si="212"/>
        <v>0</v>
      </c>
      <c r="DR138" s="93">
        <f t="shared" si="212"/>
        <v>0</v>
      </c>
      <c r="DS138" s="93">
        <f t="shared" si="212"/>
        <v>0</v>
      </c>
      <c r="DT138" s="93">
        <f t="shared" si="212"/>
        <v>0</v>
      </c>
      <c r="DU138" s="93">
        <f t="shared" si="212"/>
        <v>0</v>
      </c>
      <c r="DV138" s="93" t="b">
        <f t="shared" si="202"/>
        <v>0</v>
      </c>
      <c r="DW138" s="93" t="b">
        <f t="shared" si="203"/>
        <v>0</v>
      </c>
      <c r="DX138" s="93" t="b">
        <f t="shared" si="204"/>
        <v>0</v>
      </c>
      <c r="DZ138" s="93" t="b">
        <f t="shared" si="205"/>
        <v>0</v>
      </c>
      <c r="EA138" s="93" t="b">
        <f t="shared" si="206"/>
        <v>0</v>
      </c>
      <c r="EB138" s="93" t="b">
        <f t="shared" si="207"/>
        <v>0</v>
      </c>
      <c r="EC138" s="93" t="b">
        <f t="shared" si="208"/>
        <v>0</v>
      </c>
      <c r="ED138" s="93" t="s">
        <v>394</v>
      </c>
      <c r="EE138" s="93" t="s">
        <v>394</v>
      </c>
      <c r="EF138" s="93" t="s">
        <v>394</v>
      </c>
      <c r="EH138" s="93" t="s">
        <v>394</v>
      </c>
      <c r="EI138" s="93" t="s">
        <v>394</v>
      </c>
      <c r="EJ138" s="93" t="s">
        <v>394</v>
      </c>
      <c r="EK138" s="93" t="s">
        <v>394</v>
      </c>
      <c r="EL138" s="93" t="s">
        <v>394</v>
      </c>
      <c r="EM138" s="93" t="s">
        <v>394</v>
      </c>
      <c r="EN138" s="93" t="s">
        <v>394</v>
      </c>
      <c r="EP138" s="93" t="s">
        <v>394</v>
      </c>
      <c r="EQ138" s="93" t="s">
        <v>394</v>
      </c>
      <c r="ER138" s="93" t="s">
        <v>394</v>
      </c>
      <c r="ES138" s="93" t="s">
        <v>394</v>
      </c>
      <c r="FB138" s="93" t="s">
        <v>394</v>
      </c>
      <c r="FC138" s="93" t="s">
        <v>394</v>
      </c>
      <c r="FD138" s="93" t="s">
        <v>394</v>
      </c>
      <c r="FE138" s="93" t="s">
        <v>394</v>
      </c>
      <c r="FF138" s="93" t="s">
        <v>394</v>
      </c>
      <c r="FG138" s="93" t="s">
        <v>394</v>
      </c>
      <c r="FH138" s="93" t="s">
        <v>394</v>
      </c>
      <c r="FI138" s="93" t="s">
        <v>394</v>
      </c>
      <c r="FJ138" s="93" t="s">
        <v>394</v>
      </c>
      <c r="FK138" s="93" t="s">
        <v>394</v>
      </c>
      <c r="FL138" s="93" t="s">
        <v>394</v>
      </c>
      <c r="FM138" s="93" t="s">
        <v>394</v>
      </c>
      <c r="FN138" s="93" t="s">
        <v>394</v>
      </c>
      <c r="FO138" s="93" t="s">
        <v>394</v>
      </c>
      <c r="FP138" s="93" t="s">
        <v>394</v>
      </c>
      <c r="FQ138" s="93" t="s">
        <v>394</v>
      </c>
    </row>
    <row r="139" spans="1:173" s="364" customFormat="1">
      <c r="A139" s="335" t="s">
        <v>1146</v>
      </c>
      <c r="B139" s="346" t="s">
        <v>1146</v>
      </c>
      <c r="C139" s="346" t="s">
        <v>225</v>
      </c>
      <c r="D139" s="346" t="s">
        <v>1081</v>
      </c>
      <c r="E139" s="346" t="s">
        <v>2776</v>
      </c>
      <c r="F139" s="424" t="s">
        <v>785</v>
      </c>
      <c r="G139" s="346">
        <v>195.9</v>
      </c>
      <c r="H139" s="346" t="s">
        <v>324</v>
      </c>
      <c r="I139" s="346">
        <v>191</v>
      </c>
      <c r="J139" s="346">
        <v>186</v>
      </c>
      <c r="N139" s="346"/>
      <c r="O139" s="346"/>
      <c r="P139" s="426" t="s">
        <v>2366</v>
      </c>
      <c r="Q139" s="426" t="s">
        <v>2324</v>
      </c>
      <c r="R139" s="426" t="s">
        <v>2337</v>
      </c>
      <c r="S139" s="346" t="s">
        <v>1148</v>
      </c>
      <c r="T139" s="346" t="s">
        <v>1046</v>
      </c>
      <c r="U139" s="346">
        <v>51</v>
      </c>
      <c r="V139" s="346" cm="1">
        <f t="array" ref="V139">IFERROR(INDEX('Offer Statistics'!$AZ$2:$AZ$350,MATCH(1,($B139='Offer Statistics'!$AK$2:$AK$350)*($B$11='Offer Statistics'!$AL$2:$AL$350),0)),"/")</f>
        <v>41</v>
      </c>
      <c r="W139" s="346" cm="1">
        <f t="array" ref="W139">IFERROR(INDEX('Offer Statistics'!$AM$2:$AM$350,MATCH(1,($B139='Offer Statistics'!$AK$2:$AK$350)*($B$11='Offer Statistics'!$AL$2:$AL$350),0)),"/")</f>
        <v>365</v>
      </c>
      <c r="X139" s="346" cm="1">
        <f t="array" ref="X139">IFERROR(INDEX('Offer Statistics'!$AU$2:$AU$350,MATCH(1,($B139='Offer Statistics'!$AK$2:$AK$350)*($B$11='Offer Statistics'!$AL$2:$AL$350),0)),"/")</f>
        <v>34</v>
      </c>
      <c r="Y139" s="346">
        <f t="shared" si="112"/>
        <v>10.735294117647058</v>
      </c>
      <c r="Z139" s="346" t="s">
        <v>1046</v>
      </c>
      <c r="AA139" s="346">
        <f>入學要求!AF153</f>
        <v>0</v>
      </c>
      <c r="AB139" s="346">
        <f>入學要求!AG153</f>
        <v>0</v>
      </c>
      <c r="AC139" s="429" t="s">
        <v>785</v>
      </c>
      <c r="AD139" s="334"/>
      <c r="AF139" s="364" t="s">
        <v>324</v>
      </c>
      <c r="AG139" s="364" t="s">
        <v>324</v>
      </c>
      <c r="AH139" s="426" t="s">
        <v>2366</v>
      </c>
      <c r="AI139" s="426" t="s">
        <v>2324</v>
      </c>
      <c r="AJ139" s="426" t="s">
        <v>2337</v>
      </c>
      <c r="AK139" s="346" t="s">
        <v>324</v>
      </c>
      <c r="AL139" s="346" t="s">
        <v>324</v>
      </c>
      <c r="AM139" s="346" t="s">
        <v>324</v>
      </c>
      <c r="AN139" s="346" t="s">
        <v>324</v>
      </c>
      <c r="AO139" s="346" t="s">
        <v>324</v>
      </c>
      <c r="AP139" s="346" t="s">
        <v>324</v>
      </c>
      <c r="AQ139" s="346" t="s">
        <v>324</v>
      </c>
      <c r="AR139" s="346" t="s">
        <v>324</v>
      </c>
      <c r="AS139" s="346"/>
      <c r="AT139" s="93" t="s">
        <v>716</v>
      </c>
      <c r="AU139" s="93"/>
      <c r="AV139" s="364" t="s">
        <v>713</v>
      </c>
      <c r="AW139" s="364" t="s">
        <v>324</v>
      </c>
      <c r="AX139" s="364" t="s">
        <v>324</v>
      </c>
      <c r="AY139" s="364" t="s">
        <v>324</v>
      </c>
      <c r="BQ139" s="365">
        <f t="shared" si="170"/>
        <v>3.9999999999999998E-11</v>
      </c>
      <c r="BR139" s="365">
        <f t="shared" si="171"/>
        <v>1.9999999999999999E-11</v>
      </c>
      <c r="BS139" s="365">
        <f t="shared" si="172"/>
        <v>3E-11</v>
      </c>
      <c r="BT139" s="365"/>
      <c r="BU139" s="365">
        <f t="shared" si="173"/>
        <v>5.0000000000000002E-11</v>
      </c>
      <c r="BV139" s="365">
        <f t="shared" si="174"/>
        <v>6E-11</v>
      </c>
      <c r="BW139" s="365">
        <f t="shared" si="175"/>
        <v>7.0000000000000004E-11</v>
      </c>
      <c r="BX139" s="365">
        <f t="shared" si="176"/>
        <v>7.9999999999999995E-11</v>
      </c>
      <c r="BY139" s="364">
        <f t="shared" si="155"/>
        <v>0</v>
      </c>
      <c r="BZ139" s="364">
        <f t="shared" si="156"/>
        <v>0</v>
      </c>
      <c r="CA139" s="364">
        <f t="shared" si="157"/>
        <v>0</v>
      </c>
      <c r="CC139" s="364">
        <f t="shared" si="158"/>
        <v>0</v>
      </c>
      <c r="CD139" s="364">
        <f t="shared" si="159"/>
        <v>0</v>
      </c>
      <c r="CE139" s="364">
        <f t="shared" si="160"/>
        <v>0</v>
      </c>
      <c r="CF139" s="364">
        <f t="shared" si="161"/>
        <v>0</v>
      </c>
      <c r="CG139" s="364" t="b">
        <f t="shared" si="195"/>
        <v>0</v>
      </c>
      <c r="CH139" s="364" t="b">
        <f t="shared" si="196"/>
        <v>0</v>
      </c>
      <c r="CI139" s="364" t="b">
        <f t="shared" si="197"/>
        <v>0</v>
      </c>
      <c r="CK139" s="364" t="b">
        <f t="shared" si="198"/>
        <v>0</v>
      </c>
      <c r="CL139" s="364" t="b">
        <f t="shared" si="199"/>
        <v>0</v>
      </c>
      <c r="CM139" s="364" t="b">
        <f t="shared" si="200"/>
        <v>0</v>
      </c>
      <c r="CN139" s="364" t="b">
        <f t="shared" si="201"/>
        <v>0</v>
      </c>
      <c r="DF139" s="365">
        <f t="shared" si="162"/>
        <v>9.9999999999999994E-12</v>
      </c>
      <c r="DG139" s="365">
        <f t="shared" si="177"/>
        <v>1.9999999999999999E-11</v>
      </c>
      <c r="DH139" s="365">
        <f t="shared" si="178"/>
        <v>3E-11</v>
      </c>
      <c r="DI139" s="365"/>
      <c r="DJ139" s="365">
        <f t="shared" si="179"/>
        <v>5.0000000000000002E-11</v>
      </c>
      <c r="DK139" s="365">
        <f t="shared" si="180"/>
        <v>6E-11</v>
      </c>
      <c r="DL139" s="365">
        <f t="shared" si="181"/>
        <v>7.0000000000000004E-11</v>
      </c>
      <c r="DM139" s="365">
        <f t="shared" si="182"/>
        <v>7.9999999999999995E-11</v>
      </c>
      <c r="DN139" s="364">
        <f t="shared" si="163"/>
        <v>0</v>
      </c>
      <c r="DO139" s="364">
        <f t="shared" si="164"/>
        <v>0</v>
      </c>
      <c r="DP139" s="364">
        <f t="shared" si="165"/>
        <v>0</v>
      </c>
      <c r="DR139" s="364">
        <f t="shared" si="166"/>
        <v>0</v>
      </c>
      <c r="DS139" s="364">
        <f t="shared" si="167"/>
        <v>0</v>
      </c>
      <c r="DT139" s="364">
        <f t="shared" si="168"/>
        <v>0</v>
      </c>
      <c r="DU139" s="364">
        <f t="shared" si="169"/>
        <v>0</v>
      </c>
      <c r="DV139" s="364" t="b">
        <f t="shared" si="202"/>
        <v>0</v>
      </c>
      <c r="DW139" s="364" t="b">
        <f t="shared" si="203"/>
        <v>0</v>
      </c>
      <c r="DX139" s="364" t="b">
        <f t="shared" si="204"/>
        <v>0</v>
      </c>
      <c r="DZ139" s="364" t="b">
        <f t="shared" si="205"/>
        <v>0</v>
      </c>
      <c r="EA139" s="364" t="b">
        <f t="shared" si="206"/>
        <v>0</v>
      </c>
      <c r="EB139" s="364" t="b">
        <f t="shared" si="207"/>
        <v>0</v>
      </c>
      <c r="EC139" s="364" t="b">
        <f t="shared" si="208"/>
        <v>0</v>
      </c>
      <c r="ED139" s="364" t="s">
        <v>394</v>
      </c>
      <c r="EE139" s="364" t="s">
        <v>394</v>
      </c>
      <c r="EF139" s="364" t="s">
        <v>394</v>
      </c>
      <c r="EH139" s="364" t="s">
        <v>394</v>
      </c>
      <c r="EI139" s="364" t="s">
        <v>394</v>
      </c>
      <c r="EJ139" s="364" t="s">
        <v>394</v>
      </c>
      <c r="EK139" s="364" t="s">
        <v>394</v>
      </c>
      <c r="EL139" s="364" t="s">
        <v>394</v>
      </c>
      <c r="EM139" s="364" t="s">
        <v>394</v>
      </c>
      <c r="EN139" s="364" t="s">
        <v>394</v>
      </c>
      <c r="EP139" s="364" t="s">
        <v>394</v>
      </c>
      <c r="EQ139" s="364" t="s">
        <v>394</v>
      </c>
      <c r="ER139" s="364" t="s">
        <v>394</v>
      </c>
      <c r="ES139" s="364" t="s">
        <v>394</v>
      </c>
      <c r="FB139" s="364" t="s">
        <v>394</v>
      </c>
      <c r="FC139" s="364" t="s">
        <v>394</v>
      </c>
      <c r="FD139" s="364" t="s">
        <v>394</v>
      </c>
      <c r="FE139" s="364" t="s">
        <v>394</v>
      </c>
      <c r="FF139" s="364" t="s">
        <v>394</v>
      </c>
      <c r="FG139" s="364" t="s">
        <v>394</v>
      </c>
      <c r="FH139" s="364" t="s">
        <v>394</v>
      </c>
      <c r="FI139" s="364" t="s">
        <v>394</v>
      </c>
      <c r="FJ139" s="364" t="s">
        <v>394</v>
      </c>
      <c r="FK139" s="364" t="s">
        <v>394</v>
      </c>
      <c r="FL139" s="364" t="s">
        <v>394</v>
      </c>
      <c r="FM139" s="364" t="s">
        <v>394</v>
      </c>
      <c r="FN139" s="364" t="s">
        <v>394</v>
      </c>
      <c r="FO139" s="364" t="s">
        <v>394</v>
      </c>
      <c r="FP139" s="364" t="s">
        <v>394</v>
      </c>
      <c r="FQ139" s="364" t="s">
        <v>394</v>
      </c>
    </row>
    <row r="140" spans="1:173" s="364" customFormat="1">
      <c r="A140" s="335" t="s">
        <v>1067</v>
      </c>
      <c r="B140" s="346" t="s">
        <v>1933</v>
      </c>
      <c r="C140" s="346" t="s">
        <v>225</v>
      </c>
      <c r="D140" s="346" t="s">
        <v>1068</v>
      </c>
      <c r="E140" s="346" t="s">
        <v>2778</v>
      </c>
      <c r="F140" s="431" t="s">
        <v>785</v>
      </c>
      <c r="G140" s="346">
        <v>167.5</v>
      </c>
      <c r="H140" s="346" t="s">
        <v>324</v>
      </c>
      <c r="I140" s="346">
        <v>163</v>
      </c>
      <c r="J140" s="346">
        <v>152.5</v>
      </c>
      <c r="N140" s="346" t="s">
        <v>2982</v>
      </c>
      <c r="O140" s="346" t="s">
        <v>2975</v>
      </c>
      <c r="P140" s="426" t="s">
        <v>2342</v>
      </c>
      <c r="Q140" s="426" t="s">
        <v>1108</v>
      </c>
      <c r="R140" s="426" t="s">
        <v>2326</v>
      </c>
      <c r="S140" s="346" t="s">
        <v>2777</v>
      </c>
      <c r="T140" s="346" t="s">
        <v>1046</v>
      </c>
      <c r="U140" s="346">
        <v>65</v>
      </c>
      <c r="V140" s="346" t="str" cm="1">
        <f t="array" ref="V140">IFERROR(INDEX('Offer Statistics'!$AZ$2:$AZ$350,MATCH(1,($B140='Offer Statistics'!$AK$2:$AK$350)*($B$11='Offer Statistics'!$AL$2:$AL$350),0)),"/")</f>
        <v>/</v>
      </c>
      <c r="W140" s="346" t="str" cm="1">
        <f t="array" ref="W140">IFERROR(INDEX('Offer Statistics'!$AM$2:$AM$350,MATCH(1,($B140='Offer Statistics'!$AK$2:$AK$350)*($B$11='Offer Statistics'!$AL$2:$AL$350),0)),"/")</f>
        <v>/</v>
      </c>
      <c r="X140" s="346" t="str" cm="1">
        <f t="array" ref="X140">IFERROR(INDEX('Offer Statistics'!$AU$2:$AU$350,MATCH(1,($B140='Offer Statistics'!$AK$2:$AK$350)*($B$11='Offer Statistics'!$AL$2:$AL$350),0)),"/")</f>
        <v>/</v>
      </c>
      <c r="Y140" s="346" t="str">
        <f t="shared" si="112"/>
        <v>新科目</v>
      </c>
      <c r="Z140" s="346" t="s">
        <v>1046</v>
      </c>
      <c r="AA140" s="346" t="str">
        <f>入學要求!AF154</f>
        <v>/</v>
      </c>
      <c r="AB140" s="346" t="str">
        <f>入學要求!AG154</f>
        <v>/</v>
      </c>
      <c r="AC140" s="346" t="s">
        <v>785</v>
      </c>
      <c r="AF140" s="364" t="s">
        <v>324</v>
      </c>
      <c r="AG140" s="364" t="s">
        <v>324</v>
      </c>
      <c r="AH140" s="426" t="s">
        <v>2342</v>
      </c>
      <c r="AI140" s="426" t="s">
        <v>1108</v>
      </c>
      <c r="AJ140" s="426" t="s">
        <v>2326</v>
      </c>
      <c r="AK140" s="346" t="s">
        <v>324</v>
      </c>
      <c r="AL140" s="346" t="s">
        <v>324</v>
      </c>
      <c r="AM140" s="346" t="s">
        <v>324</v>
      </c>
      <c r="AN140" s="346" t="s">
        <v>324</v>
      </c>
      <c r="AO140" s="346" t="s">
        <v>324</v>
      </c>
      <c r="AP140" s="346" t="s">
        <v>324</v>
      </c>
      <c r="AQ140" s="346" t="s">
        <v>324</v>
      </c>
      <c r="AR140" s="346" t="s">
        <v>324</v>
      </c>
      <c r="AS140" s="346"/>
      <c r="AT140" s="93" t="s">
        <v>716</v>
      </c>
      <c r="AU140" s="93"/>
      <c r="AV140" s="364" t="s">
        <v>713</v>
      </c>
      <c r="AW140" s="364" t="s">
        <v>324</v>
      </c>
      <c r="AX140" s="364" t="s">
        <v>324</v>
      </c>
      <c r="AY140" s="364" t="s">
        <v>324</v>
      </c>
      <c r="BQ140" s="365">
        <f>IFERROR(BI140+0.00000000004,0)</f>
        <v>3.9999999999999998E-11</v>
      </c>
      <c r="BR140" s="365">
        <f>IFERROR(BJ140+0.00000000002,0)</f>
        <v>1.9999999999999999E-11</v>
      </c>
      <c r="BS140" s="365">
        <f>IFERROR(BK140+0.00000000003,0)</f>
        <v>3E-11</v>
      </c>
      <c r="BT140" s="365"/>
      <c r="BU140" s="365">
        <f>IFERROR(BM140+0.00000000005,0)</f>
        <v>5.0000000000000002E-11</v>
      </c>
      <c r="BV140" s="365">
        <f>IFERROR(BN140+0.00000000006,0)</f>
        <v>6E-11</v>
      </c>
      <c r="BW140" s="365">
        <f>IFERROR(BO140+0.00000000007,0)</f>
        <v>7.0000000000000004E-11</v>
      </c>
      <c r="BX140" s="365">
        <f>IFERROR(BP140+0.00000000008,0)</f>
        <v>7.9999999999999995E-11</v>
      </c>
      <c r="BY140" s="364">
        <f t="shared" ref="BY140:CF141" si="213">AZ140*BQ140</f>
        <v>0</v>
      </c>
      <c r="BZ140" s="364">
        <f t="shared" si="213"/>
        <v>0</v>
      </c>
      <c r="CA140" s="364">
        <f t="shared" si="213"/>
        <v>0</v>
      </c>
      <c r="CC140" s="364">
        <f t="shared" si="213"/>
        <v>0</v>
      </c>
      <c r="CD140" s="364">
        <f t="shared" si="213"/>
        <v>0</v>
      </c>
      <c r="CE140" s="364">
        <f t="shared" si="213"/>
        <v>0</v>
      </c>
      <c r="CF140" s="364">
        <f t="shared" si="213"/>
        <v>0</v>
      </c>
      <c r="CG140" s="364" t="b">
        <f t="shared" si="195"/>
        <v>0</v>
      </c>
      <c r="CH140" s="364" t="b">
        <f t="shared" si="196"/>
        <v>0</v>
      </c>
      <c r="CI140" s="364" t="b">
        <f t="shared" si="197"/>
        <v>0</v>
      </c>
      <c r="CK140" s="364" t="b">
        <f t="shared" si="198"/>
        <v>0</v>
      </c>
      <c r="CL140" s="364" t="b">
        <f t="shared" si="199"/>
        <v>0</v>
      </c>
      <c r="CM140" s="364" t="b">
        <f t="shared" si="200"/>
        <v>0</v>
      </c>
      <c r="CN140" s="364" t="b">
        <f t="shared" si="201"/>
        <v>0</v>
      </c>
      <c r="DF140" s="365">
        <f>IFERROR(CX140+0.00000000001,0)</f>
        <v>9.9999999999999994E-12</v>
      </c>
      <c r="DG140" s="365">
        <f>IFERROR(CY140+0.00000000002,0)</f>
        <v>1.9999999999999999E-11</v>
      </c>
      <c r="DH140" s="365">
        <f>IFERROR(CZ140+0.00000000003,0)</f>
        <v>3E-11</v>
      </c>
      <c r="DI140" s="365"/>
      <c r="DJ140" s="365">
        <f>IFERROR(DB140+0.00000000005,0)</f>
        <v>5.0000000000000002E-11</v>
      </c>
      <c r="DK140" s="365">
        <f>IFERROR(DC140+0.00000000006,0)</f>
        <v>6E-11</v>
      </c>
      <c r="DL140" s="365">
        <f>IFERROR(DD140+0.00000000007,0)</f>
        <v>7.0000000000000004E-11</v>
      </c>
      <c r="DM140" s="365">
        <f>IFERROR(DE140+0.00000000008,0)</f>
        <v>7.9999999999999995E-11</v>
      </c>
      <c r="DN140" s="364">
        <f t="shared" ref="DN140:DU141" si="214">CO140*DF140</f>
        <v>0</v>
      </c>
      <c r="DO140" s="364">
        <f t="shared" si="214"/>
        <v>0</v>
      </c>
      <c r="DP140" s="364">
        <f t="shared" si="214"/>
        <v>0</v>
      </c>
      <c r="DR140" s="364">
        <f t="shared" si="214"/>
        <v>0</v>
      </c>
      <c r="DS140" s="364">
        <f t="shared" si="214"/>
        <v>0</v>
      </c>
      <c r="DT140" s="364">
        <f t="shared" si="214"/>
        <v>0</v>
      </c>
      <c r="DU140" s="364">
        <f t="shared" si="214"/>
        <v>0</v>
      </c>
      <c r="DV140" s="364" t="b">
        <f t="shared" si="202"/>
        <v>0</v>
      </c>
      <c r="DW140" s="364" t="b">
        <f t="shared" si="203"/>
        <v>0</v>
      </c>
      <c r="DX140" s="364" t="b">
        <f t="shared" si="204"/>
        <v>0</v>
      </c>
      <c r="DZ140" s="364" t="b">
        <f t="shared" si="205"/>
        <v>0</v>
      </c>
      <c r="EA140" s="364" t="b">
        <f t="shared" si="206"/>
        <v>0</v>
      </c>
      <c r="EB140" s="364" t="b">
        <f t="shared" si="207"/>
        <v>0</v>
      </c>
      <c r="EC140" s="364" t="b">
        <f t="shared" si="208"/>
        <v>0</v>
      </c>
      <c r="ED140" s="364" t="s">
        <v>394</v>
      </c>
      <c r="EE140" s="364" t="s">
        <v>394</v>
      </c>
      <c r="EF140" s="364" t="s">
        <v>394</v>
      </c>
      <c r="EH140" s="364" t="s">
        <v>394</v>
      </c>
      <c r="EI140" s="364" t="s">
        <v>394</v>
      </c>
      <c r="EJ140" s="364" t="s">
        <v>394</v>
      </c>
      <c r="EK140" s="364" t="s">
        <v>394</v>
      </c>
      <c r="EL140" s="364" t="s">
        <v>394</v>
      </c>
      <c r="EM140" s="364" t="s">
        <v>394</v>
      </c>
      <c r="EN140" s="364" t="s">
        <v>394</v>
      </c>
      <c r="EP140" s="364" t="s">
        <v>394</v>
      </c>
      <c r="EQ140" s="364" t="s">
        <v>394</v>
      </c>
      <c r="ER140" s="364" t="s">
        <v>394</v>
      </c>
      <c r="ES140" s="364" t="s">
        <v>394</v>
      </c>
      <c r="FB140" s="364" t="s">
        <v>394</v>
      </c>
      <c r="FC140" s="364" t="s">
        <v>394</v>
      </c>
      <c r="FD140" s="364" t="s">
        <v>394</v>
      </c>
      <c r="FE140" s="364" t="s">
        <v>394</v>
      </c>
      <c r="FF140" s="364" t="s">
        <v>394</v>
      </c>
      <c r="FG140" s="364" t="s">
        <v>394</v>
      </c>
      <c r="FH140" s="364" t="s">
        <v>394</v>
      </c>
      <c r="FI140" s="364" t="s">
        <v>394</v>
      </c>
      <c r="FJ140" s="364" t="s">
        <v>394</v>
      </c>
      <c r="FK140" s="364" t="s">
        <v>394</v>
      </c>
      <c r="FL140" s="364" t="s">
        <v>394</v>
      </c>
      <c r="FM140" s="364" t="s">
        <v>394</v>
      </c>
      <c r="FN140" s="364" t="s">
        <v>394</v>
      </c>
      <c r="FO140" s="364" t="s">
        <v>394</v>
      </c>
      <c r="FP140" s="364" t="s">
        <v>394</v>
      </c>
      <c r="FQ140" s="364" t="s">
        <v>394</v>
      </c>
    </row>
    <row r="141" spans="1:173" s="364" customFormat="1">
      <c r="A141" s="335" t="s">
        <v>1067</v>
      </c>
      <c r="B141" s="346" t="s">
        <v>1934</v>
      </c>
      <c r="C141" s="346" t="s">
        <v>225</v>
      </c>
      <c r="D141" s="346" t="s">
        <v>1068</v>
      </c>
      <c r="E141" s="346" t="s">
        <v>2780</v>
      </c>
      <c r="F141" s="431" t="s">
        <v>785</v>
      </c>
      <c r="G141" s="346">
        <v>167.5</v>
      </c>
      <c r="H141" s="346" t="s">
        <v>324</v>
      </c>
      <c r="I141" s="346">
        <v>163</v>
      </c>
      <c r="J141" s="346">
        <v>152.5</v>
      </c>
      <c r="N141" s="346" t="s">
        <v>2982</v>
      </c>
      <c r="O141" s="346" t="s">
        <v>2975</v>
      </c>
      <c r="P141" s="426" t="s">
        <v>2342</v>
      </c>
      <c r="Q141" s="426" t="s">
        <v>1108</v>
      </c>
      <c r="R141" s="426" t="s">
        <v>2326</v>
      </c>
      <c r="S141" s="346" t="s">
        <v>2779</v>
      </c>
      <c r="T141" s="346" t="s">
        <v>1046</v>
      </c>
      <c r="U141" s="346">
        <v>22</v>
      </c>
      <c r="V141" s="346" t="str" cm="1">
        <f t="array" ref="V141">IFERROR(INDEX('Offer Statistics'!$AZ$2:$AZ$350,MATCH(1,($B141='Offer Statistics'!$AK$2:$AK$350)*($B$11='Offer Statistics'!$AL$2:$AL$350),0)),"/")</f>
        <v>/</v>
      </c>
      <c r="W141" s="346" t="str" cm="1">
        <f t="array" ref="W141">IFERROR(INDEX('Offer Statistics'!$AM$2:$AM$350,MATCH(1,($B141='Offer Statistics'!$AK$2:$AK$350)*($B$11='Offer Statistics'!$AL$2:$AL$350),0)),"/")</f>
        <v>/</v>
      </c>
      <c r="X141" s="346" t="str" cm="1">
        <f t="array" ref="X141">IFERROR(INDEX('Offer Statistics'!$AU$2:$AU$350,MATCH(1,($B141='Offer Statistics'!$AK$2:$AK$350)*($B$11='Offer Statistics'!$AL$2:$AL$350),0)),"/")</f>
        <v>/</v>
      </c>
      <c r="Y141" s="346" t="str">
        <f t="shared" si="112"/>
        <v>新科目</v>
      </c>
      <c r="Z141" s="346" t="s">
        <v>1046</v>
      </c>
      <c r="AA141" s="346" t="str">
        <f>入學要求!AF155</f>
        <v>/</v>
      </c>
      <c r="AB141" s="346" t="str">
        <f>入學要求!AG155</f>
        <v>/</v>
      </c>
      <c r="AC141" s="346" t="s">
        <v>785</v>
      </c>
      <c r="AF141" s="364" t="s">
        <v>324</v>
      </c>
      <c r="AG141" s="364" t="s">
        <v>324</v>
      </c>
      <c r="AH141" s="431" t="s">
        <v>3028</v>
      </c>
      <c r="AI141" s="426" t="s">
        <v>1108</v>
      </c>
      <c r="AJ141" s="426" t="s">
        <v>2326</v>
      </c>
      <c r="AK141" s="346" t="s">
        <v>324</v>
      </c>
      <c r="AL141" s="346" t="s">
        <v>324</v>
      </c>
      <c r="AM141" s="346" t="s">
        <v>324</v>
      </c>
      <c r="AN141" s="346" t="s">
        <v>324</v>
      </c>
      <c r="AO141" s="346" t="s">
        <v>324</v>
      </c>
      <c r="AP141" s="346" t="s">
        <v>324</v>
      </c>
      <c r="AQ141" s="346" t="s">
        <v>324</v>
      </c>
      <c r="AR141" s="346" t="s">
        <v>324</v>
      </c>
      <c r="AS141" s="346"/>
      <c r="AT141" s="93" t="s">
        <v>716</v>
      </c>
      <c r="AU141" s="93"/>
      <c r="AV141" s="364" t="s">
        <v>713</v>
      </c>
      <c r="AW141" s="364" t="s">
        <v>324</v>
      </c>
      <c r="AX141" s="364" t="s">
        <v>324</v>
      </c>
      <c r="AY141" s="364" t="s">
        <v>324</v>
      </c>
      <c r="BQ141" s="365">
        <f>IFERROR(BI141+0.00000000004,0)</f>
        <v>3.9999999999999998E-11</v>
      </c>
      <c r="BR141" s="365">
        <f>IFERROR(BJ141+0.00000000002,0)</f>
        <v>1.9999999999999999E-11</v>
      </c>
      <c r="BS141" s="365">
        <f>IFERROR(BK141+0.00000000003,0)</f>
        <v>3E-11</v>
      </c>
      <c r="BT141" s="365"/>
      <c r="BU141" s="365">
        <f>IFERROR(BM141+0.00000000005,0)</f>
        <v>5.0000000000000002E-11</v>
      </c>
      <c r="BV141" s="365">
        <f>IFERROR(BN141+0.00000000006,0)</f>
        <v>6E-11</v>
      </c>
      <c r="BW141" s="365">
        <f>IFERROR(BO141+0.00000000007,0)</f>
        <v>7.0000000000000004E-11</v>
      </c>
      <c r="BX141" s="365">
        <f>IFERROR(BP141+0.00000000008,0)</f>
        <v>7.9999999999999995E-11</v>
      </c>
      <c r="BY141" s="364">
        <f t="shared" si="213"/>
        <v>0</v>
      </c>
      <c r="BZ141" s="364">
        <f t="shared" si="213"/>
        <v>0</v>
      </c>
      <c r="CA141" s="364">
        <f t="shared" si="213"/>
        <v>0</v>
      </c>
      <c r="CC141" s="364">
        <f t="shared" si="213"/>
        <v>0</v>
      </c>
      <c r="CD141" s="364">
        <f t="shared" si="213"/>
        <v>0</v>
      </c>
      <c r="CE141" s="364">
        <f t="shared" si="213"/>
        <v>0</v>
      </c>
      <c r="CF141" s="364">
        <f t="shared" si="213"/>
        <v>0</v>
      </c>
      <c r="CG141" s="364" t="b">
        <f t="shared" si="195"/>
        <v>0</v>
      </c>
      <c r="CH141" s="364" t="b">
        <f t="shared" si="196"/>
        <v>0</v>
      </c>
      <c r="CI141" s="364" t="b">
        <f t="shared" si="197"/>
        <v>0</v>
      </c>
      <c r="CK141" s="364" t="b">
        <f t="shared" si="198"/>
        <v>0</v>
      </c>
      <c r="CL141" s="364" t="b">
        <f t="shared" si="199"/>
        <v>0</v>
      </c>
      <c r="CM141" s="364" t="b">
        <f t="shared" si="200"/>
        <v>0</v>
      </c>
      <c r="CN141" s="364" t="b">
        <f t="shared" si="201"/>
        <v>0</v>
      </c>
      <c r="DF141" s="365">
        <f>IFERROR(CX141+0.00000000001,0)</f>
        <v>9.9999999999999994E-12</v>
      </c>
      <c r="DG141" s="365">
        <f>IFERROR(CY141+0.00000000002,0)</f>
        <v>1.9999999999999999E-11</v>
      </c>
      <c r="DH141" s="365">
        <f>IFERROR(CZ141+0.00000000003,0)</f>
        <v>3E-11</v>
      </c>
      <c r="DI141" s="365"/>
      <c r="DJ141" s="365">
        <f>IFERROR(DB141+0.00000000005,0)</f>
        <v>5.0000000000000002E-11</v>
      </c>
      <c r="DK141" s="365">
        <f>IFERROR(DC141+0.00000000006,0)</f>
        <v>6E-11</v>
      </c>
      <c r="DL141" s="365">
        <f>IFERROR(DD141+0.00000000007,0)</f>
        <v>7.0000000000000004E-11</v>
      </c>
      <c r="DM141" s="365">
        <f>IFERROR(DE141+0.00000000008,0)</f>
        <v>7.9999999999999995E-11</v>
      </c>
      <c r="DN141" s="364">
        <f t="shared" si="214"/>
        <v>0</v>
      </c>
      <c r="DO141" s="364">
        <f t="shared" si="214"/>
        <v>0</v>
      </c>
      <c r="DP141" s="364">
        <f t="shared" si="214"/>
        <v>0</v>
      </c>
      <c r="DR141" s="364">
        <f t="shared" si="214"/>
        <v>0</v>
      </c>
      <c r="DS141" s="364">
        <f t="shared" si="214"/>
        <v>0</v>
      </c>
      <c r="DT141" s="364">
        <f t="shared" si="214"/>
        <v>0</v>
      </c>
      <c r="DU141" s="364">
        <f t="shared" si="214"/>
        <v>0</v>
      </c>
      <c r="DV141" s="364" t="b">
        <f t="shared" si="202"/>
        <v>0</v>
      </c>
      <c r="DW141" s="364" t="b">
        <f t="shared" si="203"/>
        <v>0</v>
      </c>
      <c r="DX141" s="364" t="b">
        <f t="shared" si="204"/>
        <v>0</v>
      </c>
      <c r="DZ141" s="364" t="b">
        <f t="shared" si="205"/>
        <v>0</v>
      </c>
      <c r="EA141" s="364" t="b">
        <f t="shared" si="206"/>
        <v>0</v>
      </c>
      <c r="EB141" s="364" t="b">
        <f t="shared" si="207"/>
        <v>0</v>
      </c>
      <c r="EC141" s="364" t="b">
        <f t="shared" si="208"/>
        <v>0</v>
      </c>
      <c r="ED141" s="364" t="s">
        <v>394</v>
      </c>
      <c r="EE141" s="364" t="s">
        <v>394</v>
      </c>
      <c r="EF141" s="364" t="s">
        <v>394</v>
      </c>
      <c r="EH141" s="364" t="s">
        <v>394</v>
      </c>
      <c r="EI141" s="364" t="s">
        <v>394</v>
      </c>
      <c r="EJ141" s="364" t="s">
        <v>394</v>
      </c>
      <c r="EK141" s="364" t="s">
        <v>394</v>
      </c>
      <c r="EL141" s="364" t="s">
        <v>394</v>
      </c>
      <c r="EM141" s="364" t="s">
        <v>394</v>
      </c>
      <c r="EN141" s="364" t="s">
        <v>394</v>
      </c>
      <c r="EP141" s="364" t="s">
        <v>394</v>
      </c>
      <c r="EQ141" s="364" t="s">
        <v>394</v>
      </c>
      <c r="ER141" s="364" t="s">
        <v>394</v>
      </c>
      <c r="ES141" s="364" t="s">
        <v>394</v>
      </c>
      <c r="FB141" s="364" t="s">
        <v>394</v>
      </c>
      <c r="FC141" s="364" t="s">
        <v>394</v>
      </c>
      <c r="FD141" s="364" t="s">
        <v>394</v>
      </c>
      <c r="FE141" s="364" t="s">
        <v>394</v>
      </c>
      <c r="FF141" s="364" t="s">
        <v>394</v>
      </c>
      <c r="FG141" s="364" t="s">
        <v>394</v>
      </c>
      <c r="FH141" s="364" t="s">
        <v>394</v>
      </c>
      <c r="FI141" s="364" t="s">
        <v>394</v>
      </c>
      <c r="FJ141" s="364" t="s">
        <v>394</v>
      </c>
      <c r="FK141" s="364" t="s">
        <v>394</v>
      </c>
      <c r="FL141" s="364" t="s">
        <v>394</v>
      </c>
      <c r="FM141" s="364" t="s">
        <v>394</v>
      </c>
      <c r="FN141" s="364" t="s">
        <v>394</v>
      </c>
      <c r="FO141" s="364" t="s">
        <v>394</v>
      </c>
      <c r="FP141" s="364" t="s">
        <v>394</v>
      </c>
      <c r="FQ141" s="364" t="s">
        <v>394</v>
      </c>
    </row>
    <row r="142" spans="1:173" s="93" customFormat="1">
      <c r="A142" s="335" t="s">
        <v>1149</v>
      </c>
      <c r="B142" s="346" t="s">
        <v>1149</v>
      </c>
      <c r="C142" s="346" t="s">
        <v>225</v>
      </c>
      <c r="D142" s="346" t="s">
        <v>1081</v>
      </c>
      <c r="E142" s="346" t="s">
        <v>2781</v>
      </c>
      <c r="F142" s="424" t="s">
        <v>785</v>
      </c>
      <c r="G142" s="346">
        <v>203.5</v>
      </c>
      <c r="H142" s="346" t="s">
        <v>324</v>
      </c>
      <c r="I142" s="346">
        <v>193</v>
      </c>
      <c r="J142" s="346">
        <v>191</v>
      </c>
      <c r="N142" s="346"/>
      <c r="O142" s="346"/>
      <c r="P142" s="426" t="s">
        <v>2367</v>
      </c>
      <c r="Q142" s="426" t="s">
        <v>1108</v>
      </c>
      <c r="R142" s="426" t="s">
        <v>324</v>
      </c>
      <c r="S142" s="346" t="s">
        <v>1151</v>
      </c>
      <c r="T142" s="346" t="s">
        <v>1046</v>
      </c>
      <c r="U142" s="346">
        <v>74</v>
      </c>
      <c r="V142" s="346" cm="1">
        <f t="array" ref="V142">IFERROR(INDEX('Offer Statistics'!$AZ$2:$AZ$350,MATCH(1,($B142='Offer Statistics'!$AK$2:$AK$350)*($B$11='Offer Statistics'!$AL$2:$AL$350),0)),"/")</f>
        <v>90</v>
      </c>
      <c r="W142" s="346" cm="1">
        <f t="array" ref="W142">IFERROR(INDEX('Offer Statistics'!$AM$2:$AM$350,MATCH(1,($B142='Offer Statistics'!$AK$2:$AK$350)*($B$11='Offer Statistics'!$AL$2:$AL$350),0)),"/")</f>
        <v>627</v>
      </c>
      <c r="X142" s="346" cm="1">
        <f t="array" ref="X142">IFERROR(INDEX('Offer Statistics'!$AU$2:$AU$350,MATCH(1,($B142='Offer Statistics'!$AK$2:$AK$350)*($B$11='Offer Statistics'!$AL$2:$AL$350),0)),"/")</f>
        <v>80</v>
      </c>
      <c r="Y142" s="346">
        <f t="shared" si="112"/>
        <v>7.8375000000000004</v>
      </c>
      <c r="Z142" s="346" t="s">
        <v>1046</v>
      </c>
      <c r="AA142" s="346" t="e">
        <f>入學要求!#REF!</f>
        <v>#REF!</v>
      </c>
      <c r="AB142" s="346" t="e">
        <f>入學要求!#REF!</f>
        <v>#REF!</v>
      </c>
      <c r="AC142" s="346" t="s">
        <v>785</v>
      </c>
      <c r="AD142" s="334"/>
      <c r="AE142" s="51"/>
      <c r="AF142" s="333" t="s">
        <v>324</v>
      </c>
      <c r="AG142" s="333" t="s">
        <v>324</v>
      </c>
      <c r="AH142" s="426" t="s">
        <v>2367</v>
      </c>
      <c r="AI142" s="426" t="s">
        <v>1108</v>
      </c>
      <c r="AJ142" s="426" t="s">
        <v>324</v>
      </c>
      <c r="AK142" s="346" t="s">
        <v>324</v>
      </c>
      <c r="AL142" s="346" t="s">
        <v>324</v>
      </c>
      <c r="AM142" s="346" t="s">
        <v>324</v>
      </c>
      <c r="AN142" s="346" t="s">
        <v>324</v>
      </c>
      <c r="AO142" s="346" t="s">
        <v>324</v>
      </c>
      <c r="AP142" s="346" t="s">
        <v>324</v>
      </c>
      <c r="AQ142" s="346" t="s">
        <v>324</v>
      </c>
      <c r="AR142" s="346" t="s">
        <v>324</v>
      </c>
      <c r="AS142" s="346"/>
      <c r="AT142" s="93" t="s">
        <v>716</v>
      </c>
      <c r="AV142" s="93" t="s">
        <v>713</v>
      </c>
      <c r="AW142" s="93" t="s">
        <v>324</v>
      </c>
      <c r="AX142" s="93" t="s">
        <v>324</v>
      </c>
      <c r="AY142" s="93" t="s">
        <v>324</v>
      </c>
      <c r="BQ142" s="365">
        <f t="shared" si="170"/>
        <v>3.9999999999999998E-11</v>
      </c>
      <c r="BR142" s="365">
        <f t="shared" si="171"/>
        <v>1.9999999999999999E-11</v>
      </c>
      <c r="BS142" s="365">
        <f t="shared" si="172"/>
        <v>3E-11</v>
      </c>
      <c r="BT142" s="365"/>
      <c r="BU142" s="365">
        <f t="shared" si="173"/>
        <v>5.0000000000000002E-11</v>
      </c>
      <c r="BV142" s="365">
        <f t="shared" si="174"/>
        <v>6E-11</v>
      </c>
      <c r="BW142" s="365">
        <f t="shared" si="175"/>
        <v>7.0000000000000004E-11</v>
      </c>
      <c r="BX142" s="365">
        <f t="shared" si="176"/>
        <v>7.9999999999999995E-11</v>
      </c>
      <c r="BY142" s="93">
        <f t="shared" si="155"/>
        <v>0</v>
      </c>
      <c r="BZ142" s="93">
        <f t="shared" si="156"/>
        <v>0</v>
      </c>
      <c r="CA142" s="93">
        <f t="shared" si="157"/>
        <v>0</v>
      </c>
      <c r="CC142" s="93">
        <f t="shared" si="158"/>
        <v>0</v>
      </c>
      <c r="CD142" s="93">
        <f t="shared" si="159"/>
        <v>0</v>
      </c>
      <c r="CE142" s="93">
        <f t="shared" si="160"/>
        <v>0</v>
      </c>
      <c r="CF142" s="93">
        <f t="shared" si="161"/>
        <v>0</v>
      </c>
      <c r="CG142" s="93" t="b">
        <f t="shared" si="195"/>
        <v>0</v>
      </c>
      <c r="CH142" s="93" t="b">
        <f t="shared" si="196"/>
        <v>0</v>
      </c>
      <c r="CI142" s="93" t="b">
        <f t="shared" si="197"/>
        <v>0</v>
      </c>
      <c r="CK142" s="93" t="b">
        <f t="shared" si="198"/>
        <v>0</v>
      </c>
      <c r="CL142" s="93" t="b">
        <f t="shared" si="199"/>
        <v>0</v>
      </c>
      <c r="CM142" s="93" t="b">
        <f t="shared" si="200"/>
        <v>0</v>
      </c>
      <c r="CN142" s="93" t="b">
        <f t="shared" si="201"/>
        <v>0</v>
      </c>
      <c r="DF142" s="206">
        <f t="shared" si="162"/>
        <v>9.9999999999999994E-12</v>
      </c>
      <c r="DG142" s="206">
        <f t="shared" si="177"/>
        <v>1.9999999999999999E-11</v>
      </c>
      <c r="DH142" s="206">
        <f t="shared" si="178"/>
        <v>3E-11</v>
      </c>
      <c r="DI142" s="206"/>
      <c r="DJ142" s="206">
        <f t="shared" si="179"/>
        <v>5.0000000000000002E-11</v>
      </c>
      <c r="DK142" s="206">
        <f t="shared" si="180"/>
        <v>6E-11</v>
      </c>
      <c r="DL142" s="206">
        <f t="shared" si="181"/>
        <v>7.0000000000000004E-11</v>
      </c>
      <c r="DM142" s="206">
        <f t="shared" si="182"/>
        <v>7.9999999999999995E-11</v>
      </c>
      <c r="DN142" s="93">
        <f t="shared" si="163"/>
        <v>0</v>
      </c>
      <c r="DO142" s="93">
        <f t="shared" si="164"/>
        <v>0</v>
      </c>
      <c r="DP142" s="93">
        <f t="shared" si="165"/>
        <v>0</v>
      </c>
      <c r="DR142" s="93">
        <f t="shared" si="166"/>
        <v>0</v>
      </c>
      <c r="DS142" s="93">
        <f t="shared" si="167"/>
        <v>0</v>
      </c>
      <c r="DT142" s="93">
        <f t="shared" si="168"/>
        <v>0</v>
      </c>
      <c r="DU142" s="93">
        <f t="shared" si="169"/>
        <v>0</v>
      </c>
      <c r="DV142" s="93" t="b">
        <f t="shared" si="202"/>
        <v>0</v>
      </c>
      <c r="DW142" s="93" t="b">
        <f t="shared" si="203"/>
        <v>0</v>
      </c>
      <c r="DX142" s="93" t="b">
        <f t="shared" si="204"/>
        <v>0</v>
      </c>
      <c r="DZ142" s="93" t="b">
        <f t="shared" si="205"/>
        <v>0</v>
      </c>
      <c r="EA142" s="93" t="b">
        <f t="shared" si="206"/>
        <v>0</v>
      </c>
      <c r="EB142" s="93" t="b">
        <f t="shared" si="207"/>
        <v>0</v>
      </c>
      <c r="EC142" s="93" t="b">
        <f t="shared" si="208"/>
        <v>0</v>
      </c>
      <c r="ED142" s="93" t="s">
        <v>394</v>
      </c>
      <c r="EE142" s="93" t="s">
        <v>394</v>
      </c>
      <c r="EF142" s="93" t="s">
        <v>394</v>
      </c>
      <c r="EH142" s="93" t="s">
        <v>394</v>
      </c>
      <c r="EI142" s="93" t="s">
        <v>394</v>
      </c>
      <c r="EJ142" s="93" t="s">
        <v>394</v>
      </c>
      <c r="EK142" s="93" t="s">
        <v>394</v>
      </c>
      <c r="EL142" s="93" t="s">
        <v>394</v>
      </c>
      <c r="EM142" s="93" t="s">
        <v>394</v>
      </c>
      <c r="EN142" s="93" t="s">
        <v>394</v>
      </c>
      <c r="EP142" s="93" t="s">
        <v>394</v>
      </c>
      <c r="EQ142" s="93" t="s">
        <v>394</v>
      </c>
      <c r="ER142" s="93" t="s">
        <v>394</v>
      </c>
      <c r="ES142" s="93" t="s">
        <v>394</v>
      </c>
      <c r="FB142" s="93" t="s">
        <v>394</v>
      </c>
      <c r="FC142" s="93" t="s">
        <v>394</v>
      </c>
      <c r="FD142" s="93" t="s">
        <v>394</v>
      </c>
      <c r="FE142" s="93" t="s">
        <v>394</v>
      </c>
      <c r="FF142" s="93" t="s">
        <v>394</v>
      </c>
      <c r="FG142" s="93" t="s">
        <v>394</v>
      </c>
      <c r="FH142" s="93" t="s">
        <v>394</v>
      </c>
      <c r="FI142" s="93" t="s">
        <v>394</v>
      </c>
      <c r="FJ142" s="93" t="s">
        <v>394</v>
      </c>
      <c r="FK142" s="93" t="s">
        <v>394</v>
      </c>
      <c r="FL142" s="93" t="s">
        <v>394</v>
      </c>
      <c r="FM142" s="93" t="s">
        <v>394</v>
      </c>
      <c r="FN142" s="93" t="s">
        <v>394</v>
      </c>
      <c r="FO142" s="93" t="s">
        <v>394</v>
      </c>
      <c r="FP142" s="93" t="s">
        <v>394</v>
      </c>
      <c r="FQ142" s="93" t="s">
        <v>394</v>
      </c>
    </row>
    <row r="143" spans="1:173">
      <c r="B143" s="346"/>
      <c r="C143" s="424" t="s">
        <v>3030</v>
      </c>
      <c r="D143" s="346"/>
      <c r="E143" s="346"/>
      <c r="F143" s="11"/>
      <c r="G143" s="346"/>
      <c r="H143" s="346"/>
      <c r="I143" s="346"/>
      <c r="J143" s="346"/>
      <c r="W143" s="2" t="str" cm="1">
        <f t="array" ref="W143">IFERROR(INDEX('Offer Statistics'!$AZ$2:$AZ$350,MATCH(1,(C143='Offer Statistics'!$AK$2:$AK$350)*($B$11='Offer Statistics'!$AL$2:$AL$350),0)),"/")</f>
        <v>/</v>
      </c>
    </row>
    <row r="144" spans="1:173">
      <c r="C144" s="329"/>
      <c r="S144" s="125"/>
      <c r="U144" s="2" t="s">
        <v>70</v>
      </c>
      <c r="V144" s="2" t="s">
        <v>118</v>
      </c>
      <c r="Y144" s="2" t="s">
        <v>938</v>
      </c>
    </row>
    <row r="145" spans="1:173" ht="15.6">
      <c r="A145" s="335" t="s">
        <v>1152</v>
      </c>
      <c r="B145" s="346" t="s">
        <v>1152</v>
      </c>
      <c r="C145" s="346" t="s">
        <v>227</v>
      </c>
      <c r="D145" s="346" t="s">
        <v>940</v>
      </c>
      <c r="E145" s="346" t="s">
        <v>1153</v>
      </c>
      <c r="F145" s="2" t="s">
        <v>785</v>
      </c>
      <c r="G145" s="2" t="s">
        <v>324</v>
      </c>
      <c r="H145" s="2">
        <v>24.5</v>
      </c>
      <c r="I145" s="2">
        <v>23</v>
      </c>
      <c r="J145" s="2">
        <v>23</v>
      </c>
      <c r="K145" s="435">
        <f>SUMIF(FJ145:FQ145,TRUE,FB145:FI145)</f>
        <v>24.500000000269999</v>
      </c>
      <c r="L145" s="435">
        <f>SUMIF(DV145:EC145,TRUE,DN145:DU145)</f>
        <v>23.00000000028</v>
      </c>
      <c r="M145" s="435">
        <f>SUMIF(CG145:CN145,TRUE,BY145:CF145)</f>
        <v>23.000000000269999</v>
      </c>
      <c r="N145" s="346" t="s">
        <v>324</v>
      </c>
      <c r="O145" s="346" t="s">
        <v>324</v>
      </c>
      <c r="P145" s="346" t="s">
        <v>324</v>
      </c>
      <c r="Q145" s="346" t="s">
        <v>324</v>
      </c>
      <c r="R145" s="346" t="s">
        <v>324</v>
      </c>
      <c r="S145" s="346" t="s">
        <v>1154</v>
      </c>
      <c r="T145" s="2" t="s">
        <v>1046</v>
      </c>
      <c r="U145" s="2">
        <v>18</v>
      </c>
      <c r="V145" s="2" cm="1">
        <f t="array" ref="V145">IFERROR(INDEX('Offer Statistics'!$BQ$2:$BQ$600,MATCH(1,($B145='Offer Statistics'!$BB$2:$BB$600)*($B$11='Offer Statistics'!$BC$2:$BC$600),0)),"/")</f>
        <v>22</v>
      </c>
      <c r="W145" s="2" cm="1">
        <f t="array" ref="W145">IFERROR(INDEX('Offer Statistics'!$BD$2:$BD$600,MATCH(1,($B145='Offer Statistics'!$BB$2:$BB$600)*($B$11='Offer Statistics'!$BC$2:$BC$600),0)),"/")</f>
        <v>130</v>
      </c>
      <c r="X145" s="2" cm="1">
        <f t="array" ref="X145">IFERROR(INDEX('Offer Statistics'!$BL$2:$BL$600,MATCH(1,($B145='Offer Statistics'!$BB$2:$BB$600)*($B$11='Offer Statistics'!$BC$2:$BC$600),0)),"/")</f>
        <v>22</v>
      </c>
      <c r="Y145" s="2">
        <f t="shared" ref="Y145:Y210" si="215">IFERROR(W145/X145,"新科目")</f>
        <v>5.9090909090909092</v>
      </c>
      <c r="Z145" s="2" t="s">
        <v>1046</v>
      </c>
      <c r="AA145" s="435" t="str">
        <f>入學要求!AF154</f>
        <v>/</v>
      </c>
      <c r="AB145" s="435" t="str">
        <f>入學要求!AG154</f>
        <v>/</v>
      </c>
      <c r="AC145" s="346" t="s">
        <v>785</v>
      </c>
      <c r="AD145" s="346"/>
      <c r="AE145" s="346"/>
      <c r="AF145" s="346" t="s">
        <v>324</v>
      </c>
      <c r="AG145" s="346" t="s">
        <v>324</v>
      </c>
      <c r="AH145" s="346" t="s">
        <v>324</v>
      </c>
      <c r="AI145" s="346" t="s">
        <v>324</v>
      </c>
      <c r="AJ145" s="346" t="s">
        <v>324</v>
      </c>
      <c r="AK145" s="2" t="s">
        <v>324</v>
      </c>
      <c r="AL145" s="2" t="s">
        <v>324</v>
      </c>
      <c r="AM145" s="2" t="s">
        <v>324</v>
      </c>
      <c r="AN145" s="2" t="s">
        <v>324</v>
      </c>
      <c r="AO145" s="2" t="s">
        <v>324</v>
      </c>
      <c r="AP145" s="2" t="s">
        <v>324</v>
      </c>
      <c r="AQ145" s="2" t="s">
        <v>324</v>
      </c>
      <c r="AR145" s="2" t="s">
        <v>324</v>
      </c>
      <c r="AT145" s="2" t="s">
        <v>716</v>
      </c>
      <c r="AV145" s="2" t="s">
        <v>713</v>
      </c>
      <c r="AZ145" s="2">
        <v>1</v>
      </c>
      <c r="BA145" s="2">
        <v>1</v>
      </c>
      <c r="BB145" s="2">
        <v>1</v>
      </c>
      <c r="BD145" s="2">
        <v>1</v>
      </c>
      <c r="BE145" s="2">
        <v>1</v>
      </c>
      <c r="BF145" s="2">
        <v>1</v>
      </c>
      <c r="BG145" s="2">
        <v>1</v>
      </c>
      <c r="BH145" s="2" t="str">
        <f>B145</f>
        <v>JS4006</v>
      </c>
      <c r="BI145" s="197">
        <v>4</v>
      </c>
      <c r="BJ145" s="197">
        <v>4</v>
      </c>
      <c r="BK145" s="197">
        <v>3</v>
      </c>
      <c r="BL145" s="197" t="s">
        <v>324</v>
      </c>
      <c r="BM145" s="197" t="s">
        <v>324</v>
      </c>
      <c r="BN145" s="197">
        <v>7</v>
      </c>
      <c r="BO145" s="197">
        <v>4</v>
      </c>
      <c r="BP145" s="197">
        <v>4</v>
      </c>
      <c r="BQ145" s="194">
        <f>IFERROR(BI145+0.00000000004,0)</f>
        <v>4.00000000004</v>
      </c>
      <c r="BR145" s="194">
        <f>IFERROR(BJ145+0.00000000002,0)</f>
        <v>4.00000000002</v>
      </c>
      <c r="BS145" s="194">
        <f>IFERROR(BK145+0.00000000003,0)</f>
        <v>3.00000000003</v>
      </c>
      <c r="BU145" s="194">
        <f>IFERROR(BM145+0.00000000005,0)</f>
        <v>0</v>
      </c>
      <c r="BV145" s="194">
        <f>IFERROR(BN145+0.00000000006,0)</f>
        <v>7.00000000006</v>
      </c>
      <c r="BW145" s="194">
        <f>IFERROR(BO145+0.00000000007,0)</f>
        <v>4.00000000007</v>
      </c>
      <c r="BX145" s="194">
        <f>IFERROR(BP145+0.00000000008,0)</f>
        <v>4.00000000008</v>
      </c>
      <c r="BY145" s="2">
        <f t="shared" ref="BY145:BY176" si="216">AZ145*BQ145</f>
        <v>4.00000000004</v>
      </c>
      <c r="BZ145" s="2">
        <f t="shared" ref="BZ145:BZ176" si="217">BA145*BR145</f>
        <v>4.00000000002</v>
      </c>
      <c r="CA145" s="2">
        <f t="shared" ref="CA145:CA176" si="218">BB145*BS145</f>
        <v>3.00000000003</v>
      </c>
      <c r="CC145" s="2">
        <f t="shared" ref="CC145:CC176" si="219">BD145*BU145</f>
        <v>0</v>
      </c>
      <c r="CD145" s="2">
        <f t="shared" ref="CD145:CD176" si="220">BE145*BV145</f>
        <v>7.00000000006</v>
      </c>
      <c r="CE145" s="2">
        <f t="shared" ref="CE145:CE176" si="221">BF145*BW145</f>
        <v>4.00000000007</v>
      </c>
      <c r="CF145" s="2">
        <f t="shared" ref="CF145:CF176" si="222">BG145*BX145</f>
        <v>4.00000000008</v>
      </c>
      <c r="CG145" s="2" t="b">
        <f>IF(BY145&gt;LARGE($BY145:$CF145,6),TRUE)</f>
        <v>1</v>
      </c>
      <c r="CH145" s="2" t="b">
        <f t="shared" ref="CH145:CN145" si="223">IF(BZ145&gt;LARGE($BY145:$CF145,6),TRUE)</f>
        <v>1</v>
      </c>
      <c r="CI145" s="2" t="b">
        <f t="shared" si="223"/>
        <v>0</v>
      </c>
      <c r="CK145" s="2" t="b">
        <f t="shared" si="223"/>
        <v>0</v>
      </c>
      <c r="CL145" s="2" t="b">
        <f t="shared" si="223"/>
        <v>1</v>
      </c>
      <c r="CM145" s="2" t="b">
        <f t="shared" si="223"/>
        <v>1</v>
      </c>
      <c r="CN145" s="2" t="b">
        <f t="shared" si="223"/>
        <v>1</v>
      </c>
      <c r="CO145" s="2">
        <v>1</v>
      </c>
      <c r="CP145" s="2">
        <v>1</v>
      </c>
      <c r="CQ145" s="2">
        <v>1</v>
      </c>
      <c r="CS145" s="2">
        <v>1</v>
      </c>
      <c r="CT145" s="2">
        <v>1</v>
      </c>
      <c r="CU145" s="2">
        <v>1</v>
      </c>
      <c r="CV145" s="2">
        <v>1</v>
      </c>
      <c r="CX145" s="2">
        <v>4</v>
      </c>
      <c r="CY145" s="2">
        <v>5.5</v>
      </c>
      <c r="CZ145" s="2">
        <v>4</v>
      </c>
      <c r="DB145" s="2">
        <v>4</v>
      </c>
      <c r="DC145" s="2">
        <v>5.5</v>
      </c>
      <c r="DD145" s="2">
        <v>4</v>
      </c>
      <c r="DE145" s="2">
        <v>4</v>
      </c>
      <c r="DF145" s="194">
        <f>IFERROR(CX145+0.00000000004,0)</f>
        <v>4.00000000004</v>
      </c>
      <c r="DG145" s="194">
        <f>IFERROR(CY145+0.00000000002,0)</f>
        <v>5.50000000002</v>
      </c>
      <c r="DH145" s="194">
        <f>IFERROR(CZ145+0.00000000003,0)</f>
        <v>4.00000000003</v>
      </c>
      <c r="DJ145" s="194">
        <f>IFERROR(DB145+0.00000000005,0)</f>
        <v>4.00000000005</v>
      </c>
      <c r="DK145" s="194">
        <f>IFERROR(DC145+0.00000000006,0)</f>
        <v>5.50000000006</v>
      </c>
      <c r="DL145" s="194">
        <f>IFERROR(DD145+0.00000000007,0)</f>
        <v>4.00000000007</v>
      </c>
      <c r="DM145" s="194">
        <f>IFERROR(DE145+0.00000000008,0)</f>
        <v>4.00000000008</v>
      </c>
      <c r="DN145" s="2">
        <f t="shared" ref="DN145:DN176" si="224">DF145*CO145</f>
        <v>4.00000000004</v>
      </c>
      <c r="DO145" s="2">
        <f t="shared" ref="DO145:DO176" si="225">DG145*CP145</f>
        <v>5.50000000002</v>
      </c>
      <c r="DP145" s="2">
        <f t="shared" ref="DP145:DP176" si="226">DH145*CQ145</f>
        <v>4.00000000003</v>
      </c>
      <c r="DR145" s="2">
        <f t="shared" ref="DR145:DR176" si="227">DJ145*CS145</f>
        <v>4.00000000005</v>
      </c>
      <c r="DS145" s="2">
        <f t="shared" ref="DS145:DS176" si="228">DK145*CT145</f>
        <v>5.50000000006</v>
      </c>
      <c r="DT145" s="2">
        <f t="shared" ref="DT145:DT176" si="229">DL145*CU145</f>
        <v>4.00000000007</v>
      </c>
      <c r="DU145" s="2">
        <f t="shared" ref="DU145:DU176" si="230">DM145*CV145</f>
        <v>4.00000000008</v>
      </c>
      <c r="DV145" s="2" t="b">
        <f>IF(DN145&gt;LARGE($DN145:$DU145,6),TRUE)</f>
        <v>0</v>
      </c>
      <c r="DW145" s="2" t="b">
        <f t="shared" ref="DW145:EC145" si="231">IF(DO145&gt;LARGE($DN145:$DU145,6),TRUE)</f>
        <v>1</v>
      </c>
      <c r="DX145" s="2" t="b">
        <f t="shared" si="231"/>
        <v>0</v>
      </c>
      <c r="DZ145" s="2" t="b">
        <f t="shared" si="231"/>
        <v>1</v>
      </c>
      <c r="EA145" s="2" t="b">
        <f t="shared" si="231"/>
        <v>1</v>
      </c>
      <c r="EB145" s="2" t="b">
        <f t="shared" si="231"/>
        <v>1</v>
      </c>
      <c r="EC145" s="2" t="b">
        <f t="shared" si="231"/>
        <v>1</v>
      </c>
      <c r="ED145" s="2">
        <v>1</v>
      </c>
      <c r="EE145" s="2">
        <v>1</v>
      </c>
      <c r="EF145" s="2">
        <v>1</v>
      </c>
      <c r="EH145" s="2">
        <v>1</v>
      </c>
      <c r="EI145" s="2">
        <v>1</v>
      </c>
      <c r="EJ145" s="2">
        <v>1</v>
      </c>
      <c r="EK145" s="2">
        <v>1</v>
      </c>
      <c r="EL145" s="2">
        <v>4</v>
      </c>
      <c r="EM145" s="2">
        <v>5.5</v>
      </c>
      <c r="EN145" s="2">
        <v>4</v>
      </c>
      <c r="EP145" s="2">
        <v>3</v>
      </c>
      <c r="EQ145" s="2">
        <v>5.5</v>
      </c>
      <c r="ER145" s="2">
        <v>5.5</v>
      </c>
      <c r="ES145" s="2">
        <v>4</v>
      </c>
      <c r="ET145" s="194">
        <f>IFERROR(EL145+0.00000000004,0)</f>
        <v>4.00000000004</v>
      </c>
      <c r="EU145" s="194">
        <f>IFERROR(EM145+0.00000000002,0)</f>
        <v>5.50000000002</v>
      </c>
      <c r="EV145" s="194">
        <f>IFERROR(EN145+0.00000000003,0)</f>
        <v>4.00000000003</v>
      </c>
      <c r="EW145" s="194">
        <f>IFERROR(EO145+0.00000000001,0)</f>
        <v>9.9999999999999994E-12</v>
      </c>
      <c r="EX145" s="194">
        <f>IFERROR(EP145+0.00000000005,0)</f>
        <v>3.00000000005</v>
      </c>
      <c r="EY145" s="194">
        <f>IFERROR(EQ145+0.00000000006,0)</f>
        <v>5.50000000006</v>
      </c>
      <c r="EZ145" s="194">
        <f>IFERROR(ER145+0.00000000007,0)</f>
        <v>5.50000000007</v>
      </c>
      <c r="FA145" s="194">
        <f>IFERROR(ES145+0.00000000008,0)</f>
        <v>4.00000000008</v>
      </c>
      <c r="FB145" s="2">
        <f>ET145*ED145</f>
        <v>4.00000000004</v>
      </c>
      <c r="FC145" s="2">
        <f t="shared" ref="FC145:FI145" si="232">EU145*EE145</f>
        <v>5.50000000002</v>
      </c>
      <c r="FD145" s="2">
        <f t="shared" si="232"/>
        <v>4.00000000003</v>
      </c>
      <c r="FE145" s="2">
        <f t="shared" si="232"/>
        <v>0</v>
      </c>
      <c r="FF145" s="2">
        <f t="shared" si="232"/>
        <v>3.00000000005</v>
      </c>
      <c r="FG145" s="2">
        <f t="shared" si="232"/>
        <v>5.50000000006</v>
      </c>
      <c r="FH145" s="2">
        <f t="shared" si="232"/>
        <v>5.50000000007</v>
      </c>
      <c r="FI145" s="2">
        <f t="shared" si="232"/>
        <v>4.00000000008</v>
      </c>
      <c r="FJ145" s="2" t="b">
        <f>IF(FB145&gt;LARGE($FB145:$FI145,6),TRUE)</f>
        <v>1</v>
      </c>
      <c r="FK145" s="2" t="b">
        <f t="shared" ref="FK145:FQ145" si="233">IF(FC145&gt;LARGE($FB145:$FI145,6),TRUE)</f>
        <v>1</v>
      </c>
      <c r="FL145" s="2" t="b">
        <f t="shared" si="233"/>
        <v>0</v>
      </c>
      <c r="FM145" s="2" t="b">
        <f t="shared" si="233"/>
        <v>0</v>
      </c>
      <c r="FN145" s="2" t="b">
        <f t="shared" si="233"/>
        <v>0</v>
      </c>
      <c r="FO145" s="2" t="b">
        <f t="shared" si="233"/>
        <v>1</v>
      </c>
      <c r="FP145" s="2" t="b">
        <f t="shared" si="233"/>
        <v>1</v>
      </c>
      <c r="FQ145" s="2" t="b">
        <f t="shared" si="233"/>
        <v>1</v>
      </c>
    </row>
    <row r="146" spans="1:173" ht="15.6">
      <c r="A146" s="335" t="s">
        <v>1155</v>
      </c>
      <c r="B146" s="346" t="s">
        <v>1155</v>
      </c>
      <c r="C146" s="346" t="s">
        <v>227</v>
      </c>
      <c r="D146" s="346" t="s">
        <v>940</v>
      </c>
      <c r="E146" s="346" t="s">
        <v>1156</v>
      </c>
      <c r="F146" s="2" t="s">
        <v>785</v>
      </c>
      <c r="G146" s="2" t="s">
        <v>324</v>
      </c>
      <c r="H146" s="2">
        <v>30.7</v>
      </c>
      <c r="I146" s="2">
        <v>29.2</v>
      </c>
      <c r="J146" s="2">
        <v>28.2</v>
      </c>
      <c r="K146" s="435">
        <f t="shared" ref="K146:K209" si="234">SUMIF(FJ146:FQ146,TRUE,FB146:FI146)</f>
        <v>30.700000000287996</v>
      </c>
      <c r="L146" s="435">
        <f t="shared" ref="L146:L209" si="235">SUMIF(DV146:EC146,TRUE,DN146:DU146)</f>
        <v>29.200000000287996</v>
      </c>
      <c r="M146" s="435">
        <f t="shared" ref="M146:M209" si="236">SUMIF(CG146:CN146,TRUE,BY146:CF146)</f>
        <v>28.200000000287996</v>
      </c>
      <c r="N146" s="346" t="s">
        <v>324</v>
      </c>
      <c r="O146" s="346" t="s">
        <v>324</v>
      </c>
      <c r="P146" s="346" t="s">
        <v>1157</v>
      </c>
      <c r="Q146" s="346" t="s">
        <v>324</v>
      </c>
      <c r="R146" s="346" t="s">
        <v>324</v>
      </c>
      <c r="S146" s="346" t="s">
        <v>1158</v>
      </c>
      <c r="T146" s="2" t="s">
        <v>1046</v>
      </c>
      <c r="U146" s="2">
        <v>79</v>
      </c>
      <c r="V146" s="2" cm="1">
        <f t="array" ref="V146">IFERROR(INDEX('Offer Statistics'!$BQ$2:$BQ$600,MATCH(1,(B146='Offer Statistics'!$BB$2:$BB$600)*($B$11='Offer Statistics'!$BC$2:$BC$600),0)),"/")</f>
        <v>80</v>
      </c>
      <c r="W146" s="2" cm="1">
        <f t="array" ref="W146">IFERROR(INDEX('Offer Statistics'!$BD$2:$BD$600,MATCH(1,($B146='Offer Statistics'!$BB$2:$BB$600)*($B$11='Offer Statistics'!$BC$2:$BC$600),0)),"/")</f>
        <v>353</v>
      </c>
      <c r="X146" s="2" cm="1">
        <f t="array" ref="X146">IFERROR(INDEX('Offer Statistics'!$BL$2:$BL$600,MATCH(1,($B146='Offer Statistics'!$BB$2:$BB$600)*($B$11='Offer Statistics'!$BC$2:$BC$600),0)),"/")</f>
        <v>80</v>
      </c>
      <c r="Y146" s="2">
        <f t="shared" si="215"/>
        <v>4.4124999999999996</v>
      </c>
      <c r="Z146" s="2" t="s">
        <v>1046</v>
      </c>
      <c r="AA146" s="435" t="str">
        <f>入學要求!AF155</f>
        <v>/</v>
      </c>
      <c r="AB146" s="435" t="str">
        <f>入學要求!AG155</f>
        <v>/</v>
      </c>
      <c r="AC146" s="424" t="s">
        <v>785</v>
      </c>
      <c r="AD146" s="346"/>
      <c r="AE146" s="346"/>
      <c r="AF146" s="346" t="s">
        <v>324</v>
      </c>
      <c r="AG146" s="346" t="s">
        <v>324</v>
      </c>
      <c r="AH146" s="346" t="s">
        <v>1157</v>
      </c>
      <c r="AI146" s="346" t="s">
        <v>324</v>
      </c>
      <c r="AJ146" s="346" t="s">
        <v>324</v>
      </c>
      <c r="AK146" s="2" t="s">
        <v>324</v>
      </c>
      <c r="AL146" s="2" t="s">
        <v>324</v>
      </c>
      <c r="AM146" s="2" t="s">
        <v>324</v>
      </c>
      <c r="AN146" s="2" t="s">
        <v>324</v>
      </c>
      <c r="AO146" s="2" t="s">
        <v>324</v>
      </c>
      <c r="AP146" s="2" t="s">
        <v>324</v>
      </c>
      <c r="AQ146" s="2" t="s">
        <v>324</v>
      </c>
      <c r="AR146" s="2" t="s">
        <v>324</v>
      </c>
      <c r="AT146" s="2" t="s">
        <v>716</v>
      </c>
      <c r="AV146" s="2" t="s">
        <v>713</v>
      </c>
      <c r="AZ146" s="2">
        <v>1.2</v>
      </c>
      <c r="BA146" s="2">
        <v>1</v>
      </c>
      <c r="BB146" s="2">
        <v>1</v>
      </c>
      <c r="BD146" s="2">
        <v>1</v>
      </c>
      <c r="BE146" s="2">
        <v>1</v>
      </c>
      <c r="BF146" s="2">
        <v>1</v>
      </c>
      <c r="BG146" s="2">
        <v>1</v>
      </c>
      <c r="BH146" s="2" t="str">
        <f t="shared" ref="BH146:BH209" si="237">B146</f>
        <v>JS4018</v>
      </c>
      <c r="BI146" s="197">
        <v>8.5</v>
      </c>
      <c r="BJ146" s="197">
        <v>3</v>
      </c>
      <c r="BK146" s="197">
        <v>4</v>
      </c>
      <c r="BL146" s="197" t="s">
        <v>324</v>
      </c>
      <c r="BM146" s="197" t="s">
        <v>324</v>
      </c>
      <c r="BN146" s="197">
        <v>7</v>
      </c>
      <c r="BO146" s="197">
        <v>4</v>
      </c>
      <c r="BP146" s="197">
        <v>3</v>
      </c>
      <c r="BQ146" s="194">
        <f t="shared" ref="BQ146:BQ210" si="238">IFERROR(BI146+0.00000000004,0)</f>
        <v>8.50000000004</v>
      </c>
      <c r="BR146" s="194">
        <f t="shared" ref="BR146:BR210" si="239">IFERROR(BJ146+0.00000000002,0)</f>
        <v>3.00000000002</v>
      </c>
      <c r="BS146" s="194">
        <f t="shared" ref="BS146:BS210" si="240">IFERROR(BK146+0.00000000003,0)</f>
        <v>4.00000000003</v>
      </c>
      <c r="BU146" s="194">
        <f t="shared" ref="BU146:BU210" si="241">IFERROR(BM146+0.00000000005,0)</f>
        <v>0</v>
      </c>
      <c r="BV146" s="194">
        <f t="shared" ref="BV146:BV210" si="242">IFERROR(BN146+0.00000000006,0)</f>
        <v>7.00000000006</v>
      </c>
      <c r="BW146" s="194">
        <f t="shared" ref="BW146:BW210" si="243">IFERROR(BO146+0.00000000007,0)</f>
        <v>4.00000000007</v>
      </c>
      <c r="BX146" s="194">
        <f t="shared" ref="BX146:BX210" si="244">IFERROR(BP146+0.00000000008,0)</f>
        <v>3.00000000008</v>
      </c>
      <c r="BY146" s="2">
        <f t="shared" si="216"/>
        <v>10.200000000048</v>
      </c>
      <c r="BZ146" s="2">
        <f t="shared" si="217"/>
        <v>3.00000000002</v>
      </c>
      <c r="CA146" s="2">
        <f t="shared" si="218"/>
        <v>4.00000000003</v>
      </c>
      <c r="CC146" s="2">
        <f t="shared" si="219"/>
        <v>0</v>
      </c>
      <c r="CD146" s="2">
        <f t="shared" si="220"/>
        <v>7.00000000006</v>
      </c>
      <c r="CE146" s="2">
        <f t="shared" si="221"/>
        <v>4.00000000007</v>
      </c>
      <c r="CF146" s="2">
        <f t="shared" si="222"/>
        <v>3.00000000008</v>
      </c>
      <c r="CG146" s="2" t="b">
        <f t="shared" ref="CG146:CG209" si="245">IF(BY146&gt;LARGE($BY146:$CF146,6),TRUE)</f>
        <v>1</v>
      </c>
      <c r="CH146" s="2" t="b">
        <f t="shared" ref="CH146:CH209" si="246">IF(BZ146&gt;LARGE($BY146:$CF146,6),TRUE)</f>
        <v>0</v>
      </c>
      <c r="CI146" s="2" t="b">
        <f t="shared" ref="CI146:CI209" si="247">IF(CA146&gt;LARGE($BY146:$CF146,6),TRUE)</f>
        <v>1</v>
      </c>
      <c r="CK146" s="2" t="b">
        <f t="shared" ref="CK146:CK209" si="248">IF(CC146&gt;LARGE($BY146:$CF146,6),TRUE)</f>
        <v>0</v>
      </c>
      <c r="CL146" s="2" t="b">
        <f t="shared" ref="CL146:CL209" si="249">IF(CD146&gt;LARGE($BY146:$CF146,6),TRUE)</f>
        <v>1</v>
      </c>
      <c r="CM146" s="2" t="b">
        <f t="shared" ref="CM146:CM209" si="250">IF(CE146&gt;LARGE($BY146:$CF146,6),TRUE)</f>
        <v>1</v>
      </c>
      <c r="CN146" s="2" t="b">
        <f t="shared" ref="CN146:CN209" si="251">IF(CF146&gt;LARGE($BY146:$CF146,6),TRUE)</f>
        <v>1</v>
      </c>
      <c r="CO146" s="2">
        <v>1.2</v>
      </c>
      <c r="CP146" s="2">
        <v>1</v>
      </c>
      <c r="CQ146" s="2">
        <v>1</v>
      </c>
      <c r="CS146" s="2">
        <v>1</v>
      </c>
      <c r="CT146" s="2">
        <v>1</v>
      </c>
      <c r="CU146" s="2">
        <v>1</v>
      </c>
      <c r="CV146" s="2">
        <v>1</v>
      </c>
      <c r="CX146" s="2">
        <v>8.5</v>
      </c>
      <c r="CY146" s="2">
        <v>3</v>
      </c>
      <c r="CZ146" s="2">
        <v>5.5</v>
      </c>
      <c r="DB146" s="2" t="s">
        <v>324</v>
      </c>
      <c r="DC146" s="2">
        <v>5.5</v>
      </c>
      <c r="DD146" s="2">
        <v>4</v>
      </c>
      <c r="DE146" s="2">
        <v>4</v>
      </c>
      <c r="DF146" s="194">
        <f t="shared" ref="DF146:DF210" si="252">IFERROR(CX146+0.00000000004,0)</f>
        <v>8.50000000004</v>
      </c>
      <c r="DG146" s="194">
        <f t="shared" ref="DG146:DG210" si="253">IFERROR(CY146+0.00000000002,0)</f>
        <v>3.00000000002</v>
      </c>
      <c r="DH146" s="194">
        <f t="shared" ref="DH146:DH198" si="254">IFERROR(CZ146+0.00000000003,0)</f>
        <v>5.50000000003</v>
      </c>
      <c r="DJ146" s="194">
        <f t="shared" ref="DJ146:DJ198" si="255">IFERROR(DB146+0.00000000005,0)</f>
        <v>0</v>
      </c>
      <c r="DK146" s="194">
        <f t="shared" ref="DK146:DK198" si="256">IFERROR(DC146+0.00000000006,0)</f>
        <v>5.50000000006</v>
      </c>
      <c r="DL146" s="194">
        <f t="shared" ref="DL146:DL198" si="257">IFERROR(DD146+0.00000000007,0)</f>
        <v>4.00000000007</v>
      </c>
      <c r="DM146" s="194">
        <f t="shared" ref="DM146:DM198" si="258">IFERROR(DE146+0.00000000008,0)</f>
        <v>4.00000000008</v>
      </c>
      <c r="DN146" s="2">
        <f t="shared" si="224"/>
        <v>10.200000000048</v>
      </c>
      <c r="DO146" s="2">
        <f t="shared" si="225"/>
        <v>3.00000000002</v>
      </c>
      <c r="DP146" s="2">
        <f t="shared" si="226"/>
        <v>5.50000000003</v>
      </c>
      <c r="DR146" s="2">
        <f t="shared" si="227"/>
        <v>0</v>
      </c>
      <c r="DS146" s="2">
        <f t="shared" si="228"/>
        <v>5.50000000006</v>
      </c>
      <c r="DT146" s="2">
        <f t="shared" si="229"/>
        <v>4.00000000007</v>
      </c>
      <c r="DU146" s="2">
        <f t="shared" si="230"/>
        <v>4.00000000008</v>
      </c>
      <c r="DV146" s="2" t="b">
        <f t="shared" ref="DV146:DV209" si="259">IF(DN146&gt;LARGE($DN146:$DU146,6),TRUE)</f>
        <v>1</v>
      </c>
      <c r="DW146" s="2" t="b">
        <f t="shared" ref="DW146:DW209" si="260">IF(DO146&gt;LARGE($DN146:$DU146,6),TRUE)</f>
        <v>0</v>
      </c>
      <c r="DX146" s="2" t="b">
        <f t="shared" ref="DX146:DX209" si="261">IF(DP146&gt;LARGE($DN146:$DU146,6),TRUE)</f>
        <v>1</v>
      </c>
      <c r="DZ146" s="2" t="b">
        <f t="shared" ref="DZ146:DZ209" si="262">IF(DR146&gt;LARGE($DN146:$DU146,6),TRUE)</f>
        <v>0</v>
      </c>
      <c r="EA146" s="2" t="b">
        <f t="shared" ref="EA146:EA209" si="263">IF(DS146&gt;LARGE($DN146:$DU146,6),TRUE)</f>
        <v>1</v>
      </c>
      <c r="EB146" s="2" t="b">
        <f t="shared" ref="EB146:EB209" si="264">IF(DT146&gt;LARGE($DN146:$DU146,6),TRUE)</f>
        <v>1</v>
      </c>
      <c r="EC146" s="2" t="b">
        <f t="shared" ref="EC146:EC209" si="265">IF(DU146&gt;LARGE($DN146:$DU146,6),TRUE)</f>
        <v>1</v>
      </c>
      <c r="ED146" s="2">
        <v>1.2</v>
      </c>
      <c r="EE146" s="2">
        <v>1</v>
      </c>
      <c r="EF146" s="2">
        <v>1</v>
      </c>
      <c r="EH146" s="2">
        <v>1</v>
      </c>
      <c r="EI146" s="2">
        <v>1</v>
      </c>
      <c r="EJ146" s="2">
        <v>1</v>
      </c>
      <c r="EK146" s="2">
        <v>1</v>
      </c>
      <c r="EL146" s="2">
        <v>8.5</v>
      </c>
      <c r="EM146" s="2">
        <v>4</v>
      </c>
      <c r="EN146" s="2">
        <v>4</v>
      </c>
      <c r="EP146" s="2" t="s">
        <v>324</v>
      </c>
      <c r="EQ146" s="2">
        <v>7</v>
      </c>
      <c r="ER146" s="2">
        <v>5.5</v>
      </c>
      <c r="ES146" s="2">
        <v>4</v>
      </c>
      <c r="ET146" s="194">
        <f t="shared" ref="ET146:ET210" si="266">IFERROR(EL146+0.00000000004,0)</f>
        <v>8.50000000004</v>
      </c>
      <c r="EU146" s="194">
        <f t="shared" ref="EU146:EU210" si="267">IFERROR(EM146+0.00000000002,0)</f>
        <v>4.00000000002</v>
      </c>
      <c r="EV146" s="194">
        <f t="shared" ref="EV146:EV210" si="268">IFERROR(EN146+0.00000000003,0)</f>
        <v>4.00000000003</v>
      </c>
      <c r="EW146" s="194">
        <f t="shared" ref="EW146:EW210" si="269">IFERROR(EO146+0.00000000001,0)</f>
        <v>9.9999999999999994E-12</v>
      </c>
      <c r="EX146" s="194">
        <f t="shared" ref="EX146:EX210" si="270">IFERROR(EP146+0.00000000005,0)</f>
        <v>0</v>
      </c>
      <c r="EY146" s="194">
        <f t="shared" ref="EY146:EY210" si="271">IFERROR(EQ146+0.00000000006,0)</f>
        <v>7.00000000006</v>
      </c>
      <c r="EZ146" s="194">
        <f t="shared" ref="EZ146:EZ210" si="272">IFERROR(ER146+0.00000000007,0)</f>
        <v>5.50000000007</v>
      </c>
      <c r="FA146" s="194">
        <f t="shared" ref="FA146:FA210" si="273">IFERROR(ES146+0.00000000008,0)</f>
        <v>4.00000000008</v>
      </c>
      <c r="FB146" s="2">
        <f t="shared" ref="FB146:FB170" si="274">ET146*ED146</f>
        <v>10.200000000048</v>
      </c>
      <c r="FC146" s="2">
        <f t="shared" ref="FC146:FC170" si="275">EU146*EE146</f>
        <v>4.00000000002</v>
      </c>
      <c r="FD146" s="2">
        <f t="shared" ref="FD146:FD170" si="276">EV146*EF146</f>
        <v>4.00000000003</v>
      </c>
      <c r="FE146" s="2">
        <f t="shared" ref="FE146:FE170" si="277">EW146*EG146</f>
        <v>0</v>
      </c>
      <c r="FF146" s="2">
        <f t="shared" ref="FF146:FF170" si="278">EX146*EH146</f>
        <v>0</v>
      </c>
      <c r="FG146" s="2">
        <f t="shared" ref="FG146:FG170" si="279">EY146*EI146</f>
        <v>7.00000000006</v>
      </c>
      <c r="FH146" s="2">
        <f t="shared" ref="FH146:FH170" si="280">EZ146*EJ146</f>
        <v>5.50000000007</v>
      </c>
      <c r="FI146" s="2">
        <f t="shared" ref="FI146:FI170" si="281">FA146*EK146</f>
        <v>4.00000000008</v>
      </c>
      <c r="FJ146" s="2" t="b">
        <f t="shared" ref="FJ146:FJ209" si="282">IF(FB146&gt;LARGE($FB146:$FI146,6),TRUE)</f>
        <v>1</v>
      </c>
      <c r="FK146" s="2" t="b">
        <f t="shared" ref="FK146:FK209" si="283">IF(FC146&gt;LARGE($FB146:$FI146,6),TRUE)</f>
        <v>0</v>
      </c>
      <c r="FL146" s="2" t="b">
        <f t="shared" ref="FL146:FL209" si="284">IF(FD146&gt;LARGE($FB146:$FI146,6),TRUE)</f>
        <v>1</v>
      </c>
      <c r="FM146" s="2" t="b">
        <f t="shared" ref="FM146:FM209" si="285">IF(FE146&gt;LARGE($FB146:$FI146,6),TRUE)</f>
        <v>0</v>
      </c>
      <c r="FN146" s="2" t="b">
        <f t="shared" ref="FN146:FN209" si="286">IF(FF146&gt;LARGE($FB146:$FI146,6),TRUE)</f>
        <v>0</v>
      </c>
      <c r="FO146" s="2" t="b">
        <f t="shared" ref="FO146:FO209" si="287">IF(FG146&gt;LARGE($FB146:$FI146,6),TRUE)</f>
        <v>1</v>
      </c>
      <c r="FP146" s="2" t="b">
        <f t="shared" ref="FP146:FP209" si="288">IF(FH146&gt;LARGE($FB146:$FI146,6),TRUE)</f>
        <v>1</v>
      </c>
      <c r="FQ146" s="2" t="b">
        <f t="shared" ref="FQ146:FQ209" si="289">IF(FI146&gt;LARGE($FB146:$FI146,6),TRUE)</f>
        <v>1</v>
      </c>
    </row>
    <row r="147" spans="1:173" ht="15.6">
      <c r="A147" s="335" t="s">
        <v>1165</v>
      </c>
      <c r="B147" s="346" t="s">
        <v>1165</v>
      </c>
      <c r="C147" s="346" t="s">
        <v>227</v>
      </c>
      <c r="D147" s="346" t="s">
        <v>940</v>
      </c>
      <c r="E147" s="346" t="s">
        <v>73</v>
      </c>
      <c r="F147" s="2" t="s">
        <v>785</v>
      </c>
      <c r="G147" s="2" t="s">
        <v>324</v>
      </c>
      <c r="H147" s="2">
        <v>28</v>
      </c>
      <c r="I147" s="2">
        <v>27</v>
      </c>
      <c r="J147" s="2">
        <v>26</v>
      </c>
      <c r="K147" s="435">
        <f t="shared" si="234"/>
        <v>28.000000000239996</v>
      </c>
      <c r="L147" s="435">
        <f t="shared" si="235"/>
        <v>27.000000000229999</v>
      </c>
      <c r="M147" s="435">
        <f t="shared" si="236"/>
        <v>26.000000000229999</v>
      </c>
      <c r="N147" s="346" t="s">
        <v>3033</v>
      </c>
      <c r="O147" s="346" t="s">
        <v>324</v>
      </c>
      <c r="P147" s="346" t="s">
        <v>734</v>
      </c>
      <c r="Q147" s="346" t="s">
        <v>324</v>
      </c>
      <c r="R147" s="346" t="s">
        <v>324</v>
      </c>
      <c r="S147" s="346" t="s">
        <v>1166</v>
      </c>
      <c r="T147" s="2" t="s">
        <v>1046</v>
      </c>
      <c r="U147" s="2">
        <v>55</v>
      </c>
      <c r="V147" s="2" cm="1">
        <f t="array" ref="V147">IFERROR(INDEX('Offer Statistics'!$BQ$2:$BQ$600,MATCH(1,(B147='Offer Statistics'!$BB$2:$BB$600)*($B$11='Offer Statistics'!$BC$2:$BC$600),0)),"/")</f>
        <v>49</v>
      </c>
      <c r="W147" s="2" cm="1">
        <f t="array" ref="W147">IFERROR(INDEX('Offer Statistics'!$BD$2:$BD$600,MATCH(1,($B147='Offer Statistics'!$BB$2:$BB$600)*($B$11='Offer Statistics'!$BC$2:$BC$600),0)),"/")</f>
        <v>258</v>
      </c>
      <c r="X147" s="2" cm="1">
        <f t="array" ref="X147">IFERROR(INDEX('Offer Statistics'!$BL$2:$BL$600,MATCH(1,($B147='Offer Statistics'!$BB$2:$BB$600)*($B$11='Offer Statistics'!$BC$2:$BC$600),0)),"/")</f>
        <v>49</v>
      </c>
      <c r="Y147" s="2">
        <f t="shared" si="215"/>
        <v>5.2653061224489797</v>
      </c>
      <c r="Z147" s="2" t="s">
        <v>1046</v>
      </c>
      <c r="AA147" s="435" t="str">
        <f>入學要求!AF156</f>
        <v>/</v>
      </c>
      <c r="AB147" s="435" t="str">
        <f>入學要求!AG156</f>
        <v>/</v>
      </c>
      <c r="AC147" s="424" t="s">
        <v>785</v>
      </c>
      <c r="AD147" s="346"/>
      <c r="AE147" s="346"/>
      <c r="AF147" s="346" t="s">
        <v>1167</v>
      </c>
      <c r="AG147" s="346" t="s">
        <v>324</v>
      </c>
      <c r="AH147" s="346" t="s">
        <v>732</v>
      </c>
      <c r="AI147" s="346" t="s">
        <v>324</v>
      </c>
      <c r="AJ147" s="346" t="s">
        <v>324</v>
      </c>
      <c r="AK147" s="2" t="s">
        <v>324</v>
      </c>
      <c r="AL147" s="2" t="s">
        <v>324</v>
      </c>
      <c r="AM147" s="2" t="s">
        <v>324</v>
      </c>
      <c r="AN147" s="2" t="s">
        <v>324</v>
      </c>
      <c r="AO147" s="2" t="s">
        <v>324</v>
      </c>
      <c r="AP147" s="2" t="s">
        <v>324</v>
      </c>
      <c r="AQ147" s="2" t="s">
        <v>324</v>
      </c>
      <c r="AR147" s="2" t="s">
        <v>324</v>
      </c>
      <c r="AT147" s="2" t="s">
        <v>716</v>
      </c>
      <c r="AV147" s="2" t="s">
        <v>713</v>
      </c>
      <c r="AZ147" s="2">
        <v>1</v>
      </c>
      <c r="BA147" s="2">
        <v>1.5</v>
      </c>
      <c r="BB147" s="2">
        <v>1</v>
      </c>
      <c r="BD147" s="2">
        <v>1</v>
      </c>
      <c r="BE147" s="2">
        <v>1</v>
      </c>
      <c r="BF147" s="2">
        <v>1</v>
      </c>
      <c r="BG147" s="2">
        <v>1</v>
      </c>
      <c r="BH147" s="2" t="str">
        <f t="shared" si="237"/>
        <v>JS4032</v>
      </c>
      <c r="BI147" s="197">
        <v>5.5</v>
      </c>
      <c r="BJ147" s="197">
        <v>7</v>
      </c>
      <c r="BK147" s="197">
        <v>3</v>
      </c>
      <c r="BL147" s="197" t="s">
        <v>324</v>
      </c>
      <c r="BM147" s="197" t="s">
        <v>324</v>
      </c>
      <c r="BN147" s="197">
        <v>4</v>
      </c>
      <c r="BO147" s="197">
        <v>3</v>
      </c>
      <c r="BP147" s="197" t="s">
        <v>324</v>
      </c>
      <c r="BQ147" s="194">
        <f t="shared" si="238"/>
        <v>5.50000000004</v>
      </c>
      <c r="BR147" s="194">
        <f t="shared" si="239"/>
        <v>7.00000000002</v>
      </c>
      <c r="BS147" s="194">
        <f t="shared" si="240"/>
        <v>3.00000000003</v>
      </c>
      <c r="BU147" s="194">
        <f t="shared" si="241"/>
        <v>0</v>
      </c>
      <c r="BV147" s="194">
        <f t="shared" si="242"/>
        <v>4.00000000006</v>
      </c>
      <c r="BW147" s="194">
        <f t="shared" si="243"/>
        <v>3.00000000007</v>
      </c>
      <c r="BX147" s="194">
        <f t="shared" si="244"/>
        <v>0</v>
      </c>
      <c r="BY147" s="2">
        <f t="shared" si="216"/>
        <v>5.50000000004</v>
      </c>
      <c r="BZ147" s="2">
        <f t="shared" si="217"/>
        <v>10.500000000029999</v>
      </c>
      <c r="CA147" s="2">
        <f t="shared" si="218"/>
        <v>3.00000000003</v>
      </c>
      <c r="CC147" s="2">
        <f t="shared" si="219"/>
        <v>0</v>
      </c>
      <c r="CD147" s="2">
        <f t="shared" si="220"/>
        <v>4.00000000006</v>
      </c>
      <c r="CE147" s="2">
        <f t="shared" si="221"/>
        <v>3.00000000007</v>
      </c>
      <c r="CF147" s="2">
        <f t="shared" si="222"/>
        <v>0</v>
      </c>
      <c r="CG147" s="2" t="b">
        <f t="shared" si="245"/>
        <v>1</v>
      </c>
      <c r="CH147" s="2" t="b">
        <f t="shared" si="246"/>
        <v>1</v>
      </c>
      <c r="CI147" s="2" t="b">
        <f t="shared" si="247"/>
        <v>1</v>
      </c>
      <c r="CK147" s="2" t="b">
        <f t="shared" si="248"/>
        <v>0</v>
      </c>
      <c r="CL147" s="2" t="b">
        <f t="shared" si="249"/>
        <v>1</v>
      </c>
      <c r="CM147" s="2" t="b">
        <f t="shared" si="250"/>
        <v>1</v>
      </c>
      <c r="CN147" s="2" t="b">
        <f t="shared" si="251"/>
        <v>0</v>
      </c>
      <c r="CO147" s="2">
        <v>1</v>
      </c>
      <c r="CP147" s="2">
        <v>1.5</v>
      </c>
      <c r="CQ147" s="2">
        <v>1</v>
      </c>
      <c r="CS147" s="2">
        <v>1</v>
      </c>
      <c r="CT147" s="2">
        <v>1</v>
      </c>
      <c r="CU147" s="2">
        <v>1</v>
      </c>
      <c r="CV147" s="2">
        <v>1</v>
      </c>
      <c r="CX147" s="2">
        <v>4</v>
      </c>
      <c r="CY147" s="2">
        <v>7</v>
      </c>
      <c r="CZ147" s="2">
        <v>3</v>
      </c>
      <c r="DB147" s="2" t="s">
        <v>324</v>
      </c>
      <c r="DC147" s="2">
        <v>5.5</v>
      </c>
      <c r="DD147" s="2">
        <v>4</v>
      </c>
      <c r="DE147" s="2" t="s">
        <v>324</v>
      </c>
      <c r="DF147" s="194">
        <f t="shared" si="252"/>
        <v>4.00000000004</v>
      </c>
      <c r="DG147" s="194">
        <f t="shared" si="253"/>
        <v>7.00000000002</v>
      </c>
      <c r="DH147" s="194">
        <f t="shared" si="254"/>
        <v>3.00000000003</v>
      </c>
      <c r="DJ147" s="194">
        <f t="shared" si="255"/>
        <v>0</v>
      </c>
      <c r="DK147" s="194">
        <f t="shared" si="256"/>
        <v>5.50000000006</v>
      </c>
      <c r="DL147" s="194">
        <f t="shared" si="257"/>
        <v>4.00000000007</v>
      </c>
      <c r="DM147" s="194">
        <f t="shared" si="258"/>
        <v>0</v>
      </c>
      <c r="DN147" s="2">
        <f t="shared" si="224"/>
        <v>4.00000000004</v>
      </c>
      <c r="DO147" s="2">
        <f t="shared" si="225"/>
        <v>10.500000000029999</v>
      </c>
      <c r="DP147" s="2">
        <f t="shared" si="226"/>
        <v>3.00000000003</v>
      </c>
      <c r="DR147" s="2">
        <f t="shared" si="227"/>
        <v>0</v>
      </c>
      <c r="DS147" s="2">
        <f t="shared" si="228"/>
        <v>5.50000000006</v>
      </c>
      <c r="DT147" s="2">
        <f t="shared" si="229"/>
        <v>4.00000000007</v>
      </c>
      <c r="DU147" s="2">
        <f t="shared" si="230"/>
        <v>0</v>
      </c>
      <c r="DV147" s="2" t="b">
        <f t="shared" si="259"/>
        <v>1</v>
      </c>
      <c r="DW147" s="2" t="b">
        <f t="shared" si="260"/>
        <v>1</v>
      </c>
      <c r="DX147" s="2" t="b">
        <f t="shared" si="261"/>
        <v>1</v>
      </c>
      <c r="DZ147" s="2" t="b">
        <f t="shared" si="262"/>
        <v>0</v>
      </c>
      <c r="EA147" s="2" t="b">
        <f t="shared" si="263"/>
        <v>1</v>
      </c>
      <c r="EB147" s="2" t="b">
        <f t="shared" si="264"/>
        <v>1</v>
      </c>
      <c r="EC147" s="2" t="b">
        <f t="shared" si="265"/>
        <v>0</v>
      </c>
      <c r="ED147" s="2">
        <v>1</v>
      </c>
      <c r="EE147" s="2">
        <v>1.5</v>
      </c>
      <c r="EF147" s="2">
        <v>1</v>
      </c>
      <c r="EH147" s="2">
        <v>1</v>
      </c>
      <c r="EI147" s="2">
        <v>1</v>
      </c>
      <c r="EJ147" s="2">
        <v>1</v>
      </c>
      <c r="EK147" s="2">
        <v>1</v>
      </c>
      <c r="EL147" s="2">
        <v>3</v>
      </c>
      <c r="EM147" s="2">
        <v>7</v>
      </c>
      <c r="EN147" s="2">
        <v>5.5</v>
      </c>
      <c r="EP147" s="2">
        <v>4</v>
      </c>
      <c r="EQ147" s="2">
        <v>4</v>
      </c>
      <c r="ER147" s="2">
        <v>4</v>
      </c>
      <c r="ES147" s="2">
        <v>3</v>
      </c>
      <c r="ET147" s="194">
        <f t="shared" si="266"/>
        <v>3.00000000004</v>
      </c>
      <c r="EU147" s="194">
        <f t="shared" si="267"/>
        <v>7.00000000002</v>
      </c>
      <c r="EV147" s="194">
        <f t="shared" si="268"/>
        <v>5.50000000003</v>
      </c>
      <c r="EW147" s="194">
        <f t="shared" si="269"/>
        <v>9.9999999999999994E-12</v>
      </c>
      <c r="EX147" s="194">
        <f t="shared" si="270"/>
        <v>4.00000000005</v>
      </c>
      <c r="EY147" s="194">
        <f t="shared" si="271"/>
        <v>4.00000000006</v>
      </c>
      <c r="EZ147" s="194">
        <f t="shared" si="272"/>
        <v>4.00000000007</v>
      </c>
      <c r="FA147" s="194">
        <f t="shared" si="273"/>
        <v>3.00000000008</v>
      </c>
      <c r="FB147" s="2">
        <f t="shared" si="274"/>
        <v>3.00000000004</v>
      </c>
      <c r="FC147" s="2">
        <f t="shared" si="275"/>
        <v>10.500000000029999</v>
      </c>
      <c r="FD147" s="2">
        <f t="shared" si="276"/>
        <v>5.50000000003</v>
      </c>
      <c r="FE147" s="2">
        <f t="shared" si="277"/>
        <v>0</v>
      </c>
      <c r="FF147" s="2">
        <f t="shared" si="278"/>
        <v>4.00000000005</v>
      </c>
      <c r="FG147" s="2">
        <f t="shared" si="279"/>
        <v>4.00000000006</v>
      </c>
      <c r="FH147" s="2">
        <f t="shared" si="280"/>
        <v>4.00000000007</v>
      </c>
      <c r="FI147" s="2">
        <f t="shared" si="281"/>
        <v>3.00000000008</v>
      </c>
      <c r="FJ147" s="2" t="b">
        <f t="shared" si="282"/>
        <v>0</v>
      </c>
      <c r="FK147" s="2" t="b">
        <f t="shared" si="283"/>
        <v>1</v>
      </c>
      <c r="FL147" s="2" t="b">
        <f t="shared" si="284"/>
        <v>1</v>
      </c>
      <c r="FM147" s="2" t="b">
        <f t="shared" si="285"/>
        <v>0</v>
      </c>
      <c r="FN147" s="2" t="b">
        <f t="shared" si="286"/>
        <v>1</v>
      </c>
      <c r="FO147" s="2" t="b">
        <f t="shared" si="287"/>
        <v>1</v>
      </c>
      <c r="FP147" s="2" t="b">
        <f t="shared" si="288"/>
        <v>1</v>
      </c>
      <c r="FQ147" s="2" t="b">
        <f t="shared" si="289"/>
        <v>0</v>
      </c>
    </row>
    <row r="148" spans="1:173" ht="15.6">
      <c r="A148" s="335" t="s">
        <v>1168</v>
      </c>
      <c r="B148" s="346" t="s">
        <v>1168</v>
      </c>
      <c r="C148" s="346" t="s">
        <v>227</v>
      </c>
      <c r="D148" s="346" t="s">
        <v>940</v>
      </c>
      <c r="E148" s="346" t="s">
        <v>1169</v>
      </c>
      <c r="F148" s="2" t="s">
        <v>785</v>
      </c>
      <c r="G148" s="2" t="s">
        <v>324</v>
      </c>
      <c r="H148" s="2">
        <v>26.5</v>
      </c>
      <c r="I148" s="2">
        <v>25</v>
      </c>
      <c r="J148" s="2">
        <v>24</v>
      </c>
      <c r="K148" s="435">
        <f t="shared" si="234"/>
        <v>26.500000000220002</v>
      </c>
      <c r="L148" s="435">
        <f t="shared" si="235"/>
        <v>25.000000000220002</v>
      </c>
      <c r="M148" s="435">
        <f t="shared" si="236"/>
        <v>24.000000000250001</v>
      </c>
      <c r="N148" s="346" t="s">
        <v>3034</v>
      </c>
      <c r="O148" s="346" t="s">
        <v>324</v>
      </c>
      <c r="P148" s="346" t="s">
        <v>324</v>
      </c>
      <c r="Q148" s="346" t="s">
        <v>324</v>
      </c>
      <c r="R148" s="346" t="s">
        <v>324</v>
      </c>
      <c r="S148" s="346" t="s">
        <v>1170</v>
      </c>
      <c r="T148" s="2" t="s">
        <v>1046</v>
      </c>
      <c r="U148" s="2">
        <v>19</v>
      </c>
      <c r="V148" s="2" cm="1">
        <f t="array" ref="V148">IFERROR(INDEX('Offer Statistics'!$BQ$2:$BQ$600,MATCH(1,(B148='Offer Statistics'!$BB$2:$BB$600)*($B$11='Offer Statistics'!$BC$2:$BC$600),0)),"/")</f>
        <v>19</v>
      </c>
      <c r="W148" s="2" cm="1">
        <f t="array" ref="W148">IFERROR(INDEX('Offer Statistics'!$BD$2:$BD$600,MATCH(1,($B148='Offer Statistics'!$BB$2:$BB$600)*($B$11='Offer Statistics'!$BC$2:$BC$600),0)),"/")</f>
        <v>294</v>
      </c>
      <c r="X148" s="2" cm="1">
        <f t="array" ref="X148">IFERROR(INDEX('Offer Statistics'!$BL$2:$BL$600,MATCH(1,($B148='Offer Statistics'!$BB$2:$BB$600)*($B$11='Offer Statistics'!$BC$2:$BC$600),0)),"/")</f>
        <v>19</v>
      </c>
      <c r="Y148" s="2">
        <f t="shared" si="215"/>
        <v>15.473684210526315</v>
      </c>
      <c r="Z148" s="2" t="s">
        <v>1046</v>
      </c>
      <c r="AA148" s="435" t="str">
        <f>入學要求!AF157</f>
        <v>/</v>
      </c>
      <c r="AB148" s="435" t="str">
        <f>入學要求!AG157</f>
        <v>/</v>
      </c>
      <c r="AC148" s="346" t="s">
        <v>785</v>
      </c>
      <c r="AD148" s="346"/>
      <c r="AE148" s="346"/>
      <c r="AF148" s="346" t="s">
        <v>1171</v>
      </c>
      <c r="AG148" s="346" t="s">
        <v>324</v>
      </c>
      <c r="AH148" s="346" t="s">
        <v>324</v>
      </c>
      <c r="AI148" s="346" t="s">
        <v>324</v>
      </c>
      <c r="AJ148" s="346" t="s">
        <v>324</v>
      </c>
      <c r="AK148" s="2" t="s">
        <v>324</v>
      </c>
      <c r="AL148" s="2" t="s">
        <v>324</v>
      </c>
      <c r="AM148" s="2" t="s">
        <v>324</v>
      </c>
      <c r="AN148" s="2" t="s">
        <v>324</v>
      </c>
      <c r="AO148" s="2" t="s">
        <v>324</v>
      </c>
      <c r="AP148" s="2" t="s">
        <v>324</v>
      </c>
      <c r="AQ148" s="2" t="s">
        <v>324</v>
      </c>
      <c r="AR148" s="2" t="s">
        <v>324</v>
      </c>
      <c r="AT148" s="2" t="s">
        <v>716</v>
      </c>
      <c r="AV148" s="2" t="s">
        <v>713</v>
      </c>
      <c r="AZ148" s="2">
        <v>1</v>
      </c>
      <c r="BA148" s="2">
        <v>1</v>
      </c>
      <c r="BB148" s="2">
        <v>1</v>
      </c>
      <c r="BD148" s="2">
        <v>1</v>
      </c>
      <c r="BE148" s="2">
        <v>1</v>
      </c>
      <c r="BF148" s="2">
        <v>1</v>
      </c>
      <c r="BG148" s="2">
        <v>1</v>
      </c>
      <c r="BH148" s="2" t="str">
        <f t="shared" si="237"/>
        <v>JS4044</v>
      </c>
      <c r="BI148" s="197">
        <v>8.5</v>
      </c>
      <c r="BJ148" s="197">
        <v>3</v>
      </c>
      <c r="BK148" s="197">
        <v>4</v>
      </c>
      <c r="BL148" s="197" t="s">
        <v>324</v>
      </c>
      <c r="BM148" s="197">
        <v>3</v>
      </c>
      <c r="BN148" s="197">
        <v>5.5</v>
      </c>
      <c r="BO148" s="197">
        <v>3</v>
      </c>
      <c r="BP148" s="197" t="s">
        <v>324</v>
      </c>
      <c r="BQ148" s="194">
        <f t="shared" si="238"/>
        <v>8.50000000004</v>
      </c>
      <c r="BR148" s="194">
        <f t="shared" si="239"/>
        <v>3.00000000002</v>
      </c>
      <c r="BS148" s="194">
        <f t="shared" si="240"/>
        <v>4.00000000003</v>
      </c>
      <c r="BU148" s="194">
        <f t="shared" si="241"/>
        <v>3.00000000005</v>
      </c>
      <c r="BV148" s="194">
        <f t="shared" si="242"/>
        <v>5.50000000006</v>
      </c>
      <c r="BW148" s="194">
        <f t="shared" si="243"/>
        <v>3.00000000007</v>
      </c>
      <c r="BX148" s="194">
        <f t="shared" si="244"/>
        <v>0</v>
      </c>
      <c r="BY148" s="2">
        <f t="shared" si="216"/>
        <v>8.50000000004</v>
      </c>
      <c r="BZ148" s="2">
        <f t="shared" si="217"/>
        <v>3.00000000002</v>
      </c>
      <c r="CA148" s="2">
        <f t="shared" si="218"/>
        <v>4.00000000003</v>
      </c>
      <c r="CC148" s="2">
        <f t="shared" si="219"/>
        <v>3.00000000005</v>
      </c>
      <c r="CD148" s="2">
        <f t="shared" si="220"/>
        <v>5.50000000006</v>
      </c>
      <c r="CE148" s="2">
        <f t="shared" si="221"/>
        <v>3.00000000007</v>
      </c>
      <c r="CF148" s="2">
        <f t="shared" si="222"/>
        <v>0</v>
      </c>
      <c r="CG148" s="2" t="b">
        <f t="shared" si="245"/>
        <v>1</v>
      </c>
      <c r="CH148" s="2" t="b">
        <f t="shared" si="246"/>
        <v>0</v>
      </c>
      <c r="CI148" s="2" t="b">
        <f t="shared" si="247"/>
        <v>1</v>
      </c>
      <c r="CK148" s="2" t="b">
        <f t="shared" si="248"/>
        <v>1</v>
      </c>
      <c r="CL148" s="2" t="b">
        <f t="shared" si="249"/>
        <v>1</v>
      </c>
      <c r="CM148" s="2" t="b">
        <f t="shared" si="250"/>
        <v>1</v>
      </c>
      <c r="CN148" s="2" t="b">
        <f t="shared" si="251"/>
        <v>0</v>
      </c>
      <c r="CO148" s="2">
        <v>1</v>
      </c>
      <c r="CP148" s="2">
        <v>1</v>
      </c>
      <c r="CQ148" s="2">
        <v>1</v>
      </c>
      <c r="CS148" s="2">
        <v>1</v>
      </c>
      <c r="CT148" s="2">
        <v>1</v>
      </c>
      <c r="CU148" s="2">
        <v>1</v>
      </c>
      <c r="CV148" s="2">
        <v>1</v>
      </c>
      <c r="CX148" s="2">
        <v>4</v>
      </c>
      <c r="CY148" s="2">
        <v>7</v>
      </c>
      <c r="CZ148" s="2">
        <v>4</v>
      </c>
      <c r="DB148" s="2" t="s">
        <v>324</v>
      </c>
      <c r="DC148" s="2">
        <v>7</v>
      </c>
      <c r="DD148" s="2">
        <v>3</v>
      </c>
      <c r="DE148" s="2" t="s">
        <v>324</v>
      </c>
      <c r="DF148" s="194">
        <f t="shared" si="252"/>
        <v>4.00000000004</v>
      </c>
      <c r="DG148" s="194">
        <f t="shared" si="253"/>
        <v>7.00000000002</v>
      </c>
      <c r="DH148" s="194">
        <f t="shared" si="254"/>
        <v>4.00000000003</v>
      </c>
      <c r="DJ148" s="194">
        <f t="shared" si="255"/>
        <v>0</v>
      </c>
      <c r="DK148" s="194">
        <f t="shared" si="256"/>
        <v>7.00000000006</v>
      </c>
      <c r="DL148" s="194">
        <f t="shared" si="257"/>
        <v>3.00000000007</v>
      </c>
      <c r="DM148" s="194">
        <f t="shared" si="258"/>
        <v>0</v>
      </c>
      <c r="DN148" s="2">
        <f t="shared" si="224"/>
        <v>4.00000000004</v>
      </c>
      <c r="DO148" s="2">
        <f t="shared" si="225"/>
        <v>7.00000000002</v>
      </c>
      <c r="DP148" s="2">
        <f t="shared" si="226"/>
        <v>4.00000000003</v>
      </c>
      <c r="DR148" s="2">
        <f t="shared" si="227"/>
        <v>0</v>
      </c>
      <c r="DS148" s="2">
        <f t="shared" si="228"/>
        <v>7.00000000006</v>
      </c>
      <c r="DT148" s="2">
        <f t="shared" si="229"/>
        <v>3.00000000007</v>
      </c>
      <c r="DU148" s="2">
        <f t="shared" si="230"/>
        <v>0</v>
      </c>
      <c r="DV148" s="2" t="b">
        <f t="shared" si="259"/>
        <v>1</v>
      </c>
      <c r="DW148" s="2" t="b">
        <f t="shared" si="260"/>
        <v>1</v>
      </c>
      <c r="DX148" s="2" t="b">
        <f t="shared" si="261"/>
        <v>1</v>
      </c>
      <c r="DZ148" s="2" t="b">
        <f t="shared" si="262"/>
        <v>0</v>
      </c>
      <c r="EA148" s="2" t="b">
        <f t="shared" si="263"/>
        <v>1</v>
      </c>
      <c r="EB148" s="2" t="b">
        <f t="shared" si="264"/>
        <v>1</v>
      </c>
      <c r="EC148" s="2" t="b">
        <f t="shared" si="265"/>
        <v>0</v>
      </c>
      <c r="ED148" s="2">
        <v>1</v>
      </c>
      <c r="EE148" s="2">
        <v>1</v>
      </c>
      <c r="EF148" s="2">
        <v>1</v>
      </c>
      <c r="EH148" s="2">
        <v>1</v>
      </c>
      <c r="EI148" s="2">
        <v>1</v>
      </c>
      <c r="EJ148" s="2">
        <v>1</v>
      </c>
      <c r="EK148" s="2">
        <v>1</v>
      </c>
      <c r="EL148" s="2">
        <v>7</v>
      </c>
      <c r="EM148" s="2">
        <v>3</v>
      </c>
      <c r="EN148" s="2">
        <v>4</v>
      </c>
      <c r="EP148" s="2" t="s">
        <v>324</v>
      </c>
      <c r="EQ148" s="2">
        <v>8.5</v>
      </c>
      <c r="ER148" s="2">
        <v>4</v>
      </c>
      <c r="ES148" s="2" t="s">
        <v>324</v>
      </c>
      <c r="ET148" s="194">
        <f t="shared" si="266"/>
        <v>7.00000000004</v>
      </c>
      <c r="EU148" s="194">
        <f t="shared" si="267"/>
        <v>3.00000000002</v>
      </c>
      <c r="EV148" s="194">
        <f t="shared" si="268"/>
        <v>4.00000000003</v>
      </c>
      <c r="EW148" s="194">
        <f t="shared" si="269"/>
        <v>9.9999999999999994E-12</v>
      </c>
      <c r="EX148" s="194">
        <f t="shared" si="270"/>
        <v>0</v>
      </c>
      <c r="EY148" s="194">
        <f t="shared" si="271"/>
        <v>8.50000000006</v>
      </c>
      <c r="EZ148" s="194">
        <f t="shared" si="272"/>
        <v>4.00000000007</v>
      </c>
      <c r="FA148" s="194">
        <f t="shared" si="273"/>
        <v>0</v>
      </c>
      <c r="FB148" s="2">
        <f t="shared" si="274"/>
        <v>7.00000000004</v>
      </c>
      <c r="FC148" s="2">
        <f t="shared" si="275"/>
        <v>3.00000000002</v>
      </c>
      <c r="FD148" s="2">
        <f t="shared" si="276"/>
        <v>4.00000000003</v>
      </c>
      <c r="FE148" s="2">
        <f t="shared" si="277"/>
        <v>0</v>
      </c>
      <c r="FF148" s="2">
        <f t="shared" si="278"/>
        <v>0</v>
      </c>
      <c r="FG148" s="2">
        <f t="shared" si="279"/>
        <v>8.50000000006</v>
      </c>
      <c r="FH148" s="2">
        <f t="shared" si="280"/>
        <v>4.00000000007</v>
      </c>
      <c r="FI148" s="2">
        <f t="shared" si="281"/>
        <v>0</v>
      </c>
      <c r="FJ148" s="2" t="b">
        <f t="shared" si="282"/>
        <v>1</v>
      </c>
      <c r="FK148" s="2" t="b">
        <f t="shared" si="283"/>
        <v>1</v>
      </c>
      <c r="FL148" s="2" t="b">
        <f t="shared" si="284"/>
        <v>1</v>
      </c>
      <c r="FM148" s="2" t="b">
        <f t="shared" si="285"/>
        <v>0</v>
      </c>
      <c r="FN148" s="2" t="b">
        <f t="shared" si="286"/>
        <v>0</v>
      </c>
      <c r="FO148" s="2" t="b">
        <f t="shared" si="287"/>
        <v>1</v>
      </c>
      <c r="FP148" s="2" t="b">
        <f t="shared" si="288"/>
        <v>1</v>
      </c>
      <c r="FQ148" s="2" t="b">
        <f t="shared" si="289"/>
        <v>0</v>
      </c>
    </row>
    <row r="149" spans="1:173" ht="15.6">
      <c r="A149" s="335" t="s">
        <v>1172</v>
      </c>
      <c r="B149" s="346" t="s">
        <v>1172</v>
      </c>
      <c r="C149" s="346" t="s">
        <v>227</v>
      </c>
      <c r="D149" s="346" t="s">
        <v>940</v>
      </c>
      <c r="E149" s="346" t="s">
        <v>302</v>
      </c>
      <c r="F149" s="2" t="s">
        <v>785</v>
      </c>
      <c r="G149" s="2" t="s">
        <v>324</v>
      </c>
      <c r="H149" s="2">
        <v>29</v>
      </c>
      <c r="I149" s="2">
        <v>26</v>
      </c>
      <c r="J149" s="2">
        <v>25</v>
      </c>
      <c r="K149" s="435">
        <f t="shared" si="234"/>
        <v>29.000000000220002</v>
      </c>
      <c r="L149" s="435">
        <f t="shared" si="235"/>
        <v>26.000000000220002</v>
      </c>
      <c r="M149" s="435">
        <f t="shared" si="236"/>
        <v>25.000000000220002</v>
      </c>
      <c r="N149" s="346" t="s">
        <v>324</v>
      </c>
      <c r="O149" s="346" t="s">
        <v>324</v>
      </c>
      <c r="P149" s="346" t="s">
        <v>324</v>
      </c>
      <c r="Q149" s="346" t="s">
        <v>324</v>
      </c>
      <c r="R149" s="346" t="s">
        <v>324</v>
      </c>
      <c r="S149" s="346" t="s">
        <v>1173</v>
      </c>
      <c r="T149" s="2" t="s">
        <v>1046</v>
      </c>
      <c r="U149" s="2">
        <v>48</v>
      </c>
      <c r="V149" s="2" cm="1">
        <f t="array" ref="V149">IFERROR(INDEX('Offer Statistics'!$BQ$2:$BQ$600,MATCH(1,(B149='Offer Statistics'!$BB$2:$BB$600)*($B$11='Offer Statistics'!$BC$2:$BC$600),0)),"/")</f>
        <v>46</v>
      </c>
      <c r="W149" s="2" cm="1">
        <f t="array" ref="W149">IFERROR(INDEX('Offer Statistics'!$BD$2:$BD$600,MATCH(1,($B149='Offer Statistics'!$BB$2:$BB$600)*($B$11='Offer Statistics'!$BC$2:$BC$600),0)),"/")</f>
        <v>323</v>
      </c>
      <c r="X149" s="2" cm="1">
        <f t="array" ref="X149">IFERROR(INDEX('Offer Statistics'!$BL$2:$BL$600,MATCH(1,($B149='Offer Statistics'!$BB$2:$BB$600)*($B$11='Offer Statistics'!$BC$2:$BC$600),0)),"/")</f>
        <v>46</v>
      </c>
      <c r="Y149" s="2">
        <f t="shared" si="215"/>
        <v>7.0217391304347823</v>
      </c>
      <c r="Z149" s="2" t="s">
        <v>1046</v>
      </c>
      <c r="AA149" s="435" t="str">
        <f>入學要求!AF158</f>
        <v>/</v>
      </c>
      <c r="AB149" s="435" t="str">
        <f>入學要求!AG158</f>
        <v>/</v>
      </c>
      <c r="AC149" s="346" t="s">
        <v>785</v>
      </c>
      <c r="AD149" s="346"/>
      <c r="AE149" s="346"/>
      <c r="AF149" s="346" t="s">
        <v>324</v>
      </c>
      <c r="AG149" s="346" t="s">
        <v>324</v>
      </c>
      <c r="AH149" s="346" t="s">
        <v>324</v>
      </c>
      <c r="AI149" s="346" t="s">
        <v>324</v>
      </c>
      <c r="AJ149" s="346" t="s">
        <v>324</v>
      </c>
      <c r="AK149" s="2" t="s">
        <v>324</v>
      </c>
      <c r="AL149" s="2" t="s">
        <v>324</v>
      </c>
      <c r="AM149" s="2" t="s">
        <v>324</v>
      </c>
      <c r="AN149" s="2" t="s">
        <v>324</v>
      </c>
      <c r="AO149" s="2" t="s">
        <v>324</v>
      </c>
      <c r="AP149" s="2" t="s">
        <v>324</v>
      </c>
      <c r="AQ149" s="2" t="s">
        <v>324</v>
      </c>
      <c r="AR149" s="2" t="s">
        <v>324</v>
      </c>
      <c r="AT149" s="2" t="s">
        <v>716</v>
      </c>
      <c r="AV149" s="2" t="s">
        <v>713</v>
      </c>
      <c r="AZ149" s="2">
        <v>1</v>
      </c>
      <c r="BA149" s="2">
        <v>1</v>
      </c>
      <c r="BB149" s="2">
        <v>1</v>
      </c>
      <c r="BD149" s="2">
        <v>1</v>
      </c>
      <c r="BE149" s="2">
        <v>1</v>
      </c>
      <c r="BF149" s="2">
        <v>1</v>
      </c>
      <c r="BG149" s="2">
        <v>1</v>
      </c>
      <c r="BH149" s="2" t="str">
        <f t="shared" si="237"/>
        <v>JS4056</v>
      </c>
      <c r="BI149" s="197">
        <v>4</v>
      </c>
      <c r="BJ149" s="197">
        <v>4</v>
      </c>
      <c r="BK149" s="197">
        <v>3</v>
      </c>
      <c r="BL149" s="197" t="s">
        <v>324</v>
      </c>
      <c r="BM149" s="197" t="s">
        <v>324</v>
      </c>
      <c r="BN149" s="197">
        <v>7</v>
      </c>
      <c r="BO149" s="197">
        <v>7</v>
      </c>
      <c r="BP149" s="197" t="s">
        <v>324</v>
      </c>
      <c r="BQ149" s="194">
        <f t="shared" si="238"/>
        <v>4.00000000004</v>
      </c>
      <c r="BR149" s="194">
        <f t="shared" si="239"/>
        <v>4.00000000002</v>
      </c>
      <c r="BS149" s="194">
        <f t="shared" si="240"/>
        <v>3.00000000003</v>
      </c>
      <c r="BU149" s="194">
        <f t="shared" si="241"/>
        <v>0</v>
      </c>
      <c r="BV149" s="194">
        <f t="shared" si="242"/>
        <v>7.00000000006</v>
      </c>
      <c r="BW149" s="194">
        <f t="shared" si="243"/>
        <v>7.00000000007</v>
      </c>
      <c r="BX149" s="194">
        <f t="shared" si="244"/>
        <v>0</v>
      </c>
      <c r="BY149" s="2">
        <f t="shared" si="216"/>
        <v>4.00000000004</v>
      </c>
      <c r="BZ149" s="2">
        <f t="shared" si="217"/>
        <v>4.00000000002</v>
      </c>
      <c r="CA149" s="2">
        <f t="shared" si="218"/>
        <v>3.00000000003</v>
      </c>
      <c r="CC149" s="2">
        <f t="shared" si="219"/>
        <v>0</v>
      </c>
      <c r="CD149" s="2">
        <f t="shared" si="220"/>
        <v>7.00000000006</v>
      </c>
      <c r="CE149" s="2">
        <f t="shared" si="221"/>
        <v>7.00000000007</v>
      </c>
      <c r="CF149" s="2">
        <f t="shared" si="222"/>
        <v>0</v>
      </c>
      <c r="CG149" s="2" t="b">
        <f t="shared" si="245"/>
        <v>1</v>
      </c>
      <c r="CH149" s="2" t="b">
        <f t="shared" si="246"/>
        <v>1</v>
      </c>
      <c r="CI149" s="2" t="b">
        <f t="shared" si="247"/>
        <v>1</v>
      </c>
      <c r="CK149" s="2" t="b">
        <f t="shared" si="248"/>
        <v>0</v>
      </c>
      <c r="CL149" s="2" t="b">
        <f t="shared" si="249"/>
        <v>1</v>
      </c>
      <c r="CM149" s="2" t="b">
        <f t="shared" si="250"/>
        <v>1</v>
      </c>
      <c r="CN149" s="2" t="b">
        <f t="shared" si="251"/>
        <v>0</v>
      </c>
      <c r="CO149" s="2">
        <v>1</v>
      </c>
      <c r="CP149" s="2">
        <v>1</v>
      </c>
      <c r="CQ149" s="2">
        <v>1</v>
      </c>
      <c r="CS149" s="2">
        <v>1</v>
      </c>
      <c r="CT149" s="2">
        <v>1</v>
      </c>
      <c r="CU149" s="2">
        <v>1</v>
      </c>
      <c r="CV149" s="2">
        <v>1</v>
      </c>
      <c r="CX149" s="2">
        <v>7</v>
      </c>
      <c r="CY149" s="2">
        <v>4</v>
      </c>
      <c r="CZ149" s="2">
        <v>4</v>
      </c>
      <c r="DB149" s="2" t="s">
        <v>324</v>
      </c>
      <c r="DC149" s="2">
        <v>7</v>
      </c>
      <c r="DD149" s="2">
        <v>4</v>
      </c>
      <c r="DE149" s="2">
        <v>3</v>
      </c>
      <c r="DF149" s="194">
        <f t="shared" si="252"/>
        <v>7.00000000004</v>
      </c>
      <c r="DG149" s="194">
        <f t="shared" si="253"/>
        <v>4.00000000002</v>
      </c>
      <c r="DH149" s="194">
        <f t="shared" si="254"/>
        <v>4.00000000003</v>
      </c>
      <c r="DJ149" s="194">
        <f t="shared" si="255"/>
        <v>0</v>
      </c>
      <c r="DK149" s="194">
        <f t="shared" si="256"/>
        <v>7.00000000006</v>
      </c>
      <c r="DL149" s="194">
        <f t="shared" si="257"/>
        <v>4.00000000007</v>
      </c>
      <c r="DM149" s="194">
        <f t="shared" si="258"/>
        <v>3.00000000008</v>
      </c>
      <c r="DN149" s="2">
        <f t="shared" si="224"/>
        <v>7.00000000004</v>
      </c>
      <c r="DO149" s="2">
        <f t="shared" si="225"/>
        <v>4.00000000002</v>
      </c>
      <c r="DP149" s="2">
        <f t="shared" si="226"/>
        <v>4.00000000003</v>
      </c>
      <c r="DR149" s="2">
        <f t="shared" si="227"/>
        <v>0</v>
      </c>
      <c r="DS149" s="2">
        <f t="shared" si="228"/>
        <v>7.00000000006</v>
      </c>
      <c r="DT149" s="2">
        <f t="shared" si="229"/>
        <v>4.00000000007</v>
      </c>
      <c r="DU149" s="2">
        <f t="shared" si="230"/>
        <v>3.00000000008</v>
      </c>
      <c r="DV149" s="2" t="b">
        <f t="shared" si="259"/>
        <v>1</v>
      </c>
      <c r="DW149" s="2" t="b">
        <f t="shared" si="260"/>
        <v>1</v>
      </c>
      <c r="DX149" s="2" t="b">
        <f t="shared" si="261"/>
        <v>1</v>
      </c>
      <c r="DZ149" s="2" t="b">
        <f t="shared" si="262"/>
        <v>0</v>
      </c>
      <c r="EA149" s="2" t="b">
        <f t="shared" si="263"/>
        <v>1</v>
      </c>
      <c r="EB149" s="2" t="b">
        <f t="shared" si="264"/>
        <v>1</v>
      </c>
      <c r="EC149" s="2" t="b">
        <f t="shared" si="265"/>
        <v>0</v>
      </c>
      <c r="ED149" s="2">
        <v>1</v>
      </c>
      <c r="EE149" s="2">
        <v>1</v>
      </c>
      <c r="EF149" s="2">
        <v>1</v>
      </c>
      <c r="EH149" s="2">
        <v>1</v>
      </c>
      <c r="EI149" s="2">
        <v>1</v>
      </c>
      <c r="EJ149" s="2">
        <v>1</v>
      </c>
      <c r="EK149" s="2">
        <v>1</v>
      </c>
      <c r="EL149" s="2">
        <v>8.5</v>
      </c>
      <c r="EM149" s="2">
        <v>4</v>
      </c>
      <c r="EN149" s="2">
        <v>4</v>
      </c>
      <c r="EP149" s="2" t="s">
        <v>324</v>
      </c>
      <c r="EQ149" s="2">
        <v>8.5</v>
      </c>
      <c r="ER149" s="2">
        <v>4</v>
      </c>
      <c r="ES149" s="2" t="s">
        <v>324</v>
      </c>
      <c r="ET149" s="194">
        <f t="shared" si="266"/>
        <v>8.50000000004</v>
      </c>
      <c r="EU149" s="194">
        <f t="shared" si="267"/>
        <v>4.00000000002</v>
      </c>
      <c r="EV149" s="194">
        <f t="shared" si="268"/>
        <v>4.00000000003</v>
      </c>
      <c r="EW149" s="194">
        <f t="shared" si="269"/>
        <v>9.9999999999999994E-12</v>
      </c>
      <c r="EX149" s="194">
        <f t="shared" si="270"/>
        <v>0</v>
      </c>
      <c r="EY149" s="194">
        <f t="shared" si="271"/>
        <v>8.50000000006</v>
      </c>
      <c r="EZ149" s="194">
        <f t="shared" si="272"/>
        <v>4.00000000007</v>
      </c>
      <c r="FA149" s="194">
        <f t="shared" si="273"/>
        <v>0</v>
      </c>
      <c r="FB149" s="2">
        <f t="shared" si="274"/>
        <v>8.50000000004</v>
      </c>
      <c r="FC149" s="2">
        <f t="shared" si="275"/>
        <v>4.00000000002</v>
      </c>
      <c r="FD149" s="2">
        <f t="shared" si="276"/>
        <v>4.00000000003</v>
      </c>
      <c r="FE149" s="2">
        <f t="shared" si="277"/>
        <v>0</v>
      </c>
      <c r="FF149" s="2">
        <f t="shared" si="278"/>
        <v>0</v>
      </c>
      <c r="FG149" s="2">
        <f t="shared" si="279"/>
        <v>8.50000000006</v>
      </c>
      <c r="FH149" s="2">
        <f t="shared" si="280"/>
        <v>4.00000000007</v>
      </c>
      <c r="FI149" s="2">
        <f t="shared" si="281"/>
        <v>0</v>
      </c>
      <c r="FJ149" s="2" t="b">
        <f t="shared" si="282"/>
        <v>1</v>
      </c>
      <c r="FK149" s="2" t="b">
        <f t="shared" si="283"/>
        <v>1</v>
      </c>
      <c r="FL149" s="2" t="b">
        <f t="shared" si="284"/>
        <v>1</v>
      </c>
      <c r="FM149" s="2" t="b">
        <f t="shared" si="285"/>
        <v>0</v>
      </c>
      <c r="FN149" s="2" t="b">
        <f t="shared" si="286"/>
        <v>0</v>
      </c>
      <c r="FO149" s="2" t="b">
        <f t="shared" si="287"/>
        <v>1</v>
      </c>
      <c r="FP149" s="2" t="b">
        <f t="shared" si="288"/>
        <v>1</v>
      </c>
      <c r="FQ149" s="2" t="b">
        <f t="shared" si="289"/>
        <v>0</v>
      </c>
    </row>
    <row r="150" spans="1:173" ht="15.6">
      <c r="A150" s="335" t="s">
        <v>1174</v>
      </c>
      <c r="B150" s="346" t="s">
        <v>1174</v>
      </c>
      <c r="C150" s="346" t="s">
        <v>227</v>
      </c>
      <c r="D150" s="346" t="s">
        <v>940</v>
      </c>
      <c r="E150" s="346" t="s">
        <v>1175</v>
      </c>
      <c r="F150" s="2" t="s">
        <v>785</v>
      </c>
      <c r="G150" s="2" t="s">
        <v>324</v>
      </c>
      <c r="H150" s="2">
        <v>27.5</v>
      </c>
      <c r="I150" s="2">
        <v>25</v>
      </c>
      <c r="J150" s="2">
        <v>23</v>
      </c>
      <c r="K150" s="435">
        <f t="shared" si="234"/>
        <v>27.500000000220002</v>
      </c>
      <c r="L150" s="435">
        <f t="shared" si="235"/>
        <v>25.000000000220002</v>
      </c>
      <c r="M150" s="435">
        <f t="shared" si="236"/>
        <v>23.000000000220002</v>
      </c>
      <c r="N150" s="346" t="s">
        <v>324</v>
      </c>
      <c r="O150" s="346" t="s">
        <v>324</v>
      </c>
      <c r="P150" s="346" t="s">
        <v>324</v>
      </c>
      <c r="Q150" s="346" t="s">
        <v>324</v>
      </c>
      <c r="R150" s="346" t="s">
        <v>324</v>
      </c>
      <c r="S150" s="346" t="s">
        <v>1176</v>
      </c>
      <c r="T150" s="2" t="s">
        <v>1046</v>
      </c>
      <c r="U150" s="2">
        <v>22</v>
      </c>
      <c r="V150" s="2" cm="1">
        <f t="array" ref="V150">IFERROR(INDEX('Offer Statistics'!$BQ$2:$BQ$600,MATCH(1,(B150='Offer Statistics'!$BB$2:$BB$600)*($B$11='Offer Statistics'!$BC$2:$BC$600),0)),"/")</f>
        <v>22</v>
      </c>
      <c r="W150" s="2" cm="1">
        <f t="array" ref="W150">IFERROR(INDEX('Offer Statistics'!$BD$2:$BD$600,MATCH(1,($B150='Offer Statistics'!$BB$2:$BB$600)*($B$11='Offer Statistics'!$BC$2:$BC$600),0)),"/")</f>
        <v>331</v>
      </c>
      <c r="X150" s="2" cm="1">
        <f t="array" ref="X150">IFERROR(INDEX('Offer Statistics'!$BL$2:$BL$600,MATCH(1,($B150='Offer Statistics'!$BB$2:$BB$600)*($B$11='Offer Statistics'!$BC$2:$BC$600),0)),"/")</f>
        <v>22</v>
      </c>
      <c r="Y150" s="2">
        <f t="shared" si="215"/>
        <v>15.045454545454545</v>
      </c>
      <c r="Z150" s="2" t="s">
        <v>1046</v>
      </c>
      <c r="AA150" s="435" t="str">
        <f>入學要求!AF159</f>
        <v>/</v>
      </c>
      <c r="AB150" s="435" t="str">
        <f>入學要求!AG159</f>
        <v>/</v>
      </c>
      <c r="AC150" s="346" t="s">
        <v>785</v>
      </c>
      <c r="AD150" s="346"/>
      <c r="AE150" s="346"/>
      <c r="AF150" s="346" t="s">
        <v>324</v>
      </c>
      <c r="AG150" s="346" t="s">
        <v>324</v>
      </c>
      <c r="AH150" s="346" t="s">
        <v>324</v>
      </c>
      <c r="AI150" s="346" t="s">
        <v>324</v>
      </c>
      <c r="AJ150" s="346" t="s">
        <v>324</v>
      </c>
      <c r="AK150" s="2" t="s">
        <v>324</v>
      </c>
      <c r="AL150" s="2" t="s">
        <v>324</v>
      </c>
      <c r="AM150" s="2" t="s">
        <v>324</v>
      </c>
      <c r="AN150" s="2" t="s">
        <v>324</v>
      </c>
      <c r="AO150" s="2" t="s">
        <v>324</v>
      </c>
      <c r="AP150" s="2" t="s">
        <v>324</v>
      </c>
      <c r="AQ150" s="2" t="s">
        <v>324</v>
      </c>
      <c r="AR150" s="2" t="s">
        <v>324</v>
      </c>
      <c r="AT150" s="2" t="s">
        <v>716</v>
      </c>
      <c r="AV150" s="2" t="s">
        <v>713</v>
      </c>
      <c r="AZ150" s="2">
        <v>1</v>
      </c>
      <c r="BA150" s="2">
        <v>1</v>
      </c>
      <c r="BB150" s="2">
        <v>1</v>
      </c>
      <c r="BD150" s="2">
        <v>1</v>
      </c>
      <c r="BE150" s="2">
        <v>1</v>
      </c>
      <c r="BF150" s="2">
        <v>1</v>
      </c>
      <c r="BG150" s="2">
        <v>1</v>
      </c>
      <c r="BH150" s="2" t="str">
        <f t="shared" si="237"/>
        <v>JS4068</v>
      </c>
      <c r="BI150" s="197">
        <v>4</v>
      </c>
      <c r="BJ150" s="197">
        <v>4</v>
      </c>
      <c r="BK150" s="197">
        <v>4</v>
      </c>
      <c r="BL150" s="197" t="s">
        <v>324</v>
      </c>
      <c r="BM150" s="197" t="s">
        <v>324</v>
      </c>
      <c r="BN150" s="197">
        <v>7</v>
      </c>
      <c r="BO150" s="197">
        <v>4</v>
      </c>
      <c r="BP150" s="197">
        <v>3</v>
      </c>
      <c r="BQ150" s="194">
        <f t="shared" si="238"/>
        <v>4.00000000004</v>
      </c>
      <c r="BR150" s="194">
        <f t="shared" si="239"/>
        <v>4.00000000002</v>
      </c>
      <c r="BS150" s="194">
        <f t="shared" si="240"/>
        <v>4.00000000003</v>
      </c>
      <c r="BU150" s="194">
        <f t="shared" si="241"/>
        <v>0</v>
      </c>
      <c r="BV150" s="194">
        <f t="shared" si="242"/>
        <v>7.00000000006</v>
      </c>
      <c r="BW150" s="194">
        <f t="shared" si="243"/>
        <v>4.00000000007</v>
      </c>
      <c r="BX150" s="194">
        <f t="shared" si="244"/>
        <v>3.00000000008</v>
      </c>
      <c r="BY150" s="2">
        <f t="shared" si="216"/>
        <v>4.00000000004</v>
      </c>
      <c r="BZ150" s="2">
        <f t="shared" si="217"/>
        <v>4.00000000002</v>
      </c>
      <c r="CA150" s="2">
        <f t="shared" si="218"/>
        <v>4.00000000003</v>
      </c>
      <c r="CC150" s="2">
        <f t="shared" si="219"/>
        <v>0</v>
      </c>
      <c r="CD150" s="2">
        <f t="shared" si="220"/>
        <v>7.00000000006</v>
      </c>
      <c r="CE150" s="2">
        <f t="shared" si="221"/>
        <v>4.00000000007</v>
      </c>
      <c r="CF150" s="2">
        <f t="shared" si="222"/>
        <v>3.00000000008</v>
      </c>
      <c r="CG150" s="2" t="b">
        <f t="shared" si="245"/>
        <v>1</v>
      </c>
      <c r="CH150" s="2" t="b">
        <f t="shared" si="246"/>
        <v>1</v>
      </c>
      <c r="CI150" s="2" t="b">
        <f t="shared" si="247"/>
        <v>1</v>
      </c>
      <c r="CK150" s="2" t="b">
        <f t="shared" si="248"/>
        <v>0</v>
      </c>
      <c r="CL150" s="2" t="b">
        <f t="shared" si="249"/>
        <v>1</v>
      </c>
      <c r="CM150" s="2" t="b">
        <f t="shared" si="250"/>
        <v>1</v>
      </c>
      <c r="CN150" s="2" t="b">
        <f t="shared" si="251"/>
        <v>0</v>
      </c>
      <c r="CO150" s="2">
        <v>1</v>
      </c>
      <c r="CP150" s="2">
        <v>1</v>
      </c>
      <c r="CQ150" s="2">
        <v>1</v>
      </c>
      <c r="CS150" s="2">
        <v>1</v>
      </c>
      <c r="CT150" s="2">
        <v>1</v>
      </c>
      <c r="CU150" s="2">
        <v>1</v>
      </c>
      <c r="CV150" s="2">
        <v>1</v>
      </c>
      <c r="CX150" s="2">
        <v>5.5</v>
      </c>
      <c r="CY150" s="2">
        <v>4</v>
      </c>
      <c r="CZ150" s="2">
        <v>3</v>
      </c>
      <c r="DB150" s="2" t="s">
        <v>324</v>
      </c>
      <c r="DC150" s="2">
        <v>7</v>
      </c>
      <c r="DD150" s="2">
        <v>5.5</v>
      </c>
      <c r="DE150" s="2" t="s">
        <v>324</v>
      </c>
      <c r="DF150" s="194">
        <f t="shared" si="252"/>
        <v>5.50000000004</v>
      </c>
      <c r="DG150" s="194">
        <f t="shared" si="253"/>
        <v>4.00000000002</v>
      </c>
      <c r="DH150" s="194">
        <f t="shared" si="254"/>
        <v>3.00000000003</v>
      </c>
      <c r="DJ150" s="194">
        <f t="shared" si="255"/>
        <v>0</v>
      </c>
      <c r="DK150" s="194">
        <f t="shared" si="256"/>
        <v>7.00000000006</v>
      </c>
      <c r="DL150" s="194">
        <f t="shared" si="257"/>
        <v>5.50000000007</v>
      </c>
      <c r="DM150" s="194">
        <f t="shared" si="258"/>
        <v>0</v>
      </c>
      <c r="DN150" s="2">
        <f t="shared" si="224"/>
        <v>5.50000000004</v>
      </c>
      <c r="DO150" s="2">
        <f t="shared" si="225"/>
        <v>4.00000000002</v>
      </c>
      <c r="DP150" s="2">
        <f t="shared" si="226"/>
        <v>3.00000000003</v>
      </c>
      <c r="DR150" s="2">
        <f t="shared" si="227"/>
        <v>0</v>
      </c>
      <c r="DS150" s="2">
        <f t="shared" si="228"/>
        <v>7.00000000006</v>
      </c>
      <c r="DT150" s="2">
        <f t="shared" si="229"/>
        <v>5.50000000007</v>
      </c>
      <c r="DU150" s="2">
        <f t="shared" si="230"/>
        <v>0</v>
      </c>
      <c r="DV150" s="2" t="b">
        <f t="shared" si="259"/>
        <v>1</v>
      </c>
      <c r="DW150" s="2" t="b">
        <f t="shared" si="260"/>
        <v>1</v>
      </c>
      <c r="DX150" s="2" t="b">
        <f t="shared" si="261"/>
        <v>1</v>
      </c>
      <c r="DZ150" s="2" t="b">
        <f t="shared" si="262"/>
        <v>0</v>
      </c>
      <c r="EA150" s="2" t="b">
        <f t="shared" si="263"/>
        <v>1</v>
      </c>
      <c r="EB150" s="2" t="b">
        <f t="shared" si="264"/>
        <v>1</v>
      </c>
      <c r="EC150" s="2" t="b">
        <f t="shared" si="265"/>
        <v>0</v>
      </c>
      <c r="ED150" s="2">
        <v>1</v>
      </c>
      <c r="EE150" s="2">
        <v>1</v>
      </c>
      <c r="EF150" s="2">
        <v>1</v>
      </c>
      <c r="EH150" s="2">
        <v>1</v>
      </c>
      <c r="EI150" s="2">
        <v>1</v>
      </c>
      <c r="EJ150" s="2">
        <v>1</v>
      </c>
      <c r="EK150" s="2">
        <v>1</v>
      </c>
      <c r="EL150" s="2">
        <v>4</v>
      </c>
      <c r="EM150" s="2">
        <v>7</v>
      </c>
      <c r="EN150" s="2">
        <v>5.5</v>
      </c>
      <c r="EP150" s="2" t="s">
        <v>324</v>
      </c>
      <c r="EQ150" s="2">
        <v>7</v>
      </c>
      <c r="ER150" s="2">
        <v>4</v>
      </c>
      <c r="ES150" s="2">
        <v>3</v>
      </c>
      <c r="ET150" s="194">
        <f t="shared" si="266"/>
        <v>4.00000000004</v>
      </c>
      <c r="EU150" s="194">
        <f t="shared" si="267"/>
        <v>7.00000000002</v>
      </c>
      <c r="EV150" s="194">
        <f t="shared" si="268"/>
        <v>5.50000000003</v>
      </c>
      <c r="EW150" s="194">
        <f t="shared" si="269"/>
        <v>9.9999999999999994E-12</v>
      </c>
      <c r="EX150" s="194">
        <f t="shared" si="270"/>
        <v>0</v>
      </c>
      <c r="EY150" s="194">
        <f t="shared" si="271"/>
        <v>7.00000000006</v>
      </c>
      <c r="EZ150" s="194">
        <f t="shared" si="272"/>
        <v>4.00000000007</v>
      </c>
      <c r="FA150" s="194">
        <f t="shared" si="273"/>
        <v>3.00000000008</v>
      </c>
      <c r="FB150" s="2">
        <f t="shared" si="274"/>
        <v>4.00000000004</v>
      </c>
      <c r="FC150" s="2">
        <f t="shared" si="275"/>
        <v>7.00000000002</v>
      </c>
      <c r="FD150" s="2">
        <f t="shared" si="276"/>
        <v>5.50000000003</v>
      </c>
      <c r="FE150" s="2">
        <f t="shared" si="277"/>
        <v>0</v>
      </c>
      <c r="FF150" s="2">
        <f t="shared" si="278"/>
        <v>0</v>
      </c>
      <c r="FG150" s="2">
        <f t="shared" si="279"/>
        <v>7.00000000006</v>
      </c>
      <c r="FH150" s="2">
        <f t="shared" si="280"/>
        <v>4.00000000007</v>
      </c>
      <c r="FI150" s="2">
        <f t="shared" si="281"/>
        <v>3.00000000008</v>
      </c>
      <c r="FJ150" s="2" t="b">
        <f t="shared" si="282"/>
        <v>1</v>
      </c>
      <c r="FK150" s="2" t="b">
        <f t="shared" si="283"/>
        <v>1</v>
      </c>
      <c r="FL150" s="2" t="b">
        <f t="shared" si="284"/>
        <v>1</v>
      </c>
      <c r="FM150" s="2" t="b">
        <f t="shared" si="285"/>
        <v>0</v>
      </c>
      <c r="FN150" s="2" t="b">
        <f t="shared" si="286"/>
        <v>0</v>
      </c>
      <c r="FO150" s="2" t="b">
        <f t="shared" si="287"/>
        <v>1</v>
      </c>
      <c r="FP150" s="2" t="b">
        <f t="shared" si="288"/>
        <v>1</v>
      </c>
      <c r="FQ150" s="2" t="b">
        <f t="shared" si="289"/>
        <v>0</v>
      </c>
    </row>
    <row r="151" spans="1:173" ht="15.6">
      <c r="A151" s="335" t="s">
        <v>1177</v>
      </c>
      <c r="B151" s="346" t="s">
        <v>1177</v>
      </c>
      <c r="C151" s="346" t="s">
        <v>227</v>
      </c>
      <c r="D151" s="346" t="s">
        <v>940</v>
      </c>
      <c r="E151" s="346" t="s">
        <v>1178</v>
      </c>
      <c r="F151" s="2" t="s">
        <v>785</v>
      </c>
      <c r="G151" s="2" t="s">
        <v>324</v>
      </c>
      <c r="H151" s="2">
        <v>24.5</v>
      </c>
      <c r="I151" s="2">
        <v>23.5</v>
      </c>
      <c r="J151" s="2">
        <v>23</v>
      </c>
      <c r="K151" s="435">
        <f t="shared" si="234"/>
        <v>24.50000000028</v>
      </c>
      <c r="L151" s="435">
        <f t="shared" si="235"/>
        <v>23.500000000220002</v>
      </c>
      <c r="M151" s="435">
        <f t="shared" si="236"/>
        <v>23.000000000220002</v>
      </c>
      <c r="N151" s="346" t="s">
        <v>324</v>
      </c>
      <c r="O151" s="346" t="s">
        <v>324</v>
      </c>
      <c r="P151" s="346" t="s">
        <v>324</v>
      </c>
      <c r="Q151" s="346" t="s">
        <v>324</v>
      </c>
      <c r="R151" s="346" t="s">
        <v>324</v>
      </c>
      <c r="S151" s="346" t="s">
        <v>1179</v>
      </c>
      <c r="T151" s="2" t="s">
        <v>1046</v>
      </c>
      <c r="U151" s="2">
        <v>22</v>
      </c>
      <c r="V151" s="2" cm="1">
        <f t="array" ref="V151">IFERROR(INDEX('Offer Statistics'!$BQ$2:$BQ$600,MATCH(1,(B151='Offer Statistics'!$BB$2:$BB$600)*($B$11='Offer Statistics'!$BC$2:$BC$600),0)),"/")</f>
        <v>23</v>
      </c>
      <c r="W151" s="2" cm="1">
        <f t="array" ref="W151">IFERROR(INDEX('Offer Statistics'!$BD$2:$BD$600,MATCH(1,($B151='Offer Statistics'!$BB$2:$BB$600)*($B$11='Offer Statistics'!$BC$2:$BC$600),0)),"/")</f>
        <v>136</v>
      </c>
      <c r="X151" s="2" cm="1">
        <f t="array" ref="X151">IFERROR(INDEX('Offer Statistics'!$BL$2:$BL$600,MATCH(1,($B151='Offer Statistics'!$BB$2:$BB$600)*($B$11='Offer Statistics'!$BC$2:$BC$600),0)),"/")</f>
        <v>20</v>
      </c>
      <c r="Y151" s="2">
        <f t="shared" si="215"/>
        <v>6.8</v>
      </c>
      <c r="Z151" s="2" t="s">
        <v>1046</v>
      </c>
      <c r="AA151" s="435" t="str">
        <f>入學要求!AF160</f>
        <v>/</v>
      </c>
      <c r="AB151" s="435" t="str">
        <f>入學要求!AG160</f>
        <v>/</v>
      </c>
      <c r="AC151" s="346" t="s">
        <v>785</v>
      </c>
      <c r="AD151" s="346"/>
      <c r="AE151" s="346"/>
      <c r="AF151" s="346" t="s">
        <v>324</v>
      </c>
      <c r="AG151" s="346" t="s">
        <v>324</v>
      </c>
      <c r="AH151" s="346" t="s">
        <v>324</v>
      </c>
      <c r="AI151" s="346" t="s">
        <v>324</v>
      </c>
      <c r="AJ151" s="346" t="s">
        <v>324</v>
      </c>
      <c r="AK151" s="2" t="s">
        <v>324</v>
      </c>
      <c r="AL151" s="2" t="s">
        <v>324</v>
      </c>
      <c r="AM151" s="2" t="s">
        <v>324</v>
      </c>
      <c r="AN151" s="2" t="s">
        <v>324</v>
      </c>
      <c r="AO151" s="2" t="s">
        <v>324</v>
      </c>
      <c r="AP151" s="2" t="s">
        <v>324</v>
      </c>
      <c r="AQ151" s="2" t="s">
        <v>324</v>
      </c>
      <c r="AR151" s="2" t="s">
        <v>324</v>
      </c>
      <c r="AT151" s="2" t="s">
        <v>716</v>
      </c>
      <c r="AV151" s="2" t="s">
        <v>713</v>
      </c>
      <c r="AZ151" s="2">
        <v>1</v>
      </c>
      <c r="BA151" s="2">
        <v>1</v>
      </c>
      <c r="BB151" s="2">
        <v>1</v>
      </c>
      <c r="BD151" s="2">
        <v>1</v>
      </c>
      <c r="BE151" s="2">
        <v>1</v>
      </c>
      <c r="BF151" s="2">
        <v>1</v>
      </c>
      <c r="BG151" s="2">
        <v>1</v>
      </c>
      <c r="BH151" s="2" t="str">
        <f t="shared" si="237"/>
        <v>JS4070</v>
      </c>
      <c r="BI151" s="197">
        <v>4</v>
      </c>
      <c r="BJ151" s="197">
        <v>5.5</v>
      </c>
      <c r="BK151" s="197">
        <v>5.5</v>
      </c>
      <c r="BL151" s="197" t="s">
        <v>324</v>
      </c>
      <c r="BM151" s="197" t="s">
        <v>324</v>
      </c>
      <c r="BN151" s="197">
        <v>4</v>
      </c>
      <c r="BO151" s="197">
        <v>4</v>
      </c>
      <c r="BP151" s="197" t="s">
        <v>324</v>
      </c>
      <c r="BQ151" s="194">
        <f t="shared" si="238"/>
        <v>4.00000000004</v>
      </c>
      <c r="BR151" s="194">
        <f t="shared" si="239"/>
        <v>5.50000000002</v>
      </c>
      <c r="BS151" s="194">
        <f t="shared" si="240"/>
        <v>5.50000000003</v>
      </c>
      <c r="BU151" s="194">
        <f t="shared" si="241"/>
        <v>0</v>
      </c>
      <c r="BV151" s="194">
        <f t="shared" si="242"/>
        <v>4.00000000006</v>
      </c>
      <c r="BW151" s="194">
        <f t="shared" si="243"/>
        <v>4.00000000007</v>
      </c>
      <c r="BX151" s="194">
        <f t="shared" si="244"/>
        <v>0</v>
      </c>
      <c r="BY151" s="2">
        <f t="shared" si="216"/>
        <v>4.00000000004</v>
      </c>
      <c r="BZ151" s="2">
        <f t="shared" si="217"/>
        <v>5.50000000002</v>
      </c>
      <c r="CA151" s="2">
        <f t="shared" si="218"/>
        <v>5.50000000003</v>
      </c>
      <c r="CC151" s="2">
        <f t="shared" si="219"/>
        <v>0</v>
      </c>
      <c r="CD151" s="2">
        <f t="shared" si="220"/>
        <v>4.00000000006</v>
      </c>
      <c r="CE151" s="2">
        <f t="shared" si="221"/>
        <v>4.00000000007</v>
      </c>
      <c r="CF151" s="2">
        <f t="shared" si="222"/>
        <v>0</v>
      </c>
      <c r="CG151" s="2" t="b">
        <f t="shared" si="245"/>
        <v>1</v>
      </c>
      <c r="CH151" s="2" t="b">
        <f t="shared" si="246"/>
        <v>1</v>
      </c>
      <c r="CI151" s="2" t="b">
        <f t="shared" si="247"/>
        <v>1</v>
      </c>
      <c r="CK151" s="2" t="b">
        <f t="shared" si="248"/>
        <v>0</v>
      </c>
      <c r="CL151" s="2" t="b">
        <f t="shared" si="249"/>
        <v>1</v>
      </c>
      <c r="CM151" s="2" t="b">
        <f t="shared" si="250"/>
        <v>1</v>
      </c>
      <c r="CN151" s="2" t="b">
        <f t="shared" si="251"/>
        <v>0</v>
      </c>
      <c r="CO151" s="2">
        <v>1</v>
      </c>
      <c r="CP151" s="2">
        <v>1</v>
      </c>
      <c r="CQ151" s="2">
        <v>1</v>
      </c>
      <c r="CS151" s="2">
        <v>1</v>
      </c>
      <c r="CT151" s="2">
        <v>1</v>
      </c>
      <c r="CU151" s="2">
        <v>1</v>
      </c>
      <c r="CV151" s="2">
        <v>1</v>
      </c>
      <c r="CX151" s="2">
        <v>4</v>
      </c>
      <c r="CY151" s="2">
        <v>8.5</v>
      </c>
      <c r="CZ151" s="2">
        <v>3</v>
      </c>
      <c r="DB151" s="2" t="s">
        <v>324</v>
      </c>
      <c r="DC151" s="2">
        <v>4</v>
      </c>
      <c r="DD151" s="2">
        <v>4</v>
      </c>
      <c r="DE151" s="2" t="s">
        <v>324</v>
      </c>
      <c r="DF151" s="194">
        <f t="shared" si="252"/>
        <v>4.00000000004</v>
      </c>
      <c r="DG151" s="194">
        <f t="shared" si="253"/>
        <v>8.50000000002</v>
      </c>
      <c r="DH151" s="194">
        <f t="shared" si="254"/>
        <v>3.00000000003</v>
      </c>
      <c r="DJ151" s="194">
        <f t="shared" si="255"/>
        <v>0</v>
      </c>
      <c r="DK151" s="194">
        <f t="shared" si="256"/>
        <v>4.00000000006</v>
      </c>
      <c r="DL151" s="194">
        <f t="shared" si="257"/>
        <v>4.00000000007</v>
      </c>
      <c r="DM151" s="194">
        <f t="shared" si="258"/>
        <v>0</v>
      </c>
      <c r="DN151" s="2">
        <f t="shared" si="224"/>
        <v>4.00000000004</v>
      </c>
      <c r="DO151" s="2">
        <f t="shared" si="225"/>
        <v>8.50000000002</v>
      </c>
      <c r="DP151" s="2">
        <f t="shared" si="226"/>
        <v>3.00000000003</v>
      </c>
      <c r="DR151" s="2">
        <f t="shared" si="227"/>
        <v>0</v>
      </c>
      <c r="DS151" s="2">
        <f t="shared" si="228"/>
        <v>4.00000000006</v>
      </c>
      <c r="DT151" s="2">
        <f t="shared" si="229"/>
        <v>4.00000000007</v>
      </c>
      <c r="DU151" s="2">
        <f t="shared" si="230"/>
        <v>0</v>
      </c>
      <c r="DV151" s="2" t="b">
        <f t="shared" si="259"/>
        <v>1</v>
      </c>
      <c r="DW151" s="2" t="b">
        <f t="shared" si="260"/>
        <v>1</v>
      </c>
      <c r="DX151" s="2" t="b">
        <f t="shared" si="261"/>
        <v>1</v>
      </c>
      <c r="DZ151" s="2" t="b">
        <f t="shared" si="262"/>
        <v>0</v>
      </c>
      <c r="EA151" s="2" t="b">
        <f t="shared" si="263"/>
        <v>1</v>
      </c>
      <c r="EB151" s="2" t="b">
        <f t="shared" si="264"/>
        <v>1</v>
      </c>
      <c r="EC151" s="2" t="b">
        <f t="shared" si="265"/>
        <v>0</v>
      </c>
      <c r="ED151" s="2">
        <v>1</v>
      </c>
      <c r="EE151" s="2">
        <v>1</v>
      </c>
      <c r="EF151" s="2">
        <v>1</v>
      </c>
      <c r="EH151" s="2">
        <v>1</v>
      </c>
      <c r="EI151" s="2">
        <v>1</v>
      </c>
      <c r="EJ151" s="2">
        <v>1</v>
      </c>
      <c r="EK151" s="2">
        <v>1</v>
      </c>
      <c r="EL151" s="2">
        <v>7</v>
      </c>
      <c r="EM151" s="2">
        <v>4</v>
      </c>
      <c r="EN151" s="2">
        <v>4</v>
      </c>
      <c r="EP151" s="2" t="s">
        <v>324</v>
      </c>
      <c r="EQ151" s="2">
        <v>5.5</v>
      </c>
      <c r="ER151" s="2">
        <v>4</v>
      </c>
      <c r="ES151" s="2">
        <v>4</v>
      </c>
      <c r="ET151" s="194">
        <f t="shared" si="266"/>
        <v>7.00000000004</v>
      </c>
      <c r="EU151" s="194">
        <f t="shared" si="267"/>
        <v>4.00000000002</v>
      </c>
      <c r="EV151" s="194">
        <f t="shared" si="268"/>
        <v>4.00000000003</v>
      </c>
      <c r="EW151" s="194">
        <f t="shared" si="269"/>
        <v>9.9999999999999994E-12</v>
      </c>
      <c r="EX151" s="194">
        <f t="shared" si="270"/>
        <v>0</v>
      </c>
      <c r="EY151" s="194">
        <f t="shared" si="271"/>
        <v>5.50000000006</v>
      </c>
      <c r="EZ151" s="194">
        <f t="shared" si="272"/>
        <v>4.00000000007</v>
      </c>
      <c r="FA151" s="194">
        <f t="shared" si="273"/>
        <v>4.00000000008</v>
      </c>
      <c r="FB151" s="2">
        <f t="shared" si="274"/>
        <v>7.00000000004</v>
      </c>
      <c r="FC151" s="2">
        <f t="shared" si="275"/>
        <v>4.00000000002</v>
      </c>
      <c r="FD151" s="2">
        <f t="shared" si="276"/>
        <v>4.00000000003</v>
      </c>
      <c r="FE151" s="2">
        <f t="shared" si="277"/>
        <v>0</v>
      </c>
      <c r="FF151" s="2">
        <f t="shared" si="278"/>
        <v>0</v>
      </c>
      <c r="FG151" s="2">
        <f t="shared" si="279"/>
        <v>5.50000000006</v>
      </c>
      <c r="FH151" s="2">
        <f t="shared" si="280"/>
        <v>4.00000000007</v>
      </c>
      <c r="FI151" s="2">
        <f t="shared" si="281"/>
        <v>4.00000000008</v>
      </c>
      <c r="FJ151" s="2" t="b">
        <f t="shared" si="282"/>
        <v>1</v>
      </c>
      <c r="FK151" s="2" t="b">
        <f t="shared" si="283"/>
        <v>0</v>
      </c>
      <c r="FL151" s="2" t="b">
        <f t="shared" si="284"/>
        <v>1</v>
      </c>
      <c r="FM151" s="2" t="b">
        <f t="shared" si="285"/>
        <v>0</v>
      </c>
      <c r="FN151" s="2" t="b">
        <f t="shared" si="286"/>
        <v>0</v>
      </c>
      <c r="FO151" s="2" t="b">
        <f t="shared" si="287"/>
        <v>1</v>
      </c>
      <c r="FP151" s="2" t="b">
        <f t="shared" si="288"/>
        <v>1</v>
      </c>
      <c r="FQ151" s="2" t="b">
        <f t="shared" si="289"/>
        <v>1</v>
      </c>
    </row>
    <row r="152" spans="1:173" ht="15.6">
      <c r="A152" s="335" t="s">
        <v>1180</v>
      </c>
      <c r="B152" s="346" t="s">
        <v>1180</v>
      </c>
      <c r="C152" s="346" t="s">
        <v>227</v>
      </c>
      <c r="D152" s="346" t="s">
        <v>940</v>
      </c>
      <c r="E152" s="346" t="s">
        <v>300</v>
      </c>
      <c r="F152" s="2" t="s">
        <v>785</v>
      </c>
      <c r="G152" s="2" t="s">
        <v>324</v>
      </c>
      <c r="H152" s="2">
        <v>24.5</v>
      </c>
      <c r="I152" s="2">
        <v>21.5</v>
      </c>
      <c r="J152" s="2">
        <v>20.5</v>
      </c>
      <c r="K152" s="435">
        <f t="shared" si="234"/>
        <v>24.50000000028</v>
      </c>
      <c r="L152" s="435">
        <f t="shared" si="235"/>
        <v>21.500000000220002</v>
      </c>
      <c r="M152" s="435">
        <f t="shared" si="236"/>
        <v>20.500000000220002</v>
      </c>
      <c r="N152" s="346" t="s">
        <v>3035</v>
      </c>
      <c r="O152" s="346" t="s">
        <v>324</v>
      </c>
      <c r="P152" s="346" t="s">
        <v>324</v>
      </c>
      <c r="Q152" s="346" t="s">
        <v>324</v>
      </c>
      <c r="R152" s="346" t="s">
        <v>324</v>
      </c>
      <c r="S152" s="346" t="s">
        <v>1181</v>
      </c>
      <c r="T152" s="2" t="s">
        <v>1046</v>
      </c>
      <c r="U152" s="2">
        <v>27</v>
      </c>
      <c r="V152" s="2" cm="1">
        <f t="array" ref="V152">IFERROR(INDEX('Offer Statistics'!$BQ$2:$BQ$600,MATCH(1,(B152='Offer Statistics'!$BB$2:$BB$600)*($B$11='Offer Statistics'!$BC$2:$BC$600),0)),"/")</f>
        <v>26</v>
      </c>
      <c r="W152" s="2" cm="1">
        <f t="array" ref="W152">IFERROR(INDEX('Offer Statistics'!$BD$2:$BD$600,MATCH(1,($B152='Offer Statistics'!$BB$2:$BB$600)*($B$11='Offer Statistics'!$BC$2:$BC$600),0)),"/")</f>
        <v>177</v>
      </c>
      <c r="X152" s="2" cm="1">
        <f t="array" ref="X152">IFERROR(INDEX('Offer Statistics'!$BL$2:$BL$600,MATCH(1,($B152='Offer Statistics'!$BB$2:$BB$600)*($B$11='Offer Statistics'!$BC$2:$BC$600),0)),"/")</f>
        <v>26</v>
      </c>
      <c r="Y152" s="2">
        <f t="shared" si="215"/>
        <v>6.8076923076923075</v>
      </c>
      <c r="Z152" s="2" t="s">
        <v>1046</v>
      </c>
      <c r="AA152" s="435" t="str">
        <f>入學要求!AF161</f>
        <v>申請人應於某種樂器/聲樂考獲8級或以上。</v>
      </c>
      <c r="AB152" s="435" t="str">
        <f>入學要求!AG161</f>
        <v>/</v>
      </c>
      <c r="AC152" s="346" t="s">
        <v>785</v>
      </c>
      <c r="AD152" s="346"/>
      <c r="AE152" s="346"/>
      <c r="AF152" s="346" t="s">
        <v>1182</v>
      </c>
      <c r="AG152" s="346" t="s">
        <v>324</v>
      </c>
      <c r="AH152" s="346" t="s">
        <v>324</v>
      </c>
      <c r="AI152" s="346" t="s">
        <v>324</v>
      </c>
      <c r="AJ152" s="346" t="s">
        <v>324</v>
      </c>
      <c r="AK152" s="2" t="s">
        <v>324</v>
      </c>
      <c r="AL152" s="2" t="s">
        <v>324</v>
      </c>
      <c r="AM152" s="2" t="s">
        <v>324</v>
      </c>
      <c r="AN152" s="2" t="s">
        <v>324</v>
      </c>
      <c r="AO152" s="2" t="s">
        <v>324</v>
      </c>
      <c r="AP152" s="2" t="s">
        <v>324</v>
      </c>
      <c r="AQ152" s="2" t="s">
        <v>324</v>
      </c>
      <c r="AR152" s="2" t="s">
        <v>324</v>
      </c>
      <c r="AT152" s="2" t="s">
        <v>716</v>
      </c>
      <c r="AV152" s="2" t="s">
        <v>713</v>
      </c>
      <c r="AZ152" s="2">
        <v>1</v>
      </c>
      <c r="BA152" s="2">
        <v>1</v>
      </c>
      <c r="BB152" s="2">
        <v>1</v>
      </c>
      <c r="BD152" s="2">
        <v>1</v>
      </c>
      <c r="BE152" s="2">
        <v>1</v>
      </c>
      <c r="BF152" s="2">
        <v>1</v>
      </c>
      <c r="BG152" s="2">
        <v>1</v>
      </c>
      <c r="BH152" s="2" t="str">
        <f t="shared" si="237"/>
        <v>JS4082</v>
      </c>
      <c r="BI152" s="197">
        <v>5.5</v>
      </c>
      <c r="BJ152" s="197">
        <v>4</v>
      </c>
      <c r="BK152" s="197">
        <v>3</v>
      </c>
      <c r="BL152" s="197" t="s">
        <v>324</v>
      </c>
      <c r="BM152" s="197" t="s">
        <v>324</v>
      </c>
      <c r="BN152" s="197">
        <v>4</v>
      </c>
      <c r="BO152" s="197">
        <v>4</v>
      </c>
      <c r="BP152" s="197" t="s">
        <v>324</v>
      </c>
      <c r="BQ152" s="194">
        <f t="shared" si="238"/>
        <v>5.50000000004</v>
      </c>
      <c r="BR152" s="194">
        <f t="shared" si="239"/>
        <v>4.00000000002</v>
      </c>
      <c r="BS152" s="194">
        <f t="shared" si="240"/>
        <v>3.00000000003</v>
      </c>
      <c r="BU152" s="194">
        <f t="shared" si="241"/>
        <v>0</v>
      </c>
      <c r="BV152" s="194">
        <f t="shared" si="242"/>
        <v>4.00000000006</v>
      </c>
      <c r="BW152" s="194">
        <f t="shared" si="243"/>
        <v>4.00000000007</v>
      </c>
      <c r="BX152" s="194">
        <f t="shared" si="244"/>
        <v>0</v>
      </c>
      <c r="BY152" s="2">
        <f t="shared" si="216"/>
        <v>5.50000000004</v>
      </c>
      <c r="BZ152" s="2">
        <f t="shared" si="217"/>
        <v>4.00000000002</v>
      </c>
      <c r="CA152" s="2">
        <f t="shared" si="218"/>
        <v>3.00000000003</v>
      </c>
      <c r="CC152" s="2">
        <f t="shared" si="219"/>
        <v>0</v>
      </c>
      <c r="CD152" s="2">
        <f t="shared" si="220"/>
        <v>4.00000000006</v>
      </c>
      <c r="CE152" s="2">
        <f t="shared" si="221"/>
        <v>4.00000000007</v>
      </c>
      <c r="CF152" s="2">
        <f t="shared" si="222"/>
        <v>0</v>
      </c>
      <c r="CG152" s="2" t="b">
        <f t="shared" si="245"/>
        <v>1</v>
      </c>
      <c r="CH152" s="2" t="b">
        <f t="shared" si="246"/>
        <v>1</v>
      </c>
      <c r="CI152" s="2" t="b">
        <f t="shared" si="247"/>
        <v>1</v>
      </c>
      <c r="CK152" s="2" t="b">
        <f t="shared" si="248"/>
        <v>0</v>
      </c>
      <c r="CL152" s="2" t="b">
        <f t="shared" si="249"/>
        <v>1</v>
      </c>
      <c r="CM152" s="2" t="b">
        <f t="shared" si="250"/>
        <v>1</v>
      </c>
      <c r="CN152" s="2" t="b">
        <f t="shared" si="251"/>
        <v>0</v>
      </c>
      <c r="CO152" s="2">
        <v>1</v>
      </c>
      <c r="CP152" s="2">
        <v>1</v>
      </c>
      <c r="CQ152" s="2">
        <v>1</v>
      </c>
      <c r="CS152" s="2">
        <v>1</v>
      </c>
      <c r="CT152" s="2">
        <v>1</v>
      </c>
      <c r="CU152" s="2">
        <v>1</v>
      </c>
      <c r="CV152" s="2">
        <v>1</v>
      </c>
      <c r="CX152" s="2">
        <v>4</v>
      </c>
      <c r="CY152" s="2">
        <v>5.5</v>
      </c>
      <c r="CZ152" s="2">
        <v>4</v>
      </c>
      <c r="DB152" s="2" t="s">
        <v>324</v>
      </c>
      <c r="DC152" s="2">
        <v>4</v>
      </c>
      <c r="DD152" s="2">
        <v>4</v>
      </c>
      <c r="DE152" s="2" t="s">
        <v>324</v>
      </c>
      <c r="DF152" s="194">
        <f t="shared" si="252"/>
        <v>4.00000000004</v>
      </c>
      <c r="DG152" s="194">
        <f t="shared" si="253"/>
        <v>5.50000000002</v>
      </c>
      <c r="DH152" s="194">
        <f t="shared" si="254"/>
        <v>4.00000000003</v>
      </c>
      <c r="DJ152" s="194">
        <f t="shared" si="255"/>
        <v>0</v>
      </c>
      <c r="DK152" s="194">
        <f t="shared" si="256"/>
        <v>4.00000000006</v>
      </c>
      <c r="DL152" s="194">
        <f t="shared" si="257"/>
        <v>4.00000000007</v>
      </c>
      <c r="DM152" s="194">
        <f t="shared" si="258"/>
        <v>0</v>
      </c>
      <c r="DN152" s="2">
        <f t="shared" si="224"/>
        <v>4.00000000004</v>
      </c>
      <c r="DO152" s="2">
        <f t="shared" si="225"/>
        <v>5.50000000002</v>
      </c>
      <c r="DP152" s="2">
        <f t="shared" si="226"/>
        <v>4.00000000003</v>
      </c>
      <c r="DR152" s="2">
        <f t="shared" si="227"/>
        <v>0</v>
      </c>
      <c r="DS152" s="2">
        <f t="shared" si="228"/>
        <v>4.00000000006</v>
      </c>
      <c r="DT152" s="2">
        <f t="shared" si="229"/>
        <v>4.00000000007</v>
      </c>
      <c r="DU152" s="2">
        <f t="shared" si="230"/>
        <v>0</v>
      </c>
      <c r="DV152" s="2" t="b">
        <f t="shared" si="259"/>
        <v>1</v>
      </c>
      <c r="DW152" s="2" t="b">
        <f t="shared" si="260"/>
        <v>1</v>
      </c>
      <c r="DX152" s="2" t="b">
        <f t="shared" si="261"/>
        <v>1</v>
      </c>
      <c r="DZ152" s="2" t="b">
        <f t="shared" si="262"/>
        <v>0</v>
      </c>
      <c r="EA152" s="2" t="b">
        <f t="shared" si="263"/>
        <v>1</v>
      </c>
      <c r="EB152" s="2" t="b">
        <f t="shared" si="264"/>
        <v>1</v>
      </c>
      <c r="EC152" s="2" t="b">
        <f t="shared" si="265"/>
        <v>0</v>
      </c>
      <c r="ED152" s="2">
        <v>1</v>
      </c>
      <c r="EE152" s="2">
        <v>1</v>
      </c>
      <c r="EF152" s="2">
        <v>1</v>
      </c>
      <c r="EH152" s="2">
        <v>1</v>
      </c>
      <c r="EI152" s="2">
        <v>1</v>
      </c>
      <c r="EJ152" s="2">
        <v>1</v>
      </c>
      <c r="EK152" s="2">
        <v>1</v>
      </c>
      <c r="EL152" s="2">
        <v>4</v>
      </c>
      <c r="EM152" s="2">
        <v>4</v>
      </c>
      <c r="EN152" s="2">
        <v>5.5</v>
      </c>
      <c r="EP152" s="2" t="s">
        <v>324</v>
      </c>
      <c r="EQ152" s="2">
        <v>5.5</v>
      </c>
      <c r="ER152" s="2">
        <v>5.5</v>
      </c>
      <c r="ES152" s="2">
        <v>4</v>
      </c>
      <c r="ET152" s="194">
        <f t="shared" si="266"/>
        <v>4.00000000004</v>
      </c>
      <c r="EU152" s="194">
        <f t="shared" si="267"/>
        <v>4.00000000002</v>
      </c>
      <c r="EV152" s="194">
        <f t="shared" si="268"/>
        <v>5.50000000003</v>
      </c>
      <c r="EW152" s="194">
        <f t="shared" si="269"/>
        <v>9.9999999999999994E-12</v>
      </c>
      <c r="EX152" s="194">
        <f t="shared" si="270"/>
        <v>0</v>
      </c>
      <c r="EY152" s="194">
        <f t="shared" si="271"/>
        <v>5.50000000006</v>
      </c>
      <c r="EZ152" s="194">
        <f t="shared" si="272"/>
        <v>5.50000000007</v>
      </c>
      <c r="FA152" s="194">
        <f t="shared" si="273"/>
        <v>4.00000000008</v>
      </c>
      <c r="FB152" s="2">
        <f t="shared" si="274"/>
        <v>4.00000000004</v>
      </c>
      <c r="FC152" s="2">
        <f t="shared" si="275"/>
        <v>4.00000000002</v>
      </c>
      <c r="FD152" s="2">
        <f t="shared" si="276"/>
        <v>5.50000000003</v>
      </c>
      <c r="FE152" s="2">
        <f t="shared" si="277"/>
        <v>0</v>
      </c>
      <c r="FF152" s="2">
        <f t="shared" si="278"/>
        <v>0</v>
      </c>
      <c r="FG152" s="2">
        <f t="shared" si="279"/>
        <v>5.50000000006</v>
      </c>
      <c r="FH152" s="2">
        <f t="shared" si="280"/>
        <v>5.50000000007</v>
      </c>
      <c r="FI152" s="2">
        <f t="shared" si="281"/>
        <v>4.00000000008</v>
      </c>
      <c r="FJ152" s="2" t="b">
        <f t="shared" si="282"/>
        <v>1</v>
      </c>
      <c r="FK152" s="2" t="b">
        <f t="shared" si="283"/>
        <v>0</v>
      </c>
      <c r="FL152" s="2" t="b">
        <f t="shared" si="284"/>
        <v>1</v>
      </c>
      <c r="FM152" s="2" t="b">
        <f t="shared" si="285"/>
        <v>0</v>
      </c>
      <c r="FN152" s="2" t="b">
        <f t="shared" si="286"/>
        <v>0</v>
      </c>
      <c r="FO152" s="2" t="b">
        <f t="shared" si="287"/>
        <v>1</v>
      </c>
      <c r="FP152" s="2" t="b">
        <f t="shared" si="288"/>
        <v>1</v>
      </c>
      <c r="FQ152" s="2" t="b">
        <f t="shared" si="289"/>
        <v>1</v>
      </c>
    </row>
    <row r="153" spans="1:173" ht="15.6">
      <c r="A153" s="335" t="s">
        <v>1183</v>
      </c>
      <c r="B153" s="346" t="s">
        <v>1183</v>
      </c>
      <c r="C153" s="346" t="s">
        <v>227</v>
      </c>
      <c r="D153" s="346" t="s">
        <v>940</v>
      </c>
      <c r="E153" s="346" t="s">
        <v>1184</v>
      </c>
      <c r="F153" s="2" t="s">
        <v>785</v>
      </c>
      <c r="G153" s="2" t="s">
        <v>324</v>
      </c>
      <c r="H153" s="2">
        <v>26</v>
      </c>
      <c r="I153" s="2">
        <v>23.5</v>
      </c>
      <c r="J153" s="2">
        <v>22</v>
      </c>
      <c r="K153" s="435">
        <f t="shared" si="234"/>
        <v>26.000000000259998</v>
      </c>
      <c r="L153" s="435">
        <f t="shared" si="235"/>
        <v>23.500000000239996</v>
      </c>
      <c r="M153" s="435">
        <f t="shared" si="236"/>
        <v>22.00000000028</v>
      </c>
      <c r="N153" s="346" t="s">
        <v>2467</v>
      </c>
      <c r="O153" s="346" t="s">
        <v>324</v>
      </c>
      <c r="P153" s="346" t="s">
        <v>324</v>
      </c>
      <c r="Q153" s="346" t="s">
        <v>324</v>
      </c>
      <c r="R153" s="346" t="s">
        <v>324</v>
      </c>
      <c r="S153" s="346" t="s">
        <v>1185</v>
      </c>
      <c r="T153" s="2" t="s">
        <v>1046</v>
      </c>
      <c r="U153" s="2">
        <v>19</v>
      </c>
      <c r="V153" s="2" cm="1">
        <f t="array" ref="V153">IFERROR(INDEX('Offer Statistics'!$BQ$2:$BQ$600,MATCH(1,(B153='Offer Statistics'!$BB$2:$BB$600)*($B$11='Offer Statistics'!$BC$2:$BC$600),0)),"/")</f>
        <v>21</v>
      </c>
      <c r="W153" s="2" cm="1">
        <f t="array" ref="W153">IFERROR(INDEX('Offer Statistics'!$BD$2:$BD$600,MATCH(1,($B153='Offer Statistics'!$BB$2:$BB$600)*($B$11='Offer Statistics'!$BC$2:$BC$600),0)),"/")</f>
        <v>181</v>
      </c>
      <c r="X153" s="2" cm="1">
        <f t="array" ref="X153">IFERROR(INDEX('Offer Statistics'!$BL$2:$BL$600,MATCH(1,($B153='Offer Statistics'!$BB$2:$BB$600)*($B$11='Offer Statistics'!$BC$2:$BC$600),0)),"/")</f>
        <v>21</v>
      </c>
      <c r="Y153" s="2">
        <f t="shared" si="215"/>
        <v>8.6190476190476186</v>
      </c>
      <c r="Z153" s="2" t="s">
        <v>1046</v>
      </c>
      <c r="AA153" s="435" t="str">
        <f>入學要求!AF162</f>
        <v>/</v>
      </c>
      <c r="AB153" s="435" t="str">
        <f>入學要求!AG162</f>
        <v>/</v>
      </c>
      <c r="AC153" s="346" t="s">
        <v>785</v>
      </c>
      <c r="AD153" s="346"/>
      <c r="AE153" s="346"/>
      <c r="AF153" s="346" t="s">
        <v>968</v>
      </c>
      <c r="AG153" s="346" t="s">
        <v>324</v>
      </c>
      <c r="AH153" s="346" t="s">
        <v>324</v>
      </c>
      <c r="AI153" s="346" t="s">
        <v>324</v>
      </c>
      <c r="AJ153" s="346" t="s">
        <v>324</v>
      </c>
      <c r="AK153" s="2" t="s">
        <v>324</v>
      </c>
      <c r="AL153" s="2" t="s">
        <v>324</v>
      </c>
      <c r="AM153" s="2" t="s">
        <v>324</v>
      </c>
      <c r="AN153" s="2" t="s">
        <v>324</v>
      </c>
      <c r="AO153" s="2" t="s">
        <v>324</v>
      </c>
      <c r="AP153" s="2" t="s">
        <v>324</v>
      </c>
      <c r="AQ153" s="2" t="s">
        <v>324</v>
      </c>
      <c r="AR153" s="2" t="s">
        <v>324</v>
      </c>
      <c r="AT153" s="2" t="s">
        <v>716</v>
      </c>
      <c r="AV153" s="2" t="s">
        <v>713</v>
      </c>
      <c r="AZ153" s="2">
        <v>1</v>
      </c>
      <c r="BA153" s="2">
        <v>1</v>
      </c>
      <c r="BB153" s="2">
        <v>1</v>
      </c>
      <c r="BD153" s="2">
        <v>1</v>
      </c>
      <c r="BE153" s="2">
        <v>1</v>
      </c>
      <c r="BF153" s="2">
        <v>1</v>
      </c>
      <c r="BG153" s="2">
        <v>1</v>
      </c>
      <c r="BH153" s="2" t="str">
        <f t="shared" si="237"/>
        <v>JS4094</v>
      </c>
      <c r="BI153" s="197">
        <v>7</v>
      </c>
      <c r="BJ153" s="197">
        <v>3</v>
      </c>
      <c r="BK153" s="197">
        <v>3</v>
      </c>
      <c r="BL153" s="197" t="s">
        <v>324</v>
      </c>
      <c r="BM153" s="197" t="s">
        <v>324</v>
      </c>
      <c r="BN153" s="197">
        <v>4</v>
      </c>
      <c r="BO153" s="197">
        <v>4</v>
      </c>
      <c r="BP153" s="197">
        <v>4</v>
      </c>
      <c r="BQ153" s="194">
        <f t="shared" si="238"/>
        <v>7.00000000004</v>
      </c>
      <c r="BR153" s="194">
        <f t="shared" si="239"/>
        <v>3.00000000002</v>
      </c>
      <c r="BS153" s="194">
        <f t="shared" si="240"/>
        <v>3.00000000003</v>
      </c>
      <c r="BU153" s="194">
        <f t="shared" si="241"/>
        <v>0</v>
      </c>
      <c r="BV153" s="194">
        <f t="shared" si="242"/>
        <v>4.00000000006</v>
      </c>
      <c r="BW153" s="194">
        <f t="shared" si="243"/>
        <v>4.00000000007</v>
      </c>
      <c r="BX153" s="194">
        <f t="shared" si="244"/>
        <v>4.00000000008</v>
      </c>
      <c r="BY153" s="2">
        <f t="shared" si="216"/>
        <v>7.00000000004</v>
      </c>
      <c r="BZ153" s="2">
        <f t="shared" si="217"/>
        <v>3.00000000002</v>
      </c>
      <c r="CA153" s="2">
        <f t="shared" si="218"/>
        <v>3.00000000003</v>
      </c>
      <c r="CC153" s="2">
        <f t="shared" si="219"/>
        <v>0</v>
      </c>
      <c r="CD153" s="2">
        <f t="shared" si="220"/>
        <v>4.00000000006</v>
      </c>
      <c r="CE153" s="2">
        <f t="shared" si="221"/>
        <v>4.00000000007</v>
      </c>
      <c r="CF153" s="2">
        <f t="shared" si="222"/>
        <v>4.00000000008</v>
      </c>
      <c r="CG153" s="2" t="b">
        <f t="shared" si="245"/>
        <v>1</v>
      </c>
      <c r="CH153" s="2" t="b">
        <f t="shared" si="246"/>
        <v>0</v>
      </c>
      <c r="CI153" s="2" t="b">
        <f t="shared" si="247"/>
        <v>1</v>
      </c>
      <c r="CK153" s="2" t="b">
        <f t="shared" si="248"/>
        <v>0</v>
      </c>
      <c r="CL153" s="2" t="b">
        <f t="shared" si="249"/>
        <v>1</v>
      </c>
      <c r="CM153" s="2" t="b">
        <f t="shared" si="250"/>
        <v>1</v>
      </c>
      <c r="CN153" s="2" t="b">
        <f t="shared" si="251"/>
        <v>1</v>
      </c>
      <c r="CO153" s="2">
        <v>1</v>
      </c>
      <c r="CP153" s="2">
        <v>1</v>
      </c>
      <c r="CQ153" s="2">
        <v>1</v>
      </c>
      <c r="CS153" s="2">
        <v>1</v>
      </c>
      <c r="CT153" s="2">
        <v>1</v>
      </c>
      <c r="CU153" s="2">
        <v>1</v>
      </c>
      <c r="CV153" s="2">
        <v>1</v>
      </c>
      <c r="CX153" s="2">
        <v>3</v>
      </c>
      <c r="CY153" s="2">
        <v>7</v>
      </c>
      <c r="CZ153" s="2">
        <v>4</v>
      </c>
      <c r="DB153" s="2">
        <v>4</v>
      </c>
      <c r="DC153" s="2">
        <v>5.5</v>
      </c>
      <c r="DD153" s="2">
        <v>4</v>
      </c>
      <c r="DE153" s="2">
        <v>3</v>
      </c>
      <c r="DF153" s="194">
        <f t="shared" si="252"/>
        <v>3.00000000004</v>
      </c>
      <c r="DG153" s="194">
        <f t="shared" si="253"/>
        <v>7.00000000002</v>
      </c>
      <c r="DH153" s="194">
        <f t="shared" si="254"/>
        <v>4.00000000003</v>
      </c>
      <c r="DJ153" s="194">
        <f t="shared" si="255"/>
        <v>4.00000000005</v>
      </c>
      <c r="DK153" s="194">
        <f t="shared" si="256"/>
        <v>5.50000000006</v>
      </c>
      <c r="DL153" s="194">
        <f t="shared" si="257"/>
        <v>4.00000000007</v>
      </c>
      <c r="DM153" s="194">
        <f t="shared" si="258"/>
        <v>3.00000000008</v>
      </c>
      <c r="DN153" s="2">
        <f t="shared" si="224"/>
        <v>3.00000000004</v>
      </c>
      <c r="DO153" s="2">
        <f t="shared" si="225"/>
        <v>7.00000000002</v>
      </c>
      <c r="DP153" s="2">
        <f t="shared" si="226"/>
        <v>4.00000000003</v>
      </c>
      <c r="DR153" s="2">
        <f t="shared" si="227"/>
        <v>4.00000000005</v>
      </c>
      <c r="DS153" s="2">
        <f t="shared" si="228"/>
        <v>5.50000000006</v>
      </c>
      <c r="DT153" s="2">
        <f t="shared" si="229"/>
        <v>4.00000000007</v>
      </c>
      <c r="DU153" s="2">
        <f t="shared" si="230"/>
        <v>3.00000000008</v>
      </c>
      <c r="DV153" s="470" t="b">
        <f>TRUE</f>
        <v>1</v>
      </c>
      <c r="DW153" s="470" t="b">
        <v>1</v>
      </c>
      <c r="DX153" s="470" t="b">
        <f>IF(DP153&gt;LARGE($DP153:$DU153,4),TRUE)</f>
        <v>0</v>
      </c>
      <c r="DY153" s="470"/>
      <c r="DZ153" s="470" t="b">
        <f>IF(DR153&gt;LARGE($DP153:$DU153,4),TRUE)</f>
        <v>1</v>
      </c>
      <c r="EA153" s="470" t="b">
        <f>IF(DS153&gt;LARGE($DP153:$DU153,4),TRUE)</f>
        <v>1</v>
      </c>
      <c r="EB153" s="470" t="b">
        <f>IF(DT153&gt;LARGE($DP153:$DU153,4),TRUE)</f>
        <v>1</v>
      </c>
      <c r="EC153" s="470" t="b">
        <f>IF(DU153&gt;LARGE($DP153:$DU153,4),TRUE)</f>
        <v>0</v>
      </c>
      <c r="ED153" s="2">
        <v>1</v>
      </c>
      <c r="EE153" s="2">
        <v>1</v>
      </c>
      <c r="EF153" s="2">
        <v>1</v>
      </c>
      <c r="EH153" s="2">
        <v>1</v>
      </c>
      <c r="EI153" s="2">
        <v>1</v>
      </c>
      <c r="EJ153" s="2">
        <v>1</v>
      </c>
      <c r="EK153" s="2">
        <v>1</v>
      </c>
      <c r="EL153" s="2">
        <v>4</v>
      </c>
      <c r="EM153" s="2">
        <v>5.5</v>
      </c>
      <c r="EN153" s="2">
        <v>5.5</v>
      </c>
      <c r="EP153" s="2" t="s">
        <v>324</v>
      </c>
      <c r="EQ153" s="2">
        <v>5.5</v>
      </c>
      <c r="ER153" s="2">
        <v>5.5</v>
      </c>
      <c r="ES153" s="2">
        <v>4</v>
      </c>
      <c r="ET153" s="194">
        <f t="shared" si="266"/>
        <v>4.00000000004</v>
      </c>
      <c r="EU153" s="194">
        <f t="shared" si="267"/>
        <v>5.50000000002</v>
      </c>
      <c r="EV153" s="194">
        <f t="shared" si="268"/>
        <v>5.50000000003</v>
      </c>
      <c r="EW153" s="194">
        <f t="shared" si="269"/>
        <v>9.9999999999999994E-12</v>
      </c>
      <c r="EX153" s="194">
        <f t="shared" si="270"/>
        <v>0</v>
      </c>
      <c r="EY153" s="194">
        <f t="shared" si="271"/>
        <v>5.50000000006</v>
      </c>
      <c r="EZ153" s="194">
        <f t="shared" si="272"/>
        <v>5.50000000007</v>
      </c>
      <c r="FA153" s="194">
        <f t="shared" si="273"/>
        <v>4.00000000008</v>
      </c>
      <c r="FB153" s="2">
        <f t="shared" si="274"/>
        <v>4.00000000004</v>
      </c>
      <c r="FC153" s="2">
        <f t="shared" si="275"/>
        <v>5.50000000002</v>
      </c>
      <c r="FD153" s="2">
        <f t="shared" si="276"/>
        <v>5.50000000003</v>
      </c>
      <c r="FE153" s="2">
        <f t="shared" si="277"/>
        <v>0</v>
      </c>
      <c r="FF153" s="2">
        <f t="shared" si="278"/>
        <v>0</v>
      </c>
      <c r="FG153" s="2">
        <f t="shared" si="279"/>
        <v>5.50000000006</v>
      </c>
      <c r="FH153" s="2">
        <f t="shared" si="280"/>
        <v>5.50000000007</v>
      </c>
      <c r="FI153" s="2">
        <f t="shared" si="281"/>
        <v>4.00000000008</v>
      </c>
      <c r="FJ153" s="2" t="b">
        <f t="shared" si="282"/>
        <v>0</v>
      </c>
      <c r="FK153" s="2" t="b">
        <f t="shared" si="283"/>
        <v>1</v>
      </c>
      <c r="FL153" s="2" t="b">
        <f t="shared" si="284"/>
        <v>1</v>
      </c>
      <c r="FM153" s="2" t="b">
        <f t="shared" si="285"/>
        <v>0</v>
      </c>
      <c r="FN153" s="2" t="b">
        <f t="shared" si="286"/>
        <v>0</v>
      </c>
      <c r="FO153" s="2" t="b">
        <f t="shared" si="287"/>
        <v>1</v>
      </c>
      <c r="FP153" s="2" t="b">
        <f t="shared" si="288"/>
        <v>1</v>
      </c>
      <c r="FQ153" s="2" t="b">
        <f t="shared" si="289"/>
        <v>1</v>
      </c>
    </row>
    <row r="154" spans="1:173" ht="15.6">
      <c r="A154" s="335" t="s">
        <v>2647</v>
      </c>
      <c r="B154" s="346" t="s">
        <v>2647</v>
      </c>
      <c r="C154" s="346" t="s">
        <v>227</v>
      </c>
      <c r="D154" s="346" t="s">
        <v>940</v>
      </c>
      <c r="E154" s="346" t="s">
        <v>2649</v>
      </c>
      <c r="F154" s="2" t="s">
        <v>785</v>
      </c>
      <c r="G154" s="2" t="s">
        <v>324</v>
      </c>
      <c r="H154" s="469">
        <v>24</v>
      </c>
      <c r="I154" s="469">
        <v>23.5</v>
      </c>
      <c r="J154" s="469">
        <v>22</v>
      </c>
      <c r="K154" s="435">
        <f t="shared" si="234"/>
        <v>24.000000000220002</v>
      </c>
      <c r="L154" s="435">
        <f t="shared" si="235"/>
        <v>23.50000000028</v>
      </c>
      <c r="M154" s="435">
        <f t="shared" si="236"/>
        <v>22.000000000230003</v>
      </c>
      <c r="N154" s="346" t="s">
        <v>3082</v>
      </c>
      <c r="O154" s="346" t="s">
        <v>324</v>
      </c>
      <c r="P154" s="346" t="s">
        <v>324</v>
      </c>
      <c r="Q154" s="346" t="s">
        <v>324</v>
      </c>
      <c r="R154" s="346" t="s">
        <v>324</v>
      </c>
      <c r="S154" s="346" t="s">
        <v>2648</v>
      </c>
      <c r="T154" s="2" t="s">
        <v>1046</v>
      </c>
      <c r="U154" s="435">
        <v>37</v>
      </c>
      <c r="V154" s="2" t="str" cm="1">
        <f t="array" ref="V154">IFERROR(INDEX('Offer Statistics'!$BQ$2:$BQ$600,MATCH(1,(B154='Offer Statistics'!$BB$2:$BB$600)*($B$11='Offer Statistics'!$BC$2:$BC$600),0)),"/")</f>
        <v>/</v>
      </c>
      <c r="W154" s="2" t="str" cm="1">
        <f t="array" ref="W154">IFERROR(INDEX('Offer Statistics'!$BD$2:$BD$600,MATCH(1,($B154='Offer Statistics'!$BB$2:$BB$600)*($B$11='Offer Statistics'!$BC$2:$BC$600),0)),"/")</f>
        <v>/</v>
      </c>
      <c r="X154" s="2" t="str" cm="1">
        <f t="array" ref="X154">IFERROR(INDEX('Offer Statistics'!$BL$2:$BL$600,MATCH(1,($B154='Offer Statistics'!$BB$2:$BB$600)*($B$11='Offer Statistics'!$BC$2:$BC$600),0)),"/")</f>
        <v>/</v>
      </c>
      <c r="Y154" s="2" t="str">
        <f>IFERROR(W154/X154,"新科目")</f>
        <v>新科目</v>
      </c>
      <c r="Z154" s="2" t="s">
        <v>1046</v>
      </c>
      <c r="AA154" s="435" t="str">
        <f>入學要求!AF163</f>
        <v>/</v>
      </c>
      <c r="AB154" s="435" t="str">
        <f>入學要求!AG163</f>
        <v>/</v>
      </c>
      <c r="AC154" s="346" t="s">
        <v>785</v>
      </c>
      <c r="AD154" s="346"/>
      <c r="AE154" s="346"/>
      <c r="AF154" s="346" t="s">
        <v>324</v>
      </c>
      <c r="AG154" s="346" t="s">
        <v>324</v>
      </c>
      <c r="AH154" s="346" t="s">
        <v>324</v>
      </c>
      <c r="AI154" s="346" t="s">
        <v>324</v>
      </c>
      <c r="AJ154" s="346" t="s">
        <v>324</v>
      </c>
      <c r="AK154" s="2" t="s">
        <v>324</v>
      </c>
      <c r="AL154" s="2" t="s">
        <v>324</v>
      </c>
      <c r="AM154" s="2" t="s">
        <v>324</v>
      </c>
      <c r="AN154" s="2" t="s">
        <v>324</v>
      </c>
      <c r="AO154" s="2" t="s">
        <v>324</v>
      </c>
      <c r="AP154" s="2" t="s">
        <v>324</v>
      </c>
      <c r="AQ154" s="2" t="s">
        <v>324</v>
      </c>
      <c r="AR154" s="2" t="s">
        <v>324</v>
      </c>
      <c r="AT154" s="2" t="s">
        <v>716</v>
      </c>
      <c r="AV154" s="2" t="s">
        <v>713</v>
      </c>
      <c r="AZ154" s="2">
        <v>1</v>
      </c>
      <c r="BA154" s="2">
        <v>1</v>
      </c>
      <c r="BB154" s="2">
        <v>1</v>
      </c>
      <c r="BD154" s="2">
        <v>1</v>
      </c>
      <c r="BE154" s="2">
        <v>1</v>
      </c>
      <c r="BF154" s="2">
        <v>1</v>
      </c>
      <c r="BG154" s="2">
        <v>1</v>
      </c>
      <c r="BH154" s="2" t="str">
        <f t="shared" si="237"/>
        <v>JS4100</v>
      </c>
      <c r="BI154" s="197">
        <v>7</v>
      </c>
      <c r="BJ154" s="197">
        <v>4</v>
      </c>
      <c r="BK154" s="197">
        <v>4</v>
      </c>
      <c r="BL154" s="197" t="s">
        <v>324</v>
      </c>
      <c r="BM154" s="197" t="s">
        <v>324</v>
      </c>
      <c r="BN154" s="197">
        <v>4</v>
      </c>
      <c r="BO154" s="197">
        <v>3</v>
      </c>
      <c r="BP154" s="197">
        <v>3</v>
      </c>
      <c r="BQ154" s="194">
        <f>IFERROR(BI154+0.00000000004,0)</f>
        <v>7.00000000004</v>
      </c>
      <c r="BR154" s="194">
        <f>IFERROR(BJ154+0.00000000002,0)</f>
        <v>4.00000000002</v>
      </c>
      <c r="BS154" s="194">
        <f>IFERROR(BK154+0.00000000003,0)</f>
        <v>4.00000000003</v>
      </c>
      <c r="BU154" s="194">
        <f>IFERROR(BM154+0.00000000005,0)</f>
        <v>0</v>
      </c>
      <c r="BV154" s="194">
        <f>IFERROR(BN154+0.00000000006,0)</f>
        <v>4.00000000006</v>
      </c>
      <c r="BW154" s="194">
        <f>IFERROR(BO154+0.00000000007,0)</f>
        <v>3.00000000007</v>
      </c>
      <c r="BX154" s="194">
        <f>IFERROR(BP154+0.00000000008,0)</f>
        <v>3.00000000008</v>
      </c>
      <c r="BY154" s="2">
        <f>AZ154*BQ154</f>
        <v>7.00000000004</v>
      </c>
      <c r="BZ154" s="2">
        <f>BA154*BR154</f>
        <v>4.00000000002</v>
      </c>
      <c r="CA154" s="2">
        <f>BB154*BS154</f>
        <v>4.00000000003</v>
      </c>
      <c r="CC154" s="2">
        <f>BD154*BU154</f>
        <v>0</v>
      </c>
      <c r="CD154" s="2">
        <f>BE154*BV154</f>
        <v>4.00000000006</v>
      </c>
      <c r="CE154" s="2">
        <f>BF154*BW154</f>
        <v>3.00000000007</v>
      </c>
      <c r="CF154" s="2">
        <f>BG154*BX154</f>
        <v>3.00000000008</v>
      </c>
      <c r="CG154" s="2" t="b">
        <f t="shared" si="245"/>
        <v>1</v>
      </c>
      <c r="CH154" s="2" t="b">
        <f t="shared" si="246"/>
        <v>1</v>
      </c>
      <c r="CI154" s="2" t="b">
        <f t="shared" si="247"/>
        <v>1</v>
      </c>
      <c r="CK154" s="2" t="b">
        <f t="shared" si="248"/>
        <v>0</v>
      </c>
      <c r="CL154" s="2" t="b">
        <f t="shared" si="249"/>
        <v>1</v>
      </c>
      <c r="CM154" s="2" t="b">
        <f t="shared" si="250"/>
        <v>0</v>
      </c>
      <c r="CN154" s="2" t="b">
        <f t="shared" si="251"/>
        <v>1</v>
      </c>
      <c r="CO154" s="2">
        <v>1</v>
      </c>
      <c r="CP154" s="2">
        <v>1</v>
      </c>
      <c r="CQ154" s="2">
        <v>1</v>
      </c>
      <c r="CS154" s="2">
        <v>1</v>
      </c>
      <c r="CT154" s="2">
        <v>1</v>
      </c>
      <c r="CU154" s="2">
        <v>1</v>
      </c>
      <c r="CV154" s="2">
        <v>1</v>
      </c>
      <c r="CX154" s="2">
        <v>4</v>
      </c>
      <c r="CY154" s="2">
        <v>3</v>
      </c>
      <c r="CZ154" s="2">
        <v>3</v>
      </c>
      <c r="DB154" s="2" t="s">
        <v>324</v>
      </c>
      <c r="DC154" s="2">
        <v>8.5</v>
      </c>
      <c r="DD154" s="2">
        <v>4</v>
      </c>
      <c r="DE154" s="2">
        <v>4</v>
      </c>
      <c r="DF154" s="194">
        <f>IFERROR(CX154+0.00000000004,0)</f>
        <v>4.00000000004</v>
      </c>
      <c r="DG154" s="194">
        <f>IFERROR(CY154+0.00000000002,0)</f>
        <v>3.00000000002</v>
      </c>
      <c r="DH154" s="194">
        <f>IFERROR(CZ154+0.00000000003,0)</f>
        <v>3.00000000003</v>
      </c>
      <c r="DJ154" s="194">
        <f>IFERROR(DB154+0.00000000005,0)</f>
        <v>0</v>
      </c>
      <c r="DK154" s="194">
        <f>IFERROR(DC154+0.00000000006,0)</f>
        <v>8.50000000006</v>
      </c>
      <c r="DL154" s="194">
        <f>IFERROR(DD154+0.00000000007,0)</f>
        <v>4.00000000007</v>
      </c>
      <c r="DM154" s="194">
        <f>IFERROR(DE154+0.00000000008,0)</f>
        <v>4.00000000008</v>
      </c>
      <c r="DN154" s="2">
        <f>DF154*CO154</f>
        <v>4.00000000004</v>
      </c>
      <c r="DO154" s="2">
        <f>DG154*CP154</f>
        <v>3.00000000002</v>
      </c>
      <c r="DP154" s="2">
        <f>DH154*CQ154</f>
        <v>3.00000000003</v>
      </c>
      <c r="DR154" s="2">
        <f>DJ154*CS154</f>
        <v>0</v>
      </c>
      <c r="DS154" s="2">
        <f>DK154*CT154</f>
        <v>8.50000000006</v>
      </c>
      <c r="DT154" s="2">
        <f>DL154*CU154</f>
        <v>4.00000000007</v>
      </c>
      <c r="DU154" s="2">
        <f>DM154*CV154</f>
        <v>4.00000000008</v>
      </c>
      <c r="DV154" s="2" t="b">
        <f>IF(DN154&gt;LARGE($DN154:$DU154,6),TRUE)</f>
        <v>1</v>
      </c>
      <c r="DW154" s="2" t="b">
        <f t="shared" si="260"/>
        <v>0</v>
      </c>
      <c r="DX154" s="2" t="b">
        <f t="shared" si="261"/>
        <v>1</v>
      </c>
      <c r="DZ154" s="2" t="b">
        <f t="shared" si="262"/>
        <v>0</v>
      </c>
      <c r="EA154" s="2" t="b">
        <f t="shared" si="263"/>
        <v>1</v>
      </c>
      <c r="EB154" s="2" t="b">
        <f t="shared" si="264"/>
        <v>1</v>
      </c>
      <c r="EC154" s="2" t="b">
        <f t="shared" si="265"/>
        <v>1</v>
      </c>
      <c r="ED154" s="2">
        <v>1</v>
      </c>
      <c r="EE154" s="2">
        <v>1</v>
      </c>
      <c r="EF154" s="2">
        <v>1</v>
      </c>
      <c r="EH154" s="2">
        <v>1</v>
      </c>
      <c r="EI154" s="2">
        <v>1</v>
      </c>
      <c r="EJ154" s="2">
        <v>1</v>
      </c>
      <c r="EK154" s="2">
        <v>1</v>
      </c>
      <c r="EL154" s="2">
        <v>8.5</v>
      </c>
      <c r="EM154" s="2">
        <v>3</v>
      </c>
      <c r="EN154" s="2">
        <v>4</v>
      </c>
      <c r="EP154" s="2" t="s">
        <v>324</v>
      </c>
      <c r="EQ154" s="2">
        <v>5.5</v>
      </c>
      <c r="ER154" s="2">
        <v>3</v>
      </c>
      <c r="ES154" s="2" t="s">
        <v>324</v>
      </c>
      <c r="ET154" s="194">
        <f>IFERROR(EL154+0.00000000004,0)</f>
        <v>8.50000000004</v>
      </c>
      <c r="EU154" s="194">
        <f>IFERROR(EM154+0.00000000002,0)</f>
        <v>3.00000000002</v>
      </c>
      <c r="EV154" s="194">
        <f>IFERROR(EN154+0.00000000003,0)</f>
        <v>4.00000000003</v>
      </c>
      <c r="EW154" s="194">
        <f>IFERROR(EO154+0.00000000001,0)</f>
        <v>9.9999999999999994E-12</v>
      </c>
      <c r="EX154" s="194">
        <f>IFERROR(EP154+0.00000000005,0)</f>
        <v>0</v>
      </c>
      <c r="EY154" s="194">
        <f>IFERROR(EQ154+0.00000000006,0)</f>
        <v>5.50000000006</v>
      </c>
      <c r="EZ154" s="194">
        <f>IFERROR(ER154+0.00000000007,0)</f>
        <v>3.00000000007</v>
      </c>
      <c r="FA154" s="194">
        <f>IFERROR(ES154+0.00000000008,0)</f>
        <v>0</v>
      </c>
      <c r="FB154" s="2">
        <f t="shared" ref="FB154:FI154" si="290">ET154*ED154</f>
        <v>8.50000000004</v>
      </c>
      <c r="FC154" s="2">
        <f t="shared" si="290"/>
        <v>3.00000000002</v>
      </c>
      <c r="FD154" s="2">
        <f t="shared" si="290"/>
        <v>4.00000000003</v>
      </c>
      <c r="FE154" s="2">
        <f t="shared" si="290"/>
        <v>0</v>
      </c>
      <c r="FF154" s="2">
        <f t="shared" si="290"/>
        <v>0</v>
      </c>
      <c r="FG154" s="2">
        <f t="shared" si="290"/>
        <v>5.50000000006</v>
      </c>
      <c r="FH154" s="2">
        <f t="shared" si="290"/>
        <v>3.00000000007</v>
      </c>
      <c r="FI154" s="2">
        <f t="shared" si="290"/>
        <v>0</v>
      </c>
      <c r="FJ154" s="2" t="b">
        <f t="shared" si="282"/>
        <v>1</v>
      </c>
      <c r="FK154" s="2" t="b">
        <f t="shared" si="283"/>
        <v>1</v>
      </c>
      <c r="FL154" s="2" t="b">
        <f t="shared" si="284"/>
        <v>1</v>
      </c>
      <c r="FM154" s="2" t="b">
        <f t="shared" si="285"/>
        <v>0</v>
      </c>
      <c r="FN154" s="2" t="b">
        <f t="shared" si="286"/>
        <v>0</v>
      </c>
      <c r="FO154" s="2" t="b">
        <f t="shared" si="287"/>
        <v>1</v>
      </c>
      <c r="FP154" s="2" t="b">
        <f t="shared" si="288"/>
        <v>1</v>
      </c>
      <c r="FQ154" s="2" t="b">
        <f t="shared" si="289"/>
        <v>0</v>
      </c>
    </row>
    <row r="155" spans="1:173" ht="15.6">
      <c r="A155" s="335" t="s">
        <v>1186</v>
      </c>
      <c r="B155" s="346" t="s">
        <v>1186</v>
      </c>
      <c r="C155" s="346" t="s">
        <v>227</v>
      </c>
      <c r="D155" s="346" t="s">
        <v>940</v>
      </c>
      <c r="E155" s="346" t="s">
        <v>1187</v>
      </c>
      <c r="F155" s="2" t="s">
        <v>785</v>
      </c>
      <c r="G155" s="2" t="s">
        <v>324</v>
      </c>
      <c r="H155" s="2">
        <v>21.5</v>
      </c>
      <c r="I155" s="2">
        <v>21</v>
      </c>
      <c r="J155" s="2">
        <v>20.5</v>
      </c>
      <c r="K155" s="435">
        <f t="shared" si="234"/>
        <v>21.500000000220002</v>
      </c>
      <c r="L155" s="435">
        <f t="shared" si="235"/>
        <v>21.000000000220002</v>
      </c>
      <c r="M155" s="435">
        <f t="shared" si="236"/>
        <v>20.500000000220002</v>
      </c>
      <c r="N155" s="346" t="s">
        <v>324</v>
      </c>
      <c r="O155" s="346" t="s">
        <v>324</v>
      </c>
      <c r="P155" s="346" t="s">
        <v>324</v>
      </c>
      <c r="Q155" s="346" t="s">
        <v>324</v>
      </c>
      <c r="R155" s="346" t="s">
        <v>324</v>
      </c>
      <c r="S155" s="346" t="s">
        <v>1188</v>
      </c>
      <c r="T155" s="2" t="s">
        <v>1046</v>
      </c>
      <c r="U155" s="2" t="s">
        <v>2537</v>
      </c>
      <c r="V155" s="2" cm="1">
        <f t="array" ref="V155">IFERROR(INDEX('Offer Statistics'!$BQ$2:$BQ$600,MATCH(1,(B155='Offer Statistics'!$BB$2:$BB$600)*($B$11='Offer Statistics'!$BC$2:$BC$600),0)),"/")</f>
        <v>16</v>
      </c>
      <c r="W155" s="2" cm="1">
        <f t="array" ref="W155">IFERROR(INDEX('Offer Statistics'!$BD$2:$BD$600,MATCH(1,($B155='Offer Statistics'!$BB$2:$BB$600)*($B$11='Offer Statistics'!$BC$2:$BC$600),0)),"/")</f>
        <v>160</v>
      </c>
      <c r="X155" s="2" cm="1">
        <f t="array" ref="X155">IFERROR(INDEX('Offer Statistics'!$BL$2:$BL$600,MATCH(1,($B155='Offer Statistics'!$BB$2:$BB$600)*($B$11='Offer Statistics'!$BC$2:$BC$600),0)),"/")</f>
        <v>16</v>
      </c>
      <c r="Y155" s="2">
        <f t="shared" si="215"/>
        <v>10</v>
      </c>
      <c r="Z155" s="2" t="s">
        <v>1046</v>
      </c>
      <c r="AA155" s="435" t="str">
        <f>入學要求!AF164</f>
        <v>/</v>
      </c>
      <c r="AB155" s="435" t="str">
        <f>入學要求!AG164</f>
        <v>/</v>
      </c>
      <c r="AC155" s="346" t="s">
        <v>785</v>
      </c>
      <c r="AD155" s="346"/>
      <c r="AE155" s="346"/>
      <c r="AF155" s="346" t="s">
        <v>324</v>
      </c>
      <c r="AG155" s="346" t="s">
        <v>324</v>
      </c>
      <c r="AH155" s="346" t="s">
        <v>324</v>
      </c>
      <c r="AI155" s="346" t="s">
        <v>324</v>
      </c>
      <c r="AJ155" s="346" t="s">
        <v>324</v>
      </c>
      <c r="AK155" s="2" t="s">
        <v>324</v>
      </c>
      <c r="AL155" s="2" t="s">
        <v>324</v>
      </c>
      <c r="AM155" s="2" t="s">
        <v>324</v>
      </c>
      <c r="AN155" s="2" t="s">
        <v>324</v>
      </c>
      <c r="AO155" s="2" t="s">
        <v>324</v>
      </c>
      <c r="AP155" s="2" t="s">
        <v>324</v>
      </c>
      <c r="AQ155" s="2" t="s">
        <v>324</v>
      </c>
      <c r="AR155" s="2" t="s">
        <v>324</v>
      </c>
      <c r="AT155" s="2" t="s">
        <v>716</v>
      </c>
      <c r="AV155" s="2" t="s">
        <v>713</v>
      </c>
      <c r="AZ155" s="2">
        <v>1</v>
      </c>
      <c r="BA155" s="2">
        <v>1</v>
      </c>
      <c r="BB155" s="2">
        <v>1</v>
      </c>
      <c r="BD155" s="2">
        <v>1</v>
      </c>
      <c r="BE155" s="2">
        <v>1</v>
      </c>
      <c r="BF155" s="2">
        <v>1</v>
      </c>
      <c r="BG155" s="2">
        <v>1</v>
      </c>
      <c r="BH155" s="2" t="str">
        <f t="shared" si="237"/>
        <v>JS4109</v>
      </c>
      <c r="BI155" s="197">
        <v>4</v>
      </c>
      <c r="BJ155" s="197">
        <v>3</v>
      </c>
      <c r="BK155" s="197">
        <v>4</v>
      </c>
      <c r="BL155" s="197" t="s">
        <v>324</v>
      </c>
      <c r="BM155" s="197" t="s">
        <v>324</v>
      </c>
      <c r="BN155" s="197">
        <v>5.5</v>
      </c>
      <c r="BO155" s="197">
        <v>4</v>
      </c>
      <c r="BP155" s="197" t="s">
        <v>324</v>
      </c>
      <c r="BQ155" s="194">
        <f t="shared" si="238"/>
        <v>4.00000000004</v>
      </c>
      <c r="BR155" s="194">
        <f t="shared" si="239"/>
        <v>3.00000000002</v>
      </c>
      <c r="BS155" s="194">
        <f t="shared" si="240"/>
        <v>4.00000000003</v>
      </c>
      <c r="BU155" s="194">
        <f t="shared" si="241"/>
        <v>0</v>
      </c>
      <c r="BV155" s="194">
        <f t="shared" si="242"/>
        <v>5.50000000006</v>
      </c>
      <c r="BW155" s="194">
        <f t="shared" si="243"/>
        <v>4.00000000007</v>
      </c>
      <c r="BX155" s="194">
        <f t="shared" si="244"/>
        <v>0</v>
      </c>
      <c r="BY155" s="2">
        <f t="shared" si="216"/>
        <v>4.00000000004</v>
      </c>
      <c r="BZ155" s="2">
        <f t="shared" si="217"/>
        <v>3.00000000002</v>
      </c>
      <c r="CA155" s="2">
        <f t="shared" si="218"/>
        <v>4.00000000003</v>
      </c>
      <c r="CC155" s="2">
        <f t="shared" si="219"/>
        <v>0</v>
      </c>
      <c r="CD155" s="2">
        <f t="shared" si="220"/>
        <v>5.50000000006</v>
      </c>
      <c r="CE155" s="2">
        <f t="shared" si="221"/>
        <v>4.00000000007</v>
      </c>
      <c r="CF155" s="2">
        <f t="shared" si="222"/>
        <v>0</v>
      </c>
      <c r="CG155" s="2" t="b">
        <f t="shared" si="245"/>
        <v>1</v>
      </c>
      <c r="CH155" s="2" t="b">
        <f t="shared" si="246"/>
        <v>1</v>
      </c>
      <c r="CI155" s="2" t="b">
        <f t="shared" si="247"/>
        <v>1</v>
      </c>
      <c r="CK155" s="2" t="b">
        <f t="shared" si="248"/>
        <v>0</v>
      </c>
      <c r="CL155" s="2" t="b">
        <f t="shared" si="249"/>
        <v>1</v>
      </c>
      <c r="CM155" s="2" t="b">
        <f t="shared" si="250"/>
        <v>1</v>
      </c>
      <c r="CN155" s="2" t="b">
        <f t="shared" si="251"/>
        <v>0</v>
      </c>
      <c r="CO155" s="2">
        <v>1</v>
      </c>
      <c r="CP155" s="2">
        <v>1</v>
      </c>
      <c r="CQ155" s="2">
        <v>1</v>
      </c>
      <c r="CS155" s="2">
        <v>1</v>
      </c>
      <c r="CT155" s="2">
        <v>1</v>
      </c>
      <c r="CU155" s="2">
        <v>1</v>
      </c>
      <c r="CV155" s="2">
        <v>1</v>
      </c>
      <c r="CX155" s="2">
        <v>4</v>
      </c>
      <c r="CY155" s="2">
        <v>3</v>
      </c>
      <c r="CZ155" s="2">
        <v>3</v>
      </c>
      <c r="DB155" s="2" t="s">
        <v>324</v>
      </c>
      <c r="DC155" s="2">
        <v>7</v>
      </c>
      <c r="DD155" s="2">
        <v>4</v>
      </c>
      <c r="DE155" s="2" t="s">
        <v>324</v>
      </c>
      <c r="DF155" s="194">
        <f t="shared" si="252"/>
        <v>4.00000000004</v>
      </c>
      <c r="DG155" s="194">
        <f t="shared" si="253"/>
        <v>3.00000000002</v>
      </c>
      <c r="DH155" s="194">
        <f t="shared" si="254"/>
        <v>3.00000000003</v>
      </c>
      <c r="DJ155" s="194">
        <f t="shared" si="255"/>
        <v>0</v>
      </c>
      <c r="DK155" s="194">
        <f t="shared" si="256"/>
        <v>7.00000000006</v>
      </c>
      <c r="DL155" s="194">
        <f t="shared" si="257"/>
        <v>4.00000000007</v>
      </c>
      <c r="DM155" s="194">
        <f t="shared" si="258"/>
        <v>0</v>
      </c>
      <c r="DN155" s="2">
        <f t="shared" si="224"/>
        <v>4.00000000004</v>
      </c>
      <c r="DO155" s="2">
        <f t="shared" si="225"/>
        <v>3.00000000002</v>
      </c>
      <c r="DP155" s="2">
        <f t="shared" si="226"/>
        <v>3.00000000003</v>
      </c>
      <c r="DR155" s="2">
        <f t="shared" si="227"/>
        <v>0</v>
      </c>
      <c r="DS155" s="2">
        <f t="shared" si="228"/>
        <v>7.00000000006</v>
      </c>
      <c r="DT155" s="2">
        <f t="shared" si="229"/>
        <v>4.00000000007</v>
      </c>
      <c r="DU155" s="2">
        <f t="shared" si="230"/>
        <v>0</v>
      </c>
      <c r="DV155" s="2" t="b">
        <f t="shared" si="259"/>
        <v>1</v>
      </c>
      <c r="DW155" s="2" t="b">
        <f t="shared" si="260"/>
        <v>1</v>
      </c>
      <c r="DX155" s="2" t="b">
        <f t="shared" si="261"/>
        <v>1</v>
      </c>
      <c r="DZ155" s="2" t="b">
        <f t="shared" si="262"/>
        <v>0</v>
      </c>
      <c r="EA155" s="2" t="b">
        <f t="shared" si="263"/>
        <v>1</v>
      </c>
      <c r="EB155" s="2" t="b">
        <f t="shared" si="264"/>
        <v>1</v>
      </c>
      <c r="EC155" s="2" t="b">
        <f t="shared" si="265"/>
        <v>0</v>
      </c>
      <c r="ED155" s="2">
        <v>1</v>
      </c>
      <c r="EE155" s="2">
        <v>1</v>
      </c>
      <c r="EF155" s="2">
        <v>1</v>
      </c>
      <c r="EH155" s="2">
        <v>1</v>
      </c>
      <c r="EI155" s="2">
        <v>1</v>
      </c>
      <c r="EJ155" s="2">
        <v>1</v>
      </c>
      <c r="EK155" s="2">
        <v>1</v>
      </c>
      <c r="EL155" s="2">
        <v>4</v>
      </c>
      <c r="EM155" s="2">
        <v>5.5</v>
      </c>
      <c r="EN155" s="2">
        <v>4</v>
      </c>
      <c r="EP155" s="2" t="s">
        <v>324</v>
      </c>
      <c r="EQ155" s="2">
        <v>4</v>
      </c>
      <c r="ER155" s="2">
        <v>4</v>
      </c>
      <c r="ES155" s="2">
        <v>3</v>
      </c>
      <c r="ET155" s="194">
        <f t="shared" si="266"/>
        <v>4.00000000004</v>
      </c>
      <c r="EU155" s="194">
        <f t="shared" si="267"/>
        <v>5.50000000002</v>
      </c>
      <c r="EV155" s="194">
        <f t="shared" si="268"/>
        <v>4.00000000003</v>
      </c>
      <c r="EW155" s="194">
        <f t="shared" si="269"/>
        <v>9.9999999999999994E-12</v>
      </c>
      <c r="EX155" s="194">
        <f t="shared" si="270"/>
        <v>0</v>
      </c>
      <c r="EY155" s="194">
        <f t="shared" si="271"/>
        <v>4.00000000006</v>
      </c>
      <c r="EZ155" s="194">
        <f t="shared" si="272"/>
        <v>4.00000000007</v>
      </c>
      <c r="FA155" s="194">
        <f t="shared" si="273"/>
        <v>3.00000000008</v>
      </c>
      <c r="FB155" s="2">
        <f t="shared" si="274"/>
        <v>4.00000000004</v>
      </c>
      <c r="FC155" s="2">
        <f t="shared" si="275"/>
        <v>5.50000000002</v>
      </c>
      <c r="FD155" s="2">
        <f t="shared" si="276"/>
        <v>4.00000000003</v>
      </c>
      <c r="FE155" s="2">
        <f t="shared" si="277"/>
        <v>0</v>
      </c>
      <c r="FF155" s="2">
        <f t="shared" si="278"/>
        <v>0</v>
      </c>
      <c r="FG155" s="2">
        <f t="shared" si="279"/>
        <v>4.00000000006</v>
      </c>
      <c r="FH155" s="2">
        <f t="shared" si="280"/>
        <v>4.00000000007</v>
      </c>
      <c r="FI155" s="2">
        <f t="shared" si="281"/>
        <v>3.00000000008</v>
      </c>
      <c r="FJ155" s="2" t="b">
        <f t="shared" si="282"/>
        <v>1</v>
      </c>
      <c r="FK155" s="2" t="b">
        <f t="shared" si="283"/>
        <v>1</v>
      </c>
      <c r="FL155" s="2" t="b">
        <f t="shared" si="284"/>
        <v>1</v>
      </c>
      <c r="FM155" s="2" t="b">
        <f t="shared" si="285"/>
        <v>0</v>
      </c>
      <c r="FN155" s="2" t="b">
        <f t="shared" si="286"/>
        <v>0</v>
      </c>
      <c r="FO155" s="2" t="b">
        <f t="shared" si="287"/>
        <v>1</v>
      </c>
      <c r="FP155" s="2" t="b">
        <f t="shared" si="288"/>
        <v>1</v>
      </c>
      <c r="FQ155" s="2" t="b">
        <f t="shared" si="289"/>
        <v>0</v>
      </c>
    </row>
    <row r="156" spans="1:173" ht="15.6">
      <c r="A156" s="335" t="s">
        <v>1189</v>
      </c>
      <c r="B156" s="346" t="s">
        <v>1189</v>
      </c>
      <c r="C156" s="346" t="s">
        <v>227</v>
      </c>
      <c r="D156" s="346" t="s">
        <v>940</v>
      </c>
      <c r="E156" s="346" t="s">
        <v>1190</v>
      </c>
      <c r="F156" s="2" t="s">
        <v>785</v>
      </c>
      <c r="G156" s="2" t="s">
        <v>324</v>
      </c>
      <c r="H156" s="2" t="s">
        <v>324</v>
      </c>
      <c r="I156" s="2" t="s">
        <v>324</v>
      </c>
      <c r="J156" s="2" t="s">
        <v>324</v>
      </c>
      <c r="K156" s="435">
        <f t="shared" si="234"/>
        <v>0</v>
      </c>
      <c r="L156" s="435">
        <f t="shared" si="235"/>
        <v>0</v>
      </c>
      <c r="M156" s="435">
        <f t="shared" si="236"/>
        <v>0</v>
      </c>
      <c r="N156" s="346" t="s">
        <v>324</v>
      </c>
      <c r="O156" s="346" t="s">
        <v>324</v>
      </c>
      <c r="P156" s="346" t="s">
        <v>324</v>
      </c>
      <c r="Q156" s="346" t="s">
        <v>324</v>
      </c>
      <c r="R156" s="346" t="s">
        <v>324</v>
      </c>
      <c r="S156" s="346" t="s">
        <v>1191</v>
      </c>
      <c r="T156" s="2" t="s">
        <v>1046</v>
      </c>
      <c r="U156" s="2" t="s">
        <v>2537</v>
      </c>
      <c r="V156" s="2" cm="1">
        <f t="array" ref="V156">IFERROR(INDEX('Offer Statistics'!$BQ$2:$BQ$600,MATCH(1,(B156='Offer Statistics'!$BB$2:$BB$600)*($B$11='Offer Statistics'!$BC$2:$BC$600),0)),"/")</f>
        <v>0</v>
      </c>
      <c r="W156" s="2" cm="1">
        <f t="array" ref="W156">IFERROR(INDEX('Offer Statistics'!$BD$2:$BD$600,MATCH(1,($B156='Offer Statistics'!$BB$2:$BB$600)*($B$11='Offer Statistics'!$BC$2:$BC$600),0)),"/")</f>
        <v>25</v>
      </c>
      <c r="X156" s="2" cm="1">
        <f t="array" ref="X156">IFERROR(INDEX('Offer Statistics'!$BL$2:$BL$600,MATCH(1,($B156='Offer Statistics'!$BB$2:$BB$600)*($B$11='Offer Statistics'!$BC$2:$BC$600),0)),"/")</f>
        <v>0</v>
      </c>
      <c r="Y156" s="2" t="s">
        <v>3093</v>
      </c>
      <c r="Z156" s="2" t="s">
        <v>1046</v>
      </c>
      <c r="AA156" s="435" t="str">
        <f>入學要求!AF165</f>
        <v>/</v>
      </c>
      <c r="AB156" s="435" t="str">
        <f>入學要求!AG165</f>
        <v>/</v>
      </c>
      <c r="AC156" s="346" t="s">
        <v>785</v>
      </c>
      <c r="AD156" s="346"/>
      <c r="AE156" s="346"/>
      <c r="AF156" s="346" t="s">
        <v>324</v>
      </c>
      <c r="AG156" s="346" t="s">
        <v>324</v>
      </c>
      <c r="AH156" s="346" t="s">
        <v>324</v>
      </c>
      <c r="AI156" s="346" t="s">
        <v>324</v>
      </c>
      <c r="AJ156" s="346" t="s">
        <v>324</v>
      </c>
      <c r="AK156" s="2" t="s">
        <v>324</v>
      </c>
      <c r="AL156" s="2" t="s">
        <v>324</v>
      </c>
      <c r="AM156" s="2" t="s">
        <v>324</v>
      </c>
      <c r="AN156" s="498" t="s">
        <v>1192</v>
      </c>
      <c r="AO156" s="2" t="s">
        <v>324</v>
      </c>
      <c r="AP156" s="2" t="s">
        <v>324</v>
      </c>
      <c r="AQ156" s="2" t="s">
        <v>324</v>
      </c>
      <c r="AR156" s="2" t="s">
        <v>324</v>
      </c>
      <c r="AT156" s="2" t="s">
        <v>716</v>
      </c>
      <c r="AV156" s="2" t="s">
        <v>713</v>
      </c>
      <c r="AZ156" s="2" t="s">
        <v>324</v>
      </c>
      <c r="BA156" s="2" t="s">
        <v>324</v>
      </c>
      <c r="BB156" s="2" t="s">
        <v>324</v>
      </c>
      <c r="BD156" s="2" t="s">
        <v>324</v>
      </c>
      <c r="BE156" s="2" t="s">
        <v>324</v>
      </c>
      <c r="BF156" s="2" t="s">
        <v>324</v>
      </c>
      <c r="BG156" s="2" t="s">
        <v>324</v>
      </c>
      <c r="BH156" s="2" t="str">
        <f t="shared" si="237"/>
        <v>JS4111</v>
      </c>
      <c r="BI156" s="197" t="s">
        <v>324</v>
      </c>
      <c r="BJ156" s="197" t="s">
        <v>324</v>
      </c>
      <c r="BK156" s="197" t="s">
        <v>324</v>
      </c>
      <c r="BL156" s="197" t="s">
        <v>324</v>
      </c>
      <c r="BM156" s="197" t="s">
        <v>324</v>
      </c>
      <c r="BN156" s="197" t="s">
        <v>324</v>
      </c>
      <c r="BO156" s="197" t="s">
        <v>324</v>
      </c>
      <c r="BP156" s="197" t="s">
        <v>324</v>
      </c>
      <c r="BQ156" s="194">
        <f t="shared" si="238"/>
        <v>0</v>
      </c>
      <c r="BR156" s="194">
        <f t="shared" si="239"/>
        <v>0</v>
      </c>
      <c r="BS156" s="194">
        <f t="shared" si="240"/>
        <v>0</v>
      </c>
      <c r="BU156" s="194">
        <f t="shared" si="241"/>
        <v>0</v>
      </c>
      <c r="BV156" s="194">
        <f t="shared" si="242"/>
        <v>0</v>
      </c>
      <c r="BW156" s="194">
        <f t="shared" si="243"/>
        <v>0</v>
      </c>
      <c r="BX156" s="194">
        <f t="shared" si="244"/>
        <v>0</v>
      </c>
      <c r="BY156" s="2" t="e">
        <f t="shared" si="216"/>
        <v>#VALUE!</v>
      </c>
      <c r="BZ156" s="2" t="e">
        <f t="shared" si="217"/>
        <v>#VALUE!</v>
      </c>
      <c r="CA156" s="2" t="e">
        <f t="shared" si="218"/>
        <v>#VALUE!</v>
      </c>
      <c r="CC156" s="2" t="e">
        <f t="shared" si="219"/>
        <v>#VALUE!</v>
      </c>
      <c r="CD156" s="2" t="e">
        <f t="shared" si="220"/>
        <v>#VALUE!</v>
      </c>
      <c r="CE156" s="2" t="e">
        <f t="shared" si="221"/>
        <v>#VALUE!</v>
      </c>
      <c r="CF156" s="2" t="e">
        <f t="shared" si="222"/>
        <v>#VALUE!</v>
      </c>
      <c r="CG156" s="2" t="e">
        <f t="shared" si="245"/>
        <v>#VALUE!</v>
      </c>
      <c r="CH156" s="2" t="e">
        <f t="shared" si="246"/>
        <v>#VALUE!</v>
      </c>
      <c r="CI156" s="2" t="e">
        <f t="shared" si="247"/>
        <v>#VALUE!</v>
      </c>
      <c r="CK156" s="2" t="e">
        <f t="shared" si="248"/>
        <v>#VALUE!</v>
      </c>
      <c r="CL156" s="2" t="e">
        <f t="shared" si="249"/>
        <v>#VALUE!</v>
      </c>
      <c r="CM156" s="2" t="e">
        <f t="shared" si="250"/>
        <v>#VALUE!</v>
      </c>
      <c r="CN156" s="2" t="e">
        <f t="shared" si="251"/>
        <v>#VALUE!</v>
      </c>
      <c r="CO156" s="2" t="s">
        <v>324</v>
      </c>
      <c r="CP156" s="2" t="s">
        <v>324</v>
      </c>
      <c r="CQ156" s="2" t="s">
        <v>324</v>
      </c>
      <c r="CS156" s="2" t="s">
        <v>324</v>
      </c>
      <c r="CT156" s="2" t="s">
        <v>324</v>
      </c>
      <c r="CU156" s="2" t="s">
        <v>324</v>
      </c>
      <c r="CV156" s="2" t="s">
        <v>324</v>
      </c>
      <c r="CW156" s="2" t="s">
        <v>324</v>
      </c>
      <c r="CX156" s="2" t="s">
        <v>324</v>
      </c>
      <c r="CY156" s="2" t="s">
        <v>324</v>
      </c>
      <c r="CZ156" s="2" t="s">
        <v>324</v>
      </c>
      <c r="DB156" s="2" t="s">
        <v>324</v>
      </c>
      <c r="DC156" s="2" t="s">
        <v>324</v>
      </c>
      <c r="DD156" s="2" t="s">
        <v>324</v>
      </c>
      <c r="DE156" s="2" t="s">
        <v>324</v>
      </c>
      <c r="DF156" s="194">
        <f t="shared" si="252"/>
        <v>0</v>
      </c>
      <c r="DG156" s="194">
        <f t="shared" si="253"/>
        <v>0</v>
      </c>
      <c r="DH156" s="194">
        <f t="shared" si="254"/>
        <v>0</v>
      </c>
      <c r="DJ156" s="194">
        <f t="shared" si="255"/>
        <v>0</v>
      </c>
      <c r="DK156" s="194">
        <f t="shared" si="256"/>
        <v>0</v>
      </c>
      <c r="DL156" s="194">
        <f t="shared" si="257"/>
        <v>0</v>
      </c>
      <c r="DM156" s="194">
        <f t="shared" si="258"/>
        <v>0</v>
      </c>
      <c r="DN156" s="2" t="e">
        <f t="shared" si="224"/>
        <v>#VALUE!</v>
      </c>
      <c r="DO156" s="2" t="e">
        <f t="shared" si="225"/>
        <v>#VALUE!</v>
      </c>
      <c r="DP156" s="2" t="e">
        <f t="shared" si="226"/>
        <v>#VALUE!</v>
      </c>
      <c r="DR156" s="2" t="e">
        <f t="shared" si="227"/>
        <v>#VALUE!</v>
      </c>
      <c r="DS156" s="2" t="e">
        <f t="shared" si="228"/>
        <v>#VALUE!</v>
      </c>
      <c r="DT156" s="2" t="e">
        <f t="shared" si="229"/>
        <v>#VALUE!</v>
      </c>
      <c r="DU156" s="2" t="e">
        <f t="shared" si="230"/>
        <v>#VALUE!</v>
      </c>
      <c r="DV156" s="2" t="e">
        <f t="shared" si="259"/>
        <v>#VALUE!</v>
      </c>
      <c r="DW156" s="2" t="e">
        <f t="shared" si="260"/>
        <v>#VALUE!</v>
      </c>
      <c r="DX156" s="2" t="e">
        <f t="shared" si="261"/>
        <v>#VALUE!</v>
      </c>
      <c r="DZ156" s="2" t="e">
        <f t="shared" si="262"/>
        <v>#VALUE!</v>
      </c>
      <c r="EA156" s="2" t="e">
        <f t="shared" si="263"/>
        <v>#VALUE!</v>
      </c>
      <c r="EB156" s="2" t="e">
        <f t="shared" si="264"/>
        <v>#VALUE!</v>
      </c>
      <c r="EC156" s="2" t="e">
        <f t="shared" si="265"/>
        <v>#VALUE!</v>
      </c>
      <c r="ED156" s="2" t="s">
        <v>324</v>
      </c>
      <c r="EE156" s="2" t="s">
        <v>324</v>
      </c>
      <c r="EF156" s="2" t="s">
        <v>324</v>
      </c>
      <c r="EH156" s="2" t="s">
        <v>324</v>
      </c>
      <c r="EI156" s="2" t="s">
        <v>324</v>
      </c>
      <c r="EJ156" s="2" t="s">
        <v>324</v>
      </c>
      <c r="EK156" s="2" t="s">
        <v>324</v>
      </c>
      <c r="EL156" s="2" t="s">
        <v>324</v>
      </c>
      <c r="EM156" s="2" t="s">
        <v>324</v>
      </c>
      <c r="EN156" s="2" t="s">
        <v>324</v>
      </c>
      <c r="EP156" s="2" t="s">
        <v>324</v>
      </c>
      <c r="EQ156" s="2" t="s">
        <v>324</v>
      </c>
      <c r="ER156" s="2" t="s">
        <v>324</v>
      </c>
      <c r="ES156" s="2" t="s">
        <v>324</v>
      </c>
      <c r="ET156" s="194">
        <f t="shared" si="266"/>
        <v>0</v>
      </c>
      <c r="EU156" s="194">
        <f t="shared" si="267"/>
        <v>0</v>
      </c>
      <c r="EV156" s="194">
        <f t="shared" si="268"/>
        <v>0</v>
      </c>
      <c r="EW156" s="194">
        <f t="shared" si="269"/>
        <v>9.9999999999999994E-12</v>
      </c>
      <c r="EX156" s="194">
        <f t="shared" si="270"/>
        <v>0</v>
      </c>
      <c r="EY156" s="194">
        <f t="shared" si="271"/>
        <v>0</v>
      </c>
      <c r="EZ156" s="194">
        <f t="shared" si="272"/>
        <v>0</v>
      </c>
      <c r="FA156" s="194">
        <f t="shared" si="273"/>
        <v>0</v>
      </c>
      <c r="FB156" s="2" t="e">
        <f t="shared" si="274"/>
        <v>#VALUE!</v>
      </c>
      <c r="FC156" s="2" t="e">
        <f t="shared" si="275"/>
        <v>#VALUE!</v>
      </c>
      <c r="FD156" s="2" t="e">
        <f t="shared" si="276"/>
        <v>#VALUE!</v>
      </c>
      <c r="FE156" s="2">
        <f t="shared" si="277"/>
        <v>0</v>
      </c>
      <c r="FF156" s="2" t="e">
        <f t="shared" si="278"/>
        <v>#VALUE!</v>
      </c>
      <c r="FG156" s="2" t="e">
        <f t="shared" si="279"/>
        <v>#VALUE!</v>
      </c>
      <c r="FH156" s="2" t="e">
        <f t="shared" si="280"/>
        <v>#VALUE!</v>
      </c>
      <c r="FI156" s="2" t="e">
        <f t="shared" si="281"/>
        <v>#VALUE!</v>
      </c>
      <c r="FJ156" s="2" t="e">
        <f t="shared" si="282"/>
        <v>#VALUE!</v>
      </c>
      <c r="FK156" s="2" t="e">
        <f t="shared" si="283"/>
        <v>#VALUE!</v>
      </c>
      <c r="FL156" s="2" t="e">
        <f t="shared" si="284"/>
        <v>#VALUE!</v>
      </c>
      <c r="FM156" s="2" t="e">
        <f t="shared" si="285"/>
        <v>#VALUE!</v>
      </c>
      <c r="FN156" s="2" t="e">
        <f t="shared" si="286"/>
        <v>#VALUE!</v>
      </c>
      <c r="FO156" s="2" t="e">
        <f t="shared" si="287"/>
        <v>#VALUE!</v>
      </c>
      <c r="FP156" s="2" t="e">
        <f t="shared" si="288"/>
        <v>#VALUE!</v>
      </c>
      <c r="FQ156" s="2" t="e">
        <f t="shared" si="289"/>
        <v>#VALUE!</v>
      </c>
    </row>
    <row r="157" spans="1:173" ht="15.6">
      <c r="A157" s="335" t="s">
        <v>1193</v>
      </c>
      <c r="B157" s="346" t="s">
        <v>1193</v>
      </c>
      <c r="C157" s="346" t="s">
        <v>227</v>
      </c>
      <c r="D157" s="346" t="s">
        <v>940</v>
      </c>
      <c r="E157" s="346" t="s">
        <v>1194</v>
      </c>
      <c r="F157" s="2" t="s">
        <v>785</v>
      </c>
      <c r="G157" s="2" t="s">
        <v>324</v>
      </c>
      <c r="H157" s="2">
        <v>24.5</v>
      </c>
      <c r="I157" s="2">
        <v>23</v>
      </c>
      <c r="J157" s="2">
        <v>23</v>
      </c>
      <c r="K157" s="435">
        <f t="shared" si="234"/>
        <v>24.500000000269999</v>
      </c>
      <c r="L157" s="435">
        <f t="shared" si="235"/>
        <v>23.000000000269999</v>
      </c>
      <c r="M157" s="435">
        <f t="shared" si="236"/>
        <v>23.000000000220002</v>
      </c>
      <c r="N157" s="346" t="s">
        <v>324</v>
      </c>
      <c r="O157" s="346" t="s">
        <v>324</v>
      </c>
      <c r="P157" s="346" t="s">
        <v>324</v>
      </c>
      <c r="Q157" s="346" t="s">
        <v>324</v>
      </c>
      <c r="R157" s="346" t="s">
        <v>324</v>
      </c>
      <c r="S157" s="346" t="s">
        <v>1195</v>
      </c>
      <c r="T157" s="2" t="s">
        <v>1046</v>
      </c>
      <c r="U157" s="2">
        <v>32</v>
      </c>
      <c r="V157" s="2" cm="1">
        <f t="array" ref="V157">IFERROR(INDEX('Offer Statistics'!$BQ$2:$BQ$600,MATCH(1,(B157='Offer Statistics'!$BB$2:$BB$600)*($B$11='Offer Statistics'!$BC$2:$BC$600),0)),"/")</f>
        <v>30</v>
      </c>
      <c r="W157" s="2" cm="1">
        <f t="array" ref="W157">IFERROR(INDEX('Offer Statistics'!$BD$2:$BD$600,MATCH(1,($B157='Offer Statistics'!$BB$2:$BB$600)*($B$11='Offer Statistics'!$BC$2:$BC$600),0)),"/")</f>
        <v>214</v>
      </c>
      <c r="X157" s="2" cm="1">
        <f t="array" ref="X157">IFERROR(INDEX('Offer Statistics'!$BL$2:$BL$600,MATCH(1,($B157='Offer Statistics'!$BB$2:$BB$600)*($B$11='Offer Statistics'!$BC$2:$BC$600),0)),"/")</f>
        <v>29</v>
      </c>
      <c r="Y157" s="2">
        <f t="shared" si="215"/>
        <v>7.3793103448275863</v>
      </c>
      <c r="Z157" s="2" t="s">
        <v>1046</v>
      </c>
      <c r="AA157" s="435" t="str">
        <f>入學要求!AF166</f>
        <v>/</v>
      </c>
      <c r="AB157" s="435" t="str">
        <f>入學要求!AG166</f>
        <v>/</v>
      </c>
      <c r="AC157" s="346" t="s">
        <v>785</v>
      </c>
      <c r="AD157" s="346"/>
      <c r="AE157" s="346"/>
      <c r="AF157" s="346" t="s">
        <v>324</v>
      </c>
      <c r="AG157" s="346" t="s">
        <v>324</v>
      </c>
      <c r="AH157" s="346" t="s">
        <v>324</v>
      </c>
      <c r="AI157" s="346" t="s">
        <v>324</v>
      </c>
      <c r="AJ157" s="346" t="s">
        <v>324</v>
      </c>
      <c r="AK157" s="2" t="s">
        <v>324</v>
      </c>
      <c r="AL157" s="2" t="s">
        <v>324</v>
      </c>
      <c r="AM157" s="2" t="s">
        <v>324</v>
      </c>
      <c r="AN157" s="2" t="s">
        <v>324</v>
      </c>
      <c r="AO157" s="2" t="s">
        <v>324</v>
      </c>
      <c r="AP157" s="2" t="s">
        <v>324</v>
      </c>
      <c r="AQ157" s="2" t="s">
        <v>324</v>
      </c>
      <c r="AR157" s="2" t="s">
        <v>324</v>
      </c>
      <c r="AT157" s="2" t="s">
        <v>716</v>
      </c>
      <c r="AV157" s="2" t="s">
        <v>1196</v>
      </c>
      <c r="AZ157" s="2">
        <v>1</v>
      </c>
      <c r="BA157" s="2">
        <v>1</v>
      </c>
      <c r="BB157" s="2">
        <v>1</v>
      </c>
      <c r="BD157" s="2">
        <v>1</v>
      </c>
      <c r="BE157" s="2">
        <v>1</v>
      </c>
      <c r="BF157" s="2">
        <v>1</v>
      </c>
      <c r="BG157" s="2">
        <v>1</v>
      </c>
      <c r="BH157" s="2" t="str">
        <f t="shared" si="237"/>
        <v>JS4123</v>
      </c>
      <c r="BI157" s="197">
        <v>4</v>
      </c>
      <c r="BJ157" s="197">
        <v>5.5</v>
      </c>
      <c r="BK157" s="197">
        <v>5.5</v>
      </c>
      <c r="BL157" s="197" t="s">
        <v>324</v>
      </c>
      <c r="BM157" s="197" t="s">
        <v>324</v>
      </c>
      <c r="BN157" s="197">
        <v>4</v>
      </c>
      <c r="BO157" s="197">
        <v>4</v>
      </c>
      <c r="BP157" s="197" t="s">
        <v>324</v>
      </c>
      <c r="BQ157" s="194">
        <f t="shared" si="238"/>
        <v>4.00000000004</v>
      </c>
      <c r="BR157" s="194">
        <f t="shared" si="239"/>
        <v>5.50000000002</v>
      </c>
      <c r="BS157" s="194">
        <f t="shared" si="240"/>
        <v>5.50000000003</v>
      </c>
      <c r="BU157" s="194">
        <f t="shared" si="241"/>
        <v>0</v>
      </c>
      <c r="BV157" s="194">
        <f t="shared" si="242"/>
        <v>4.00000000006</v>
      </c>
      <c r="BW157" s="194">
        <f t="shared" si="243"/>
        <v>4.00000000007</v>
      </c>
      <c r="BX157" s="194">
        <f t="shared" si="244"/>
        <v>0</v>
      </c>
      <c r="BY157" s="2">
        <f t="shared" si="216"/>
        <v>4.00000000004</v>
      </c>
      <c r="BZ157" s="2">
        <f t="shared" si="217"/>
        <v>5.50000000002</v>
      </c>
      <c r="CA157" s="2">
        <f t="shared" si="218"/>
        <v>5.50000000003</v>
      </c>
      <c r="CC157" s="2">
        <f t="shared" si="219"/>
        <v>0</v>
      </c>
      <c r="CD157" s="2">
        <f t="shared" si="220"/>
        <v>4.00000000006</v>
      </c>
      <c r="CE157" s="2">
        <f t="shared" si="221"/>
        <v>4.00000000007</v>
      </c>
      <c r="CF157" s="2">
        <f t="shared" si="222"/>
        <v>0</v>
      </c>
      <c r="CG157" s="2" t="b">
        <f t="shared" si="245"/>
        <v>1</v>
      </c>
      <c r="CH157" s="2" t="b">
        <f t="shared" si="246"/>
        <v>1</v>
      </c>
      <c r="CI157" s="2" t="b">
        <f t="shared" si="247"/>
        <v>1</v>
      </c>
      <c r="CK157" s="2" t="b">
        <f t="shared" si="248"/>
        <v>0</v>
      </c>
      <c r="CL157" s="2" t="b">
        <f t="shared" si="249"/>
        <v>1</v>
      </c>
      <c r="CM157" s="2" t="b">
        <f t="shared" si="250"/>
        <v>1</v>
      </c>
      <c r="CN157" s="2" t="b">
        <f t="shared" si="251"/>
        <v>0</v>
      </c>
      <c r="CO157" s="2">
        <v>1</v>
      </c>
      <c r="CP157" s="2">
        <v>1</v>
      </c>
      <c r="CQ157" s="2">
        <v>1</v>
      </c>
      <c r="CS157" s="2">
        <v>1</v>
      </c>
      <c r="CT157" s="2">
        <v>1</v>
      </c>
      <c r="CU157" s="2">
        <v>1</v>
      </c>
      <c r="CV157" s="2">
        <v>1</v>
      </c>
      <c r="CX157" s="2">
        <v>5.5</v>
      </c>
      <c r="CY157" s="2">
        <v>5.5</v>
      </c>
      <c r="CZ157" s="2">
        <v>4</v>
      </c>
      <c r="DB157" s="2" t="s">
        <v>324</v>
      </c>
      <c r="DC157" s="2">
        <v>4</v>
      </c>
      <c r="DD157" s="2">
        <v>4</v>
      </c>
      <c r="DE157" s="2">
        <v>4</v>
      </c>
      <c r="DF157" s="194">
        <f t="shared" si="252"/>
        <v>5.50000000004</v>
      </c>
      <c r="DG157" s="194">
        <f t="shared" si="253"/>
        <v>5.50000000002</v>
      </c>
      <c r="DH157" s="194">
        <f t="shared" si="254"/>
        <v>4.00000000003</v>
      </c>
      <c r="DJ157" s="194">
        <f t="shared" si="255"/>
        <v>0</v>
      </c>
      <c r="DK157" s="194">
        <f t="shared" si="256"/>
        <v>4.00000000006</v>
      </c>
      <c r="DL157" s="194">
        <f t="shared" si="257"/>
        <v>4.00000000007</v>
      </c>
      <c r="DM157" s="194">
        <f t="shared" si="258"/>
        <v>4.00000000008</v>
      </c>
      <c r="DN157" s="2">
        <f t="shared" si="224"/>
        <v>5.50000000004</v>
      </c>
      <c r="DO157" s="2">
        <f t="shared" si="225"/>
        <v>5.50000000002</v>
      </c>
      <c r="DP157" s="2">
        <f t="shared" si="226"/>
        <v>4.00000000003</v>
      </c>
      <c r="DR157" s="2">
        <f t="shared" si="227"/>
        <v>0</v>
      </c>
      <c r="DS157" s="2">
        <f t="shared" si="228"/>
        <v>4.00000000006</v>
      </c>
      <c r="DT157" s="2">
        <f t="shared" si="229"/>
        <v>4.00000000007</v>
      </c>
      <c r="DU157" s="2">
        <f t="shared" si="230"/>
        <v>4.00000000008</v>
      </c>
      <c r="DV157" s="2" t="b">
        <f t="shared" si="259"/>
        <v>1</v>
      </c>
      <c r="DW157" s="2" t="b">
        <f t="shared" si="260"/>
        <v>1</v>
      </c>
      <c r="DX157" s="2" t="b">
        <f t="shared" si="261"/>
        <v>0</v>
      </c>
      <c r="DZ157" s="2" t="b">
        <f t="shared" si="262"/>
        <v>0</v>
      </c>
      <c r="EA157" s="2" t="b">
        <f t="shared" si="263"/>
        <v>1</v>
      </c>
      <c r="EB157" s="2" t="b">
        <f t="shared" si="264"/>
        <v>1</v>
      </c>
      <c r="EC157" s="2" t="b">
        <f t="shared" si="265"/>
        <v>1</v>
      </c>
      <c r="ED157" s="2">
        <v>1</v>
      </c>
      <c r="EE157" s="2">
        <v>1</v>
      </c>
      <c r="EF157" s="2">
        <v>1</v>
      </c>
      <c r="EH157" s="2">
        <v>1</v>
      </c>
      <c r="EI157" s="2">
        <v>1</v>
      </c>
      <c r="EJ157" s="2">
        <v>1</v>
      </c>
      <c r="EK157" s="2">
        <v>1</v>
      </c>
      <c r="EL157" s="2">
        <v>5.5</v>
      </c>
      <c r="EM157" s="2">
        <v>5.5</v>
      </c>
      <c r="EN157" s="2">
        <v>3</v>
      </c>
      <c r="EP157" s="2" t="s">
        <v>324</v>
      </c>
      <c r="EQ157" s="2">
        <v>5.5</v>
      </c>
      <c r="ER157" s="2">
        <v>4</v>
      </c>
      <c r="ES157" s="2">
        <v>4</v>
      </c>
      <c r="ET157" s="194">
        <f t="shared" si="266"/>
        <v>5.50000000004</v>
      </c>
      <c r="EU157" s="194">
        <f t="shared" si="267"/>
        <v>5.50000000002</v>
      </c>
      <c r="EV157" s="194">
        <f t="shared" si="268"/>
        <v>3.00000000003</v>
      </c>
      <c r="EW157" s="194">
        <f t="shared" si="269"/>
        <v>9.9999999999999994E-12</v>
      </c>
      <c r="EX157" s="194">
        <f t="shared" si="270"/>
        <v>0</v>
      </c>
      <c r="EY157" s="194">
        <f t="shared" si="271"/>
        <v>5.50000000006</v>
      </c>
      <c r="EZ157" s="194">
        <f t="shared" si="272"/>
        <v>4.00000000007</v>
      </c>
      <c r="FA157" s="194">
        <f t="shared" si="273"/>
        <v>4.00000000008</v>
      </c>
      <c r="FB157" s="2">
        <f t="shared" si="274"/>
        <v>5.50000000004</v>
      </c>
      <c r="FC157" s="2">
        <f t="shared" si="275"/>
        <v>5.50000000002</v>
      </c>
      <c r="FD157" s="2">
        <f t="shared" si="276"/>
        <v>3.00000000003</v>
      </c>
      <c r="FE157" s="2">
        <f t="shared" si="277"/>
        <v>0</v>
      </c>
      <c r="FF157" s="2">
        <f t="shared" si="278"/>
        <v>0</v>
      </c>
      <c r="FG157" s="2">
        <f t="shared" si="279"/>
        <v>5.50000000006</v>
      </c>
      <c r="FH157" s="2">
        <f t="shared" si="280"/>
        <v>4.00000000007</v>
      </c>
      <c r="FI157" s="2">
        <f t="shared" si="281"/>
        <v>4.00000000008</v>
      </c>
      <c r="FJ157" s="2" t="b">
        <f t="shared" si="282"/>
        <v>1</v>
      </c>
      <c r="FK157" s="2" t="b">
        <f t="shared" si="283"/>
        <v>1</v>
      </c>
      <c r="FL157" s="2" t="b">
        <f t="shared" si="284"/>
        <v>0</v>
      </c>
      <c r="FM157" s="2" t="b">
        <f t="shared" si="285"/>
        <v>0</v>
      </c>
      <c r="FN157" s="2" t="b">
        <f t="shared" si="286"/>
        <v>0</v>
      </c>
      <c r="FO157" s="2" t="b">
        <f t="shared" si="287"/>
        <v>1</v>
      </c>
      <c r="FP157" s="2" t="b">
        <f t="shared" si="288"/>
        <v>1</v>
      </c>
      <c r="FQ157" s="2" t="b">
        <f t="shared" si="289"/>
        <v>1</v>
      </c>
    </row>
    <row r="158" spans="1:173" ht="15.6">
      <c r="A158" s="335" t="s">
        <v>1197</v>
      </c>
      <c r="B158" s="346" t="s">
        <v>1197</v>
      </c>
      <c r="C158" s="346" t="s">
        <v>227</v>
      </c>
      <c r="D158" s="346" t="s">
        <v>940</v>
      </c>
      <c r="E158" s="346" t="s">
        <v>1198</v>
      </c>
      <c r="F158" s="2" t="s">
        <v>785</v>
      </c>
      <c r="G158" s="2" t="s">
        <v>324</v>
      </c>
      <c r="H158" s="2">
        <v>24.5</v>
      </c>
      <c r="I158" s="2">
        <v>24</v>
      </c>
      <c r="J158" s="2">
        <v>23.375</v>
      </c>
      <c r="K158" s="435">
        <f t="shared" si="234"/>
        <v>24.500000000250001</v>
      </c>
      <c r="L158" s="435">
        <f t="shared" si="235"/>
        <v>24.000000000204999</v>
      </c>
      <c r="M158" s="435">
        <f t="shared" si="236"/>
        <v>23.375000000234998</v>
      </c>
      <c r="N158" s="346" t="s">
        <v>324</v>
      </c>
      <c r="O158" s="346" t="s">
        <v>324</v>
      </c>
      <c r="P158" s="346" t="s">
        <v>987</v>
      </c>
      <c r="Q158" s="346" t="s">
        <v>324</v>
      </c>
      <c r="R158" s="346" t="s">
        <v>324</v>
      </c>
      <c r="S158" s="346" t="s">
        <v>1199</v>
      </c>
      <c r="T158" s="2" t="s">
        <v>1046</v>
      </c>
      <c r="U158" s="2">
        <v>10</v>
      </c>
      <c r="V158" s="2" cm="1">
        <f t="array" ref="V158">IFERROR(INDEX('Offer Statistics'!$BQ$2:$BQ$600,MATCH(1,(B158='Offer Statistics'!$BB$2:$BB$600)*($B$11='Offer Statistics'!$BC$2:$BC$600),0)),"/")</f>
        <v>10</v>
      </c>
      <c r="W158" s="2" cm="1">
        <f t="array" ref="W158">IFERROR(INDEX('Offer Statistics'!$BD$2:$BD$600,MATCH(1,($B158='Offer Statistics'!$BB$2:$BB$600)*($B$11='Offer Statistics'!$BC$2:$BC$600),0)),"/")</f>
        <v>221</v>
      </c>
      <c r="X158" s="2" cm="1">
        <f t="array" ref="X158">IFERROR(INDEX('Offer Statistics'!$BL$2:$BL$600,MATCH(1,($B158='Offer Statistics'!$BB$2:$BB$600)*($B$11='Offer Statistics'!$BC$2:$BC$600),0)),"/")</f>
        <v>10</v>
      </c>
      <c r="Y158" s="2">
        <f t="shared" si="215"/>
        <v>22.1</v>
      </c>
      <c r="Z158" s="2" t="s">
        <v>1046</v>
      </c>
      <c r="AA158" s="435" t="str">
        <f>入學要求!AF167</f>
        <v>/</v>
      </c>
      <c r="AB158" s="435" t="str">
        <f>入學要求!AG167</f>
        <v>/</v>
      </c>
      <c r="AC158" s="424" t="s">
        <v>785</v>
      </c>
      <c r="AD158" s="346"/>
      <c r="AE158" s="346"/>
      <c r="AF158" s="346" t="s">
        <v>324</v>
      </c>
      <c r="AG158" s="346" t="s">
        <v>324</v>
      </c>
      <c r="AH158" s="346" t="s">
        <v>1200</v>
      </c>
      <c r="AI158" s="346" t="s">
        <v>324</v>
      </c>
      <c r="AJ158" s="346" t="s">
        <v>324</v>
      </c>
      <c r="AK158" s="2" t="s">
        <v>324</v>
      </c>
      <c r="AL158" s="2" t="s">
        <v>324</v>
      </c>
      <c r="AM158" s="2" t="s">
        <v>324</v>
      </c>
      <c r="AN158" s="2" t="s">
        <v>324</v>
      </c>
      <c r="AO158" s="2" t="s">
        <v>324</v>
      </c>
      <c r="AP158" s="2" t="s">
        <v>324</v>
      </c>
      <c r="AQ158" s="2" t="s">
        <v>324</v>
      </c>
      <c r="AR158" s="2" t="s">
        <v>324</v>
      </c>
      <c r="AT158" s="2" t="s">
        <v>716</v>
      </c>
      <c r="AV158" s="2" t="s">
        <v>713</v>
      </c>
      <c r="AZ158" s="2">
        <v>1</v>
      </c>
      <c r="BA158" s="2">
        <v>1.25</v>
      </c>
      <c r="BB158" s="2">
        <v>1</v>
      </c>
      <c r="BD158" s="2">
        <v>1</v>
      </c>
      <c r="BE158" s="2">
        <v>1</v>
      </c>
      <c r="BF158" s="2">
        <v>1</v>
      </c>
      <c r="BG158" s="2">
        <v>1</v>
      </c>
      <c r="BH158" s="2" t="str">
        <f t="shared" si="237"/>
        <v>JS4136</v>
      </c>
      <c r="BI158" s="197">
        <v>5.5</v>
      </c>
      <c r="BJ158" s="197">
        <v>5.5</v>
      </c>
      <c r="BK158" s="197">
        <v>4</v>
      </c>
      <c r="BL158" s="197" t="s">
        <v>324</v>
      </c>
      <c r="BM158" s="197" t="s">
        <v>324</v>
      </c>
      <c r="BN158" s="197">
        <v>4</v>
      </c>
      <c r="BO158" s="197">
        <v>3</v>
      </c>
      <c r="BP158" s="197">
        <v>3</v>
      </c>
      <c r="BQ158" s="194">
        <f t="shared" si="238"/>
        <v>5.50000000004</v>
      </c>
      <c r="BR158" s="194">
        <f t="shared" si="239"/>
        <v>5.50000000002</v>
      </c>
      <c r="BS158" s="194">
        <f t="shared" si="240"/>
        <v>4.00000000003</v>
      </c>
      <c r="BU158" s="194">
        <f t="shared" si="241"/>
        <v>0</v>
      </c>
      <c r="BV158" s="194">
        <f t="shared" si="242"/>
        <v>4.00000000006</v>
      </c>
      <c r="BW158" s="194">
        <f t="shared" si="243"/>
        <v>3.00000000007</v>
      </c>
      <c r="BX158" s="194">
        <f t="shared" si="244"/>
        <v>3.00000000008</v>
      </c>
      <c r="BY158" s="2">
        <f t="shared" si="216"/>
        <v>5.50000000004</v>
      </c>
      <c r="BZ158" s="2">
        <f t="shared" si="217"/>
        <v>6.8750000000250004</v>
      </c>
      <c r="CA158" s="2">
        <f t="shared" si="218"/>
        <v>4.00000000003</v>
      </c>
      <c r="CC158" s="2">
        <f t="shared" si="219"/>
        <v>0</v>
      </c>
      <c r="CD158" s="2">
        <f t="shared" si="220"/>
        <v>4.00000000006</v>
      </c>
      <c r="CE158" s="2">
        <f t="shared" si="221"/>
        <v>3.00000000007</v>
      </c>
      <c r="CF158" s="2">
        <f t="shared" si="222"/>
        <v>3.00000000008</v>
      </c>
      <c r="CG158" s="2" t="b">
        <f t="shared" si="245"/>
        <v>1</v>
      </c>
      <c r="CH158" s="2" t="b">
        <f t="shared" si="246"/>
        <v>1</v>
      </c>
      <c r="CI158" s="2" t="b">
        <f t="shared" si="247"/>
        <v>1</v>
      </c>
      <c r="CK158" s="2" t="b">
        <f t="shared" si="248"/>
        <v>0</v>
      </c>
      <c r="CL158" s="2" t="b">
        <f t="shared" si="249"/>
        <v>1</v>
      </c>
      <c r="CM158" s="2" t="b">
        <f t="shared" si="250"/>
        <v>0</v>
      </c>
      <c r="CN158" s="2" t="b">
        <f t="shared" si="251"/>
        <v>1</v>
      </c>
      <c r="CO158" s="2">
        <v>1</v>
      </c>
      <c r="CP158" s="2">
        <v>1.25</v>
      </c>
      <c r="CQ158" s="2">
        <v>1</v>
      </c>
      <c r="CS158" s="2">
        <v>1</v>
      </c>
      <c r="CT158" s="2">
        <v>1</v>
      </c>
      <c r="CU158" s="2">
        <v>1</v>
      </c>
      <c r="CV158" s="2">
        <v>1</v>
      </c>
      <c r="CX158" s="2">
        <v>4</v>
      </c>
      <c r="CY158" s="2">
        <v>4</v>
      </c>
      <c r="CZ158" s="2">
        <v>5.5</v>
      </c>
      <c r="DB158" s="2">
        <v>5.5</v>
      </c>
      <c r="DC158" s="2">
        <v>4</v>
      </c>
      <c r="DD158" s="2">
        <v>3</v>
      </c>
      <c r="DE158" s="2" t="s">
        <v>324</v>
      </c>
      <c r="DF158" s="194">
        <f t="shared" si="252"/>
        <v>4.00000000004</v>
      </c>
      <c r="DG158" s="194">
        <f t="shared" si="253"/>
        <v>4.00000000002</v>
      </c>
      <c r="DH158" s="194">
        <f t="shared" si="254"/>
        <v>5.50000000003</v>
      </c>
      <c r="DJ158" s="194">
        <f t="shared" si="255"/>
        <v>5.50000000005</v>
      </c>
      <c r="DK158" s="194">
        <f t="shared" si="256"/>
        <v>4.00000000006</v>
      </c>
      <c r="DL158" s="194">
        <f t="shared" si="257"/>
        <v>3.00000000007</v>
      </c>
      <c r="DM158" s="194">
        <f t="shared" si="258"/>
        <v>0</v>
      </c>
      <c r="DN158" s="2">
        <f t="shared" si="224"/>
        <v>4.00000000004</v>
      </c>
      <c r="DO158" s="2">
        <f t="shared" si="225"/>
        <v>5.0000000000250004</v>
      </c>
      <c r="DP158" s="2">
        <f t="shared" si="226"/>
        <v>5.50000000003</v>
      </c>
      <c r="DR158" s="2">
        <f t="shared" si="227"/>
        <v>5.50000000005</v>
      </c>
      <c r="DS158" s="2">
        <f t="shared" si="228"/>
        <v>4.00000000006</v>
      </c>
      <c r="DT158" s="2">
        <f t="shared" si="229"/>
        <v>3.00000000007</v>
      </c>
      <c r="DU158" s="2">
        <f t="shared" si="230"/>
        <v>0</v>
      </c>
      <c r="DV158" s="2" t="b">
        <f t="shared" si="259"/>
        <v>1</v>
      </c>
      <c r="DW158" s="2" t="b">
        <f t="shared" si="260"/>
        <v>1</v>
      </c>
      <c r="DX158" s="2" t="b">
        <f t="shared" si="261"/>
        <v>1</v>
      </c>
      <c r="DZ158" s="2" t="b">
        <f t="shared" si="262"/>
        <v>1</v>
      </c>
      <c r="EA158" s="2" t="b">
        <f t="shared" si="263"/>
        <v>1</v>
      </c>
      <c r="EB158" s="2" t="b">
        <f t="shared" si="264"/>
        <v>0</v>
      </c>
      <c r="EC158" s="2" t="b">
        <f t="shared" si="265"/>
        <v>0</v>
      </c>
      <c r="ED158" s="2">
        <v>1</v>
      </c>
      <c r="EE158" s="2">
        <v>1.25</v>
      </c>
      <c r="EF158" s="2">
        <v>1</v>
      </c>
      <c r="EH158" s="2">
        <v>1</v>
      </c>
      <c r="EI158" s="2">
        <v>1</v>
      </c>
      <c r="EJ158" s="2">
        <v>1</v>
      </c>
      <c r="EK158" s="2">
        <v>1</v>
      </c>
      <c r="EL158" s="2">
        <v>4</v>
      </c>
      <c r="EM158" s="2">
        <v>3</v>
      </c>
      <c r="EN158" s="2">
        <v>5.5</v>
      </c>
      <c r="EP158" s="2">
        <v>5.5</v>
      </c>
      <c r="EQ158" s="2">
        <v>5.5</v>
      </c>
      <c r="ER158" s="2">
        <v>4</v>
      </c>
      <c r="ES158" s="2" t="s">
        <v>324</v>
      </c>
      <c r="ET158" s="194">
        <f t="shared" si="266"/>
        <v>4.00000000004</v>
      </c>
      <c r="EU158" s="194">
        <f t="shared" si="267"/>
        <v>3.00000000002</v>
      </c>
      <c r="EV158" s="194">
        <f t="shared" si="268"/>
        <v>5.50000000003</v>
      </c>
      <c r="EW158" s="194">
        <f t="shared" si="269"/>
        <v>9.9999999999999994E-12</v>
      </c>
      <c r="EX158" s="194">
        <f t="shared" si="270"/>
        <v>5.50000000005</v>
      </c>
      <c r="EY158" s="194">
        <f t="shared" si="271"/>
        <v>5.50000000006</v>
      </c>
      <c r="EZ158" s="194">
        <f t="shared" si="272"/>
        <v>4.00000000007</v>
      </c>
      <c r="FA158" s="194">
        <f t="shared" si="273"/>
        <v>0</v>
      </c>
      <c r="FB158" s="2">
        <f t="shared" si="274"/>
        <v>4.00000000004</v>
      </c>
      <c r="FC158" s="2">
        <f t="shared" si="275"/>
        <v>3.750000000025</v>
      </c>
      <c r="FD158" s="2">
        <f t="shared" si="276"/>
        <v>5.50000000003</v>
      </c>
      <c r="FE158" s="2">
        <f t="shared" si="277"/>
        <v>0</v>
      </c>
      <c r="FF158" s="2">
        <f t="shared" si="278"/>
        <v>5.50000000005</v>
      </c>
      <c r="FG158" s="2">
        <f t="shared" si="279"/>
        <v>5.50000000006</v>
      </c>
      <c r="FH158" s="2">
        <f t="shared" si="280"/>
        <v>4.00000000007</v>
      </c>
      <c r="FI158" s="2">
        <f t="shared" si="281"/>
        <v>0</v>
      </c>
      <c r="FJ158" s="2" t="b">
        <f t="shared" si="282"/>
        <v>1</v>
      </c>
      <c r="FK158" s="2" t="b">
        <f t="shared" si="283"/>
        <v>0</v>
      </c>
      <c r="FL158" s="2" t="b">
        <f t="shared" si="284"/>
        <v>1</v>
      </c>
      <c r="FM158" s="2" t="b">
        <f t="shared" si="285"/>
        <v>0</v>
      </c>
      <c r="FN158" s="2" t="b">
        <f t="shared" si="286"/>
        <v>1</v>
      </c>
      <c r="FO158" s="2" t="b">
        <f t="shared" si="287"/>
        <v>1</v>
      </c>
      <c r="FP158" s="2" t="b">
        <f t="shared" si="288"/>
        <v>1</v>
      </c>
      <c r="FQ158" s="2" t="b">
        <f t="shared" si="289"/>
        <v>0</v>
      </c>
    </row>
    <row r="159" spans="1:173" ht="15.6">
      <c r="A159" s="335" t="s">
        <v>1201</v>
      </c>
      <c r="B159" s="346" t="s">
        <v>1201</v>
      </c>
      <c r="C159" s="346" t="s">
        <v>227</v>
      </c>
      <c r="D159" s="346" t="s">
        <v>710</v>
      </c>
      <c r="E159" s="346" t="s">
        <v>1202</v>
      </c>
      <c r="F159" s="2" t="s">
        <v>785</v>
      </c>
      <c r="G159" s="2" t="s">
        <v>324</v>
      </c>
      <c r="H159" s="2">
        <v>26.5</v>
      </c>
      <c r="I159" s="2">
        <v>26</v>
      </c>
      <c r="J159" s="2">
        <v>24.5</v>
      </c>
      <c r="K159" s="435">
        <f t="shared" si="234"/>
        <v>26.500000000220002</v>
      </c>
      <c r="L159" s="435">
        <f t="shared" si="235"/>
        <v>26.000000000220002</v>
      </c>
      <c r="M159" s="435">
        <f t="shared" si="236"/>
        <v>24.500000000250001</v>
      </c>
      <c r="N159" s="346" t="s">
        <v>324</v>
      </c>
      <c r="O159" s="346" t="s">
        <v>324</v>
      </c>
      <c r="P159" s="346" t="s">
        <v>324</v>
      </c>
      <c r="Q159" s="346" t="s">
        <v>324</v>
      </c>
      <c r="R159" s="346" t="s">
        <v>324</v>
      </c>
      <c r="S159" s="346" t="s">
        <v>1203</v>
      </c>
      <c r="T159" s="2" t="s">
        <v>1046</v>
      </c>
      <c r="U159" s="2">
        <v>222</v>
      </c>
      <c r="V159" s="2" cm="1">
        <f t="array" ref="V159">IFERROR(INDEX('Offer Statistics'!$BQ$2:$BQ$600,MATCH(1,(B159='Offer Statistics'!$BB$2:$BB$600)*($B$11='Offer Statistics'!$BC$2:$BC$600),0)),"/")</f>
        <v>202</v>
      </c>
      <c r="W159" s="2" cm="1">
        <f t="array" ref="W159">IFERROR(INDEX('Offer Statistics'!$BD$2:$BD$600,MATCH(1,($B159='Offer Statistics'!$BB$2:$BB$600)*($B$11='Offer Statistics'!$BC$2:$BC$600),0)),"/")</f>
        <v>1030</v>
      </c>
      <c r="X159" s="2" cm="1">
        <f t="array" ref="X159">IFERROR(INDEX('Offer Statistics'!$BL$2:$BL$600,MATCH(1,($B159='Offer Statistics'!$BB$2:$BB$600)*($B$11='Offer Statistics'!$BC$2:$BC$600),0)),"/")</f>
        <v>202</v>
      </c>
      <c r="Y159" s="2">
        <f t="shared" si="215"/>
        <v>5.0990099009900991</v>
      </c>
      <c r="Z159" s="2" t="s">
        <v>1046</v>
      </c>
      <c r="AA159" s="435" t="str">
        <f>入學要求!AF168</f>
        <v>/</v>
      </c>
      <c r="AB159" s="435" t="str">
        <f>入學要求!AG168</f>
        <v>/</v>
      </c>
      <c r="AC159" s="346" t="s">
        <v>785</v>
      </c>
      <c r="AD159" s="346"/>
      <c r="AE159" s="346"/>
      <c r="AF159" s="346" t="s">
        <v>324</v>
      </c>
      <c r="AG159" s="346" t="s">
        <v>324</v>
      </c>
      <c r="AH159" s="346" t="s">
        <v>324</v>
      </c>
      <c r="AI159" s="346" t="s">
        <v>324</v>
      </c>
      <c r="AJ159" s="346" t="s">
        <v>324</v>
      </c>
      <c r="AK159" s="2" t="s">
        <v>324</v>
      </c>
      <c r="AL159" s="2" t="s">
        <v>324</v>
      </c>
      <c r="AM159" s="2" t="s">
        <v>324</v>
      </c>
      <c r="AN159" s="2" t="s">
        <v>324</v>
      </c>
      <c r="AO159" s="2" t="s">
        <v>324</v>
      </c>
      <c r="AP159" s="2" t="s">
        <v>324</v>
      </c>
      <c r="AQ159" s="2" t="s">
        <v>324</v>
      </c>
      <c r="AR159" s="2" t="s">
        <v>324</v>
      </c>
      <c r="AT159" s="2" t="s">
        <v>716</v>
      </c>
      <c r="AV159" s="2" t="s">
        <v>1196</v>
      </c>
      <c r="AZ159" s="2">
        <v>1</v>
      </c>
      <c r="BA159" s="2">
        <v>1</v>
      </c>
      <c r="BB159" s="2">
        <v>1</v>
      </c>
      <c r="BD159" s="2">
        <v>1</v>
      </c>
      <c r="BE159" s="2">
        <v>1</v>
      </c>
      <c r="BF159" s="2">
        <v>1</v>
      </c>
      <c r="BG159" s="2">
        <v>1</v>
      </c>
      <c r="BH159" s="2" t="str">
        <f t="shared" si="237"/>
        <v>JS4202</v>
      </c>
      <c r="BI159" s="197">
        <v>4</v>
      </c>
      <c r="BJ159" s="197">
        <v>4</v>
      </c>
      <c r="BK159" s="197">
        <v>7</v>
      </c>
      <c r="BL159" s="197" t="s">
        <v>324</v>
      </c>
      <c r="BM159" s="197">
        <v>5.5</v>
      </c>
      <c r="BN159" s="197">
        <v>4</v>
      </c>
      <c r="BO159" s="197">
        <v>4</v>
      </c>
      <c r="BP159" s="197" t="s">
        <v>324</v>
      </c>
      <c r="BQ159" s="194">
        <f t="shared" si="238"/>
        <v>4.00000000004</v>
      </c>
      <c r="BR159" s="194">
        <f t="shared" si="239"/>
        <v>4.00000000002</v>
      </c>
      <c r="BS159" s="194">
        <f t="shared" si="240"/>
        <v>7.00000000003</v>
      </c>
      <c r="BU159" s="194">
        <f t="shared" si="241"/>
        <v>5.50000000005</v>
      </c>
      <c r="BV159" s="194">
        <f t="shared" si="242"/>
        <v>4.00000000006</v>
      </c>
      <c r="BW159" s="194">
        <f t="shared" si="243"/>
        <v>4.00000000007</v>
      </c>
      <c r="BX159" s="194">
        <f t="shared" si="244"/>
        <v>0</v>
      </c>
      <c r="BY159" s="2">
        <f t="shared" si="216"/>
        <v>4.00000000004</v>
      </c>
      <c r="BZ159" s="2">
        <f t="shared" si="217"/>
        <v>4.00000000002</v>
      </c>
      <c r="CA159" s="2">
        <f t="shared" si="218"/>
        <v>7.00000000003</v>
      </c>
      <c r="CC159" s="2">
        <f t="shared" si="219"/>
        <v>5.50000000005</v>
      </c>
      <c r="CD159" s="2">
        <f t="shared" si="220"/>
        <v>4.00000000006</v>
      </c>
      <c r="CE159" s="2">
        <f t="shared" si="221"/>
        <v>4.00000000007</v>
      </c>
      <c r="CF159" s="2">
        <f t="shared" si="222"/>
        <v>0</v>
      </c>
      <c r="CG159" s="2" t="b">
        <f t="shared" si="245"/>
        <v>1</v>
      </c>
      <c r="CH159" s="2" t="b">
        <f t="shared" si="246"/>
        <v>0</v>
      </c>
      <c r="CI159" s="2" t="b">
        <f t="shared" si="247"/>
        <v>1</v>
      </c>
      <c r="CK159" s="2" t="b">
        <f t="shared" si="248"/>
        <v>1</v>
      </c>
      <c r="CL159" s="2" t="b">
        <f t="shared" si="249"/>
        <v>1</v>
      </c>
      <c r="CM159" s="2" t="b">
        <f t="shared" si="250"/>
        <v>1</v>
      </c>
      <c r="CN159" s="2" t="b">
        <f t="shared" si="251"/>
        <v>0</v>
      </c>
      <c r="CO159" s="2">
        <v>1</v>
      </c>
      <c r="CP159" s="2">
        <v>1</v>
      </c>
      <c r="CQ159" s="2">
        <v>1</v>
      </c>
      <c r="CS159" s="2">
        <v>1</v>
      </c>
      <c r="CT159" s="2">
        <v>1</v>
      </c>
      <c r="CU159" s="2">
        <v>1</v>
      </c>
      <c r="CV159" s="2">
        <v>1</v>
      </c>
      <c r="CX159" s="2">
        <v>4</v>
      </c>
      <c r="CY159" s="2">
        <v>4</v>
      </c>
      <c r="CZ159" s="2">
        <v>5.5</v>
      </c>
      <c r="DB159" s="2" t="s">
        <v>324</v>
      </c>
      <c r="DC159" s="2">
        <v>7</v>
      </c>
      <c r="DD159" s="2">
        <v>5.5</v>
      </c>
      <c r="DE159" s="2">
        <v>2</v>
      </c>
      <c r="DF159" s="194">
        <f t="shared" si="252"/>
        <v>4.00000000004</v>
      </c>
      <c r="DG159" s="194">
        <f t="shared" si="253"/>
        <v>4.00000000002</v>
      </c>
      <c r="DH159" s="194">
        <f t="shared" si="254"/>
        <v>5.50000000003</v>
      </c>
      <c r="DJ159" s="194">
        <f t="shared" si="255"/>
        <v>0</v>
      </c>
      <c r="DK159" s="194">
        <f t="shared" si="256"/>
        <v>7.00000000006</v>
      </c>
      <c r="DL159" s="194">
        <f t="shared" si="257"/>
        <v>5.50000000007</v>
      </c>
      <c r="DM159" s="194">
        <f t="shared" si="258"/>
        <v>2.00000000008</v>
      </c>
      <c r="DN159" s="2">
        <f t="shared" si="224"/>
        <v>4.00000000004</v>
      </c>
      <c r="DO159" s="2">
        <f t="shared" si="225"/>
        <v>4.00000000002</v>
      </c>
      <c r="DP159" s="2">
        <f t="shared" si="226"/>
        <v>5.50000000003</v>
      </c>
      <c r="DR159" s="2">
        <f t="shared" si="227"/>
        <v>0</v>
      </c>
      <c r="DS159" s="2">
        <f t="shared" si="228"/>
        <v>7.00000000006</v>
      </c>
      <c r="DT159" s="2">
        <f t="shared" si="229"/>
        <v>5.50000000007</v>
      </c>
      <c r="DU159" s="2">
        <f t="shared" si="230"/>
        <v>2.00000000008</v>
      </c>
      <c r="DV159" s="2" t="b">
        <f t="shared" si="259"/>
        <v>1</v>
      </c>
      <c r="DW159" s="2" t="b">
        <f t="shared" si="260"/>
        <v>1</v>
      </c>
      <c r="DX159" s="2" t="b">
        <f t="shared" si="261"/>
        <v>1</v>
      </c>
      <c r="DZ159" s="2" t="b">
        <f t="shared" si="262"/>
        <v>0</v>
      </c>
      <c r="EA159" s="2" t="b">
        <f t="shared" si="263"/>
        <v>1</v>
      </c>
      <c r="EB159" s="2" t="b">
        <f t="shared" si="264"/>
        <v>1</v>
      </c>
      <c r="EC159" s="2" t="b">
        <f t="shared" si="265"/>
        <v>0</v>
      </c>
      <c r="ED159" s="2">
        <v>1</v>
      </c>
      <c r="EE159" s="2">
        <v>1</v>
      </c>
      <c r="EF159" s="2">
        <v>1</v>
      </c>
      <c r="EH159" s="2">
        <v>1</v>
      </c>
      <c r="EI159" s="2">
        <v>1</v>
      </c>
      <c r="EJ159" s="2">
        <v>1</v>
      </c>
      <c r="EK159" s="2">
        <v>1</v>
      </c>
      <c r="EL159" s="2">
        <v>5.5</v>
      </c>
      <c r="EM159" s="2">
        <v>3</v>
      </c>
      <c r="EN159" s="2">
        <v>4</v>
      </c>
      <c r="EP159" s="2" t="s">
        <v>324</v>
      </c>
      <c r="EQ159" s="2">
        <v>8.5</v>
      </c>
      <c r="ER159" s="2">
        <v>5.5</v>
      </c>
      <c r="ES159" s="2" t="s">
        <v>324</v>
      </c>
      <c r="ET159" s="194">
        <f t="shared" si="266"/>
        <v>5.50000000004</v>
      </c>
      <c r="EU159" s="194">
        <f t="shared" si="267"/>
        <v>3.00000000002</v>
      </c>
      <c r="EV159" s="194">
        <f t="shared" si="268"/>
        <v>4.00000000003</v>
      </c>
      <c r="EW159" s="194">
        <f t="shared" si="269"/>
        <v>9.9999999999999994E-12</v>
      </c>
      <c r="EX159" s="194">
        <f t="shared" si="270"/>
        <v>0</v>
      </c>
      <c r="EY159" s="194">
        <f t="shared" si="271"/>
        <v>8.50000000006</v>
      </c>
      <c r="EZ159" s="194">
        <f t="shared" si="272"/>
        <v>5.50000000007</v>
      </c>
      <c r="FA159" s="194">
        <f t="shared" si="273"/>
        <v>0</v>
      </c>
      <c r="FB159" s="2">
        <f t="shared" ref="FB159:FB169" si="291">ET159*ED159</f>
        <v>5.50000000004</v>
      </c>
      <c r="FC159" s="2">
        <f t="shared" ref="FC159:FC169" si="292">EU159*EE159</f>
        <v>3.00000000002</v>
      </c>
      <c r="FD159" s="2">
        <f t="shared" ref="FD159:FD169" si="293">EV159*EF159</f>
        <v>4.00000000003</v>
      </c>
      <c r="FE159" s="2">
        <f t="shared" ref="FE159:FE169" si="294">EW159*EG159</f>
        <v>0</v>
      </c>
      <c r="FF159" s="2">
        <f t="shared" ref="FF159:FF169" si="295">EX159*EH159</f>
        <v>0</v>
      </c>
      <c r="FG159" s="2">
        <f t="shared" ref="FG159:FG169" si="296">EY159*EI159</f>
        <v>8.50000000006</v>
      </c>
      <c r="FH159" s="2">
        <f t="shared" ref="FH159:FH169" si="297">EZ159*EJ159</f>
        <v>5.50000000007</v>
      </c>
      <c r="FI159" s="2">
        <f t="shared" ref="FI159:FI169" si="298">FA159*EK159</f>
        <v>0</v>
      </c>
      <c r="FJ159" s="2" t="b">
        <f t="shared" si="282"/>
        <v>1</v>
      </c>
      <c r="FK159" s="2" t="b">
        <f t="shared" si="283"/>
        <v>1</v>
      </c>
      <c r="FL159" s="2" t="b">
        <f t="shared" si="284"/>
        <v>1</v>
      </c>
      <c r="FM159" s="2" t="b">
        <f t="shared" si="285"/>
        <v>0</v>
      </c>
      <c r="FN159" s="2" t="b">
        <f t="shared" si="286"/>
        <v>0</v>
      </c>
      <c r="FO159" s="2" t="b">
        <f t="shared" si="287"/>
        <v>1</v>
      </c>
      <c r="FP159" s="2" t="b">
        <f t="shared" si="288"/>
        <v>1</v>
      </c>
      <c r="FQ159" s="2" t="b">
        <f t="shared" si="289"/>
        <v>0</v>
      </c>
    </row>
    <row r="160" spans="1:173" ht="15.6">
      <c r="A160" s="335" t="s">
        <v>1204</v>
      </c>
      <c r="B160" s="346" t="s">
        <v>1204</v>
      </c>
      <c r="C160" s="346" t="s">
        <v>227</v>
      </c>
      <c r="D160" s="346" t="s">
        <v>710</v>
      </c>
      <c r="E160" s="346" t="s">
        <v>1205</v>
      </c>
      <c r="F160" s="2" t="s">
        <v>785</v>
      </c>
      <c r="G160" s="2" t="s">
        <v>324</v>
      </c>
      <c r="H160" s="2">
        <v>39.5</v>
      </c>
      <c r="I160" s="2">
        <v>35</v>
      </c>
      <c r="J160" s="2">
        <v>35</v>
      </c>
      <c r="K160" s="435">
        <f t="shared" si="234"/>
        <v>39.500000000219998</v>
      </c>
      <c r="L160" s="435">
        <f t="shared" si="235"/>
        <v>35.000000000290001</v>
      </c>
      <c r="M160" s="435">
        <f t="shared" si="236"/>
        <v>35.000000000269999</v>
      </c>
      <c r="N160" s="346" t="s">
        <v>324</v>
      </c>
      <c r="O160" s="346" t="s">
        <v>324</v>
      </c>
      <c r="P160" s="346" t="s">
        <v>324</v>
      </c>
      <c r="Q160" s="346" t="s">
        <v>324</v>
      </c>
      <c r="R160" s="346" t="s">
        <v>324</v>
      </c>
      <c r="S160" s="346" t="s">
        <v>1206</v>
      </c>
      <c r="T160" s="2" t="s">
        <v>1046</v>
      </c>
      <c r="U160" s="2">
        <v>15</v>
      </c>
      <c r="V160" s="2" cm="1">
        <f t="array" ref="V160">IFERROR(INDEX('Offer Statistics'!$BQ$2:$BQ$600,MATCH(1,(B160='Offer Statistics'!$BB$2:$BB$600)*($B$11='Offer Statistics'!$BC$2:$BC$600),0)),"/")</f>
        <v>15</v>
      </c>
      <c r="W160" s="2" cm="1">
        <f t="array" ref="W160">IFERROR(INDEX('Offer Statistics'!$BD$2:$BD$600,MATCH(1,($B160='Offer Statistics'!$BB$2:$BB$600)*($B$11='Offer Statistics'!$BC$2:$BC$600),0)),"/")</f>
        <v>55</v>
      </c>
      <c r="X160" s="2" cm="1">
        <f t="array" ref="X160">IFERROR(INDEX('Offer Statistics'!$BL$2:$BL$600,MATCH(1,($B160='Offer Statistics'!$BB$2:$BB$600)*($B$11='Offer Statistics'!$BC$2:$BC$600),0)),"/")</f>
        <v>15</v>
      </c>
      <c r="Y160" s="2">
        <f t="shared" si="215"/>
        <v>3.6666666666666665</v>
      </c>
      <c r="Z160" s="2" t="s">
        <v>1046</v>
      </c>
      <c r="AA160" s="435" t="str">
        <f>入學要求!AF169</f>
        <v>/</v>
      </c>
      <c r="AB160" s="435" t="str">
        <f>入學要求!AG169</f>
        <v>/</v>
      </c>
      <c r="AC160" s="346" t="s">
        <v>785</v>
      </c>
      <c r="AD160" s="346"/>
      <c r="AE160" s="346"/>
      <c r="AF160" s="346" t="s">
        <v>324</v>
      </c>
      <c r="AG160" s="346" t="s">
        <v>324</v>
      </c>
      <c r="AH160" s="346" t="s">
        <v>324</v>
      </c>
      <c r="AI160" s="346" t="s">
        <v>324</v>
      </c>
      <c r="AJ160" s="346" t="s">
        <v>324</v>
      </c>
      <c r="AK160" s="2" t="s">
        <v>324</v>
      </c>
      <c r="AL160" s="2" t="s">
        <v>324</v>
      </c>
      <c r="AM160" s="2" t="s">
        <v>324</v>
      </c>
      <c r="AN160" s="2" t="s">
        <v>324</v>
      </c>
      <c r="AO160" s="2" t="s">
        <v>324</v>
      </c>
      <c r="AP160" s="2" t="s">
        <v>324</v>
      </c>
      <c r="AQ160" s="2" t="s">
        <v>324</v>
      </c>
      <c r="AR160" s="2" t="s">
        <v>324</v>
      </c>
      <c r="AT160" s="2" t="s">
        <v>716</v>
      </c>
      <c r="AV160" s="2" t="s">
        <v>1196</v>
      </c>
      <c r="AZ160" s="2">
        <v>1</v>
      </c>
      <c r="BA160" s="2">
        <v>1</v>
      </c>
      <c r="BB160" s="2">
        <v>1</v>
      </c>
      <c r="BD160" s="2">
        <v>1</v>
      </c>
      <c r="BE160" s="2">
        <v>1</v>
      </c>
      <c r="BF160" s="2">
        <v>1</v>
      </c>
      <c r="BG160" s="2">
        <v>1</v>
      </c>
      <c r="BH160" s="2" t="str">
        <f t="shared" si="237"/>
        <v>JS4214</v>
      </c>
      <c r="BI160" s="197">
        <v>7</v>
      </c>
      <c r="BJ160" s="197">
        <v>8.5</v>
      </c>
      <c r="BK160" s="197">
        <v>5.5</v>
      </c>
      <c r="BL160" s="197" t="s">
        <v>324</v>
      </c>
      <c r="BM160" s="197" t="s">
        <v>324</v>
      </c>
      <c r="BN160" s="197">
        <v>7</v>
      </c>
      <c r="BO160" s="197">
        <v>7</v>
      </c>
      <c r="BP160" s="197">
        <v>5.5</v>
      </c>
      <c r="BQ160" s="194">
        <f t="shared" si="238"/>
        <v>7.00000000004</v>
      </c>
      <c r="BR160" s="194">
        <f t="shared" si="239"/>
        <v>8.50000000002</v>
      </c>
      <c r="BS160" s="194">
        <f t="shared" si="240"/>
        <v>5.50000000003</v>
      </c>
      <c r="BU160" s="194">
        <f t="shared" si="241"/>
        <v>0</v>
      </c>
      <c r="BV160" s="194">
        <f t="shared" si="242"/>
        <v>7.00000000006</v>
      </c>
      <c r="BW160" s="194">
        <f t="shared" si="243"/>
        <v>7.00000000007</v>
      </c>
      <c r="BX160" s="194">
        <f t="shared" si="244"/>
        <v>5.50000000008</v>
      </c>
      <c r="BY160" s="2">
        <f t="shared" si="216"/>
        <v>7.00000000004</v>
      </c>
      <c r="BZ160" s="2">
        <f t="shared" si="217"/>
        <v>8.50000000002</v>
      </c>
      <c r="CA160" s="2">
        <f t="shared" si="218"/>
        <v>5.50000000003</v>
      </c>
      <c r="CC160" s="2">
        <f t="shared" si="219"/>
        <v>0</v>
      </c>
      <c r="CD160" s="2">
        <f t="shared" si="220"/>
        <v>7.00000000006</v>
      </c>
      <c r="CE160" s="2">
        <f t="shared" si="221"/>
        <v>7.00000000007</v>
      </c>
      <c r="CF160" s="2">
        <f t="shared" si="222"/>
        <v>5.50000000008</v>
      </c>
      <c r="CG160" s="2" t="b">
        <f t="shared" si="245"/>
        <v>1</v>
      </c>
      <c r="CH160" s="2" t="b">
        <f t="shared" si="246"/>
        <v>1</v>
      </c>
      <c r="CI160" s="2" t="b">
        <f t="shared" si="247"/>
        <v>0</v>
      </c>
      <c r="CK160" s="2" t="b">
        <f t="shared" si="248"/>
        <v>0</v>
      </c>
      <c r="CL160" s="2" t="b">
        <f t="shared" si="249"/>
        <v>1</v>
      </c>
      <c r="CM160" s="2" t="b">
        <f t="shared" si="250"/>
        <v>1</v>
      </c>
      <c r="CN160" s="2" t="b">
        <f t="shared" si="251"/>
        <v>1</v>
      </c>
      <c r="CO160" s="2">
        <v>1</v>
      </c>
      <c r="CP160" s="2">
        <v>1</v>
      </c>
      <c r="CQ160" s="2">
        <v>1</v>
      </c>
      <c r="CS160" s="2">
        <v>1</v>
      </c>
      <c r="CT160" s="2">
        <v>1</v>
      </c>
      <c r="CU160" s="2">
        <v>1</v>
      </c>
      <c r="CV160" s="2">
        <v>1</v>
      </c>
      <c r="CX160" s="2">
        <v>4</v>
      </c>
      <c r="CY160" s="2">
        <v>7</v>
      </c>
      <c r="CZ160" s="2">
        <v>7</v>
      </c>
      <c r="DB160" s="2">
        <v>7</v>
      </c>
      <c r="DC160" s="2">
        <v>7</v>
      </c>
      <c r="DD160" s="2">
        <v>7</v>
      </c>
      <c r="DE160" s="2">
        <v>7</v>
      </c>
      <c r="DF160" s="194">
        <f t="shared" si="252"/>
        <v>4.00000000004</v>
      </c>
      <c r="DG160" s="194">
        <f t="shared" si="253"/>
        <v>7.00000000002</v>
      </c>
      <c r="DH160" s="194">
        <f t="shared" si="254"/>
        <v>7.00000000003</v>
      </c>
      <c r="DJ160" s="194">
        <f t="shared" si="255"/>
        <v>7.00000000005</v>
      </c>
      <c r="DK160" s="194">
        <f t="shared" si="256"/>
        <v>7.00000000006</v>
      </c>
      <c r="DL160" s="194">
        <f t="shared" si="257"/>
        <v>7.00000000007</v>
      </c>
      <c r="DM160" s="194">
        <f t="shared" si="258"/>
        <v>7.00000000008</v>
      </c>
      <c r="DN160" s="2">
        <f t="shared" si="224"/>
        <v>4.00000000004</v>
      </c>
      <c r="DO160" s="2">
        <f t="shared" si="225"/>
        <v>7.00000000002</v>
      </c>
      <c r="DP160" s="2">
        <f t="shared" si="226"/>
        <v>7.00000000003</v>
      </c>
      <c r="DR160" s="2">
        <f t="shared" si="227"/>
        <v>7.00000000005</v>
      </c>
      <c r="DS160" s="2">
        <f t="shared" si="228"/>
        <v>7.00000000006</v>
      </c>
      <c r="DT160" s="2">
        <f t="shared" si="229"/>
        <v>7.00000000007</v>
      </c>
      <c r="DU160" s="2">
        <f t="shared" si="230"/>
        <v>7.00000000008</v>
      </c>
      <c r="DV160" s="2" t="b">
        <f t="shared" si="259"/>
        <v>0</v>
      </c>
      <c r="DW160" s="2" t="b">
        <f t="shared" si="260"/>
        <v>0</v>
      </c>
      <c r="DX160" s="2" t="b">
        <f t="shared" si="261"/>
        <v>1</v>
      </c>
      <c r="DZ160" s="2" t="b">
        <f t="shared" si="262"/>
        <v>1</v>
      </c>
      <c r="EA160" s="2" t="b">
        <f t="shared" si="263"/>
        <v>1</v>
      </c>
      <c r="EB160" s="2" t="b">
        <f t="shared" si="264"/>
        <v>1</v>
      </c>
      <c r="EC160" s="2" t="b">
        <f t="shared" si="265"/>
        <v>1</v>
      </c>
      <c r="ED160" s="2">
        <v>1</v>
      </c>
      <c r="EE160" s="2">
        <v>1</v>
      </c>
      <c r="EF160" s="2">
        <v>1</v>
      </c>
      <c r="EH160" s="2">
        <v>1</v>
      </c>
      <c r="EI160" s="2">
        <v>1</v>
      </c>
      <c r="EJ160" s="2">
        <v>1</v>
      </c>
      <c r="EK160" s="2">
        <v>1</v>
      </c>
      <c r="EL160" s="2">
        <v>8.5</v>
      </c>
      <c r="EM160" s="2">
        <v>7</v>
      </c>
      <c r="EN160" s="2">
        <v>7</v>
      </c>
      <c r="EP160" s="2">
        <v>5.5</v>
      </c>
      <c r="EQ160" s="2">
        <v>8.5</v>
      </c>
      <c r="ER160" s="2">
        <v>8.5</v>
      </c>
      <c r="ES160" s="2" t="s">
        <v>324</v>
      </c>
      <c r="ET160" s="194">
        <f t="shared" si="266"/>
        <v>8.50000000004</v>
      </c>
      <c r="EU160" s="194">
        <f t="shared" si="267"/>
        <v>7.00000000002</v>
      </c>
      <c r="EV160" s="194">
        <f t="shared" si="268"/>
        <v>7.00000000003</v>
      </c>
      <c r="EW160" s="194">
        <f t="shared" si="269"/>
        <v>9.9999999999999994E-12</v>
      </c>
      <c r="EX160" s="194">
        <f t="shared" si="270"/>
        <v>5.50000000005</v>
      </c>
      <c r="EY160" s="194">
        <f t="shared" si="271"/>
        <v>8.50000000006</v>
      </c>
      <c r="EZ160" s="194">
        <f t="shared" si="272"/>
        <v>8.5000000000699991</v>
      </c>
      <c r="FA160" s="194">
        <f t="shared" si="273"/>
        <v>0</v>
      </c>
      <c r="FB160" s="2">
        <f t="shared" si="291"/>
        <v>8.50000000004</v>
      </c>
      <c r="FC160" s="2">
        <f t="shared" si="292"/>
        <v>7.00000000002</v>
      </c>
      <c r="FD160" s="2">
        <f t="shared" si="293"/>
        <v>7.00000000003</v>
      </c>
      <c r="FE160" s="2">
        <f t="shared" si="294"/>
        <v>0</v>
      </c>
      <c r="FF160" s="2">
        <f t="shared" si="295"/>
        <v>5.50000000005</v>
      </c>
      <c r="FG160" s="2">
        <f t="shared" si="296"/>
        <v>8.50000000006</v>
      </c>
      <c r="FH160" s="2">
        <f t="shared" si="297"/>
        <v>8.5000000000699991</v>
      </c>
      <c r="FI160" s="2">
        <f t="shared" si="298"/>
        <v>0</v>
      </c>
      <c r="FJ160" s="2" t="b">
        <f t="shared" si="282"/>
        <v>1</v>
      </c>
      <c r="FK160" s="2" t="b">
        <f t="shared" si="283"/>
        <v>1</v>
      </c>
      <c r="FL160" s="2" t="b">
        <f t="shared" si="284"/>
        <v>1</v>
      </c>
      <c r="FM160" s="2" t="b">
        <f t="shared" si="285"/>
        <v>0</v>
      </c>
      <c r="FN160" s="2" t="b">
        <f t="shared" si="286"/>
        <v>0</v>
      </c>
      <c r="FO160" s="2" t="b">
        <f t="shared" si="287"/>
        <v>1</v>
      </c>
      <c r="FP160" s="2" t="b">
        <f t="shared" si="288"/>
        <v>1</v>
      </c>
      <c r="FQ160" s="2" t="b">
        <f t="shared" si="289"/>
        <v>0</v>
      </c>
    </row>
    <row r="161" spans="1:173" ht="15.6">
      <c r="A161" s="335" t="s">
        <v>1207</v>
      </c>
      <c r="B161" s="346" t="s">
        <v>1207</v>
      </c>
      <c r="C161" s="346" t="s">
        <v>227</v>
      </c>
      <c r="D161" s="346" t="s">
        <v>710</v>
      </c>
      <c r="E161" s="346" t="s">
        <v>1208</v>
      </c>
      <c r="F161" s="2" t="s">
        <v>785</v>
      </c>
      <c r="G161" s="2" t="s">
        <v>324</v>
      </c>
      <c r="H161" s="2">
        <v>23.5</v>
      </c>
      <c r="I161" s="2">
        <v>23</v>
      </c>
      <c r="J161" s="2">
        <v>22.5</v>
      </c>
      <c r="K161" s="435">
        <f t="shared" si="234"/>
        <v>23.500000000259998</v>
      </c>
      <c r="L161" s="435">
        <f t="shared" si="235"/>
        <v>23.000000000220002</v>
      </c>
      <c r="M161" s="435">
        <f t="shared" si="236"/>
        <v>22.500000000220002</v>
      </c>
      <c r="N161" s="346" t="s">
        <v>324</v>
      </c>
      <c r="O161" s="346" t="s">
        <v>324</v>
      </c>
      <c r="P161" s="346" t="s">
        <v>324</v>
      </c>
      <c r="Q161" s="346" t="s">
        <v>324</v>
      </c>
      <c r="R161" s="346" t="s">
        <v>324</v>
      </c>
      <c r="S161" s="346" t="s">
        <v>1209</v>
      </c>
      <c r="T161" s="2" t="s">
        <v>1046</v>
      </c>
      <c r="U161" s="2">
        <v>60</v>
      </c>
      <c r="V161" s="2" cm="1">
        <f t="array" ref="V161">IFERROR(INDEX('Offer Statistics'!$BQ$2:$BQ$600,MATCH(1,(B161='Offer Statistics'!$BB$2:$BB$600)*($B$11='Offer Statistics'!$BC$2:$BC$600),0)),"/")</f>
        <v>50</v>
      </c>
      <c r="W161" s="2" cm="1">
        <f t="array" ref="W161">IFERROR(INDEX('Offer Statistics'!$BD$2:$BD$600,MATCH(1,($B161='Offer Statistics'!$BB$2:$BB$600)*($B$11='Offer Statistics'!$BC$2:$BC$600),0)),"/")</f>
        <v>470</v>
      </c>
      <c r="X161" s="2" cm="1">
        <f t="array" ref="X161">IFERROR(INDEX('Offer Statistics'!$BL$2:$BL$600,MATCH(1,($B161='Offer Statistics'!$BB$2:$BB$600)*($B$11='Offer Statistics'!$BC$2:$BC$600),0)),"/")</f>
        <v>50</v>
      </c>
      <c r="Y161" s="2">
        <f t="shared" si="215"/>
        <v>9.4</v>
      </c>
      <c r="Z161" s="2" t="s">
        <v>1046</v>
      </c>
      <c r="AA161" s="435" t="str">
        <f>入學要求!AF170</f>
        <v>/</v>
      </c>
      <c r="AB161" s="435" t="str">
        <f>入學要求!AG170</f>
        <v>/</v>
      </c>
      <c r="AC161" s="346" t="s">
        <v>785</v>
      </c>
      <c r="AD161" s="346"/>
      <c r="AE161" s="346"/>
      <c r="AF161" s="346" t="s">
        <v>324</v>
      </c>
      <c r="AG161" s="346" t="s">
        <v>324</v>
      </c>
      <c r="AH161" s="346" t="s">
        <v>324</v>
      </c>
      <c r="AI161" s="346" t="s">
        <v>324</v>
      </c>
      <c r="AJ161" s="346" t="s">
        <v>324</v>
      </c>
      <c r="AK161" s="2" t="s">
        <v>324</v>
      </c>
      <c r="AL161" s="2" t="s">
        <v>324</v>
      </c>
      <c r="AM161" s="2" t="s">
        <v>324</v>
      </c>
      <c r="AN161" s="2" t="s">
        <v>324</v>
      </c>
      <c r="AO161" s="2" t="s">
        <v>324</v>
      </c>
      <c r="AP161" s="2" t="s">
        <v>324</v>
      </c>
      <c r="AQ161" s="2" t="s">
        <v>324</v>
      </c>
      <c r="AR161" s="2" t="s">
        <v>324</v>
      </c>
      <c r="AT161" s="2" t="s">
        <v>716</v>
      </c>
      <c r="AV161" s="2" t="s">
        <v>1196</v>
      </c>
      <c r="AZ161" s="2">
        <v>1</v>
      </c>
      <c r="BA161" s="2">
        <v>1</v>
      </c>
      <c r="BB161" s="2">
        <v>1</v>
      </c>
      <c r="BD161" s="2">
        <v>1</v>
      </c>
      <c r="BE161" s="2">
        <v>1</v>
      </c>
      <c r="BF161" s="2">
        <v>1</v>
      </c>
      <c r="BG161" s="2">
        <v>1</v>
      </c>
      <c r="BH161" s="2" t="str">
        <f t="shared" si="237"/>
        <v>JS4226</v>
      </c>
      <c r="BI161" s="197">
        <v>3</v>
      </c>
      <c r="BJ161" s="197">
        <v>3</v>
      </c>
      <c r="BK161" s="197">
        <v>5.5</v>
      </c>
      <c r="BL161" s="197" t="s">
        <v>324</v>
      </c>
      <c r="BM161" s="197" t="s">
        <v>324</v>
      </c>
      <c r="BN161" s="197">
        <v>5.5</v>
      </c>
      <c r="BO161" s="197">
        <v>5.5</v>
      </c>
      <c r="BP161" s="197" t="s">
        <v>324</v>
      </c>
      <c r="BQ161" s="194">
        <f t="shared" si="238"/>
        <v>3.00000000004</v>
      </c>
      <c r="BR161" s="194">
        <f t="shared" si="239"/>
        <v>3.00000000002</v>
      </c>
      <c r="BS161" s="194">
        <f t="shared" si="240"/>
        <v>5.50000000003</v>
      </c>
      <c r="BU161" s="194">
        <f t="shared" si="241"/>
        <v>0</v>
      </c>
      <c r="BV161" s="194">
        <f t="shared" si="242"/>
        <v>5.50000000006</v>
      </c>
      <c r="BW161" s="194">
        <f t="shared" si="243"/>
        <v>5.50000000007</v>
      </c>
      <c r="BX161" s="194">
        <f t="shared" si="244"/>
        <v>0</v>
      </c>
      <c r="BY161" s="2">
        <f t="shared" si="216"/>
        <v>3.00000000004</v>
      </c>
      <c r="BZ161" s="2">
        <f t="shared" si="217"/>
        <v>3.00000000002</v>
      </c>
      <c r="CA161" s="2">
        <f t="shared" si="218"/>
        <v>5.50000000003</v>
      </c>
      <c r="CC161" s="2">
        <f t="shared" si="219"/>
        <v>0</v>
      </c>
      <c r="CD161" s="2">
        <f t="shared" si="220"/>
        <v>5.50000000006</v>
      </c>
      <c r="CE161" s="2">
        <f t="shared" si="221"/>
        <v>5.50000000007</v>
      </c>
      <c r="CF161" s="2">
        <f t="shared" si="222"/>
        <v>0</v>
      </c>
      <c r="CG161" s="2" t="b">
        <f t="shared" si="245"/>
        <v>1</v>
      </c>
      <c r="CH161" s="2" t="b">
        <f t="shared" si="246"/>
        <v>1</v>
      </c>
      <c r="CI161" s="2" t="b">
        <f t="shared" si="247"/>
        <v>1</v>
      </c>
      <c r="CK161" s="2" t="b">
        <f t="shared" si="248"/>
        <v>0</v>
      </c>
      <c r="CL161" s="2" t="b">
        <f t="shared" si="249"/>
        <v>1</v>
      </c>
      <c r="CM161" s="2" t="b">
        <f t="shared" si="250"/>
        <v>1</v>
      </c>
      <c r="CN161" s="2" t="b">
        <f t="shared" si="251"/>
        <v>0</v>
      </c>
      <c r="CO161" s="2">
        <v>1</v>
      </c>
      <c r="CP161" s="2">
        <v>1</v>
      </c>
      <c r="CQ161" s="2">
        <v>1</v>
      </c>
      <c r="CS161" s="2">
        <v>1</v>
      </c>
      <c r="CT161" s="2">
        <v>1</v>
      </c>
      <c r="CU161" s="2">
        <v>1</v>
      </c>
      <c r="CV161" s="2">
        <v>1</v>
      </c>
      <c r="CX161" s="2">
        <v>7</v>
      </c>
      <c r="CY161" s="2">
        <v>4</v>
      </c>
      <c r="CZ161" s="2">
        <v>4</v>
      </c>
      <c r="DB161" s="2" t="s">
        <v>324</v>
      </c>
      <c r="DC161" s="2">
        <v>4</v>
      </c>
      <c r="DD161" s="2">
        <v>4</v>
      </c>
      <c r="DE161" s="2">
        <v>3</v>
      </c>
      <c r="DF161" s="194">
        <f t="shared" si="252"/>
        <v>7.00000000004</v>
      </c>
      <c r="DG161" s="194">
        <f t="shared" si="253"/>
        <v>4.00000000002</v>
      </c>
      <c r="DH161" s="194">
        <f t="shared" si="254"/>
        <v>4.00000000003</v>
      </c>
      <c r="DJ161" s="194">
        <f t="shared" si="255"/>
        <v>0</v>
      </c>
      <c r="DK161" s="194">
        <f t="shared" si="256"/>
        <v>4.00000000006</v>
      </c>
      <c r="DL161" s="194">
        <f t="shared" si="257"/>
        <v>4.00000000007</v>
      </c>
      <c r="DM161" s="194">
        <f t="shared" si="258"/>
        <v>3.00000000008</v>
      </c>
      <c r="DN161" s="2">
        <f t="shared" si="224"/>
        <v>7.00000000004</v>
      </c>
      <c r="DO161" s="2">
        <f t="shared" si="225"/>
        <v>4.00000000002</v>
      </c>
      <c r="DP161" s="2">
        <f t="shared" si="226"/>
        <v>4.00000000003</v>
      </c>
      <c r="DR161" s="2">
        <f t="shared" si="227"/>
        <v>0</v>
      </c>
      <c r="DS161" s="2">
        <f t="shared" si="228"/>
        <v>4.00000000006</v>
      </c>
      <c r="DT161" s="2">
        <f t="shared" si="229"/>
        <v>4.00000000007</v>
      </c>
      <c r="DU161" s="2">
        <f t="shared" si="230"/>
        <v>3.00000000008</v>
      </c>
      <c r="DV161" s="2" t="b">
        <f t="shared" si="259"/>
        <v>1</v>
      </c>
      <c r="DW161" s="2" t="b">
        <f t="shared" si="260"/>
        <v>1</v>
      </c>
      <c r="DX161" s="2" t="b">
        <f t="shared" si="261"/>
        <v>1</v>
      </c>
      <c r="DZ161" s="2" t="b">
        <f t="shared" si="262"/>
        <v>0</v>
      </c>
      <c r="EA161" s="2" t="b">
        <f t="shared" si="263"/>
        <v>1</v>
      </c>
      <c r="EB161" s="2" t="b">
        <f t="shared" si="264"/>
        <v>1</v>
      </c>
      <c r="EC161" s="2" t="b">
        <f t="shared" si="265"/>
        <v>0</v>
      </c>
      <c r="ED161" s="2">
        <v>1</v>
      </c>
      <c r="EE161" s="2">
        <v>1</v>
      </c>
      <c r="EF161" s="2">
        <v>1</v>
      </c>
      <c r="EH161" s="2">
        <v>1</v>
      </c>
      <c r="EI161" s="2">
        <v>1</v>
      </c>
      <c r="EJ161" s="2">
        <v>1</v>
      </c>
      <c r="EK161" s="2">
        <v>1</v>
      </c>
      <c r="EL161" s="2">
        <v>3</v>
      </c>
      <c r="EM161" s="2">
        <v>5.5</v>
      </c>
      <c r="EN161" s="2">
        <v>4</v>
      </c>
      <c r="EP161" s="2" t="s">
        <v>324</v>
      </c>
      <c r="EQ161" s="2">
        <v>7</v>
      </c>
      <c r="ER161" s="2">
        <v>4</v>
      </c>
      <c r="ES161" s="2">
        <v>3</v>
      </c>
      <c r="ET161" s="194">
        <f t="shared" si="266"/>
        <v>3.00000000004</v>
      </c>
      <c r="EU161" s="194">
        <f t="shared" si="267"/>
        <v>5.50000000002</v>
      </c>
      <c r="EV161" s="194">
        <f t="shared" si="268"/>
        <v>4.00000000003</v>
      </c>
      <c r="EW161" s="194">
        <f t="shared" si="269"/>
        <v>9.9999999999999994E-12</v>
      </c>
      <c r="EX161" s="194">
        <f t="shared" si="270"/>
        <v>0</v>
      </c>
      <c r="EY161" s="194">
        <f t="shared" si="271"/>
        <v>7.00000000006</v>
      </c>
      <c r="EZ161" s="194">
        <f t="shared" si="272"/>
        <v>4.00000000007</v>
      </c>
      <c r="FA161" s="194">
        <f t="shared" si="273"/>
        <v>3.00000000008</v>
      </c>
      <c r="FB161" s="2">
        <f t="shared" si="291"/>
        <v>3.00000000004</v>
      </c>
      <c r="FC161" s="2">
        <f t="shared" si="292"/>
        <v>5.50000000002</v>
      </c>
      <c r="FD161" s="2">
        <f t="shared" si="293"/>
        <v>4.00000000003</v>
      </c>
      <c r="FE161" s="2">
        <f t="shared" si="294"/>
        <v>0</v>
      </c>
      <c r="FF161" s="2">
        <f t="shared" si="295"/>
        <v>0</v>
      </c>
      <c r="FG161" s="2">
        <f t="shared" si="296"/>
        <v>7.00000000006</v>
      </c>
      <c r="FH161" s="2">
        <f t="shared" si="297"/>
        <v>4.00000000007</v>
      </c>
      <c r="FI161" s="2">
        <f t="shared" si="298"/>
        <v>3.00000000008</v>
      </c>
      <c r="FJ161" s="2" t="b">
        <f t="shared" si="282"/>
        <v>0</v>
      </c>
      <c r="FK161" s="2" t="b">
        <f t="shared" si="283"/>
        <v>1</v>
      </c>
      <c r="FL161" s="2" t="b">
        <f t="shared" si="284"/>
        <v>1</v>
      </c>
      <c r="FM161" s="2" t="b">
        <f t="shared" si="285"/>
        <v>0</v>
      </c>
      <c r="FN161" s="2" t="b">
        <f t="shared" si="286"/>
        <v>0</v>
      </c>
      <c r="FO161" s="2" t="b">
        <f t="shared" si="287"/>
        <v>1</v>
      </c>
      <c r="FP161" s="2" t="b">
        <f t="shared" si="288"/>
        <v>1</v>
      </c>
      <c r="FQ161" s="2" t="b">
        <f t="shared" si="289"/>
        <v>1</v>
      </c>
    </row>
    <row r="162" spans="1:173" ht="15.6">
      <c r="A162" s="335" t="s">
        <v>1210</v>
      </c>
      <c r="B162" s="346" t="s">
        <v>1210</v>
      </c>
      <c r="C162" s="346" t="s">
        <v>227</v>
      </c>
      <c r="D162" s="346" t="s">
        <v>710</v>
      </c>
      <c r="E162" s="346" t="s">
        <v>1211</v>
      </c>
      <c r="F162" s="2" t="s">
        <v>785</v>
      </c>
      <c r="G162" s="2" t="s">
        <v>324</v>
      </c>
      <c r="H162" s="2">
        <v>32.5</v>
      </c>
      <c r="I162" s="2">
        <v>32</v>
      </c>
      <c r="J162" s="2">
        <v>30.5</v>
      </c>
      <c r="K162" s="435">
        <f t="shared" si="234"/>
        <v>32.500000000230003</v>
      </c>
      <c r="L162" s="435">
        <f t="shared" si="235"/>
        <v>32.000000000249997</v>
      </c>
      <c r="M162" s="435">
        <f t="shared" si="236"/>
        <v>30.500000000260002</v>
      </c>
      <c r="N162" s="346" t="s">
        <v>3036</v>
      </c>
      <c r="O162" s="346" t="s">
        <v>3037</v>
      </c>
      <c r="P162" s="346" t="s">
        <v>324</v>
      </c>
      <c r="Q162" s="346" t="s">
        <v>324</v>
      </c>
      <c r="R162" s="346" t="s">
        <v>324</v>
      </c>
      <c r="S162" s="346" t="s">
        <v>1212</v>
      </c>
      <c r="T162" s="2" t="s">
        <v>1046</v>
      </c>
      <c r="U162" s="2">
        <v>45</v>
      </c>
      <c r="V162" s="2" cm="1">
        <f t="array" ref="V162">IFERROR(INDEX('Offer Statistics'!$BQ$2:$BQ$600,MATCH(1,(B162='Offer Statistics'!$BB$2:$BB$600)*($B$11='Offer Statistics'!$BC$2:$BC$600),0)),"/")</f>
        <v>46</v>
      </c>
      <c r="W162" s="2" cm="1">
        <f t="array" ref="W162">IFERROR(INDEX('Offer Statistics'!$BD$2:$BD$600,MATCH(1,($B162='Offer Statistics'!$BB$2:$BB$600)*($B$11='Offer Statistics'!$BC$2:$BC$600),0)),"/")</f>
        <v>168</v>
      </c>
      <c r="X162" s="2" cm="1">
        <f t="array" ref="X162">IFERROR(INDEX('Offer Statistics'!$BL$2:$BL$600,MATCH(1,($B162='Offer Statistics'!$BB$2:$BB$600)*($B$11='Offer Statistics'!$BC$2:$BC$600),0)),"/")</f>
        <v>46</v>
      </c>
      <c r="Y162" s="2">
        <f t="shared" si="215"/>
        <v>3.652173913043478</v>
      </c>
      <c r="Z162" s="2" t="s">
        <v>1046</v>
      </c>
      <c r="AA162" s="435" t="str">
        <f>入學要求!AF171</f>
        <v xml:space="preserve">若同學於 數學科 只考獲Lv.4或以下，M1/2需考獲Lv.5 </v>
      </c>
      <c r="AB162" s="435" t="str">
        <f>入學要求!AG171</f>
        <v>/</v>
      </c>
      <c r="AC162" s="431" t="s">
        <v>785</v>
      </c>
      <c r="AD162" s="346"/>
      <c r="AE162" s="346"/>
      <c r="AF162" s="346" t="s">
        <v>324</v>
      </c>
      <c r="AG162" s="346" t="s">
        <v>1213</v>
      </c>
      <c r="AH162" s="431" t="s">
        <v>3076</v>
      </c>
      <c r="AI162" s="431" t="s">
        <v>3077</v>
      </c>
      <c r="AJ162" s="431" t="s">
        <v>324</v>
      </c>
      <c r="AK162" s="2" t="s">
        <v>324</v>
      </c>
      <c r="AL162" s="2" t="s">
        <v>324</v>
      </c>
      <c r="AM162" s="2" t="s">
        <v>324</v>
      </c>
      <c r="AN162" s="2" t="s">
        <v>324</v>
      </c>
      <c r="AO162" s="2" t="s">
        <v>324</v>
      </c>
      <c r="AP162" s="2" t="s">
        <v>324</v>
      </c>
      <c r="AQ162" s="2" t="s">
        <v>324</v>
      </c>
      <c r="AR162" s="2" t="s">
        <v>324</v>
      </c>
      <c r="AT162" s="2" t="s">
        <v>716</v>
      </c>
      <c r="AV162" s="2" t="s">
        <v>1214</v>
      </c>
      <c r="AZ162" s="2">
        <v>1</v>
      </c>
      <c r="BA162" s="2">
        <v>1</v>
      </c>
      <c r="BB162" s="2">
        <v>1</v>
      </c>
      <c r="BD162" s="2">
        <v>1</v>
      </c>
      <c r="BE162" s="2">
        <v>1</v>
      </c>
      <c r="BF162" s="2">
        <v>1</v>
      </c>
      <c r="BG162" s="2">
        <v>1</v>
      </c>
      <c r="BH162" s="2" t="str">
        <f t="shared" si="237"/>
        <v>JS4238</v>
      </c>
      <c r="BI162" s="197">
        <v>8.5</v>
      </c>
      <c r="BJ162" s="197">
        <v>4</v>
      </c>
      <c r="BK162" s="197">
        <v>7</v>
      </c>
      <c r="BL162" s="197" t="s">
        <v>324</v>
      </c>
      <c r="BM162" s="197">
        <v>5.5</v>
      </c>
      <c r="BN162" s="197">
        <v>5.5</v>
      </c>
      <c r="BO162" s="197">
        <v>4</v>
      </c>
      <c r="BP162" s="197">
        <v>4</v>
      </c>
      <c r="BQ162" s="194">
        <f t="shared" si="238"/>
        <v>8.50000000004</v>
      </c>
      <c r="BR162" s="194">
        <f t="shared" si="239"/>
        <v>4.00000000002</v>
      </c>
      <c r="BS162" s="194">
        <f t="shared" si="240"/>
        <v>7.00000000003</v>
      </c>
      <c r="BU162" s="194">
        <f t="shared" si="241"/>
        <v>5.50000000005</v>
      </c>
      <c r="BV162" s="194">
        <f t="shared" si="242"/>
        <v>5.50000000006</v>
      </c>
      <c r="BW162" s="194">
        <f t="shared" si="243"/>
        <v>4.00000000007</v>
      </c>
      <c r="BX162" s="194">
        <f t="shared" si="244"/>
        <v>4.00000000008</v>
      </c>
      <c r="BY162" s="2">
        <f t="shared" si="216"/>
        <v>8.50000000004</v>
      </c>
      <c r="BZ162" s="2">
        <f t="shared" si="217"/>
        <v>4.00000000002</v>
      </c>
      <c r="CA162" s="2">
        <f t="shared" si="218"/>
        <v>7.00000000003</v>
      </c>
      <c r="CC162" s="2">
        <f t="shared" si="219"/>
        <v>5.50000000005</v>
      </c>
      <c r="CD162" s="2">
        <f t="shared" si="220"/>
        <v>5.50000000006</v>
      </c>
      <c r="CE162" s="2">
        <f t="shared" si="221"/>
        <v>4.00000000007</v>
      </c>
      <c r="CF162" s="2">
        <f t="shared" si="222"/>
        <v>4.00000000008</v>
      </c>
      <c r="CG162" s="2" t="b">
        <f t="shared" si="245"/>
        <v>1</v>
      </c>
      <c r="CH162" s="2" t="b">
        <f t="shared" si="246"/>
        <v>0</v>
      </c>
      <c r="CI162" s="2" t="b">
        <f t="shared" si="247"/>
        <v>1</v>
      </c>
      <c r="CK162" s="2" t="b">
        <f t="shared" si="248"/>
        <v>1</v>
      </c>
      <c r="CL162" s="2" t="b">
        <f t="shared" si="249"/>
        <v>1</v>
      </c>
      <c r="CM162" s="2" t="b">
        <f t="shared" si="250"/>
        <v>0</v>
      </c>
      <c r="CN162" s="2" t="b">
        <f t="shared" si="251"/>
        <v>1</v>
      </c>
      <c r="CO162" s="2">
        <v>1</v>
      </c>
      <c r="CP162" s="2">
        <v>1</v>
      </c>
      <c r="CQ162" s="2">
        <v>1</v>
      </c>
      <c r="CS162" s="2">
        <v>1</v>
      </c>
      <c r="CT162" s="2">
        <v>1</v>
      </c>
      <c r="CU162" s="2">
        <v>1</v>
      </c>
      <c r="CV162" s="2">
        <v>1</v>
      </c>
      <c r="CX162" s="2">
        <v>4</v>
      </c>
      <c r="CY162" s="2">
        <v>4</v>
      </c>
      <c r="CZ162" s="2">
        <v>7</v>
      </c>
      <c r="DB162" s="2">
        <v>8.5</v>
      </c>
      <c r="DC162" s="2">
        <v>7</v>
      </c>
      <c r="DD162" s="2">
        <v>5.5</v>
      </c>
      <c r="DE162" s="2" t="s">
        <v>324</v>
      </c>
      <c r="DF162" s="194">
        <f t="shared" si="252"/>
        <v>4.00000000004</v>
      </c>
      <c r="DG162" s="194">
        <f t="shared" si="253"/>
        <v>4.00000000002</v>
      </c>
      <c r="DH162" s="194">
        <f t="shared" si="254"/>
        <v>7.00000000003</v>
      </c>
      <c r="DJ162" s="194">
        <f t="shared" si="255"/>
        <v>8.5000000000499991</v>
      </c>
      <c r="DK162" s="194">
        <f t="shared" si="256"/>
        <v>7.00000000006</v>
      </c>
      <c r="DL162" s="194">
        <f t="shared" si="257"/>
        <v>5.50000000007</v>
      </c>
      <c r="DM162" s="194">
        <f t="shared" si="258"/>
        <v>0</v>
      </c>
      <c r="DN162" s="2">
        <f t="shared" si="224"/>
        <v>4.00000000004</v>
      </c>
      <c r="DO162" s="2">
        <f t="shared" si="225"/>
        <v>4.00000000002</v>
      </c>
      <c r="DP162" s="2">
        <f t="shared" si="226"/>
        <v>7.00000000003</v>
      </c>
      <c r="DR162" s="2">
        <f t="shared" si="227"/>
        <v>8.5000000000499991</v>
      </c>
      <c r="DS162" s="2">
        <f t="shared" si="228"/>
        <v>7.00000000006</v>
      </c>
      <c r="DT162" s="2">
        <f t="shared" si="229"/>
        <v>5.50000000007</v>
      </c>
      <c r="DU162" s="2">
        <f t="shared" si="230"/>
        <v>0</v>
      </c>
      <c r="DV162" s="2" t="b">
        <f t="shared" si="259"/>
        <v>1</v>
      </c>
      <c r="DW162" s="2" t="b">
        <f t="shared" si="260"/>
        <v>0</v>
      </c>
      <c r="DX162" s="2" t="b">
        <f t="shared" si="261"/>
        <v>1</v>
      </c>
      <c r="DZ162" s="2" t="b">
        <f t="shared" si="262"/>
        <v>1</v>
      </c>
      <c r="EA162" s="2" t="b">
        <f t="shared" si="263"/>
        <v>1</v>
      </c>
      <c r="EB162" s="2" t="b">
        <f t="shared" si="264"/>
        <v>1</v>
      </c>
      <c r="EC162" s="2" t="b">
        <f t="shared" si="265"/>
        <v>0</v>
      </c>
      <c r="ED162" s="2">
        <v>1</v>
      </c>
      <c r="EE162" s="2">
        <v>1</v>
      </c>
      <c r="EF162" s="2">
        <v>1</v>
      </c>
      <c r="EH162" s="2">
        <v>1</v>
      </c>
      <c r="EI162" s="2">
        <v>1</v>
      </c>
      <c r="EJ162" s="2">
        <v>1</v>
      </c>
      <c r="EK162" s="2">
        <v>1</v>
      </c>
      <c r="EL162" s="2">
        <v>4</v>
      </c>
      <c r="EM162" s="2">
        <v>3</v>
      </c>
      <c r="EN162" s="2">
        <v>8.5</v>
      </c>
      <c r="EP162" s="2">
        <v>7</v>
      </c>
      <c r="EQ162" s="2">
        <v>7</v>
      </c>
      <c r="ER162" s="2">
        <v>7</v>
      </c>
      <c r="ES162" s="2" t="s">
        <v>324</v>
      </c>
      <c r="ET162" s="194">
        <f t="shared" si="266"/>
        <v>4.00000000004</v>
      </c>
      <c r="EU162" s="194">
        <f t="shared" si="267"/>
        <v>3.00000000002</v>
      </c>
      <c r="EV162" s="194">
        <f t="shared" si="268"/>
        <v>8.5000000000299991</v>
      </c>
      <c r="EW162" s="194">
        <f t="shared" si="269"/>
        <v>9.9999999999999994E-12</v>
      </c>
      <c r="EX162" s="194">
        <f t="shared" si="270"/>
        <v>7.00000000005</v>
      </c>
      <c r="EY162" s="194">
        <f t="shared" si="271"/>
        <v>7.00000000006</v>
      </c>
      <c r="EZ162" s="194">
        <f t="shared" si="272"/>
        <v>7.00000000007</v>
      </c>
      <c r="FA162" s="194">
        <f t="shared" si="273"/>
        <v>0</v>
      </c>
      <c r="FB162" s="2">
        <f t="shared" si="291"/>
        <v>4.00000000004</v>
      </c>
      <c r="FC162" s="2">
        <f t="shared" si="292"/>
        <v>3.00000000002</v>
      </c>
      <c r="FD162" s="2">
        <f t="shared" si="293"/>
        <v>8.5000000000299991</v>
      </c>
      <c r="FE162" s="2">
        <f t="shared" si="294"/>
        <v>0</v>
      </c>
      <c r="FF162" s="2">
        <f t="shared" si="295"/>
        <v>7.00000000005</v>
      </c>
      <c r="FG162" s="2">
        <f t="shared" si="296"/>
        <v>7.00000000006</v>
      </c>
      <c r="FH162" s="2">
        <f t="shared" si="297"/>
        <v>7.00000000007</v>
      </c>
      <c r="FI162" s="2">
        <f t="shared" si="298"/>
        <v>0</v>
      </c>
      <c r="FJ162" s="2" t="b">
        <v>0</v>
      </c>
      <c r="FK162" s="2" t="b">
        <v>1</v>
      </c>
      <c r="FL162" s="2" t="b">
        <f t="shared" si="284"/>
        <v>1</v>
      </c>
      <c r="FM162" s="2" t="b">
        <f t="shared" si="285"/>
        <v>0</v>
      </c>
      <c r="FN162" s="2" t="b">
        <f t="shared" si="286"/>
        <v>1</v>
      </c>
      <c r="FO162" s="2" t="b">
        <f t="shared" si="287"/>
        <v>1</v>
      </c>
      <c r="FP162" s="2" t="b">
        <f t="shared" si="288"/>
        <v>1</v>
      </c>
      <c r="FQ162" s="2" t="b">
        <f t="shared" si="289"/>
        <v>0</v>
      </c>
    </row>
    <row r="163" spans="1:173" ht="15.6">
      <c r="A163" s="335" t="s">
        <v>1215</v>
      </c>
      <c r="B163" s="346" t="s">
        <v>1215</v>
      </c>
      <c r="C163" s="346" t="s">
        <v>227</v>
      </c>
      <c r="D163" s="346" t="s">
        <v>710</v>
      </c>
      <c r="E163" s="346" t="s">
        <v>1216</v>
      </c>
      <c r="F163" s="2" t="s">
        <v>785</v>
      </c>
      <c r="G163" s="2" t="s">
        <v>324</v>
      </c>
      <c r="H163" s="2">
        <v>26.5</v>
      </c>
      <c r="I163" s="2">
        <v>26</v>
      </c>
      <c r="J163" s="2">
        <v>24.5</v>
      </c>
      <c r="K163" s="435">
        <f t="shared" si="234"/>
        <v>26.500000000220002</v>
      </c>
      <c r="L163" s="435">
        <f t="shared" si="235"/>
        <v>26.000000000220002</v>
      </c>
      <c r="M163" s="435">
        <f t="shared" si="236"/>
        <v>24.50000000028</v>
      </c>
      <c r="N163" s="346" t="s">
        <v>324</v>
      </c>
      <c r="O163" s="346" t="s">
        <v>324</v>
      </c>
      <c r="P163" s="346" t="s">
        <v>324</v>
      </c>
      <c r="Q163" s="346" t="s">
        <v>324</v>
      </c>
      <c r="R163" s="346" t="s">
        <v>324</v>
      </c>
      <c r="S163" s="346" t="s">
        <v>1217</v>
      </c>
      <c r="T163" s="2" t="s">
        <v>1046</v>
      </c>
      <c r="U163" s="2">
        <v>126</v>
      </c>
      <c r="V163" s="2" cm="1">
        <f t="array" ref="V163">IFERROR(INDEX('Offer Statistics'!$BQ$2:$BQ$600,MATCH(1,(B163='Offer Statistics'!$BB$2:$BB$600)*($B$11='Offer Statistics'!$BC$2:$BC$600),0)),"/")</f>
        <v>110</v>
      </c>
      <c r="W163" s="2" cm="1">
        <f t="array" ref="W163">IFERROR(INDEX('Offer Statistics'!$BD$2:$BD$600,MATCH(1,($B163='Offer Statistics'!$BB$2:$BB$600)*($B$11='Offer Statistics'!$BC$2:$BC$600),0)),"/")</f>
        <v>415</v>
      </c>
      <c r="X163" s="2" cm="1">
        <f t="array" ref="X163">IFERROR(INDEX('Offer Statistics'!$BL$2:$BL$600,MATCH(1,($B163='Offer Statistics'!$BB$2:$BB$600)*($B$11='Offer Statistics'!$BC$2:$BC$600),0)),"/")</f>
        <v>110</v>
      </c>
      <c r="Y163" s="2">
        <f t="shared" si="215"/>
        <v>3.7727272727272729</v>
      </c>
      <c r="Z163" s="2" t="s">
        <v>1046</v>
      </c>
      <c r="AA163" s="435" t="str">
        <f>入學要求!AF172</f>
        <v>/</v>
      </c>
      <c r="AB163" s="435" t="str">
        <f>入學要求!AG172</f>
        <v>/</v>
      </c>
      <c r="AC163" s="346" t="s">
        <v>785</v>
      </c>
      <c r="AD163" s="346"/>
      <c r="AE163" s="346"/>
      <c r="AF163" s="346" t="s">
        <v>324</v>
      </c>
      <c r="AG163" s="346" t="s">
        <v>324</v>
      </c>
      <c r="AH163" s="346" t="s">
        <v>324</v>
      </c>
      <c r="AI163" s="346" t="s">
        <v>324</v>
      </c>
      <c r="AJ163" s="346" t="s">
        <v>324</v>
      </c>
      <c r="AK163" s="2" t="s">
        <v>324</v>
      </c>
      <c r="AL163" s="2" t="s">
        <v>324</v>
      </c>
      <c r="AM163" s="2" t="s">
        <v>324</v>
      </c>
      <c r="AN163" s="2" t="s">
        <v>324</v>
      </c>
      <c r="AO163" s="2" t="s">
        <v>324</v>
      </c>
      <c r="AP163" s="2" t="s">
        <v>324</v>
      </c>
      <c r="AQ163" s="2" t="s">
        <v>324</v>
      </c>
      <c r="AR163" s="2" t="s">
        <v>324</v>
      </c>
      <c r="AT163" s="2" t="s">
        <v>716</v>
      </c>
      <c r="AV163" s="2" t="s">
        <v>1196</v>
      </c>
      <c r="AZ163" s="2">
        <v>1</v>
      </c>
      <c r="BA163" s="2">
        <v>1</v>
      </c>
      <c r="BB163" s="2">
        <v>1</v>
      </c>
      <c r="BD163" s="2">
        <v>1</v>
      </c>
      <c r="BE163" s="2">
        <v>1</v>
      </c>
      <c r="BF163" s="2">
        <v>1</v>
      </c>
      <c r="BG163" s="2">
        <v>1</v>
      </c>
      <c r="BH163" s="2" t="str">
        <f t="shared" si="237"/>
        <v>JS4240</v>
      </c>
      <c r="BI163" s="197">
        <v>5.5</v>
      </c>
      <c r="BJ163" s="197">
        <v>4</v>
      </c>
      <c r="BK163" s="197">
        <v>5.5</v>
      </c>
      <c r="BL163" s="197" t="s">
        <v>324</v>
      </c>
      <c r="BM163" s="197" t="s">
        <v>324</v>
      </c>
      <c r="BN163" s="197">
        <v>5.5</v>
      </c>
      <c r="BO163" s="197">
        <v>4</v>
      </c>
      <c r="BP163" s="197">
        <v>4</v>
      </c>
      <c r="BQ163" s="194">
        <f t="shared" si="238"/>
        <v>5.50000000004</v>
      </c>
      <c r="BR163" s="194">
        <f t="shared" si="239"/>
        <v>4.00000000002</v>
      </c>
      <c r="BS163" s="194">
        <f t="shared" si="240"/>
        <v>5.50000000003</v>
      </c>
      <c r="BU163" s="194">
        <f t="shared" si="241"/>
        <v>0</v>
      </c>
      <c r="BV163" s="194">
        <f t="shared" si="242"/>
        <v>5.50000000006</v>
      </c>
      <c r="BW163" s="194">
        <f t="shared" si="243"/>
        <v>4.00000000007</v>
      </c>
      <c r="BX163" s="194">
        <f t="shared" si="244"/>
        <v>4.00000000008</v>
      </c>
      <c r="BY163" s="2">
        <f t="shared" si="216"/>
        <v>5.50000000004</v>
      </c>
      <c r="BZ163" s="2">
        <f t="shared" si="217"/>
        <v>4.00000000002</v>
      </c>
      <c r="CA163" s="2">
        <f t="shared" si="218"/>
        <v>5.50000000003</v>
      </c>
      <c r="CC163" s="2">
        <f t="shared" si="219"/>
        <v>0</v>
      </c>
      <c r="CD163" s="2">
        <f t="shared" si="220"/>
        <v>5.50000000006</v>
      </c>
      <c r="CE163" s="2">
        <f t="shared" si="221"/>
        <v>4.00000000007</v>
      </c>
      <c r="CF163" s="2">
        <f t="shared" si="222"/>
        <v>4.00000000008</v>
      </c>
      <c r="CG163" s="2" t="b">
        <f t="shared" si="245"/>
        <v>1</v>
      </c>
      <c r="CH163" s="2" t="b">
        <f t="shared" si="246"/>
        <v>0</v>
      </c>
      <c r="CI163" s="2" t="b">
        <f t="shared" si="247"/>
        <v>1</v>
      </c>
      <c r="CK163" s="2" t="b">
        <f t="shared" si="248"/>
        <v>0</v>
      </c>
      <c r="CL163" s="2" t="b">
        <f t="shared" si="249"/>
        <v>1</v>
      </c>
      <c r="CM163" s="2" t="b">
        <f t="shared" si="250"/>
        <v>1</v>
      </c>
      <c r="CN163" s="2" t="b">
        <f t="shared" si="251"/>
        <v>1</v>
      </c>
      <c r="CO163" s="2">
        <v>1</v>
      </c>
      <c r="CP163" s="2">
        <v>1</v>
      </c>
      <c r="CQ163" s="2">
        <v>1</v>
      </c>
      <c r="CS163" s="2">
        <v>1</v>
      </c>
      <c r="CT163" s="2">
        <v>1</v>
      </c>
      <c r="CU163" s="2">
        <v>1</v>
      </c>
      <c r="CV163" s="2">
        <v>1</v>
      </c>
      <c r="CX163" s="2">
        <v>5.5</v>
      </c>
      <c r="CY163" s="2">
        <v>4</v>
      </c>
      <c r="CZ163" s="2">
        <v>4</v>
      </c>
      <c r="DB163" s="2" t="s">
        <v>324</v>
      </c>
      <c r="DC163" s="2">
        <v>7</v>
      </c>
      <c r="DD163" s="2">
        <v>5.5</v>
      </c>
      <c r="DE163" s="2" t="s">
        <v>324</v>
      </c>
      <c r="DF163" s="194">
        <f t="shared" si="252"/>
        <v>5.50000000004</v>
      </c>
      <c r="DG163" s="194">
        <f t="shared" si="253"/>
        <v>4.00000000002</v>
      </c>
      <c r="DH163" s="194">
        <f t="shared" si="254"/>
        <v>4.00000000003</v>
      </c>
      <c r="DJ163" s="194">
        <f t="shared" si="255"/>
        <v>0</v>
      </c>
      <c r="DK163" s="194">
        <f t="shared" si="256"/>
        <v>7.00000000006</v>
      </c>
      <c r="DL163" s="194">
        <f t="shared" si="257"/>
        <v>5.50000000007</v>
      </c>
      <c r="DM163" s="194">
        <f t="shared" si="258"/>
        <v>0</v>
      </c>
      <c r="DN163" s="2">
        <f t="shared" si="224"/>
        <v>5.50000000004</v>
      </c>
      <c r="DO163" s="2">
        <f t="shared" si="225"/>
        <v>4.00000000002</v>
      </c>
      <c r="DP163" s="2">
        <f t="shared" si="226"/>
        <v>4.00000000003</v>
      </c>
      <c r="DR163" s="2">
        <f t="shared" si="227"/>
        <v>0</v>
      </c>
      <c r="DS163" s="2">
        <f t="shared" si="228"/>
        <v>7.00000000006</v>
      </c>
      <c r="DT163" s="2">
        <f t="shared" si="229"/>
        <v>5.50000000007</v>
      </c>
      <c r="DU163" s="2">
        <f t="shared" si="230"/>
        <v>0</v>
      </c>
      <c r="DV163" s="2" t="b">
        <f t="shared" si="259"/>
        <v>1</v>
      </c>
      <c r="DW163" s="2" t="b">
        <f t="shared" si="260"/>
        <v>1</v>
      </c>
      <c r="DX163" s="2" t="b">
        <f t="shared" si="261"/>
        <v>1</v>
      </c>
      <c r="DZ163" s="2" t="b">
        <f t="shared" si="262"/>
        <v>0</v>
      </c>
      <c r="EA163" s="2" t="b">
        <f t="shared" si="263"/>
        <v>1</v>
      </c>
      <c r="EB163" s="2" t="b">
        <f t="shared" si="264"/>
        <v>1</v>
      </c>
      <c r="EC163" s="2" t="b">
        <f t="shared" si="265"/>
        <v>0</v>
      </c>
      <c r="ED163" s="2">
        <v>1</v>
      </c>
      <c r="EE163" s="2">
        <v>1</v>
      </c>
      <c r="EF163" s="2">
        <v>1</v>
      </c>
      <c r="EH163" s="2">
        <v>1</v>
      </c>
      <c r="EI163" s="2">
        <v>1</v>
      </c>
      <c r="EJ163" s="2">
        <v>1</v>
      </c>
      <c r="EK163" s="2">
        <v>1</v>
      </c>
      <c r="EL163" s="2">
        <v>7</v>
      </c>
      <c r="EM163" s="2">
        <v>3</v>
      </c>
      <c r="EN163" s="2">
        <v>4</v>
      </c>
      <c r="EP163" s="2" t="s">
        <v>324</v>
      </c>
      <c r="EQ163" s="2">
        <v>7</v>
      </c>
      <c r="ER163" s="2">
        <v>5.5</v>
      </c>
      <c r="ES163" s="2" t="s">
        <v>324</v>
      </c>
      <c r="ET163" s="194">
        <f t="shared" si="266"/>
        <v>7.00000000004</v>
      </c>
      <c r="EU163" s="194">
        <f t="shared" si="267"/>
        <v>3.00000000002</v>
      </c>
      <c r="EV163" s="194">
        <f t="shared" si="268"/>
        <v>4.00000000003</v>
      </c>
      <c r="EW163" s="194">
        <f t="shared" si="269"/>
        <v>9.9999999999999994E-12</v>
      </c>
      <c r="EX163" s="194">
        <f t="shared" si="270"/>
        <v>0</v>
      </c>
      <c r="EY163" s="194">
        <f t="shared" si="271"/>
        <v>7.00000000006</v>
      </c>
      <c r="EZ163" s="194">
        <f t="shared" si="272"/>
        <v>5.50000000007</v>
      </c>
      <c r="FA163" s="194">
        <f t="shared" si="273"/>
        <v>0</v>
      </c>
      <c r="FB163" s="2">
        <f t="shared" si="291"/>
        <v>7.00000000004</v>
      </c>
      <c r="FC163" s="2">
        <f t="shared" si="292"/>
        <v>3.00000000002</v>
      </c>
      <c r="FD163" s="2">
        <f t="shared" si="293"/>
        <v>4.00000000003</v>
      </c>
      <c r="FE163" s="2">
        <f t="shared" si="294"/>
        <v>0</v>
      </c>
      <c r="FF163" s="2">
        <f t="shared" si="295"/>
        <v>0</v>
      </c>
      <c r="FG163" s="2">
        <f t="shared" si="296"/>
        <v>7.00000000006</v>
      </c>
      <c r="FH163" s="2">
        <f t="shared" si="297"/>
        <v>5.50000000007</v>
      </c>
      <c r="FI163" s="2">
        <f t="shared" si="298"/>
        <v>0</v>
      </c>
      <c r="FJ163" s="2" t="b">
        <f t="shared" si="282"/>
        <v>1</v>
      </c>
      <c r="FK163" s="2" t="b">
        <f t="shared" si="283"/>
        <v>1</v>
      </c>
      <c r="FL163" s="2" t="b">
        <f t="shared" si="284"/>
        <v>1</v>
      </c>
      <c r="FM163" s="2" t="b">
        <f t="shared" si="285"/>
        <v>0</v>
      </c>
      <c r="FN163" s="2" t="b">
        <f t="shared" si="286"/>
        <v>0</v>
      </c>
      <c r="FO163" s="2" t="b">
        <f t="shared" si="287"/>
        <v>1</v>
      </c>
      <c r="FP163" s="2" t="b">
        <f t="shared" si="288"/>
        <v>1</v>
      </c>
      <c r="FQ163" s="2" t="b">
        <f t="shared" si="289"/>
        <v>0</v>
      </c>
    </row>
    <row r="164" spans="1:173" ht="15.6">
      <c r="A164" s="335" t="s">
        <v>1218</v>
      </c>
      <c r="B164" s="346" t="s">
        <v>1218</v>
      </c>
      <c r="C164" s="346" t="s">
        <v>227</v>
      </c>
      <c r="D164" s="346" t="s">
        <v>710</v>
      </c>
      <c r="E164" s="346" t="s">
        <v>1219</v>
      </c>
      <c r="F164" s="2" t="s">
        <v>785</v>
      </c>
      <c r="G164" s="2" t="s">
        <v>324</v>
      </c>
      <c r="H164" s="2">
        <v>52.5</v>
      </c>
      <c r="I164" s="2">
        <v>51.75</v>
      </c>
      <c r="J164" s="2">
        <v>51</v>
      </c>
      <c r="K164" s="435">
        <f t="shared" si="234"/>
        <v>52.500000000340002</v>
      </c>
      <c r="L164" s="435">
        <f t="shared" si="235"/>
        <v>51.750000000340002</v>
      </c>
      <c r="M164" s="435">
        <f t="shared" si="236"/>
        <v>51.00000000031001</v>
      </c>
      <c r="N164" s="346" t="s">
        <v>324</v>
      </c>
      <c r="O164" s="346" t="s">
        <v>324</v>
      </c>
      <c r="P164" s="346" t="s">
        <v>810</v>
      </c>
      <c r="Q164" s="346" t="s">
        <v>3038</v>
      </c>
      <c r="R164" s="346" t="s">
        <v>324</v>
      </c>
      <c r="S164" s="346" t="s">
        <v>170</v>
      </c>
      <c r="T164" s="2" t="s">
        <v>1046</v>
      </c>
      <c r="U164" s="2">
        <v>37</v>
      </c>
      <c r="V164" s="2" cm="1">
        <f t="array" ref="V164">IFERROR(INDEX('Offer Statistics'!$BQ$2:$BQ$600,MATCH(1,(B164='Offer Statistics'!$BB$2:$BB$600)*($B$11='Offer Statistics'!$BC$2:$BC$600),0)),"/")</f>
        <v>33</v>
      </c>
      <c r="W164" s="2" cm="1">
        <f t="array" ref="W164">IFERROR(INDEX('Offer Statistics'!$BD$2:$BD$600,MATCH(1,($B164='Offer Statistics'!$BB$2:$BB$600)*($B$11='Offer Statistics'!$BC$2:$BC$600),0)),"/")</f>
        <v>146</v>
      </c>
      <c r="X164" s="2" cm="1">
        <f t="array" ref="X164">IFERROR(INDEX('Offer Statistics'!$BL$2:$BL$600,MATCH(1,($B164='Offer Statistics'!$BB$2:$BB$600)*($B$11='Offer Statistics'!$BC$2:$BC$600),0)),"/")</f>
        <v>33</v>
      </c>
      <c r="Y164" s="2">
        <f t="shared" si="215"/>
        <v>4.4242424242424239</v>
      </c>
      <c r="Z164" s="2" t="s">
        <v>1046</v>
      </c>
      <c r="AA164" s="435" t="str">
        <f>入學要求!AF173</f>
        <v>/</v>
      </c>
      <c r="AB164" s="435" t="str">
        <f>入學要求!AG173</f>
        <v>/</v>
      </c>
      <c r="AC164" s="426" t="s">
        <v>785</v>
      </c>
      <c r="AD164" s="426"/>
      <c r="AE164" s="426"/>
      <c r="AF164" s="426" t="s">
        <v>324</v>
      </c>
      <c r="AG164" s="426" t="s">
        <v>324</v>
      </c>
      <c r="AH164" s="426" t="s">
        <v>808</v>
      </c>
      <c r="AI164" s="426" t="s">
        <v>3038</v>
      </c>
      <c r="AJ164" s="426" t="s">
        <v>324</v>
      </c>
      <c r="AK164" s="2" t="s">
        <v>324</v>
      </c>
      <c r="AL164" s="2" t="s">
        <v>324</v>
      </c>
      <c r="AM164" s="2" t="s">
        <v>324</v>
      </c>
      <c r="AN164" s="2" t="s">
        <v>324</v>
      </c>
      <c r="AO164" s="2" t="s">
        <v>324</v>
      </c>
      <c r="AP164" s="2" t="s">
        <v>324</v>
      </c>
      <c r="AQ164" s="2" t="s">
        <v>324</v>
      </c>
      <c r="AR164" s="2" t="s">
        <v>324</v>
      </c>
      <c r="AT164" s="2" t="s">
        <v>716</v>
      </c>
      <c r="AV164" s="2" t="s">
        <v>1196</v>
      </c>
      <c r="AZ164" s="2">
        <v>1</v>
      </c>
      <c r="BA164" s="2">
        <v>2</v>
      </c>
      <c r="BB164" s="2">
        <v>2</v>
      </c>
      <c r="BD164" s="2">
        <v>1</v>
      </c>
      <c r="BE164" s="146">
        <v>1.5</v>
      </c>
      <c r="BF164" s="2">
        <v>1</v>
      </c>
      <c r="BG164" s="2">
        <v>1</v>
      </c>
      <c r="BH164" s="2" t="str">
        <f t="shared" si="237"/>
        <v>JS4252</v>
      </c>
      <c r="BI164" s="197">
        <v>5.5</v>
      </c>
      <c r="BJ164" s="197">
        <v>7</v>
      </c>
      <c r="BK164" s="197">
        <v>7</v>
      </c>
      <c r="BL164" s="197" t="s">
        <v>324</v>
      </c>
      <c r="BM164" s="197">
        <v>7</v>
      </c>
      <c r="BN164" s="197">
        <v>7</v>
      </c>
      <c r="BO164" s="197">
        <v>5.5</v>
      </c>
      <c r="BP164" s="197">
        <v>4</v>
      </c>
      <c r="BQ164" s="194">
        <f t="shared" si="238"/>
        <v>5.50000000004</v>
      </c>
      <c r="BR164" s="194">
        <f t="shared" si="239"/>
        <v>7.00000000002</v>
      </c>
      <c r="BS164" s="194">
        <f t="shared" si="240"/>
        <v>7.00000000003</v>
      </c>
      <c r="BU164" s="194">
        <f t="shared" si="241"/>
        <v>7.00000000005</v>
      </c>
      <c r="BV164" s="194">
        <f t="shared" si="242"/>
        <v>7.00000000006</v>
      </c>
      <c r="BW164" s="194">
        <f t="shared" si="243"/>
        <v>5.50000000007</v>
      </c>
      <c r="BX164" s="194">
        <f t="shared" si="244"/>
        <v>4.00000000008</v>
      </c>
      <c r="BY164" s="2">
        <f t="shared" si="216"/>
        <v>5.50000000004</v>
      </c>
      <c r="BZ164" s="2">
        <f t="shared" si="217"/>
        <v>14.00000000004</v>
      </c>
      <c r="CA164" s="2">
        <f t="shared" si="218"/>
        <v>14.00000000006</v>
      </c>
      <c r="CC164" s="2">
        <f t="shared" si="219"/>
        <v>7.00000000005</v>
      </c>
      <c r="CD164" s="2">
        <f t="shared" si="220"/>
        <v>10.500000000090001</v>
      </c>
      <c r="CE164" s="2">
        <f t="shared" si="221"/>
        <v>5.50000000007</v>
      </c>
      <c r="CF164" s="2">
        <f t="shared" si="222"/>
        <v>4.00000000008</v>
      </c>
      <c r="CG164" s="2" t="b">
        <f t="shared" si="245"/>
        <v>0</v>
      </c>
      <c r="CH164" s="2" t="b">
        <f t="shared" si="246"/>
        <v>1</v>
      </c>
      <c r="CI164" s="2" t="b">
        <f t="shared" si="247"/>
        <v>1</v>
      </c>
      <c r="CK164" s="2" t="b">
        <f t="shared" si="248"/>
        <v>1</v>
      </c>
      <c r="CL164" s="2" t="b">
        <f t="shared" si="249"/>
        <v>1</v>
      </c>
      <c r="CM164" s="2" t="b">
        <f t="shared" si="250"/>
        <v>1</v>
      </c>
      <c r="CN164" s="2" t="b">
        <f t="shared" si="251"/>
        <v>0</v>
      </c>
      <c r="CO164" s="2">
        <v>1</v>
      </c>
      <c r="CP164" s="2">
        <v>2</v>
      </c>
      <c r="CQ164" s="2">
        <v>2</v>
      </c>
      <c r="CS164" s="2">
        <v>1</v>
      </c>
      <c r="CT164" s="202">
        <v>1.5</v>
      </c>
      <c r="CU164" s="2">
        <v>1</v>
      </c>
      <c r="CV164" s="2">
        <v>1</v>
      </c>
      <c r="CX164" s="2">
        <v>5.5</v>
      </c>
      <c r="CY164" s="2">
        <v>7</v>
      </c>
      <c r="CZ164" s="2">
        <v>5.5</v>
      </c>
      <c r="DB164" s="2" t="s">
        <v>324</v>
      </c>
      <c r="DC164" s="2">
        <v>8.5</v>
      </c>
      <c r="DD164" s="2">
        <v>7</v>
      </c>
      <c r="DE164" s="2">
        <v>7</v>
      </c>
      <c r="DF164" s="194">
        <f t="shared" si="252"/>
        <v>5.50000000004</v>
      </c>
      <c r="DG164" s="194">
        <f t="shared" si="253"/>
        <v>7.00000000002</v>
      </c>
      <c r="DH164" s="194">
        <f t="shared" si="254"/>
        <v>5.50000000003</v>
      </c>
      <c r="DJ164" s="194">
        <f t="shared" si="255"/>
        <v>0</v>
      </c>
      <c r="DK164" s="194">
        <f t="shared" si="256"/>
        <v>8.50000000006</v>
      </c>
      <c r="DL164" s="194">
        <f t="shared" si="257"/>
        <v>7.00000000007</v>
      </c>
      <c r="DM164" s="194">
        <f t="shared" si="258"/>
        <v>7.00000000008</v>
      </c>
      <c r="DN164" s="2">
        <f t="shared" si="224"/>
        <v>5.50000000004</v>
      </c>
      <c r="DO164" s="2">
        <f t="shared" si="225"/>
        <v>14.00000000004</v>
      </c>
      <c r="DP164" s="2">
        <f t="shared" si="226"/>
        <v>11.00000000006</v>
      </c>
      <c r="DR164" s="2">
        <f t="shared" si="227"/>
        <v>0</v>
      </c>
      <c r="DS164" s="2">
        <f t="shared" si="228"/>
        <v>12.750000000090001</v>
      </c>
      <c r="DT164" s="2">
        <f t="shared" si="229"/>
        <v>7.00000000007</v>
      </c>
      <c r="DU164" s="2">
        <f t="shared" si="230"/>
        <v>7.00000000008</v>
      </c>
      <c r="DV164" s="2" t="b">
        <f t="shared" si="259"/>
        <v>0</v>
      </c>
      <c r="DW164" s="2" t="b">
        <f t="shared" si="260"/>
        <v>1</v>
      </c>
      <c r="DX164" s="2" t="b">
        <f t="shared" si="261"/>
        <v>1</v>
      </c>
      <c r="DZ164" s="2" t="b">
        <f t="shared" si="262"/>
        <v>0</v>
      </c>
      <c r="EA164" s="2" t="b">
        <f t="shared" si="263"/>
        <v>1</v>
      </c>
      <c r="EB164" s="2" t="b">
        <f t="shared" si="264"/>
        <v>1</v>
      </c>
      <c r="EC164" s="2" t="b">
        <f t="shared" si="265"/>
        <v>1</v>
      </c>
      <c r="ED164" s="2">
        <v>1</v>
      </c>
      <c r="EE164" s="2">
        <v>2</v>
      </c>
      <c r="EF164" s="2">
        <v>2</v>
      </c>
      <c r="EH164" s="2">
        <v>1</v>
      </c>
      <c r="EI164" s="146">
        <v>1.5</v>
      </c>
      <c r="EJ164" s="2">
        <v>1</v>
      </c>
      <c r="EK164" s="2">
        <v>1</v>
      </c>
      <c r="EL164" s="2">
        <v>5.5</v>
      </c>
      <c r="EM164" s="2">
        <v>7</v>
      </c>
      <c r="EN164" s="2">
        <v>8.5</v>
      </c>
      <c r="EP164" s="2">
        <v>5.5</v>
      </c>
      <c r="EQ164" s="2">
        <v>7</v>
      </c>
      <c r="ER164" s="2">
        <v>5.5</v>
      </c>
      <c r="ES164" s="2">
        <v>5.5</v>
      </c>
      <c r="ET164" s="194">
        <f t="shared" si="266"/>
        <v>5.50000000004</v>
      </c>
      <c r="EU164" s="194">
        <f t="shared" si="267"/>
        <v>7.00000000002</v>
      </c>
      <c r="EV164" s="194">
        <f t="shared" si="268"/>
        <v>8.5000000000299991</v>
      </c>
      <c r="EW164" s="194">
        <f t="shared" si="269"/>
        <v>9.9999999999999994E-12</v>
      </c>
      <c r="EX164" s="194">
        <f t="shared" si="270"/>
        <v>5.50000000005</v>
      </c>
      <c r="EY164" s="194">
        <f t="shared" si="271"/>
        <v>7.00000000006</v>
      </c>
      <c r="EZ164" s="194">
        <f t="shared" si="272"/>
        <v>5.50000000007</v>
      </c>
      <c r="FA164" s="194">
        <f t="shared" si="273"/>
        <v>5.50000000008</v>
      </c>
      <c r="FB164" s="2">
        <f t="shared" si="291"/>
        <v>5.50000000004</v>
      </c>
      <c r="FC164" s="2">
        <f t="shared" si="292"/>
        <v>14.00000000004</v>
      </c>
      <c r="FD164" s="2">
        <f t="shared" si="293"/>
        <v>17.000000000059998</v>
      </c>
      <c r="FE164" s="2">
        <f t="shared" si="294"/>
        <v>0</v>
      </c>
      <c r="FF164" s="2">
        <f t="shared" si="295"/>
        <v>5.50000000005</v>
      </c>
      <c r="FG164" s="2">
        <f t="shared" si="296"/>
        <v>10.500000000090001</v>
      </c>
      <c r="FH164" s="2">
        <f t="shared" si="297"/>
        <v>5.50000000007</v>
      </c>
      <c r="FI164" s="2">
        <f t="shared" si="298"/>
        <v>5.50000000008</v>
      </c>
      <c r="FJ164" s="2" t="b">
        <f t="shared" si="282"/>
        <v>0</v>
      </c>
      <c r="FK164" s="2" t="b">
        <f t="shared" si="283"/>
        <v>1</v>
      </c>
      <c r="FL164" s="2" t="b">
        <f t="shared" si="284"/>
        <v>1</v>
      </c>
      <c r="FM164" s="2" t="b">
        <f t="shared" si="285"/>
        <v>0</v>
      </c>
      <c r="FN164" s="2" t="b">
        <f t="shared" si="286"/>
        <v>0</v>
      </c>
      <c r="FO164" s="2" t="b">
        <f t="shared" si="287"/>
        <v>1</v>
      </c>
      <c r="FP164" s="2" t="b">
        <f t="shared" si="288"/>
        <v>1</v>
      </c>
      <c r="FQ164" s="2" t="b">
        <f t="shared" si="289"/>
        <v>1</v>
      </c>
    </row>
    <row r="165" spans="1:173" ht="15.6">
      <c r="A165" s="335" t="s">
        <v>1221</v>
      </c>
      <c r="B165" s="346" t="s">
        <v>1221</v>
      </c>
      <c r="C165" s="346" t="s">
        <v>227</v>
      </c>
      <c r="D165" s="346" t="s">
        <v>1222</v>
      </c>
      <c r="E165" s="346" t="s">
        <v>1223</v>
      </c>
      <c r="F165" s="2" t="s">
        <v>785</v>
      </c>
      <c r="G165" s="2" t="s">
        <v>324</v>
      </c>
      <c r="H165" s="2">
        <v>33.5</v>
      </c>
      <c r="I165" s="2">
        <v>33.5</v>
      </c>
      <c r="J165" s="2">
        <v>32</v>
      </c>
      <c r="K165" s="435">
        <f t="shared" si="234"/>
        <v>33.500000000220005</v>
      </c>
      <c r="L165" s="435">
        <f t="shared" si="235"/>
        <v>33.500000000220005</v>
      </c>
      <c r="M165" s="435">
        <f t="shared" si="236"/>
        <v>32.000000000279996</v>
      </c>
      <c r="N165" s="346" t="s">
        <v>786</v>
      </c>
      <c r="O165" s="346" t="s">
        <v>3039</v>
      </c>
      <c r="P165" s="346" t="s">
        <v>324</v>
      </c>
      <c r="Q165" s="346" t="s">
        <v>324</v>
      </c>
      <c r="R165" s="346" t="s">
        <v>324</v>
      </c>
      <c r="S165" s="346" t="s">
        <v>1224</v>
      </c>
      <c r="T165" s="2" t="s">
        <v>1046</v>
      </c>
      <c r="U165" s="2">
        <v>24</v>
      </c>
      <c r="V165" s="2" cm="1">
        <f t="array" ref="V165">IFERROR(INDEX('Offer Statistics'!$BQ$2:$BQ$600,MATCH(1,(B165='Offer Statistics'!$BB$2:$BB$600)*($B$11='Offer Statistics'!$BC$2:$BC$600),0)),"/")</f>
        <v>14</v>
      </c>
      <c r="W165" s="2" cm="1">
        <f t="array" ref="W165">IFERROR(INDEX('Offer Statistics'!$BD$2:$BD$600,MATCH(1,($B165='Offer Statistics'!$BB$2:$BB$600)*($B$11='Offer Statistics'!$BC$2:$BC$600),0)),"/")</f>
        <v>53</v>
      </c>
      <c r="X165" s="2" cm="1">
        <f t="array" ref="X165">IFERROR(INDEX('Offer Statistics'!$BL$2:$BL$600,MATCH(1,($B165='Offer Statistics'!$BB$2:$BB$600)*($B$11='Offer Statistics'!$BC$2:$BC$600),0)),"/")</f>
        <v>14</v>
      </c>
      <c r="Y165" s="2">
        <f t="shared" si="215"/>
        <v>3.7857142857142856</v>
      </c>
      <c r="Z165" s="2" t="s">
        <v>1046</v>
      </c>
      <c r="AA165" s="435" t="str">
        <f>入學要求!AF174</f>
        <v>/</v>
      </c>
      <c r="AB165" s="435" t="str">
        <f>入學要求!AG174</f>
        <v>/</v>
      </c>
      <c r="AC165" s="346" t="s">
        <v>785</v>
      </c>
      <c r="AD165" s="346"/>
      <c r="AE165" s="346"/>
      <c r="AF165" s="346" t="s">
        <v>783</v>
      </c>
      <c r="AG165" s="346" t="s">
        <v>324</v>
      </c>
      <c r="AH165" s="346" t="s">
        <v>324</v>
      </c>
      <c r="AI165" s="346" t="s">
        <v>324</v>
      </c>
      <c r="AJ165" s="346" t="s">
        <v>324</v>
      </c>
      <c r="AK165" s="2" t="s">
        <v>324</v>
      </c>
      <c r="AL165" s="2" t="s">
        <v>324</v>
      </c>
      <c r="AM165" s="2" t="s">
        <v>324</v>
      </c>
      <c r="AN165" s="2" t="s">
        <v>324</v>
      </c>
      <c r="AO165" s="2" t="s">
        <v>324</v>
      </c>
      <c r="AP165" s="2" t="s">
        <v>324</v>
      </c>
      <c r="AQ165" s="2" t="s">
        <v>324</v>
      </c>
      <c r="AR165" s="2" t="s">
        <v>324</v>
      </c>
      <c r="AT165" s="2" t="s">
        <v>716</v>
      </c>
      <c r="AV165" s="2" t="s">
        <v>713</v>
      </c>
      <c r="AZ165" s="2">
        <v>1</v>
      </c>
      <c r="BA165" s="2">
        <v>1</v>
      </c>
      <c r="BB165" s="2">
        <v>1</v>
      </c>
      <c r="BD165" s="2">
        <v>1</v>
      </c>
      <c r="BE165" s="2">
        <v>1</v>
      </c>
      <c r="BF165" s="2">
        <v>1</v>
      </c>
      <c r="BG165" s="2">
        <v>1</v>
      </c>
      <c r="BH165" s="2" t="str">
        <f t="shared" si="237"/>
        <v>JS4254</v>
      </c>
      <c r="BI165" s="197">
        <v>5.5</v>
      </c>
      <c r="BJ165" s="197">
        <v>5.5</v>
      </c>
      <c r="BK165" s="197">
        <v>5.5</v>
      </c>
      <c r="BL165" s="197" t="s">
        <v>324</v>
      </c>
      <c r="BM165" s="197" t="s">
        <v>324</v>
      </c>
      <c r="BN165" s="197">
        <v>8.5</v>
      </c>
      <c r="BO165" s="197">
        <v>7</v>
      </c>
      <c r="BP165" s="197">
        <v>5.5</v>
      </c>
      <c r="BQ165" s="194">
        <f t="shared" si="238"/>
        <v>5.50000000004</v>
      </c>
      <c r="BR165" s="194">
        <f t="shared" si="239"/>
        <v>5.50000000002</v>
      </c>
      <c r="BS165" s="194">
        <f t="shared" si="240"/>
        <v>5.50000000003</v>
      </c>
      <c r="BU165" s="194">
        <f t="shared" si="241"/>
        <v>0</v>
      </c>
      <c r="BV165" s="194">
        <f t="shared" si="242"/>
        <v>8.50000000006</v>
      </c>
      <c r="BW165" s="194">
        <f t="shared" si="243"/>
        <v>7.00000000007</v>
      </c>
      <c r="BX165" s="194">
        <f t="shared" si="244"/>
        <v>5.50000000008</v>
      </c>
      <c r="BY165" s="2">
        <f t="shared" si="216"/>
        <v>5.50000000004</v>
      </c>
      <c r="BZ165" s="2">
        <f t="shared" si="217"/>
        <v>5.50000000002</v>
      </c>
      <c r="CA165" s="2">
        <f t="shared" si="218"/>
        <v>5.50000000003</v>
      </c>
      <c r="CC165" s="2">
        <f t="shared" si="219"/>
        <v>0</v>
      </c>
      <c r="CD165" s="2">
        <f t="shared" si="220"/>
        <v>8.50000000006</v>
      </c>
      <c r="CE165" s="2">
        <f t="shared" si="221"/>
        <v>7.00000000007</v>
      </c>
      <c r="CF165" s="2">
        <f t="shared" si="222"/>
        <v>5.50000000008</v>
      </c>
      <c r="CG165" s="2" t="b">
        <f t="shared" si="245"/>
        <v>1</v>
      </c>
      <c r="CH165" s="2" t="b">
        <f t="shared" si="246"/>
        <v>0</v>
      </c>
      <c r="CI165" s="2" t="b">
        <f t="shared" si="247"/>
        <v>1</v>
      </c>
      <c r="CK165" s="2" t="b">
        <f t="shared" si="248"/>
        <v>0</v>
      </c>
      <c r="CL165" s="2" t="b">
        <f t="shared" si="249"/>
        <v>1</v>
      </c>
      <c r="CM165" s="2" t="b">
        <f t="shared" si="250"/>
        <v>1</v>
      </c>
      <c r="CN165" s="2" t="b">
        <f t="shared" si="251"/>
        <v>1</v>
      </c>
      <c r="CO165" s="2">
        <v>1</v>
      </c>
      <c r="CP165" s="2">
        <v>1</v>
      </c>
      <c r="CQ165" s="2">
        <v>1</v>
      </c>
      <c r="CS165" s="2">
        <v>1</v>
      </c>
      <c r="CT165" s="2">
        <v>1</v>
      </c>
      <c r="CU165" s="2">
        <v>1</v>
      </c>
      <c r="CV165" s="2">
        <v>1</v>
      </c>
      <c r="CX165" s="2">
        <v>7</v>
      </c>
      <c r="CY165" s="2">
        <v>5.5</v>
      </c>
      <c r="CZ165" s="2">
        <v>7</v>
      </c>
      <c r="DB165" s="2" t="s">
        <v>324</v>
      </c>
      <c r="DC165" s="2">
        <v>7</v>
      </c>
      <c r="DD165" s="2">
        <v>7</v>
      </c>
      <c r="DE165" s="2">
        <v>4</v>
      </c>
      <c r="DF165" s="194">
        <f t="shared" si="252"/>
        <v>7.00000000004</v>
      </c>
      <c r="DG165" s="194">
        <f t="shared" si="253"/>
        <v>5.50000000002</v>
      </c>
      <c r="DH165" s="194">
        <f t="shared" si="254"/>
        <v>7.00000000003</v>
      </c>
      <c r="DJ165" s="194">
        <f t="shared" si="255"/>
        <v>0</v>
      </c>
      <c r="DK165" s="194">
        <f t="shared" si="256"/>
        <v>7.00000000006</v>
      </c>
      <c r="DL165" s="194">
        <f t="shared" si="257"/>
        <v>7.00000000007</v>
      </c>
      <c r="DM165" s="194">
        <f t="shared" si="258"/>
        <v>4.00000000008</v>
      </c>
      <c r="DN165" s="2">
        <f t="shared" si="224"/>
        <v>7.00000000004</v>
      </c>
      <c r="DO165" s="2">
        <f t="shared" si="225"/>
        <v>5.50000000002</v>
      </c>
      <c r="DP165" s="2">
        <f t="shared" si="226"/>
        <v>7.00000000003</v>
      </c>
      <c r="DR165" s="2">
        <f t="shared" si="227"/>
        <v>0</v>
      </c>
      <c r="DS165" s="2">
        <f t="shared" si="228"/>
        <v>7.00000000006</v>
      </c>
      <c r="DT165" s="2">
        <f t="shared" si="229"/>
        <v>7.00000000007</v>
      </c>
      <c r="DU165" s="2">
        <f t="shared" si="230"/>
        <v>4.00000000008</v>
      </c>
      <c r="DV165" s="2" t="b">
        <f t="shared" si="259"/>
        <v>1</v>
      </c>
      <c r="DW165" s="2" t="b">
        <f t="shared" si="260"/>
        <v>1</v>
      </c>
      <c r="DX165" s="2" t="b">
        <f t="shared" si="261"/>
        <v>1</v>
      </c>
      <c r="DZ165" s="2" t="b">
        <f t="shared" si="262"/>
        <v>0</v>
      </c>
      <c r="EA165" s="2" t="b">
        <f t="shared" si="263"/>
        <v>1</v>
      </c>
      <c r="EB165" s="2" t="b">
        <f t="shared" si="264"/>
        <v>1</v>
      </c>
      <c r="EC165" s="2" t="b">
        <f t="shared" si="265"/>
        <v>0</v>
      </c>
      <c r="ED165" s="2">
        <v>1</v>
      </c>
      <c r="EE165" s="2">
        <v>1</v>
      </c>
      <c r="EF165" s="2">
        <v>1</v>
      </c>
      <c r="EH165" s="2">
        <v>1</v>
      </c>
      <c r="EI165" s="2">
        <v>1</v>
      </c>
      <c r="EJ165" s="2">
        <v>1</v>
      </c>
      <c r="EK165" s="2">
        <v>1</v>
      </c>
      <c r="EL165" s="2">
        <v>7</v>
      </c>
      <c r="EM165" s="2">
        <v>7</v>
      </c>
      <c r="EN165" s="2">
        <v>5.5</v>
      </c>
      <c r="EP165" s="2">
        <v>4</v>
      </c>
      <c r="EQ165" s="2">
        <v>7</v>
      </c>
      <c r="ER165" s="2">
        <v>7</v>
      </c>
      <c r="ES165" s="2">
        <v>4</v>
      </c>
      <c r="ET165" s="194">
        <f t="shared" si="266"/>
        <v>7.00000000004</v>
      </c>
      <c r="EU165" s="194">
        <f t="shared" si="267"/>
        <v>7.00000000002</v>
      </c>
      <c r="EV165" s="194">
        <f t="shared" si="268"/>
        <v>5.50000000003</v>
      </c>
      <c r="EW165" s="194">
        <f t="shared" si="269"/>
        <v>9.9999999999999994E-12</v>
      </c>
      <c r="EX165" s="194">
        <f t="shared" si="270"/>
        <v>4.00000000005</v>
      </c>
      <c r="EY165" s="194">
        <f t="shared" si="271"/>
        <v>7.00000000006</v>
      </c>
      <c r="EZ165" s="194">
        <f t="shared" si="272"/>
        <v>7.00000000007</v>
      </c>
      <c r="FA165" s="194">
        <f t="shared" si="273"/>
        <v>4.00000000008</v>
      </c>
      <c r="FB165" s="2">
        <f t="shared" si="291"/>
        <v>7.00000000004</v>
      </c>
      <c r="FC165" s="2">
        <f t="shared" si="292"/>
        <v>7.00000000002</v>
      </c>
      <c r="FD165" s="2">
        <f t="shared" si="293"/>
        <v>5.50000000003</v>
      </c>
      <c r="FE165" s="2">
        <f t="shared" si="294"/>
        <v>0</v>
      </c>
      <c r="FF165" s="2">
        <f t="shared" si="295"/>
        <v>4.00000000005</v>
      </c>
      <c r="FG165" s="2">
        <f t="shared" si="296"/>
        <v>7.00000000006</v>
      </c>
      <c r="FH165" s="2">
        <f t="shared" si="297"/>
        <v>7.00000000007</v>
      </c>
      <c r="FI165" s="2">
        <f t="shared" si="298"/>
        <v>4.00000000008</v>
      </c>
      <c r="FJ165" s="2" t="b">
        <f t="shared" si="282"/>
        <v>1</v>
      </c>
      <c r="FK165" s="2" t="b">
        <f t="shared" si="283"/>
        <v>1</v>
      </c>
      <c r="FL165" s="2" t="b">
        <f t="shared" si="284"/>
        <v>1</v>
      </c>
      <c r="FM165" s="2" t="b">
        <f t="shared" si="285"/>
        <v>0</v>
      </c>
      <c r="FN165" s="2" t="b">
        <f t="shared" si="286"/>
        <v>0</v>
      </c>
      <c r="FO165" s="2" t="b">
        <f t="shared" si="287"/>
        <v>1</v>
      </c>
      <c r="FP165" s="2" t="b">
        <f t="shared" si="288"/>
        <v>1</v>
      </c>
      <c r="FQ165" s="2" t="b">
        <f t="shared" si="289"/>
        <v>0</v>
      </c>
    </row>
    <row r="166" spans="1:173" ht="15.6">
      <c r="A166" s="335" t="s">
        <v>1225</v>
      </c>
      <c r="B166" s="346" t="s">
        <v>1225</v>
      </c>
      <c r="C166" s="346" t="s">
        <v>227</v>
      </c>
      <c r="D166" s="346" t="s">
        <v>1226</v>
      </c>
      <c r="E166" s="346" t="s">
        <v>1227</v>
      </c>
      <c r="F166" s="469" t="s">
        <v>2259</v>
      </c>
      <c r="G166" s="2" t="s">
        <v>324</v>
      </c>
      <c r="H166" s="2">
        <v>40.25</v>
      </c>
      <c r="I166" s="2">
        <v>39.5</v>
      </c>
      <c r="J166" s="2">
        <v>38</v>
      </c>
      <c r="K166" s="435">
        <f t="shared" si="234"/>
        <v>40.250000000260002</v>
      </c>
      <c r="L166" s="435">
        <f t="shared" si="235"/>
        <v>39.500000000310003</v>
      </c>
      <c r="M166" s="435">
        <f t="shared" si="236"/>
        <v>38.000000000260002</v>
      </c>
      <c r="N166" s="346" t="s">
        <v>2377</v>
      </c>
      <c r="O166" s="346" t="s">
        <v>324</v>
      </c>
      <c r="P166" s="346" t="s">
        <v>770</v>
      </c>
      <c r="Q166" s="346" t="s">
        <v>873</v>
      </c>
      <c r="R166" s="346" t="s">
        <v>324</v>
      </c>
      <c r="S166" s="346" t="s">
        <v>1228</v>
      </c>
      <c r="T166" s="2" t="s">
        <v>1046</v>
      </c>
      <c r="U166" s="2">
        <v>25</v>
      </c>
      <c r="V166" s="2" cm="1">
        <f t="array" ref="V166">IFERROR(INDEX('Offer Statistics'!$BQ$2:$BQ$600,MATCH(1,(B166='Offer Statistics'!$BB$2:$BB$600)*($B$11='Offer Statistics'!$BC$2:$BC$600),0)),"/")</f>
        <v>22</v>
      </c>
      <c r="W166" s="2" cm="1">
        <f t="array" ref="W166">IFERROR(INDEX('Offer Statistics'!$BD$2:$BD$600,MATCH(1,($B166='Offer Statistics'!$BB$2:$BB$600)*($B$11='Offer Statistics'!$BC$2:$BC$600),0)),"/")</f>
        <v>64</v>
      </c>
      <c r="X166" s="2" cm="1">
        <f t="array" ref="X166">IFERROR(INDEX('Offer Statistics'!$BL$2:$BL$600,MATCH(1,($B166='Offer Statistics'!$BB$2:$BB$600)*($B$11='Offer Statistics'!$BC$2:$BC$600),0)),"/")</f>
        <v>22</v>
      </c>
      <c r="Y166" s="2">
        <f t="shared" si="215"/>
        <v>2.9090909090909092</v>
      </c>
      <c r="Z166" s="2" t="s">
        <v>1046</v>
      </c>
      <c r="AA166" s="435" t="str">
        <f>入學要求!AF175</f>
        <v>/</v>
      </c>
      <c r="AB166" s="435" t="str">
        <f>入學要求!AG175</f>
        <v>/</v>
      </c>
      <c r="AC166" s="427" t="s">
        <v>2259</v>
      </c>
      <c r="AD166" s="427"/>
      <c r="AE166" s="427"/>
      <c r="AF166" s="427" t="s">
        <v>2377</v>
      </c>
      <c r="AG166" s="427" t="s">
        <v>324</v>
      </c>
      <c r="AH166" s="431" t="s">
        <v>770</v>
      </c>
      <c r="AI166" s="427" t="s">
        <v>324</v>
      </c>
      <c r="AJ166" s="346" t="s">
        <v>324</v>
      </c>
      <c r="AK166" s="2" t="s">
        <v>324</v>
      </c>
      <c r="AL166" s="2" t="s">
        <v>324</v>
      </c>
      <c r="AM166" s="2" t="s">
        <v>324</v>
      </c>
      <c r="AN166" s="2" t="s">
        <v>324</v>
      </c>
      <c r="AO166" s="2" t="s">
        <v>324</v>
      </c>
      <c r="AP166" s="2" t="s">
        <v>324</v>
      </c>
      <c r="AQ166" s="2" t="s">
        <v>324</v>
      </c>
      <c r="AR166" s="2" t="s">
        <v>324</v>
      </c>
      <c r="AT166" s="2" t="s">
        <v>716</v>
      </c>
      <c r="AV166" s="2" t="s">
        <v>1196</v>
      </c>
      <c r="AZ166" s="2">
        <v>1.5</v>
      </c>
      <c r="BA166" s="2">
        <v>2</v>
      </c>
      <c r="BB166" s="2">
        <v>1</v>
      </c>
      <c r="BD166" s="2">
        <v>1</v>
      </c>
      <c r="BE166" s="2">
        <v>1</v>
      </c>
      <c r="BF166" s="2">
        <v>1</v>
      </c>
      <c r="BG166" s="2">
        <v>1</v>
      </c>
      <c r="BH166" s="2" t="str">
        <f t="shared" si="237"/>
        <v>JS4264</v>
      </c>
      <c r="BI166" s="197">
        <v>7</v>
      </c>
      <c r="BJ166" s="197">
        <v>7</v>
      </c>
      <c r="BK166" s="197">
        <v>4</v>
      </c>
      <c r="BL166" s="197" t="s">
        <v>324</v>
      </c>
      <c r="BM166" s="197">
        <v>3</v>
      </c>
      <c r="BN166" s="197">
        <v>5.5</v>
      </c>
      <c r="BO166" s="197">
        <v>4</v>
      </c>
      <c r="BP166" s="197" t="s">
        <v>324</v>
      </c>
      <c r="BQ166" s="194">
        <f t="shared" si="238"/>
        <v>7.00000000004</v>
      </c>
      <c r="BR166" s="194">
        <f t="shared" si="239"/>
        <v>7.00000000002</v>
      </c>
      <c r="BS166" s="194">
        <f t="shared" si="240"/>
        <v>4.00000000003</v>
      </c>
      <c r="BU166" s="194">
        <f t="shared" si="241"/>
        <v>3.00000000005</v>
      </c>
      <c r="BV166" s="194">
        <f t="shared" si="242"/>
        <v>5.50000000006</v>
      </c>
      <c r="BW166" s="194">
        <f t="shared" si="243"/>
        <v>4.00000000007</v>
      </c>
      <c r="BX166" s="194">
        <f t="shared" si="244"/>
        <v>0</v>
      </c>
      <c r="BY166" s="2">
        <f t="shared" si="216"/>
        <v>10.50000000006</v>
      </c>
      <c r="BZ166" s="2">
        <f t="shared" si="217"/>
        <v>14.00000000004</v>
      </c>
      <c r="CA166" s="2">
        <f t="shared" si="218"/>
        <v>4.00000000003</v>
      </c>
      <c r="CC166" s="2">
        <f t="shared" si="219"/>
        <v>3.00000000005</v>
      </c>
      <c r="CD166" s="2">
        <f t="shared" si="220"/>
        <v>5.50000000006</v>
      </c>
      <c r="CE166" s="2">
        <f t="shared" si="221"/>
        <v>4.00000000007</v>
      </c>
      <c r="CF166" s="2">
        <f t="shared" si="222"/>
        <v>0</v>
      </c>
      <c r="CG166" s="2" t="b">
        <f t="shared" si="245"/>
        <v>1</v>
      </c>
      <c r="CH166" s="2" t="b">
        <f t="shared" si="246"/>
        <v>1</v>
      </c>
      <c r="CI166" s="2" t="b">
        <f t="shared" si="247"/>
        <v>1</v>
      </c>
      <c r="CK166" s="2" t="b">
        <f t="shared" si="248"/>
        <v>0</v>
      </c>
      <c r="CL166" s="2" t="b">
        <f t="shared" si="249"/>
        <v>1</v>
      </c>
      <c r="CM166" s="2" t="b">
        <f t="shared" si="250"/>
        <v>1</v>
      </c>
      <c r="CN166" s="2" t="b">
        <f t="shared" si="251"/>
        <v>0</v>
      </c>
      <c r="CO166" s="2">
        <v>1.5</v>
      </c>
      <c r="CP166" s="2">
        <v>2</v>
      </c>
      <c r="CQ166" s="2">
        <v>1</v>
      </c>
      <c r="CS166" s="2">
        <v>1</v>
      </c>
      <c r="CT166" s="2">
        <v>1</v>
      </c>
      <c r="CU166" s="2">
        <v>1</v>
      </c>
      <c r="CV166" s="2">
        <v>1</v>
      </c>
      <c r="CX166" s="2">
        <v>7</v>
      </c>
      <c r="CY166" s="2">
        <v>5.5</v>
      </c>
      <c r="CZ166" s="2">
        <v>4</v>
      </c>
      <c r="DB166" s="2" t="s">
        <v>324</v>
      </c>
      <c r="DC166" s="2">
        <v>8.5</v>
      </c>
      <c r="DD166" s="2">
        <v>5.5</v>
      </c>
      <c r="DE166" s="2">
        <v>4</v>
      </c>
      <c r="DF166" s="194">
        <f t="shared" si="252"/>
        <v>7.00000000004</v>
      </c>
      <c r="DG166" s="194">
        <f t="shared" si="253"/>
        <v>5.50000000002</v>
      </c>
      <c r="DH166" s="194">
        <f t="shared" si="254"/>
        <v>4.00000000003</v>
      </c>
      <c r="DJ166" s="194">
        <f t="shared" si="255"/>
        <v>0</v>
      </c>
      <c r="DK166" s="194">
        <f t="shared" si="256"/>
        <v>8.50000000006</v>
      </c>
      <c r="DL166" s="194">
        <f t="shared" si="257"/>
        <v>5.50000000007</v>
      </c>
      <c r="DM166" s="194">
        <f t="shared" si="258"/>
        <v>4.00000000008</v>
      </c>
      <c r="DN166" s="2">
        <f t="shared" si="224"/>
        <v>10.50000000006</v>
      </c>
      <c r="DO166" s="2">
        <f t="shared" si="225"/>
        <v>11.00000000004</v>
      </c>
      <c r="DP166" s="2">
        <f t="shared" si="226"/>
        <v>4.00000000003</v>
      </c>
      <c r="DR166" s="2">
        <f t="shared" si="227"/>
        <v>0</v>
      </c>
      <c r="DS166" s="2">
        <f t="shared" si="228"/>
        <v>8.50000000006</v>
      </c>
      <c r="DT166" s="2">
        <f t="shared" si="229"/>
        <v>5.50000000007</v>
      </c>
      <c r="DU166" s="2">
        <f t="shared" si="230"/>
        <v>4.00000000008</v>
      </c>
      <c r="DV166" s="2" t="b">
        <f t="shared" si="259"/>
        <v>1</v>
      </c>
      <c r="DW166" s="2" t="b">
        <f t="shared" si="260"/>
        <v>1</v>
      </c>
      <c r="DX166" s="2" t="b">
        <f t="shared" si="261"/>
        <v>0</v>
      </c>
      <c r="DZ166" s="2" t="b">
        <f t="shared" si="262"/>
        <v>0</v>
      </c>
      <c r="EA166" s="2" t="b">
        <f t="shared" si="263"/>
        <v>1</v>
      </c>
      <c r="EB166" s="2" t="b">
        <f t="shared" si="264"/>
        <v>1</v>
      </c>
      <c r="EC166" s="2" t="b">
        <f t="shared" si="265"/>
        <v>1</v>
      </c>
      <c r="ED166" s="2">
        <v>1.5</v>
      </c>
      <c r="EE166" s="2">
        <v>2</v>
      </c>
      <c r="EF166" s="2">
        <v>1</v>
      </c>
      <c r="EH166" s="2">
        <v>1</v>
      </c>
      <c r="EI166" s="2">
        <v>1</v>
      </c>
      <c r="EJ166" s="2">
        <v>1</v>
      </c>
      <c r="EK166" s="2">
        <v>1</v>
      </c>
      <c r="EL166" s="2">
        <v>5.5</v>
      </c>
      <c r="EM166" s="2">
        <v>7</v>
      </c>
      <c r="EN166" s="2">
        <v>4</v>
      </c>
      <c r="EP166" s="2" t="s">
        <v>324</v>
      </c>
      <c r="EQ166" s="2">
        <v>8.5</v>
      </c>
      <c r="ER166" s="2">
        <v>5.5</v>
      </c>
      <c r="ES166" s="2">
        <v>5.5</v>
      </c>
      <c r="ET166" s="194">
        <f t="shared" si="266"/>
        <v>5.50000000004</v>
      </c>
      <c r="EU166" s="194">
        <f t="shared" si="267"/>
        <v>7.00000000002</v>
      </c>
      <c r="EV166" s="194">
        <f t="shared" si="268"/>
        <v>4.00000000003</v>
      </c>
      <c r="EW166" s="194">
        <f t="shared" si="269"/>
        <v>9.9999999999999994E-12</v>
      </c>
      <c r="EX166" s="194">
        <f t="shared" si="270"/>
        <v>0</v>
      </c>
      <c r="EY166" s="194">
        <f t="shared" si="271"/>
        <v>8.50000000006</v>
      </c>
      <c r="EZ166" s="194">
        <f t="shared" si="272"/>
        <v>5.50000000007</v>
      </c>
      <c r="FA166" s="194">
        <f t="shared" si="273"/>
        <v>5.50000000008</v>
      </c>
      <c r="FB166" s="2">
        <f t="shared" si="291"/>
        <v>8.25000000006</v>
      </c>
      <c r="FC166" s="2">
        <f t="shared" si="292"/>
        <v>14.00000000004</v>
      </c>
      <c r="FD166" s="2">
        <f t="shared" si="293"/>
        <v>4.00000000003</v>
      </c>
      <c r="FE166" s="2">
        <f t="shared" si="294"/>
        <v>0</v>
      </c>
      <c r="FF166" s="2">
        <f t="shared" si="295"/>
        <v>0</v>
      </c>
      <c r="FG166" s="2">
        <f t="shared" si="296"/>
        <v>8.50000000006</v>
      </c>
      <c r="FH166" s="2">
        <f t="shared" si="297"/>
        <v>5.50000000007</v>
      </c>
      <c r="FI166" s="2">
        <f t="shared" si="298"/>
        <v>5.50000000008</v>
      </c>
      <c r="FJ166" s="2" t="b">
        <f t="shared" si="282"/>
        <v>1</v>
      </c>
      <c r="FK166" s="2" t="b">
        <f t="shared" si="283"/>
        <v>1</v>
      </c>
      <c r="FL166" s="2" t="b">
        <v>1</v>
      </c>
      <c r="FM166" s="2" t="b">
        <f t="shared" si="285"/>
        <v>0</v>
      </c>
      <c r="FN166" s="2" t="b">
        <f t="shared" si="286"/>
        <v>0</v>
      </c>
      <c r="FO166" s="2" t="b">
        <f t="shared" si="287"/>
        <v>1</v>
      </c>
      <c r="FP166" s="2" t="b">
        <f t="shared" si="288"/>
        <v>1</v>
      </c>
      <c r="FQ166" s="2" t="b">
        <v>0</v>
      </c>
    </row>
    <row r="167" spans="1:173" ht="15.6">
      <c r="A167" s="335" t="s">
        <v>1229</v>
      </c>
      <c r="B167" s="346" t="s">
        <v>1229</v>
      </c>
      <c r="C167" s="346" t="s">
        <v>227</v>
      </c>
      <c r="D167" s="346" t="s">
        <v>1230</v>
      </c>
      <c r="E167" s="346" t="s">
        <v>1231</v>
      </c>
      <c r="F167" s="2" t="s">
        <v>785</v>
      </c>
      <c r="G167" s="2" t="s">
        <v>324</v>
      </c>
      <c r="H167" s="2">
        <v>59.25</v>
      </c>
      <c r="I167" s="2">
        <v>56.25</v>
      </c>
      <c r="J167" s="2">
        <v>55.5</v>
      </c>
      <c r="K167" s="435">
        <f t="shared" si="234"/>
        <v>59.250000000340002</v>
      </c>
      <c r="L167" s="435">
        <f t="shared" si="235"/>
        <v>56.250000000309996</v>
      </c>
      <c r="M167" s="435">
        <f t="shared" si="236"/>
        <v>55.500000000274994</v>
      </c>
      <c r="N167" s="346" t="s">
        <v>324</v>
      </c>
      <c r="O167" s="346" t="s">
        <v>324</v>
      </c>
      <c r="P167" s="346" t="s">
        <v>810</v>
      </c>
      <c r="Q167" s="346" t="s">
        <v>3038</v>
      </c>
      <c r="R167" s="346" t="s">
        <v>324</v>
      </c>
      <c r="S167" s="346" t="s">
        <v>1232</v>
      </c>
      <c r="T167" s="2" t="s">
        <v>1046</v>
      </c>
      <c r="U167" s="2">
        <v>20</v>
      </c>
      <c r="V167" s="2" cm="1">
        <f t="array" ref="V167">IFERROR(INDEX('Offer Statistics'!$BQ$2:$BQ$600,MATCH(1,(B167='Offer Statistics'!$BB$2:$BB$600)*($B$11='Offer Statistics'!$BC$2:$BC$600),0)),"/")</f>
        <v>15</v>
      </c>
      <c r="W167" s="2" cm="1">
        <f t="array" ref="W167">IFERROR(INDEX('Offer Statistics'!$BD$2:$BD$600,MATCH(1,($B167='Offer Statistics'!$BB$2:$BB$600)*($B$11='Offer Statistics'!$BC$2:$BC$600),0)),"/")</f>
        <v>46</v>
      </c>
      <c r="X167" s="2" cm="1">
        <f t="array" ref="X167">IFERROR(INDEX('Offer Statistics'!$BL$2:$BL$600,MATCH(1,($B167='Offer Statistics'!$BB$2:$BB$600)*($B$11='Offer Statistics'!$BC$2:$BC$600),0)),"/")</f>
        <v>15</v>
      </c>
      <c r="Y167" s="2">
        <f t="shared" si="215"/>
        <v>3.0666666666666669</v>
      </c>
      <c r="Z167" s="2" t="s">
        <v>1046</v>
      </c>
      <c r="AA167" s="435" t="str">
        <f>入學要求!AF176</f>
        <v>/</v>
      </c>
      <c r="AB167" s="435" t="str">
        <f>入學要求!AG176</f>
        <v>/</v>
      </c>
      <c r="AC167" s="425" t="s">
        <v>785</v>
      </c>
      <c r="AD167" s="346"/>
      <c r="AE167" s="346"/>
      <c r="AF167" s="346" t="s">
        <v>324</v>
      </c>
      <c r="AG167" s="346" t="s">
        <v>324</v>
      </c>
      <c r="AH167" s="346" t="s">
        <v>808</v>
      </c>
      <c r="AI167" s="346" t="s">
        <v>1220</v>
      </c>
      <c r="AJ167" s="346" t="s">
        <v>324</v>
      </c>
      <c r="AK167" s="2" t="s">
        <v>324</v>
      </c>
      <c r="AL167" s="2" t="s">
        <v>324</v>
      </c>
      <c r="AM167" s="2" t="s">
        <v>324</v>
      </c>
      <c r="AN167" s="2" t="s">
        <v>324</v>
      </c>
      <c r="AO167" s="2" t="s">
        <v>324</v>
      </c>
      <c r="AP167" s="2" t="s">
        <v>324</v>
      </c>
      <c r="AQ167" s="2" t="s">
        <v>324</v>
      </c>
      <c r="AR167" s="2" t="s">
        <v>324</v>
      </c>
      <c r="AT167" s="2" t="s">
        <v>716</v>
      </c>
      <c r="AV167" s="2" t="s">
        <v>713</v>
      </c>
      <c r="AZ167" s="2">
        <v>1</v>
      </c>
      <c r="BA167" s="2">
        <v>2</v>
      </c>
      <c r="BB167" s="2">
        <v>2</v>
      </c>
      <c r="BD167" s="2">
        <v>1.5</v>
      </c>
      <c r="BE167" s="2">
        <v>1</v>
      </c>
      <c r="BF167" s="2">
        <v>1</v>
      </c>
      <c r="BG167" s="2">
        <v>1</v>
      </c>
      <c r="BH167" s="2" t="str">
        <f t="shared" si="237"/>
        <v>JS4276</v>
      </c>
      <c r="BI167" s="197">
        <v>7</v>
      </c>
      <c r="BJ167" s="197">
        <v>7</v>
      </c>
      <c r="BK167" s="197">
        <v>8.5</v>
      </c>
      <c r="BL167" s="197" t="s">
        <v>324</v>
      </c>
      <c r="BM167" s="197">
        <v>7</v>
      </c>
      <c r="BN167" s="197">
        <v>7</v>
      </c>
      <c r="BO167" s="197">
        <v>5.5</v>
      </c>
      <c r="BP167" s="197">
        <v>4</v>
      </c>
      <c r="BQ167" s="194">
        <f t="shared" si="238"/>
        <v>7.00000000004</v>
      </c>
      <c r="BR167" s="194">
        <f t="shared" si="239"/>
        <v>7.00000000002</v>
      </c>
      <c r="BS167" s="194">
        <f t="shared" si="240"/>
        <v>8.5000000000299991</v>
      </c>
      <c r="BU167" s="194">
        <f t="shared" si="241"/>
        <v>7.00000000005</v>
      </c>
      <c r="BV167" s="194">
        <f t="shared" si="242"/>
        <v>7.00000000006</v>
      </c>
      <c r="BW167" s="194">
        <f t="shared" si="243"/>
        <v>5.50000000007</v>
      </c>
      <c r="BX167" s="194">
        <f t="shared" si="244"/>
        <v>4.00000000008</v>
      </c>
      <c r="BY167" s="2">
        <f t="shared" si="216"/>
        <v>7.00000000004</v>
      </c>
      <c r="BZ167" s="2">
        <f t="shared" si="217"/>
        <v>14.00000000004</v>
      </c>
      <c r="CA167" s="2">
        <f t="shared" si="218"/>
        <v>17.000000000059998</v>
      </c>
      <c r="CC167" s="2">
        <f t="shared" si="219"/>
        <v>10.500000000075</v>
      </c>
      <c r="CD167" s="2">
        <f t="shared" si="220"/>
        <v>7.00000000006</v>
      </c>
      <c r="CE167" s="2">
        <f t="shared" si="221"/>
        <v>5.50000000007</v>
      </c>
      <c r="CF167" s="2">
        <f t="shared" si="222"/>
        <v>4.00000000008</v>
      </c>
      <c r="CG167" s="2" t="b">
        <f t="shared" si="245"/>
        <v>1</v>
      </c>
      <c r="CH167" s="2" t="b">
        <f t="shared" si="246"/>
        <v>1</v>
      </c>
      <c r="CI167" s="2" t="b">
        <f t="shared" si="247"/>
        <v>1</v>
      </c>
      <c r="CK167" s="2" t="b">
        <f t="shared" si="248"/>
        <v>1</v>
      </c>
      <c r="CL167" s="2" t="b">
        <f t="shared" si="249"/>
        <v>1</v>
      </c>
      <c r="CM167" s="2" t="b">
        <f t="shared" si="250"/>
        <v>0</v>
      </c>
      <c r="CN167" s="2" t="b">
        <f t="shared" si="251"/>
        <v>0</v>
      </c>
      <c r="CO167" s="2">
        <v>1</v>
      </c>
      <c r="CP167" s="2">
        <v>2</v>
      </c>
      <c r="CQ167" s="2">
        <v>2</v>
      </c>
      <c r="CS167" s="2">
        <v>1</v>
      </c>
      <c r="CT167" s="2">
        <v>1.5</v>
      </c>
      <c r="CU167" s="2">
        <v>1</v>
      </c>
      <c r="CV167" s="2">
        <v>1</v>
      </c>
      <c r="CX167" s="2">
        <v>3</v>
      </c>
      <c r="CY167" s="2">
        <v>5.5</v>
      </c>
      <c r="CZ167" s="2">
        <v>8.5</v>
      </c>
      <c r="DB167" s="2">
        <v>7</v>
      </c>
      <c r="DC167" s="2">
        <v>8.5</v>
      </c>
      <c r="DD167" s="2">
        <v>8.5</v>
      </c>
      <c r="DE167" s="2">
        <v>5.5</v>
      </c>
      <c r="DF167" s="194">
        <f t="shared" si="252"/>
        <v>3.00000000004</v>
      </c>
      <c r="DG167" s="194">
        <f t="shared" si="253"/>
        <v>5.50000000002</v>
      </c>
      <c r="DH167" s="194">
        <f t="shared" si="254"/>
        <v>8.5000000000299991</v>
      </c>
      <c r="DJ167" s="194">
        <f t="shared" si="255"/>
        <v>7.00000000005</v>
      </c>
      <c r="DK167" s="194">
        <f t="shared" si="256"/>
        <v>8.50000000006</v>
      </c>
      <c r="DL167" s="194">
        <f t="shared" si="257"/>
        <v>8.5000000000699991</v>
      </c>
      <c r="DM167" s="194">
        <f t="shared" si="258"/>
        <v>5.50000000008</v>
      </c>
      <c r="DN167" s="2">
        <f t="shared" si="224"/>
        <v>3.00000000004</v>
      </c>
      <c r="DO167" s="2">
        <f t="shared" si="225"/>
        <v>11.00000000004</v>
      </c>
      <c r="DP167" s="2">
        <f t="shared" si="226"/>
        <v>17.000000000059998</v>
      </c>
      <c r="DR167" s="2">
        <f t="shared" si="227"/>
        <v>7.00000000005</v>
      </c>
      <c r="DS167" s="2">
        <f t="shared" si="228"/>
        <v>12.750000000090001</v>
      </c>
      <c r="DT167" s="2">
        <f t="shared" si="229"/>
        <v>8.5000000000699991</v>
      </c>
      <c r="DU167" s="2">
        <f t="shared" si="230"/>
        <v>5.50000000008</v>
      </c>
      <c r="DV167" s="2" t="b">
        <f t="shared" si="259"/>
        <v>0</v>
      </c>
      <c r="DW167" s="2" t="b">
        <f t="shared" si="260"/>
        <v>1</v>
      </c>
      <c r="DX167" s="2" t="b">
        <f t="shared" si="261"/>
        <v>1</v>
      </c>
      <c r="DZ167" s="2" t="b">
        <f t="shared" si="262"/>
        <v>1</v>
      </c>
      <c r="EA167" s="2" t="b">
        <f t="shared" si="263"/>
        <v>1</v>
      </c>
      <c r="EB167" s="2" t="b">
        <f t="shared" si="264"/>
        <v>1</v>
      </c>
      <c r="EC167" s="2" t="b">
        <f t="shared" si="265"/>
        <v>0</v>
      </c>
      <c r="ED167" s="2">
        <v>1</v>
      </c>
      <c r="EE167" s="2">
        <v>2</v>
      </c>
      <c r="EF167" s="2">
        <v>2</v>
      </c>
      <c r="EH167" s="2">
        <v>1</v>
      </c>
      <c r="EI167" s="2">
        <v>1.5</v>
      </c>
      <c r="EJ167" s="2">
        <v>1</v>
      </c>
      <c r="EK167" s="2">
        <v>1</v>
      </c>
      <c r="EL167" s="2">
        <v>5.5</v>
      </c>
      <c r="EM167" s="2">
        <v>7</v>
      </c>
      <c r="EN167" s="2">
        <v>8.5</v>
      </c>
      <c r="EP167" s="2">
        <v>7</v>
      </c>
      <c r="EQ167" s="2">
        <v>8.5</v>
      </c>
      <c r="ER167" s="2">
        <v>8.5</v>
      </c>
      <c r="ES167" s="2">
        <v>7</v>
      </c>
      <c r="ET167" s="194">
        <f t="shared" si="266"/>
        <v>5.50000000004</v>
      </c>
      <c r="EU167" s="194">
        <f t="shared" si="267"/>
        <v>7.00000000002</v>
      </c>
      <c r="EV167" s="194">
        <f t="shared" si="268"/>
        <v>8.5000000000299991</v>
      </c>
      <c r="EW167" s="194">
        <f t="shared" si="269"/>
        <v>9.9999999999999994E-12</v>
      </c>
      <c r="EX167" s="194">
        <f t="shared" si="270"/>
        <v>7.00000000005</v>
      </c>
      <c r="EY167" s="194">
        <f t="shared" si="271"/>
        <v>8.50000000006</v>
      </c>
      <c r="EZ167" s="194">
        <f t="shared" si="272"/>
        <v>8.5000000000699991</v>
      </c>
      <c r="FA167" s="194">
        <f t="shared" si="273"/>
        <v>7.00000000008</v>
      </c>
      <c r="FB167" s="2">
        <f t="shared" si="291"/>
        <v>5.50000000004</v>
      </c>
      <c r="FC167" s="2">
        <f t="shared" si="292"/>
        <v>14.00000000004</v>
      </c>
      <c r="FD167" s="2">
        <f t="shared" si="293"/>
        <v>17.000000000059998</v>
      </c>
      <c r="FE167" s="2">
        <f t="shared" si="294"/>
        <v>0</v>
      </c>
      <c r="FF167" s="2">
        <f t="shared" si="295"/>
        <v>7.00000000005</v>
      </c>
      <c r="FG167" s="2">
        <f t="shared" si="296"/>
        <v>12.750000000090001</v>
      </c>
      <c r="FH167" s="2">
        <f t="shared" si="297"/>
        <v>8.5000000000699991</v>
      </c>
      <c r="FI167" s="2">
        <f t="shared" si="298"/>
        <v>7.00000000008</v>
      </c>
      <c r="FJ167" s="2" t="b">
        <f t="shared" si="282"/>
        <v>0</v>
      </c>
      <c r="FK167" s="2" t="b">
        <f t="shared" si="283"/>
        <v>1</v>
      </c>
      <c r="FL167" s="2" t="b">
        <f t="shared" si="284"/>
        <v>1</v>
      </c>
      <c r="FM167" s="2" t="b">
        <f t="shared" si="285"/>
        <v>0</v>
      </c>
      <c r="FN167" s="2" t="b">
        <f t="shared" si="286"/>
        <v>0</v>
      </c>
      <c r="FO167" s="2" t="b">
        <f t="shared" si="287"/>
        <v>1</v>
      </c>
      <c r="FP167" s="2" t="b">
        <f t="shared" si="288"/>
        <v>1</v>
      </c>
      <c r="FQ167" s="2" t="b">
        <f t="shared" si="289"/>
        <v>1</v>
      </c>
    </row>
    <row r="168" spans="1:173" ht="15.6">
      <c r="A168" s="335" t="s">
        <v>2650</v>
      </c>
      <c r="B168" s="346" t="s">
        <v>2650</v>
      </c>
      <c r="C168" s="346" t="s">
        <v>227</v>
      </c>
      <c r="D168" s="346" t="s">
        <v>1234</v>
      </c>
      <c r="E168" s="346" t="s">
        <v>2652</v>
      </c>
      <c r="F168" s="2" t="s">
        <v>2940</v>
      </c>
      <c r="G168" s="2" t="s">
        <v>324</v>
      </c>
      <c r="H168" s="2" t="s">
        <v>324</v>
      </c>
      <c r="I168" s="2" t="s">
        <v>324</v>
      </c>
      <c r="J168" s="2" t="s">
        <v>324</v>
      </c>
      <c r="K168" s="435">
        <f t="shared" si="234"/>
        <v>0</v>
      </c>
      <c r="L168" s="435">
        <f t="shared" si="235"/>
        <v>0</v>
      </c>
      <c r="M168" s="435">
        <f t="shared" si="236"/>
        <v>0</v>
      </c>
      <c r="N168" s="346" t="s">
        <v>324</v>
      </c>
      <c r="O168" s="346" t="s">
        <v>324</v>
      </c>
      <c r="P168" s="346" t="s">
        <v>324</v>
      </c>
      <c r="Q168" s="346" t="s">
        <v>324</v>
      </c>
      <c r="R168" s="346" t="s">
        <v>324</v>
      </c>
      <c r="S168" s="346" t="s">
        <v>2651</v>
      </c>
      <c r="T168" s="2" t="s">
        <v>1046</v>
      </c>
      <c r="U168" s="2">
        <v>20</v>
      </c>
      <c r="V168" s="2" t="str" cm="1">
        <f t="array" ref="V168">IFERROR(INDEX('Offer Statistics'!$BQ$2:$BQ$600,MATCH(1,(B168='Offer Statistics'!$BB$2:$BB$600)*($B$11='Offer Statistics'!$BC$2:$BC$600),0)),"/")</f>
        <v>/</v>
      </c>
      <c r="W168" s="2" t="str" cm="1">
        <f t="array" ref="W168">IFERROR(INDEX('Offer Statistics'!$BD$2:$BD$600,MATCH(1,($B168='Offer Statistics'!$BB$2:$BB$600)*($B$11='Offer Statistics'!$BC$2:$BC$600),0)),"/")</f>
        <v>/</v>
      </c>
      <c r="X168" s="2" t="str" cm="1">
        <f t="array" ref="X168">IFERROR(INDEX('Offer Statistics'!$BL$2:$BL$600,MATCH(1,($B168='Offer Statistics'!$BB$2:$BB$600)*($B$11='Offer Statistics'!$BC$2:$BC$600),0)),"/")</f>
        <v>/</v>
      </c>
      <c r="Y168" s="2" t="str">
        <f t="shared" si="215"/>
        <v>新科目</v>
      </c>
      <c r="Z168" s="2" t="s">
        <v>1046</v>
      </c>
      <c r="AA168" s="435" t="str">
        <f>入學要求!AF177</f>
        <v>優先考慮修讀以下科目者︰</v>
      </c>
      <c r="AB168" s="435" t="str">
        <f>入學要求!AG177</f>
        <v>生物、化學</v>
      </c>
      <c r="AC168" s="425" t="s">
        <v>785</v>
      </c>
      <c r="AD168" s="346"/>
      <c r="AE168" s="346"/>
      <c r="AF168" s="346" t="s">
        <v>324</v>
      </c>
      <c r="AG168" s="346" t="s">
        <v>324</v>
      </c>
      <c r="AH168" s="346" t="s">
        <v>324</v>
      </c>
      <c r="AI168" s="346" t="s">
        <v>324</v>
      </c>
      <c r="AJ168" s="346" t="s">
        <v>324</v>
      </c>
      <c r="AK168" s="422" t="s">
        <v>324</v>
      </c>
      <c r="AL168" s="422" t="s">
        <v>324</v>
      </c>
      <c r="AM168" s="422" t="s">
        <v>324</v>
      </c>
      <c r="AN168" s="422" t="s">
        <v>324</v>
      </c>
      <c r="AO168" s="422" t="s">
        <v>324</v>
      </c>
      <c r="AP168" s="422" t="s">
        <v>324</v>
      </c>
      <c r="AQ168" s="422" t="s">
        <v>324</v>
      </c>
      <c r="AR168" s="422" t="s">
        <v>324</v>
      </c>
      <c r="AT168" s="2" t="s">
        <v>716</v>
      </c>
      <c r="AV168" s="2" t="s">
        <v>713</v>
      </c>
      <c r="BH168" s="2" t="str">
        <f t="shared" si="237"/>
        <v>JS4320</v>
      </c>
      <c r="BI168" s="197" t="s">
        <v>324</v>
      </c>
      <c r="BJ168" s="197" t="s">
        <v>324</v>
      </c>
      <c r="BK168" s="197" t="s">
        <v>324</v>
      </c>
      <c r="BL168" s="197" t="s">
        <v>324</v>
      </c>
      <c r="BM168" s="197" t="s">
        <v>324</v>
      </c>
      <c r="BN168" s="197" t="s">
        <v>324</v>
      </c>
      <c r="BO168" s="197" t="s">
        <v>324</v>
      </c>
      <c r="BP168" s="197" t="s">
        <v>324</v>
      </c>
      <c r="CG168" s="2" t="e">
        <f t="shared" si="245"/>
        <v>#NUM!</v>
      </c>
      <c r="CH168" s="2" t="e">
        <f t="shared" si="246"/>
        <v>#NUM!</v>
      </c>
      <c r="CI168" s="2" t="e">
        <f t="shared" si="247"/>
        <v>#NUM!</v>
      </c>
      <c r="CK168" s="2" t="e">
        <f t="shared" si="248"/>
        <v>#NUM!</v>
      </c>
      <c r="CL168" s="2" t="e">
        <f t="shared" si="249"/>
        <v>#NUM!</v>
      </c>
      <c r="CM168" s="2" t="e">
        <f t="shared" si="250"/>
        <v>#NUM!</v>
      </c>
      <c r="CN168" s="2" t="e">
        <f t="shared" si="251"/>
        <v>#NUM!</v>
      </c>
      <c r="CX168" s="2" t="s">
        <v>324</v>
      </c>
      <c r="CY168" s="2" t="s">
        <v>324</v>
      </c>
      <c r="CZ168" s="2" t="s">
        <v>324</v>
      </c>
      <c r="DB168" s="2" t="s">
        <v>324</v>
      </c>
      <c r="DC168" s="2" t="s">
        <v>324</v>
      </c>
      <c r="DD168" s="2" t="s">
        <v>324</v>
      </c>
      <c r="DE168" s="2" t="s">
        <v>324</v>
      </c>
      <c r="DV168" s="2" t="e">
        <f t="shared" si="259"/>
        <v>#NUM!</v>
      </c>
      <c r="DW168" s="2" t="e">
        <f t="shared" si="260"/>
        <v>#NUM!</v>
      </c>
      <c r="DX168" s="2" t="e">
        <f t="shared" si="261"/>
        <v>#NUM!</v>
      </c>
      <c r="DZ168" s="2" t="e">
        <f t="shared" si="262"/>
        <v>#NUM!</v>
      </c>
      <c r="EA168" s="2" t="e">
        <f t="shared" si="263"/>
        <v>#NUM!</v>
      </c>
      <c r="EB168" s="2" t="e">
        <f t="shared" si="264"/>
        <v>#NUM!</v>
      </c>
      <c r="EC168" s="2" t="e">
        <f t="shared" si="265"/>
        <v>#NUM!</v>
      </c>
      <c r="ED168" s="2">
        <v>1</v>
      </c>
      <c r="EE168" s="2">
        <v>1</v>
      </c>
      <c r="EF168" s="2" t="s">
        <v>324</v>
      </c>
      <c r="EH168" s="2" t="s">
        <v>324</v>
      </c>
      <c r="EI168" s="2" t="s">
        <v>324</v>
      </c>
      <c r="EJ168" s="2" t="s">
        <v>324</v>
      </c>
      <c r="EK168" s="2" t="s">
        <v>324</v>
      </c>
      <c r="EL168" s="2" t="s">
        <v>324</v>
      </c>
      <c r="EM168" s="2" t="s">
        <v>324</v>
      </c>
      <c r="EN168" s="2" t="s">
        <v>324</v>
      </c>
      <c r="EP168" s="2" t="s">
        <v>324</v>
      </c>
      <c r="EQ168" s="2" t="s">
        <v>324</v>
      </c>
      <c r="ER168" s="2" t="s">
        <v>324</v>
      </c>
      <c r="ES168" s="2" t="s">
        <v>324</v>
      </c>
      <c r="ET168" s="194"/>
      <c r="EU168" s="194"/>
      <c r="EV168" s="194"/>
      <c r="EW168" s="194"/>
      <c r="EX168" s="194"/>
      <c r="EY168" s="194"/>
      <c r="EZ168" s="194"/>
      <c r="FA168" s="194"/>
      <c r="FB168" s="2">
        <f t="shared" si="291"/>
        <v>0</v>
      </c>
      <c r="FC168" s="2">
        <f t="shared" si="292"/>
        <v>0</v>
      </c>
      <c r="FD168" s="2" t="e">
        <f t="shared" si="293"/>
        <v>#VALUE!</v>
      </c>
      <c r="FE168" s="2">
        <f t="shared" si="294"/>
        <v>0</v>
      </c>
      <c r="FF168" s="2" t="e">
        <f t="shared" si="295"/>
        <v>#VALUE!</v>
      </c>
      <c r="FG168" s="2" t="e">
        <f t="shared" si="296"/>
        <v>#VALUE!</v>
      </c>
      <c r="FH168" s="2" t="e">
        <f t="shared" si="297"/>
        <v>#VALUE!</v>
      </c>
      <c r="FI168" s="2" t="e">
        <f t="shared" si="298"/>
        <v>#VALUE!</v>
      </c>
      <c r="FJ168" s="2" t="e">
        <f t="shared" si="282"/>
        <v>#VALUE!</v>
      </c>
      <c r="FK168" s="2" t="e">
        <f t="shared" si="283"/>
        <v>#VALUE!</v>
      </c>
      <c r="FL168" s="2" t="e">
        <f t="shared" si="284"/>
        <v>#VALUE!</v>
      </c>
      <c r="FM168" s="2" t="e">
        <f t="shared" si="285"/>
        <v>#VALUE!</v>
      </c>
      <c r="FN168" s="2" t="e">
        <f t="shared" si="286"/>
        <v>#VALUE!</v>
      </c>
      <c r="FO168" s="2" t="e">
        <f t="shared" si="287"/>
        <v>#VALUE!</v>
      </c>
      <c r="FP168" s="2" t="e">
        <f t="shared" si="288"/>
        <v>#VALUE!</v>
      </c>
      <c r="FQ168" s="2" t="e">
        <f t="shared" si="289"/>
        <v>#VALUE!</v>
      </c>
    </row>
    <row r="169" spans="1:173" ht="15.6">
      <c r="A169" s="335" t="s">
        <v>1233</v>
      </c>
      <c r="B169" s="346" t="s">
        <v>1233</v>
      </c>
      <c r="C169" s="346" t="s">
        <v>227</v>
      </c>
      <c r="D169" s="346" t="s">
        <v>1234</v>
      </c>
      <c r="E169" s="346" t="s">
        <v>1235</v>
      </c>
      <c r="F169" s="2" t="s">
        <v>785</v>
      </c>
      <c r="G169" s="2" t="s">
        <v>324</v>
      </c>
      <c r="H169" s="2">
        <v>30.5</v>
      </c>
      <c r="I169" s="2">
        <v>29</v>
      </c>
      <c r="J169" s="2">
        <v>27.5</v>
      </c>
      <c r="K169" s="435">
        <f t="shared" si="234"/>
        <v>30.50000000028</v>
      </c>
      <c r="L169" s="435">
        <f t="shared" si="235"/>
        <v>29.000000000229999</v>
      </c>
      <c r="M169" s="435">
        <f t="shared" si="236"/>
        <v>27.500000000259998</v>
      </c>
      <c r="N169" s="346" t="s">
        <v>324</v>
      </c>
      <c r="O169" s="346" t="s">
        <v>324</v>
      </c>
      <c r="P169" s="346" t="s">
        <v>324</v>
      </c>
      <c r="Q169" s="346" t="s">
        <v>324</v>
      </c>
      <c r="R169" s="346" t="s">
        <v>324</v>
      </c>
      <c r="S169" s="346" t="s">
        <v>1236</v>
      </c>
      <c r="T169" s="2" t="s">
        <v>1046</v>
      </c>
      <c r="U169" s="2">
        <v>17</v>
      </c>
      <c r="V169" s="2" cm="1">
        <f t="array" ref="V169">IFERROR(INDEX('Offer Statistics'!$BQ$2:$BQ$600,MATCH(1,(B169='Offer Statistics'!$BB$2:$BB$600)*($B$11='Offer Statistics'!$BC$2:$BC$600),0)),"/")</f>
        <v>24</v>
      </c>
      <c r="W169" s="2" cm="1">
        <f t="array" ref="W169">IFERROR(INDEX('Offer Statistics'!$BD$2:$BD$600,MATCH(1,($B169='Offer Statistics'!$BB$2:$BB$600)*($B$11='Offer Statistics'!$BC$2:$BC$600),0)),"/")</f>
        <v>447</v>
      </c>
      <c r="X169" s="2" cm="1">
        <f t="array" ref="X169">IFERROR(INDEX('Offer Statistics'!$BL$2:$BL$600,MATCH(1,($B169='Offer Statistics'!$BB$2:$BB$600)*($B$11='Offer Statistics'!$BC$2:$BC$600),0)),"/")</f>
        <v>24</v>
      </c>
      <c r="Y169" s="2">
        <f t="shared" si="215"/>
        <v>18.625</v>
      </c>
      <c r="Z169" s="2" t="s">
        <v>1046</v>
      </c>
      <c r="AA169" s="435" t="str">
        <f>入學要求!AF178</f>
        <v>/</v>
      </c>
      <c r="AB169" s="435" t="str">
        <f>入學要求!AG178</f>
        <v>/</v>
      </c>
      <c r="AC169" s="426" t="s">
        <v>785</v>
      </c>
      <c r="AD169" s="346"/>
      <c r="AE169" s="346"/>
      <c r="AF169" s="346" t="s">
        <v>324</v>
      </c>
      <c r="AG169" s="346" t="s">
        <v>324</v>
      </c>
      <c r="AH169" s="346" t="s">
        <v>324</v>
      </c>
      <c r="AI169" s="346" t="s">
        <v>324</v>
      </c>
      <c r="AJ169" s="346" t="s">
        <v>324</v>
      </c>
      <c r="AK169" s="2" t="s">
        <v>324</v>
      </c>
      <c r="AL169" s="2" t="s">
        <v>324</v>
      </c>
      <c r="AM169" s="2" t="s">
        <v>324</v>
      </c>
      <c r="AN169" s="2" t="s">
        <v>324</v>
      </c>
      <c r="AO169" s="2" t="s">
        <v>324</v>
      </c>
      <c r="AP169" s="2" t="s">
        <v>324</v>
      </c>
      <c r="AQ169" s="2" t="s">
        <v>324</v>
      </c>
      <c r="AR169" s="2" t="s">
        <v>324</v>
      </c>
      <c r="AT169" s="2" t="s">
        <v>716</v>
      </c>
      <c r="AV169" s="2" t="s">
        <v>1196</v>
      </c>
      <c r="AZ169" s="2">
        <v>1</v>
      </c>
      <c r="BA169" s="2">
        <v>1</v>
      </c>
      <c r="BB169" s="2">
        <v>1</v>
      </c>
      <c r="BD169" s="2">
        <v>1</v>
      </c>
      <c r="BE169" s="2">
        <v>1</v>
      </c>
      <c r="BF169" s="2">
        <v>1</v>
      </c>
      <c r="BG169" s="2">
        <v>1</v>
      </c>
      <c r="BH169" s="2" t="str">
        <f t="shared" si="237"/>
        <v>JS4329</v>
      </c>
      <c r="BI169" s="197">
        <v>3</v>
      </c>
      <c r="BJ169" s="197">
        <v>4</v>
      </c>
      <c r="BK169" s="197">
        <v>5.5</v>
      </c>
      <c r="BL169" s="197" t="s">
        <v>324</v>
      </c>
      <c r="BM169" s="197" t="s">
        <v>324</v>
      </c>
      <c r="BN169" s="197">
        <v>7</v>
      </c>
      <c r="BO169" s="197">
        <v>5.5</v>
      </c>
      <c r="BP169" s="197">
        <v>5.5</v>
      </c>
      <c r="BQ169" s="194">
        <f t="shared" si="238"/>
        <v>3.00000000004</v>
      </c>
      <c r="BR169" s="194">
        <f t="shared" si="239"/>
        <v>4.00000000002</v>
      </c>
      <c r="BS169" s="194">
        <f t="shared" si="240"/>
        <v>5.50000000003</v>
      </c>
      <c r="BU169" s="194">
        <f t="shared" si="241"/>
        <v>0</v>
      </c>
      <c r="BV169" s="194">
        <f t="shared" si="242"/>
        <v>7.00000000006</v>
      </c>
      <c r="BW169" s="194">
        <f t="shared" si="243"/>
        <v>5.50000000007</v>
      </c>
      <c r="BX169" s="194">
        <f t="shared" si="244"/>
        <v>5.50000000008</v>
      </c>
      <c r="BY169" s="2">
        <f t="shared" si="216"/>
        <v>3.00000000004</v>
      </c>
      <c r="BZ169" s="2">
        <f t="shared" si="217"/>
        <v>4.00000000002</v>
      </c>
      <c r="CA169" s="2">
        <f t="shared" si="218"/>
        <v>5.50000000003</v>
      </c>
      <c r="CC169" s="2">
        <f t="shared" si="219"/>
        <v>0</v>
      </c>
      <c r="CD169" s="2">
        <f t="shared" si="220"/>
        <v>7.00000000006</v>
      </c>
      <c r="CE169" s="2">
        <f t="shared" si="221"/>
        <v>5.50000000007</v>
      </c>
      <c r="CF169" s="2">
        <f t="shared" si="222"/>
        <v>5.50000000008</v>
      </c>
      <c r="CG169" s="2" t="b">
        <f t="shared" si="245"/>
        <v>0</v>
      </c>
      <c r="CH169" s="2" t="b">
        <f t="shared" si="246"/>
        <v>1</v>
      </c>
      <c r="CI169" s="2" t="b">
        <f t="shared" si="247"/>
        <v>1</v>
      </c>
      <c r="CK169" s="2" t="b">
        <f t="shared" si="248"/>
        <v>0</v>
      </c>
      <c r="CL169" s="2" t="b">
        <f t="shared" si="249"/>
        <v>1</v>
      </c>
      <c r="CM169" s="2" t="b">
        <f t="shared" si="250"/>
        <v>1</v>
      </c>
      <c r="CN169" s="2" t="b">
        <f t="shared" si="251"/>
        <v>1</v>
      </c>
      <c r="CO169" s="2">
        <v>1</v>
      </c>
      <c r="CP169" s="2">
        <v>1</v>
      </c>
      <c r="CQ169" s="2">
        <v>1</v>
      </c>
      <c r="CS169" s="2">
        <v>1</v>
      </c>
      <c r="CT169" s="2">
        <v>1</v>
      </c>
      <c r="CU169" s="2">
        <v>1</v>
      </c>
      <c r="CV169" s="2">
        <v>1</v>
      </c>
      <c r="CX169" s="2">
        <v>3</v>
      </c>
      <c r="CY169" s="2">
        <v>4</v>
      </c>
      <c r="CZ169" s="2">
        <v>8.5</v>
      </c>
      <c r="DB169" s="2">
        <v>7</v>
      </c>
      <c r="DC169" s="2">
        <v>5.5</v>
      </c>
      <c r="DD169" s="2">
        <v>4</v>
      </c>
      <c r="DE169" s="2" t="s">
        <v>324</v>
      </c>
      <c r="DF169" s="194">
        <f t="shared" si="252"/>
        <v>3.00000000004</v>
      </c>
      <c r="DG169" s="194">
        <f t="shared" si="253"/>
        <v>4.00000000002</v>
      </c>
      <c r="DH169" s="194">
        <f t="shared" si="254"/>
        <v>8.5000000000299991</v>
      </c>
      <c r="DJ169" s="194">
        <f t="shared" si="255"/>
        <v>7.00000000005</v>
      </c>
      <c r="DK169" s="194">
        <f t="shared" si="256"/>
        <v>5.50000000006</v>
      </c>
      <c r="DL169" s="194">
        <f t="shared" si="257"/>
        <v>4.00000000007</v>
      </c>
      <c r="DM169" s="194">
        <f t="shared" si="258"/>
        <v>0</v>
      </c>
      <c r="DN169" s="2">
        <f t="shared" si="224"/>
        <v>3.00000000004</v>
      </c>
      <c r="DO169" s="2">
        <f t="shared" si="225"/>
        <v>4.00000000002</v>
      </c>
      <c r="DP169" s="2">
        <f t="shared" si="226"/>
        <v>8.5000000000299991</v>
      </c>
      <c r="DR169" s="2">
        <f t="shared" si="227"/>
        <v>7.00000000005</v>
      </c>
      <c r="DS169" s="2">
        <f t="shared" si="228"/>
        <v>5.50000000006</v>
      </c>
      <c r="DT169" s="2">
        <f t="shared" si="229"/>
        <v>4.00000000007</v>
      </c>
      <c r="DU169" s="2">
        <f t="shared" si="230"/>
        <v>0</v>
      </c>
      <c r="DV169" s="2" t="b">
        <f t="shared" si="259"/>
        <v>0</v>
      </c>
      <c r="DW169" s="2" t="b">
        <f t="shared" si="260"/>
        <v>1</v>
      </c>
      <c r="DX169" s="2" t="b">
        <f t="shared" si="261"/>
        <v>1</v>
      </c>
      <c r="DZ169" s="2" t="b">
        <f t="shared" si="262"/>
        <v>1</v>
      </c>
      <c r="EA169" s="2" t="b">
        <f t="shared" si="263"/>
        <v>1</v>
      </c>
      <c r="EB169" s="2" t="b">
        <f t="shared" si="264"/>
        <v>1</v>
      </c>
      <c r="EC169" s="2" t="b">
        <f t="shared" si="265"/>
        <v>0</v>
      </c>
      <c r="ED169" s="2">
        <v>1</v>
      </c>
      <c r="EE169" s="2">
        <v>1</v>
      </c>
      <c r="EF169" s="2">
        <v>1</v>
      </c>
      <c r="EH169" s="2">
        <v>1</v>
      </c>
      <c r="EI169" s="2">
        <v>1</v>
      </c>
      <c r="EJ169" s="2">
        <v>1</v>
      </c>
      <c r="EK169" s="2">
        <v>1</v>
      </c>
      <c r="EL169" s="2">
        <v>4</v>
      </c>
      <c r="EM169" s="2">
        <v>4</v>
      </c>
      <c r="EN169" s="2">
        <v>8.5</v>
      </c>
      <c r="EP169" s="2" t="s">
        <v>324</v>
      </c>
      <c r="EQ169" s="2">
        <v>7</v>
      </c>
      <c r="ER169" s="2">
        <v>5.5</v>
      </c>
      <c r="ES169" s="2">
        <v>5.5</v>
      </c>
      <c r="ET169" s="194">
        <f t="shared" si="266"/>
        <v>4.00000000004</v>
      </c>
      <c r="EU169" s="194">
        <f t="shared" si="267"/>
        <v>4.00000000002</v>
      </c>
      <c r="EV169" s="194">
        <f t="shared" si="268"/>
        <v>8.5000000000299991</v>
      </c>
      <c r="EW169" s="194">
        <f t="shared" si="269"/>
        <v>9.9999999999999994E-12</v>
      </c>
      <c r="EX169" s="194">
        <f t="shared" si="270"/>
        <v>0</v>
      </c>
      <c r="EY169" s="194">
        <f t="shared" si="271"/>
        <v>7.00000000006</v>
      </c>
      <c r="EZ169" s="194">
        <f t="shared" si="272"/>
        <v>5.50000000007</v>
      </c>
      <c r="FA169" s="194">
        <f t="shared" si="273"/>
        <v>5.50000000008</v>
      </c>
      <c r="FB169" s="2">
        <f t="shared" si="291"/>
        <v>4.00000000004</v>
      </c>
      <c r="FC169" s="2">
        <f t="shared" si="292"/>
        <v>4.00000000002</v>
      </c>
      <c r="FD169" s="2">
        <f t="shared" si="293"/>
        <v>8.5000000000299991</v>
      </c>
      <c r="FE169" s="2">
        <f t="shared" si="294"/>
        <v>0</v>
      </c>
      <c r="FF169" s="2">
        <f t="shared" si="295"/>
        <v>0</v>
      </c>
      <c r="FG169" s="2">
        <f t="shared" si="296"/>
        <v>7.00000000006</v>
      </c>
      <c r="FH169" s="2">
        <f t="shared" si="297"/>
        <v>5.50000000007</v>
      </c>
      <c r="FI169" s="2">
        <f t="shared" si="298"/>
        <v>5.50000000008</v>
      </c>
      <c r="FJ169" s="2" t="b">
        <f t="shared" si="282"/>
        <v>1</v>
      </c>
      <c r="FK169" s="2" t="b">
        <f t="shared" si="283"/>
        <v>0</v>
      </c>
      <c r="FL169" s="2" t="b">
        <f t="shared" si="284"/>
        <v>1</v>
      </c>
      <c r="FM169" s="2" t="b">
        <f t="shared" si="285"/>
        <v>0</v>
      </c>
      <c r="FN169" s="2" t="b">
        <f t="shared" si="286"/>
        <v>0</v>
      </c>
      <c r="FO169" s="2" t="b">
        <f t="shared" si="287"/>
        <v>1</v>
      </c>
      <c r="FP169" s="2" t="b">
        <f t="shared" si="288"/>
        <v>1</v>
      </c>
      <c r="FQ169" s="2" t="b">
        <f t="shared" si="289"/>
        <v>1</v>
      </c>
    </row>
    <row r="170" spans="1:173" ht="15.6">
      <c r="A170" s="335" t="s">
        <v>1237</v>
      </c>
      <c r="B170" s="346" t="s">
        <v>1237</v>
      </c>
      <c r="C170" s="346" t="s">
        <v>227</v>
      </c>
      <c r="D170" s="346" t="s">
        <v>1234</v>
      </c>
      <c r="E170" s="346" t="s">
        <v>1238</v>
      </c>
      <c r="F170" s="2" t="s">
        <v>785</v>
      </c>
      <c r="G170" s="2" t="s">
        <v>324</v>
      </c>
      <c r="H170" s="2">
        <v>42</v>
      </c>
      <c r="I170" s="2">
        <v>40.5</v>
      </c>
      <c r="J170" s="2">
        <v>40.5</v>
      </c>
      <c r="K170" s="435">
        <f t="shared" si="234"/>
        <v>42.000000000260002</v>
      </c>
      <c r="L170" s="435">
        <f t="shared" si="235"/>
        <v>40.50000000032</v>
      </c>
      <c r="M170" s="435">
        <f t="shared" si="236"/>
        <v>40.500000000260002</v>
      </c>
      <c r="N170" s="346" t="s">
        <v>2402</v>
      </c>
      <c r="O170" s="346" t="s">
        <v>324</v>
      </c>
      <c r="P170" s="346" t="s">
        <v>1239</v>
      </c>
      <c r="Q170" s="346" t="s">
        <v>324</v>
      </c>
      <c r="R170" s="346" t="s">
        <v>324</v>
      </c>
      <c r="S170" s="346" t="s">
        <v>1240</v>
      </c>
      <c r="T170" s="2" t="s">
        <v>1046</v>
      </c>
      <c r="U170" s="2">
        <v>12</v>
      </c>
      <c r="V170" s="2" cm="1">
        <f t="array" ref="V170">IFERROR(INDEX('Offer Statistics'!$BQ$2:$BQ$600,MATCH(1,(B170='Offer Statistics'!$BB$2:$BB$600)*($B$11='Offer Statistics'!$BC$2:$BC$600),0)),"/")</f>
        <v>14</v>
      </c>
      <c r="W170" s="2" cm="1">
        <f t="array" ref="W170">IFERROR(INDEX('Offer Statistics'!$BD$2:$BD$600,MATCH(1,($B170='Offer Statistics'!$BB$2:$BB$600)*($B$11='Offer Statistics'!$BC$2:$BC$600),0)),"/")</f>
        <v>95</v>
      </c>
      <c r="X170" s="2" cm="1">
        <f t="array" ref="X170">IFERROR(INDEX('Offer Statistics'!$BL$2:$BL$600,MATCH(1,($B170='Offer Statistics'!$BB$2:$BB$600)*($B$11='Offer Statistics'!$BC$2:$BC$600),0)),"/")</f>
        <v>14</v>
      </c>
      <c r="Y170" s="2">
        <f t="shared" si="215"/>
        <v>6.7857142857142856</v>
      </c>
      <c r="Z170" s="2" t="s">
        <v>1046</v>
      </c>
      <c r="AA170" s="435" t="str">
        <f>入學要求!AF179</f>
        <v>/</v>
      </c>
      <c r="AB170" s="435" t="str">
        <f>入學要求!AG179</f>
        <v>/</v>
      </c>
      <c r="AC170" s="425" t="s">
        <v>785</v>
      </c>
      <c r="AD170" s="346"/>
      <c r="AE170" s="346"/>
      <c r="AF170" s="346" t="s">
        <v>2402</v>
      </c>
      <c r="AG170" s="346" t="s">
        <v>324</v>
      </c>
      <c r="AH170" s="346" t="s">
        <v>1239</v>
      </c>
      <c r="AI170" s="346" t="s">
        <v>324</v>
      </c>
      <c r="AJ170" s="346" t="s">
        <v>324</v>
      </c>
      <c r="AK170" s="2" t="s">
        <v>324</v>
      </c>
      <c r="AL170" s="2" t="s">
        <v>324</v>
      </c>
      <c r="AM170" s="2" t="s">
        <v>324</v>
      </c>
      <c r="AN170" s="2" t="s">
        <v>324</v>
      </c>
      <c r="AO170" s="2" t="s">
        <v>324</v>
      </c>
      <c r="AP170" s="2" t="s">
        <v>324</v>
      </c>
      <c r="AQ170" s="2" t="s">
        <v>324</v>
      </c>
      <c r="AR170" s="2" t="s">
        <v>324</v>
      </c>
      <c r="AT170" s="2" t="s">
        <v>716</v>
      </c>
      <c r="AV170" s="2" t="s">
        <v>1196</v>
      </c>
      <c r="AZ170" s="2">
        <v>2</v>
      </c>
      <c r="BA170" s="2">
        <v>1</v>
      </c>
      <c r="BB170" s="2">
        <v>1</v>
      </c>
      <c r="BD170" s="2">
        <v>1</v>
      </c>
      <c r="BE170" s="2">
        <v>1</v>
      </c>
      <c r="BF170" s="2">
        <v>1</v>
      </c>
      <c r="BG170" s="2">
        <v>1</v>
      </c>
      <c r="BH170" s="2" t="str">
        <f t="shared" si="237"/>
        <v>JS4331</v>
      </c>
      <c r="BI170" s="197">
        <v>8.5</v>
      </c>
      <c r="BJ170" s="197">
        <v>4</v>
      </c>
      <c r="BK170" s="197">
        <v>5.5</v>
      </c>
      <c r="BL170" s="197" t="s">
        <v>324</v>
      </c>
      <c r="BM170" s="197" t="s">
        <v>324</v>
      </c>
      <c r="BN170" s="197">
        <v>8.5</v>
      </c>
      <c r="BO170" s="197">
        <v>5.5</v>
      </c>
      <c r="BP170" s="197" t="s">
        <v>324</v>
      </c>
      <c r="BQ170" s="194">
        <f t="shared" si="238"/>
        <v>8.50000000004</v>
      </c>
      <c r="BR170" s="194">
        <f t="shared" si="239"/>
        <v>4.00000000002</v>
      </c>
      <c r="BS170" s="194">
        <f t="shared" si="240"/>
        <v>5.50000000003</v>
      </c>
      <c r="BU170" s="194">
        <f t="shared" si="241"/>
        <v>0</v>
      </c>
      <c r="BV170" s="194">
        <f t="shared" si="242"/>
        <v>8.50000000006</v>
      </c>
      <c r="BW170" s="194">
        <f t="shared" si="243"/>
        <v>5.50000000007</v>
      </c>
      <c r="BX170" s="194">
        <f t="shared" si="244"/>
        <v>0</v>
      </c>
      <c r="BY170" s="2">
        <f t="shared" si="216"/>
        <v>17.00000000008</v>
      </c>
      <c r="BZ170" s="2">
        <f t="shared" si="217"/>
        <v>4.00000000002</v>
      </c>
      <c r="CA170" s="2">
        <f t="shared" si="218"/>
        <v>5.50000000003</v>
      </c>
      <c r="CC170" s="2">
        <f t="shared" si="219"/>
        <v>0</v>
      </c>
      <c r="CD170" s="2">
        <f t="shared" si="220"/>
        <v>8.50000000006</v>
      </c>
      <c r="CE170" s="2">
        <f t="shared" si="221"/>
        <v>5.50000000007</v>
      </c>
      <c r="CF170" s="2">
        <f t="shared" si="222"/>
        <v>0</v>
      </c>
      <c r="CG170" s="2" t="b">
        <f t="shared" si="245"/>
        <v>1</v>
      </c>
      <c r="CH170" s="2" t="b">
        <f t="shared" si="246"/>
        <v>1</v>
      </c>
      <c r="CI170" s="2" t="b">
        <f t="shared" si="247"/>
        <v>1</v>
      </c>
      <c r="CK170" s="2" t="b">
        <f t="shared" si="248"/>
        <v>0</v>
      </c>
      <c r="CL170" s="2" t="b">
        <f t="shared" si="249"/>
        <v>1</v>
      </c>
      <c r="CM170" s="2" t="b">
        <f t="shared" si="250"/>
        <v>1</v>
      </c>
      <c r="CN170" s="2" t="b">
        <f t="shared" si="251"/>
        <v>0</v>
      </c>
      <c r="CO170" s="2">
        <v>2</v>
      </c>
      <c r="CP170" s="2">
        <v>1</v>
      </c>
      <c r="CQ170" s="2">
        <v>1</v>
      </c>
      <c r="CS170" s="2">
        <v>1</v>
      </c>
      <c r="CT170" s="2">
        <v>1</v>
      </c>
      <c r="CU170" s="2">
        <v>1</v>
      </c>
      <c r="CV170" s="2">
        <v>1</v>
      </c>
      <c r="CX170" s="2">
        <v>8.5</v>
      </c>
      <c r="CY170" s="2">
        <v>4</v>
      </c>
      <c r="CZ170" s="2">
        <v>5.5</v>
      </c>
      <c r="DB170" s="2" t="s">
        <v>324</v>
      </c>
      <c r="DC170" s="2">
        <v>7</v>
      </c>
      <c r="DD170" s="2">
        <v>5.5</v>
      </c>
      <c r="DE170" s="2">
        <v>5.5</v>
      </c>
      <c r="DF170" s="194">
        <f t="shared" si="252"/>
        <v>8.50000000004</v>
      </c>
      <c r="DG170" s="194">
        <f t="shared" si="253"/>
        <v>4.00000000002</v>
      </c>
      <c r="DH170" s="194">
        <f t="shared" si="254"/>
        <v>5.50000000003</v>
      </c>
      <c r="DJ170" s="194">
        <f t="shared" si="255"/>
        <v>0</v>
      </c>
      <c r="DK170" s="194">
        <f t="shared" si="256"/>
        <v>7.00000000006</v>
      </c>
      <c r="DL170" s="194">
        <f t="shared" si="257"/>
        <v>5.50000000007</v>
      </c>
      <c r="DM170" s="194">
        <f t="shared" si="258"/>
        <v>5.50000000008</v>
      </c>
      <c r="DN170" s="2">
        <f t="shared" si="224"/>
        <v>17.00000000008</v>
      </c>
      <c r="DO170" s="2">
        <f t="shared" si="225"/>
        <v>4.00000000002</v>
      </c>
      <c r="DP170" s="2">
        <f t="shared" si="226"/>
        <v>5.50000000003</v>
      </c>
      <c r="DR170" s="2">
        <f t="shared" si="227"/>
        <v>0</v>
      </c>
      <c r="DS170" s="2">
        <f t="shared" si="228"/>
        <v>7.00000000006</v>
      </c>
      <c r="DT170" s="2">
        <f t="shared" si="229"/>
        <v>5.50000000007</v>
      </c>
      <c r="DU170" s="2">
        <f t="shared" si="230"/>
        <v>5.50000000008</v>
      </c>
      <c r="DV170" s="2" t="b">
        <f t="shared" si="259"/>
        <v>1</v>
      </c>
      <c r="DW170" s="2" t="b">
        <f t="shared" si="260"/>
        <v>0</v>
      </c>
      <c r="DX170" s="2" t="b">
        <f t="shared" si="261"/>
        <v>1</v>
      </c>
      <c r="DZ170" s="2" t="b">
        <f t="shared" si="262"/>
        <v>0</v>
      </c>
      <c r="EA170" s="2" t="b">
        <f t="shared" si="263"/>
        <v>1</v>
      </c>
      <c r="EB170" s="2" t="b">
        <f t="shared" si="264"/>
        <v>1</v>
      </c>
      <c r="EC170" s="2" t="b">
        <f t="shared" si="265"/>
        <v>1</v>
      </c>
      <c r="ED170" s="2">
        <v>2</v>
      </c>
      <c r="EE170" s="2">
        <v>1</v>
      </c>
      <c r="EF170" s="2">
        <v>1</v>
      </c>
      <c r="EH170" s="2">
        <v>1</v>
      </c>
      <c r="EI170" s="2">
        <v>1</v>
      </c>
      <c r="EJ170" s="2">
        <v>1</v>
      </c>
      <c r="EK170" s="2">
        <v>1</v>
      </c>
      <c r="EL170" s="2">
        <v>8.5</v>
      </c>
      <c r="EM170" s="2">
        <v>7</v>
      </c>
      <c r="EN170" s="2">
        <v>5.5</v>
      </c>
      <c r="EP170" s="2" t="s">
        <v>324</v>
      </c>
      <c r="EQ170" s="2">
        <v>7</v>
      </c>
      <c r="ER170" s="2">
        <v>5.5</v>
      </c>
      <c r="ES170" s="2" t="s">
        <v>324</v>
      </c>
      <c r="ET170" s="194">
        <f t="shared" si="266"/>
        <v>8.50000000004</v>
      </c>
      <c r="EU170" s="194">
        <f t="shared" si="267"/>
        <v>7.00000000002</v>
      </c>
      <c r="EV170" s="194">
        <f t="shared" si="268"/>
        <v>5.50000000003</v>
      </c>
      <c r="EW170" s="194">
        <f t="shared" si="269"/>
        <v>9.9999999999999994E-12</v>
      </c>
      <c r="EX170" s="194">
        <f t="shared" si="270"/>
        <v>0</v>
      </c>
      <c r="EY170" s="194">
        <f t="shared" si="271"/>
        <v>7.00000000006</v>
      </c>
      <c r="EZ170" s="194">
        <f t="shared" si="272"/>
        <v>5.50000000007</v>
      </c>
      <c r="FA170" s="194">
        <f t="shared" si="273"/>
        <v>0</v>
      </c>
      <c r="FB170" s="2">
        <f t="shared" si="274"/>
        <v>17.00000000008</v>
      </c>
      <c r="FC170" s="2">
        <f t="shared" si="275"/>
        <v>7.00000000002</v>
      </c>
      <c r="FD170" s="2">
        <f t="shared" si="276"/>
        <v>5.50000000003</v>
      </c>
      <c r="FE170" s="2">
        <f t="shared" si="277"/>
        <v>0</v>
      </c>
      <c r="FF170" s="2">
        <f t="shared" si="278"/>
        <v>0</v>
      </c>
      <c r="FG170" s="2">
        <f t="shared" si="279"/>
        <v>7.00000000006</v>
      </c>
      <c r="FH170" s="2">
        <f t="shared" si="280"/>
        <v>5.50000000007</v>
      </c>
      <c r="FI170" s="2">
        <f t="shared" si="281"/>
        <v>0</v>
      </c>
      <c r="FJ170" s="2" t="b">
        <f t="shared" si="282"/>
        <v>1</v>
      </c>
      <c r="FK170" s="2" t="b">
        <f t="shared" si="283"/>
        <v>1</v>
      </c>
      <c r="FL170" s="2" t="b">
        <f t="shared" si="284"/>
        <v>1</v>
      </c>
      <c r="FM170" s="2" t="b">
        <f t="shared" si="285"/>
        <v>0</v>
      </c>
      <c r="FN170" s="2" t="b">
        <f t="shared" si="286"/>
        <v>0</v>
      </c>
      <c r="FO170" s="2" t="b">
        <f t="shared" si="287"/>
        <v>1</v>
      </c>
      <c r="FP170" s="2" t="b">
        <f t="shared" si="288"/>
        <v>1</v>
      </c>
      <c r="FQ170" s="2" t="b">
        <f t="shared" si="289"/>
        <v>0</v>
      </c>
    </row>
    <row r="171" spans="1:173" ht="15.6">
      <c r="A171" s="335" t="s">
        <v>1241</v>
      </c>
      <c r="B171" s="346" t="s">
        <v>1241</v>
      </c>
      <c r="C171" s="346" t="s">
        <v>227</v>
      </c>
      <c r="D171" s="346" t="s">
        <v>1234</v>
      </c>
      <c r="E171" s="346" t="s">
        <v>1242</v>
      </c>
      <c r="F171" s="2" t="s">
        <v>785</v>
      </c>
      <c r="G171" s="2" t="s">
        <v>324</v>
      </c>
      <c r="H171" s="2">
        <v>37.5</v>
      </c>
      <c r="I171" s="2">
        <v>34.5</v>
      </c>
      <c r="J171" s="2">
        <v>33</v>
      </c>
      <c r="K171" s="435">
        <f t="shared" si="234"/>
        <v>37.500000000250004</v>
      </c>
      <c r="L171" s="435">
        <f t="shared" si="235"/>
        <v>34.500000000290001</v>
      </c>
      <c r="M171" s="435">
        <f t="shared" si="236"/>
        <v>33.000000000279996</v>
      </c>
      <c r="N171" s="346" t="s">
        <v>786</v>
      </c>
      <c r="O171" s="346" t="s">
        <v>324</v>
      </c>
      <c r="P171" s="346" t="s">
        <v>770</v>
      </c>
      <c r="Q171" s="346" t="s">
        <v>324</v>
      </c>
      <c r="R171" s="346" t="s">
        <v>324</v>
      </c>
      <c r="S171" s="346" t="s">
        <v>1243</v>
      </c>
      <c r="T171" s="2" t="s">
        <v>1046</v>
      </c>
      <c r="U171" s="2">
        <v>12</v>
      </c>
      <c r="V171" s="2" cm="1">
        <f t="array" ref="V171">IFERROR(INDEX('Offer Statistics'!$BQ$2:$BQ$600,MATCH(1,(B171='Offer Statistics'!$BB$2:$BB$600)*($B$11='Offer Statistics'!$BC$2:$BC$600),0)),"/")</f>
        <v>14</v>
      </c>
      <c r="W171" s="2" cm="1">
        <f t="array" ref="W171">IFERROR(INDEX('Offer Statistics'!$BD$2:$BD$600,MATCH(1,($B171='Offer Statistics'!$BB$2:$BB$600)*($B$11='Offer Statistics'!$BC$2:$BC$600),0)),"/")</f>
        <v>60</v>
      </c>
      <c r="X171" s="2" cm="1">
        <f t="array" ref="X171">IFERROR(INDEX('Offer Statistics'!$BL$2:$BL$600,MATCH(1,($B171='Offer Statistics'!$BB$2:$BB$600)*($B$11='Offer Statistics'!$BC$2:$BC$600),0)),"/")</f>
        <v>14</v>
      </c>
      <c r="Y171" s="2">
        <f t="shared" si="215"/>
        <v>4.2857142857142856</v>
      </c>
      <c r="Z171" s="2" t="s">
        <v>1046</v>
      </c>
      <c r="AA171" s="435" t="str">
        <f>入學要求!AF180</f>
        <v>/</v>
      </c>
      <c r="AB171" s="435" t="str">
        <f>入學要求!AG180</f>
        <v>/</v>
      </c>
      <c r="AC171" s="425" t="s">
        <v>785</v>
      </c>
      <c r="AD171" s="346"/>
      <c r="AE171" s="346"/>
      <c r="AF171" s="346" t="s">
        <v>783</v>
      </c>
      <c r="AG171" s="346" t="s">
        <v>324</v>
      </c>
      <c r="AH171" s="346" t="s">
        <v>770</v>
      </c>
      <c r="AI171" s="346" t="s">
        <v>324</v>
      </c>
      <c r="AJ171" s="346" t="s">
        <v>324</v>
      </c>
      <c r="AK171" s="2" t="s">
        <v>324</v>
      </c>
      <c r="AL171" s="2" t="s">
        <v>324</v>
      </c>
      <c r="AM171" s="2" t="s">
        <v>324</v>
      </c>
      <c r="AN171" s="2" t="s">
        <v>324</v>
      </c>
      <c r="AO171" s="2" t="s">
        <v>324</v>
      </c>
      <c r="AP171" s="2" t="s">
        <v>324</v>
      </c>
      <c r="AQ171" s="2" t="s">
        <v>324</v>
      </c>
      <c r="AR171" s="2" t="s">
        <v>324</v>
      </c>
      <c r="AT171" s="2" t="s">
        <v>716</v>
      </c>
      <c r="AV171" s="2" t="s">
        <v>713</v>
      </c>
      <c r="AZ171" s="2">
        <v>1</v>
      </c>
      <c r="BA171" s="2">
        <v>2</v>
      </c>
      <c r="BB171" s="2">
        <v>1</v>
      </c>
      <c r="BD171" s="2">
        <v>1</v>
      </c>
      <c r="BE171" s="2">
        <v>1</v>
      </c>
      <c r="BF171" s="2">
        <v>1</v>
      </c>
      <c r="BG171" s="2">
        <v>1</v>
      </c>
      <c r="BH171" s="2" t="str">
        <f t="shared" si="237"/>
        <v>JS4343</v>
      </c>
      <c r="BI171" s="197">
        <v>3</v>
      </c>
      <c r="BJ171" s="197">
        <v>7</v>
      </c>
      <c r="BK171" s="197">
        <v>4</v>
      </c>
      <c r="BL171" s="197" t="s">
        <v>324</v>
      </c>
      <c r="BM171" s="197">
        <v>3</v>
      </c>
      <c r="BN171" s="197">
        <v>5.5</v>
      </c>
      <c r="BO171" s="197">
        <v>5.5</v>
      </c>
      <c r="BP171" s="197">
        <v>4</v>
      </c>
      <c r="BQ171" s="194">
        <f t="shared" si="238"/>
        <v>3.00000000004</v>
      </c>
      <c r="BR171" s="194">
        <f t="shared" si="239"/>
        <v>7.00000000002</v>
      </c>
      <c r="BS171" s="194">
        <f t="shared" si="240"/>
        <v>4.00000000003</v>
      </c>
      <c r="BU171" s="194">
        <f t="shared" si="241"/>
        <v>3.00000000005</v>
      </c>
      <c r="BV171" s="194">
        <f t="shared" si="242"/>
        <v>5.50000000006</v>
      </c>
      <c r="BW171" s="194">
        <f t="shared" si="243"/>
        <v>5.50000000007</v>
      </c>
      <c r="BX171" s="194">
        <f t="shared" si="244"/>
        <v>4.00000000008</v>
      </c>
      <c r="BY171" s="2">
        <f t="shared" si="216"/>
        <v>3.00000000004</v>
      </c>
      <c r="BZ171" s="2">
        <f t="shared" si="217"/>
        <v>14.00000000004</v>
      </c>
      <c r="CA171" s="2">
        <f t="shared" si="218"/>
        <v>4.00000000003</v>
      </c>
      <c r="CC171" s="2">
        <f t="shared" si="219"/>
        <v>3.00000000005</v>
      </c>
      <c r="CD171" s="2">
        <f t="shared" si="220"/>
        <v>5.50000000006</v>
      </c>
      <c r="CE171" s="2">
        <f t="shared" si="221"/>
        <v>5.50000000007</v>
      </c>
      <c r="CF171" s="2">
        <f t="shared" si="222"/>
        <v>4.00000000008</v>
      </c>
      <c r="CG171" s="2" t="b">
        <f t="shared" si="245"/>
        <v>0</v>
      </c>
      <c r="CH171" s="2" t="b">
        <f t="shared" si="246"/>
        <v>1</v>
      </c>
      <c r="CI171" s="2" t="b">
        <f t="shared" si="247"/>
        <v>1</v>
      </c>
      <c r="CK171" s="2" t="b">
        <f t="shared" si="248"/>
        <v>0</v>
      </c>
      <c r="CL171" s="2" t="b">
        <f t="shared" si="249"/>
        <v>1</v>
      </c>
      <c r="CM171" s="2" t="b">
        <f t="shared" si="250"/>
        <v>1</v>
      </c>
      <c r="CN171" s="2" t="b">
        <f t="shared" si="251"/>
        <v>1</v>
      </c>
      <c r="CO171" s="2">
        <v>1</v>
      </c>
      <c r="CP171" s="2">
        <v>2</v>
      </c>
      <c r="CQ171" s="2">
        <v>1</v>
      </c>
      <c r="CS171" s="2">
        <v>1</v>
      </c>
      <c r="CT171" s="2">
        <v>1</v>
      </c>
      <c r="CU171" s="2">
        <v>1</v>
      </c>
      <c r="CV171" s="2">
        <v>1</v>
      </c>
      <c r="CX171" s="2">
        <v>5.5</v>
      </c>
      <c r="CY171" s="2">
        <v>7</v>
      </c>
      <c r="CZ171" s="2">
        <v>4</v>
      </c>
      <c r="DB171" s="2" t="s">
        <v>324</v>
      </c>
      <c r="DC171" s="2">
        <v>5.5</v>
      </c>
      <c r="DD171" s="2">
        <v>5.5</v>
      </c>
      <c r="DE171" s="2">
        <v>4</v>
      </c>
      <c r="DF171" s="194">
        <f t="shared" si="252"/>
        <v>5.50000000004</v>
      </c>
      <c r="DG171" s="194">
        <f t="shared" si="253"/>
        <v>7.00000000002</v>
      </c>
      <c r="DH171" s="194">
        <f t="shared" si="254"/>
        <v>4.00000000003</v>
      </c>
      <c r="DJ171" s="194">
        <f t="shared" si="255"/>
        <v>0</v>
      </c>
      <c r="DK171" s="194">
        <f t="shared" si="256"/>
        <v>5.50000000006</v>
      </c>
      <c r="DL171" s="194">
        <f t="shared" si="257"/>
        <v>5.50000000007</v>
      </c>
      <c r="DM171" s="194">
        <f t="shared" si="258"/>
        <v>4.00000000008</v>
      </c>
      <c r="DN171" s="2">
        <f t="shared" si="224"/>
        <v>5.50000000004</v>
      </c>
      <c r="DO171" s="2">
        <f t="shared" si="225"/>
        <v>14.00000000004</v>
      </c>
      <c r="DP171" s="2">
        <f t="shared" si="226"/>
        <v>4.00000000003</v>
      </c>
      <c r="DR171" s="2">
        <f t="shared" si="227"/>
        <v>0</v>
      </c>
      <c r="DS171" s="2">
        <f t="shared" si="228"/>
        <v>5.50000000006</v>
      </c>
      <c r="DT171" s="2">
        <f t="shared" si="229"/>
        <v>5.50000000007</v>
      </c>
      <c r="DU171" s="2">
        <f t="shared" si="230"/>
        <v>4.00000000008</v>
      </c>
      <c r="DV171" s="2" t="b">
        <f t="shared" si="259"/>
        <v>1</v>
      </c>
      <c r="DW171" s="2" t="b">
        <f t="shared" si="260"/>
        <v>1</v>
      </c>
      <c r="DX171" s="2" t="b">
        <f t="shared" si="261"/>
        <v>0</v>
      </c>
      <c r="DZ171" s="2" t="b">
        <f t="shared" si="262"/>
        <v>0</v>
      </c>
      <c r="EA171" s="2" t="b">
        <f t="shared" si="263"/>
        <v>1</v>
      </c>
      <c r="EB171" s="2" t="b">
        <f t="shared" si="264"/>
        <v>1</v>
      </c>
      <c r="EC171" s="2" t="b">
        <f t="shared" si="265"/>
        <v>1</v>
      </c>
      <c r="ED171" s="2">
        <v>1</v>
      </c>
      <c r="EE171" s="2">
        <v>2</v>
      </c>
      <c r="EF171" s="2">
        <v>1</v>
      </c>
      <c r="EH171" s="2">
        <v>1</v>
      </c>
      <c r="EI171" s="2">
        <v>1</v>
      </c>
      <c r="EJ171" s="2">
        <v>1</v>
      </c>
      <c r="EK171" s="2">
        <v>1</v>
      </c>
      <c r="EL171" s="2">
        <v>4</v>
      </c>
      <c r="EM171" s="2">
        <v>8.5</v>
      </c>
      <c r="EN171" s="2">
        <v>7</v>
      </c>
      <c r="EP171" s="2">
        <v>4</v>
      </c>
      <c r="EQ171" s="2">
        <v>5.5</v>
      </c>
      <c r="ER171" s="2">
        <v>4</v>
      </c>
      <c r="ES171" s="2" t="s">
        <v>324</v>
      </c>
      <c r="ET171" s="194">
        <f t="shared" si="266"/>
        <v>4.00000000004</v>
      </c>
      <c r="EU171" s="194">
        <f t="shared" si="267"/>
        <v>8.50000000002</v>
      </c>
      <c r="EV171" s="194">
        <f t="shared" si="268"/>
        <v>7.00000000003</v>
      </c>
      <c r="EW171" s="194">
        <f t="shared" si="269"/>
        <v>9.9999999999999994E-12</v>
      </c>
      <c r="EX171" s="194">
        <f t="shared" si="270"/>
        <v>4.00000000005</v>
      </c>
      <c r="EY171" s="194">
        <f t="shared" si="271"/>
        <v>5.50000000006</v>
      </c>
      <c r="EZ171" s="194">
        <f t="shared" si="272"/>
        <v>4.00000000007</v>
      </c>
      <c r="FA171" s="194">
        <f t="shared" si="273"/>
        <v>0</v>
      </c>
      <c r="FB171" s="2">
        <f t="shared" ref="FB171:FB203" si="299">ET171*ED171</f>
        <v>4.00000000004</v>
      </c>
      <c r="FC171" s="2">
        <f t="shared" ref="FC171:FC215" si="300">EU171*EE171</f>
        <v>17.00000000004</v>
      </c>
      <c r="FD171" s="2">
        <f t="shared" ref="FD171:FD215" si="301">EV171*EF171</f>
        <v>7.00000000003</v>
      </c>
      <c r="FE171" s="2">
        <f t="shared" ref="FE171:FE215" si="302">EW171*EG171</f>
        <v>0</v>
      </c>
      <c r="FF171" s="2">
        <f t="shared" ref="FF171:FF215" si="303">EX171*EH171</f>
        <v>4.00000000005</v>
      </c>
      <c r="FG171" s="2">
        <f t="shared" ref="FG171:FG215" si="304">EY171*EI171</f>
        <v>5.50000000006</v>
      </c>
      <c r="FH171" s="2">
        <f t="shared" ref="FH171:FH215" si="305">EZ171*EJ171</f>
        <v>4.00000000007</v>
      </c>
      <c r="FI171" s="2">
        <f t="shared" ref="FI171:FI215" si="306">FA171*EK171</f>
        <v>0</v>
      </c>
      <c r="FJ171" s="2" t="b">
        <f t="shared" si="282"/>
        <v>0</v>
      </c>
      <c r="FK171" s="2" t="b">
        <f t="shared" si="283"/>
        <v>1</v>
      </c>
      <c r="FL171" s="2" t="b">
        <f t="shared" si="284"/>
        <v>1</v>
      </c>
      <c r="FM171" s="2" t="b">
        <f t="shared" si="285"/>
        <v>0</v>
      </c>
      <c r="FN171" s="2" t="b">
        <f t="shared" si="286"/>
        <v>1</v>
      </c>
      <c r="FO171" s="2" t="b">
        <f t="shared" si="287"/>
        <v>1</v>
      </c>
      <c r="FP171" s="2" t="b">
        <f t="shared" si="288"/>
        <v>1</v>
      </c>
      <c r="FQ171" s="2" t="b">
        <f t="shared" si="289"/>
        <v>0</v>
      </c>
    </row>
    <row r="172" spans="1:173" ht="15.6">
      <c r="A172" s="335" t="s">
        <v>330</v>
      </c>
      <c r="B172" s="346" t="s">
        <v>330</v>
      </c>
      <c r="C172" s="346" t="s">
        <v>227</v>
      </c>
      <c r="D172" s="346" t="s">
        <v>1234</v>
      </c>
      <c r="E172" s="346" t="s">
        <v>1244</v>
      </c>
      <c r="F172" s="2" t="s">
        <v>785</v>
      </c>
      <c r="G172" s="2" t="s">
        <v>324</v>
      </c>
      <c r="H172" s="2">
        <v>53</v>
      </c>
      <c r="I172" s="2">
        <v>50.75</v>
      </c>
      <c r="J172" s="2">
        <v>50.75</v>
      </c>
      <c r="K172" s="435">
        <f t="shared" si="234"/>
        <v>53.000000000389996</v>
      </c>
      <c r="L172" s="435">
        <f t="shared" si="235"/>
        <v>50.750000000349999</v>
      </c>
      <c r="M172" s="435">
        <f t="shared" si="236"/>
        <v>50.750000000379998</v>
      </c>
      <c r="N172" s="346" t="s">
        <v>3040</v>
      </c>
      <c r="O172" s="346" t="s">
        <v>324</v>
      </c>
      <c r="P172" s="346" t="s">
        <v>1245</v>
      </c>
      <c r="Q172" s="346" t="s">
        <v>1246</v>
      </c>
      <c r="R172" s="346" t="s">
        <v>1249</v>
      </c>
      <c r="S172" s="346" t="s">
        <v>1247</v>
      </c>
      <c r="T172" s="2" t="s">
        <v>1046</v>
      </c>
      <c r="U172" s="2">
        <v>12</v>
      </c>
      <c r="V172" s="2" cm="1">
        <f t="array" ref="V172">IFERROR(INDEX('Offer Statistics'!$BQ$2:$BQ$600,MATCH(1,(B172='Offer Statistics'!$BB$2:$BB$600)*($B$11='Offer Statistics'!$BC$2:$BC$600),0)),"/")</f>
        <v>15</v>
      </c>
      <c r="W172" s="2" cm="1">
        <f t="array" ref="W172">IFERROR(INDEX('Offer Statistics'!$BD$2:$BD$600,MATCH(1,($B172='Offer Statistics'!$BB$2:$BB$600)*($B$11='Offer Statistics'!$BC$2:$BC$600),0)),"/")</f>
        <v>104</v>
      </c>
      <c r="X172" s="2" cm="1">
        <f t="array" ref="X172">IFERROR(INDEX('Offer Statistics'!$BL$2:$BL$600,MATCH(1,($B172='Offer Statistics'!$BB$2:$BB$600)*($B$11='Offer Statistics'!$BC$2:$BC$600),0)),"/")</f>
        <v>15</v>
      </c>
      <c r="Y172" s="2">
        <f t="shared" si="215"/>
        <v>6.9333333333333336</v>
      </c>
      <c r="Z172" s="2" t="s">
        <v>1046</v>
      </c>
      <c r="AA172" s="435" t="str">
        <f>入學要求!AF181</f>
        <v>M1/2 需取得Lv.3或以上</v>
      </c>
      <c r="AB172" s="435" t="str">
        <f>入學要求!AG181</f>
        <v>/</v>
      </c>
      <c r="AC172" s="425" t="s">
        <v>785</v>
      </c>
      <c r="AD172" s="346"/>
      <c r="AE172" s="346"/>
      <c r="AF172" s="346" t="s">
        <v>1248</v>
      </c>
      <c r="AG172" s="346" t="s">
        <v>324</v>
      </c>
      <c r="AH172" s="346" t="s">
        <v>1245</v>
      </c>
      <c r="AI172" s="346" t="s">
        <v>1246</v>
      </c>
      <c r="AJ172" s="346" t="s">
        <v>1249</v>
      </c>
      <c r="AK172" s="2" t="s">
        <v>324</v>
      </c>
      <c r="AL172" s="2" t="s">
        <v>324</v>
      </c>
      <c r="AM172" s="2" t="s">
        <v>324</v>
      </c>
      <c r="AN172" s="2" t="s">
        <v>324</v>
      </c>
      <c r="AO172" s="2" t="s">
        <v>324</v>
      </c>
      <c r="AP172" s="2" t="s">
        <v>324</v>
      </c>
      <c r="AQ172" s="2" t="s">
        <v>324</v>
      </c>
      <c r="AR172" s="2" t="s">
        <v>324</v>
      </c>
      <c r="AT172" s="2" t="s">
        <v>716</v>
      </c>
      <c r="AV172" s="2" t="s">
        <v>1196</v>
      </c>
      <c r="AZ172" s="469">
        <v>1.5</v>
      </c>
      <c r="BA172" s="471">
        <v>1</v>
      </c>
      <c r="BB172" s="2">
        <v>2</v>
      </c>
      <c r="BD172" s="2">
        <v>2</v>
      </c>
      <c r="BE172" s="2">
        <v>1.5</v>
      </c>
      <c r="BF172" s="2">
        <v>1</v>
      </c>
      <c r="BG172" s="2">
        <v>1</v>
      </c>
      <c r="BH172" s="2" t="str">
        <f t="shared" si="237"/>
        <v>JS4361</v>
      </c>
      <c r="BI172" s="197">
        <v>4</v>
      </c>
      <c r="BJ172" s="197">
        <v>3</v>
      </c>
      <c r="BK172" s="197">
        <v>7</v>
      </c>
      <c r="BL172" s="197" t="s">
        <v>324</v>
      </c>
      <c r="BM172" s="197">
        <v>5.5</v>
      </c>
      <c r="BN172" s="197">
        <v>8.5</v>
      </c>
      <c r="BO172" s="197">
        <v>7</v>
      </c>
      <c r="BP172" s="197" t="s">
        <v>324</v>
      </c>
      <c r="BQ172" s="194">
        <f t="shared" si="238"/>
        <v>4.00000000004</v>
      </c>
      <c r="BR172" s="194">
        <f t="shared" si="239"/>
        <v>3.00000000002</v>
      </c>
      <c r="BS172" s="194">
        <f t="shared" si="240"/>
        <v>7.00000000003</v>
      </c>
      <c r="BU172" s="194">
        <f t="shared" si="241"/>
        <v>5.50000000005</v>
      </c>
      <c r="BV172" s="194">
        <f t="shared" si="242"/>
        <v>8.50000000006</v>
      </c>
      <c r="BW172" s="194">
        <f t="shared" si="243"/>
        <v>7.00000000007</v>
      </c>
      <c r="BX172" s="194">
        <f t="shared" si="244"/>
        <v>0</v>
      </c>
      <c r="BY172" s="2">
        <f t="shared" si="216"/>
        <v>6.00000000006</v>
      </c>
      <c r="BZ172" s="2">
        <f t="shared" si="217"/>
        <v>3.00000000002</v>
      </c>
      <c r="CA172" s="2">
        <f t="shared" si="218"/>
        <v>14.00000000006</v>
      </c>
      <c r="CC172" s="2">
        <f t="shared" si="219"/>
        <v>11.0000000001</v>
      </c>
      <c r="CD172" s="2">
        <f t="shared" si="220"/>
        <v>12.750000000090001</v>
      </c>
      <c r="CE172" s="2">
        <f t="shared" si="221"/>
        <v>7.00000000007</v>
      </c>
      <c r="CF172" s="2">
        <f t="shared" si="222"/>
        <v>0</v>
      </c>
      <c r="CG172" s="2" t="b">
        <f t="shared" si="245"/>
        <v>1</v>
      </c>
      <c r="CH172" s="2" t="b">
        <f t="shared" si="246"/>
        <v>0</v>
      </c>
      <c r="CI172" s="2" t="b">
        <f t="shared" si="247"/>
        <v>1</v>
      </c>
      <c r="CK172" s="2" t="b">
        <f t="shared" si="248"/>
        <v>1</v>
      </c>
      <c r="CL172" s="2" t="b">
        <f t="shared" si="249"/>
        <v>1</v>
      </c>
      <c r="CM172" s="2" t="b">
        <f t="shared" si="250"/>
        <v>1</v>
      </c>
      <c r="CN172" s="2" t="b">
        <f t="shared" si="251"/>
        <v>0</v>
      </c>
      <c r="CO172" s="2">
        <v>1</v>
      </c>
      <c r="CP172" s="193">
        <v>1.5</v>
      </c>
      <c r="CQ172" s="2">
        <v>2</v>
      </c>
      <c r="CS172" s="2">
        <v>2</v>
      </c>
      <c r="CT172" s="2">
        <v>1.5</v>
      </c>
      <c r="CU172" s="2">
        <v>1</v>
      </c>
      <c r="CV172" s="2">
        <v>1</v>
      </c>
      <c r="CX172" s="2">
        <v>4</v>
      </c>
      <c r="CY172" s="2">
        <v>4</v>
      </c>
      <c r="CZ172" s="2">
        <v>7</v>
      </c>
      <c r="DB172" s="2">
        <v>8.5</v>
      </c>
      <c r="DC172" s="2">
        <v>5.5</v>
      </c>
      <c r="DD172" s="2">
        <v>5.5</v>
      </c>
      <c r="DE172" s="2" t="s">
        <v>324</v>
      </c>
      <c r="DF172" s="194">
        <f t="shared" si="252"/>
        <v>4.00000000004</v>
      </c>
      <c r="DG172" s="194">
        <f t="shared" si="253"/>
        <v>4.00000000002</v>
      </c>
      <c r="DH172" s="194">
        <f t="shared" si="254"/>
        <v>7.00000000003</v>
      </c>
      <c r="DJ172" s="194">
        <f t="shared" si="255"/>
        <v>8.5000000000499991</v>
      </c>
      <c r="DK172" s="194">
        <f t="shared" si="256"/>
        <v>5.50000000006</v>
      </c>
      <c r="DL172" s="194">
        <f t="shared" si="257"/>
        <v>5.50000000007</v>
      </c>
      <c r="DM172" s="194">
        <f t="shared" si="258"/>
        <v>0</v>
      </c>
      <c r="DN172" s="2">
        <f t="shared" si="224"/>
        <v>4.00000000004</v>
      </c>
      <c r="DO172" s="2">
        <f t="shared" si="225"/>
        <v>6.00000000003</v>
      </c>
      <c r="DP172" s="2">
        <f t="shared" si="226"/>
        <v>14.00000000006</v>
      </c>
      <c r="DR172" s="2">
        <f t="shared" si="227"/>
        <v>17.000000000099998</v>
      </c>
      <c r="DS172" s="2">
        <f t="shared" si="228"/>
        <v>8.2500000000900009</v>
      </c>
      <c r="DT172" s="2">
        <f t="shared" si="229"/>
        <v>5.50000000007</v>
      </c>
      <c r="DU172" s="2">
        <f t="shared" si="230"/>
        <v>0</v>
      </c>
      <c r="DV172" s="2" t="b">
        <f t="shared" si="259"/>
        <v>0</v>
      </c>
      <c r="DW172" s="2" t="b">
        <f t="shared" si="260"/>
        <v>1</v>
      </c>
      <c r="DX172" s="2" t="b">
        <f t="shared" si="261"/>
        <v>1</v>
      </c>
      <c r="DZ172" s="2" t="b">
        <f t="shared" si="262"/>
        <v>1</v>
      </c>
      <c r="EA172" s="2" t="b">
        <f t="shared" si="263"/>
        <v>1</v>
      </c>
      <c r="EB172" s="2" t="b">
        <f t="shared" si="264"/>
        <v>1</v>
      </c>
      <c r="EC172" s="2" t="b">
        <f t="shared" si="265"/>
        <v>0</v>
      </c>
      <c r="ED172" s="378">
        <v>1.5</v>
      </c>
      <c r="EE172" s="335">
        <v>1</v>
      </c>
      <c r="EF172" s="2">
        <v>2</v>
      </c>
      <c r="EH172" s="2">
        <v>2</v>
      </c>
      <c r="EI172" s="2">
        <v>1.5</v>
      </c>
      <c r="EJ172" s="2">
        <v>1</v>
      </c>
      <c r="EK172" s="2">
        <v>1</v>
      </c>
      <c r="EL172" s="2">
        <v>4</v>
      </c>
      <c r="EM172" s="2">
        <v>4</v>
      </c>
      <c r="EN172" s="2">
        <v>8.5</v>
      </c>
      <c r="EP172" s="2">
        <v>7</v>
      </c>
      <c r="EQ172" s="2">
        <v>7</v>
      </c>
      <c r="ER172" s="2">
        <v>5.5</v>
      </c>
      <c r="ES172" s="2">
        <v>5.5</v>
      </c>
      <c r="ET172" s="194">
        <f t="shared" si="266"/>
        <v>4.00000000004</v>
      </c>
      <c r="EU172" s="194">
        <f t="shared" si="267"/>
        <v>4.00000000002</v>
      </c>
      <c r="EV172" s="194">
        <f t="shared" si="268"/>
        <v>8.5000000000299991</v>
      </c>
      <c r="EW172" s="194">
        <f t="shared" si="269"/>
        <v>9.9999999999999994E-12</v>
      </c>
      <c r="EX172" s="194">
        <f t="shared" si="270"/>
        <v>7.00000000005</v>
      </c>
      <c r="EY172" s="194">
        <f t="shared" si="271"/>
        <v>7.00000000006</v>
      </c>
      <c r="EZ172" s="194">
        <f t="shared" si="272"/>
        <v>5.50000000007</v>
      </c>
      <c r="FA172" s="194">
        <f t="shared" si="273"/>
        <v>5.50000000008</v>
      </c>
      <c r="FB172" s="2">
        <f t="shared" si="299"/>
        <v>6.00000000006</v>
      </c>
      <c r="FC172" s="2">
        <f t="shared" si="300"/>
        <v>4.00000000002</v>
      </c>
      <c r="FD172" s="2">
        <f t="shared" si="301"/>
        <v>17.000000000059998</v>
      </c>
      <c r="FE172" s="2">
        <f t="shared" si="302"/>
        <v>0</v>
      </c>
      <c r="FF172" s="2">
        <f t="shared" si="303"/>
        <v>14.0000000001</v>
      </c>
      <c r="FG172" s="2">
        <f t="shared" si="304"/>
        <v>10.500000000090001</v>
      </c>
      <c r="FH172" s="2">
        <f t="shared" si="305"/>
        <v>5.50000000007</v>
      </c>
      <c r="FI172" s="2">
        <f t="shared" si="306"/>
        <v>5.50000000008</v>
      </c>
      <c r="FJ172" s="2" t="b">
        <f t="shared" si="282"/>
        <v>1</v>
      </c>
      <c r="FK172" s="2" t="b">
        <f t="shared" si="283"/>
        <v>0</v>
      </c>
      <c r="FL172" s="2" t="b">
        <f t="shared" si="284"/>
        <v>1</v>
      </c>
      <c r="FM172" s="2" t="b">
        <f t="shared" si="285"/>
        <v>0</v>
      </c>
      <c r="FN172" s="2" t="b">
        <f t="shared" si="286"/>
        <v>1</v>
      </c>
      <c r="FO172" s="2" t="b">
        <f t="shared" si="287"/>
        <v>1</v>
      </c>
      <c r="FP172" s="2" t="b">
        <f t="shared" si="288"/>
        <v>0</v>
      </c>
      <c r="FQ172" s="2" t="b">
        <f t="shared" si="289"/>
        <v>1</v>
      </c>
    </row>
    <row r="173" spans="1:173" ht="15.6">
      <c r="A173" s="335" t="s">
        <v>1250</v>
      </c>
      <c r="B173" s="346" t="s">
        <v>1250</v>
      </c>
      <c r="C173" s="346" t="s">
        <v>227</v>
      </c>
      <c r="D173" s="346" t="s">
        <v>1234</v>
      </c>
      <c r="E173" s="346" t="s">
        <v>1251</v>
      </c>
      <c r="F173" s="2" t="s">
        <v>785</v>
      </c>
      <c r="G173" s="2" t="s">
        <v>324</v>
      </c>
      <c r="H173" s="2">
        <v>24.5</v>
      </c>
      <c r="I173" s="2">
        <v>23</v>
      </c>
      <c r="J173" s="2">
        <v>21.5</v>
      </c>
      <c r="K173" s="435">
        <f t="shared" si="234"/>
        <v>24.500000000220002</v>
      </c>
      <c r="L173" s="435">
        <f t="shared" si="235"/>
        <v>23.000000000260002</v>
      </c>
      <c r="M173" s="435">
        <f t="shared" si="236"/>
        <v>21.500000000220002</v>
      </c>
      <c r="N173" s="346" t="s">
        <v>324</v>
      </c>
      <c r="O173" s="346" t="s">
        <v>324</v>
      </c>
      <c r="P173" s="346" t="s">
        <v>324</v>
      </c>
      <c r="Q173" s="346"/>
      <c r="R173" s="346" t="s">
        <v>324</v>
      </c>
      <c r="S173" s="346" t="s">
        <v>1252</v>
      </c>
      <c r="T173" s="2" t="s">
        <v>1046</v>
      </c>
      <c r="U173" s="2">
        <v>21</v>
      </c>
      <c r="V173" s="2" cm="1">
        <f t="array" ref="V173">IFERROR(INDEX('Offer Statistics'!$BQ$2:$BQ$600,MATCH(1,(B173='Offer Statistics'!$BB$2:$BB$600)*($B$11='Offer Statistics'!$BC$2:$BC$600),0)),"/")</f>
        <v>21</v>
      </c>
      <c r="W173" s="2" cm="1">
        <f t="array" ref="W173">IFERROR(INDEX('Offer Statistics'!$BD$2:$BD$600,MATCH(1,($B173='Offer Statistics'!$BB$2:$BB$600)*($B$11='Offer Statistics'!$BC$2:$BC$600),0)),"/")</f>
        <v>438</v>
      </c>
      <c r="X173" s="2" cm="1">
        <f t="array" ref="X173">IFERROR(INDEX('Offer Statistics'!$BL$2:$BL$600,MATCH(1,($B173='Offer Statistics'!$BB$2:$BB$600)*($B$11='Offer Statistics'!$BC$2:$BC$600),0)),"/")</f>
        <v>21</v>
      </c>
      <c r="Y173" s="2">
        <f t="shared" si="215"/>
        <v>20.857142857142858</v>
      </c>
      <c r="Z173" s="2" t="s">
        <v>1046</v>
      </c>
      <c r="AA173" s="435" t="str">
        <f>入學要求!AF182</f>
        <v>/</v>
      </c>
      <c r="AB173" s="435" t="str">
        <f>入學要求!AG182</f>
        <v>/</v>
      </c>
      <c r="AC173" s="426" t="s">
        <v>785</v>
      </c>
      <c r="AD173" s="346"/>
      <c r="AE173" s="346"/>
      <c r="AF173" s="346" t="s">
        <v>324</v>
      </c>
      <c r="AG173" s="426" t="s">
        <v>324</v>
      </c>
      <c r="AH173" s="426" t="s">
        <v>324</v>
      </c>
      <c r="AI173" s="426"/>
      <c r="AJ173" s="346" t="s">
        <v>324</v>
      </c>
      <c r="AK173" s="2" t="s">
        <v>324</v>
      </c>
      <c r="AL173" s="2" t="s">
        <v>324</v>
      </c>
      <c r="AM173" s="2" t="s">
        <v>324</v>
      </c>
      <c r="AN173" s="2" t="s">
        <v>324</v>
      </c>
      <c r="AO173" s="2" t="s">
        <v>324</v>
      </c>
      <c r="AP173" s="2" t="s">
        <v>324</v>
      </c>
      <c r="AQ173" s="2" t="s">
        <v>324</v>
      </c>
      <c r="AR173" s="2" t="s">
        <v>324</v>
      </c>
      <c r="AT173" s="2" t="s">
        <v>716</v>
      </c>
      <c r="AV173" s="2" t="s">
        <v>713</v>
      </c>
      <c r="AZ173" s="2">
        <v>1</v>
      </c>
      <c r="BA173" s="2">
        <v>1</v>
      </c>
      <c r="BB173" s="2">
        <v>1</v>
      </c>
      <c r="BD173" s="2">
        <v>1</v>
      </c>
      <c r="BE173" s="2">
        <v>1</v>
      </c>
      <c r="BF173" s="2">
        <v>1</v>
      </c>
      <c r="BG173" s="2">
        <v>1</v>
      </c>
      <c r="BH173" s="2" t="str">
        <f t="shared" si="237"/>
        <v>JS4372</v>
      </c>
      <c r="BI173" s="197">
        <v>4</v>
      </c>
      <c r="BJ173" s="197">
        <v>4</v>
      </c>
      <c r="BK173" s="197">
        <v>5.5</v>
      </c>
      <c r="BL173" s="197" t="s">
        <v>324</v>
      </c>
      <c r="BM173" s="197" t="s">
        <v>324</v>
      </c>
      <c r="BN173" s="197">
        <v>4</v>
      </c>
      <c r="BO173" s="197">
        <v>4</v>
      </c>
      <c r="BP173" s="197">
        <v>3</v>
      </c>
      <c r="BQ173" s="194">
        <f t="shared" si="238"/>
        <v>4.00000000004</v>
      </c>
      <c r="BR173" s="194">
        <f t="shared" si="239"/>
        <v>4.00000000002</v>
      </c>
      <c r="BS173" s="194">
        <f t="shared" si="240"/>
        <v>5.50000000003</v>
      </c>
      <c r="BU173" s="194">
        <f t="shared" si="241"/>
        <v>0</v>
      </c>
      <c r="BV173" s="194">
        <f t="shared" si="242"/>
        <v>4.00000000006</v>
      </c>
      <c r="BW173" s="194">
        <f t="shared" si="243"/>
        <v>4.00000000007</v>
      </c>
      <c r="BX173" s="194">
        <f t="shared" si="244"/>
        <v>3.00000000008</v>
      </c>
      <c r="BY173" s="2">
        <f t="shared" si="216"/>
        <v>4.00000000004</v>
      </c>
      <c r="BZ173" s="2">
        <f t="shared" si="217"/>
        <v>4.00000000002</v>
      </c>
      <c r="CA173" s="2">
        <f t="shared" si="218"/>
        <v>5.50000000003</v>
      </c>
      <c r="CC173" s="2">
        <f t="shared" si="219"/>
        <v>0</v>
      </c>
      <c r="CD173" s="2">
        <f t="shared" si="220"/>
        <v>4.00000000006</v>
      </c>
      <c r="CE173" s="2">
        <f t="shared" si="221"/>
        <v>4.00000000007</v>
      </c>
      <c r="CF173" s="2">
        <f t="shared" si="222"/>
        <v>3.00000000008</v>
      </c>
      <c r="CG173" s="2" t="b">
        <f t="shared" si="245"/>
        <v>1</v>
      </c>
      <c r="CH173" s="2" t="b">
        <f t="shared" si="246"/>
        <v>1</v>
      </c>
      <c r="CI173" s="2" t="b">
        <f t="shared" si="247"/>
        <v>1</v>
      </c>
      <c r="CK173" s="2" t="b">
        <f t="shared" si="248"/>
        <v>0</v>
      </c>
      <c r="CL173" s="2" t="b">
        <f t="shared" si="249"/>
        <v>1</v>
      </c>
      <c r="CM173" s="2" t="b">
        <f t="shared" si="250"/>
        <v>1</v>
      </c>
      <c r="CN173" s="2" t="b">
        <f t="shared" si="251"/>
        <v>0</v>
      </c>
      <c r="CO173" s="2">
        <v>1</v>
      </c>
      <c r="CP173" s="2">
        <v>1</v>
      </c>
      <c r="CQ173" s="2">
        <v>1</v>
      </c>
      <c r="CS173" s="2">
        <v>1</v>
      </c>
      <c r="CT173" s="2">
        <v>1</v>
      </c>
      <c r="CU173" s="2">
        <v>1</v>
      </c>
      <c r="CV173" s="2">
        <v>1</v>
      </c>
      <c r="CX173" s="2">
        <v>3</v>
      </c>
      <c r="CY173" s="2">
        <v>4</v>
      </c>
      <c r="CZ173" s="2">
        <v>5.5</v>
      </c>
      <c r="DB173" s="2" t="s">
        <v>324</v>
      </c>
      <c r="DC173" s="2">
        <v>5.5</v>
      </c>
      <c r="DD173" s="2">
        <v>4</v>
      </c>
      <c r="DE173" s="2">
        <v>4</v>
      </c>
      <c r="DF173" s="194">
        <f t="shared" si="252"/>
        <v>3.00000000004</v>
      </c>
      <c r="DG173" s="194">
        <f t="shared" si="253"/>
        <v>4.00000000002</v>
      </c>
      <c r="DH173" s="194">
        <f t="shared" si="254"/>
        <v>5.50000000003</v>
      </c>
      <c r="DJ173" s="194">
        <f t="shared" si="255"/>
        <v>0</v>
      </c>
      <c r="DK173" s="194">
        <f t="shared" si="256"/>
        <v>5.50000000006</v>
      </c>
      <c r="DL173" s="194">
        <f t="shared" si="257"/>
        <v>4.00000000007</v>
      </c>
      <c r="DM173" s="194">
        <f t="shared" si="258"/>
        <v>4.00000000008</v>
      </c>
      <c r="DN173" s="2">
        <f t="shared" si="224"/>
        <v>3.00000000004</v>
      </c>
      <c r="DO173" s="2">
        <f t="shared" si="225"/>
        <v>4.00000000002</v>
      </c>
      <c r="DP173" s="2">
        <f t="shared" si="226"/>
        <v>5.50000000003</v>
      </c>
      <c r="DR173" s="2">
        <f t="shared" si="227"/>
        <v>0</v>
      </c>
      <c r="DS173" s="2">
        <f t="shared" si="228"/>
        <v>5.50000000006</v>
      </c>
      <c r="DT173" s="2">
        <f t="shared" si="229"/>
        <v>4.00000000007</v>
      </c>
      <c r="DU173" s="2">
        <f t="shared" si="230"/>
        <v>4.00000000008</v>
      </c>
      <c r="DV173" s="2" t="b">
        <f t="shared" si="259"/>
        <v>0</v>
      </c>
      <c r="DW173" s="2" t="b">
        <f t="shared" si="260"/>
        <v>1</v>
      </c>
      <c r="DX173" s="2" t="b">
        <f t="shared" si="261"/>
        <v>1</v>
      </c>
      <c r="DZ173" s="2" t="b">
        <f t="shared" si="262"/>
        <v>0</v>
      </c>
      <c r="EA173" s="2" t="b">
        <f t="shared" si="263"/>
        <v>1</v>
      </c>
      <c r="EB173" s="2" t="b">
        <f t="shared" si="264"/>
        <v>1</v>
      </c>
      <c r="EC173" s="2" t="b">
        <f t="shared" si="265"/>
        <v>1</v>
      </c>
      <c r="ED173" s="2">
        <v>1</v>
      </c>
      <c r="EE173" s="2">
        <v>1</v>
      </c>
      <c r="EF173" s="2">
        <v>1</v>
      </c>
      <c r="EH173" s="2">
        <v>1</v>
      </c>
      <c r="EI173" s="2">
        <v>1</v>
      </c>
      <c r="EJ173" s="2">
        <v>1</v>
      </c>
      <c r="EK173" s="2">
        <v>1</v>
      </c>
      <c r="EL173" s="2">
        <v>4</v>
      </c>
      <c r="EM173" s="2">
        <v>4</v>
      </c>
      <c r="EN173" s="2">
        <v>7</v>
      </c>
      <c r="EP173" s="2">
        <v>3</v>
      </c>
      <c r="EQ173" s="2">
        <v>5.5</v>
      </c>
      <c r="ER173" s="2">
        <v>4</v>
      </c>
      <c r="ES173" s="2" t="s">
        <v>324</v>
      </c>
      <c r="ET173" s="194">
        <f t="shared" si="266"/>
        <v>4.00000000004</v>
      </c>
      <c r="EU173" s="194">
        <f t="shared" si="267"/>
        <v>4.00000000002</v>
      </c>
      <c r="EV173" s="194">
        <f t="shared" si="268"/>
        <v>7.00000000003</v>
      </c>
      <c r="EW173" s="194">
        <f t="shared" si="269"/>
        <v>9.9999999999999994E-12</v>
      </c>
      <c r="EX173" s="194">
        <f t="shared" si="270"/>
        <v>3.00000000005</v>
      </c>
      <c r="EY173" s="194">
        <f t="shared" si="271"/>
        <v>5.50000000006</v>
      </c>
      <c r="EZ173" s="194">
        <f t="shared" si="272"/>
        <v>4.00000000007</v>
      </c>
      <c r="FA173" s="194">
        <f t="shared" si="273"/>
        <v>0</v>
      </c>
      <c r="FB173" s="2">
        <f t="shared" si="299"/>
        <v>4.00000000004</v>
      </c>
      <c r="FC173" s="2">
        <f t="shared" si="300"/>
        <v>4.00000000002</v>
      </c>
      <c r="FD173" s="2">
        <f t="shared" si="301"/>
        <v>7.00000000003</v>
      </c>
      <c r="FE173" s="2">
        <f t="shared" si="302"/>
        <v>0</v>
      </c>
      <c r="FF173" s="2">
        <f t="shared" si="303"/>
        <v>3.00000000005</v>
      </c>
      <c r="FG173" s="2">
        <f t="shared" si="304"/>
        <v>5.50000000006</v>
      </c>
      <c r="FH173" s="2">
        <f t="shared" si="305"/>
        <v>4.00000000007</v>
      </c>
      <c r="FI173" s="2">
        <f t="shared" si="306"/>
        <v>0</v>
      </c>
      <c r="FJ173" s="2" t="b">
        <f t="shared" si="282"/>
        <v>1</v>
      </c>
      <c r="FK173" s="2" t="b">
        <f t="shared" si="283"/>
        <v>1</v>
      </c>
      <c r="FL173" s="2" t="b">
        <f t="shared" si="284"/>
        <v>1</v>
      </c>
      <c r="FM173" s="2" t="b">
        <f t="shared" si="285"/>
        <v>0</v>
      </c>
      <c r="FN173" s="2" t="b">
        <f t="shared" si="286"/>
        <v>0</v>
      </c>
      <c r="FO173" s="2" t="b">
        <f t="shared" si="287"/>
        <v>1</v>
      </c>
      <c r="FP173" s="2" t="b">
        <f t="shared" si="288"/>
        <v>1</v>
      </c>
      <c r="FQ173" s="2" t="b">
        <f t="shared" si="289"/>
        <v>0</v>
      </c>
    </row>
    <row r="174" spans="1:173" s="379" customFormat="1" ht="15.6">
      <c r="A174" s="335" t="s">
        <v>426</v>
      </c>
      <c r="B174" s="346" t="s">
        <v>426</v>
      </c>
      <c r="C174" s="346" t="s">
        <v>227</v>
      </c>
      <c r="D174" s="346" t="s">
        <v>1253</v>
      </c>
      <c r="E174" s="346" t="s">
        <v>1254</v>
      </c>
      <c r="F174" s="379" t="s">
        <v>785</v>
      </c>
      <c r="G174" s="379" t="s">
        <v>324</v>
      </c>
      <c r="H174" s="379">
        <v>34.75</v>
      </c>
      <c r="I174" s="379">
        <v>29.5</v>
      </c>
      <c r="J174" s="379">
        <v>27.5</v>
      </c>
      <c r="K174" s="435">
        <f t="shared" si="234"/>
        <v>34.7500000004</v>
      </c>
      <c r="L174" s="435">
        <f t="shared" si="235"/>
        <v>29.50000000036</v>
      </c>
      <c r="M174" s="435">
        <f t="shared" si="236"/>
        <v>27.50000000036</v>
      </c>
      <c r="N174" s="346" t="s">
        <v>2400</v>
      </c>
      <c r="O174" s="346" t="s">
        <v>2379</v>
      </c>
      <c r="P174" s="346" t="s">
        <v>1330</v>
      </c>
      <c r="Q174" s="346" t="s">
        <v>2380</v>
      </c>
      <c r="R174" s="346" t="s">
        <v>3041</v>
      </c>
      <c r="S174" s="346" t="s">
        <v>1255</v>
      </c>
      <c r="T174" s="2" t="s">
        <v>1046</v>
      </c>
      <c r="U174" s="379">
        <v>20</v>
      </c>
      <c r="V174" s="2" cm="1">
        <f t="array" ref="V174">IFERROR(INDEX('Offer Statistics'!$BQ$2:$BQ$600,MATCH(1,(B174='Offer Statistics'!$BB$2:$BB$600)*($B$11='Offer Statistics'!$BC$2:$BC$600),0)),"/")</f>
        <v>14</v>
      </c>
      <c r="W174" s="2" cm="1">
        <f t="array" ref="W174">IFERROR(INDEX('Offer Statistics'!$BD$2:$BD$600,MATCH(1,($B174='Offer Statistics'!$BB$2:$BB$600)*($B$11='Offer Statistics'!$BC$2:$BC$600),0)),"/")</f>
        <v>78</v>
      </c>
      <c r="X174" s="2" cm="1">
        <f t="array" ref="X174">IFERROR(INDEX('Offer Statistics'!$BL$2:$BL$600,MATCH(1,($B174='Offer Statistics'!$BB$2:$BB$600)*($B$11='Offer Statistics'!$BC$2:$BC$600),0)),"/")</f>
        <v>10</v>
      </c>
      <c r="Y174" s="379">
        <f t="shared" si="215"/>
        <v>7.8</v>
      </c>
      <c r="Z174" s="2" t="s">
        <v>1046</v>
      </c>
      <c r="AA174" s="435" t="str">
        <f>入學要求!AF183</f>
        <v>優先考慮修讀以下科目者︰</v>
      </c>
      <c r="AB174" s="435" t="str">
        <f>入學要求!AG183</f>
        <v>M1/2、生物、化學、物理、DAT、ICT、BAFS、經濟、地理、科技與生活</v>
      </c>
      <c r="AC174" s="425" t="s">
        <v>785</v>
      </c>
      <c r="AD174" s="427"/>
      <c r="AE174" s="346"/>
      <c r="AF174" s="346" t="s">
        <v>1256</v>
      </c>
      <c r="AG174" s="426" t="s">
        <v>2379</v>
      </c>
      <c r="AH174" s="426" t="s">
        <v>1330</v>
      </c>
      <c r="AI174" s="426" t="s">
        <v>2380</v>
      </c>
      <c r="AJ174" s="346" t="s">
        <v>324</v>
      </c>
      <c r="AK174" s="346" t="s">
        <v>324</v>
      </c>
      <c r="AL174" s="379" t="s">
        <v>324</v>
      </c>
      <c r="AM174" s="379" t="s">
        <v>324</v>
      </c>
      <c r="AN174" s="381" t="s">
        <v>1192</v>
      </c>
      <c r="AO174" s="379" t="s">
        <v>324</v>
      </c>
      <c r="AP174" s="379" t="s">
        <v>324</v>
      </c>
      <c r="AQ174" s="379" t="s">
        <v>324</v>
      </c>
      <c r="AR174" s="379" t="s">
        <v>324</v>
      </c>
      <c r="AT174" s="379" t="s">
        <v>716</v>
      </c>
      <c r="AV174" s="379" t="s">
        <v>713</v>
      </c>
      <c r="AZ174" s="379">
        <v>1</v>
      </c>
      <c r="BA174" s="379">
        <v>1</v>
      </c>
      <c r="BB174" s="379">
        <v>1.5</v>
      </c>
      <c r="BD174" s="379">
        <v>1.75</v>
      </c>
      <c r="BE174" s="379">
        <v>1.5</v>
      </c>
      <c r="BF174" s="379">
        <v>1.5</v>
      </c>
      <c r="BG174" s="379">
        <v>1</v>
      </c>
      <c r="BH174" s="2" t="str">
        <f t="shared" si="237"/>
        <v>JS4386</v>
      </c>
      <c r="BI174" s="197">
        <v>7</v>
      </c>
      <c r="BJ174" s="197">
        <v>3</v>
      </c>
      <c r="BK174" s="197">
        <v>3</v>
      </c>
      <c r="BL174" s="197" t="s">
        <v>324</v>
      </c>
      <c r="BM174" s="197" t="s">
        <v>324</v>
      </c>
      <c r="BN174" s="197">
        <v>4</v>
      </c>
      <c r="BO174" s="197">
        <v>4</v>
      </c>
      <c r="BP174" s="197">
        <v>4</v>
      </c>
      <c r="BQ174" s="380">
        <f t="shared" si="238"/>
        <v>7.00000000004</v>
      </c>
      <c r="BR174" s="380">
        <f t="shared" si="239"/>
        <v>3.00000000002</v>
      </c>
      <c r="BS174" s="380">
        <f t="shared" si="240"/>
        <v>3.00000000003</v>
      </c>
      <c r="BT174" s="380"/>
      <c r="BU174" s="380">
        <f t="shared" si="241"/>
        <v>0</v>
      </c>
      <c r="BV174" s="380">
        <f t="shared" si="242"/>
        <v>4.00000000006</v>
      </c>
      <c r="BW174" s="380">
        <f t="shared" si="243"/>
        <v>4.00000000007</v>
      </c>
      <c r="BX174" s="380">
        <f t="shared" si="244"/>
        <v>4.00000000008</v>
      </c>
      <c r="BY174" s="379">
        <f t="shared" si="216"/>
        <v>7.00000000004</v>
      </c>
      <c r="BZ174" s="379">
        <f t="shared" si="217"/>
        <v>3.00000000002</v>
      </c>
      <c r="CA174" s="379">
        <f t="shared" si="218"/>
        <v>4.5000000000450004</v>
      </c>
      <c r="CC174" s="379">
        <f t="shared" si="219"/>
        <v>0</v>
      </c>
      <c r="CD174" s="379">
        <f t="shared" si="220"/>
        <v>6.00000000009</v>
      </c>
      <c r="CE174" s="379">
        <f t="shared" si="221"/>
        <v>6.0000000001050005</v>
      </c>
      <c r="CF174" s="379">
        <f t="shared" si="222"/>
        <v>4.00000000008</v>
      </c>
      <c r="CG174" s="2" t="b">
        <f t="shared" si="245"/>
        <v>1</v>
      </c>
      <c r="CH174" s="2" t="b">
        <f t="shared" si="246"/>
        <v>0</v>
      </c>
      <c r="CI174" s="2" t="b">
        <f t="shared" si="247"/>
        <v>1</v>
      </c>
      <c r="CJ174" s="2"/>
      <c r="CK174" s="2" t="b">
        <f t="shared" si="248"/>
        <v>0</v>
      </c>
      <c r="CL174" s="2" t="b">
        <f t="shared" si="249"/>
        <v>1</v>
      </c>
      <c r="CM174" s="2" t="b">
        <f t="shared" si="250"/>
        <v>1</v>
      </c>
      <c r="CN174" s="2" t="b">
        <f t="shared" si="251"/>
        <v>1</v>
      </c>
      <c r="CO174" s="379">
        <v>1</v>
      </c>
      <c r="CP174" s="379">
        <v>1</v>
      </c>
      <c r="CQ174" s="379">
        <v>1.5</v>
      </c>
      <c r="CS174" s="379">
        <v>1.75</v>
      </c>
      <c r="CT174" s="379">
        <v>1.5</v>
      </c>
      <c r="CU174" s="379">
        <v>1.5</v>
      </c>
      <c r="CV174" s="379">
        <v>1</v>
      </c>
      <c r="CX174" s="379">
        <v>4</v>
      </c>
      <c r="CY174" s="379">
        <v>3</v>
      </c>
      <c r="CZ174" s="379">
        <v>4</v>
      </c>
      <c r="DB174" s="379" t="s">
        <v>324</v>
      </c>
      <c r="DC174" s="379">
        <v>7</v>
      </c>
      <c r="DD174" s="379">
        <v>4</v>
      </c>
      <c r="DE174" s="379">
        <v>3</v>
      </c>
      <c r="DF174" s="380">
        <f t="shared" si="252"/>
        <v>4.00000000004</v>
      </c>
      <c r="DG174" s="380">
        <f t="shared" si="253"/>
        <v>3.00000000002</v>
      </c>
      <c r="DH174" s="380">
        <f t="shared" si="254"/>
        <v>4.00000000003</v>
      </c>
      <c r="DI174" s="380"/>
      <c r="DJ174" s="380">
        <f t="shared" si="255"/>
        <v>0</v>
      </c>
      <c r="DK174" s="380">
        <f t="shared" si="256"/>
        <v>7.00000000006</v>
      </c>
      <c r="DL174" s="380">
        <f t="shared" si="257"/>
        <v>4.00000000007</v>
      </c>
      <c r="DM174" s="380">
        <f t="shared" si="258"/>
        <v>3.00000000008</v>
      </c>
      <c r="DN174" s="379">
        <f t="shared" si="224"/>
        <v>4.00000000004</v>
      </c>
      <c r="DO174" s="379">
        <f t="shared" si="225"/>
        <v>3.00000000002</v>
      </c>
      <c r="DP174" s="379">
        <f t="shared" si="226"/>
        <v>6.0000000000450004</v>
      </c>
      <c r="DR174" s="379">
        <f t="shared" si="227"/>
        <v>0</v>
      </c>
      <c r="DS174" s="379">
        <f t="shared" si="228"/>
        <v>10.500000000090001</v>
      </c>
      <c r="DT174" s="379">
        <f t="shared" si="229"/>
        <v>6.0000000001050005</v>
      </c>
      <c r="DU174" s="379">
        <f t="shared" si="230"/>
        <v>3.00000000008</v>
      </c>
      <c r="DV174" s="2" t="b">
        <f t="shared" si="259"/>
        <v>1</v>
      </c>
      <c r="DW174" s="2" t="b">
        <f t="shared" si="260"/>
        <v>0</v>
      </c>
      <c r="DX174" s="2" t="b">
        <f t="shared" si="261"/>
        <v>1</v>
      </c>
      <c r="DY174" s="2"/>
      <c r="DZ174" s="2" t="b">
        <f t="shared" si="262"/>
        <v>0</v>
      </c>
      <c r="EA174" s="2" t="b">
        <f t="shared" si="263"/>
        <v>1</v>
      </c>
      <c r="EB174" s="2" t="b">
        <f t="shared" si="264"/>
        <v>1</v>
      </c>
      <c r="EC174" s="2" t="b">
        <f t="shared" si="265"/>
        <v>1</v>
      </c>
      <c r="ED174" s="379">
        <v>1</v>
      </c>
      <c r="EE174" s="379">
        <v>1</v>
      </c>
      <c r="EF174" s="379">
        <v>1.5</v>
      </c>
      <c r="EH174" s="379">
        <v>1.75</v>
      </c>
      <c r="EI174" s="379">
        <v>1.5</v>
      </c>
      <c r="EJ174" s="379">
        <v>1.5</v>
      </c>
      <c r="EK174" s="379">
        <v>1.5</v>
      </c>
      <c r="EL174" s="379">
        <v>4</v>
      </c>
      <c r="EM174" s="379">
        <v>4</v>
      </c>
      <c r="EN174" s="379">
        <v>5.5</v>
      </c>
      <c r="EP174" s="379" t="s">
        <v>324</v>
      </c>
      <c r="EQ174" s="379">
        <v>7</v>
      </c>
      <c r="ER174" s="379">
        <v>4</v>
      </c>
      <c r="ES174" s="379">
        <v>4</v>
      </c>
      <c r="ET174" s="380">
        <f t="shared" si="266"/>
        <v>4.00000000004</v>
      </c>
      <c r="EU174" s="380">
        <f t="shared" si="267"/>
        <v>4.00000000002</v>
      </c>
      <c r="EV174" s="380">
        <f t="shared" si="268"/>
        <v>5.50000000003</v>
      </c>
      <c r="EW174" s="380">
        <f t="shared" si="269"/>
        <v>9.9999999999999994E-12</v>
      </c>
      <c r="EX174" s="380">
        <f t="shared" si="270"/>
        <v>0</v>
      </c>
      <c r="EY174" s="380">
        <f t="shared" si="271"/>
        <v>7.00000000006</v>
      </c>
      <c r="EZ174" s="380">
        <f t="shared" si="272"/>
        <v>4.00000000007</v>
      </c>
      <c r="FA174" s="380">
        <f t="shared" si="273"/>
        <v>4.00000000008</v>
      </c>
      <c r="FB174" s="379">
        <f t="shared" si="299"/>
        <v>4.00000000004</v>
      </c>
      <c r="FC174" s="379">
        <f t="shared" si="300"/>
        <v>4.00000000002</v>
      </c>
      <c r="FD174" s="379">
        <f t="shared" si="301"/>
        <v>8.2500000000450004</v>
      </c>
      <c r="FE174" s="379">
        <f t="shared" si="302"/>
        <v>0</v>
      </c>
      <c r="FF174" s="379">
        <f t="shared" si="303"/>
        <v>0</v>
      </c>
      <c r="FG174" s="379">
        <f t="shared" si="304"/>
        <v>10.500000000090001</v>
      </c>
      <c r="FH174" s="379">
        <f t="shared" si="305"/>
        <v>6.0000000001050005</v>
      </c>
      <c r="FI174" s="379">
        <f t="shared" si="306"/>
        <v>6.00000000012</v>
      </c>
      <c r="FJ174" s="2" t="b">
        <f t="shared" si="282"/>
        <v>1</v>
      </c>
      <c r="FK174" s="2" t="b">
        <f t="shared" si="283"/>
        <v>0</v>
      </c>
      <c r="FL174" s="2" t="b">
        <f t="shared" si="284"/>
        <v>1</v>
      </c>
      <c r="FM174" s="2" t="b">
        <f t="shared" si="285"/>
        <v>0</v>
      </c>
      <c r="FN174" s="2" t="b">
        <f t="shared" si="286"/>
        <v>0</v>
      </c>
      <c r="FO174" s="2" t="b">
        <f t="shared" si="287"/>
        <v>1</v>
      </c>
      <c r="FP174" s="2" t="b">
        <f t="shared" si="288"/>
        <v>1</v>
      </c>
      <c r="FQ174" s="2" t="b">
        <f t="shared" si="289"/>
        <v>1</v>
      </c>
    </row>
    <row r="175" spans="1:173" s="379" customFormat="1" ht="15.6">
      <c r="A175" s="335" t="s">
        <v>1258</v>
      </c>
      <c r="B175" s="346" t="s">
        <v>1258</v>
      </c>
      <c r="C175" s="346" t="s">
        <v>227</v>
      </c>
      <c r="D175" s="346" t="s">
        <v>1081</v>
      </c>
      <c r="E175" s="346" t="s">
        <v>1259</v>
      </c>
      <c r="F175" s="379" t="s">
        <v>785</v>
      </c>
      <c r="G175" s="379" t="s">
        <v>324</v>
      </c>
      <c r="H175" s="379">
        <v>30.125</v>
      </c>
      <c r="I175" s="379">
        <v>29.125</v>
      </c>
      <c r="J175" s="379">
        <v>27.25</v>
      </c>
      <c r="K175" s="435">
        <f t="shared" si="234"/>
        <v>30.125000000364999</v>
      </c>
      <c r="L175" s="435">
        <f t="shared" si="235"/>
        <v>29.125000000282501</v>
      </c>
      <c r="M175" s="435">
        <f t="shared" si="236"/>
        <v>27.250000000292498</v>
      </c>
      <c r="N175" s="346" t="s">
        <v>324</v>
      </c>
      <c r="O175" s="346" t="s">
        <v>324</v>
      </c>
      <c r="P175" s="346" t="s">
        <v>3042</v>
      </c>
      <c r="Q175" s="346" t="s">
        <v>2381</v>
      </c>
      <c r="R175" s="346" t="s">
        <v>3043</v>
      </c>
      <c r="S175" s="346" t="s">
        <v>1260</v>
      </c>
      <c r="T175" s="2" t="s">
        <v>1046</v>
      </c>
      <c r="U175" s="379">
        <v>53</v>
      </c>
      <c r="V175" s="2" cm="1">
        <f t="array" ref="V175">IFERROR(INDEX('Offer Statistics'!$BQ$2:$BQ$600,MATCH(1,(B175='Offer Statistics'!$BB$2:$BB$600)*($B$11='Offer Statistics'!$BC$2:$BC$600),0)),"/")</f>
        <v>53</v>
      </c>
      <c r="W175" s="2" cm="1">
        <f t="array" ref="W175">IFERROR(INDEX('Offer Statistics'!$BD$2:$BD$600,MATCH(1,($B175='Offer Statistics'!$BB$2:$BB$600)*($B$11='Offer Statistics'!$BC$2:$BC$600),0)),"/")</f>
        <v>357</v>
      </c>
      <c r="X175" s="2" cm="1">
        <f t="array" ref="X175">IFERROR(INDEX('Offer Statistics'!$BL$2:$BL$600,MATCH(1,($B175='Offer Statistics'!$BB$2:$BB$600)*($B$11='Offer Statistics'!$BC$2:$BC$600),0)),"/")</f>
        <v>53</v>
      </c>
      <c r="Y175" s="379">
        <f t="shared" si="215"/>
        <v>6.7358490566037732</v>
      </c>
      <c r="Z175" s="2" t="s">
        <v>1046</v>
      </c>
      <c r="AA175" s="435" t="str">
        <f>入學要求!AF184</f>
        <v>以下一科選修取得Lv.3︰M1/2、生物、化學、DAT、ICT、物理</v>
      </c>
      <c r="AB175" s="435" t="str">
        <f>入學要求!AG184</f>
        <v>/</v>
      </c>
      <c r="AC175" s="425" t="s">
        <v>785</v>
      </c>
      <c r="AD175" s="427"/>
      <c r="AE175" s="346"/>
      <c r="AF175" s="346" t="s">
        <v>324</v>
      </c>
      <c r="AG175" s="426" t="s">
        <v>324</v>
      </c>
      <c r="AH175" s="426" t="s">
        <v>1261</v>
      </c>
      <c r="AI175" s="426" t="s">
        <v>2381</v>
      </c>
      <c r="AJ175" s="346"/>
      <c r="AK175" s="346" t="s">
        <v>324</v>
      </c>
      <c r="AL175" s="379" t="s">
        <v>324</v>
      </c>
      <c r="AM175" s="379" t="s">
        <v>324</v>
      </c>
      <c r="AN175" s="379" t="s">
        <v>324</v>
      </c>
      <c r="AO175" s="379" t="s">
        <v>324</v>
      </c>
      <c r="AP175" s="379" t="s">
        <v>324</v>
      </c>
      <c r="AQ175" s="379" t="s">
        <v>324</v>
      </c>
      <c r="AR175" s="379" t="s">
        <v>324</v>
      </c>
      <c r="AT175" s="379" t="s">
        <v>716</v>
      </c>
      <c r="AV175" s="379" t="s">
        <v>713</v>
      </c>
      <c r="AZ175" s="379">
        <v>1</v>
      </c>
      <c r="BA175" s="379">
        <v>1</v>
      </c>
      <c r="BB175" s="379">
        <v>1.5</v>
      </c>
      <c r="BD175" s="379">
        <v>1.5</v>
      </c>
      <c r="BE175" s="379">
        <v>1</v>
      </c>
      <c r="BF175" s="379">
        <v>1.25</v>
      </c>
      <c r="BG175" s="379">
        <v>1</v>
      </c>
      <c r="BH175" s="2" t="str">
        <f t="shared" si="237"/>
        <v>JS4408</v>
      </c>
      <c r="BI175" s="197">
        <v>3</v>
      </c>
      <c r="BJ175" s="197">
        <v>4</v>
      </c>
      <c r="BK175" s="197">
        <v>5.5</v>
      </c>
      <c r="BL175" s="197" t="s">
        <v>324</v>
      </c>
      <c r="BM175" s="197" t="s">
        <v>324</v>
      </c>
      <c r="BN175" s="197">
        <v>7</v>
      </c>
      <c r="BO175" s="197">
        <v>4</v>
      </c>
      <c r="BP175" s="197">
        <v>3</v>
      </c>
      <c r="BQ175" s="380">
        <f t="shared" si="238"/>
        <v>3.00000000004</v>
      </c>
      <c r="BR175" s="380">
        <f t="shared" si="239"/>
        <v>4.00000000002</v>
      </c>
      <c r="BS175" s="380">
        <f t="shared" si="240"/>
        <v>5.50000000003</v>
      </c>
      <c r="BT175" s="380"/>
      <c r="BU175" s="380">
        <f t="shared" si="241"/>
        <v>0</v>
      </c>
      <c r="BV175" s="380">
        <f t="shared" si="242"/>
        <v>7.00000000006</v>
      </c>
      <c r="BW175" s="380">
        <f t="shared" si="243"/>
        <v>4.00000000007</v>
      </c>
      <c r="BX175" s="380">
        <f t="shared" si="244"/>
        <v>3.00000000008</v>
      </c>
      <c r="BY175" s="379">
        <f t="shared" si="216"/>
        <v>3.00000000004</v>
      </c>
      <c r="BZ175" s="379">
        <f t="shared" si="217"/>
        <v>4.00000000002</v>
      </c>
      <c r="CA175" s="379">
        <f t="shared" si="218"/>
        <v>8.2500000000450004</v>
      </c>
      <c r="CC175" s="379">
        <f t="shared" si="219"/>
        <v>0</v>
      </c>
      <c r="CD175" s="379">
        <f t="shared" si="220"/>
        <v>7.00000000006</v>
      </c>
      <c r="CE175" s="379">
        <f t="shared" si="221"/>
        <v>5.0000000000874998</v>
      </c>
      <c r="CF175" s="379">
        <f t="shared" si="222"/>
        <v>3.00000000008</v>
      </c>
      <c r="CG175" s="2" t="b">
        <f t="shared" si="245"/>
        <v>0</v>
      </c>
      <c r="CH175" s="2" t="b">
        <f t="shared" si="246"/>
        <v>1</v>
      </c>
      <c r="CI175" s="2" t="b">
        <f t="shared" si="247"/>
        <v>1</v>
      </c>
      <c r="CJ175" s="2"/>
      <c r="CK175" s="2" t="b">
        <f t="shared" si="248"/>
        <v>0</v>
      </c>
      <c r="CL175" s="2" t="b">
        <f t="shared" si="249"/>
        <v>1</v>
      </c>
      <c r="CM175" s="2" t="b">
        <f t="shared" si="250"/>
        <v>1</v>
      </c>
      <c r="CN175" s="2" t="b">
        <f t="shared" si="251"/>
        <v>1</v>
      </c>
      <c r="CO175" s="379">
        <v>1</v>
      </c>
      <c r="CP175" s="379">
        <v>1</v>
      </c>
      <c r="CQ175" s="379">
        <v>1.5</v>
      </c>
      <c r="CS175" s="379">
        <v>1.5</v>
      </c>
      <c r="CT175" s="379">
        <v>1.5</v>
      </c>
      <c r="CU175" s="379">
        <v>1.25</v>
      </c>
      <c r="CV175" s="379">
        <v>1.25</v>
      </c>
      <c r="CX175" s="379">
        <v>4</v>
      </c>
      <c r="CY175" s="379">
        <v>4</v>
      </c>
      <c r="CZ175" s="379">
        <v>4</v>
      </c>
      <c r="DB175" s="379" t="s">
        <v>324</v>
      </c>
      <c r="DC175" s="379">
        <v>5.5</v>
      </c>
      <c r="DD175" s="379">
        <v>5.5</v>
      </c>
      <c r="DE175" s="379">
        <v>3</v>
      </c>
      <c r="DF175" s="380">
        <f t="shared" si="252"/>
        <v>4.00000000004</v>
      </c>
      <c r="DG175" s="380">
        <f t="shared" si="253"/>
        <v>4.00000000002</v>
      </c>
      <c r="DH175" s="380">
        <f t="shared" si="254"/>
        <v>4.00000000003</v>
      </c>
      <c r="DI175" s="380"/>
      <c r="DJ175" s="380">
        <f t="shared" si="255"/>
        <v>0</v>
      </c>
      <c r="DK175" s="380">
        <f t="shared" si="256"/>
        <v>5.50000000006</v>
      </c>
      <c r="DL175" s="380">
        <f t="shared" si="257"/>
        <v>5.50000000007</v>
      </c>
      <c r="DM175" s="380">
        <f t="shared" si="258"/>
        <v>3.00000000008</v>
      </c>
      <c r="DN175" s="379">
        <f t="shared" si="224"/>
        <v>4.00000000004</v>
      </c>
      <c r="DO175" s="379">
        <f t="shared" si="225"/>
        <v>4.00000000002</v>
      </c>
      <c r="DP175" s="379">
        <f t="shared" si="226"/>
        <v>6.0000000000450004</v>
      </c>
      <c r="DR175" s="379">
        <f t="shared" si="227"/>
        <v>0</v>
      </c>
      <c r="DS175" s="379">
        <f t="shared" si="228"/>
        <v>8.2500000000900009</v>
      </c>
      <c r="DT175" s="379">
        <f t="shared" si="229"/>
        <v>6.8750000000874998</v>
      </c>
      <c r="DU175" s="379">
        <f t="shared" si="230"/>
        <v>3.7500000001</v>
      </c>
      <c r="DV175" s="2" t="b">
        <f t="shared" si="259"/>
        <v>1</v>
      </c>
      <c r="DW175" s="2" t="b">
        <f t="shared" si="260"/>
        <v>1</v>
      </c>
      <c r="DX175" s="2" t="b">
        <f t="shared" si="261"/>
        <v>1</v>
      </c>
      <c r="DY175" s="2"/>
      <c r="DZ175" s="2" t="b">
        <f t="shared" si="262"/>
        <v>0</v>
      </c>
      <c r="EA175" s="2" t="b">
        <f t="shared" si="263"/>
        <v>1</v>
      </c>
      <c r="EB175" s="2" t="b">
        <f t="shared" si="264"/>
        <v>1</v>
      </c>
      <c r="EC175" s="2" t="b">
        <f t="shared" si="265"/>
        <v>0</v>
      </c>
      <c r="ED175" s="379">
        <v>1</v>
      </c>
      <c r="EE175" s="379">
        <v>1</v>
      </c>
      <c r="EF175" s="379">
        <v>1.5</v>
      </c>
      <c r="EH175" s="379">
        <v>1.5</v>
      </c>
      <c r="EI175" s="379">
        <v>1.25</v>
      </c>
      <c r="EJ175" s="379">
        <v>1.5</v>
      </c>
      <c r="EK175" s="379">
        <v>1.25</v>
      </c>
      <c r="EL175" s="379">
        <v>4</v>
      </c>
      <c r="EM175" s="379">
        <v>3</v>
      </c>
      <c r="EN175" s="379">
        <v>5.5</v>
      </c>
      <c r="EP175" s="379" t="s">
        <v>324</v>
      </c>
      <c r="EQ175" s="379">
        <v>5.5</v>
      </c>
      <c r="ER175" s="379">
        <v>4</v>
      </c>
      <c r="ES175" s="379">
        <v>4</v>
      </c>
      <c r="ET175" s="380">
        <f t="shared" si="266"/>
        <v>4.00000000004</v>
      </c>
      <c r="EU175" s="380">
        <f t="shared" si="267"/>
        <v>3.00000000002</v>
      </c>
      <c r="EV175" s="380">
        <f t="shared" si="268"/>
        <v>5.50000000003</v>
      </c>
      <c r="EW175" s="380">
        <f t="shared" si="269"/>
        <v>9.9999999999999994E-12</v>
      </c>
      <c r="EX175" s="380">
        <f t="shared" si="270"/>
        <v>0</v>
      </c>
      <c r="EY175" s="380">
        <f t="shared" si="271"/>
        <v>5.50000000006</v>
      </c>
      <c r="EZ175" s="380">
        <f t="shared" si="272"/>
        <v>4.00000000007</v>
      </c>
      <c r="FA175" s="380">
        <f t="shared" si="273"/>
        <v>4.00000000008</v>
      </c>
      <c r="FB175" s="379">
        <f t="shared" si="299"/>
        <v>4.00000000004</v>
      </c>
      <c r="FC175" s="379">
        <f t="shared" si="300"/>
        <v>3.00000000002</v>
      </c>
      <c r="FD175" s="379">
        <f t="shared" si="301"/>
        <v>8.2500000000450004</v>
      </c>
      <c r="FE175" s="379">
        <f t="shared" si="302"/>
        <v>0</v>
      </c>
      <c r="FF175" s="379">
        <f t="shared" si="303"/>
        <v>0</v>
      </c>
      <c r="FG175" s="379">
        <f t="shared" si="304"/>
        <v>6.8750000000749996</v>
      </c>
      <c r="FH175" s="379">
        <f t="shared" si="305"/>
        <v>6.0000000001050005</v>
      </c>
      <c r="FI175" s="379">
        <f t="shared" si="306"/>
        <v>5.0000000001</v>
      </c>
      <c r="FJ175" s="2" t="b">
        <f t="shared" si="282"/>
        <v>1</v>
      </c>
      <c r="FK175" s="2" t="b">
        <f t="shared" si="283"/>
        <v>0</v>
      </c>
      <c r="FL175" s="2" t="b">
        <f t="shared" si="284"/>
        <v>1</v>
      </c>
      <c r="FM175" s="2" t="b">
        <f t="shared" si="285"/>
        <v>0</v>
      </c>
      <c r="FN175" s="2" t="b">
        <f t="shared" si="286"/>
        <v>0</v>
      </c>
      <c r="FO175" s="2" t="b">
        <f t="shared" si="287"/>
        <v>1</v>
      </c>
      <c r="FP175" s="2" t="b">
        <f t="shared" si="288"/>
        <v>1</v>
      </c>
      <c r="FQ175" s="2" t="b">
        <f t="shared" si="289"/>
        <v>1</v>
      </c>
    </row>
    <row r="176" spans="1:173" s="379" customFormat="1" ht="15.6" customHeight="1">
      <c r="A176" s="335" t="s">
        <v>428</v>
      </c>
      <c r="B176" s="346" t="s">
        <v>428</v>
      </c>
      <c r="C176" s="346" t="s">
        <v>227</v>
      </c>
      <c r="D176" s="346" t="s">
        <v>1081</v>
      </c>
      <c r="E176" s="346" t="s">
        <v>1262</v>
      </c>
      <c r="F176" s="379" t="s">
        <v>785</v>
      </c>
      <c r="G176" s="379" t="s">
        <v>324</v>
      </c>
      <c r="H176" s="379">
        <v>44.875</v>
      </c>
      <c r="I176" s="379">
        <v>42.25</v>
      </c>
      <c r="J176" s="379">
        <v>40.25</v>
      </c>
      <c r="K176" s="435">
        <f t="shared" si="234"/>
        <v>44.8750000004475</v>
      </c>
      <c r="L176" s="435">
        <f t="shared" si="235"/>
        <v>42.250000000379998</v>
      </c>
      <c r="M176" s="435">
        <f t="shared" si="236"/>
        <v>40.250000000300005</v>
      </c>
      <c r="N176" s="346" t="s">
        <v>2400</v>
      </c>
      <c r="O176" s="346" t="s">
        <v>2382</v>
      </c>
      <c r="P176" s="346" t="s">
        <v>3044</v>
      </c>
      <c r="Q176" s="346" t="s">
        <v>2388</v>
      </c>
      <c r="R176" s="346" t="s">
        <v>3041</v>
      </c>
      <c r="S176" s="346" t="s">
        <v>1263</v>
      </c>
      <c r="T176" s="2" t="s">
        <v>1046</v>
      </c>
      <c r="U176" s="379">
        <v>107</v>
      </c>
      <c r="V176" s="2" cm="1">
        <f t="array" ref="V176">IFERROR(INDEX('Offer Statistics'!$BQ$2:$BQ$600,MATCH(1,(B176='Offer Statistics'!$BB$2:$BB$600)*($B$11='Offer Statistics'!$BC$2:$BC$600),0)),"/")</f>
        <v>116</v>
      </c>
      <c r="W176" s="2" cm="1">
        <f t="array" ref="W176">IFERROR(INDEX('Offer Statistics'!$BD$2:$BD$600,MATCH(1,($B176='Offer Statistics'!$BB$2:$BB$600)*($B$11='Offer Statistics'!$BC$2:$BC$600),0)),"/")</f>
        <v>433</v>
      </c>
      <c r="X176" s="2" cm="1">
        <f t="array" ref="X176">IFERROR(INDEX('Offer Statistics'!$BL$2:$BL$600,MATCH(1,($B176='Offer Statistics'!$BB$2:$BB$600)*($B$11='Offer Statistics'!$BC$2:$BC$600),0)),"/")</f>
        <v>116</v>
      </c>
      <c r="Y176" s="379">
        <f t="shared" si="215"/>
        <v>3.7327586206896552</v>
      </c>
      <c r="Z176" s="2" t="s">
        <v>1046</v>
      </c>
      <c r="AA176" s="435" t="str">
        <f>入學要求!AF185</f>
        <v>以下一科選修取得Lv.3︰M1/2、生物、化學、ICT、物理</v>
      </c>
      <c r="AB176" s="435" t="str">
        <f>入學要求!AG185</f>
        <v>優先考慮以下一科選修︰M1/2、生物、化學、DAT、ICT、物理</v>
      </c>
      <c r="AC176" s="425" t="s">
        <v>785</v>
      </c>
      <c r="AD176" s="427"/>
      <c r="AE176" s="346"/>
      <c r="AF176" s="346" t="s">
        <v>1256</v>
      </c>
      <c r="AG176" s="426" t="s">
        <v>2382</v>
      </c>
      <c r="AH176" s="426" t="s">
        <v>1257</v>
      </c>
      <c r="AI176" s="426" t="s">
        <v>2388</v>
      </c>
      <c r="AJ176" s="346"/>
      <c r="AK176" s="346" t="s">
        <v>324</v>
      </c>
      <c r="AL176" s="379" t="s">
        <v>324</v>
      </c>
      <c r="AM176" s="379" t="s">
        <v>324</v>
      </c>
      <c r="AN176" s="379" t="s">
        <v>324</v>
      </c>
      <c r="AO176" s="379" t="s">
        <v>324</v>
      </c>
      <c r="AP176" s="379" t="s">
        <v>324</v>
      </c>
      <c r="AQ176" s="379" t="s">
        <v>324</v>
      </c>
      <c r="AR176" s="379" t="s">
        <v>324</v>
      </c>
      <c r="AT176" s="379" t="s">
        <v>716</v>
      </c>
      <c r="AV176" s="379" t="s">
        <v>713</v>
      </c>
      <c r="AZ176" s="379">
        <v>1</v>
      </c>
      <c r="BA176" s="379">
        <v>1</v>
      </c>
      <c r="BB176" s="379">
        <v>1.5</v>
      </c>
      <c r="BD176" s="379">
        <v>1.75</v>
      </c>
      <c r="BE176" s="379">
        <v>1.5</v>
      </c>
      <c r="BF176" s="379">
        <v>1.5</v>
      </c>
      <c r="BG176" s="379">
        <v>1.5</v>
      </c>
      <c r="BH176" s="2" t="str">
        <f t="shared" si="237"/>
        <v>JS4412</v>
      </c>
      <c r="BI176" s="197">
        <v>7</v>
      </c>
      <c r="BJ176" s="197">
        <v>4</v>
      </c>
      <c r="BK176" s="197">
        <v>7</v>
      </c>
      <c r="BL176" s="197" t="s">
        <v>324</v>
      </c>
      <c r="BM176" s="197" t="s">
        <v>324</v>
      </c>
      <c r="BN176" s="197">
        <v>7</v>
      </c>
      <c r="BO176" s="197">
        <v>5.5</v>
      </c>
      <c r="BP176" s="197" t="s">
        <v>324</v>
      </c>
      <c r="BQ176" s="380">
        <f t="shared" si="238"/>
        <v>7.00000000004</v>
      </c>
      <c r="BR176" s="380">
        <f t="shared" si="239"/>
        <v>4.00000000002</v>
      </c>
      <c r="BS176" s="380">
        <f t="shared" si="240"/>
        <v>7.00000000003</v>
      </c>
      <c r="BT176" s="380"/>
      <c r="BU176" s="380">
        <f t="shared" si="241"/>
        <v>0</v>
      </c>
      <c r="BV176" s="380">
        <f t="shared" si="242"/>
        <v>7.00000000006</v>
      </c>
      <c r="BW176" s="380">
        <f t="shared" si="243"/>
        <v>5.50000000007</v>
      </c>
      <c r="BX176" s="380">
        <f t="shared" si="244"/>
        <v>0</v>
      </c>
      <c r="BY176" s="379">
        <f t="shared" si="216"/>
        <v>7.00000000004</v>
      </c>
      <c r="BZ176" s="379">
        <f t="shared" si="217"/>
        <v>4.00000000002</v>
      </c>
      <c r="CA176" s="379">
        <f t="shared" si="218"/>
        <v>10.500000000045</v>
      </c>
      <c r="CC176" s="379">
        <f t="shared" si="219"/>
        <v>0</v>
      </c>
      <c r="CD176" s="379">
        <f t="shared" si="220"/>
        <v>10.500000000090001</v>
      </c>
      <c r="CE176" s="379">
        <f t="shared" si="221"/>
        <v>8.2500000001050005</v>
      </c>
      <c r="CF176" s="379">
        <f t="shared" si="222"/>
        <v>0</v>
      </c>
      <c r="CG176" s="2" t="b">
        <f t="shared" si="245"/>
        <v>1</v>
      </c>
      <c r="CH176" s="2" t="b">
        <f t="shared" si="246"/>
        <v>1</v>
      </c>
      <c r="CI176" s="2" t="b">
        <f t="shared" si="247"/>
        <v>1</v>
      </c>
      <c r="CJ176" s="2"/>
      <c r="CK176" s="2" t="b">
        <f t="shared" si="248"/>
        <v>0</v>
      </c>
      <c r="CL176" s="2" t="b">
        <f t="shared" si="249"/>
        <v>1</v>
      </c>
      <c r="CM176" s="2" t="b">
        <f t="shared" si="250"/>
        <v>1</v>
      </c>
      <c r="CN176" s="2" t="b">
        <f t="shared" si="251"/>
        <v>0</v>
      </c>
      <c r="CO176" s="379">
        <v>1</v>
      </c>
      <c r="CP176" s="379">
        <v>1</v>
      </c>
      <c r="CQ176" s="379">
        <v>1.5</v>
      </c>
      <c r="CS176" s="379">
        <v>1.75</v>
      </c>
      <c r="CT176" s="379">
        <v>1.5</v>
      </c>
      <c r="CU176" s="379">
        <v>1.5</v>
      </c>
      <c r="CV176" s="379">
        <v>1.5</v>
      </c>
      <c r="CX176" s="379">
        <v>4</v>
      </c>
      <c r="CY176" s="379">
        <v>7</v>
      </c>
      <c r="CZ176" s="379">
        <v>5.5</v>
      </c>
      <c r="DB176" s="379" t="s">
        <v>324</v>
      </c>
      <c r="DC176" s="379">
        <v>7</v>
      </c>
      <c r="DD176" s="379">
        <v>7</v>
      </c>
      <c r="DE176" s="379">
        <v>4</v>
      </c>
      <c r="DF176" s="380">
        <f t="shared" si="252"/>
        <v>4.00000000004</v>
      </c>
      <c r="DG176" s="380">
        <f t="shared" si="253"/>
        <v>7.00000000002</v>
      </c>
      <c r="DH176" s="380">
        <f t="shared" si="254"/>
        <v>5.50000000003</v>
      </c>
      <c r="DI176" s="380"/>
      <c r="DJ176" s="380">
        <f t="shared" si="255"/>
        <v>0</v>
      </c>
      <c r="DK176" s="380">
        <f t="shared" si="256"/>
        <v>7.00000000006</v>
      </c>
      <c r="DL176" s="380">
        <f t="shared" si="257"/>
        <v>7.00000000007</v>
      </c>
      <c r="DM176" s="380">
        <f t="shared" si="258"/>
        <v>4.00000000008</v>
      </c>
      <c r="DN176" s="379">
        <f t="shared" si="224"/>
        <v>4.00000000004</v>
      </c>
      <c r="DO176" s="379">
        <f t="shared" si="225"/>
        <v>7.00000000002</v>
      </c>
      <c r="DP176" s="379">
        <f t="shared" si="226"/>
        <v>8.2500000000450004</v>
      </c>
      <c r="DR176" s="379">
        <f t="shared" si="227"/>
        <v>0</v>
      </c>
      <c r="DS176" s="379">
        <f t="shared" si="228"/>
        <v>10.500000000090001</v>
      </c>
      <c r="DT176" s="379">
        <f t="shared" si="229"/>
        <v>10.500000000105</v>
      </c>
      <c r="DU176" s="379">
        <f t="shared" si="230"/>
        <v>6.00000000012</v>
      </c>
      <c r="DV176" s="2" t="b">
        <f t="shared" si="259"/>
        <v>0</v>
      </c>
      <c r="DW176" s="2" t="b">
        <f t="shared" si="260"/>
        <v>1</v>
      </c>
      <c r="DX176" s="2" t="b">
        <f t="shared" si="261"/>
        <v>1</v>
      </c>
      <c r="DY176" s="2"/>
      <c r="DZ176" s="2" t="b">
        <f t="shared" si="262"/>
        <v>0</v>
      </c>
      <c r="EA176" s="2" t="b">
        <f t="shared" si="263"/>
        <v>1</v>
      </c>
      <c r="EB176" s="2" t="b">
        <f t="shared" si="264"/>
        <v>1</v>
      </c>
      <c r="EC176" s="2" t="b">
        <f t="shared" si="265"/>
        <v>1</v>
      </c>
      <c r="ED176" s="379">
        <v>1</v>
      </c>
      <c r="EE176" s="379">
        <v>1</v>
      </c>
      <c r="EF176" s="379">
        <v>1.5</v>
      </c>
      <c r="EH176" s="379">
        <v>1.75</v>
      </c>
      <c r="EI176" s="379">
        <v>1.5</v>
      </c>
      <c r="EJ176" s="379">
        <v>1.5</v>
      </c>
      <c r="EK176" s="379">
        <v>1.5</v>
      </c>
      <c r="EL176" s="379">
        <v>5.5</v>
      </c>
      <c r="EM176" s="379">
        <v>4</v>
      </c>
      <c r="EN176" s="379">
        <v>8.5</v>
      </c>
      <c r="EP176" s="379">
        <v>5.5</v>
      </c>
      <c r="EQ176" s="379">
        <v>5.5</v>
      </c>
      <c r="ER176" s="379">
        <v>5.5</v>
      </c>
      <c r="ES176" s="379">
        <v>4</v>
      </c>
      <c r="ET176" s="380">
        <f t="shared" si="266"/>
        <v>5.50000000004</v>
      </c>
      <c r="EU176" s="380">
        <f t="shared" si="267"/>
        <v>4.00000000002</v>
      </c>
      <c r="EV176" s="380">
        <f t="shared" si="268"/>
        <v>8.5000000000299991</v>
      </c>
      <c r="EW176" s="380">
        <f t="shared" si="269"/>
        <v>9.9999999999999994E-12</v>
      </c>
      <c r="EX176" s="380">
        <f t="shared" si="270"/>
        <v>5.50000000005</v>
      </c>
      <c r="EY176" s="380">
        <f t="shared" si="271"/>
        <v>5.50000000006</v>
      </c>
      <c r="EZ176" s="380">
        <f t="shared" si="272"/>
        <v>5.50000000007</v>
      </c>
      <c r="FA176" s="380">
        <f t="shared" si="273"/>
        <v>4.00000000008</v>
      </c>
      <c r="FB176" s="379">
        <f t="shared" si="299"/>
        <v>5.50000000004</v>
      </c>
      <c r="FC176" s="379">
        <f t="shared" si="300"/>
        <v>4.00000000002</v>
      </c>
      <c r="FD176" s="379">
        <f t="shared" si="301"/>
        <v>12.750000000044999</v>
      </c>
      <c r="FE176" s="379">
        <f t="shared" si="302"/>
        <v>0</v>
      </c>
      <c r="FF176" s="379">
        <f t="shared" si="303"/>
        <v>9.6250000000874998</v>
      </c>
      <c r="FG176" s="379">
        <f t="shared" si="304"/>
        <v>8.2500000000900009</v>
      </c>
      <c r="FH176" s="379">
        <f t="shared" si="305"/>
        <v>8.2500000001050005</v>
      </c>
      <c r="FI176" s="379">
        <f t="shared" si="306"/>
        <v>6.00000000012</v>
      </c>
      <c r="FJ176" s="2" t="b">
        <f t="shared" si="282"/>
        <v>0</v>
      </c>
      <c r="FK176" s="2" t="b">
        <f t="shared" si="283"/>
        <v>0</v>
      </c>
      <c r="FL176" s="2" t="b">
        <f t="shared" si="284"/>
        <v>1</v>
      </c>
      <c r="FM176" s="2" t="b">
        <f t="shared" si="285"/>
        <v>0</v>
      </c>
      <c r="FN176" s="2" t="b">
        <f t="shared" si="286"/>
        <v>1</v>
      </c>
      <c r="FO176" s="2" t="b">
        <f t="shared" si="287"/>
        <v>1</v>
      </c>
      <c r="FP176" s="2" t="b">
        <f t="shared" si="288"/>
        <v>1</v>
      </c>
      <c r="FQ176" s="2" t="b">
        <f t="shared" si="289"/>
        <v>1</v>
      </c>
    </row>
    <row r="177" spans="1:173" s="379" customFormat="1" ht="15.6">
      <c r="A177" s="335" t="s">
        <v>1264</v>
      </c>
      <c r="B177" s="346" t="s">
        <v>1264</v>
      </c>
      <c r="C177" s="346" t="s">
        <v>227</v>
      </c>
      <c r="D177" s="346" t="s">
        <v>1265</v>
      </c>
      <c r="E177" s="346" t="s">
        <v>1266</v>
      </c>
      <c r="F177" s="379" t="s">
        <v>785</v>
      </c>
      <c r="G177" s="379" t="s">
        <v>324</v>
      </c>
      <c r="H177" s="379">
        <v>54.25</v>
      </c>
      <c r="I177" s="379">
        <v>52.25</v>
      </c>
      <c r="J177" s="379">
        <v>52</v>
      </c>
      <c r="K177" s="435">
        <f t="shared" si="234"/>
        <v>54.250000000385</v>
      </c>
      <c r="L177" s="435">
        <f t="shared" si="235"/>
        <v>52.250000000395005</v>
      </c>
      <c r="M177" s="435">
        <f t="shared" si="236"/>
        <v>52.000000000474998</v>
      </c>
      <c r="N177" s="346" t="s">
        <v>2400</v>
      </c>
      <c r="O177" s="346" t="s">
        <v>2383</v>
      </c>
      <c r="P177" s="346" t="s">
        <v>1245</v>
      </c>
      <c r="Q177" s="346" t="s">
        <v>2384</v>
      </c>
      <c r="R177" s="346" t="s">
        <v>324</v>
      </c>
      <c r="S177" s="346" t="s">
        <v>1267</v>
      </c>
      <c r="T177" s="2" t="s">
        <v>1046</v>
      </c>
      <c r="U177" s="379">
        <v>20</v>
      </c>
      <c r="V177" s="2" cm="1">
        <f t="array" ref="V177">IFERROR(INDEX('Offer Statistics'!$BQ$2:$BQ$600,MATCH(1,(B177='Offer Statistics'!$BB$2:$BB$600)*($B$11='Offer Statistics'!$BC$2:$BC$600),0)),"/")</f>
        <v>12</v>
      </c>
      <c r="W177" s="2" cm="1">
        <f t="array" ref="W177">IFERROR(INDEX('Offer Statistics'!$BD$2:$BD$600,MATCH(1,($B177='Offer Statistics'!$BB$2:$BB$600)*($B$11='Offer Statistics'!$BC$2:$BC$600),0)),"/")</f>
        <v>46</v>
      </c>
      <c r="X177" s="2" cm="1">
        <f t="array" ref="X177">IFERROR(INDEX('Offer Statistics'!$BL$2:$BL$600,MATCH(1,($B177='Offer Statistics'!$BB$2:$BB$600)*($B$11='Offer Statistics'!$BC$2:$BC$600),0)),"/")</f>
        <v>12</v>
      </c>
      <c r="Y177" s="379">
        <f t="shared" si="215"/>
        <v>3.8333333333333335</v>
      </c>
      <c r="Z177" s="2" t="s">
        <v>1046</v>
      </c>
      <c r="AA177" s="435" t="str">
        <f>入學要求!AF186</f>
        <v>/</v>
      </c>
      <c r="AB177" s="435" t="str">
        <f>入學要求!AG186</f>
        <v>/</v>
      </c>
      <c r="AC177" s="425" t="s">
        <v>785</v>
      </c>
      <c r="AD177" s="427"/>
      <c r="AE177" s="346"/>
      <c r="AF177" s="346" t="s">
        <v>1256</v>
      </c>
      <c r="AG177" s="426" t="s">
        <v>2383</v>
      </c>
      <c r="AH177" s="426" t="s">
        <v>1245</v>
      </c>
      <c r="AI177" s="426" t="s">
        <v>2384</v>
      </c>
      <c r="AJ177" s="346" t="s">
        <v>324</v>
      </c>
      <c r="AK177" s="379" t="s">
        <v>324</v>
      </c>
      <c r="AL177" s="379" t="s">
        <v>324</v>
      </c>
      <c r="AM177" s="379" t="s">
        <v>324</v>
      </c>
      <c r="AN177" s="379" t="s">
        <v>324</v>
      </c>
      <c r="AO177" s="379" t="s">
        <v>324</v>
      </c>
      <c r="AP177" s="379" t="s">
        <v>324</v>
      </c>
      <c r="AQ177" s="379" t="s">
        <v>324</v>
      </c>
      <c r="AR177" s="379" t="s">
        <v>324</v>
      </c>
      <c r="AT177" s="379" t="s">
        <v>716</v>
      </c>
      <c r="AV177" s="379" t="s">
        <v>713</v>
      </c>
      <c r="AZ177" s="379">
        <v>1</v>
      </c>
      <c r="BA177" s="379">
        <v>1.5</v>
      </c>
      <c r="BB177" s="379">
        <v>2</v>
      </c>
      <c r="BD177" s="379">
        <v>2</v>
      </c>
      <c r="BE177" s="379">
        <v>1.5</v>
      </c>
      <c r="BF177" s="379">
        <v>1.5</v>
      </c>
      <c r="BG177" s="379">
        <v>1.5</v>
      </c>
      <c r="BH177" s="2" t="str">
        <f t="shared" si="237"/>
        <v>JS4416</v>
      </c>
      <c r="BI177" s="197">
        <v>3</v>
      </c>
      <c r="BJ177" s="197">
        <v>4</v>
      </c>
      <c r="BK177" s="197">
        <v>5.5</v>
      </c>
      <c r="BL177" s="197" t="s">
        <v>324</v>
      </c>
      <c r="BM177" s="197">
        <v>7</v>
      </c>
      <c r="BN177" s="197">
        <v>7</v>
      </c>
      <c r="BO177" s="197">
        <v>7</v>
      </c>
      <c r="BP177" s="197">
        <v>4</v>
      </c>
      <c r="BQ177" s="380">
        <f t="shared" si="238"/>
        <v>3.00000000004</v>
      </c>
      <c r="BR177" s="380">
        <f t="shared" si="239"/>
        <v>4.00000000002</v>
      </c>
      <c r="BS177" s="380">
        <f t="shared" si="240"/>
        <v>5.50000000003</v>
      </c>
      <c r="BT177" s="380"/>
      <c r="BU177" s="380">
        <f t="shared" si="241"/>
        <v>7.00000000005</v>
      </c>
      <c r="BV177" s="380">
        <f t="shared" si="242"/>
        <v>7.00000000006</v>
      </c>
      <c r="BW177" s="380">
        <f t="shared" si="243"/>
        <v>7.00000000007</v>
      </c>
      <c r="BX177" s="380">
        <f t="shared" si="244"/>
        <v>4.00000000008</v>
      </c>
      <c r="BY177" s="379">
        <f t="shared" ref="BY177:BY200" si="307">AZ177*BQ177</f>
        <v>3.00000000004</v>
      </c>
      <c r="BZ177" s="379">
        <f t="shared" ref="BZ177:BZ200" si="308">BA177*BR177</f>
        <v>6.00000000003</v>
      </c>
      <c r="CA177" s="379">
        <f t="shared" ref="CA177:CA200" si="309">BB177*BS177</f>
        <v>11.00000000006</v>
      </c>
      <c r="CC177" s="379">
        <f t="shared" ref="CC177:CC200" si="310">BD177*BU177</f>
        <v>14.0000000001</v>
      </c>
      <c r="CD177" s="379">
        <f t="shared" ref="CD177:CD200" si="311">BE177*BV177</f>
        <v>10.500000000090001</v>
      </c>
      <c r="CE177" s="379">
        <f t="shared" ref="CE177:CE200" si="312">BF177*BW177</f>
        <v>10.500000000105</v>
      </c>
      <c r="CF177" s="379">
        <f t="shared" ref="CF177:CF200" si="313">BG177*BX177</f>
        <v>6.00000000012</v>
      </c>
      <c r="CG177" s="2" t="b">
        <f t="shared" si="245"/>
        <v>0</v>
      </c>
      <c r="CH177" s="2" t="b">
        <f t="shared" si="246"/>
        <v>0</v>
      </c>
      <c r="CI177" s="2" t="b">
        <f t="shared" si="247"/>
        <v>1</v>
      </c>
      <c r="CJ177" s="2"/>
      <c r="CK177" s="2" t="b">
        <f t="shared" si="248"/>
        <v>1</v>
      </c>
      <c r="CL177" s="2" t="b">
        <f t="shared" si="249"/>
        <v>1</v>
      </c>
      <c r="CM177" s="2" t="b">
        <f t="shared" si="250"/>
        <v>1</v>
      </c>
      <c r="CN177" s="2" t="b">
        <f t="shared" si="251"/>
        <v>1</v>
      </c>
      <c r="CO177" s="379">
        <v>1</v>
      </c>
      <c r="CP177" s="379">
        <v>1</v>
      </c>
      <c r="CQ177" s="379">
        <v>2</v>
      </c>
      <c r="CS177" s="379">
        <v>2</v>
      </c>
      <c r="CT177" s="379">
        <v>1.5</v>
      </c>
      <c r="CU177" s="379">
        <v>1.5</v>
      </c>
      <c r="CV177" s="379">
        <v>1</v>
      </c>
      <c r="CX177" s="379">
        <v>5.5</v>
      </c>
      <c r="CY177" s="379">
        <v>4</v>
      </c>
      <c r="CZ177" s="379">
        <v>7</v>
      </c>
      <c r="DB177" s="379">
        <v>7</v>
      </c>
      <c r="DC177" s="379">
        <v>7</v>
      </c>
      <c r="DD177" s="379">
        <v>5.5</v>
      </c>
      <c r="DE177" s="379" t="s">
        <v>324</v>
      </c>
      <c r="DF177" s="380">
        <f t="shared" si="252"/>
        <v>5.50000000004</v>
      </c>
      <c r="DG177" s="380">
        <f t="shared" si="253"/>
        <v>4.00000000002</v>
      </c>
      <c r="DH177" s="380">
        <f t="shared" si="254"/>
        <v>7.00000000003</v>
      </c>
      <c r="DI177" s="380"/>
      <c r="DJ177" s="380">
        <f t="shared" si="255"/>
        <v>7.00000000005</v>
      </c>
      <c r="DK177" s="380">
        <f t="shared" si="256"/>
        <v>7.00000000006</v>
      </c>
      <c r="DL177" s="380">
        <f t="shared" si="257"/>
        <v>5.50000000007</v>
      </c>
      <c r="DM177" s="380">
        <f t="shared" si="258"/>
        <v>0</v>
      </c>
      <c r="DN177" s="379">
        <f t="shared" ref="DN177:DN198" si="314">DF177*CO177</f>
        <v>5.50000000004</v>
      </c>
      <c r="DO177" s="379">
        <f t="shared" ref="DO177:DO199" si="315">DG177*CP177</f>
        <v>4.00000000002</v>
      </c>
      <c r="DP177" s="379">
        <f t="shared" ref="DP177:DP199" si="316">DH177*CQ177</f>
        <v>14.00000000006</v>
      </c>
      <c r="DR177" s="379">
        <f t="shared" ref="DR177:DR199" si="317">DJ177*CS177</f>
        <v>14.0000000001</v>
      </c>
      <c r="DS177" s="379">
        <f t="shared" ref="DS177:DS199" si="318">DK177*CT177</f>
        <v>10.500000000090001</v>
      </c>
      <c r="DT177" s="379">
        <f t="shared" ref="DT177:DT199" si="319">DL177*CU177</f>
        <v>8.2500000001050005</v>
      </c>
      <c r="DU177" s="379">
        <f t="shared" ref="DU177:DU199" si="320">DM177*CV177</f>
        <v>0</v>
      </c>
      <c r="DV177" s="2" t="b">
        <f t="shared" si="259"/>
        <v>1</v>
      </c>
      <c r="DW177" s="2" t="b">
        <f t="shared" si="260"/>
        <v>0</v>
      </c>
      <c r="DX177" s="2" t="b">
        <f t="shared" si="261"/>
        <v>1</v>
      </c>
      <c r="DY177" s="2"/>
      <c r="DZ177" s="2" t="b">
        <f t="shared" si="262"/>
        <v>1</v>
      </c>
      <c r="EA177" s="2" t="b">
        <f t="shared" si="263"/>
        <v>1</v>
      </c>
      <c r="EB177" s="2" t="b">
        <f t="shared" si="264"/>
        <v>1</v>
      </c>
      <c r="EC177" s="2" t="b">
        <f t="shared" si="265"/>
        <v>0</v>
      </c>
      <c r="ED177" s="379">
        <v>1</v>
      </c>
      <c r="EE177" s="379">
        <v>1.5</v>
      </c>
      <c r="EF177" s="379">
        <v>2</v>
      </c>
      <c r="EH177" s="379">
        <v>2</v>
      </c>
      <c r="EI177" s="379">
        <v>1.5</v>
      </c>
      <c r="EJ177" s="379">
        <v>1.5</v>
      </c>
      <c r="EK177" s="379">
        <v>1</v>
      </c>
      <c r="EL177" s="379">
        <v>4</v>
      </c>
      <c r="EM177" s="379">
        <v>4</v>
      </c>
      <c r="EN177" s="379">
        <v>7</v>
      </c>
      <c r="EP177" s="379">
        <v>5.5</v>
      </c>
      <c r="EQ177" s="379">
        <v>8.5</v>
      </c>
      <c r="ER177" s="379">
        <v>7</v>
      </c>
      <c r="ES177" s="379">
        <v>4</v>
      </c>
      <c r="ET177" s="380">
        <f t="shared" si="266"/>
        <v>4.00000000004</v>
      </c>
      <c r="EU177" s="380">
        <f t="shared" si="267"/>
        <v>4.00000000002</v>
      </c>
      <c r="EV177" s="380">
        <f t="shared" si="268"/>
        <v>7.00000000003</v>
      </c>
      <c r="EW177" s="380">
        <f t="shared" si="269"/>
        <v>9.9999999999999994E-12</v>
      </c>
      <c r="EX177" s="380">
        <f t="shared" si="270"/>
        <v>5.50000000005</v>
      </c>
      <c r="EY177" s="380">
        <f t="shared" si="271"/>
        <v>8.50000000006</v>
      </c>
      <c r="EZ177" s="380">
        <f t="shared" si="272"/>
        <v>7.00000000007</v>
      </c>
      <c r="FA177" s="380">
        <f t="shared" si="273"/>
        <v>4.00000000008</v>
      </c>
      <c r="FB177" s="379">
        <f t="shared" si="299"/>
        <v>4.00000000004</v>
      </c>
      <c r="FC177" s="379">
        <f t="shared" si="300"/>
        <v>6.00000000003</v>
      </c>
      <c r="FD177" s="379">
        <f t="shared" si="301"/>
        <v>14.00000000006</v>
      </c>
      <c r="FE177" s="379">
        <f t="shared" si="302"/>
        <v>0</v>
      </c>
      <c r="FF177" s="379">
        <f t="shared" si="303"/>
        <v>11.0000000001</v>
      </c>
      <c r="FG177" s="379">
        <f t="shared" si="304"/>
        <v>12.750000000090001</v>
      </c>
      <c r="FH177" s="379">
        <f t="shared" si="305"/>
        <v>10.500000000105</v>
      </c>
      <c r="FI177" s="379">
        <f t="shared" si="306"/>
        <v>4.00000000008</v>
      </c>
      <c r="FJ177" s="2" t="b">
        <f t="shared" si="282"/>
        <v>0</v>
      </c>
      <c r="FK177" s="2" t="b">
        <f t="shared" si="283"/>
        <v>1</v>
      </c>
      <c r="FL177" s="2" t="b">
        <f t="shared" si="284"/>
        <v>1</v>
      </c>
      <c r="FM177" s="2" t="b">
        <f t="shared" si="285"/>
        <v>0</v>
      </c>
      <c r="FN177" s="2" t="b">
        <f t="shared" si="286"/>
        <v>1</v>
      </c>
      <c r="FO177" s="2" t="b">
        <f t="shared" si="287"/>
        <v>1</v>
      </c>
      <c r="FP177" s="2" t="b">
        <f t="shared" si="288"/>
        <v>1</v>
      </c>
      <c r="FQ177" s="2" t="b">
        <f t="shared" si="289"/>
        <v>0</v>
      </c>
    </row>
    <row r="178" spans="1:173" s="379" customFormat="1" ht="15.6">
      <c r="A178" s="335" t="s">
        <v>1268</v>
      </c>
      <c r="B178" s="346" t="s">
        <v>1268</v>
      </c>
      <c r="C178" s="346" t="s">
        <v>227</v>
      </c>
      <c r="D178" s="346" t="s">
        <v>1081</v>
      </c>
      <c r="E178" s="346" t="s">
        <v>1269</v>
      </c>
      <c r="F178" s="379" t="s">
        <v>785</v>
      </c>
      <c r="G178" s="379" t="s">
        <v>324</v>
      </c>
      <c r="H178" s="379">
        <v>46.625</v>
      </c>
      <c r="I178" s="379">
        <v>45.625</v>
      </c>
      <c r="J178" s="379">
        <v>44.5</v>
      </c>
      <c r="K178" s="435">
        <f t="shared" si="234"/>
        <v>46.625000000455003</v>
      </c>
      <c r="L178" s="435">
        <f t="shared" si="235"/>
        <v>45.625000000385</v>
      </c>
      <c r="M178" s="435">
        <f t="shared" si="236"/>
        <v>44.500000000385</v>
      </c>
      <c r="N178" s="346" t="s">
        <v>2400</v>
      </c>
      <c r="O178" s="346" t="s">
        <v>2385</v>
      </c>
      <c r="P178" s="346" t="s">
        <v>3045</v>
      </c>
      <c r="Q178" s="346" t="s">
        <v>2389</v>
      </c>
      <c r="R178" s="346" t="s">
        <v>834</v>
      </c>
      <c r="S178" s="346" t="s">
        <v>1270</v>
      </c>
      <c r="T178" s="2" t="s">
        <v>1046</v>
      </c>
      <c r="U178" s="379">
        <v>35</v>
      </c>
      <c r="V178" s="2" cm="1">
        <f t="array" ref="V178">IFERROR(INDEX('Offer Statistics'!$BQ$2:$BQ$600,MATCH(1,(B178='Offer Statistics'!$BB$2:$BB$600)*($B$11='Offer Statistics'!$BC$2:$BC$600),0)),"/")</f>
        <v>35</v>
      </c>
      <c r="W178" s="2" cm="1">
        <f t="array" ref="W178">IFERROR(INDEX('Offer Statistics'!$BD$2:$BD$600,MATCH(1,($B178='Offer Statistics'!$BB$2:$BB$600)*($B$11='Offer Statistics'!$BC$2:$BC$600),0)),"/")</f>
        <v>118</v>
      </c>
      <c r="X178" s="2" cm="1">
        <f t="array" ref="X178">IFERROR(INDEX('Offer Statistics'!$BL$2:$BL$600,MATCH(1,($B178='Offer Statistics'!$BB$2:$BB$600)*($B$11='Offer Statistics'!$BC$2:$BC$600),0)),"/")</f>
        <v>35</v>
      </c>
      <c r="Y178" s="379">
        <f t="shared" si="215"/>
        <v>3.3714285714285714</v>
      </c>
      <c r="Z178" s="2" t="s">
        <v>1046</v>
      </c>
      <c r="AA178" s="435" t="str">
        <f>入學要求!AF187</f>
        <v>/</v>
      </c>
      <c r="AB178" s="435" t="str">
        <f>入學要求!AG187</f>
        <v>/</v>
      </c>
      <c r="AC178" s="425" t="s">
        <v>785</v>
      </c>
      <c r="AD178" s="427"/>
      <c r="AE178" s="346"/>
      <c r="AF178" s="346" t="s">
        <v>1256</v>
      </c>
      <c r="AG178" s="426" t="s">
        <v>2385</v>
      </c>
      <c r="AH178" s="426" t="s">
        <v>1271</v>
      </c>
      <c r="AI178" s="426" t="s">
        <v>2389</v>
      </c>
      <c r="AJ178" s="346" t="s">
        <v>832</v>
      </c>
      <c r="AK178" s="379" t="s">
        <v>324</v>
      </c>
      <c r="AL178" s="379" t="s">
        <v>324</v>
      </c>
      <c r="AM178" s="379" t="s">
        <v>324</v>
      </c>
      <c r="AN178" s="379" t="s">
        <v>324</v>
      </c>
      <c r="AO178" s="379" t="s">
        <v>324</v>
      </c>
      <c r="AP178" s="379" t="s">
        <v>324</v>
      </c>
      <c r="AQ178" s="379" t="s">
        <v>324</v>
      </c>
      <c r="AR178" s="379" t="s">
        <v>324</v>
      </c>
      <c r="AT178" s="379" t="s">
        <v>716</v>
      </c>
      <c r="AV178" s="379" t="s">
        <v>713</v>
      </c>
      <c r="AZ178" s="379">
        <v>1.25</v>
      </c>
      <c r="BA178" s="379">
        <v>1.25</v>
      </c>
      <c r="BB178" s="379">
        <v>1.75</v>
      </c>
      <c r="BD178" s="379">
        <v>1.75</v>
      </c>
      <c r="BE178" s="379">
        <v>1.5</v>
      </c>
      <c r="BF178" s="379">
        <v>1.5</v>
      </c>
      <c r="BG178" s="379">
        <v>1.5</v>
      </c>
      <c r="BH178" s="2" t="str">
        <f t="shared" si="237"/>
        <v>JS4428</v>
      </c>
      <c r="BI178" s="197">
        <v>7</v>
      </c>
      <c r="BJ178" s="197">
        <v>4</v>
      </c>
      <c r="BK178" s="197">
        <v>5.5</v>
      </c>
      <c r="BL178" s="197" t="s">
        <v>324</v>
      </c>
      <c r="BM178" s="197">
        <v>5.5</v>
      </c>
      <c r="BN178" s="197">
        <v>5.5</v>
      </c>
      <c r="BO178" s="197">
        <v>5.5</v>
      </c>
      <c r="BP178" s="197">
        <v>4</v>
      </c>
      <c r="BQ178" s="380">
        <f t="shared" si="238"/>
        <v>7.00000000004</v>
      </c>
      <c r="BR178" s="380">
        <f t="shared" si="239"/>
        <v>4.00000000002</v>
      </c>
      <c r="BS178" s="380">
        <f t="shared" si="240"/>
        <v>5.50000000003</v>
      </c>
      <c r="BT178" s="380"/>
      <c r="BU178" s="380">
        <f t="shared" si="241"/>
        <v>5.50000000005</v>
      </c>
      <c r="BV178" s="380">
        <f t="shared" si="242"/>
        <v>5.50000000006</v>
      </c>
      <c r="BW178" s="380">
        <f t="shared" si="243"/>
        <v>5.50000000007</v>
      </c>
      <c r="BX178" s="380">
        <f t="shared" si="244"/>
        <v>4.00000000008</v>
      </c>
      <c r="BY178" s="379">
        <f t="shared" si="307"/>
        <v>8.7500000000500009</v>
      </c>
      <c r="BZ178" s="379">
        <f t="shared" si="308"/>
        <v>5.0000000000250004</v>
      </c>
      <c r="CA178" s="379">
        <f t="shared" si="309"/>
        <v>9.6250000000525002</v>
      </c>
      <c r="CC178" s="379">
        <f t="shared" si="310"/>
        <v>9.6250000000874998</v>
      </c>
      <c r="CD178" s="379">
        <f t="shared" si="311"/>
        <v>8.2500000000900009</v>
      </c>
      <c r="CE178" s="379">
        <f t="shared" si="312"/>
        <v>8.2500000001050005</v>
      </c>
      <c r="CF178" s="379">
        <f t="shared" si="313"/>
        <v>6.00000000012</v>
      </c>
      <c r="CG178" s="2" t="b">
        <f t="shared" si="245"/>
        <v>1</v>
      </c>
      <c r="CH178" s="2" t="b">
        <f t="shared" si="246"/>
        <v>0</v>
      </c>
      <c r="CI178" s="2" t="b">
        <f t="shared" si="247"/>
        <v>1</v>
      </c>
      <c r="CJ178" s="2"/>
      <c r="CK178" s="2" t="b">
        <f t="shared" si="248"/>
        <v>1</v>
      </c>
      <c r="CL178" s="2" t="b">
        <f t="shared" si="249"/>
        <v>1</v>
      </c>
      <c r="CM178" s="2" t="b">
        <f t="shared" si="250"/>
        <v>1</v>
      </c>
      <c r="CN178" s="2" t="b">
        <f t="shared" si="251"/>
        <v>0</v>
      </c>
      <c r="CO178" s="379">
        <v>1.25</v>
      </c>
      <c r="CP178" s="379">
        <v>1.25</v>
      </c>
      <c r="CQ178" s="379">
        <v>1.75</v>
      </c>
      <c r="CS178" s="379">
        <v>1.75</v>
      </c>
      <c r="CT178" s="379">
        <v>1.5</v>
      </c>
      <c r="CU178" s="379">
        <v>1.5</v>
      </c>
      <c r="CV178" s="379">
        <v>1</v>
      </c>
      <c r="CX178" s="379">
        <v>4</v>
      </c>
      <c r="CY178" s="379">
        <v>4</v>
      </c>
      <c r="CZ178" s="379">
        <v>5.5</v>
      </c>
      <c r="DB178" s="379">
        <v>7</v>
      </c>
      <c r="DC178" s="379">
        <v>7</v>
      </c>
      <c r="DD178" s="379">
        <v>5.5</v>
      </c>
      <c r="DE178" s="379" t="s">
        <v>324</v>
      </c>
      <c r="DF178" s="380">
        <f t="shared" si="252"/>
        <v>4.00000000004</v>
      </c>
      <c r="DG178" s="380">
        <f t="shared" si="253"/>
        <v>4.00000000002</v>
      </c>
      <c r="DH178" s="380">
        <f t="shared" si="254"/>
        <v>5.50000000003</v>
      </c>
      <c r="DI178" s="380"/>
      <c r="DJ178" s="380">
        <f t="shared" si="255"/>
        <v>7.00000000005</v>
      </c>
      <c r="DK178" s="380">
        <f t="shared" si="256"/>
        <v>7.00000000006</v>
      </c>
      <c r="DL178" s="380">
        <f t="shared" si="257"/>
        <v>5.50000000007</v>
      </c>
      <c r="DM178" s="380">
        <f t="shared" si="258"/>
        <v>0</v>
      </c>
      <c r="DN178" s="379">
        <f t="shared" si="314"/>
        <v>5.00000000005</v>
      </c>
      <c r="DO178" s="379">
        <f t="shared" si="315"/>
        <v>5.0000000000250004</v>
      </c>
      <c r="DP178" s="379">
        <f t="shared" si="316"/>
        <v>9.6250000000525002</v>
      </c>
      <c r="DR178" s="379">
        <f t="shared" si="317"/>
        <v>12.2500000000875</v>
      </c>
      <c r="DS178" s="379">
        <f t="shared" si="318"/>
        <v>10.500000000090001</v>
      </c>
      <c r="DT178" s="379">
        <f t="shared" si="319"/>
        <v>8.2500000001050005</v>
      </c>
      <c r="DU178" s="379">
        <f t="shared" si="320"/>
        <v>0</v>
      </c>
      <c r="DV178" s="2" t="b">
        <f t="shared" si="259"/>
        <v>1</v>
      </c>
      <c r="DW178" s="2" t="b">
        <f t="shared" si="260"/>
        <v>0</v>
      </c>
      <c r="DX178" s="2" t="b">
        <f t="shared" si="261"/>
        <v>1</v>
      </c>
      <c r="DY178" s="2"/>
      <c r="DZ178" s="2" t="b">
        <f t="shared" si="262"/>
        <v>1</v>
      </c>
      <c r="EA178" s="2" t="b">
        <f t="shared" si="263"/>
        <v>1</v>
      </c>
      <c r="EB178" s="2" t="b">
        <f t="shared" si="264"/>
        <v>1</v>
      </c>
      <c r="EC178" s="2" t="b">
        <f t="shared" si="265"/>
        <v>0</v>
      </c>
      <c r="ED178" s="379">
        <v>1.25</v>
      </c>
      <c r="EE178" s="379">
        <v>1.25</v>
      </c>
      <c r="EF178" s="379">
        <v>1.75</v>
      </c>
      <c r="EH178" s="379">
        <v>1.75</v>
      </c>
      <c r="EI178" s="379">
        <v>1.5</v>
      </c>
      <c r="EJ178" s="379">
        <v>1.5</v>
      </c>
      <c r="EK178" s="379">
        <v>1.5</v>
      </c>
      <c r="EL178" s="379">
        <v>4</v>
      </c>
      <c r="EM178" s="379">
        <v>4</v>
      </c>
      <c r="EN178" s="379">
        <v>7</v>
      </c>
      <c r="EP178" s="379">
        <v>5.5</v>
      </c>
      <c r="EQ178" s="379">
        <v>7</v>
      </c>
      <c r="ER178" s="379">
        <v>5.5</v>
      </c>
      <c r="ES178" s="379">
        <v>4</v>
      </c>
      <c r="ET178" s="380">
        <f t="shared" si="266"/>
        <v>4.00000000004</v>
      </c>
      <c r="EU178" s="380">
        <f t="shared" si="267"/>
        <v>4.00000000002</v>
      </c>
      <c r="EV178" s="380">
        <f t="shared" si="268"/>
        <v>7.00000000003</v>
      </c>
      <c r="EW178" s="380">
        <f t="shared" si="269"/>
        <v>9.9999999999999994E-12</v>
      </c>
      <c r="EX178" s="380">
        <f t="shared" si="270"/>
        <v>5.50000000005</v>
      </c>
      <c r="EY178" s="380">
        <f t="shared" si="271"/>
        <v>7.00000000006</v>
      </c>
      <c r="EZ178" s="380">
        <f t="shared" si="272"/>
        <v>5.50000000007</v>
      </c>
      <c r="FA178" s="380">
        <f t="shared" si="273"/>
        <v>4.00000000008</v>
      </c>
      <c r="FB178" s="379">
        <f t="shared" si="299"/>
        <v>5.00000000005</v>
      </c>
      <c r="FC178" s="379">
        <f t="shared" si="300"/>
        <v>5.0000000000250004</v>
      </c>
      <c r="FD178" s="379">
        <f t="shared" si="301"/>
        <v>12.2500000000525</v>
      </c>
      <c r="FE178" s="379">
        <f t="shared" si="302"/>
        <v>0</v>
      </c>
      <c r="FF178" s="379">
        <f t="shared" si="303"/>
        <v>9.6250000000874998</v>
      </c>
      <c r="FG178" s="379">
        <f t="shared" si="304"/>
        <v>10.500000000090001</v>
      </c>
      <c r="FH178" s="379">
        <f t="shared" si="305"/>
        <v>8.2500000001050005</v>
      </c>
      <c r="FI178" s="379">
        <f t="shared" si="306"/>
        <v>6.00000000012</v>
      </c>
      <c r="FJ178" s="2" t="b">
        <f t="shared" si="282"/>
        <v>0</v>
      </c>
      <c r="FK178" s="2" t="b">
        <f t="shared" si="283"/>
        <v>0</v>
      </c>
      <c r="FL178" s="2" t="b">
        <f t="shared" si="284"/>
        <v>1</v>
      </c>
      <c r="FM178" s="2" t="b">
        <f t="shared" si="285"/>
        <v>0</v>
      </c>
      <c r="FN178" s="2" t="b">
        <f t="shared" si="286"/>
        <v>1</v>
      </c>
      <c r="FO178" s="2" t="b">
        <f t="shared" si="287"/>
        <v>1</v>
      </c>
      <c r="FP178" s="2" t="b">
        <f t="shared" si="288"/>
        <v>1</v>
      </c>
      <c r="FQ178" s="2" t="b">
        <f t="shared" si="289"/>
        <v>1</v>
      </c>
    </row>
    <row r="179" spans="1:173" ht="15.6">
      <c r="A179" s="335" t="s">
        <v>1272</v>
      </c>
      <c r="B179" s="346" t="s">
        <v>1272</v>
      </c>
      <c r="C179" s="346" t="s">
        <v>227</v>
      </c>
      <c r="D179" s="346" t="s">
        <v>1081</v>
      </c>
      <c r="E179" s="346" t="s">
        <v>1273</v>
      </c>
      <c r="F179" s="2" t="s">
        <v>785</v>
      </c>
      <c r="G179" s="2" t="s">
        <v>324</v>
      </c>
      <c r="H179" s="2">
        <v>30.5</v>
      </c>
      <c r="I179" s="2">
        <v>28.25</v>
      </c>
      <c r="J179" s="2">
        <v>27.5</v>
      </c>
      <c r="K179" s="435">
        <f t="shared" si="234"/>
        <v>30.50000000032</v>
      </c>
      <c r="L179" s="435">
        <f t="shared" si="235"/>
        <v>28.25000000032</v>
      </c>
      <c r="M179" s="435">
        <f t="shared" si="236"/>
        <v>27.500000000324999</v>
      </c>
      <c r="N179" s="346" t="s">
        <v>324</v>
      </c>
      <c r="O179" s="346" t="s">
        <v>324</v>
      </c>
      <c r="P179" s="346" t="s">
        <v>3042</v>
      </c>
      <c r="Q179" s="346" t="s">
        <v>324</v>
      </c>
      <c r="R179" s="346" t="s">
        <v>324</v>
      </c>
      <c r="S179" s="346" t="s">
        <v>1274</v>
      </c>
      <c r="T179" s="2" t="s">
        <v>1046</v>
      </c>
      <c r="U179" s="2">
        <v>53</v>
      </c>
      <c r="V179" s="2" cm="1">
        <f t="array" ref="V179">IFERROR(INDEX('Offer Statistics'!$BQ$2:$BQ$600,MATCH(1,(B179='Offer Statistics'!$BB$2:$BB$600)*($B$11='Offer Statistics'!$BC$2:$BC$600),0)),"/")</f>
        <v>39</v>
      </c>
      <c r="W179" s="2" cm="1">
        <f t="array" ref="W179">IFERROR(INDEX('Offer Statistics'!$BD$2:$BD$600,MATCH(1,($B179='Offer Statistics'!$BB$2:$BB$600)*($B$11='Offer Statistics'!$BC$2:$BC$600),0)),"/")</f>
        <v>246</v>
      </c>
      <c r="X179" s="2" cm="1">
        <f t="array" ref="X179">IFERROR(INDEX('Offer Statistics'!$BL$2:$BL$600,MATCH(1,($B179='Offer Statistics'!$BB$2:$BB$600)*($B$11='Offer Statistics'!$BC$2:$BC$600),0)),"/")</f>
        <v>39</v>
      </c>
      <c r="Y179" s="2">
        <f t="shared" si="215"/>
        <v>6.3076923076923075</v>
      </c>
      <c r="Z179" s="2" t="s">
        <v>1046</v>
      </c>
      <c r="AA179" s="435" t="str">
        <f>入學要求!AF188</f>
        <v>以下一科選修取得Lv.3︰M1/2、生物、化學、ICT、物理</v>
      </c>
      <c r="AB179" s="435" t="str">
        <f>入學要求!AG188</f>
        <v>/</v>
      </c>
      <c r="AC179" s="425" t="s">
        <v>785</v>
      </c>
      <c r="AD179" s="346"/>
      <c r="AE179" s="346"/>
      <c r="AF179" s="346" t="s">
        <v>324</v>
      </c>
      <c r="AG179" s="426" t="s">
        <v>324</v>
      </c>
      <c r="AH179" s="426" t="s">
        <v>1261</v>
      </c>
      <c r="AI179" s="426" t="s">
        <v>324</v>
      </c>
      <c r="AJ179" s="346" t="s">
        <v>324</v>
      </c>
      <c r="AK179" s="2" t="s">
        <v>324</v>
      </c>
      <c r="AL179" s="2" t="s">
        <v>324</v>
      </c>
      <c r="AM179" s="2" t="s">
        <v>324</v>
      </c>
      <c r="AN179" s="2" t="s">
        <v>324</v>
      </c>
      <c r="AO179" s="2" t="s">
        <v>324</v>
      </c>
      <c r="AP179" s="2" t="s">
        <v>324</v>
      </c>
      <c r="AQ179" s="2" t="s">
        <v>324</v>
      </c>
      <c r="AR179" s="2" t="s">
        <v>324</v>
      </c>
      <c r="AT179" s="2" t="s">
        <v>716</v>
      </c>
      <c r="AV179" s="2" t="s">
        <v>1275</v>
      </c>
      <c r="AZ179" s="2">
        <v>1</v>
      </c>
      <c r="BA179" s="2">
        <v>1</v>
      </c>
      <c r="BB179" s="2">
        <v>1.5</v>
      </c>
      <c r="BD179" s="2">
        <v>1.5</v>
      </c>
      <c r="BE179" s="2">
        <v>1</v>
      </c>
      <c r="BF179" s="2">
        <v>1.5</v>
      </c>
      <c r="BG179" s="2">
        <v>1</v>
      </c>
      <c r="BH179" s="2" t="str">
        <f t="shared" si="237"/>
        <v>JS4434</v>
      </c>
      <c r="BI179" s="197">
        <v>4</v>
      </c>
      <c r="BJ179" s="197">
        <v>3</v>
      </c>
      <c r="BK179" s="197">
        <v>4</v>
      </c>
      <c r="BL179" s="197" t="s">
        <v>324</v>
      </c>
      <c r="BM179" s="197">
        <v>4</v>
      </c>
      <c r="BN179" s="197">
        <v>5.5</v>
      </c>
      <c r="BO179" s="197">
        <v>4</v>
      </c>
      <c r="BP179" s="197" t="s">
        <v>324</v>
      </c>
      <c r="BQ179" s="194">
        <f t="shared" si="238"/>
        <v>4.00000000004</v>
      </c>
      <c r="BR179" s="194">
        <f t="shared" si="239"/>
        <v>3.00000000002</v>
      </c>
      <c r="BS179" s="194">
        <f t="shared" si="240"/>
        <v>4.00000000003</v>
      </c>
      <c r="BU179" s="194">
        <f t="shared" si="241"/>
        <v>4.00000000005</v>
      </c>
      <c r="BV179" s="194">
        <f t="shared" si="242"/>
        <v>5.50000000006</v>
      </c>
      <c r="BW179" s="194">
        <f t="shared" si="243"/>
        <v>4.00000000007</v>
      </c>
      <c r="BX179" s="194">
        <f t="shared" si="244"/>
        <v>0</v>
      </c>
      <c r="BY179" s="2">
        <f t="shared" si="307"/>
        <v>4.00000000004</v>
      </c>
      <c r="BZ179" s="2">
        <f t="shared" si="308"/>
        <v>3.00000000002</v>
      </c>
      <c r="CA179" s="2">
        <f t="shared" si="309"/>
        <v>6.0000000000450004</v>
      </c>
      <c r="CC179" s="2">
        <f t="shared" si="310"/>
        <v>6.0000000000749996</v>
      </c>
      <c r="CD179" s="2">
        <f t="shared" si="311"/>
        <v>5.50000000006</v>
      </c>
      <c r="CE179" s="2">
        <f t="shared" si="312"/>
        <v>6.0000000001050005</v>
      </c>
      <c r="CF179" s="2">
        <f t="shared" si="313"/>
        <v>0</v>
      </c>
      <c r="CG179" s="2" t="b">
        <f t="shared" si="245"/>
        <v>1</v>
      </c>
      <c r="CH179" s="2" t="b">
        <f t="shared" si="246"/>
        <v>0</v>
      </c>
      <c r="CI179" s="2" t="b">
        <f t="shared" si="247"/>
        <v>1</v>
      </c>
      <c r="CK179" s="2" t="b">
        <f t="shared" si="248"/>
        <v>1</v>
      </c>
      <c r="CL179" s="2" t="b">
        <f t="shared" si="249"/>
        <v>1</v>
      </c>
      <c r="CM179" s="2" t="b">
        <f t="shared" si="250"/>
        <v>1</v>
      </c>
      <c r="CN179" s="2" t="b">
        <f t="shared" si="251"/>
        <v>0</v>
      </c>
      <c r="CO179" s="2">
        <v>1</v>
      </c>
      <c r="CP179" s="2">
        <v>1</v>
      </c>
      <c r="CQ179" s="2">
        <v>1.5</v>
      </c>
      <c r="CS179" s="2">
        <v>1.5</v>
      </c>
      <c r="CT179" s="2">
        <v>1.5</v>
      </c>
      <c r="CU179" s="2">
        <v>1</v>
      </c>
      <c r="CV179" s="2">
        <v>1</v>
      </c>
      <c r="CX179" s="2">
        <v>4</v>
      </c>
      <c r="CY179" s="2">
        <v>4</v>
      </c>
      <c r="CZ179" s="2">
        <v>4</v>
      </c>
      <c r="DB179" s="2">
        <v>4</v>
      </c>
      <c r="DC179" s="2">
        <v>5.5</v>
      </c>
      <c r="DD179" s="2">
        <v>4</v>
      </c>
      <c r="DE179" s="2">
        <v>3</v>
      </c>
      <c r="DF179" s="194">
        <f t="shared" si="252"/>
        <v>4.00000000004</v>
      </c>
      <c r="DG179" s="194">
        <f t="shared" si="253"/>
        <v>4.00000000002</v>
      </c>
      <c r="DH179" s="194">
        <f t="shared" si="254"/>
        <v>4.00000000003</v>
      </c>
      <c r="DJ179" s="194">
        <f t="shared" si="255"/>
        <v>4.00000000005</v>
      </c>
      <c r="DK179" s="194">
        <f t="shared" si="256"/>
        <v>5.50000000006</v>
      </c>
      <c r="DL179" s="194">
        <f t="shared" si="257"/>
        <v>4.00000000007</v>
      </c>
      <c r="DM179" s="194">
        <f t="shared" si="258"/>
        <v>3.00000000008</v>
      </c>
      <c r="DN179" s="2">
        <f t="shared" si="314"/>
        <v>4.00000000004</v>
      </c>
      <c r="DO179" s="2">
        <f t="shared" si="315"/>
        <v>4.00000000002</v>
      </c>
      <c r="DP179" s="2">
        <f t="shared" si="316"/>
        <v>6.0000000000450004</v>
      </c>
      <c r="DR179" s="2">
        <f t="shared" si="317"/>
        <v>6.0000000000749996</v>
      </c>
      <c r="DS179" s="2">
        <f t="shared" si="318"/>
        <v>8.2500000000900009</v>
      </c>
      <c r="DT179" s="2">
        <f t="shared" si="319"/>
        <v>4.00000000007</v>
      </c>
      <c r="DU179" s="2">
        <f t="shared" si="320"/>
        <v>3.00000000008</v>
      </c>
      <c r="DV179" s="2" t="b">
        <f t="shared" si="259"/>
        <v>1</v>
      </c>
      <c r="DW179" s="2" t="b">
        <f t="shared" si="260"/>
        <v>0</v>
      </c>
      <c r="DX179" s="2" t="b">
        <f t="shared" si="261"/>
        <v>1</v>
      </c>
      <c r="DZ179" s="2" t="b">
        <f t="shared" si="262"/>
        <v>1</v>
      </c>
      <c r="EA179" s="2" t="b">
        <f t="shared" si="263"/>
        <v>1</v>
      </c>
      <c r="EB179" s="2" t="b">
        <f t="shared" si="264"/>
        <v>1</v>
      </c>
      <c r="EC179" s="2" t="b">
        <f t="shared" si="265"/>
        <v>0</v>
      </c>
      <c r="ED179" s="2">
        <v>1</v>
      </c>
      <c r="EE179" s="2">
        <v>1</v>
      </c>
      <c r="EF179" s="2">
        <v>1.5</v>
      </c>
      <c r="EH179" s="2">
        <v>1.5</v>
      </c>
      <c r="EI179" s="2">
        <v>1.5</v>
      </c>
      <c r="EJ179" s="2">
        <v>1</v>
      </c>
      <c r="EK179" s="2">
        <v>1</v>
      </c>
      <c r="EL179" s="2">
        <v>4</v>
      </c>
      <c r="EM179" s="2">
        <v>3</v>
      </c>
      <c r="EN179" s="2">
        <v>5.5</v>
      </c>
      <c r="EP179" s="2">
        <v>5.5</v>
      </c>
      <c r="EQ179" s="2">
        <v>4</v>
      </c>
      <c r="ER179" s="2">
        <v>4</v>
      </c>
      <c r="ES179" s="2" t="s">
        <v>324</v>
      </c>
      <c r="ET179" s="194">
        <f t="shared" si="266"/>
        <v>4.00000000004</v>
      </c>
      <c r="EU179" s="194">
        <f t="shared" si="267"/>
        <v>3.00000000002</v>
      </c>
      <c r="EV179" s="194">
        <f t="shared" si="268"/>
        <v>5.50000000003</v>
      </c>
      <c r="EW179" s="194">
        <f t="shared" si="269"/>
        <v>9.9999999999999994E-12</v>
      </c>
      <c r="EX179" s="194">
        <f t="shared" si="270"/>
        <v>5.50000000005</v>
      </c>
      <c r="EY179" s="194">
        <f t="shared" si="271"/>
        <v>4.00000000006</v>
      </c>
      <c r="EZ179" s="194">
        <f t="shared" si="272"/>
        <v>4.00000000007</v>
      </c>
      <c r="FA179" s="194">
        <f t="shared" si="273"/>
        <v>0</v>
      </c>
      <c r="FB179" s="2">
        <f t="shared" si="299"/>
        <v>4.00000000004</v>
      </c>
      <c r="FC179" s="2">
        <f t="shared" si="300"/>
        <v>3.00000000002</v>
      </c>
      <c r="FD179" s="2">
        <f t="shared" si="301"/>
        <v>8.2500000000450004</v>
      </c>
      <c r="FE179" s="2">
        <f t="shared" si="302"/>
        <v>0</v>
      </c>
      <c r="FF179" s="2">
        <f t="shared" si="303"/>
        <v>8.2500000000749996</v>
      </c>
      <c r="FG179" s="2">
        <f t="shared" si="304"/>
        <v>6.00000000009</v>
      </c>
      <c r="FH179" s="2">
        <f t="shared" si="305"/>
        <v>4.00000000007</v>
      </c>
      <c r="FI179" s="2">
        <f t="shared" si="306"/>
        <v>0</v>
      </c>
      <c r="FJ179" s="2" t="b">
        <f t="shared" si="282"/>
        <v>1</v>
      </c>
      <c r="FK179" s="2" t="b">
        <f t="shared" si="283"/>
        <v>0</v>
      </c>
      <c r="FL179" s="2" t="b">
        <f t="shared" si="284"/>
        <v>1</v>
      </c>
      <c r="FM179" s="2" t="b">
        <f t="shared" si="285"/>
        <v>0</v>
      </c>
      <c r="FN179" s="2" t="b">
        <f t="shared" si="286"/>
        <v>1</v>
      </c>
      <c r="FO179" s="2" t="b">
        <f t="shared" si="287"/>
        <v>1</v>
      </c>
      <c r="FP179" s="2" t="b">
        <f t="shared" si="288"/>
        <v>1</v>
      </c>
      <c r="FQ179" s="2" t="b">
        <f t="shared" si="289"/>
        <v>0</v>
      </c>
    </row>
    <row r="180" spans="1:173" s="379" customFormat="1" ht="15.6">
      <c r="A180" s="335" t="s">
        <v>429</v>
      </c>
      <c r="B180" s="346" t="s">
        <v>429</v>
      </c>
      <c r="C180" s="346" t="s">
        <v>227</v>
      </c>
      <c r="D180" s="346" t="s">
        <v>1081</v>
      </c>
      <c r="E180" s="346" t="s">
        <v>1276</v>
      </c>
      <c r="F180" s="379" t="s">
        <v>785</v>
      </c>
      <c r="G180" s="379" t="s">
        <v>324</v>
      </c>
      <c r="H180" s="379">
        <v>38.875</v>
      </c>
      <c r="I180" s="379">
        <v>36.5</v>
      </c>
      <c r="J180" s="379">
        <v>34.5</v>
      </c>
      <c r="K180" s="435">
        <f t="shared" si="234"/>
        <v>38.875000000382499</v>
      </c>
      <c r="L180" s="435">
        <f t="shared" si="235"/>
        <v>36.500000000415</v>
      </c>
      <c r="M180" s="435">
        <f t="shared" si="236"/>
        <v>34.500000000415</v>
      </c>
      <c r="N180" s="346" t="s">
        <v>2400</v>
      </c>
      <c r="O180" s="346" t="s">
        <v>2382</v>
      </c>
      <c r="P180" s="346" t="s">
        <v>3046</v>
      </c>
      <c r="Q180" s="346" t="s">
        <v>2386</v>
      </c>
      <c r="R180" s="346" t="s">
        <v>324</v>
      </c>
      <c r="S180" s="346" t="s">
        <v>1277</v>
      </c>
      <c r="T180" s="2" t="s">
        <v>1046</v>
      </c>
      <c r="U180" s="379">
        <v>75</v>
      </c>
      <c r="V180" s="2" cm="1">
        <f t="array" ref="V180">IFERROR(INDEX('Offer Statistics'!$BQ$2:$BQ$600,MATCH(1,(B180='Offer Statistics'!$BB$2:$BB$600)*($B$11='Offer Statistics'!$BC$2:$BC$600),0)),"/")</f>
        <v>67</v>
      </c>
      <c r="W180" s="2" cm="1">
        <f t="array" ref="W180">IFERROR(INDEX('Offer Statistics'!$BD$2:$BD$600,MATCH(1,($B180='Offer Statistics'!$BB$2:$BB$600)*($B$11='Offer Statistics'!$BC$2:$BC$600),0)),"/")</f>
        <v>216</v>
      </c>
      <c r="X180" s="2" cm="1">
        <f t="array" ref="X180">IFERROR(INDEX('Offer Statistics'!$BL$2:$BL$600,MATCH(1,($B180='Offer Statistics'!$BB$2:$BB$600)*($B$11='Offer Statistics'!$BC$2:$BC$600),0)),"/")</f>
        <v>67</v>
      </c>
      <c r="Y180" s="379">
        <f t="shared" si="215"/>
        <v>3.2238805970149254</v>
      </c>
      <c r="Z180" s="2" t="s">
        <v>1046</v>
      </c>
      <c r="AA180" s="435" t="str">
        <f>入學要求!AF189</f>
        <v>以下一科選修取得Lv.3︰M1/2、生物、化學、物理</v>
      </c>
      <c r="AB180" s="435" t="str">
        <f>入學要求!AG189</f>
        <v>優先考慮以下一科選修︰M1/2、生物、化學、DAT、ICT、物理</v>
      </c>
      <c r="AC180" s="425" t="s">
        <v>785</v>
      </c>
      <c r="AD180" s="427"/>
      <c r="AE180" s="346"/>
      <c r="AF180" s="346" t="s">
        <v>2400</v>
      </c>
      <c r="AG180" s="426" t="s">
        <v>2382</v>
      </c>
      <c r="AH180" s="426" t="s">
        <v>1278</v>
      </c>
      <c r="AI180" s="426" t="s">
        <v>2386</v>
      </c>
      <c r="AJ180" s="346" t="s">
        <v>324</v>
      </c>
      <c r="AK180" s="379" t="s">
        <v>324</v>
      </c>
      <c r="AL180" s="379" t="s">
        <v>324</v>
      </c>
      <c r="AM180" s="379" t="s">
        <v>324</v>
      </c>
      <c r="AN180" s="379" t="s">
        <v>324</v>
      </c>
      <c r="AO180" s="379" t="s">
        <v>324</v>
      </c>
      <c r="AP180" s="379" t="s">
        <v>324</v>
      </c>
      <c r="AQ180" s="379" t="s">
        <v>324</v>
      </c>
      <c r="AR180" s="379" t="s">
        <v>324</v>
      </c>
      <c r="AT180" s="379" t="s">
        <v>716</v>
      </c>
      <c r="AV180" s="379" t="s">
        <v>713</v>
      </c>
      <c r="AZ180" s="379">
        <v>1</v>
      </c>
      <c r="BA180" s="379">
        <v>1</v>
      </c>
      <c r="BB180" s="379">
        <v>2</v>
      </c>
      <c r="BD180" s="379">
        <v>1.75</v>
      </c>
      <c r="BE180" s="379">
        <v>1.5</v>
      </c>
      <c r="BF180" s="379">
        <v>1.5</v>
      </c>
      <c r="BG180" s="379">
        <v>1.5</v>
      </c>
      <c r="BH180" s="2" t="str">
        <f t="shared" si="237"/>
        <v>JS4446</v>
      </c>
      <c r="BI180" s="197">
        <v>4</v>
      </c>
      <c r="BJ180" s="197">
        <v>4</v>
      </c>
      <c r="BK180" s="197">
        <v>4</v>
      </c>
      <c r="BL180" s="197" t="s">
        <v>324</v>
      </c>
      <c r="BM180" s="197" t="s">
        <v>324</v>
      </c>
      <c r="BN180" s="197">
        <v>5.5</v>
      </c>
      <c r="BO180" s="197">
        <v>5.5</v>
      </c>
      <c r="BP180" s="197">
        <v>4</v>
      </c>
      <c r="BQ180" s="380">
        <f t="shared" si="238"/>
        <v>4.00000000004</v>
      </c>
      <c r="BR180" s="380">
        <f t="shared" si="239"/>
        <v>4.00000000002</v>
      </c>
      <c r="BS180" s="380">
        <f t="shared" si="240"/>
        <v>4.00000000003</v>
      </c>
      <c r="BT180" s="380"/>
      <c r="BU180" s="380">
        <f t="shared" si="241"/>
        <v>0</v>
      </c>
      <c r="BV180" s="380">
        <f t="shared" si="242"/>
        <v>5.50000000006</v>
      </c>
      <c r="BW180" s="380">
        <f t="shared" si="243"/>
        <v>5.50000000007</v>
      </c>
      <c r="BX180" s="380">
        <f t="shared" si="244"/>
        <v>4.00000000008</v>
      </c>
      <c r="BY180" s="379">
        <f t="shared" si="307"/>
        <v>4.00000000004</v>
      </c>
      <c r="BZ180" s="379">
        <f t="shared" si="308"/>
        <v>4.00000000002</v>
      </c>
      <c r="CA180" s="379">
        <f t="shared" si="309"/>
        <v>8.00000000006</v>
      </c>
      <c r="CC180" s="379">
        <f t="shared" si="310"/>
        <v>0</v>
      </c>
      <c r="CD180" s="379">
        <f t="shared" si="311"/>
        <v>8.2500000000900009</v>
      </c>
      <c r="CE180" s="379">
        <f t="shared" si="312"/>
        <v>8.2500000001050005</v>
      </c>
      <c r="CF180" s="379">
        <f t="shared" si="313"/>
        <v>6.00000000012</v>
      </c>
      <c r="CG180" s="2" t="b">
        <f t="shared" si="245"/>
        <v>1</v>
      </c>
      <c r="CH180" s="2" t="b">
        <f t="shared" si="246"/>
        <v>0</v>
      </c>
      <c r="CI180" s="2" t="b">
        <f t="shared" si="247"/>
        <v>1</v>
      </c>
      <c r="CJ180" s="2"/>
      <c r="CK180" s="2" t="b">
        <f t="shared" si="248"/>
        <v>0</v>
      </c>
      <c r="CL180" s="2" t="b">
        <f t="shared" si="249"/>
        <v>1</v>
      </c>
      <c r="CM180" s="2" t="b">
        <f t="shared" si="250"/>
        <v>1</v>
      </c>
      <c r="CN180" s="2" t="b">
        <f t="shared" si="251"/>
        <v>1</v>
      </c>
      <c r="CO180" s="379">
        <v>1</v>
      </c>
      <c r="CP180" s="379">
        <v>1</v>
      </c>
      <c r="CQ180" s="379">
        <v>2</v>
      </c>
      <c r="CS180" s="379">
        <v>1.75</v>
      </c>
      <c r="CT180" s="379">
        <v>1.5</v>
      </c>
      <c r="CU180" s="379">
        <v>1.5</v>
      </c>
      <c r="CV180" s="379">
        <v>1.5</v>
      </c>
      <c r="CX180" s="379">
        <v>3</v>
      </c>
      <c r="CY180" s="379">
        <v>3</v>
      </c>
      <c r="CZ180" s="379">
        <v>5.5</v>
      </c>
      <c r="DB180" s="379" t="s">
        <v>324</v>
      </c>
      <c r="DC180" s="379">
        <v>5.5</v>
      </c>
      <c r="DD180" s="379">
        <v>5.5</v>
      </c>
      <c r="DE180" s="379">
        <v>4</v>
      </c>
      <c r="DF180" s="380">
        <f t="shared" si="252"/>
        <v>3.00000000004</v>
      </c>
      <c r="DG180" s="380">
        <f t="shared" si="253"/>
        <v>3.00000000002</v>
      </c>
      <c r="DH180" s="380">
        <f t="shared" si="254"/>
        <v>5.50000000003</v>
      </c>
      <c r="DI180" s="380"/>
      <c r="DJ180" s="380">
        <f t="shared" si="255"/>
        <v>0</v>
      </c>
      <c r="DK180" s="380">
        <f t="shared" si="256"/>
        <v>5.50000000006</v>
      </c>
      <c r="DL180" s="380">
        <f t="shared" si="257"/>
        <v>5.50000000007</v>
      </c>
      <c r="DM180" s="380">
        <f t="shared" si="258"/>
        <v>4.00000000008</v>
      </c>
      <c r="DN180" s="379">
        <f t="shared" si="314"/>
        <v>3.00000000004</v>
      </c>
      <c r="DO180" s="379">
        <f t="shared" si="315"/>
        <v>3.00000000002</v>
      </c>
      <c r="DP180" s="379">
        <f t="shared" si="316"/>
        <v>11.00000000006</v>
      </c>
      <c r="DR180" s="379">
        <f t="shared" si="317"/>
        <v>0</v>
      </c>
      <c r="DS180" s="379">
        <f t="shared" si="318"/>
        <v>8.2500000000900009</v>
      </c>
      <c r="DT180" s="379">
        <f t="shared" si="319"/>
        <v>8.2500000001050005</v>
      </c>
      <c r="DU180" s="379">
        <f t="shared" si="320"/>
        <v>6.00000000012</v>
      </c>
      <c r="DV180" s="2" t="b">
        <f t="shared" si="259"/>
        <v>1</v>
      </c>
      <c r="DW180" s="2" t="b">
        <f t="shared" si="260"/>
        <v>0</v>
      </c>
      <c r="DX180" s="2" t="b">
        <f t="shared" si="261"/>
        <v>1</v>
      </c>
      <c r="DY180" s="2"/>
      <c r="DZ180" s="2" t="b">
        <f t="shared" si="262"/>
        <v>0</v>
      </c>
      <c r="EA180" s="2" t="b">
        <f t="shared" si="263"/>
        <v>1</v>
      </c>
      <c r="EB180" s="2" t="b">
        <f t="shared" si="264"/>
        <v>1</v>
      </c>
      <c r="EC180" s="2" t="b">
        <f t="shared" si="265"/>
        <v>1</v>
      </c>
      <c r="ED180" s="379">
        <v>1</v>
      </c>
      <c r="EE180" s="379">
        <v>1</v>
      </c>
      <c r="EF180" s="379">
        <v>2</v>
      </c>
      <c r="EH180" s="379">
        <v>1.75</v>
      </c>
      <c r="EI180" s="379">
        <v>1.5</v>
      </c>
      <c r="EJ180" s="379">
        <v>1.5</v>
      </c>
      <c r="EK180" s="379">
        <v>1.5</v>
      </c>
      <c r="EL180" s="379">
        <v>4</v>
      </c>
      <c r="EM180" s="379">
        <v>3</v>
      </c>
      <c r="EN180" s="379">
        <v>5.5</v>
      </c>
      <c r="EP180" s="379">
        <v>5.5</v>
      </c>
      <c r="EQ180" s="379">
        <v>5.5</v>
      </c>
      <c r="ER180" s="379">
        <v>4</v>
      </c>
      <c r="ES180" s="379" t="s">
        <v>324</v>
      </c>
      <c r="ET180" s="380">
        <f t="shared" si="266"/>
        <v>4.00000000004</v>
      </c>
      <c r="EU180" s="380">
        <f t="shared" si="267"/>
        <v>3.00000000002</v>
      </c>
      <c r="EV180" s="380">
        <f t="shared" si="268"/>
        <v>5.50000000003</v>
      </c>
      <c r="EW180" s="380">
        <f t="shared" si="269"/>
        <v>9.9999999999999994E-12</v>
      </c>
      <c r="EX180" s="380">
        <f t="shared" si="270"/>
        <v>5.50000000005</v>
      </c>
      <c r="EY180" s="380">
        <f t="shared" si="271"/>
        <v>5.50000000006</v>
      </c>
      <c r="EZ180" s="380">
        <f t="shared" si="272"/>
        <v>4.00000000007</v>
      </c>
      <c r="FA180" s="380">
        <f t="shared" si="273"/>
        <v>0</v>
      </c>
      <c r="FB180" s="379">
        <f t="shared" si="299"/>
        <v>4.00000000004</v>
      </c>
      <c r="FC180" s="379">
        <f t="shared" si="300"/>
        <v>3.00000000002</v>
      </c>
      <c r="FD180" s="379">
        <f t="shared" si="301"/>
        <v>11.00000000006</v>
      </c>
      <c r="FE180" s="379">
        <f t="shared" si="302"/>
        <v>0</v>
      </c>
      <c r="FF180" s="379">
        <f t="shared" si="303"/>
        <v>9.6250000000874998</v>
      </c>
      <c r="FG180" s="379">
        <f t="shared" si="304"/>
        <v>8.2500000000900009</v>
      </c>
      <c r="FH180" s="379">
        <f t="shared" si="305"/>
        <v>6.0000000001050005</v>
      </c>
      <c r="FI180" s="379">
        <f t="shared" si="306"/>
        <v>0</v>
      </c>
      <c r="FJ180" s="2" t="b">
        <f t="shared" si="282"/>
        <v>1</v>
      </c>
      <c r="FK180" s="2" t="b">
        <f t="shared" si="283"/>
        <v>0</v>
      </c>
      <c r="FL180" s="2" t="b">
        <f t="shared" si="284"/>
        <v>1</v>
      </c>
      <c r="FM180" s="2" t="b">
        <f t="shared" si="285"/>
        <v>0</v>
      </c>
      <c r="FN180" s="2" t="b">
        <f t="shared" si="286"/>
        <v>1</v>
      </c>
      <c r="FO180" s="2" t="b">
        <f t="shared" si="287"/>
        <v>1</v>
      </c>
      <c r="FP180" s="2" t="b">
        <f t="shared" si="288"/>
        <v>1</v>
      </c>
      <c r="FQ180" s="2" t="b">
        <f t="shared" si="289"/>
        <v>0</v>
      </c>
    </row>
    <row r="181" spans="1:173" s="379" customFormat="1" ht="15.6">
      <c r="A181" s="335" t="s">
        <v>1279</v>
      </c>
      <c r="B181" s="346" t="s">
        <v>1279</v>
      </c>
      <c r="C181" s="346" t="s">
        <v>227</v>
      </c>
      <c r="D181" s="346" t="s">
        <v>1081</v>
      </c>
      <c r="E181" s="346" t="s">
        <v>1280</v>
      </c>
      <c r="F181" s="379" t="s">
        <v>785</v>
      </c>
      <c r="G181" s="379" t="s">
        <v>324</v>
      </c>
      <c r="H181" s="379">
        <v>31.75</v>
      </c>
      <c r="I181" s="379">
        <v>30.25</v>
      </c>
      <c r="J181" s="379">
        <v>29.5</v>
      </c>
      <c r="K181" s="435">
        <f t="shared" si="234"/>
        <v>31.750000000355001</v>
      </c>
      <c r="L181" s="435">
        <f t="shared" si="235"/>
        <v>30.250000000370001</v>
      </c>
      <c r="M181" s="435">
        <f t="shared" si="236"/>
        <v>29.500000000300002</v>
      </c>
      <c r="N181" s="346" t="s">
        <v>2400</v>
      </c>
      <c r="O181" s="346" t="s">
        <v>2385</v>
      </c>
      <c r="P181" s="346" t="s">
        <v>1330</v>
      </c>
      <c r="Q181" s="346" t="s">
        <v>2387</v>
      </c>
      <c r="R181" s="346" t="s">
        <v>324</v>
      </c>
      <c r="S181" s="346" t="s">
        <v>1281</v>
      </c>
      <c r="T181" s="2" t="s">
        <v>1046</v>
      </c>
      <c r="U181" s="379">
        <v>53</v>
      </c>
      <c r="V181" s="2" cm="1">
        <f t="array" ref="V181">IFERROR(INDEX('Offer Statistics'!$BQ$2:$BQ$600,MATCH(1,(B181='Offer Statistics'!$BB$2:$BB$600)*($B$11='Offer Statistics'!$BC$2:$BC$600),0)),"/")</f>
        <v>54</v>
      </c>
      <c r="W181" s="2" cm="1">
        <f t="array" ref="W181">IFERROR(INDEX('Offer Statistics'!$BD$2:$BD$600,MATCH(1,($B181='Offer Statistics'!$BB$2:$BB$600)*($B$11='Offer Statistics'!$BC$2:$BC$600),0)),"/")</f>
        <v>310</v>
      </c>
      <c r="X181" s="2" cm="1">
        <f t="array" ref="X181">IFERROR(INDEX('Offer Statistics'!$BL$2:$BL$600,MATCH(1,($B181='Offer Statistics'!$BB$2:$BB$600)*($B$11='Offer Statistics'!$BC$2:$BC$600),0)),"/")</f>
        <v>54</v>
      </c>
      <c r="Y181" s="379">
        <f t="shared" si="215"/>
        <v>5.7407407407407405</v>
      </c>
      <c r="Z181" s="2" t="s">
        <v>1046</v>
      </c>
      <c r="AA181" s="435" t="str">
        <f>入學要求!AF190</f>
        <v>/</v>
      </c>
      <c r="AB181" s="435" t="str">
        <f>入學要求!AG190</f>
        <v>/</v>
      </c>
      <c r="AC181" s="425" t="s">
        <v>785</v>
      </c>
      <c r="AD181" s="427"/>
      <c r="AE181" s="346"/>
      <c r="AF181" s="346" t="s">
        <v>1256</v>
      </c>
      <c r="AG181" s="426" t="s">
        <v>2385</v>
      </c>
      <c r="AH181" s="426" t="s">
        <v>1330</v>
      </c>
      <c r="AI181" s="426" t="s">
        <v>2387</v>
      </c>
      <c r="AJ181" s="346" t="s">
        <v>324</v>
      </c>
      <c r="AK181" s="379" t="s">
        <v>324</v>
      </c>
      <c r="AL181" s="379" t="s">
        <v>324</v>
      </c>
      <c r="AM181" s="379" t="s">
        <v>324</v>
      </c>
      <c r="AN181" s="379" t="s">
        <v>324</v>
      </c>
      <c r="AO181" s="379" t="s">
        <v>324</v>
      </c>
      <c r="AP181" s="379" t="s">
        <v>324</v>
      </c>
      <c r="AQ181" s="379" t="s">
        <v>324</v>
      </c>
      <c r="AR181" s="379" t="s">
        <v>324</v>
      </c>
      <c r="AT181" s="379" t="s">
        <v>716</v>
      </c>
      <c r="AV181" s="379" t="s">
        <v>713</v>
      </c>
      <c r="AZ181" s="379">
        <v>1</v>
      </c>
      <c r="BA181" s="379">
        <v>1</v>
      </c>
      <c r="BB181" s="379">
        <v>1.5</v>
      </c>
      <c r="BD181" s="379">
        <v>1.5</v>
      </c>
      <c r="BE181" s="379">
        <v>1.5</v>
      </c>
      <c r="BF181" s="379">
        <v>1.5</v>
      </c>
      <c r="BG181" s="379">
        <v>1.5</v>
      </c>
      <c r="BH181" s="2" t="str">
        <f t="shared" si="237"/>
        <v>JS4458</v>
      </c>
      <c r="BI181" s="197">
        <v>3</v>
      </c>
      <c r="BJ181" s="197">
        <v>4</v>
      </c>
      <c r="BK181" s="197">
        <v>4</v>
      </c>
      <c r="BL181" s="197" t="s">
        <v>324</v>
      </c>
      <c r="BM181" s="197" t="s">
        <v>324</v>
      </c>
      <c r="BN181" s="197">
        <v>7</v>
      </c>
      <c r="BO181" s="197">
        <v>4</v>
      </c>
      <c r="BP181" s="197" t="s">
        <v>324</v>
      </c>
      <c r="BQ181" s="380">
        <f t="shared" si="238"/>
        <v>3.00000000004</v>
      </c>
      <c r="BR181" s="380">
        <f t="shared" si="239"/>
        <v>4.00000000002</v>
      </c>
      <c r="BS181" s="380">
        <f t="shared" si="240"/>
        <v>4.00000000003</v>
      </c>
      <c r="BT181" s="380"/>
      <c r="BU181" s="380">
        <f t="shared" si="241"/>
        <v>0</v>
      </c>
      <c r="BV181" s="380">
        <f t="shared" si="242"/>
        <v>7.00000000006</v>
      </c>
      <c r="BW181" s="380">
        <f t="shared" si="243"/>
        <v>4.00000000007</v>
      </c>
      <c r="BX181" s="380">
        <f t="shared" si="244"/>
        <v>0</v>
      </c>
      <c r="BY181" s="379">
        <f t="shared" si="307"/>
        <v>3.00000000004</v>
      </c>
      <c r="BZ181" s="379">
        <f t="shared" si="308"/>
        <v>4.00000000002</v>
      </c>
      <c r="CA181" s="379">
        <f t="shared" si="309"/>
        <v>6.0000000000450004</v>
      </c>
      <c r="CC181" s="379">
        <f t="shared" si="310"/>
        <v>0</v>
      </c>
      <c r="CD181" s="379">
        <f t="shared" si="311"/>
        <v>10.500000000090001</v>
      </c>
      <c r="CE181" s="379">
        <f t="shared" si="312"/>
        <v>6.0000000001050005</v>
      </c>
      <c r="CF181" s="379">
        <f t="shared" si="313"/>
        <v>0</v>
      </c>
      <c r="CG181" s="2" t="b">
        <f t="shared" si="245"/>
        <v>1</v>
      </c>
      <c r="CH181" s="2" t="b">
        <f t="shared" si="246"/>
        <v>1</v>
      </c>
      <c r="CI181" s="2" t="b">
        <f t="shared" si="247"/>
        <v>1</v>
      </c>
      <c r="CJ181" s="2"/>
      <c r="CK181" s="2" t="b">
        <f t="shared" si="248"/>
        <v>0</v>
      </c>
      <c r="CL181" s="2" t="b">
        <f t="shared" si="249"/>
        <v>1</v>
      </c>
      <c r="CM181" s="2" t="b">
        <f t="shared" si="250"/>
        <v>1</v>
      </c>
      <c r="CN181" s="2" t="b">
        <f t="shared" si="251"/>
        <v>0</v>
      </c>
      <c r="CO181" s="379">
        <v>1</v>
      </c>
      <c r="CP181" s="379">
        <v>1</v>
      </c>
      <c r="CQ181" s="379">
        <v>1.5</v>
      </c>
      <c r="CS181" s="379">
        <v>1.5</v>
      </c>
      <c r="CT181" s="379">
        <v>1</v>
      </c>
      <c r="CU181" s="379">
        <v>1.5</v>
      </c>
      <c r="CV181" s="379">
        <v>1.5</v>
      </c>
      <c r="CX181" s="379">
        <v>3</v>
      </c>
      <c r="CY181" s="379">
        <v>3</v>
      </c>
      <c r="CZ181" s="379">
        <v>4</v>
      </c>
      <c r="DB181" s="379" t="s">
        <v>324</v>
      </c>
      <c r="DC181" s="379">
        <v>7</v>
      </c>
      <c r="DD181" s="379">
        <v>5.5</v>
      </c>
      <c r="DE181" s="379">
        <v>4</v>
      </c>
      <c r="DF181" s="380">
        <f t="shared" si="252"/>
        <v>3.00000000004</v>
      </c>
      <c r="DG181" s="380">
        <f t="shared" si="253"/>
        <v>3.00000000002</v>
      </c>
      <c r="DH181" s="380">
        <f t="shared" si="254"/>
        <v>4.00000000003</v>
      </c>
      <c r="DI181" s="380"/>
      <c r="DJ181" s="380">
        <f t="shared" si="255"/>
        <v>0</v>
      </c>
      <c r="DK181" s="380">
        <f t="shared" si="256"/>
        <v>7.00000000006</v>
      </c>
      <c r="DL181" s="380">
        <f t="shared" si="257"/>
        <v>5.50000000007</v>
      </c>
      <c r="DM181" s="380">
        <f t="shared" si="258"/>
        <v>4.00000000008</v>
      </c>
      <c r="DN181" s="379">
        <f t="shared" si="314"/>
        <v>3.00000000004</v>
      </c>
      <c r="DO181" s="379">
        <f t="shared" si="315"/>
        <v>3.00000000002</v>
      </c>
      <c r="DP181" s="379">
        <f t="shared" si="316"/>
        <v>6.0000000000450004</v>
      </c>
      <c r="DR181" s="379">
        <f t="shared" si="317"/>
        <v>0</v>
      </c>
      <c r="DS181" s="379">
        <f t="shared" si="318"/>
        <v>7.00000000006</v>
      </c>
      <c r="DT181" s="379">
        <f t="shared" si="319"/>
        <v>8.2500000001050005</v>
      </c>
      <c r="DU181" s="379">
        <f t="shared" si="320"/>
        <v>6.00000000012</v>
      </c>
      <c r="DV181" s="2" t="b">
        <f t="shared" si="259"/>
        <v>1</v>
      </c>
      <c r="DW181" s="2" t="b">
        <f t="shared" si="260"/>
        <v>0</v>
      </c>
      <c r="DX181" s="2" t="b">
        <f t="shared" si="261"/>
        <v>1</v>
      </c>
      <c r="DY181" s="2"/>
      <c r="DZ181" s="2" t="b">
        <f t="shared" si="262"/>
        <v>0</v>
      </c>
      <c r="EA181" s="2" t="b">
        <f t="shared" si="263"/>
        <v>1</v>
      </c>
      <c r="EB181" s="2" t="b">
        <f t="shared" si="264"/>
        <v>1</v>
      </c>
      <c r="EC181" s="2" t="b">
        <f t="shared" si="265"/>
        <v>1</v>
      </c>
      <c r="ED181" s="379">
        <v>1</v>
      </c>
      <c r="EE181" s="379">
        <v>1</v>
      </c>
      <c r="EF181" s="379">
        <v>1.5</v>
      </c>
      <c r="EH181" s="379">
        <v>1.5</v>
      </c>
      <c r="EI181" s="379">
        <v>1.5</v>
      </c>
      <c r="EJ181" s="379">
        <v>1.5</v>
      </c>
      <c r="EK181" s="379">
        <v>1.5</v>
      </c>
      <c r="EL181" s="379">
        <v>5.5</v>
      </c>
      <c r="EM181" s="379">
        <v>4</v>
      </c>
      <c r="EN181" s="379">
        <v>5.5</v>
      </c>
      <c r="EP181" s="379">
        <v>4</v>
      </c>
      <c r="EQ181" s="379">
        <v>4</v>
      </c>
      <c r="ER181" s="379">
        <v>4</v>
      </c>
      <c r="ES181" s="379" t="s">
        <v>324</v>
      </c>
      <c r="ET181" s="380">
        <f t="shared" si="266"/>
        <v>5.50000000004</v>
      </c>
      <c r="EU181" s="380">
        <f t="shared" si="267"/>
        <v>4.00000000002</v>
      </c>
      <c r="EV181" s="380">
        <f t="shared" si="268"/>
        <v>5.50000000003</v>
      </c>
      <c r="EW181" s="380">
        <f t="shared" si="269"/>
        <v>9.9999999999999994E-12</v>
      </c>
      <c r="EX181" s="380">
        <f t="shared" si="270"/>
        <v>4.00000000005</v>
      </c>
      <c r="EY181" s="380">
        <f t="shared" si="271"/>
        <v>4.00000000006</v>
      </c>
      <c r="EZ181" s="380">
        <f t="shared" si="272"/>
        <v>4.00000000007</v>
      </c>
      <c r="FA181" s="380">
        <f t="shared" si="273"/>
        <v>0</v>
      </c>
      <c r="FB181" s="379">
        <f t="shared" si="299"/>
        <v>5.50000000004</v>
      </c>
      <c r="FC181" s="379">
        <f t="shared" si="300"/>
        <v>4.00000000002</v>
      </c>
      <c r="FD181" s="379">
        <f t="shared" si="301"/>
        <v>8.2500000000450004</v>
      </c>
      <c r="FE181" s="379">
        <f t="shared" si="302"/>
        <v>0</v>
      </c>
      <c r="FF181" s="379">
        <f t="shared" si="303"/>
        <v>6.0000000000749996</v>
      </c>
      <c r="FG181" s="379">
        <f t="shared" si="304"/>
        <v>6.00000000009</v>
      </c>
      <c r="FH181" s="379">
        <f t="shared" si="305"/>
        <v>6.0000000001050005</v>
      </c>
      <c r="FI181" s="379">
        <f t="shared" si="306"/>
        <v>0</v>
      </c>
      <c r="FJ181" s="2" t="b">
        <f t="shared" si="282"/>
        <v>1</v>
      </c>
      <c r="FK181" s="2" t="b">
        <f t="shared" si="283"/>
        <v>0</v>
      </c>
      <c r="FL181" s="2" t="b">
        <f t="shared" si="284"/>
        <v>1</v>
      </c>
      <c r="FM181" s="2" t="b">
        <f t="shared" si="285"/>
        <v>0</v>
      </c>
      <c r="FN181" s="2" t="b">
        <f t="shared" si="286"/>
        <v>1</v>
      </c>
      <c r="FO181" s="2" t="b">
        <f t="shared" si="287"/>
        <v>1</v>
      </c>
      <c r="FP181" s="2" t="b">
        <f t="shared" si="288"/>
        <v>1</v>
      </c>
      <c r="FQ181" s="2" t="b">
        <f t="shared" si="289"/>
        <v>0</v>
      </c>
    </row>
    <row r="182" spans="1:173" s="379" customFormat="1" ht="15.6">
      <c r="A182" s="335" t="s">
        <v>430</v>
      </c>
      <c r="B182" s="346" t="s">
        <v>430</v>
      </c>
      <c r="C182" s="346" t="s">
        <v>227</v>
      </c>
      <c r="D182" s="346" t="s">
        <v>1081</v>
      </c>
      <c r="E182" s="346" t="s">
        <v>1282</v>
      </c>
      <c r="F182" s="379" t="s">
        <v>785</v>
      </c>
      <c r="G182" s="379" t="s">
        <v>324</v>
      </c>
      <c r="H182" s="379">
        <v>43.5</v>
      </c>
      <c r="I182" s="379">
        <v>41.25</v>
      </c>
      <c r="J182" s="379">
        <v>39</v>
      </c>
      <c r="K182" s="435">
        <f t="shared" si="234"/>
        <v>43.500000000390003</v>
      </c>
      <c r="L182" s="435">
        <f t="shared" si="235"/>
        <v>41.250000000390003</v>
      </c>
      <c r="M182" s="435">
        <f t="shared" si="236"/>
        <v>39.000000000390003</v>
      </c>
      <c r="N182" s="346" t="s">
        <v>324</v>
      </c>
      <c r="O182" s="346" t="s">
        <v>324</v>
      </c>
      <c r="P182" s="346" t="s">
        <v>2390</v>
      </c>
      <c r="Q182" s="346" t="s">
        <v>3047</v>
      </c>
      <c r="R182" s="346" t="s">
        <v>324</v>
      </c>
      <c r="S182" s="346" t="s">
        <v>1283</v>
      </c>
      <c r="T182" s="2" t="s">
        <v>1046</v>
      </c>
      <c r="U182" s="379">
        <v>44</v>
      </c>
      <c r="V182" s="2" cm="1">
        <f t="array" ref="V182">IFERROR(INDEX('Offer Statistics'!$BQ$2:$BQ$600,MATCH(1,(B182='Offer Statistics'!$BB$2:$BB$600)*($B$11='Offer Statistics'!$BC$2:$BC$600),0)),"/")</f>
        <v>26</v>
      </c>
      <c r="W182" s="2" cm="1">
        <f t="array" ref="W182">IFERROR(INDEX('Offer Statistics'!$BD$2:$BD$600,MATCH(1,($B182='Offer Statistics'!$BB$2:$BB$600)*($B$11='Offer Statistics'!$BC$2:$BC$600),0)),"/")</f>
        <v>127</v>
      </c>
      <c r="X182" s="2" cm="1">
        <f t="array" ref="X182">IFERROR(INDEX('Offer Statistics'!$BL$2:$BL$600,MATCH(1,($B182='Offer Statistics'!$BB$2:$BB$600)*($B$11='Offer Statistics'!$BC$2:$BC$600),0)),"/")</f>
        <v>26</v>
      </c>
      <c r="Y182" s="379">
        <f t="shared" si="215"/>
        <v>4.884615384615385</v>
      </c>
      <c r="Z182" s="2" t="s">
        <v>1046</v>
      </c>
      <c r="AA182" s="435" t="str">
        <f>入學要求!AF191</f>
        <v>以下一科選修取得Lv.3︰M1/2、生物、化學、物理</v>
      </c>
      <c r="AB182" s="435" t="str">
        <f>入學要求!AG191</f>
        <v>/</v>
      </c>
      <c r="AC182" s="425" t="s">
        <v>785</v>
      </c>
      <c r="AD182" s="427"/>
      <c r="AE182" s="346"/>
      <c r="AF182" s="346" t="s">
        <v>324</v>
      </c>
      <c r="AG182" s="426" t="s">
        <v>324</v>
      </c>
      <c r="AH182" s="426" t="s">
        <v>2390</v>
      </c>
      <c r="AI182" s="426" t="s">
        <v>1284</v>
      </c>
      <c r="AJ182" s="346" t="s">
        <v>324</v>
      </c>
      <c r="AK182" s="379" t="s">
        <v>324</v>
      </c>
      <c r="AL182" s="379" t="s">
        <v>324</v>
      </c>
      <c r="AM182" s="379" t="s">
        <v>324</v>
      </c>
      <c r="AN182" s="379" t="s">
        <v>324</v>
      </c>
      <c r="AO182" s="379" t="s">
        <v>324</v>
      </c>
      <c r="AP182" s="379" t="s">
        <v>324</v>
      </c>
      <c r="AQ182" s="379" t="s">
        <v>324</v>
      </c>
      <c r="AR182" s="379" t="s">
        <v>324</v>
      </c>
      <c r="AT182" s="379" t="s">
        <v>716</v>
      </c>
      <c r="AV182" s="379" t="s">
        <v>713</v>
      </c>
      <c r="AZ182" s="379">
        <v>1</v>
      </c>
      <c r="BA182" s="379">
        <v>1.5</v>
      </c>
      <c r="BB182" s="379">
        <v>1.5</v>
      </c>
      <c r="BD182" s="379">
        <v>1</v>
      </c>
      <c r="BE182" s="379">
        <v>1.5</v>
      </c>
      <c r="BF182" s="379">
        <v>1.5</v>
      </c>
      <c r="BG182" s="379">
        <v>1.5</v>
      </c>
      <c r="BH182" s="2" t="str">
        <f t="shared" si="237"/>
        <v>JS4460</v>
      </c>
      <c r="BI182" s="197">
        <v>5.5</v>
      </c>
      <c r="BJ182" s="197">
        <v>4</v>
      </c>
      <c r="BK182" s="197">
        <v>4</v>
      </c>
      <c r="BL182" s="197" t="s">
        <v>324</v>
      </c>
      <c r="BM182" s="197" t="s">
        <v>324</v>
      </c>
      <c r="BN182" s="197">
        <v>7</v>
      </c>
      <c r="BO182" s="197">
        <v>5.5</v>
      </c>
      <c r="BP182" s="197">
        <v>5.5</v>
      </c>
      <c r="BQ182" s="380">
        <f t="shared" si="238"/>
        <v>5.50000000004</v>
      </c>
      <c r="BR182" s="380">
        <f t="shared" si="239"/>
        <v>4.00000000002</v>
      </c>
      <c r="BS182" s="380">
        <f t="shared" si="240"/>
        <v>4.00000000003</v>
      </c>
      <c r="BT182" s="380"/>
      <c r="BU182" s="380">
        <f t="shared" si="241"/>
        <v>0</v>
      </c>
      <c r="BV182" s="380">
        <f t="shared" si="242"/>
        <v>7.00000000006</v>
      </c>
      <c r="BW182" s="380">
        <f t="shared" si="243"/>
        <v>5.50000000007</v>
      </c>
      <c r="BX182" s="380">
        <f t="shared" si="244"/>
        <v>5.50000000008</v>
      </c>
      <c r="BY182" s="379">
        <f t="shared" si="307"/>
        <v>5.50000000004</v>
      </c>
      <c r="BZ182" s="379">
        <f t="shared" si="308"/>
        <v>6.00000000003</v>
      </c>
      <c r="CA182" s="379">
        <f t="shared" si="309"/>
        <v>6.0000000000450004</v>
      </c>
      <c r="CC182" s="379">
        <f t="shared" si="310"/>
        <v>0</v>
      </c>
      <c r="CD182" s="379">
        <f t="shared" si="311"/>
        <v>10.500000000090001</v>
      </c>
      <c r="CE182" s="379">
        <f t="shared" si="312"/>
        <v>8.2500000001050005</v>
      </c>
      <c r="CF182" s="379">
        <f t="shared" si="313"/>
        <v>8.25000000012</v>
      </c>
      <c r="CG182" s="2" t="b">
        <f t="shared" si="245"/>
        <v>0</v>
      </c>
      <c r="CH182" s="2" t="b">
        <f t="shared" si="246"/>
        <v>1</v>
      </c>
      <c r="CI182" s="2" t="b">
        <f t="shared" si="247"/>
        <v>1</v>
      </c>
      <c r="CJ182" s="2"/>
      <c r="CK182" s="2" t="b">
        <f t="shared" si="248"/>
        <v>0</v>
      </c>
      <c r="CL182" s="2" t="b">
        <f t="shared" si="249"/>
        <v>1</v>
      </c>
      <c r="CM182" s="2" t="b">
        <f t="shared" si="250"/>
        <v>1</v>
      </c>
      <c r="CN182" s="2" t="b">
        <f t="shared" si="251"/>
        <v>1</v>
      </c>
      <c r="CO182" s="379">
        <v>1</v>
      </c>
      <c r="CP182" s="379">
        <v>1.5</v>
      </c>
      <c r="CQ182" s="379">
        <v>1.5</v>
      </c>
      <c r="CS182" s="379">
        <v>1</v>
      </c>
      <c r="CT182" s="379">
        <v>1.5</v>
      </c>
      <c r="CU182" s="379">
        <v>1.5</v>
      </c>
      <c r="CV182" s="364">
        <v>1.5</v>
      </c>
      <c r="CX182" s="379">
        <v>4</v>
      </c>
      <c r="CY182" s="379">
        <v>7</v>
      </c>
      <c r="CZ182" s="379">
        <v>5.5</v>
      </c>
      <c r="DB182" s="379">
        <v>3</v>
      </c>
      <c r="DC182" s="379">
        <v>5.5</v>
      </c>
      <c r="DD182" s="379">
        <v>5.5</v>
      </c>
      <c r="DE182" s="379">
        <v>4</v>
      </c>
      <c r="DF182" s="380">
        <f t="shared" si="252"/>
        <v>4.00000000004</v>
      </c>
      <c r="DG182" s="380">
        <f t="shared" si="253"/>
        <v>7.00000000002</v>
      </c>
      <c r="DH182" s="380">
        <f t="shared" si="254"/>
        <v>5.50000000003</v>
      </c>
      <c r="DI182" s="380"/>
      <c r="DJ182" s="380">
        <f t="shared" si="255"/>
        <v>3.00000000005</v>
      </c>
      <c r="DK182" s="380">
        <f t="shared" si="256"/>
        <v>5.50000000006</v>
      </c>
      <c r="DL182" s="380">
        <f t="shared" si="257"/>
        <v>5.50000000007</v>
      </c>
      <c r="DM182" s="380">
        <f t="shared" si="258"/>
        <v>4.00000000008</v>
      </c>
      <c r="DN182" s="379">
        <f t="shared" si="314"/>
        <v>4.00000000004</v>
      </c>
      <c r="DO182" s="379">
        <f t="shared" si="315"/>
        <v>10.500000000029999</v>
      </c>
      <c r="DP182" s="379">
        <f t="shared" si="316"/>
        <v>8.2500000000450004</v>
      </c>
      <c r="DR182" s="379">
        <f t="shared" si="317"/>
        <v>3.00000000005</v>
      </c>
      <c r="DS182" s="379">
        <f t="shared" si="318"/>
        <v>8.2500000000900009</v>
      </c>
      <c r="DT182" s="379">
        <f t="shared" si="319"/>
        <v>8.2500000001050005</v>
      </c>
      <c r="DU182" s="379">
        <f t="shared" si="320"/>
        <v>6.00000000012</v>
      </c>
      <c r="DV182" s="2" t="b">
        <f t="shared" si="259"/>
        <v>0</v>
      </c>
      <c r="DW182" s="2" t="b">
        <f t="shared" si="260"/>
        <v>1</v>
      </c>
      <c r="DX182" s="2" t="b">
        <f t="shared" si="261"/>
        <v>1</v>
      </c>
      <c r="DY182" s="2"/>
      <c r="DZ182" s="2" t="b">
        <f t="shared" si="262"/>
        <v>0</v>
      </c>
      <c r="EA182" s="2" t="b">
        <f t="shared" si="263"/>
        <v>1</v>
      </c>
      <c r="EB182" s="2" t="b">
        <f t="shared" si="264"/>
        <v>1</v>
      </c>
      <c r="EC182" s="2" t="b">
        <f t="shared" si="265"/>
        <v>1</v>
      </c>
      <c r="ED182" s="379">
        <v>1</v>
      </c>
      <c r="EE182" s="379">
        <v>1.5</v>
      </c>
      <c r="EF182" s="379">
        <v>1.5</v>
      </c>
      <c r="EH182" s="379">
        <v>1</v>
      </c>
      <c r="EI182" s="379">
        <v>1.5</v>
      </c>
      <c r="EJ182" s="379">
        <v>1.5</v>
      </c>
      <c r="EK182" s="379">
        <v>1.5</v>
      </c>
      <c r="EL182" s="379">
        <v>4</v>
      </c>
      <c r="EM182" s="379">
        <v>5.5</v>
      </c>
      <c r="EN182" s="379">
        <v>5.5</v>
      </c>
      <c r="EP182" s="379" t="s">
        <v>324</v>
      </c>
      <c r="EQ182" s="379">
        <v>7</v>
      </c>
      <c r="ER182" s="379">
        <v>5.5</v>
      </c>
      <c r="ES182" s="379">
        <v>5.5</v>
      </c>
      <c r="ET182" s="380">
        <f t="shared" si="266"/>
        <v>4.00000000004</v>
      </c>
      <c r="EU182" s="380">
        <f t="shared" si="267"/>
        <v>5.50000000002</v>
      </c>
      <c r="EV182" s="380">
        <f t="shared" si="268"/>
        <v>5.50000000003</v>
      </c>
      <c r="EW182" s="380">
        <f t="shared" si="269"/>
        <v>9.9999999999999994E-12</v>
      </c>
      <c r="EX182" s="380">
        <f t="shared" si="270"/>
        <v>0</v>
      </c>
      <c r="EY182" s="380">
        <f t="shared" si="271"/>
        <v>7.00000000006</v>
      </c>
      <c r="EZ182" s="380">
        <f t="shared" si="272"/>
        <v>5.50000000007</v>
      </c>
      <c r="FA182" s="380">
        <f t="shared" si="273"/>
        <v>5.50000000008</v>
      </c>
      <c r="FB182" s="379">
        <f t="shared" si="299"/>
        <v>4.00000000004</v>
      </c>
      <c r="FC182" s="379">
        <f t="shared" si="300"/>
        <v>8.2500000000299991</v>
      </c>
      <c r="FD182" s="379">
        <f t="shared" si="301"/>
        <v>8.2500000000450004</v>
      </c>
      <c r="FE182" s="379">
        <f t="shared" si="302"/>
        <v>0</v>
      </c>
      <c r="FF182" s="379">
        <f t="shared" si="303"/>
        <v>0</v>
      </c>
      <c r="FG182" s="379">
        <f t="shared" si="304"/>
        <v>10.500000000090001</v>
      </c>
      <c r="FH182" s="379">
        <f t="shared" si="305"/>
        <v>8.2500000001050005</v>
      </c>
      <c r="FI182" s="379">
        <f t="shared" si="306"/>
        <v>8.25000000012</v>
      </c>
      <c r="FJ182" s="2" t="b">
        <f t="shared" si="282"/>
        <v>0</v>
      </c>
      <c r="FK182" s="2" t="b">
        <f t="shared" si="283"/>
        <v>1</v>
      </c>
      <c r="FL182" s="2" t="b">
        <f t="shared" si="284"/>
        <v>1</v>
      </c>
      <c r="FM182" s="2" t="b">
        <f t="shared" si="285"/>
        <v>0</v>
      </c>
      <c r="FN182" s="2" t="b">
        <f t="shared" si="286"/>
        <v>0</v>
      </c>
      <c r="FO182" s="2" t="b">
        <f t="shared" si="287"/>
        <v>1</v>
      </c>
      <c r="FP182" s="2" t="b">
        <f t="shared" si="288"/>
        <v>1</v>
      </c>
      <c r="FQ182" s="2" t="b">
        <f t="shared" si="289"/>
        <v>1</v>
      </c>
    </row>
    <row r="183" spans="1:173" s="379" customFormat="1" ht="15.6">
      <c r="A183" s="335" t="s">
        <v>1285</v>
      </c>
      <c r="B183" s="346" t="s">
        <v>1285</v>
      </c>
      <c r="C183" s="346" t="s">
        <v>227</v>
      </c>
      <c r="D183" s="346" t="s">
        <v>1081</v>
      </c>
      <c r="E183" s="346" t="s">
        <v>1286</v>
      </c>
      <c r="F183" s="379" t="s">
        <v>785</v>
      </c>
      <c r="G183" s="379" t="s">
        <v>324</v>
      </c>
      <c r="H183" s="379">
        <v>29.5</v>
      </c>
      <c r="I183" s="379">
        <v>28.75</v>
      </c>
      <c r="J183" s="379">
        <v>28</v>
      </c>
      <c r="K183" s="435">
        <f t="shared" si="234"/>
        <v>29.5000000004</v>
      </c>
      <c r="L183" s="435">
        <f t="shared" si="235"/>
        <v>28.750000000355001</v>
      </c>
      <c r="M183" s="435">
        <f t="shared" si="236"/>
        <v>28.0000000004</v>
      </c>
      <c r="N183" s="346" t="s">
        <v>324</v>
      </c>
      <c r="O183" s="346" t="s">
        <v>324</v>
      </c>
      <c r="P183" s="346" t="s">
        <v>2391</v>
      </c>
      <c r="Q183" s="346" t="s">
        <v>3048</v>
      </c>
      <c r="R183" s="346" t="s">
        <v>3041</v>
      </c>
      <c r="S183" s="346" t="s">
        <v>1287</v>
      </c>
      <c r="T183" s="2" t="s">
        <v>1046</v>
      </c>
      <c r="U183" s="379">
        <v>28</v>
      </c>
      <c r="V183" s="2" cm="1">
        <f t="array" ref="V183">IFERROR(INDEX('Offer Statistics'!$BQ$2:$BQ$600,MATCH(1,(B183='Offer Statistics'!$BB$2:$BB$600)*($B$11='Offer Statistics'!$BC$2:$BC$600),0)),"/")</f>
        <v>29</v>
      </c>
      <c r="W183" s="2" cm="1">
        <f t="array" ref="W183">IFERROR(INDEX('Offer Statistics'!$BD$2:$BD$600,MATCH(1,($B183='Offer Statistics'!$BB$2:$BB$600)*($B$11='Offer Statistics'!$BC$2:$BC$600),0)),"/")</f>
        <v>185</v>
      </c>
      <c r="X183" s="2" cm="1">
        <f t="array" ref="X183">IFERROR(INDEX('Offer Statistics'!$BL$2:$BL$600,MATCH(1,($B183='Offer Statistics'!$BB$2:$BB$600)*($B$11='Offer Statistics'!$BC$2:$BC$600),0)),"/")</f>
        <v>29</v>
      </c>
      <c r="Y183" s="379">
        <f t="shared" si="215"/>
        <v>6.3793103448275863</v>
      </c>
      <c r="Z183" s="2" t="s">
        <v>1046</v>
      </c>
      <c r="AA183" s="435" t="str">
        <f>入學要求!AF192</f>
        <v>以下一科選修取得Lv.3︰M1/2、生物、化學、DAT、ICT、物理</v>
      </c>
      <c r="AB183" s="435" t="str">
        <f>入學要求!AG192</f>
        <v>/</v>
      </c>
      <c r="AC183" s="425" t="s">
        <v>785</v>
      </c>
      <c r="AD183" s="427"/>
      <c r="AE183" s="346"/>
      <c r="AF183" s="346" t="s">
        <v>324</v>
      </c>
      <c r="AG183" s="426" t="s">
        <v>324</v>
      </c>
      <c r="AH183" s="426" t="s">
        <v>2391</v>
      </c>
      <c r="AI183" s="426" t="s">
        <v>1288</v>
      </c>
      <c r="AJ183" s="346" t="s">
        <v>324</v>
      </c>
      <c r="AK183" s="379" t="s">
        <v>324</v>
      </c>
      <c r="AL183" s="379" t="s">
        <v>324</v>
      </c>
      <c r="AM183" s="379" t="s">
        <v>324</v>
      </c>
      <c r="AN183" s="379" t="s">
        <v>324</v>
      </c>
      <c r="AO183" s="379" t="s">
        <v>324</v>
      </c>
      <c r="AP183" s="379" t="s">
        <v>324</v>
      </c>
      <c r="AQ183" s="379" t="s">
        <v>324</v>
      </c>
      <c r="AR183" s="379" t="s">
        <v>324</v>
      </c>
      <c r="AT183" s="379" t="s">
        <v>716</v>
      </c>
      <c r="AV183" s="379" t="s">
        <v>713</v>
      </c>
      <c r="AZ183" s="379">
        <v>1</v>
      </c>
      <c r="BA183" s="379">
        <v>1</v>
      </c>
      <c r="BB183" s="379">
        <v>1.5</v>
      </c>
      <c r="BD183" s="379">
        <v>1.5</v>
      </c>
      <c r="BE183" s="379">
        <v>1.5</v>
      </c>
      <c r="BF183" s="379">
        <v>1.5</v>
      </c>
      <c r="BG183" s="379">
        <v>1.5</v>
      </c>
      <c r="BH183" s="2" t="str">
        <f t="shared" si="237"/>
        <v>JS4462</v>
      </c>
      <c r="BI183" s="197">
        <v>7</v>
      </c>
      <c r="BJ183" s="197">
        <v>4</v>
      </c>
      <c r="BK183" s="197">
        <v>4</v>
      </c>
      <c r="BL183" s="197" t="s">
        <v>324</v>
      </c>
      <c r="BM183" s="197" t="s">
        <v>324</v>
      </c>
      <c r="BN183" s="197">
        <v>4</v>
      </c>
      <c r="BO183" s="197">
        <v>3</v>
      </c>
      <c r="BP183" s="197">
        <v>3</v>
      </c>
      <c r="BQ183" s="380">
        <f t="shared" si="238"/>
        <v>7.00000000004</v>
      </c>
      <c r="BR183" s="380">
        <f t="shared" si="239"/>
        <v>4.00000000002</v>
      </c>
      <c r="BS183" s="380">
        <f t="shared" si="240"/>
        <v>4.00000000003</v>
      </c>
      <c r="BT183" s="380"/>
      <c r="BU183" s="380">
        <f t="shared" si="241"/>
        <v>0</v>
      </c>
      <c r="BV183" s="380">
        <f t="shared" si="242"/>
        <v>4.00000000006</v>
      </c>
      <c r="BW183" s="380">
        <f t="shared" si="243"/>
        <v>3.00000000007</v>
      </c>
      <c r="BX183" s="380">
        <f t="shared" si="244"/>
        <v>3.00000000008</v>
      </c>
      <c r="BY183" s="379">
        <f t="shared" si="307"/>
        <v>7.00000000004</v>
      </c>
      <c r="BZ183" s="379">
        <f t="shared" si="308"/>
        <v>4.00000000002</v>
      </c>
      <c r="CA183" s="379">
        <f t="shared" si="309"/>
        <v>6.0000000000450004</v>
      </c>
      <c r="CC183" s="379">
        <f t="shared" si="310"/>
        <v>0</v>
      </c>
      <c r="CD183" s="379">
        <f t="shared" si="311"/>
        <v>6.00000000009</v>
      </c>
      <c r="CE183" s="379">
        <f t="shared" si="312"/>
        <v>4.5000000001050005</v>
      </c>
      <c r="CF183" s="379">
        <f t="shared" si="313"/>
        <v>4.50000000012</v>
      </c>
      <c r="CG183" s="2" t="b">
        <f t="shared" si="245"/>
        <v>1</v>
      </c>
      <c r="CH183" s="2" t="b">
        <f t="shared" si="246"/>
        <v>0</v>
      </c>
      <c r="CI183" s="2" t="b">
        <f t="shared" si="247"/>
        <v>1</v>
      </c>
      <c r="CJ183" s="2"/>
      <c r="CK183" s="2" t="b">
        <f t="shared" si="248"/>
        <v>0</v>
      </c>
      <c r="CL183" s="2" t="b">
        <f t="shared" si="249"/>
        <v>1</v>
      </c>
      <c r="CM183" s="2" t="b">
        <f t="shared" si="250"/>
        <v>1</v>
      </c>
      <c r="CN183" s="2" t="b">
        <f t="shared" si="251"/>
        <v>1</v>
      </c>
      <c r="CO183" s="379">
        <v>1</v>
      </c>
      <c r="CP183" s="379">
        <v>1</v>
      </c>
      <c r="CQ183" s="379">
        <v>1.5</v>
      </c>
      <c r="CS183" s="379">
        <v>1.5</v>
      </c>
      <c r="CT183" s="379">
        <v>1.5</v>
      </c>
      <c r="CU183" s="379">
        <v>1.5</v>
      </c>
      <c r="CV183" s="379">
        <v>1</v>
      </c>
      <c r="CX183" s="379">
        <v>5.5</v>
      </c>
      <c r="CY183" s="379">
        <v>3</v>
      </c>
      <c r="CZ183" s="379">
        <v>5.5</v>
      </c>
      <c r="DB183" s="379">
        <v>4</v>
      </c>
      <c r="DC183" s="379">
        <v>3</v>
      </c>
      <c r="DD183" s="379">
        <v>3</v>
      </c>
      <c r="DE183" s="379" t="s">
        <v>324</v>
      </c>
      <c r="DF183" s="380">
        <f t="shared" si="252"/>
        <v>5.50000000004</v>
      </c>
      <c r="DG183" s="380">
        <f t="shared" si="253"/>
        <v>3.00000000002</v>
      </c>
      <c r="DH183" s="380">
        <f t="shared" si="254"/>
        <v>5.50000000003</v>
      </c>
      <c r="DI183" s="380"/>
      <c r="DJ183" s="380">
        <f t="shared" si="255"/>
        <v>4.00000000005</v>
      </c>
      <c r="DK183" s="380">
        <f t="shared" si="256"/>
        <v>3.00000000006</v>
      </c>
      <c r="DL183" s="380">
        <f t="shared" si="257"/>
        <v>3.00000000007</v>
      </c>
      <c r="DM183" s="380">
        <f t="shared" si="258"/>
        <v>0</v>
      </c>
      <c r="DN183" s="379">
        <f t="shared" si="314"/>
        <v>5.50000000004</v>
      </c>
      <c r="DO183" s="379">
        <f t="shared" si="315"/>
        <v>3.00000000002</v>
      </c>
      <c r="DP183" s="379">
        <f t="shared" si="316"/>
        <v>8.2500000000450004</v>
      </c>
      <c r="DR183" s="379">
        <f t="shared" si="317"/>
        <v>6.0000000000749996</v>
      </c>
      <c r="DS183" s="379">
        <f t="shared" si="318"/>
        <v>4.50000000009</v>
      </c>
      <c r="DT183" s="379">
        <f t="shared" si="319"/>
        <v>4.5000000001050005</v>
      </c>
      <c r="DU183" s="379">
        <f t="shared" si="320"/>
        <v>0</v>
      </c>
      <c r="DV183" s="2" t="b">
        <f t="shared" si="259"/>
        <v>1</v>
      </c>
      <c r="DW183" s="2" t="b">
        <f t="shared" si="260"/>
        <v>0</v>
      </c>
      <c r="DX183" s="2" t="b">
        <f t="shared" si="261"/>
        <v>1</v>
      </c>
      <c r="DY183" s="2"/>
      <c r="DZ183" s="2" t="b">
        <f t="shared" si="262"/>
        <v>1</v>
      </c>
      <c r="EA183" s="2" t="b">
        <f t="shared" si="263"/>
        <v>1</v>
      </c>
      <c r="EB183" s="2" t="b">
        <f t="shared" si="264"/>
        <v>1</v>
      </c>
      <c r="EC183" s="2" t="b">
        <f t="shared" si="265"/>
        <v>0</v>
      </c>
      <c r="ED183" s="379">
        <v>1</v>
      </c>
      <c r="EE183" s="379">
        <v>1</v>
      </c>
      <c r="EF183" s="379">
        <v>1.5</v>
      </c>
      <c r="EH183" s="379">
        <v>1.5</v>
      </c>
      <c r="EI183" s="379">
        <v>1.5</v>
      </c>
      <c r="EJ183" s="379">
        <v>1.5</v>
      </c>
      <c r="EK183" s="379">
        <v>1.5</v>
      </c>
      <c r="EL183" s="379">
        <v>5.5</v>
      </c>
      <c r="EM183" s="379">
        <v>4</v>
      </c>
      <c r="EN183" s="379">
        <v>4</v>
      </c>
      <c r="EP183" s="379" t="s">
        <v>324</v>
      </c>
      <c r="EQ183" s="379">
        <v>4</v>
      </c>
      <c r="ER183" s="379">
        <v>4</v>
      </c>
      <c r="ES183" s="379">
        <v>4</v>
      </c>
      <c r="ET183" s="380">
        <f t="shared" si="266"/>
        <v>5.50000000004</v>
      </c>
      <c r="EU183" s="380">
        <f t="shared" si="267"/>
        <v>4.00000000002</v>
      </c>
      <c r="EV183" s="380">
        <f t="shared" si="268"/>
        <v>4.00000000003</v>
      </c>
      <c r="EW183" s="380">
        <f t="shared" si="269"/>
        <v>9.9999999999999994E-12</v>
      </c>
      <c r="EX183" s="380">
        <f t="shared" si="270"/>
        <v>0</v>
      </c>
      <c r="EY183" s="380">
        <f t="shared" si="271"/>
        <v>4.00000000006</v>
      </c>
      <c r="EZ183" s="380">
        <f t="shared" si="272"/>
        <v>4.00000000007</v>
      </c>
      <c r="FA183" s="380">
        <f t="shared" si="273"/>
        <v>4.00000000008</v>
      </c>
      <c r="FB183" s="379">
        <f t="shared" si="299"/>
        <v>5.50000000004</v>
      </c>
      <c r="FC183" s="379">
        <f t="shared" si="300"/>
        <v>4.00000000002</v>
      </c>
      <c r="FD183" s="379">
        <f t="shared" si="301"/>
        <v>6.0000000000450004</v>
      </c>
      <c r="FE183" s="379">
        <f t="shared" si="302"/>
        <v>0</v>
      </c>
      <c r="FF183" s="379">
        <f t="shared" si="303"/>
        <v>0</v>
      </c>
      <c r="FG183" s="379">
        <f t="shared" si="304"/>
        <v>6.00000000009</v>
      </c>
      <c r="FH183" s="379">
        <f t="shared" si="305"/>
        <v>6.0000000001050005</v>
      </c>
      <c r="FI183" s="379">
        <f t="shared" si="306"/>
        <v>6.00000000012</v>
      </c>
      <c r="FJ183" s="2" t="b">
        <f t="shared" si="282"/>
        <v>1</v>
      </c>
      <c r="FK183" s="2" t="b">
        <f t="shared" si="283"/>
        <v>0</v>
      </c>
      <c r="FL183" s="2" t="b">
        <f t="shared" si="284"/>
        <v>1</v>
      </c>
      <c r="FM183" s="2" t="b">
        <f t="shared" si="285"/>
        <v>0</v>
      </c>
      <c r="FN183" s="2" t="b">
        <f t="shared" si="286"/>
        <v>0</v>
      </c>
      <c r="FO183" s="2" t="b">
        <f t="shared" si="287"/>
        <v>1</v>
      </c>
      <c r="FP183" s="2" t="b">
        <f t="shared" si="288"/>
        <v>1</v>
      </c>
      <c r="FQ183" s="2" t="b">
        <f t="shared" si="289"/>
        <v>1</v>
      </c>
    </row>
    <row r="184" spans="1:173" s="379" customFormat="1" ht="15.6">
      <c r="A184" s="335" t="s">
        <v>1289</v>
      </c>
      <c r="B184" s="346" t="s">
        <v>1289</v>
      </c>
      <c r="C184" s="346" t="s">
        <v>227</v>
      </c>
      <c r="D184" s="346" t="s">
        <v>1081</v>
      </c>
      <c r="E184" s="346" t="s">
        <v>1290</v>
      </c>
      <c r="F184" s="379" t="s">
        <v>785</v>
      </c>
      <c r="G184" s="379" t="s">
        <v>324</v>
      </c>
      <c r="H184" s="379">
        <v>57.25</v>
      </c>
      <c r="I184" s="379">
        <v>53.5</v>
      </c>
      <c r="J184" s="379">
        <v>51.125</v>
      </c>
      <c r="K184" s="435">
        <f t="shared" si="234"/>
        <v>57.250000000385</v>
      </c>
      <c r="L184" s="435">
        <f t="shared" si="235"/>
        <v>53.500000000385</v>
      </c>
      <c r="M184" s="435">
        <f t="shared" si="236"/>
        <v>51.125000000455003</v>
      </c>
      <c r="N184" s="346" t="s">
        <v>2400</v>
      </c>
      <c r="O184" s="346" t="s">
        <v>2393</v>
      </c>
      <c r="P184" s="346" t="s">
        <v>3045</v>
      </c>
      <c r="Q184" s="346" t="s">
        <v>2392</v>
      </c>
      <c r="R184" s="346" t="s">
        <v>834</v>
      </c>
      <c r="S184" s="346" t="s">
        <v>1291</v>
      </c>
      <c r="T184" s="2" t="s">
        <v>1046</v>
      </c>
      <c r="U184" s="379">
        <v>30</v>
      </c>
      <c r="V184" s="2" cm="1">
        <f t="array" ref="V184">IFERROR(INDEX('Offer Statistics'!$BQ$2:$BQ$600,MATCH(1,(B184='Offer Statistics'!$BB$2:$BB$600)*($B$11='Offer Statistics'!$BC$2:$BC$600),0)),"/")</f>
        <v>29</v>
      </c>
      <c r="W184" s="2" cm="1">
        <f t="array" ref="W184">IFERROR(INDEX('Offer Statistics'!$BD$2:$BD$600,MATCH(1,($B184='Offer Statistics'!$BB$2:$BB$600)*($B$11='Offer Statistics'!$BC$2:$BC$600),0)),"/")</f>
        <v>108</v>
      </c>
      <c r="X184" s="2" cm="1">
        <f t="array" ref="X184">IFERROR(INDEX('Offer Statistics'!$BL$2:$BL$600,MATCH(1,($B184='Offer Statistics'!$BB$2:$BB$600)*($B$11='Offer Statistics'!$BC$2:$BC$600),0)),"/")</f>
        <v>29</v>
      </c>
      <c r="Y184" s="379">
        <f t="shared" si="215"/>
        <v>3.7241379310344827</v>
      </c>
      <c r="Z184" s="2" t="s">
        <v>1046</v>
      </c>
      <c r="AA184" s="435" t="str">
        <f>入學要求!AF193</f>
        <v>數學科考獲 Lv.4 及 其他科目考獲優異成績的考生</v>
      </c>
      <c r="AB184" s="435" t="str">
        <f>入學要求!AG193</f>
        <v>優先考慮以下一科選修︰M1/2、生物、化學、物理、ICT</v>
      </c>
      <c r="AC184" s="425" t="s">
        <v>785</v>
      </c>
      <c r="AD184" s="427"/>
      <c r="AE184" s="346"/>
      <c r="AF184" s="346" t="s">
        <v>1256</v>
      </c>
      <c r="AG184" s="426" t="s">
        <v>2393</v>
      </c>
      <c r="AH184" s="426" t="s">
        <v>3045</v>
      </c>
      <c r="AI184" s="426" t="s">
        <v>2392</v>
      </c>
      <c r="AJ184" s="346" t="s">
        <v>832</v>
      </c>
      <c r="AK184" s="379" t="s">
        <v>324</v>
      </c>
      <c r="AL184" s="379" t="s">
        <v>324</v>
      </c>
      <c r="AM184" s="379" t="s">
        <v>324</v>
      </c>
      <c r="AN184" s="379" t="s">
        <v>324</v>
      </c>
      <c r="AO184" s="379" t="s">
        <v>324</v>
      </c>
      <c r="AP184" s="379" t="s">
        <v>324</v>
      </c>
      <c r="AQ184" s="379" t="s">
        <v>324</v>
      </c>
      <c r="AR184" s="379" t="s">
        <v>324</v>
      </c>
      <c r="AT184" s="379" t="s">
        <v>716</v>
      </c>
      <c r="AV184" s="379" t="s">
        <v>713</v>
      </c>
      <c r="AZ184" s="379">
        <v>1.25</v>
      </c>
      <c r="BA184" s="379">
        <v>1.25</v>
      </c>
      <c r="BB184" s="379">
        <v>1.75</v>
      </c>
      <c r="BD184" s="379">
        <v>1.75</v>
      </c>
      <c r="BE184" s="379">
        <v>1.5</v>
      </c>
      <c r="BF184" s="379">
        <v>1.5</v>
      </c>
      <c r="BG184" s="379">
        <v>1.5</v>
      </c>
      <c r="BH184" s="2" t="str">
        <f t="shared" si="237"/>
        <v>JS4468</v>
      </c>
      <c r="BI184" s="197">
        <v>5.5</v>
      </c>
      <c r="BJ184" s="197">
        <v>4</v>
      </c>
      <c r="BK184" s="197">
        <v>7</v>
      </c>
      <c r="BL184" s="197" t="s">
        <v>324</v>
      </c>
      <c r="BM184" s="197">
        <v>5.5</v>
      </c>
      <c r="BN184" s="197">
        <v>7</v>
      </c>
      <c r="BO184" s="197">
        <v>7</v>
      </c>
      <c r="BP184" s="197">
        <v>5.5</v>
      </c>
      <c r="BQ184" s="380">
        <f t="shared" si="238"/>
        <v>5.50000000004</v>
      </c>
      <c r="BR184" s="380">
        <f t="shared" si="239"/>
        <v>4.00000000002</v>
      </c>
      <c r="BS184" s="380">
        <f t="shared" si="240"/>
        <v>7.00000000003</v>
      </c>
      <c r="BT184" s="380"/>
      <c r="BU184" s="380">
        <f t="shared" si="241"/>
        <v>5.50000000005</v>
      </c>
      <c r="BV184" s="380">
        <f t="shared" si="242"/>
        <v>7.00000000006</v>
      </c>
      <c r="BW184" s="380">
        <f t="shared" si="243"/>
        <v>7.00000000007</v>
      </c>
      <c r="BX184" s="380">
        <f t="shared" si="244"/>
        <v>5.50000000008</v>
      </c>
      <c r="BY184" s="379">
        <f t="shared" si="307"/>
        <v>6.87500000005</v>
      </c>
      <c r="BZ184" s="379">
        <f t="shared" si="308"/>
        <v>5.0000000000250004</v>
      </c>
      <c r="CA184" s="379">
        <f t="shared" si="309"/>
        <v>12.2500000000525</v>
      </c>
      <c r="CC184" s="379">
        <f t="shared" si="310"/>
        <v>9.6250000000874998</v>
      </c>
      <c r="CD184" s="379">
        <f t="shared" si="311"/>
        <v>10.500000000090001</v>
      </c>
      <c r="CE184" s="379">
        <f t="shared" si="312"/>
        <v>10.500000000105</v>
      </c>
      <c r="CF184" s="379">
        <f t="shared" si="313"/>
        <v>8.25000000012</v>
      </c>
      <c r="CG184" s="2" t="b">
        <f t="shared" si="245"/>
        <v>0</v>
      </c>
      <c r="CH184" s="2" t="b">
        <f t="shared" si="246"/>
        <v>0</v>
      </c>
      <c r="CI184" s="2" t="b">
        <f t="shared" si="247"/>
        <v>1</v>
      </c>
      <c r="CJ184" s="2"/>
      <c r="CK184" s="2" t="b">
        <f t="shared" si="248"/>
        <v>1</v>
      </c>
      <c r="CL184" s="2" t="b">
        <f t="shared" si="249"/>
        <v>1</v>
      </c>
      <c r="CM184" s="2" t="b">
        <f t="shared" si="250"/>
        <v>1</v>
      </c>
      <c r="CN184" s="2" t="b">
        <f t="shared" si="251"/>
        <v>1</v>
      </c>
      <c r="CO184" s="379">
        <v>1.25</v>
      </c>
      <c r="CP184" s="379">
        <v>1.25</v>
      </c>
      <c r="CQ184" s="379">
        <v>1.75</v>
      </c>
      <c r="CS184" s="379">
        <v>1.75</v>
      </c>
      <c r="CT184" s="379">
        <v>1.5</v>
      </c>
      <c r="CU184" s="379">
        <v>1.5</v>
      </c>
      <c r="CV184" s="379">
        <v>1.5</v>
      </c>
      <c r="CX184" s="379">
        <v>8.5</v>
      </c>
      <c r="CY184" s="379">
        <v>4</v>
      </c>
      <c r="CZ184" s="379">
        <v>7</v>
      </c>
      <c r="DB184" s="379">
        <v>5.5</v>
      </c>
      <c r="DC184" s="379">
        <v>7</v>
      </c>
      <c r="DD184" s="379">
        <v>7</v>
      </c>
      <c r="DE184" s="379" t="s">
        <v>324</v>
      </c>
      <c r="DF184" s="380">
        <f t="shared" si="252"/>
        <v>8.50000000004</v>
      </c>
      <c r="DG184" s="380">
        <f t="shared" si="253"/>
        <v>4.00000000002</v>
      </c>
      <c r="DH184" s="380">
        <f t="shared" si="254"/>
        <v>7.00000000003</v>
      </c>
      <c r="DI184" s="380"/>
      <c r="DJ184" s="380">
        <f t="shared" si="255"/>
        <v>5.50000000005</v>
      </c>
      <c r="DK184" s="380">
        <f t="shared" si="256"/>
        <v>7.00000000006</v>
      </c>
      <c r="DL184" s="380">
        <f t="shared" si="257"/>
        <v>7.00000000007</v>
      </c>
      <c r="DM184" s="380">
        <f t="shared" si="258"/>
        <v>0</v>
      </c>
      <c r="DN184" s="379">
        <f t="shared" si="314"/>
        <v>10.625000000050001</v>
      </c>
      <c r="DO184" s="379">
        <f t="shared" si="315"/>
        <v>5.0000000000250004</v>
      </c>
      <c r="DP184" s="379">
        <f t="shared" si="316"/>
        <v>12.2500000000525</v>
      </c>
      <c r="DR184" s="379">
        <f t="shared" si="317"/>
        <v>9.6250000000874998</v>
      </c>
      <c r="DS184" s="379">
        <f t="shared" si="318"/>
        <v>10.500000000090001</v>
      </c>
      <c r="DT184" s="379">
        <f t="shared" si="319"/>
        <v>10.500000000105</v>
      </c>
      <c r="DU184" s="379">
        <f t="shared" si="320"/>
        <v>0</v>
      </c>
      <c r="DV184" s="2" t="b">
        <f t="shared" si="259"/>
        <v>1</v>
      </c>
      <c r="DW184" s="2" t="b">
        <f t="shared" si="260"/>
        <v>0</v>
      </c>
      <c r="DX184" s="2" t="b">
        <f t="shared" si="261"/>
        <v>1</v>
      </c>
      <c r="DY184" s="2"/>
      <c r="DZ184" s="2" t="b">
        <f t="shared" si="262"/>
        <v>1</v>
      </c>
      <c r="EA184" s="2" t="b">
        <f t="shared" si="263"/>
        <v>1</v>
      </c>
      <c r="EB184" s="2" t="b">
        <f t="shared" si="264"/>
        <v>1</v>
      </c>
      <c r="EC184" s="2" t="b">
        <f t="shared" si="265"/>
        <v>0</v>
      </c>
      <c r="ED184" s="379">
        <v>1.25</v>
      </c>
      <c r="EE184" s="379">
        <v>1.25</v>
      </c>
      <c r="EF184" s="379">
        <v>1.75</v>
      </c>
      <c r="EH184" s="379">
        <v>1.75</v>
      </c>
      <c r="EI184" s="379">
        <v>1.5</v>
      </c>
      <c r="EJ184" s="379">
        <v>1.5</v>
      </c>
      <c r="EK184" s="379">
        <v>1.5</v>
      </c>
      <c r="EL184" s="379">
        <v>5.5</v>
      </c>
      <c r="EM184" s="379">
        <v>4</v>
      </c>
      <c r="EN184" s="379">
        <v>8.5</v>
      </c>
      <c r="EP184" s="379">
        <v>7</v>
      </c>
      <c r="EQ184" s="379">
        <v>8.5</v>
      </c>
      <c r="ER184" s="379">
        <v>7</v>
      </c>
      <c r="ES184" s="379" t="s">
        <v>324</v>
      </c>
      <c r="ET184" s="380">
        <f t="shared" si="266"/>
        <v>5.50000000004</v>
      </c>
      <c r="EU184" s="380">
        <f t="shared" si="267"/>
        <v>4.00000000002</v>
      </c>
      <c r="EV184" s="380">
        <f t="shared" si="268"/>
        <v>8.5000000000299991</v>
      </c>
      <c r="EW184" s="380">
        <f t="shared" si="269"/>
        <v>9.9999999999999994E-12</v>
      </c>
      <c r="EX184" s="380">
        <f t="shared" si="270"/>
        <v>7.00000000005</v>
      </c>
      <c r="EY184" s="380">
        <f t="shared" si="271"/>
        <v>8.50000000006</v>
      </c>
      <c r="EZ184" s="380">
        <f t="shared" si="272"/>
        <v>7.00000000007</v>
      </c>
      <c r="FA184" s="380">
        <f t="shared" si="273"/>
        <v>0</v>
      </c>
      <c r="FB184" s="379">
        <f t="shared" si="299"/>
        <v>6.87500000005</v>
      </c>
      <c r="FC184" s="379">
        <f t="shared" si="300"/>
        <v>5.0000000000250004</v>
      </c>
      <c r="FD184" s="379">
        <f t="shared" si="301"/>
        <v>14.875000000052498</v>
      </c>
      <c r="FE184" s="379">
        <f t="shared" si="302"/>
        <v>0</v>
      </c>
      <c r="FF184" s="379">
        <f t="shared" si="303"/>
        <v>12.2500000000875</v>
      </c>
      <c r="FG184" s="379">
        <f t="shared" si="304"/>
        <v>12.750000000090001</v>
      </c>
      <c r="FH184" s="379">
        <f t="shared" si="305"/>
        <v>10.500000000105</v>
      </c>
      <c r="FI184" s="379">
        <f t="shared" si="306"/>
        <v>0</v>
      </c>
      <c r="FJ184" s="2" t="b">
        <f t="shared" si="282"/>
        <v>1</v>
      </c>
      <c r="FK184" s="2" t="b">
        <f t="shared" si="283"/>
        <v>0</v>
      </c>
      <c r="FL184" s="2" t="b">
        <f t="shared" si="284"/>
        <v>1</v>
      </c>
      <c r="FM184" s="2" t="b">
        <f t="shared" si="285"/>
        <v>0</v>
      </c>
      <c r="FN184" s="2" t="b">
        <f t="shared" si="286"/>
        <v>1</v>
      </c>
      <c r="FO184" s="2" t="b">
        <f t="shared" si="287"/>
        <v>1</v>
      </c>
      <c r="FP184" s="2" t="b">
        <f t="shared" si="288"/>
        <v>1</v>
      </c>
      <c r="FQ184" s="2" t="b">
        <f t="shared" si="289"/>
        <v>0</v>
      </c>
    </row>
    <row r="185" spans="1:173" s="379" customFormat="1" ht="15.6">
      <c r="A185" s="335" t="s">
        <v>2653</v>
      </c>
      <c r="B185" s="346" t="s">
        <v>2653</v>
      </c>
      <c r="C185" s="346" t="s">
        <v>227</v>
      </c>
      <c r="D185" s="346" t="s">
        <v>1081</v>
      </c>
      <c r="E185" s="346" t="s">
        <v>2655</v>
      </c>
      <c r="F185" s="379" t="s">
        <v>2940</v>
      </c>
      <c r="H185" s="379" t="s">
        <v>324</v>
      </c>
      <c r="I185" s="379" t="s">
        <v>324</v>
      </c>
      <c r="J185" s="379" t="s">
        <v>324</v>
      </c>
      <c r="K185" s="435">
        <f t="shared" si="234"/>
        <v>0</v>
      </c>
      <c r="L185" s="435">
        <f t="shared" si="235"/>
        <v>0</v>
      </c>
      <c r="M185" s="435">
        <f t="shared" si="236"/>
        <v>0</v>
      </c>
      <c r="N185" s="346"/>
      <c r="O185" s="346"/>
      <c r="P185" s="346"/>
      <c r="Q185" s="346"/>
      <c r="R185" s="346"/>
      <c r="S185" s="346" t="s">
        <v>2654</v>
      </c>
      <c r="T185" s="2" t="s">
        <v>1046</v>
      </c>
      <c r="U185" s="379">
        <v>20</v>
      </c>
      <c r="V185" s="2" t="str" cm="1">
        <f t="array" ref="V185">IFERROR(INDEX('Offer Statistics'!$BQ$2:$BQ$600,MATCH(1,(B185='Offer Statistics'!$BB$2:$BB$600)*($B$11='Offer Statistics'!$BC$2:$BC$600),0)),"/")</f>
        <v>/</v>
      </c>
      <c r="W185" s="2" t="str" cm="1">
        <f t="array" ref="W185">IFERROR(INDEX('Offer Statistics'!$BD$2:$BD$600,MATCH(1,($B185='Offer Statistics'!$BB$2:$BB$600)*($B$11='Offer Statistics'!$BC$2:$BC$600),0)),"/")</f>
        <v>/</v>
      </c>
      <c r="X185" s="2" t="str" cm="1">
        <f t="array" ref="X185">IFERROR(INDEX('Offer Statistics'!$BL$2:$BL$600,MATCH(1,($B185='Offer Statistics'!$BB$2:$BB$600)*($B$11='Offer Statistics'!$BC$2:$BC$600),0)),"/")</f>
        <v>/</v>
      </c>
      <c r="Y185" s="379" t="str">
        <f>IFERROR(W185/X185,"新科目")</f>
        <v>新科目</v>
      </c>
      <c r="Z185" s="2" t="s">
        <v>1046</v>
      </c>
      <c r="AA185" s="435" t="str">
        <f>入學要求!AF194</f>
        <v>以下一科選修取得Lv.3︰M1/2、生物、化學、ICT、物理</v>
      </c>
      <c r="AB185" s="435" t="str">
        <f>入學要求!AG194</f>
        <v>優先考慮以下一科選修︰M1/2、生物、化學、ICT、物理</v>
      </c>
      <c r="AC185" s="427" t="s">
        <v>785</v>
      </c>
      <c r="AD185" s="427"/>
      <c r="AE185" s="346"/>
      <c r="AF185" s="346" t="s">
        <v>324</v>
      </c>
      <c r="AG185" s="346"/>
      <c r="AH185" s="427" t="s">
        <v>3080</v>
      </c>
      <c r="AI185" s="346" t="s">
        <v>324</v>
      </c>
      <c r="AJ185" s="346" t="s">
        <v>324</v>
      </c>
      <c r="AK185" s="346" t="s">
        <v>324</v>
      </c>
      <c r="AL185" s="379" t="s">
        <v>324</v>
      </c>
      <c r="AM185" s="379" t="s">
        <v>324</v>
      </c>
      <c r="AN185" s="379" t="s">
        <v>324</v>
      </c>
      <c r="AO185" s="379" t="s">
        <v>324</v>
      </c>
      <c r="AP185" s="379" t="s">
        <v>324</v>
      </c>
      <c r="AQ185" s="379" t="s">
        <v>324</v>
      </c>
      <c r="AR185" s="379" t="s">
        <v>324</v>
      </c>
      <c r="AS185" s="379" t="s">
        <v>324</v>
      </c>
      <c r="AT185" s="379" t="s">
        <v>716</v>
      </c>
      <c r="AV185" s="379" t="s">
        <v>713</v>
      </c>
      <c r="BH185" s="2" t="str">
        <f t="shared" si="237"/>
        <v>JS4470</v>
      </c>
      <c r="BI185" s="197" t="s">
        <v>324</v>
      </c>
      <c r="BJ185" s="197" t="s">
        <v>324</v>
      </c>
      <c r="BK185" s="197" t="s">
        <v>324</v>
      </c>
      <c r="BL185" s="197" t="s">
        <v>324</v>
      </c>
      <c r="BM185" s="197" t="s">
        <v>324</v>
      </c>
      <c r="BN185" s="197" t="s">
        <v>324</v>
      </c>
      <c r="BO185" s="197" t="s">
        <v>324</v>
      </c>
      <c r="BP185" s="197" t="s">
        <v>324</v>
      </c>
      <c r="BQ185" s="380"/>
      <c r="BR185" s="380"/>
      <c r="BS185" s="380"/>
      <c r="BT185" s="380"/>
      <c r="BU185" s="380"/>
      <c r="BV185" s="380"/>
      <c r="BW185" s="380"/>
      <c r="BX185" s="380"/>
      <c r="CG185" s="2" t="e">
        <f t="shared" si="245"/>
        <v>#NUM!</v>
      </c>
      <c r="CH185" s="2" t="e">
        <f t="shared" si="246"/>
        <v>#NUM!</v>
      </c>
      <c r="CI185" s="2" t="e">
        <f t="shared" si="247"/>
        <v>#NUM!</v>
      </c>
      <c r="CJ185" s="2"/>
      <c r="CK185" s="2" t="e">
        <f t="shared" si="248"/>
        <v>#NUM!</v>
      </c>
      <c r="CL185" s="2" t="e">
        <f t="shared" si="249"/>
        <v>#NUM!</v>
      </c>
      <c r="CM185" s="2" t="e">
        <f t="shared" si="250"/>
        <v>#NUM!</v>
      </c>
      <c r="CN185" s="2" t="e">
        <f t="shared" si="251"/>
        <v>#NUM!</v>
      </c>
      <c r="CO185" s="379" t="s">
        <v>324</v>
      </c>
      <c r="CP185" s="379" t="s">
        <v>324</v>
      </c>
      <c r="CQ185" s="379" t="s">
        <v>324</v>
      </c>
      <c r="CR185" s="379" t="s">
        <v>324</v>
      </c>
      <c r="CS185" s="379" t="s">
        <v>324</v>
      </c>
      <c r="CT185" s="379" t="s">
        <v>324</v>
      </c>
      <c r="CU185" s="379" t="s">
        <v>324</v>
      </c>
      <c r="CV185" s="379" t="s">
        <v>324</v>
      </c>
      <c r="CW185" s="379" t="s">
        <v>324</v>
      </c>
      <c r="CX185" s="379" t="s">
        <v>324</v>
      </c>
      <c r="CY185" s="379" t="s">
        <v>324</v>
      </c>
      <c r="CZ185" s="379" t="s">
        <v>324</v>
      </c>
      <c r="DB185" s="379" t="s">
        <v>324</v>
      </c>
      <c r="DC185" s="379" t="s">
        <v>324</v>
      </c>
      <c r="DD185" s="379" t="s">
        <v>324</v>
      </c>
      <c r="DE185" s="379" t="s">
        <v>324</v>
      </c>
      <c r="DF185" s="380"/>
      <c r="DG185" s="380"/>
      <c r="DH185" s="380"/>
      <c r="DI185" s="380"/>
      <c r="DJ185" s="380"/>
      <c r="DK185" s="380"/>
      <c r="DL185" s="380"/>
      <c r="DM185" s="380"/>
      <c r="DV185" s="2" t="e">
        <f t="shared" si="259"/>
        <v>#NUM!</v>
      </c>
      <c r="DW185" s="2" t="e">
        <f t="shared" si="260"/>
        <v>#NUM!</v>
      </c>
      <c r="DX185" s="2" t="e">
        <f t="shared" si="261"/>
        <v>#NUM!</v>
      </c>
      <c r="DY185" s="2"/>
      <c r="DZ185" s="2" t="e">
        <f t="shared" si="262"/>
        <v>#NUM!</v>
      </c>
      <c r="EA185" s="2" t="e">
        <f t="shared" si="263"/>
        <v>#NUM!</v>
      </c>
      <c r="EB185" s="2" t="e">
        <f t="shared" si="264"/>
        <v>#NUM!</v>
      </c>
      <c r="EC185" s="2" t="e">
        <f t="shared" si="265"/>
        <v>#NUM!</v>
      </c>
      <c r="ED185" s="379" t="s">
        <v>324</v>
      </c>
      <c r="EE185" s="379" t="s">
        <v>324</v>
      </c>
      <c r="EF185" s="379" t="s">
        <v>324</v>
      </c>
      <c r="EH185" s="379" t="s">
        <v>324</v>
      </c>
      <c r="EI185" s="379" t="s">
        <v>324</v>
      </c>
      <c r="EJ185" s="379" t="s">
        <v>324</v>
      </c>
      <c r="EK185" s="379" t="s">
        <v>324</v>
      </c>
      <c r="EL185" s="379" t="s">
        <v>324</v>
      </c>
      <c r="EM185" s="379" t="s">
        <v>324</v>
      </c>
      <c r="EN185" s="379" t="s">
        <v>324</v>
      </c>
      <c r="EP185" s="379" t="s">
        <v>324</v>
      </c>
      <c r="EQ185" s="379" t="s">
        <v>324</v>
      </c>
      <c r="ER185" s="379" t="s">
        <v>324</v>
      </c>
      <c r="ES185" s="379" t="s">
        <v>324</v>
      </c>
      <c r="ET185" s="380"/>
      <c r="EU185" s="380"/>
      <c r="EV185" s="380"/>
      <c r="EW185" s="380"/>
      <c r="EX185" s="380"/>
      <c r="EY185" s="380"/>
      <c r="EZ185" s="380"/>
      <c r="FA185" s="380"/>
      <c r="FB185" s="379" t="e">
        <f t="shared" ref="FB185:FI185" si="321">ET185*ED185</f>
        <v>#VALUE!</v>
      </c>
      <c r="FC185" s="379" t="e">
        <f t="shared" si="321"/>
        <v>#VALUE!</v>
      </c>
      <c r="FD185" s="379" t="e">
        <f t="shared" si="321"/>
        <v>#VALUE!</v>
      </c>
      <c r="FE185" s="379">
        <f t="shared" si="321"/>
        <v>0</v>
      </c>
      <c r="FF185" s="379" t="e">
        <f t="shared" si="321"/>
        <v>#VALUE!</v>
      </c>
      <c r="FG185" s="379" t="e">
        <f t="shared" si="321"/>
        <v>#VALUE!</v>
      </c>
      <c r="FH185" s="379" t="e">
        <f t="shared" si="321"/>
        <v>#VALUE!</v>
      </c>
      <c r="FI185" s="379" t="e">
        <f t="shared" si="321"/>
        <v>#VALUE!</v>
      </c>
      <c r="FJ185" s="2" t="e">
        <f t="shared" si="282"/>
        <v>#VALUE!</v>
      </c>
      <c r="FK185" s="2" t="e">
        <f t="shared" si="283"/>
        <v>#VALUE!</v>
      </c>
      <c r="FL185" s="2" t="e">
        <f t="shared" si="284"/>
        <v>#VALUE!</v>
      </c>
      <c r="FM185" s="2" t="e">
        <f t="shared" si="285"/>
        <v>#VALUE!</v>
      </c>
      <c r="FN185" s="2" t="e">
        <f t="shared" si="286"/>
        <v>#VALUE!</v>
      </c>
      <c r="FO185" s="2" t="e">
        <f t="shared" si="287"/>
        <v>#VALUE!</v>
      </c>
      <c r="FP185" s="2" t="e">
        <f t="shared" si="288"/>
        <v>#VALUE!</v>
      </c>
      <c r="FQ185" s="2" t="e">
        <f t="shared" si="289"/>
        <v>#VALUE!</v>
      </c>
    </row>
    <row r="186" spans="1:173" ht="15.6">
      <c r="A186" s="335" t="s">
        <v>1292</v>
      </c>
      <c r="B186" s="346" t="s">
        <v>1292</v>
      </c>
      <c r="C186" s="346" t="s">
        <v>227</v>
      </c>
      <c r="D186" s="346" t="s">
        <v>1293</v>
      </c>
      <c r="E186" s="346" t="s">
        <v>1294</v>
      </c>
      <c r="F186" s="2" t="s">
        <v>2397</v>
      </c>
      <c r="G186" s="2" t="s">
        <v>324</v>
      </c>
      <c r="H186" s="2">
        <v>38</v>
      </c>
      <c r="I186" s="2">
        <v>37</v>
      </c>
      <c r="J186" s="2">
        <v>36</v>
      </c>
      <c r="K186" s="435">
        <f t="shared" si="234"/>
        <v>37.999000000302843</v>
      </c>
      <c r="L186" s="435">
        <f t="shared" si="235"/>
        <v>37.000000000300005</v>
      </c>
      <c r="M186" s="435">
        <f t="shared" si="236"/>
        <v>36.000000000300005</v>
      </c>
      <c r="N186" s="346" t="s">
        <v>3049</v>
      </c>
      <c r="O186" s="346" t="s">
        <v>3050</v>
      </c>
      <c r="P186" s="346" t="s">
        <v>2372</v>
      </c>
      <c r="Q186" s="346" t="s">
        <v>324</v>
      </c>
      <c r="R186" s="346" t="s">
        <v>324</v>
      </c>
      <c r="S186" s="346" t="s">
        <v>1295</v>
      </c>
      <c r="T186" s="2" t="s">
        <v>1792</v>
      </c>
      <c r="U186" s="2">
        <v>295</v>
      </c>
      <c r="V186" s="2" cm="1">
        <f t="array" ref="V186">IFERROR(INDEX('Offer Statistics'!$BQ$2:$BQ$600,MATCH(1,(B186='Offer Statistics'!$BB$2:$BB$600)*($B$11='Offer Statistics'!$BC$2:$BC$600),0)),"/")</f>
        <v>170</v>
      </c>
      <c r="W186" s="2" cm="1">
        <f t="array" ref="W186">IFERROR(INDEX('Offer Statistics'!$BD$2:$BD$600,MATCH(1,($B186='Offer Statistics'!$BB$2:$BB$600)*($B$11='Offer Statistics'!$BC$2:$BC$600),0)),"/")</f>
        <v>527</v>
      </c>
      <c r="X186" s="2" cm="1">
        <f t="array" ref="X186">IFERROR(INDEX('Offer Statistics'!$BL$2:$BL$600,MATCH(1,($B186='Offer Statistics'!$BB$2:$BB$600)*($B$11='Offer Statistics'!$BC$2:$BC$600),0)),"/")</f>
        <v>170</v>
      </c>
      <c r="Y186" s="2">
        <f t="shared" si="215"/>
        <v>3.1</v>
      </c>
      <c r="Z186" s="2" t="s">
        <v>713</v>
      </c>
      <c r="AA186" s="435" t="str">
        <f>入學要求!AF195</f>
        <v>以下一科選修取得Lv.3︰生物、化學</v>
      </c>
      <c r="AB186" s="435" t="str">
        <f>入學要求!AG195</f>
        <v>優先考慮 同時修讀 生物 及 化學 者</v>
      </c>
      <c r="AC186" s="346" t="s">
        <v>2397</v>
      </c>
      <c r="AD186" s="346"/>
      <c r="AE186" s="346"/>
      <c r="AF186" s="346" t="s">
        <v>1296</v>
      </c>
      <c r="AG186" s="346" t="s">
        <v>1297</v>
      </c>
      <c r="AH186" s="346" t="s">
        <v>2372</v>
      </c>
      <c r="AI186" s="346" t="s">
        <v>324</v>
      </c>
      <c r="AJ186" s="346" t="s">
        <v>324</v>
      </c>
      <c r="AK186" s="2" t="s">
        <v>324</v>
      </c>
      <c r="AL186" s="2" t="s">
        <v>324</v>
      </c>
      <c r="AM186" s="2" t="s">
        <v>324</v>
      </c>
      <c r="AN186" s="2" t="s">
        <v>2373</v>
      </c>
      <c r="AO186" s="2" t="s">
        <v>324</v>
      </c>
      <c r="AP186" s="2" t="s">
        <v>2374</v>
      </c>
      <c r="AQ186" s="2" t="s">
        <v>2375</v>
      </c>
      <c r="AR186" s="2" t="s">
        <v>324</v>
      </c>
      <c r="AT186" s="2" t="s">
        <v>716</v>
      </c>
      <c r="AV186" s="2" t="s">
        <v>1214</v>
      </c>
      <c r="AZ186" s="2">
        <v>1</v>
      </c>
      <c r="BA186" s="2">
        <v>1</v>
      </c>
      <c r="BB186" s="2">
        <v>1</v>
      </c>
      <c r="BD186" s="2">
        <v>0</v>
      </c>
      <c r="BE186" s="2">
        <v>1</v>
      </c>
      <c r="BF186" s="2">
        <v>1</v>
      </c>
      <c r="BG186" s="2">
        <v>1</v>
      </c>
      <c r="BH186" s="2" t="str">
        <f t="shared" si="237"/>
        <v>JS4501</v>
      </c>
      <c r="BI186" s="197">
        <v>5</v>
      </c>
      <c r="BJ186" s="197">
        <v>6</v>
      </c>
      <c r="BK186" s="197">
        <v>6</v>
      </c>
      <c r="BL186" s="197" t="s">
        <v>324</v>
      </c>
      <c r="BM186" s="197">
        <v>5</v>
      </c>
      <c r="BN186" s="197">
        <v>7</v>
      </c>
      <c r="BO186" s="197">
        <v>6</v>
      </c>
      <c r="BP186" s="197">
        <v>6</v>
      </c>
      <c r="BQ186" s="194">
        <f t="shared" si="238"/>
        <v>5.00000000004</v>
      </c>
      <c r="BR186" s="194">
        <f t="shared" si="239"/>
        <v>6.00000000002</v>
      </c>
      <c r="BS186" s="194">
        <f t="shared" si="240"/>
        <v>6.00000000003</v>
      </c>
      <c r="BU186" s="194">
        <f t="shared" si="241"/>
        <v>5.00000000005</v>
      </c>
      <c r="BV186" s="194">
        <f t="shared" si="242"/>
        <v>7.00000000006</v>
      </c>
      <c r="BW186" s="194">
        <f t="shared" si="243"/>
        <v>6.00000000007</v>
      </c>
      <c r="BX186" s="194">
        <f t="shared" si="244"/>
        <v>6.00000000008</v>
      </c>
      <c r="BY186" s="2">
        <f t="shared" si="307"/>
        <v>5.00000000004</v>
      </c>
      <c r="BZ186" s="2">
        <f t="shared" si="308"/>
        <v>6.00000000002</v>
      </c>
      <c r="CA186" s="2">
        <f t="shared" si="309"/>
        <v>6.00000000003</v>
      </c>
      <c r="CC186" s="2">
        <f t="shared" si="310"/>
        <v>0</v>
      </c>
      <c r="CD186" s="2">
        <f t="shared" si="311"/>
        <v>7.00000000006</v>
      </c>
      <c r="CE186" s="2">
        <f t="shared" si="312"/>
        <v>6.00000000007</v>
      </c>
      <c r="CF186" s="2">
        <f t="shared" si="313"/>
        <v>6.00000000008</v>
      </c>
      <c r="CG186" s="2" t="b">
        <f>IF(BY186&gt;LARGE($BY186:$CF186,7),TRUE)</f>
        <v>1</v>
      </c>
      <c r="CH186" s="2" t="b">
        <f t="shared" ref="CH186:CN186" si="322">IF(BZ186&gt;LARGE($BY186:$CF186,7),TRUE)</f>
        <v>1</v>
      </c>
      <c r="CI186" s="2" t="b">
        <f t="shared" si="322"/>
        <v>1</v>
      </c>
      <c r="CJ186" s="2" t="b">
        <f t="shared" si="322"/>
        <v>0</v>
      </c>
      <c r="CK186" s="2" t="b">
        <f t="shared" si="322"/>
        <v>0</v>
      </c>
      <c r="CL186" s="2" t="b">
        <f t="shared" si="322"/>
        <v>1</v>
      </c>
      <c r="CM186" s="2" t="b">
        <f t="shared" si="322"/>
        <v>1</v>
      </c>
      <c r="CN186" s="2" t="b">
        <f t="shared" si="322"/>
        <v>1</v>
      </c>
      <c r="CO186" s="2">
        <v>1</v>
      </c>
      <c r="CP186" s="2">
        <v>1</v>
      </c>
      <c r="CQ186" s="2">
        <v>1</v>
      </c>
      <c r="CS186" s="2">
        <v>0</v>
      </c>
      <c r="CT186" s="2">
        <v>1</v>
      </c>
      <c r="CU186" s="2">
        <v>1</v>
      </c>
      <c r="CV186" s="2">
        <v>1</v>
      </c>
      <c r="CX186" s="2">
        <v>7</v>
      </c>
      <c r="CY186" s="2">
        <v>6</v>
      </c>
      <c r="CZ186" s="2">
        <v>5</v>
      </c>
      <c r="DB186" s="2" t="s">
        <v>324</v>
      </c>
      <c r="DC186" s="2">
        <v>7</v>
      </c>
      <c r="DD186" s="2">
        <v>6</v>
      </c>
      <c r="DE186" s="2">
        <v>6</v>
      </c>
      <c r="DF186" s="194">
        <f t="shared" si="252"/>
        <v>7.00000000004</v>
      </c>
      <c r="DG186" s="194">
        <f t="shared" si="253"/>
        <v>6.00000000002</v>
      </c>
      <c r="DH186" s="194">
        <f t="shared" si="254"/>
        <v>5.00000000003</v>
      </c>
      <c r="DJ186" s="194">
        <f t="shared" si="255"/>
        <v>0</v>
      </c>
      <c r="DK186" s="194">
        <f t="shared" si="256"/>
        <v>7.00000000006</v>
      </c>
      <c r="DL186" s="194">
        <f t="shared" si="257"/>
        <v>6.00000000007</v>
      </c>
      <c r="DM186" s="194">
        <f t="shared" si="258"/>
        <v>6.00000000008</v>
      </c>
      <c r="DN186" s="2">
        <f t="shared" si="314"/>
        <v>7.00000000004</v>
      </c>
      <c r="DO186" s="2">
        <f t="shared" si="315"/>
        <v>6.00000000002</v>
      </c>
      <c r="DP186" s="2">
        <f t="shared" si="316"/>
        <v>5.00000000003</v>
      </c>
      <c r="DR186" s="2">
        <f t="shared" si="317"/>
        <v>0</v>
      </c>
      <c r="DS186" s="2">
        <f t="shared" si="318"/>
        <v>7.00000000006</v>
      </c>
      <c r="DT186" s="2">
        <f t="shared" si="319"/>
        <v>6.00000000007</v>
      </c>
      <c r="DU186" s="2">
        <f t="shared" si="320"/>
        <v>6.00000000008</v>
      </c>
      <c r="DV186" s="2" t="b">
        <f>IF(DN186&gt;LARGE($DN186:$DU186,7),TRUE)</f>
        <v>1</v>
      </c>
      <c r="DW186" s="2" t="b">
        <f t="shared" ref="DW186:EC187" si="323">IF(DO186&gt;LARGE($DN186:$DU186,7),TRUE)</f>
        <v>1</v>
      </c>
      <c r="DX186" s="2" t="b">
        <f t="shared" si="323"/>
        <v>1</v>
      </c>
      <c r="DY186" s="2" t="b">
        <f t="shared" si="323"/>
        <v>0</v>
      </c>
      <c r="DZ186" s="2" t="b">
        <f t="shared" si="323"/>
        <v>0</v>
      </c>
      <c r="EA186" s="2" t="b">
        <f t="shared" si="323"/>
        <v>1</v>
      </c>
      <c r="EB186" s="2" t="b">
        <f t="shared" si="323"/>
        <v>1</v>
      </c>
      <c r="EC186" s="2" t="b">
        <f t="shared" si="323"/>
        <v>1</v>
      </c>
      <c r="ED186" s="2">
        <v>0</v>
      </c>
      <c r="EE186" s="2">
        <v>1</v>
      </c>
      <c r="EF186" s="2">
        <v>1</v>
      </c>
      <c r="EH186" s="2">
        <v>0.85699999999999998</v>
      </c>
      <c r="EI186" s="2">
        <v>1</v>
      </c>
      <c r="EJ186" s="2">
        <v>1</v>
      </c>
      <c r="EK186" s="2">
        <v>1</v>
      </c>
      <c r="EL186" s="2">
        <v>5</v>
      </c>
      <c r="EM186" s="2">
        <v>5</v>
      </c>
      <c r="EN186" s="2">
        <v>7</v>
      </c>
      <c r="EP186" s="2">
        <v>7</v>
      </c>
      <c r="EQ186" s="2">
        <v>7</v>
      </c>
      <c r="ER186" s="2">
        <v>7</v>
      </c>
      <c r="ES186" s="2">
        <v>6</v>
      </c>
      <c r="ET186" s="194">
        <f t="shared" si="266"/>
        <v>5.00000000004</v>
      </c>
      <c r="EU186" s="194">
        <f t="shared" si="267"/>
        <v>5.00000000002</v>
      </c>
      <c r="EV186" s="194">
        <f t="shared" si="268"/>
        <v>7.00000000003</v>
      </c>
      <c r="EW186" s="194">
        <f t="shared" si="269"/>
        <v>9.9999999999999994E-12</v>
      </c>
      <c r="EX186" s="194">
        <f t="shared" si="270"/>
        <v>7.00000000005</v>
      </c>
      <c r="EY186" s="194">
        <f t="shared" si="271"/>
        <v>7.00000000006</v>
      </c>
      <c r="EZ186" s="194">
        <f t="shared" si="272"/>
        <v>7.00000000007</v>
      </c>
      <c r="FA186" s="194">
        <f t="shared" si="273"/>
        <v>6.00000000008</v>
      </c>
      <c r="FB186" s="2">
        <f t="shared" si="299"/>
        <v>0</v>
      </c>
      <c r="FC186" s="2">
        <f t="shared" si="300"/>
        <v>5.00000000002</v>
      </c>
      <c r="FD186" s="2">
        <f t="shared" si="301"/>
        <v>7.00000000003</v>
      </c>
      <c r="FE186" s="2">
        <f t="shared" si="302"/>
        <v>0</v>
      </c>
      <c r="FF186" s="2">
        <f t="shared" si="303"/>
        <v>5.9990000000428498</v>
      </c>
      <c r="FG186" s="2">
        <f t="shared" si="304"/>
        <v>7.00000000006</v>
      </c>
      <c r="FH186" s="2">
        <f t="shared" si="305"/>
        <v>7.00000000007</v>
      </c>
      <c r="FI186" s="2">
        <f t="shared" si="306"/>
        <v>6.00000000008</v>
      </c>
      <c r="FJ186" s="2" t="b">
        <f>IF(FB186&gt;LARGE($FB186:$FI186,7),TRUE)</f>
        <v>0</v>
      </c>
      <c r="FK186" s="2" t="b">
        <f t="shared" ref="FK186:FQ187" si="324">IF(FC186&gt;LARGE($FB186:$FI186,7),TRUE)</f>
        <v>1</v>
      </c>
      <c r="FL186" s="2" t="b">
        <f t="shared" si="324"/>
        <v>1</v>
      </c>
      <c r="FM186" s="2" t="b">
        <f t="shared" si="324"/>
        <v>0</v>
      </c>
      <c r="FN186" s="2" t="b">
        <f t="shared" si="324"/>
        <v>1</v>
      </c>
      <c r="FO186" s="2" t="b">
        <f t="shared" si="324"/>
        <v>1</v>
      </c>
      <c r="FP186" s="2" t="b">
        <f t="shared" si="324"/>
        <v>1</v>
      </c>
      <c r="FQ186" s="2" t="b">
        <f t="shared" si="324"/>
        <v>1</v>
      </c>
    </row>
    <row r="187" spans="1:173" ht="15.6">
      <c r="A187" s="335" t="s">
        <v>439</v>
      </c>
      <c r="B187" s="346" t="s">
        <v>439</v>
      </c>
      <c r="C187" s="346" t="s">
        <v>227</v>
      </c>
      <c r="D187" s="346" t="s">
        <v>1293</v>
      </c>
      <c r="E187" s="346" t="s">
        <v>1298</v>
      </c>
      <c r="F187" s="2" t="s">
        <v>2397</v>
      </c>
      <c r="G187" s="2" t="s">
        <v>324</v>
      </c>
      <c r="H187" s="2">
        <v>41.5</v>
      </c>
      <c r="I187" s="2">
        <v>40.5</v>
      </c>
      <c r="J187" s="2">
        <v>40</v>
      </c>
      <c r="K187" s="435">
        <f t="shared" si="234"/>
        <v>41.50300000030645</v>
      </c>
      <c r="L187" s="435">
        <f t="shared" si="235"/>
        <v>40.499500000306426</v>
      </c>
      <c r="M187" s="435">
        <f t="shared" si="236"/>
        <v>40.000000000300005</v>
      </c>
      <c r="N187" s="346" t="s">
        <v>3049</v>
      </c>
      <c r="O187" s="346" t="s">
        <v>3050</v>
      </c>
      <c r="P187" s="346" t="s">
        <v>2372</v>
      </c>
      <c r="Q187" s="346" t="s">
        <v>324</v>
      </c>
      <c r="R187" s="346" t="s">
        <v>324</v>
      </c>
      <c r="S187" s="346" t="s">
        <v>1299</v>
      </c>
      <c r="T187" s="2" t="s">
        <v>1792</v>
      </c>
      <c r="U187" s="2">
        <v>30</v>
      </c>
      <c r="V187" s="2" cm="1">
        <f t="array" ref="V187">IFERROR(INDEX('Offer Statistics'!$BQ$2:$BQ$600,MATCH(1,(B187='Offer Statistics'!$BB$2:$BB$600)*($B$11='Offer Statistics'!$BC$2:$BC$600),0)),"/")</f>
        <v>32</v>
      </c>
      <c r="W187" s="2" cm="1">
        <f t="array" ref="W187">IFERROR(INDEX('Offer Statistics'!$BD$2:$BD$600,MATCH(1,($B187='Offer Statistics'!$BB$2:$BB$600)*($B$11='Offer Statistics'!$BC$2:$BC$600),0)),"/")</f>
        <v>82</v>
      </c>
      <c r="X187" s="2" cm="1">
        <f t="array" ref="X187">IFERROR(INDEX('Offer Statistics'!$BL$2:$BL$600,MATCH(1,($B187='Offer Statistics'!$BB$2:$BB$600)*($B$11='Offer Statistics'!$BC$2:$BC$600),0)),"/")</f>
        <v>32</v>
      </c>
      <c r="Y187" s="2">
        <f t="shared" si="215"/>
        <v>2.5625</v>
      </c>
      <c r="Z187" s="2" t="s">
        <v>713</v>
      </c>
      <c r="AA187" s="435" t="str">
        <f>入學要求!AF196</f>
        <v>以下一科選修取得Lv.3︰生物、化學 (優先考慮 同時修讀 者)</v>
      </c>
      <c r="AB187" s="435" t="str">
        <f>入學要求!AG196</f>
        <v>6科不低於40分，並至少有4科5**</v>
      </c>
      <c r="AC187" s="346" t="s">
        <v>2397</v>
      </c>
      <c r="AD187" s="346"/>
      <c r="AE187" s="346"/>
      <c r="AF187" s="346" t="s">
        <v>1296</v>
      </c>
      <c r="AG187" s="346" t="s">
        <v>1297</v>
      </c>
      <c r="AH187" s="346" t="s">
        <v>2372</v>
      </c>
      <c r="AI187" s="346" t="s">
        <v>324</v>
      </c>
      <c r="AJ187" s="346" t="s">
        <v>324</v>
      </c>
      <c r="AK187" s="2" t="s">
        <v>324</v>
      </c>
      <c r="AL187" s="2" t="s">
        <v>324</v>
      </c>
      <c r="AM187" s="2" t="s">
        <v>324</v>
      </c>
      <c r="AN187" s="2" t="s">
        <v>2373</v>
      </c>
      <c r="AO187" s="2" t="s">
        <v>324</v>
      </c>
      <c r="AP187" s="2" t="s">
        <v>2374</v>
      </c>
      <c r="AQ187" s="2" t="s">
        <v>2375</v>
      </c>
      <c r="AR187" s="2" t="s">
        <v>324</v>
      </c>
      <c r="AT187" s="2" t="s">
        <v>716</v>
      </c>
      <c r="AV187" s="2" t="s">
        <v>1214</v>
      </c>
      <c r="AZ187" s="2">
        <v>1</v>
      </c>
      <c r="BA187" s="2">
        <v>1</v>
      </c>
      <c r="BB187" s="2">
        <v>1</v>
      </c>
      <c r="BD187" s="2">
        <v>0</v>
      </c>
      <c r="BE187" s="2">
        <v>1</v>
      </c>
      <c r="BF187" s="2">
        <v>1</v>
      </c>
      <c r="BG187" s="2">
        <v>1</v>
      </c>
      <c r="BH187" s="2" t="str">
        <f t="shared" si="237"/>
        <v>JS4502</v>
      </c>
      <c r="BI187" s="197">
        <v>6</v>
      </c>
      <c r="BJ187" s="197">
        <v>7</v>
      </c>
      <c r="BK187" s="197">
        <v>6</v>
      </c>
      <c r="BL187" s="197" t="s">
        <v>324</v>
      </c>
      <c r="BM187" s="197" t="s">
        <v>324</v>
      </c>
      <c r="BN187" s="197">
        <v>7</v>
      </c>
      <c r="BO187" s="197">
        <v>7</v>
      </c>
      <c r="BP187" s="197">
        <v>7</v>
      </c>
      <c r="BQ187" s="194">
        <f t="shared" si="238"/>
        <v>6.00000000004</v>
      </c>
      <c r="BR187" s="194">
        <f t="shared" si="239"/>
        <v>7.00000000002</v>
      </c>
      <c r="BS187" s="194">
        <f t="shared" si="240"/>
        <v>6.00000000003</v>
      </c>
      <c r="BU187" s="194">
        <f t="shared" si="241"/>
        <v>0</v>
      </c>
      <c r="BV187" s="194">
        <f t="shared" si="242"/>
        <v>7.00000000006</v>
      </c>
      <c r="BW187" s="194">
        <f t="shared" si="243"/>
        <v>7.00000000007</v>
      </c>
      <c r="BX187" s="194">
        <f t="shared" si="244"/>
        <v>7.00000000008</v>
      </c>
      <c r="BY187" s="2">
        <f t="shared" si="307"/>
        <v>6.00000000004</v>
      </c>
      <c r="BZ187" s="2">
        <f t="shared" si="308"/>
        <v>7.00000000002</v>
      </c>
      <c r="CA187" s="2">
        <f t="shared" si="309"/>
        <v>6.00000000003</v>
      </c>
      <c r="CC187" s="2">
        <f t="shared" si="310"/>
        <v>0</v>
      </c>
      <c r="CD187" s="2">
        <f t="shared" si="311"/>
        <v>7.00000000006</v>
      </c>
      <c r="CE187" s="2">
        <f t="shared" si="312"/>
        <v>7.00000000007</v>
      </c>
      <c r="CF187" s="2">
        <f t="shared" si="313"/>
        <v>7.00000000008</v>
      </c>
      <c r="CG187" s="2" t="b">
        <f>IF(BY187&gt;LARGE($BY187:$CF187,7),TRUE)</f>
        <v>1</v>
      </c>
      <c r="CH187" s="2" t="b">
        <f t="shared" ref="CH187:CN187" si="325">IF(BZ187&gt;LARGE($BY187:$CF187,7),TRUE)</f>
        <v>1</v>
      </c>
      <c r="CI187" s="2" t="b">
        <f t="shared" si="325"/>
        <v>1</v>
      </c>
      <c r="CJ187" s="2" t="b">
        <f t="shared" si="325"/>
        <v>0</v>
      </c>
      <c r="CK187" s="2" t="b">
        <f t="shared" si="325"/>
        <v>0</v>
      </c>
      <c r="CL187" s="2" t="b">
        <f t="shared" si="325"/>
        <v>1</v>
      </c>
      <c r="CM187" s="2" t="b">
        <f t="shared" si="325"/>
        <v>1</v>
      </c>
      <c r="CN187" s="2" t="b">
        <f t="shared" si="325"/>
        <v>1</v>
      </c>
      <c r="CO187" s="2">
        <v>0</v>
      </c>
      <c r="CP187" s="2">
        <v>1</v>
      </c>
      <c r="CQ187" s="2">
        <v>1</v>
      </c>
      <c r="CS187" s="2">
        <v>0.92849999999999999</v>
      </c>
      <c r="CT187" s="2">
        <v>1</v>
      </c>
      <c r="CU187" s="2">
        <v>1</v>
      </c>
      <c r="CV187" s="2">
        <v>1</v>
      </c>
      <c r="CX187" s="2">
        <v>6</v>
      </c>
      <c r="CY187" s="2">
        <v>7</v>
      </c>
      <c r="CZ187" s="2">
        <v>6</v>
      </c>
      <c r="DB187" s="2">
        <v>7</v>
      </c>
      <c r="DC187" s="2">
        <v>7</v>
      </c>
      <c r="DD187" s="2">
        <v>7</v>
      </c>
      <c r="DE187" s="2">
        <v>7</v>
      </c>
      <c r="DF187" s="194">
        <f t="shared" si="252"/>
        <v>6.00000000004</v>
      </c>
      <c r="DG187" s="194">
        <f t="shared" si="253"/>
        <v>7.00000000002</v>
      </c>
      <c r="DH187" s="194">
        <f t="shared" si="254"/>
        <v>6.00000000003</v>
      </c>
      <c r="DJ187" s="194">
        <f t="shared" si="255"/>
        <v>7.00000000005</v>
      </c>
      <c r="DK187" s="194">
        <f t="shared" si="256"/>
        <v>7.00000000006</v>
      </c>
      <c r="DL187" s="194">
        <f t="shared" si="257"/>
        <v>7.00000000007</v>
      </c>
      <c r="DM187" s="194">
        <f t="shared" si="258"/>
        <v>7.00000000008</v>
      </c>
      <c r="DN187" s="2">
        <f t="shared" si="314"/>
        <v>0</v>
      </c>
      <c r="DO187" s="2">
        <f t="shared" si="315"/>
        <v>7.00000000002</v>
      </c>
      <c r="DP187" s="2">
        <f t="shared" si="316"/>
        <v>6.00000000003</v>
      </c>
      <c r="DR187" s="2">
        <f t="shared" si="317"/>
        <v>6.4995000000464254</v>
      </c>
      <c r="DS187" s="2">
        <f t="shared" si="318"/>
        <v>7.00000000006</v>
      </c>
      <c r="DT187" s="2">
        <f t="shared" si="319"/>
        <v>7.00000000007</v>
      </c>
      <c r="DU187" s="2">
        <f t="shared" si="320"/>
        <v>7.00000000008</v>
      </c>
      <c r="DV187" s="2" t="b">
        <f>IF(DN187&gt;LARGE($DN187:$DU187,7),TRUE)</f>
        <v>0</v>
      </c>
      <c r="DW187" s="2" t="b">
        <f t="shared" si="323"/>
        <v>1</v>
      </c>
      <c r="DX187" s="2" t="b">
        <f t="shared" si="323"/>
        <v>1</v>
      </c>
      <c r="DY187" s="2" t="b">
        <f t="shared" si="323"/>
        <v>0</v>
      </c>
      <c r="DZ187" s="2" t="b">
        <f t="shared" si="323"/>
        <v>1</v>
      </c>
      <c r="EA187" s="2" t="b">
        <f t="shared" si="323"/>
        <v>1</v>
      </c>
      <c r="EB187" s="2" t="b">
        <f t="shared" si="323"/>
        <v>1</v>
      </c>
      <c r="EC187" s="2" t="b">
        <f t="shared" si="323"/>
        <v>1</v>
      </c>
      <c r="ED187" s="2">
        <v>0</v>
      </c>
      <c r="EE187" s="2">
        <v>1</v>
      </c>
      <c r="EF187" s="2">
        <v>1</v>
      </c>
      <c r="EH187" s="2">
        <v>0.92900000000000005</v>
      </c>
      <c r="EI187" s="2">
        <v>1</v>
      </c>
      <c r="EJ187" s="2">
        <v>1</v>
      </c>
      <c r="EK187" s="2">
        <v>1</v>
      </c>
      <c r="EL187" s="2">
        <v>6</v>
      </c>
      <c r="EM187" s="2">
        <v>7</v>
      </c>
      <c r="EN187" s="2">
        <v>7</v>
      </c>
      <c r="EP187" s="2">
        <v>7</v>
      </c>
      <c r="EQ187" s="2">
        <v>7</v>
      </c>
      <c r="ER187" s="2">
        <v>7</v>
      </c>
      <c r="ES187" s="2">
        <v>7</v>
      </c>
      <c r="ET187" s="194">
        <f t="shared" si="266"/>
        <v>6.00000000004</v>
      </c>
      <c r="EU187" s="194">
        <f t="shared" si="267"/>
        <v>7.00000000002</v>
      </c>
      <c r="EV187" s="194">
        <f t="shared" si="268"/>
        <v>7.00000000003</v>
      </c>
      <c r="EW187" s="194">
        <f t="shared" si="269"/>
        <v>9.9999999999999994E-12</v>
      </c>
      <c r="EX187" s="194">
        <f t="shared" si="270"/>
        <v>7.00000000005</v>
      </c>
      <c r="EY187" s="194">
        <f t="shared" si="271"/>
        <v>7.00000000006</v>
      </c>
      <c r="EZ187" s="194">
        <f t="shared" si="272"/>
        <v>7.00000000007</v>
      </c>
      <c r="FA187" s="194">
        <f t="shared" si="273"/>
        <v>7.00000000008</v>
      </c>
      <c r="FB187" s="2">
        <f t="shared" si="299"/>
        <v>0</v>
      </c>
      <c r="FC187" s="2">
        <f t="shared" si="300"/>
        <v>7.00000000002</v>
      </c>
      <c r="FD187" s="2">
        <f t="shared" si="301"/>
        <v>7.00000000003</v>
      </c>
      <c r="FE187" s="2">
        <f t="shared" si="302"/>
        <v>0</v>
      </c>
      <c r="FF187" s="2">
        <f t="shared" si="303"/>
        <v>6.5030000000464501</v>
      </c>
      <c r="FG187" s="2">
        <f t="shared" si="304"/>
        <v>7.00000000006</v>
      </c>
      <c r="FH187" s="2">
        <f t="shared" si="305"/>
        <v>7.00000000007</v>
      </c>
      <c r="FI187" s="2">
        <f t="shared" si="306"/>
        <v>7.00000000008</v>
      </c>
      <c r="FJ187" s="2" t="b">
        <f>IF(FB187&gt;LARGE($FB187:$FI187,7),TRUE)</f>
        <v>0</v>
      </c>
      <c r="FK187" s="2" t="b">
        <f t="shared" si="324"/>
        <v>1</v>
      </c>
      <c r="FL187" s="2" t="b">
        <f t="shared" si="324"/>
        <v>1</v>
      </c>
      <c r="FM187" s="2" t="b">
        <f t="shared" si="324"/>
        <v>0</v>
      </c>
      <c r="FN187" s="2" t="b">
        <f t="shared" si="324"/>
        <v>1</v>
      </c>
      <c r="FO187" s="2" t="b">
        <f t="shared" si="324"/>
        <v>1</v>
      </c>
      <c r="FP187" s="2" t="b">
        <f t="shared" si="324"/>
        <v>1</v>
      </c>
      <c r="FQ187" s="2" t="b">
        <f t="shared" si="324"/>
        <v>1</v>
      </c>
    </row>
    <row r="188" spans="1:173" s="379" customFormat="1" ht="15.6">
      <c r="A188" s="335" t="s">
        <v>1300</v>
      </c>
      <c r="B188" s="346" t="s">
        <v>1300</v>
      </c>
      <c r="C188" s="346" t="s">
        <v>227</v>
      </c>
      <c r="D188" s="346" t="s">
        <v>1293</v>
      </c>
      <c r="E188" s="346" t="s">
        <v>1301</v>
      </c>
      <c r="F188" s="379" t="s">
        <v>785</v>
      </c>
      <c r="G188" s="379" t="s">
        <v>324</v>
      </c>
      <c r="H188" s="379">
        <v>30.1</v>
      </c>
      <c r="I188" s="379">
        <v>28.6</v>
      </c>
      <c r="J188" s="379">
        <v>27.1</v>
      </c>
      <c r="K188" s="435">
        <f t="shared" si="234"/>
        <v>30.100000000294003</v>
      </c>
      <c r="L188" s="435">
        <f t="shared" si="235"/>
        <v>28.600000000232001</v>
      </c>
      <c r="M188" s="435">
        <f t="shared" si="236"/>
        <v>27.100000000291999</v>
      </c>
      <c r="N188" s="346" t="s">
        <v>3051</v>
      </c>
      <c r="O188" s="346" t="s">
        <v>2274</v>
      </c>
      <c r="P188" s="346" t="s">
        <v>2398</v>
      </c>
      <c r="Q188" s="346" t="s">
        <v>324</v>
      </c>
      <c r="R188" s="346" t="s">
        <v>324</v>
      </c>
      <c r="S188" s="346" t="s">
        <v>1145</v>
      </c>
      <c r="T188" s="2" t="s">
        <v>1046</v>
      </c>
      <c r="U188" s="379">
        <v>217</v>
      </c>
      <c r="V188" s="2" cm="1">
        <f t="array" ref="V188">IFERROR(INDEX('Offer Statistics'!$BQ$2:$BQ$600,MATCH(1,(B188='Offer Statistics'!$BB$2:$BB$600)*($B$11='Offer Statistics'!$BC$2:$BC$600),0)),"/")</f>
        <v>212</v>
      </c>
      <c r="W188" s="2" cm="1">
        <f t="array" ref="W188">IFERROR(INDEX('Offer Statistics'!$BD$2:$BD$600,MATCH(1,($B188='Offer Statistics'!$BB$2:$BB$600)*($B$11='Offer Statistics'!$BC$2:$BC$600),0)),"/")</f>
        <v>694</v>
      </c>
      <c r="X188" s="2" cm="1">
        <f t="array" ref="X188">IFERROR(INDEX('Offer Statistics'!$BL$2:$BL$600,MATCH(1,($B188='Offer Statistics'!$BB$2:$BB$600)*($B$11='Offer Statistics'!$BC$2:$BC$600),0)),"/")</f>
        <v>212</v>
      </c>
      <c r="Y188" s="379">
        <f t="shared" si="215"/>
        <v>3.2735849056603774</v>
      </c>
      <c r="Z188" s="379" t="s">
        <v>1046</v>
      </c>
      <c r="AA188" s="435" t="str">
        <f>入學要求!AF197</f>
        <v>/</v>
      </c>
      <c r="AB188" s="435" t="str">
        <f>入學要求!AG197</f>
        <v>/</v>
      </c>
      <c r="AC188" s="427" t="s">
        <v>785</v>
      </c>
      <c r="AD188" s="427"/>
      <c r="AE188" s="346"/>
      <c r="AF188" s="346" t="s">
        <v>1302</v>
      </c>
      <c r="AG188" s="429" t="s">
        <v>2274</v>
      </c>
      <c r="AH188" s="346" t="s">
        <v>2398</v>
      </c>
      <c r="AI188" s="346" t="s">
        <v>324</v>
      </c>
      <c r="AJ188" s="346" t="s">
        <v>324</v>
      </c>
      <c r="AK188" s="379" t="s">
        <v>324</v>
      </c>
      <c r="AL188" s="379" t="s">
        <v>324</v>
      </c>
      <c r="AM188" s="379" t="s">
        <v>324</v>
      </c>
      <c r="AN188" s="379" t="s">
        <v>324</v>
      </c>
      <c r="AO188" s="379" t="s">
        <v>324</v>
      </c>
      <c r="AP188" s="379" t="s">
        <v>324</v>
      </c>
      <c r="AQ188" s="379" t="s">
        <v>324</v>
      </c>
      <c r="AR188" s="379" t="s">
        <v>324</v>
      </c>
      <c r="AT188" s="379" t="s">
        <v>716</v>
      </c>
      <c r="AV188" s="379" t="s">
        <v>713</v>
      </c>
      <c r="AZ188" s="379">
        <v>1</v>
      </c>
      <c r="BA188" s="379">
        <v>1</v>
      </c>
      <c r="BB188" s="379">
        <v>1</v>
      </c>
      <c r="BD188" s="379">
        <v>1</v>
      </c>
      <c r="BE188" s="379">
        <v>1.2</v>
      </c>
      <c r="BF188" s="379">
        <v>1</v>
      </c>
      <c r="BG188" s="379">
        <v>1</v>
      </c>
      <c r="BH188" s="2" t="str">
        <f t="shared" si="237"/>
        <v>JS4513</v>
      </c>
      <c r="BI188" s="197">
        <v>7</v>
      </c>
      <c r="BJ188" s="197">
        <v>4</v>
      </c>
      <c r="BK188" s="197">
        <v>5.5</v>
      </c>
      <c r="BL188" s="197" t="s">
        <v>324</v>
      </c>
      <c r="BM188" s="197" t="s">
        <v>324</v>
      </c>
      <c r="BN188" s="197">
        <v>5.5</v>
      </c>
      <c r="BO188" s="197">
        <v>4</v>
      </c>
      <c r="BP188" s="197">
        <v>4</v>
      </c>
      <c r="BQ188" s="380">
        <f t="shared" si="238"/>
        <v>7.00000000004</v>
      </c>
      <c r="BR188" s="380">
        <f t="shared" si="239"/>
        <v>4.00000000002</v>
      </c>
      <c r="BS188" s="380">
        <f t="shared" si="240"/>
        <v>5.50000000003</v>
      </c>
      <c r="BT188" s="380"/>
      <c r="BU188" s="380">
        <f t="shared" si="241"/>
        <v>0</v>
      </c>
      <c r="BV188" s="380">
        <f t="shared" si="242"/>
        <v>5.50000000006</v>
      </c>
      <c r="BW188" s="380">
        <f t="shared" si="243"/>
        <v>4.00000000007</v>
      </c>
      <c r="BX188" s="380">
        <f t="shared" si="244"/>
        <v>4.00000000008</v>
      </c>
      <c r="BY188" s="379">
        <f t="shared" si="307"/>
        <v>7.00000000004</v>
      </c>
      <c r="BZ188" s="379">
        <f t="shared" si="308"/>
        <v>4.00000000002</v>
      </c>
      <c r="CA188" s="379">
        <f t="shared" si="309"/>
        <v>5.50000000003</v>
      </c>
      <c r="CC188" s="379">
        <f t="shared" si="310"/>
        <v>0</v>
      </c>
      <c r="CD188" s="379">
        <f t="shared" si="311"/>
        <v>6.6000000000719998</v>
      </c>
      <c r="CE188" s="379">
        <f t="shared" si="312"/>
        <v>4.00000000007</v>
      </c>
      <c r="CF188" s="379">
        <f t="shared" si="313"/>
        <v>4.00000000008</v>
      </c>
      <c r="CG188" s="2" t="b">
        <f t="shared" si="245"/>
        <v>1</v>
      </c>
      <c r="CH188" s="2" t="b">
        <f t="shared" si="246"/>
        <v>0</v>
      </c>
      <c r="CI188" s="2" t="b">
        <f t="shared" si="247"/>
        <v>1</v>
      </c>
      <c r="CJ188" s="2"/>
      <c r="CK188" s="2" t="b">
        <f t="shared" si="248"/>
        <v>0</v>
      </c>
      <c r="CL188" s="2" t="b">
        <f t="shared" si="249"/>
        <v>1</v>
      </c>
      <c r="CM188" s="2" t="b">
        <f t="shared" si="250"/>
        <v>1</v>
      </c>
      <c r="CN188" s="2" t="b">
        <f t="shared" si="251"/>
        <v>1</v>
      </c>
      <c r="CO188" s="379">
        <v>1</v>
      </c>
      <c r="CP188" s="379">
        <v>1</v>
      </c>
      <c r="CQ188" s="379">
        <v>1</v>
      </c>
      <c r="CS188" s="379">
        <v>1</v>
      </c>
      <c r="CT188" s="379">
        <v>1.2</v>
      </c>
      <c r="CU188" s="379">
        <v>1</v>
      </c>
      <c r="CV188" s="379">
        <v>1</v>
      </c>
      <c r="CX188" s="379">
        <v>7</v>
      </c>
      <c r="CY188" s="379">
        <v>5.5</v>
      </c>
      <c r="CZ188" s="379">
        <v>4</v>
      </c>
      <c r="DB188" s="379" t="s">
        <v>324</v>
      </c>
      <c r="DC188" s="379">
        <v>5.5</v>
      </c>
      <c r="DD188" s="379">
        <v>5.5</v>
      </c>
      <c r="DE188" s="379">
        <v>3</v>
      </c>
      <c r="DF188" s="380">
        <f t="shared" si="252"/>
        <v>7.00000000004</v>
      </c>
      <c r="DG188" s="380">
        <f t="shared" si="253"/>
        <v>5.50000000002</v>
      </c>
      <c r="DH188" s="380">
        <f t="shared" si="254"/>
        <v>4.00000000003</v>
      </c>
      <c r="DI188" s="380"/>
      <c r="DJ188" s="380">
        <f t="shared" si="255"/>
        <v>0</v>
      </c>
      <c r="DK188" s="380">
        <f t="shared" si="256"/>
        <v>5.50000000006</v>
      </c>
      <c r="DL188" s="380">
        <f t="shared" si="257"/>
        <v>5.50000000007</v>
      </c>
      <c r="DM188" s="380">
        <f t="shared" si="258"/>
        <v>3.00000000008</v>
      </c>
      <c r="DN188" s="379">
        <f t="shared" si="314"/>
        <v>7.00000000004</v>
      </c>
      <c r="DO188" s="379">
        <f t="shared" si="315"/>
        <v>5.50000000002</v>
      </c>
      <c r="DP188" s="379">
        <f t="shared" si="316"/>
        <v>4.00000000003</v>
      </c>
      <c r="DR188" s="379">
        <f t="shared" si="317"/>
        <v>0</v>
      </c>
      <c r="DS188" s="379">
        <f t="shared" si="318"/>
        <v>6.6000000000719998</v>
      </c>
      <c r="DT188" s="379">
        <f t="shared" si="319"/>
        <v>5.50000000007</v>
      </c>
      <c r="DU188" s="379">
        <f t="shared" si="320"/>
        <v>3.00000000008</v>
      </c>
      <c r="DV188" s="2" t="b">
        <f t="shared" si="259"/>
        <v>1</v>
      </c>
      <c r="DW188" s="2" t="b">
        <f t="shared" si="260"/>
        <v>1</v>
      </c>
      <c r="DX188" s="2" t="b">
        <f t="shared" si="261"/>
        <v>1</v>
      </c>
      <c r="DY188" s="2"/>
      <c r="DZ188" s="2" t="b">
        <f t="shared" si="262"/>
        <v>0</v>
      </c>
      <c r="EA188" s="2" t="b">
        <f t="shared" si="263"/>
        <v>1</v>
      </c>
      <c r="EB188" s="2" t="b">
        <f t="shared" si="264"/>
        <v>1</v>
      </c>
      <c r="EC188" s="2" t="b">
        <f t="shared" si="265"/>
        <v>0</v>
      </c>
      <c r="ED188" s="379">
        <v>1</v>
      </c>
      <c r="EE188" s="379">
        <v>1</v>
      </c>
      <c r="EF188" s="379">
        <v>1</v>
      </c>
      <c r="EH188" s="379">
        <v>1</v>
      </c>
      <c r="EI188" s="379">
        <v>1</v>
      </c>
      <c r="EJ188" s="379">
        <v>1.2</v>
      </c>
      <c r="EK188" s="379">
        <v>1</v>
      </c>
      <c r="EL188" s="379">
        <v>7</v>
      </c>
      <c r="EM188" s="379">
        <v>4</v>
      </c>
      <c r="EN188" s="379">
        <v>5.5</v>
      </c>
      <c r="EP188" s="379" t="s">
        <v>324</v>
      </c>
      <c r="EQ188" s="379">
        <v>7</v>
      </c>
      <c r="ER188" s="379">
        <v>5.5</v>
      </c>
      <c r="ES188" s="379">
        <v>4</v>
      </c>
      <c r="ET188" s="380">
        <f t="shared" si="266"/>
        <v>7.00000000004</v>
      </c>
      <c r="EU188" s="380">
        <f t="shared" si="267"/>
        <v>4.00000000002</v>
      </c>
      <c r="EV188" s="380">
        <f t="shared" si="268"/>
        <v>5.50000000003</v>
      </c>
      <c r="EW188" s="380">
        <f t="shared" si="269"/>
        <v>9.9999999999999994E-12</v>
      </c>
      <c r="EX188" s="380">
        <f t="shared" si="270"/>
        <v>0</v>
      </c>
      <c r="EY188" s="380">
        <f t="shared" si="271"/>
        <v>7.00000000006</v>
      </c>
      <c r="EZ188" s="380">
        <f t="shared" si="272"/>
        <v>5.50000000007</v>
      </c>
      <c r="FA188" s="380">
        <f t="shared" si="273"/>
        <v>4.00000000008</v>
      </c>
      <c r="FB188" s="379">
        <f t="shared" si="299"/>
        <v>7.00000000004</v>
      </c>
      <c r="FC188" s="379">
        <f t="shared" si="300"/>
        <v>4.00000000002</v>
      </c>
      <c r="FD188" s="379">
        <f t="shared" si="301"/>
        <v>5.50000000003</v>
      </c>
      <c r="FE188" s="379">
        <f t="shared" si="302"/>
        <v>0</v>
      </c>
      <c r="FF188" s="379">
        <f t="shared" si="303"/>
        <v>0</v>
      </c>
      <c r="FG188" s="379">
        <f t="shared" si="304"/>
        <v>7.00000000006</v>
      </c>
      <c r="FH188" s="379">
        <f t="shared" si="305"/>
        <v>6.600000000084</v>
      </c>
      <c r="FI188" s="379">
        <f t="shared" si="306"/>
        <v>4.00000000008</v>
      </c>
      <c r="FJ188" s="2" t="b">
        <f t="shared" si="282"/>
        <v>1</v>
      </c>
      <c r="FK188" s="2" t="b">
        <f t="shared" si="283"/>
        <v>0</v>
      </c>
      <c r="FL188" s="2" t="b">
        <f t="shared" si="284"/>
        <v>1</v>
      </c>
      <c r="FM188" s="2" t="b">
        <f t="shared" si="285"/>
        <v>0</v>
      </c>
      <c r="FN188" s="2" t="b">
        <f t="shared" si="286"/>
        <v>0</v>
      </c>
      <c r="FO188" s="2" t="b">
        <f t="shared" si="287"/>
        <v>1</v>
      </c>
      <c r="FP188" s="2" t="b">
        <f t="shared" si="288"/>
        <v>1</v>
      </c>
      <c r="FQ188" s="2" t="b">
        <f t="shared" si="289"/>
        <v>1</v>
      </c>
    </row>
    <row r="189" spans="1:173" ht="15.6">
      <c r="A189" s="335" t="s">
        <v>1303</v>
      </c>
      <c r="B189" s="346" t="s">
        <v>1303</v>
      </c>
      <c r="C189" s="346" t="s">
        <v>227</v>
      </c>
      <c r="D189" s="346" t="s">
        <v>1293</v>
      </c>
      <c r="E189" s="346" t="s">
        <v>1304</v>
      </c>
      <c r="F189" s="2" t="s">
        <v>785</v>
      </c>
      <c r="G189" s="2" t="s">
        <v>324</v>
      </c>
      <c r="H189" s="2">
        <v>32</v>
      </c>
      <c r="I189" s="2">
        <v>30.5</v>
      </c>
      <c r="J189" s="2">
        <v>30.5</v>
      </c>
      <c r="K189" s="435">
        <f t="shared" si="234"/>
        <v>32.000000000220005</v>
      </c>
      <c r="L189" s="435">
        <f t="shared" si="235"/>
        <v>30.50000000028</v>
      </c>
      <c r="M189" s="435">
        <f t="shared" si="236"/>
        <v>30.500000000220002</v>
      </c>
      <c r="N189" s="346" t="s">
        <v>2403</v>
      </c>
      <c r="O189" s="346" t="s">
        <v>324</v>
      </c>
      <c r="P189" s="346" t="s">
        <v>324</v>
      </c>
      <c r="Q189" s="346" t="s">
        <v>324</v>
      </c>
      <c r="R189" s="346" t="s">
        <v>324</v>
      </c>
      <c r="S189" s="346" t="s">
        <v>1305</v>
      </c>
      <c r="T189" s="2" t="s">
        <v>1046</v>
      </c>
      <c r="U189" s="2">
        <v>59</v>
      </c>
      <c r="V189" s="2" cm="1">
        <f t="array" ref="V189">IFERROR(INDEX('Offer Statistics'!$BQ$2:$BQ$600,MATCH(1,(B189='Offer Statistics'!$BB$2:$BB$600)*($B$11='Offer Statistics'!$BC$2:$BC$600),0)),"/")</f>
        <v>59</v>
      </c>
      <c r="W189" s="2" cm="1">
        <f t="array" ref="W189">IFERROR(INDEX('Offer Statistics'!$BD$2:$BD$600,MATCH(1,($B189='Offer Statistics'!$BB$2:$BB$600)*($B$11='Offer Statistics'!$BC$2:$BC$600),0)),"/")</f>
        <v>343</v>
      </c>
      <c r="X189" s="2" cm="1">
        <f t="array" ref="X189">IFERROR(INDEX('Offer Statistics'!$BL$2:$BL$600,MATCH(1,($B189='Offer Statistics'!$BB$2:$BB$600)*($B$11='Offer Statistics'!$BC$2:$BC$600),0)),"/")</f>
        <v>59</v>
      </c>
      <c r="Y189" s="2">
        <f t="shared" si="215"/>
        <v>5.8135593220338979</v>
      </c>
      <c r="Z189" s="2" t="s">
        <v>1046</v>
      </c>
      <c r="AA189" s="435" t="str">
        <f>入學要求!AF198</f>
        <v>優先考慮修讀 化學 取得Lv.3或以上 者</v>
      </c>
      <c r="AB189" s="435" t="str">
        <f>入學要求!AG198</f>
        <v>由2026年開始，化學 需取得Lv.3或以上</v>
      </c>
      <c r="AC189" s="346" t="s">
        <v>785</v>
      </c>
      <c r="AD189" s="346"/>
      <c r="AE189" s="346"/>
      <c r="AF189" s="346" t="s">
        <v>2403</v>
      </c>
      <c r="AG189" s="346" t="s">
        <v>324</v>
      </c>
      <c r="AH189" s="346" t="s">
        <v>324</v>
      </c>
      <c r="AI189" s="346" t="s">
        <v>324</v>
      </c>
      <c r="AJ189" s="346" t="s">
        <v>324</v>
      </c>
      <c r="AK189" s="2" t="s">
        <v>324</v>
      </c>
      <c r="AL189" s="2" t="s">
        <v>324</v>
      </c>
      <c r="AM189" s="2" t="s">
        <v>324</v>
      </c>
      <c r="AN189" s="2" t="s">
        <v>324</v>
      </c>
      <c r="AO189" s="2" t="s">
        <v>324</v>
      </c>
      <c r="AP189" s="2" t="s">
        <v>2399</v>
      </c>
      <c r="AQ189" s="2" t="s">
        <v>324</v>
      </c>
      <c r="AR189" s="2" t="s">
        <v>324</v>
      </c>
      <c r="AT189" s="2" t="s">
        <v>716</v>
      </c>
      <c r="AV189" s="2" t="s">
        <v>1196</v>
      </c>
      <c r="AZ189" s="2">
        <v>1</v>
      </c>
      <c r="BA189" s="2">
        <v>1</v>
      </c>
      <c r="BB189" s="2">
        <v>1</v>
      </c>
      <c r="BD189" s="2">
        <v>1</v>
      </c>
      <c r="BE189" s="2">
        <v>1</v>
      </c>
      <c r="BF189" s="2">
        <v>1</v>
      </c>
      <c r="BG189" s="2">
        <v>1</v>
      </c>
      <c r="BH189" s="2" t="str">
        <f t="shared" si="237"/>
        <v>JS4525</v>
      </c>
      <c r="BI189" s="197">
        <v>4</v>
      </c>
      <c r="BJ189" s="197">
        <v>5.5</v>
      </c>
      <c r="BK189" s="197">
        <v>7</v>
      </c>
      <c r="BL189" s="197" t="s">
        <v>324</v>
      </c>
      <c r="BM189" s="197" t="s">
        <v>324</v>
      </c>
      <c r="BN189" s="197">
        <v>7</v>
      </c>
      <c r="BO189" s="197">
        <v>7</v>
      </c>
      <c r="BP189" s="197">
        <v>3</v>
      </c>
      <c r="BQ189" s="194">
        <f t="shared" si="238"/>
        <v>4.00000000004</v>
      </c>
      <c r="BR189" s="194">
        <f t="shared" si="239"/>
        <v>5.50000000002</v>
      </c>
      <c r="BS189" s="194">
        <f t="shared" si="240"/>
        <v>7.00000000003</v>
      </c>
      <c r="BU189" s="194">
        <f t="shared" si="241"/>
        <v>0</v>
      </c>
      <c r="BV189" s="194">
        <f t="shared" si="242"/>
        <v>7.00000000006</v>
      </c>
      <c r="BW189" s="194">
        <f t="shared" si="243"/>
        <v>7.00000000007</v>
      </c>
      <c r="BX189" s="194">
        <f t="shared" si="244"/>
        <v>3.00000000008</v>
      </c>
      <c r="BY189" s="2">
        <f t="shared" si="307"/>
        <v>4.00000000004</v>
      </c>
      <c r="BZ189" s="2">
        <f t="shared" si="308"/>
        <v>5.50000000002</v>
      </c>
      <c r="CA189" s="2">
        <f t="shared" si="309"/>
        <v>7.00000000003</v>
      </c>
      <c r="CC189" s="2">
        <f t="shared" si="310"/>
        <v>0</v>
      </c>
      <c r="CD189" s="2">
        <f t="shared" si="311"/>
        <v>7.00000000006</v>
      </c>
      <c r="CE189" s="2">
        <f t="shared" si="312"/>
        <v>7.00000000007</v>
      </c>
      <c r="CF189" s="2">
        <f t="shared" si="313"/>
        <v>3.00000000008</v>
      </c>
      <c r="CG189" s="2" t="b">
        <f t="shared" si="245"/>
        <v>1</v>
      </c>
      <c r="CH189" s="2" t="b">
        <f t="shared" si="246"/>
        <v>1</v>
      </c>
      <c r="CI189" s="2" t="b">
        <f t="shared" si="247"/>
        <v>1</v>
      </c>
      <c r="CK189" s="2" t="b">
        <f t="shared" si="248"/>
        <v>0</v>
      </c>
      <c r="CL189" s="2" t="b">
        <f t="shared" si="249"/>
        <v>1</v>
      </c>
      <c r="CM189" s="2" t="b">
        <f t="shared" si="250"/>
        <v>1</v>
      </c>
      <c r="CN189" s="2" t="b">
        <f t="shared" si="251"/>
        <v>0</v>
      </c>
      <c r="CO189" s="2">
        <v>1</v>
      </c>
      <c r="CP189" s="2">
        <v>1</v>
      </c>
      <c r="CQ189" s="2">
        <v>1</v>
      </c>
      <c r="CS189" s="2">
        <v>1</v>
      </c>
      <c r="CT189" s="2">
        <v>1</v>
      </c>
      <c r="CU189" s="2">
        <v>1</v>
      </c>
      <c r="CV189" s="2">
        <v>1</v>
      </c>
      <c r="CX189" s="2">
        <v>5.5</v>
      </c>
      <c r="CY189" s="2">
        <v>4</v>
      </c>
      <c r="CZ189" s="2">
        <v>5.5</v>
      </c>
      <c r="DB189" s="2" t="s">
        <v>324</v>
      </c>
      <c r="DC189" s="2">
        <v>8.5</v>
      </c>
      <c r="DD189" s="2">
        <v>5.5</v>
      </c>
      <c r="DE189" s="2">
        <v>5.5</v>
      </c>
      <c r="DF189" s="194">
        <f t="shared" si="252"/>
        <v>5.50000000004</v>
      </c>
      <c r="DG189" s="194">
        <f t="shared" si="253"/>
        <v>4.00000000002</v>
      </c>
      <c r="DH189" s="194">
        <f t="shared" si="254"/>
        <v>5.50000000003</v>
      </c>
      <c r="DJ189" s="194">
        <f t="shared" si="255"/>
        <v>0</v>
      </c>
      <c r="DK189" s="194">
        <f t="shared" si="256"/>
        <v>8.50000000006</v>
      </c>
      <c r="DL189" s="194">
        <f t="shared" si="257"/>
        <v>5.50000000007</v>
      </c>
      <c r="DM189" s="194">
        <f t="shared" si="258"/>
        <v>5.50000000008</v>
      </c>
      <c r="DN189" s="2">
        <f t="shared" si="314"/>
        <v>5.50000000004</v>
      </c>
      <c r="DO189" s="2">
        <f t="shared" si="315"/>
        <v>4.00000000002</v>
      </c>
      <c r="DP189" s="2">
        <f t="shared" si="316"/>
        <v>5.50000000003</v>
      </c>
      <c r="DR189" s="2">
        <f t="shared" si="317"/>
        <v>0</v>
      </c>
      <c r="DS189" s="2">
        <f t="shared" si="318"/>
        <v>8.50000000006</v>
      </c>
      <c r="DT189" s="2">
        <f t="shared" si="319"/>
        <v>5.50000000007</v>
      </c>
      <c r="DU189" s="2">
        <f t="shared" si="320"/>
        <v>5.50000000008</v>
      </c>
      <c r="DV189" s="2" t="b">
        <f t="shared" si="259"/>
        <v>1</v>
      </c>
      <c r="DW189" s="2" t="b">
        <f t="shared" si="260"/>
        <v>0</v>
      </c>
      <c r="DX189" s="2" t="b">
        <f t="shared" si="261"/>
        <v>1</v>
      </c>
      <c r="DZ189" s="2" t="b">
        <f t="shared" si="262"/>
        <v>0</v>
      </c>
      <c r="EA189" s="2" t="b">
        <f t="shared" si="263"/>
        <v>1</v>
      </c>
      <c r="EB189" s="2" t="b">
        <f t="shared" si="264"/>
        <v>1</v>
      </c>
      <c r="EC189" s="2" t="b">
        <f t="shared" si="265"/>
        <v>1</v>
      </c>
      <c r="ED189" s="2">
        <v>1</v>
      </c>
      <c r="EE189" s="2">
        <v>1</v>
      </c>
      <c r="EF189" s="2">
        <v>1</v>
      </c>
      <c r="EH189" s="2">
        <v>1</v>
      </c>
      <c r="EI189" s="2">
        <v>1</v>
      </c>
      <c r="EJ189" s="2">
        <v>1</v>
      </c>
      <c r="EK189" s="2">
        <v>1</v>
      </c>
      <c r="EL189" s="2">
        <v>8.5</v>
      </c>
      <c r="EM189" s="2">
        <v>5.5</v>
      </c>
      <c r="EN189" s="2">
        <v>5.5</v>
      </c>
      <c r="EP189" s="2" t="s">
        <v>324</v>
      </c>
      <c r="EQ189" s="2">
        <v>7</v>
      </c>
      <c r="ER189" s="2">
        <v>5.5</v>
      </c>
      <c r="ES189" s="2">
        <v>4</v>
      </c>
      <c r="ET189" s="194">
        <f t="shared" si="266"/>
        <v>8.50000000004</v>
      </c>
      <c r="EU189" s="194">
        <f t="shared" si="267"/>
        <v>5.50000000002</v>
      </c>
      <c r="EV189" s="194">
        <f t="shared" si="268"/>
        <v>5.50000000003</v>
      </c>
      <c r="EW189" s="194">
        <f t="shared" si="269"/>
        <v>9.9999999999999994E-12</v>
      </c>
      <c r="EX189" s="194">
        <f t="shared" si="270"/>
        <v>0</v>
      </c>
      <c r="EY189" s="194">
        <f t="shared" si="271"/>
        <v>7.00000000006</v>
      </c>
      <c r="EZ189" s="194">
        <f t="shared" si="272"/>
        <v>5.50000000007</v>
      </c>
      <c r="FA189" s="194">
        <f t="shared" si="273"/>
        <v>4.00000000008</v>
      </c>
      <c r="FB189" s="2">
        <f t="shared" si="299"/>
        <v>8.50000000004</v>
      </c>
      <c r="FC189" s="2">
        <f t="shared" si="300"/>
        <v>5.50000000002</v>
      </c>
      <c r="FD189" s="2">
        <f t="shared" si="301"/>
        <v>5.50000000003</v>
      </c>
      <c r="FE189" s="2">
        <f t="shared" si="302"/>
        <v>0</v>
      </c>
      <c r="FF189" s="2">
        <f t="shared" si="303"/>
        <v>0</v>
      </c>
      <c r="FG189" s="2">
        <f t="shared" si="304"/>
        <v>7.00000000006</v>
      </c>
      <c r="FH189" s="2">
        <f t="shared" si="305"/>
        <v>5.50000000007</v>
      </c>
      <c r="FI189" s="2">
        <f t="shared" si="306"/>
        <v>4.00000000008</v>
      </c>
      <c r="FJ189" s="2" t="b">
        <f t="shared" si="282"/>
        <v>1</v>
      </c>
      <c r="FK189" s="2" t="b">
        <f t="shared" si="283"/>
        <v>1</v>
      </c>
      <c r="FL189" s="2" t="b">
        <f t="shared" si="284"/>
        <v>1</v>
      </c>
      <c r="FM189" s="2" t="b">
        <f t="shared" si="285"/>
        <v>0</v>
      </c>
      <c r="FN189" s="2" t="b">
        <f t="shared" si="286"/>
        <v>0</v>
      </c>
      <c r="FO189" s="2" t="b">
        <f t="shared" si="287"/>
        <v>1</v>
      </c>
      <c r="FP189" s="2" t="b">
        <f t="shared" si="288"/>
        <v>1</v>
      </c>
      <c r="FQ189" s="2" t="b">
        <f t="shared" si="289"/>
        <v>0</v>
      </c>
    </row>
    <row r="190" spans="1:173" ht="15.6">
      <c r="A190" s="335" t="s">
        <v>1306</v>
      </c>
      <c r="B190" s="346" t="s">
        <v>1306</v>
      </c>
      <c r="C190" s="346" t="s">
        <v>227</v>
      </c>
      <c r="D190" s="346" t="s">
        <v>1293</v>
      </c>
      <c r="E190" s="346" t="s">
        <v>1307</v>
      </c>
      <c r="F190" s="2" t="s">
        <v>785</v>
      </c>
      <c r="G190" s="2" t="s">
        <v>324</v>
      </c>
      <c r="H190" s="2">
        <v>26</v>
      </c>
      <c r="I190" s="2">
        <v>24</v>
      </c>
      <c r="J190" s="2">
        <v>23</v>
      </c>
      <c r="K190" s="435">
        <f t="shared" si="234"/>
        <v>26.000000000259998</v>
      </c>
      <c r="L190" s="435">
        <f t="shared" si="235"/>
        <v>24.00000000028</v>
      </c>
      <c r="M190" s="435">
        <f t="shared" si="236"/>
        <v>23.00000000028</v>
      </c>
      <c r="N190" s="346" t="s">
        <v>324</v>
      </c>
      <c r="O190" s="346" t="s">
        <v>324</v>
      </c>
      <c r="P190" s="346" t="s">
        <v>324</v>
      </c>
      <c r="Q190" s="346" t="s">
        <v>324</v>
      </c>
      <c r="R190" s="346" t="s">
        <v>324</v>
      </c>
      <c r="S190" s="346" t="s">
        <v>1308</v>
      </c>
      <c r="T190" s="2" t="s">
        <v>1046</v>
      </c>
      <c r="U190" s="2">
        <v>31</v>
      </c>
      <c r="V190" s="2" cm="1">
        <f t="array" ref="V190">IFERROR(INDEX('Offer Statistics'!$BQ$2:$BQ$600,MATCH(1,(B190='Offer Statistics'!$BB$2:$BB$600)*($B$11='Offer Statistics'!$BC$2:$BC$600),0)),"/")</f>
        <v>15</v>
      </c>
      <c r="W190" s="2" cm="1">
        <f t="array" ref="W190">IFERROR(INDEX('Offer Statistics'!$BD$2:$BD$600,MATCH(1,($B190='Offer Statistics'!$BB$2:$BB$600)*($B$11='Offer Statistics'!$BC$2:$BC$600),0)),"/")</f>
        <v>94</v>
      </c>
      <c r="X190" s="2" cm="1">
        <f t="array" ref="X190">IFERROR(INDEX('Offer Statistics'!$BL$2:$BL$600,MATCH(1,($B190='Offer Statistics'!$BB$2:$BB$600)*($B$11='Offer Statistics'!$BC$2:$BC$600),0)),"/")</f>
        <v>15</v>
      </c>
      <c r="Y190" s="2">
        <f t="shared" si="215"/>
        <v>6.2666666666666666</v>
      </c>
      <c r="Z190" s="2" t="s">
        <v>1046</v>
      </c>
      <c r="AA190" s="435" t="str">
        <f>入學要求!AF199</f>
        <v>/</v>
      </c>
      <c r="AB190" s="435" t="str">
        <f>入學要求!AG199</f>
        <v>/</v>
      </c>
      <c r="AC190" s="431" t="s">
        <v>785</v>
      </c>
      <c r="AD190" s="431"/>
      <c r="AE190" s="431"/>
      <c r="AF190" s="431" t="s">
        <v>324</v>
      </c>
      <c r="AG190" s="431" t="s">
        <v>324</v>
      </c>
      <c r="AH190" s="431" t="s">
        <v>1377</v>
      </c>
      <c r="AI190" s="431" t="s">
        <v>3081</v>
      </c>
      <c r="AJ190" s="346" t="s">
        <v>324</v>
      </c>
      <c r="AK190" s="2" t="s">
        <v>324</v>
      </c>
      <c r="AL190" s="2" t="s">
        <v>324</v>
      </c>
      <c r="AM190" s="2" t="s">
        <v>324</v>
      </c>
      <c r="AN190" s="2" t="s">
        <v>324</v>
      </c>
      <c r="AO190" s="2" t="s">
        <v>324</v>
      </c>
      <c r="AP190" s="2" t="s">
        <v>324</v>
      </c>
      <c r="AQ190" s="2" t="s">
        <v>324</v>
      </c>
      <c r="AR190" s="2" t="s">
        <v>324</v>
      </c>
      <c r="AT190" s="2" t="s">
        <v>716</v>
      </c>
      <c r="AV190" s="2" t="s">
        <v>713</v>
      </c>
      <c r="AZ190" s="2">
        <v>1</v>
      </c>
      <c r="BA190" s="2">
        <v>1</v>
      </c>
      <c r="BB190" s="2">
        <v>1</v>
      </c>
      <c r="BD190" s="2">
        <v>1</v>
      </c>
      <c r="BE190" s="2">
        <v>1</v>
      </c>
      <c r="BF190" s="2">
        <v>1</v>
      </c>
      <c r="BG190" s="2">
        <v>1</v>
      </c>
      <c r="BH190" s="2" t="str">
        <f t="shared" si="237"/>
        <v>JS4537</v>
      </c>
      <c r="BI190" s="197">
        <v>5.5</v>
      </c>
      <c r="BJ190" s="197">
        <v>4</v>
      </c>
      <c r="BK190" s="197">
        <v>5.5</v>
      </c>
      <c r="BL190" s="197" t="s">
        <v>324</v>
      </c>
      <c r="BM190" s="197" t="s">
        <v>324</v>
      </c>
      <c r="BN190" s="197">
        <v>4</v>
      </c>
      <c r="BO190" s="197">
        <v>4</v>
      </c>
      <c r="BP190" s="197">
        <v>4</v>
      </c>
      <c r="BQ190" s="194">
        <f t="shared" si="238"/>
        <v>5.50000000004</v>
      </c>
      <c r="BR190" s="194">
        <f t="shared" si="239"/>
        <v>4.00000000002</v>
      </c>
      <c r="BS190" s="194">
        <f t="shared" si="240"/>
        <v>5.50000000003</v>
      </c>
      <c r="BU190" s="194">
        <f t="shared" si="241"/>
        <v>0</v>
      </c>
      <c r="BV190" s="194">
        <f t="shared" si="242"/>
        <v>4.00000000006</v>
      </c>
      <c r="BW190" s="194">
        <f t="shared" si="243"/>
        <v>4.00000000007</v>
      </c>
      <c r="BX190" s="194">
        <f t="shared" si="244"/>
        <v>4.00000000008</v>
      </c>
      <c r="BY190" s="2">
        <f t="shared" si="307"/>
        <v>5.50000000004</v>
      </c>
      <c r="BZ190" s="2">
        <f t="shared" si="308"/>
        <v>4.00000000002</v>
      </c>
      <c r="CA190" s="2">
        <f t="shared" si="309"/>
        <v>5.50000000003</v>
      </c>
      <c r="CC190" s="2">
        <f t="shared" si="310"/>
        <v>0</v>
      </c>
      <c r="CD190" s="2">
        <f t="shared" si="311"/>
        <v>4.00000000006</v>
      </c>
      <c r="CE190" s="2">
        <f t="shared" si="312"/>
        <v>4.00000000007</v>
      </c>
      <c r="CF190" s="2">
        <f t="shared" si="313"/>
        <v>4.00000000008</v>
      </c>
      <c r="CG190" s="2" t="b">
        <f t="shared" si="245"/>
        <v>1</v>
      </c>
      <c r="CH190" s="2" t="b">
        <f t="shared" si="246"/>
        <v>0</v>
      </c>
      <c r="CI190" s="2" t="b">
        <f t="shared" si="247"/>
        <v>1</v>
      </c>
      <c r="CK190" s="2" t="b">
        <f t="shared" si="248"/>
        <v>0</v>
      </c>
      <c r="CL190" s="2" t="b">
        <f t="shared" si="249"/>
        <v>1</v>
      </c>
      <c r="CM190" s="2" t="b">
        <f t="shared" si="250"/>
        <v>1</v>
      </c>
      <c r="CN190" s="2" t="b">
        <f t="shared" si="251"/>
        <v>1</v>
      </c>
      <c r="CO190" s="2">
        <v>1</v>
      </c>
      <c r="CP190" s="2">
        <v>1</v>
      </c>
      <c r="CQ190" s="2">
        <v>1</v>
      </c>
      <c r="CS190" s="2">
        <v>1</v>
      </c>
      <c r="CT190" s="2">
        <v>1</v>
      </c>
      <c r="CU190" s="2">
        <v>1</v>
      </c>
      <c r="CV190" s="2">
        <v>1</v>
      </c>
      <c r="CX190" s="2">
        <v>8.5</v>
      </c>
      <c r="CY190" s="2">
        <v>3</v>
      </c>
      <c r="CZ190" s="2">
        <v>3</v>
      </c>
      <c r="DB190" s="2" t="s">
        <v>324</v>
      </c>
      <c r="DC190" s="2">
        <v>5.5</v>
      </c>
      <c r="DD190" s="2">
        <v>4</v>
      </c>
      <c r="DE190" s="2">
        <v>3</v>
      </c>
      <c r="DF190" s="194">
        <f t="shared" si="252"/>
        <v>8.50000000004</v>
      </c>
      <c r="DG190" s="194">
        <f t="shared" si="253"/>
        <v>3.00000000002</v>
      </c>
      <c r="DH190" s="194">
        <f t="shared" si="254"/>
        <v>3.00000000003</v>
      </c>
      <c r="DJ190" s="194">
        <f t="shared" si="255"/>
        <v>0</v>
      </c>
      <c r="DK190" s="194">
        <f t="shared" si="256"/>
        <v>5.50000000006</v>
      </c>
      <c r="DL190" s="194">
        <f t="shared" si="257"/>
        <v>4.00000000007</v>
      </c>
      <c r="DM190" s="194">
        <f t="shared" si="258"/>
        <v>3.00000000008</v>
      </c>
      <c r="DN190" s="2">
        <f t="shared" si="314"/>
        <v>8.50000000004</v>
      </c>
      <c r="DO190" s="2">
        <f t="shared" si="315"/>
        <v>3.00000000002</v>
      </c>
      <c r="DP190" s="2">
        <f t="shared" si="316"/>
        <v>3.00000000003</v>
      </c>
      <c r="DR190" s="2">
        <f t="shared" si="317"/>
        <v>0</v>
      </c>
      <c r="DS190" s="2">
        <f t="shared" si="318"/>
        <v>5.50000000006</v>
      </c>
      <c r="DT190" s="2">
        <f t="shared" si="319"/>
        <v>4.00000000007</v>
      </c>
      <c r="DU190" s="2">
        <f t="shared" si="320"/>
        <v>3.00000000008</v>
      </c>
      <c r="DV190" s="2" t="b">
        <f t="shared" si="259"/>
        <v>1</v>
      </c>
      <c r="DW190" s="2" t="b">
        <f t="shared" si="260"/>
        <v>0</v>
      </c>
      <c r="DX190" s="2" t="b">
        <f t="shared" si="261"/>
        <v>1</v>
      </c>
      <c r="DZ190" s="2" t="b">
        <f t="shared" si="262"/>
        <v>0</v>
      </c>
      <c r="EA190" s="2" t="b">
        <f t="shared" si="263"/>
        <v>1</v>
      </c>
      <c r="EB190" s="2" t="b">
        <f t="shared" si="264"/>
        <v>1</v>
      </c>
      <c r="EC190" s="2" t="b">
        <f t="shared" si="265"/>
        <v>1</v>
      </c>
      <c r="ED190" s="2">
        <v>1</v>
      </c>
      <c r="EE190" s="2">
        <v>1</v>
      </c>
      <c r="EF190" s="2">
        <v>1</v>
      </c>
      <c r="EH190" s="2">
        <v>1</v>
      </c>
      <c r="EI190" s="2">
        <v>1</v>
      </c>
      <c r="EJ190" s="2">
        <v>1</v>
      </c>
      <c r="EK190" s="2">
        <v>1</v>
      </c>
      <c r="EL190" s="2">
        <v>3</v>
      </c>
      <c r="EM190" s="2">
        <v>5.5</v>
      </c>
      <c r="EN190" s="2">
        <v>4</v>
      </c>
      <c r="EP190" s="2" t="s">
        <v>324</v>
      </c>
      <c r="EQ190" s="2">
        <v>7</v>
      </c>
      <c r="ER190" s="2">
        <v>5.5</v>
      </c>
      <c r="ES190" s="2">
        <v>4</v>
      </c>
      <c r="ET190" s="194">
        <f t="shared" si="266"/>
        <v>3.00000000004</v>
      </c>
      <c r="EU190" s="194">
        <f t="shared" si="267"/>
        <v>5.50000000002</v>
      </c>
      <c r="EV190" s="194">
        <f t="shared" si="268"/>
        <v>4.00000000003</v>
      </c>
      <c r="EW190" s="194">
        <f t="shared" si="269"/>
        <v>9.9999999999999994E-12</v>
      </c>
      <c r="EX190" s="194">
        <f t="shared" si="270"/>
        <v>0</v>
      </c>
      <c r="EY190" s="194">
        <f t="shared" si="271"/>
        <v>7.00000000006</v>
      </c>
      <c r="EZ190" s="194">
        <f t="shared" si="272"/>
        <v>5.50000000007</v>
      </c>
      <c r="FA190" s="194">
        <f t="shared" si="273"/>
        <v>4.00000000008</v>
      </c>
      <c r="FB190" s="2">
        <f t="shared" si="299"/>
        <v>3.00000000004</v>
      </c>
      <c r="FC190" s="2">
        <f t="shared" si="300"/>
        <v>5.50000000002</v>
      </c>
      <c r="FD190" s="2">
        <f t="shared" si="301"/>
        <v>4.00000000003</v>
      </c>
      <c r="FE190" s="2">
        <f t="shared" si="302"/>
        <v>0</v>
      </c>
      <c r="FF190" s="2">
        <f t="shared" si="303"/>
        <v>0</v>
      </c>
      <c r="FG190" s="2">
        <f t="shared" si="304"/>
        <v>7.00000000006</v>
      </c>
      <c r="FH190" s="2">
        <f t="shared" si="305"/>
        <v>5.50000000007</v>
      </c>
      <c r="FI190" s="2">
        <f t="shared" si="306"/>
        <v>4.00000000008</v>
      </c>
      <c r="FJ190" s="2" t="b">
        <f t="shared" si="282"/>
        <v>0</v>
      </c>
      <c r="FK190" s="2" t="b">
        <f t="shared" si="283"/>
        <v>1</v>
      </c>
      <c r="FL190" s="2" t="b">
        <f t="shared" si="284"/>
        <v>1</v>
      </c>
      <c r="FM190" s="2" t="b">
        <f t="shared" si="285"/>
        <v>0</v>
      </c>
      <c r="FN190" s="2" t="b">
        <f t="shared" si="286"/>
        <v>0</v>
      </c>
      <c r="FO190" s="2" t="b">
        <f t="shared" si="287"/>
        <v>1</v>
      </c>
      <c r="FP190" s="2" t="b">
        <f t="shared" si="288"/>
        <v>1</v>
      </c>
      <c r="FQ190" s="2" t="b">
        <f t="shared" si="289"/>
        <v>1</v>
      </c>
    </row>
    <row r="191" spans="1:173" s="379" customFormat="1" ht="15.6">
      <c r="A191" s="335" t="s">
        <v>1309</v>
      </c>
      <c r="B191" s="346" t="s">
        <v>1309</v>
      </c>
      <c r="C191" s="346" t="s">
        <v>227</v>
      </c>
      <c r="D191" s="346" t="s">
        <v>1293</v>
      </c>
      <c r="E191" s="346" t="s">
        <v>1310</v>
      </c>
      <c r="F191" s="379" t="s">
        <v>785</v>
      </c>
      <c r="G191" s="379" t="s">
        <v>324</v>
      </c>
      <c r="H191" s="379">
        <v>32</v>
      </c>
      <c r="I191" s="379">
        <v>29</v>
      </c>
      <c r="J191" s="379">
        <v>29</v>
      </c>
      <c r="K191" s="435">
        <f t="shared" si="234"/>
        <v>32.000000000279996</v>
      </c>
      <c r="L191" s="435">
        <f t="shared" si="235"/>
        <v>29.00000000028</v>
      </c>
      <c r="M191" s="435">
        <f t="shared" si="236"/>
        <v>29.000000000220002</v>
      </c>
      <c r="N191" s="346" t="s">
        <v>3051</v>
      </c>
      <c r="O191" s="346" t="s">
        <v>2274</v>
      </c>
      <c r="P191" s="346" t="s">
        <v>324</v>
      </c>
      <c r="Q191" s="346" t="s">
        <v>324</v>
      </c>
      <c r="R191" s="346" t="s">
        <v>324</v>
      </c>
      <c r="S191" s="346" t="s">
        <v>1311</v>
      </c>
      <c r="T191" s="2" t="s">
        <v>1046</v>
      </c>
      <c r="U191" s="379">
        <v>20</v>
      </c>
      <c r="V191" s="2" cm="1">
        <f t="array" ref="V191">IFERROR(INDEX('Offer Statistics'!$BQ$2:$BQ$600,MATCH(1,(B191='Offer Statistics'!$BB$2:$BB$600)*($B$11='Offer Statistics'!$BC$2:$BC$600),0)),"/")</f>
        <v>25</v>
      </c>
      <c r="W191" s="2" cm="1">
        <f t="array" ref="W191">IFERROR(INDEX('Offer Statistics'!$BD$2:$BD$600,MATCH(1,($B191='Offer Statistics'!$BB$2:$BB$600)*($B$11='Offer Statistics'!$BC$2:$BC$600),0)),"/")</f>
        <v>202</v>
      </c>
      <c r="X191" s="2" cm="1">
        <f t="array" ref="X191">IFERROR(INDEX('Offer Statistics'!$BL$2:$BL$600,MATCH(1,($B191='Offer Statistics'!$BB$2:$BB$600)*($B$11='Offer Statistics'!$BC$2:$BC$600),0)),"/")</f>
        <v>25</v>
      </c>
      <c r="Y191" s="379">
        <f t="shared" si="215"/>
        <v>8.08</v>
      </c>
      <c r="Z191" s="379" t="s">
        <v>1046</v>
      </c>
      <c r="AA191" s="435" t="str">
        <f>入學要求!AF200</f>
        <v>/</v>
      </c>
      <c r="AB191" s="435" t="str">
        <f>入學要求!AG200</f>
        <v>/</v>
      </c>
      <c r="AC191" s="346" t="s">
        <v>785</v>
      </c>
      <c r="AD191" s="346"/>
      <c r="AE191" s="346"/>
      <c r="AF191" s="427" t="s">
        <v>1302</v>
      </c>
      <c r="AG191" s="427" t="s">
        <v>2274</v>
      </c>
      <c r="AH191" s="346" t="s">
        <v>324</v>
      </c>
      <c r="AI191" s="346" t="s">
        <v>324</v>
      </c>
      <c r="AJ191" s="346" t="s">
        <v>324</v>
      </c>
      <c r="AK191" s="379" t="s">
        <v>324</v>
      </c>
      <c r="AL191" s="379" t="s">
        <v>324</v>
      </c>
      <c r="AM191" s="379" t="s">
        <v>324</v>
      </c>
      <c r="AN191" s="379" t="s">
        <v>324</v>
      </c>
      <c r="AO191" s="379" t="s">
        <v>324</v>
      </c>
      <c r="AP191" s="379" t="s">
        <v>324</v>
      </c>
      <c r="AQ191" s="379" t="s">
        <v>324</v>
      </c>
      <c r="AR191" s="379" t="s">
        <v>324</v>
      </c>
      <c r="AT191" s="379" t="s">
        <v>716</v>
      </c>
      <c r="AV191" s="379" t="s">
        <v>713</v>
      </c>
      <c r="AZ191" s="379">
        <v>1</v>
      </c>
      <c r="BA191" s="379">
        <v>1</v>
      </c>
      <c r="BB191" s="379">
        <v>1</v>
      </c>
      <c r="BD191" s="379">
        <v>1</v>
      </c>
      <c r="BE191" s="379">
        <v>1</v>
      </c>
      <c r="BF191" s="379">
        <v>1</v>
      </c>
      <c r="BG191" s="379">
        <v>1</v>
      </c>
      <c r="BH191" s="2" t="str">
        <f t="shared" si="237"/>
        <v>JS4542</v>
      </c>
      <c r="BI191" s="197">
        <v>5.5</v>
      </c>
      <c r="BJ191" s="197">
        <v>5.5</v>
      </c>
      <c r="BK191" s="197">
        <v>5.5</v>
      </c>
      <c r="BL191" s="197" t="s">
        <v>324</v>
      </c>
      <c r="BM191" s="197">
        <v>3</v>
      </c>
      <c r="BN191" s="197">
        <v>7</v>
      </c>
      <c r="BO191" s="197">
        <v>5.5</v>
      </c>
      <c r="BP191" s="197" t="s">
        <v>324</v>
      </c>
      <c r="BQ191" s="380">
        <f t="shared" si="238"/>
        <v>5.50000000004</v>
      </c>
      <c r="BR191" s="380">
        <f t="shared" si="239"/>
        <v>5.50000000002</v>
      </c>
      <c r="BS191" s="380">
        <f t="shared" si="240"/>
        <v>5.50000000003</v>
      </c>
      <c r="BT191" s="380"/>
      <c r="BU191" s="380">
        <f t="shared" si="241"/>
        <v>3.00000000005</v>
      </c>
      <c r="BV191" s="380">
        <f t="shared" si="242"/>
        <v>7.00000000006</v>
      </c>
      <c r="BW191" s="380">
        <f t="shared" si="243"/>
        <v>5.50000000007</v>
      </c>
      <c r="BX191" s="380">
        <f t="shared" si="244"/>
        <v>0</v>
      </c>
      <c r="BY191" s="379">
        <f t="shared" si="307"/>
        <v>5.50000000004</v>
      </c>
      <c r="BZ191" s="379">
        <f t="shared" si="308"/>
        <v>5.50000000002</v>
      </c>
      <c r="CA191" s="379">
        <f t="shared" si="309"/>
        <v>5.50000000003</v>
      </c>
      <c r="CC191" s="379">
        <f t="shared" si="310"/>
        <v>3.00000000005</v>
      </c>
      <c r="CD191" s="379">
        <f t="shared" si="311"/>
        <v>7.00000000006</v>
      </c>
      <c r="CE191" s="379">
        <f t="shared" si="312"/>
        <v>5.50000000007</v>
      </c>
      <c r="CF191" s="379">
        <f t="shared" si="313"/>
        <v>0</v>
      </c>
      <c r="CG191" s="2" t="b">
        <f t="shared" si="245"/>
        <v>1</v>
      </c>
      <c r="CH191" s="2" t="b">
        <f t="shared" si="246"/>
        <v>1</v>
      </c>
      <c r="CI191" s="2" t="b">
        <f t="shared" si="247"/>
        <v>1</v>
      </c>
      <c r="CJ191" s="2"/>
      <c r="CK191" s="2" t="b">
        <f t="shared" si="248"/>
        <v>0</v>
      </c>
      <c r="CL191" s="2" t="b">
        <f t="shared" si="249"/>
        <v>1</v>
      </c>
      <c r="CM191" s="2" t="b">
        <f t="shared" si="250"/>
        <v>1</v>
      </c>
      <c r="CN191" s="2" t="b">
        <f t="shared" si="251"/>
        <v>0</v>
      </c>
      <c r="CO191" s="379">
        <v>1</v>
      </c>
      <c r="CP191" s="379">
        <v>1</v>
      </c>
      <c r="CQ191" s="379">
        <v>1</v>
      </c>
      <c r="CS191" s="379">
        <v>1</v>
      </c>
      <c r="CT191" s="379">
        <v>1</v>
      </c>
      <c r="CU191" s="379">
        <v>1</v>
      </c>
      <c r="CV191" s="379">
        <v>1</v>
      </c>
      <c r="CX191" s="379">
        <v>7</v>
      </c>
      <c r="CY191" s="379">
        <v>4</v>
      </c>
      <c r="CZ191" s="379">
        <v>4</v>
      </c>
      <c r="DB191" s="379" t="s">
        <v>324</v>
      </c>
      <c r="DC191" s="379">
        <v>7</v>
      </c>
      <c r="DD191" s="379">
        <v>5.5</v>
      </c>
      <c r="DE191" s="379">
        <v>5.5</v>
      </c>
      <c r="DF191" s="380">
        <f t="shared" si="252"/>
        <v>7.00000000004</v>
      </c>
      <c r="DG191" s="380">
        <f t="shared" si="253"/>
        <v>4.00000000002</v>
      </c>
      <c r="DH191" s="380">
        <f t="shared" si="254"/>
        <v>4.00000000003</v>
      </c>
      <c r="DI191" s="380"/>
      <c r="DJ191" s="380">
        <f t="shared" si="255"/>
        <v>0</v>
      </c>
      <c r="DK191" s="380">
        <f t="shared" si="256"/>
        <v>7.00000000006</v>
      </c>
      <c r="DL191" s="380">
        <f t="shared" si="257"/>
        <v>5.50000000007</v>
      </c>
      <c r="DM191" s="380">
        <f t="shared" si="258"/>
        <v>5.50000000008</v>
      </c>
      <c r="DN191" s="379">
        <f t="shared" si="314"/>
        <v>7.00000000004</v>
      </c>
      <c r="DO191" s="379">
        <f t="shared" si="315"/>
        <v>4.00000000002</v>
      </c>
      <c r="DP191" s="379">
        <f t="shared" si="316"/>
        <v>4.00000000003</v>
      </c>
      <c r="DR191" s="379">
        <f t="shared" si="317"/>
        <v>0</v>
      </c>
      <c r="DS191" s="379">
        <f t="shared" si="318"/>
        <v>7.00000000006</v>
      </c>
      <c r="DT191" s="379">
        <f t="shared" si="319"/>
        <v>5.50000000007</v>
      </c>
      <c r="DU191" s="379">
        <f t="shared" si="320"/>
        <v>5.50000000008</v>
      </c>
      <c r="DV191" s="2" t="b">
        <f t="shared" si="259"/>
        <v>1</v>
      </c>
      <c r="DW191" s="2" t="b">
        <f t="shared" si="260"/>
        <v>0</v>
      </c>
      <c r="DX191" s="2" t="b">
        <f t="shared" si="261"/>
        <v>1</v>
      </c>
      <c r="DY191" s="2"/>
      <c r="DZ191" s="2" t="b">
        <f t="shared" si="262"/>
        <v>0</v>
      </c>
      <c r="EA191" s="2" t="b">
        <f t="shared" si="263"/>
        <v>1</v>
      </c>
      <c r="EB191" s="2" t="b">
        <f t="shared" si="264"/>
        <v>1</v>
      </c>
      <c r="EC191" s="2" t="b">
        <f t="shared" si="265"/>
        <v>1</v>
      </c>
      <c r="ED191" s="379">
        <v>1</v>
      </c>
      <c r="EE191" s="379">
        <v>1</v>
      </c>
      <c r="EF191" s="379">
        <v>1</v>
      </c>
      <c r="EH191" s="379">
        <v>1</v>
      </c>
      <c r="EI191" s="379">
        <v>1</v>
      </c>
      <c r="EJ191" s="379">
        <v>1</v>
      </c>
      <c r="EK191" s="379">
        <v>1</v>
      </c>
      <c r="EL191" s="379">
        <v>7</v>
      </c>
      <c r="EM191" s="379">
        <v>4</v>
      </c>
      <c r="EN191" s="379">
        <v>4</v>
      </c>
      <c r="EP191" s="379" t="s">
        <v>324</v>
      </c>
      <c r="EQ191" s="379">
        <v>8.5</v>
      </c>
      <c r="ER191" s="379">
        <v>7</v>
      </c>
      <c r="ES191" s="379">
        <v>5.5</v>
      </c>
      <c r="ET191" s="380">
        <f t="shared" si="266"/>
        <v>7.00000000004</v>
      </c>
      <c r="EU191" s="380">
        <f t="shared" si="267"/>
        <v>4.00000000002</v>
      </c>
      <c r="EV191" s="380">
        <f t="shared" si="268"/>
        <v>4.00000000003</v>
      </c>
      <c r="EW191" s="380">
        <f t="shared" si="269"/>
        <v>9.9999999999999994E-12</v>
      </c>
      <c r="EX191" s="380">
        <f t="shared" si="270"/>
        <v>0</v>
      </c>
      <c r="EY191" s="380">
        <f t="shared" si="271"/>
        <v>8.50000000006</v>
      </c>
      <c r="EZ191" s="380">
        <f t="shared" si="272"/>
        <v>7.00000000007</v>
      </c>
      <c r="FA191" s="380">
        <f t="shared" si="273"/>
        <v>5.50000000008</v>
      </c>
      <c r="FB191" s="379">
        <f t="shared" si="299"/>
        <v>7.00000000004</v>
      </c>
      <c r="FC191" s="379">
        <f t="shared" si="300"/>
        <v>4.00000000002</v>
      </c>
      <c r="FD191" s="379">
        <f t="shared" si="301"/>
        <v>4.00000000003</v>
      </c>
      <c r="FE191" s="379">
        <f t="shared" si="302"/>
        <v>0</v>
      </c>
      <c r="FF191" s="379">
        <f t="shared" si="303"/>
        <v>0</v>
      </c>
      <c r="FG191" s="379">
        <f t="shared" si="304"/>
        <v>8.50000000006</v>
      </c>
      <c r="FH191" s="379">
        <f t="shared" si="305"/>
        <v>7.00000000007</v>
      </c>
      <c r="FI191" s="379">
        <f t="shared" si="306"/>
        <v>5.50000000008</v>
      </c>
      <c r="FJ191" s="2" t="b">
        <f t="shared" si="282"/>
        <v>1</v>
      </c>
      <c r="FK191" s="2" t="b">
        <f t="shared" si="283"/>
        <v>0</v>
      </c>
      <c r="FL191" s="2" t="b">
        <f t="shared" si="284"/>
        <v>1</v>
      </c>
      <c r="FM191" s="2" t="b">
        <f t="shared" si="285"/>
        <v>0</v>
      </c>
      <c r="FN191" s="2" t="b">
        <f t="shared" si="286"/>
        <v>0</v>
      </c>
      <c r="FO191" s="2" t="b">
        <f t="shared" si="287"/>
        <v>1</v>
      </c>
      <c r="FP191" s="2" t="b">
        <f t="shared" si="288"/>
        <v>1</v>
      </c>
      <c r="FQ191" s="2" t="b">
        <f t="shared" si="289"/>
        <v>1</v>
      </c>
    </row>
    <row r="192" spans="1:173" s="379" customFormat="1" ht="15.6">
      <c r="A192" s="335" t="s">
        <v>1312</v>
      </c>
      <c r="B192" s="346" t="s">
        <v>1312</v>
      </c>
      <c r="C192" s="346" t="s">
        <v>227</v>
      </c>
      <c r="D192" s="346" t="s">
        <v>1293</v>
      </c>
      <c r="E192" s="346" t="s">
        <v>1313</v>
      </c>
      <c r="F192" s="379" t="s">
        <v>2259</v>
      </c>
      <c r="G192" s="379" t="s">
        <v>324</v>
      </c>
      <c r="H192" s="379">
        <v>39.75</v>
      </c>
      <c r="I192" s="379">
        <v>38</v>
      </c>
      <c r="J192" s="379">
        <v>38</v>
      </c>
      <c r="K192" s="435">
        <f t="shared" si="234"/>
        <v>39.750000000260002</v>
      </c>
      <c r="L192" s="435">
        <f t="shared" si="235"/>
        <v>38.000000000295003</v>
      </c>
      <c r="M192" s="435">
        <f t="shared" si="236"/>
        <v>38.000000000285006</v>
      </c>
      <c r="N192" s="346" t="s">
        <v>2404</v>
      </c>
      <c r="O192" s="346" t="s">
        <v>324</v>
      </c>
      <c r="P192" s="346" t="s">
        <v>2401</v>
      </c>
      <c r="Q192" s="346" t="s">
        <v>324</v>
      </c>
      <c r="R192" s="346" t="s">
        <v>324</v>
      </c>
      <c r="S192" s="346" t="s">
        <v>1314</v>
      </c>
      <c r="T192" s="2" t="s">
        <v>1046</v>
      </c>
      <c r="U192" s="379">
        <v>19</v>
      </c>
      <c r="V192" s="2" cm="1">
        <f t="array" ref="V192">IFERROR(INDEX('Offer Statistics'!$BQ$2:$BQ$600,MATCH(1,(B192='Offer Statistics'!$BB$2:$BB$600)*($B$11='Offer Statistics'!$BC$2:$BC$600),0)),"/")</f>
        <v>17</v>
      </c>
      <c r="W192" s="2" cm="1">
        <f t="array" ref="W192">IFERROR(INDEX('Offer Statistics'!$BD$2:$BD$600,MATCH(1,($B192='Offer Statistics'!$BB$2:$BB$600)*($B$11='Offer Statistics'!$BC$2:$BC$600),0)),"/")</f>
        <v>165</v>
      </c>
      <c r="X192" s="2" cm="1">
        <f t="array" ref="X192">IFERROR(INDEX('Offer Statistics'!$BL$2:$BL$600,MATCH(1,($B192='Offer Statistics'!$BB$2:$BB$600)*($B$11='Offer Statistics'!$BC$2:$BC$600),0)),"/")</f>
        <v>17</v>
      </c>
      <c r="Y192" s="379">
        <f t="shared" si="215"/>
        <v>9.7058823529411757</v>
      </c>
      <c r="Z192" s="379" t="s">
        <v>1046</v>
      </c>
      <c r="AA192" s="435" t="str">
        <f>入學要求!AF201</f>
        <v>以下一科選修取得Lv.3︰生物、化學</v>
      </c>
      <c r="AB192" s="435" t="str">
        <f>入學要求!AG201</f>
        <v>/</v>
      </c>
      <c r="AC192" s="427" t="s">
        <v>2259</v>
      </c>
      <c r="AD192" s="346"/>
      <c r="AE192" s="346"/>
      <c r="AF192" s="427" t="s">
        <v>2404</v>
      </c>
      <c r="AG192" s="346" t="s">
        <v>324</v>
      </c>
      <c r="AH192" s="427" t="s">
        <v>2401</v>
      </c>
      <c r="AI192" s="346" t="s">
        <v>324</v>
      </c>
      <c r="AJ192" s="346" t="s">
        <v>324</v>
      </c>
      <c r="AK192" s="379" t="s">
        <v>324</v>
      </c>
      <c r="AL192" s="379" t="s">
        <v>324</v>
      </c>
      <c r="AM192" s="379" t="s">
        <v>324</v>
      </c>
      <c r="AN192" s="379" t="s">
        <v>324</v>
      </c>
      <c r="AO192" s="379" t="s">
        <v>324</v>
      </c>
      <c r="AP192" s="379" t="s">
        <v>324</v>
      </c>
      <c r="AQ192" s="379" t="s">
        <v>324</v>
      </c>
      <c r="AR192" s="379" t="s">
        <v>324</v>
      </c>
      <c r="AT192" s="379" t="s">
        <v>716</v>
      </c>
      <c r="AV192" s="379" t="s">
        <v>713</v>
      </c>
      <c r="AZ192" s="379">
        <v>1</v>
      </c>
      <c r="BA192" s="379">
        <v>1.5</v>
      </c>
      <c r="BB192" s="379">
        <v>1.5</v>
      </c>
      <c r="BD192" s="379">
        <v>1</v>
      </c>
      <c r="BE192" s="379">
        <v>1.5</v>
      </c>
      <c r="BF192" s="379">
        <v>1</v>
      </c>
      <c r="BG192" s="379">
        <v>1</v>
      </c>
      <c r="BH192" s="2" t="str">
        <f t="shared" si="237"/>
        <v>JS4550</v>
      </c>
      <c r="BI192" s="197">
        <v>7</v>
      </c>
      <c r="BJ192" s="197">
        <v>8.5</v>
      </c>
      <c r="BK192" s="197">
        <v>4</v>
      </c>
      <c r="BL192" s="197" t="s">
        <v>324</v>
      </c>
      <c r="BM192" s="197" t="s">
        <v>324</v>
      </c>
      <c r="BN192" s="197">
        <v>5.5</v>
      </c>
      <c r="BO192" s="197">
        <v>4</v>
      </c>
      <c r="BP192" s="197">
        <v>4</v>
      </c>
      <c r="BQ192" s="380">
        <f t="shared" si="238"/>
        <v>7.00000000004</v>
      </c>
      <c r="BR192" s="380">
        <f t="shared" si="239"/>
        <v>8.50000000002</v>
      </c>
      <c r="BS192" s="380">
        <f t="shared" si="240"/>
        <v>4.00000000003</v>
      </c>
      <c r="BT192" s="380"/>
      <c r="BU192" s="380">
        <f t="shared" si="241"/>
        <v>0</v>
      </c>
      <c r="BV192" s="380">
        <f t="shared" si="242"/>
        <v>5.50000000006</v>
      </c>
      <c r="BW192" s="380">
        <f t="shared" si="243"/>
        <v>4.00000000007</v>
      </c>
      <c r="BX192" s="380">
        <f t="shared" si="244"/>
        <v>4.00000000008</v>
      </c>
      <c r="BY192" s="379">
        <f t="shared" si="307"/>
        <v>7.00000000004</v>
      </c>
      <c r="BZ192" s="379">
        <f t="shared" si="308"/>
        <v>12.750000000029999</v>
      </c>
      <c r="CA192" s="379">
        <f t="shared" si="309"/>
        <v>6.0000000000450004</v>
      </c>
      <c r="CC192" s="379">
        <f t="shared" si="310"/>
        <v>0</v>
      </c>
      <c r="CD192" s="379">
        <f t="shared" si="311"/>
        <v>8.2500000000900009</v>
      </c>
      <c r="CE192" s="379">
        <f t="shared" si="312"/>
        <v>4.00000000007</v>
      </c>
      <c r="CF192" s="379">
        <f t="shared" si="313"/>
        <v>4.00000000008</v>
      </c>
      <c r="CG192" s="2" t="b">
        <f t="shared" si="245"/>
        <v>1</v>
      </c>
      <c r="CH192" s="2" t="b">
        <f t="shared" si="246"/>
        <v>1</v>
      </c>
      <c r="CI192" s="2" t="b">
        <f t="shared" si="247"/>
        <v>1</v>
      </c>
      <c r="CJ192" s="2"/>
      <c r="CK192" s="2" t="b">
        <f t="shared" si="248"/>
        <v>0</v>
      </c>
      <c r="CL192" s="2" t="b">
        <f t="shared" si="249"/>
        <v>1</v>
      </c>
      <c r="CM192" s="2" t="b">
        <f t="shared" si="250"/>
        <v>0</v>
      </c>
      <c r="CN192" s="2" t="b">
        <f t="shared" si="251"/>
        <v>1</v>
      </c>
      <c r="CO192" s="379">
        <v>1</v>
      </c>
      <c r="CP192" s="379">
        <v>1.5</v>
      </c>
      <c r="CQ192" s="379">
        <v>1.5</v>
      </c>
      <c r="CS192" s="379">
        <v>1</v>
      </c>
      <c r="CT192" s="379">
        <v>1</v>
      </c>
      <c r="CU192" s="379">
        <v>1</v>
      </c>
      <c r="CV192" s="379">
        <v>1.5</v>
      </c>
      <c r="CX192" s="379">
        <v>4</v>
      </c>
      <c r="CY192" s="379">
        <v>7</v>
      </c>
      <c r="CZ192" s="379">
        <v>7</v>
      </c>
      <c r="DB192" s="379" t="s">
        <v>324</v>
      </c>
      <c r="DC192" s="379">
        <v>7</v>
      </c>
      <c r="DD192" s="379">
        <v>5.5</v>
      </c>
      <c r="DE192" s="379">
        <v>4</v>
      </c>
      <c r="DF192" s="380">
        <f t="shared" si="252"/>
        <v>4.00000000004</v>
      </c>
      <c r="DG192" s="380">
        <f t="shared" si="253"/>
        <v>7.00000000002</v>
      </c>
      <c r="DH192" s="380">
        <f t="shared" si="254"/>
        <v>7.00000000003</v>
      </c>
      <c r="DI192" s="380"/>
      <c r="DJ192" s="380">
        <f t="shared" si="255"/>
        <v>0</v>
      </c>
      <c r="DK192" s="380">
        <f t="shared" si="256"/>
        <v>7.00000000006</v>
      </c>
      <c r="DL192" s="380">
        <f t="shared" si="257"/>
        <v>5.50000000007</v>
      </c>
      <c r="DM192" s="380">
        <f t="shared" si="258"/>
        <v>4.00000000008</v>
      </c>
      <c r="DN192" s="379">
        <f t="shared" si="314"/>
        <v>4.00000000004</v>
      </c>
      <c r="DO192" s="379">
        <f t="shared" si="315"/>
        <v>10.500000000029999</v>
      </c>
      <c r="DP192" s="379">
        <f t="shared" si="316"/>
        <v>10.500000000045</v>
      </c>
      <c r="DR192" s="379">
        <f t="shared" si="317"/>
        <v>0</v>
      </c>
      <c r="DS192" s="379">
        <f t="shared" si="318"/>
        <v>7.00000000006</v>
      </c>
      <c r="DT192" s="379">
        <f t="shared" si="319"/>
        <v>5.50000000007</v>
      </c>
      <c r="DU192" s="379">
        <f t="shared" si="320"/>
        <v>6.00000000012</v>
      </c>
      <c r="DV192" s="2" t="b">
        <v>1</v>
      </c>
      <c r="DW192" s="2" t="b">
        <v>1</v>
      </c>
      <c r="DX192" s="2" t="b">
        <v>1</v>
      </c>
      <c r="DY192" s="2"/>
      <c r="DZ192" s="2" t="b">
        <f>IF(DR192&gt;LARGE($DR192:$DU192,3),TRUE)</f>
        <v>0</v>
      </c>
      <c r="EA192" s="2" t="b">
        <f>IF(DS192&gt;LARGE($DR192:$DU192,3),TRUE)</f>
        <v>1</v>
      </c>
      <c r="EB192" s="2" t="b">
        <f>IF(DT192&gt;LARGE($DR192:$DU192,3),TRUE)</f>
        <v>0</v>
      </c>
      <c r="EC192" s="2" t="b">
        <f>IF(DU192&gt;LARGE($DR192:$DU192,3),TRUE)</f>
        <v>1</v>
      </c>
      <c r="ED192" s="379">
        <v>1</v>
      </c>
      <c r="EE192" s="379">
        <v>1.5</v>
      </c>
      <c r="EF192" s="379">
        <v>1</v>
      </c>
      <c r="EH192" s="379">
        <v>1</v>
      </c>
      <c r="EI192" s="379">
        <v>1.5</v>
      </c>
      <c r="EJ192" s="379">
        <v>1</v>
      </c>
      <c r="EK192" s="379">
        <v>1</v>
      </c>
      <c r="EL192" s="379">
        <v>4</v>
      </c>
      <c r="EM192" s="379">
        <v>8.5</v>
      </c>
      <c r="EN192" s="379">
        <v>5.5</v>
      </c>
      <c r="EP192" s="379" t="s">
        <v>324</v>
      </c>
      <c r="EQ192" s="379">
        <v>7</v>
      </c>
      <c r="ER192" s="379">
        <v>7</v>
      </c>
      <c r="ES192" s="379" t="s">
        <v>324</v>
      </c>
      <c r="ET192" s="380">
        <f t="shared" si="266"/>
        <v>4.00000000004</v>
      </c>
      <c r="EU192" s="380">
        <f t="shared" si="267"/>
        <v>8.50000000002</v>
      </c>
      <c r="EV192" s="380">
        <f t="shared" si="268"/>
        <v>5.50000000003</v>
      </c>
      <c r="EW192" s="380">
        <f t="shared" si="269"/>
        <v>9.9999999999999994E-12</v>
      </c>
      <c r="EX192" s="380">
        <f t="shared" si="270"/>
        <v>0</v>
      </c>
      <c r="EY192" s="380">
        <f t="shared" si="271"/>
        <v>7.00000000006</v>
      </c>
      <c r="EZ192" s="380">
        <f t="shared" si="272"/>
        <v>7.00000000007</v>
      </c>
      <c r="FA192" s="380">
        <f t="shared" si="273"/>
        <v>0</v>
      </c>
      <c r="FB192" s="379">
        <f t="shared" si="299"/>
        <v>4.00000000004</v>
      </c>
      <c r="FC192" s="379">
        <f t="shared" si="300"/>
        <v>12.750000000029999</v>
      </c>
      <c r="FD192" s="379">
        <f t="shared" si="301"/>
        <v>5.50000000003</v>
      </c>
      <c r="FE192" s="379">
        <f t="shared" si="302"/>
        <v>0</v>
      </c>
      <c r="FF192" s="379">
        <f t="shared" si="303"/>
        <v>0</v>
      </c>
      <c r="FG192" s="379">
        <f t="shared" si="304"/>
        <v>10.500000000090001</v>
      </c>
      <c r="FH192" s="379">
        <f t="shared" si="305"/>
        <v>7.00000000007</v>
      </c>
      <c r="FI192" s="379">
        <f t="shared" si="306"/>
        <v>0</v>
      </c>
      <c r="FJ192" s="2" t="b">
        <f t="shared" si="282"/>
        <v>1</v>
      </c>
      <c r="FK192" s="2" t="b">
        <f t="shared" si="283"/>
        <v>1</v>
      </c>
      <c r="FL192" s="2" t="b">
        <f t="shared" si="284"/>
        <v>1</v>
      </c>
      <c r="FM192" s="2" t="b">
        <f t="shared" si="285"/>
        <v>0</v>
      </c>
      <c r="FN192" s="2" t="b">
        <f t="shared" si="286"/>
        <v>0</v>
      </c>
      <c r="FO192" s="2" t="b">
        <f t="shared" si="287"/>
        <v>1</v>
      </c>
      <c r="FP192" s="2" t="b">
        <f t="shared" si="288"/>
        <v>1</v>
      </c>
      <c r="FQ192" s="2" t="b">
        <f t="shared" si="289"/>
        <v>0</v>
      </c>
    </row>
    <row r="193" spans="1:173" s="379" customFormat="1" ht="15.6">
      <c r="A193" s="335" t="s">
        <v>1315</v>
      </c>
      <c r="B193" s="346" t="s">
        <v>1315</v>
      </c>
      <c r="C193" s="346" t="s">
        <v>227</v>
      </c>
      <c r="D193" s="346" t="s">
        <v>865</v>
      </c>
      <c r="E193" s="346" t="s">
        <v>1316</v>
      </c>
      <c r="F193" s="379" t="s">
        <v>785</v>
      </c>
      <c r="G193" s="379" t="s">
        <v>324</v>
      </c>
      <c r="H193" s="379">
        <v>38.25</v>
      </c>
      <c r="I193" s="379">
        <v>35.5</v>
      </c>
      <c r="J193" s="379">
        <v>34.25</v>
      </c>
      <c r="K193" s="435">
        <f t="shared" si="234"/>
        <v>38.250000000375003</v>
      </c>
      <c r="L193" s="435">
        <f t="shared" si="235"/>
        <v>35.500000000370001</v>
      </c>
      <c r="M193" s="435">
        <f t="shared" si="236"/>
        <v>34.250000000375003</v>
      </c>
      <c r="N193" s="346"/>
      <c r="O193" s="346"/>
      <c r="P193" s="346" t="s">
        <v>2405</v>
      </c>
      <c r="Q193" s="346" t="s">
        <v>1318</v>
      </c>
      <c r="R193" s="346" t="s">
        <v>3052</v>
      </c>
      <c r="S193" s="346" t="s">
        <v>1317</v>
      </c>
      <c r="T193" s="2" t="s">
        <v>1046</v>
      </c>
      <c r="U193" s="379">
        <v>352</v>
      </c>
      <c r="V193" s="2" cm="1">
        <f t="array" ref="V193">IFERROR(INDEX('Offer Statistics'!$BQ$2:$BQ$600,MATCH(1,(B193='Offer Statistics'!$BB$2:$BB$600)*($B$11='Offer Statistics'!$BC$2:$BC$600),0)),"/")</f>
        <v>361</v>
      </c>
      <c r="W193" s="2" cm="1">
        <f t="array" ref="W193">IFERROR(INDEX('Offer Statistics'!$BD$2:$BD$600,MATCH(1,($B193='Offer Statistics'!$BB$2:$BB$600)*($B$11='Offer Statistics'!$BC$2:$BC$600),0)),"/")</f>
        <v>1428</v>
      </c>
      <c r="X193" s="2" cm="1">
        <f t="array" ref="X193">IFERROR(INDEX('Offer Statistics'!$BL$2:$BL$600,MATCH(1,($B193='Offer Statistics'!$BB$2:$BB$600)*($B$11='Offer Statistics'!$BC$2:$BC$600),0)),"/")</f>
        <v>361</v>
      </c>
      <c r="Y193" s="379">
        <f t="shared" si="215"/>
        <v>3.9556786703601108</v>
      </c>
      <c r="Z193" s="379" t="s">
        <v>1046</v>
      </c>
      <c r="AA193" s="435" t="str">
        <f>入學要求!AF202</f>
        <v>以下一科選修取得Lv.3︰M1/2、生物、化學、物理</v>
      </c>
      <c r="AB193" s="435" t="str">
        <f>入學要求!AG202</f>
        <v>/</v>
      </c>
      <c r="AC193" s="426" t="s">
        <v>785</v>
      </c>
      <c r="AD193" s="426"/>
      <c r="AE193" s="426"/>
      <c r="AF193" s="426"/>
      <c r="AG193" s="426"/>
      <c r="AH193" s="426" t="s">
        <v>2405</v>
      </c>
      <c r="AI193" s="426" t="s">
        <v>1318</v>
      </c>
      <c r="AJ193" s="426" t="s">
        <v>1319</v>
      </c>
      <c r="AK193" s="379" t="s">
        <v>324</v>
      </c>
      <c r="AL193" s="379" t="s">
        <v>324</v>
      </c>
      <c r="AM193" s="379" t="s">
        <v>324</v>
      </c>
      <c r="AN193" s="379" t="s">
        <v>324</v>
      </c>
      <c r="AO193" s="379" t="s">
        <v>324</v>
      </c>
      <c r="AP193" s="379" t="s">
        <v>324</v>
      </c>
      <c r="AQ193" s="379" t="s">
        <v>324</v>
      </c>
      <c r="AR193" s="379" t="s">
        <v>324</v>
      </c>
      <c r="AT193" s="379" t="s">
        <v>716</v>
      </c>
      <c r="AV193" s="379" t="s">
        <v>713</v>
      </c>
      <c r="AZ193" s="379">
        <v>1</v>
      </c>
      <c r="BA193" s="379">
        <v>1</v>
      </c>
      <c r="BB193" s="379">
        <v>1.5</v>
      </c>
      <c r="BD193" s="379">
        <v>2</v>
      </c>
      <c r="BE193" s="379">
        <v>2</v>
      </c>
      <c r="BF193" s="379">
        <v>1</v>
      </c>
      <c r="BG193" s="379">
        <v>1</v>
      </c>
      <c r="BH193" s="2" t="str">
        <f t="shared" si="237"/>
        <v>JS4601</v>
      </c>
      <c r="BI193" s="197">
        <v>3</v>
      </c>
      <c r="BJ193" s="197">
        <v>3</v>
      </c>
      <c r="BK193" s="197">
        <v>5.5</v>
      </c>
      <c r="BL193" s="197" t="s">
        <v>324</v>
      </c>
      <c r="BM193" s="197">
        <v>5.5</v>
      </c>
      <c r="BN193" s="197">
        <v>4</v>
      </c>
      <c r="BO193" s="197">
        <v>4</v>
      </c>
      <c r="BP193" s="197" t="s">
        <v>324</v>
      </c>
      <c r="BQ193" s="379">
        <f t="shared" si="238"/>
        <v>3.00000000004</v>
      </c>
      <c r="BR193" s="379">
        <f t="shared" si="239"/>
        <v>3.00000000002</v>
      </c>
      <c r="BS193" s="379">
        <f t="shared" si="240"/>
        <v>5.50000000003</v>
      </c>
      <c r="BU193" s="379">
        <f t="shared" si="241"/>
        <v>5.50000000005</v>
      </c>
      <c r="BV193" s="379">
        <f t="shared" si="242"/>
        <v>4.00000000006</v>
      </c>
      <c r="BW193" s="379">
        <f t="shared" si="243"/>
        <v>4.00000000007</v>
      </c>
      <c r="BX193" s="379">
        <f t="shared" si="244"/>
        <v>0</v>
      </c>
      <c r="BY193" s="379">
        <f t="shared" si="307"/>
        <v>3.00000000004</v>
      </c>
      <c r="BZ193" s="379">
        <f t="shared" si="308"/>
        <v>3.00000000002</v>
      </c>
      <c r="CA193" s="379">
        <f t="shared" si="309"/>
        <v>8.2500000000450004</v>
      </c>
      <c r="CC193" s="379">
        <f t="shared" si="310"/>
        <v>11.0000000001</v>
      </c>
      <c r="CD193" s="379">
        <f t="shared" si="311"/>
        <v>8.00000000012</v>
      </c>
      <c r="CE193" s="379">
        <f t="shared" si="312"/>
        <v>4.00000000007</v>
      </c>
      <c r="CF193" s="379">
        <f t="shared" si="313"/>
        <v>0</v>
      </c>
      <c r="CG193" s="2" t="b">
        <f t="shared" si="245"/>
        <v>1</v>
      </c>
      <c r="CH193" s="2" t="b">
        <f t="shared" si="246"/>
        <v>0</v>
      </c>
      <c r="CI193" s="2" t="b">
        <f t="shared" si="247"/>
        <v>1</v>
      </c>
      <c r="CJ193" s="2"/>
      <c r="CK193" s="2" t="b">
        <f t="shared" si="248"/>
        <v>1</v>
      </c>
      <c r="CL193" s="2" t="b">
        <f t="shared" si="249"/>
        <v>1</v>
      </c>
      <c r="CM193" s="2" t="b">
        <f t="shared" si="250"/>
        <v>1</v>
      </c>
      <c r="CN193" s="2" t="b">
        <f t="shared" si="251"/>
        <v>0</v>
      </c>
      <c r="CO193" s="379">
        <v>1</v>
      </c>
      <c r="CP193" s="379">
        <v>1</v>
      </c>
      <c r="CQ193" s="379">
        <v>1.5</v>
      </c>
      <c r="CS193" s="379">
        <v>1</v>
      </c>
      <c r="CT193" s="379">
        <v>2</v>
      </c>
      <c r="CU193" s="379">
        <v>1.5</v>
      </c>
      <c r="CV193" s="379">
        <v>1</v>
      </c>
      <c r="CX193" s="379">
        <v>3</v>
      </c>
      <c r="CY193" s="379">
        <v>4</v>
      </c>
      <c r="CZ193" s="379">
        <v>5.5</v>
      </c>
      <c r="DB193" s="379" t="s">
        <v>324</v>
      </c>
      <c r="DC193" s="379">
        <v>5.5</v>
      </c>
      <c r="DD193" s="379">
        <v>5.5</v>
      </c>
      <c r="DE193" s="379">
        <v>4</v>
      </c>
      <c r="DF193" s="379">
        <f t="shared" si="252"/>
        <v>3.00000000004</v>
      </c>
      <c r="DG193" s="379">
        <f t="shared" si="253"/>
        <v>4.00000000002</v>
      </c>
      <c r="DH193" s="379">
        <f t="shared" si="254"/>
        <v>5.50000000003</v>
      </c>
      <c r="DJ193" s="379">
        <f t="shared" si="255"/>
        <v>0</v>
      </c>
      <c r="DK193" s="379">
        <f t="shared" si="256"/>
        <v>5.50000000006</v>
      </c>
      <c r="DL193" s="379">
        <f t="shared" si="257"/>
        <v>5.50000000007</v>
      </c>
      <c r="DM193" s="379">
        <f t="shared" si="258"/>
        <v>4.00000000008</v>
      </c>
      <c r="DN193" s="379">
        <f t="shared" si="314"/>
        <v>3.00000000004</v>
      </c>
      <c r="DO193" s="379">
        <f t="shared" si="315"/>
        <v>4.00000000002</v>
      </c>
      <c r="DP193" s="379">
        <f t="shared" si="316"/>
        <v>8.2500000000450004</v>
      </c>
      <c r="DR193" s="379">
        <f t="shared" si="317"/>
        <v>0</v>
      </c>
      <c r="DS193" s="379">
        <f t="shared" si="318"/>
        <v>11.00000000012</v>
      </c>
      <c r="DT193" s="379">
        <f t="shared" si="319"/>
        <v>8.2500000001050005</v>
      </c>
      <c r="DU193" s="379">
        <f t="shared" si="320"/>
        <v>4.00000000008</v>
      </c>
      <c r="DV193" s="2" t="b">
        <f t="shared" si="259"/>
        <v>0</v>
      </c>
      <c r="DW193" s="2" t="b">
        <f t="shared" si="260"/>
        <v>1</v>
      </c>
      <c r="DX193" s="2" t="b">
        <f t="shared" si="261"/>
        <v>1</v>
      </c>
      <c r="DY193" s="2"/>
      <c r="DZ193" s="2" t="b">
        <f t="shared" si="262"/>
        <v>0</v>
      </c>
      <c r="EA193" s="2" t="b">
        <f t="shared" si="263"/>
        <v>1</v>
      </c>
      <c r="EB193" s="2" t="b">
        <f t="shared" si="264"/>
        <v>1</v>
      </c>
      <c r="EC193" s="2" t="b">
        <f t="shared" si="265"/>
        <v>1</v>
      </c>
      <c r="ED193" s="379">
        <v>1</v>
      </c>
      <c r="EE193" s="379">
        <v>1</v>
      </c>
      <c r="EF193" s="379">
        <v>1.5</v>
      </c>
      <c r="EH193" s="379">
        <v>2</v>
      </c>
      <c r="EI193" s="379">
        <v>2</v>
      </c>
      <c r="EJ193" s="379">
        <v>1</v>
      </c>
      <c r="EK193" s="379">
        <v>1</v>
      </c>
      <c r="EL193" s="379">
        <v>4</v>
      </c>
      <c r="EM193" s="379">
        <v>4</v>
      </c>
      <c r="EN193" s="379">
        <v>5.5</v>
      </c>
      <c r="EP193" s="379">
        <v>5.5</v>
      </c>
      <c r="EQ193" s="379">
        <v>5.5</v>
      </c>
      <c r="ER193" s="379">
        <v>4</v>
      </c>
      <c r="ES193" s="379" t="s">
        <v>324</v>
      </c>
      <c r="ET193" s="379">
        <f t="shared" si="266"/>
        <v>4.00000000004</v>
      </c>
      <c r="EU193" s="379">
        <f t="shared" si="267"/>
        <v>4.00000000002</v>
      </c>
      <c r="EV193" s="379">
        <f t="shared" si="268"/>
        <v>5.50000000003</v>
      </c>
      <c r="EW193" s="379">
        <f t="shared" si="269"/>
        <v>9.9999999999999994E-12</v>
      </c>
      <c r="EX193" s="379">
        <f t="shared" si="270"/>
        <v>5.50000000005</v>
      </c>
      <c r="EY193" s="379">
        <f t="shared" si="271"/>
        <v>5.50000000006</v>
      </c>
      <c r="EZ193" s="379">
        <f t="shared" si="272"/>
        <v>4.00000000007</v>
      </c>
      <c r="FA193" s="379">
        <f t="shared" si="273"/>
        <v>0</v>
      </c>
      <c r="FB193" s="379">
        <f t="shared" si="299"/>
        <v>4.00000000004</v>
      </c>
      <c r="FC193" s="379">
        <f t="shared" si="300"/>
        <v>4.00000000002</v>
      </c>
      <c r="FD193" s="379">
        <f t="shared" si="301"/>
        <v>8.2500000000450004</v>
      </c>
      <c r="FE193" s="379">
        <f t="shared" si="302"/>
        <v>0</v>
      </c>
      <c r="FF193" s="379">
        <f t="shared" si="303"/>
        <v>11.0000000001</v>
      </c>
      <c r="FG193" s="379">
        <f t="shared" si="304"/>
        <v>11.00000000012</v>
      </c>
      <c r="FH193" s="379">
        <f t="shared" si="305"/>
        <v>4.00000000007</v>
      </c>
      <c r="FI193" s="379">
        <f t="shared" si="306"/>
        <v>0</v>
      </c>
      <c r="FJ193" s="2" t="b">
        <f t="shared" si="282"/>
        <v>1</v>
      </c>
      <c r="FK193" s="2" t="b">
        <f t="shared" si="283"/>
        <v>0</v>
      </c>
      <c r="FL193" s="2" t="b">
        <f t="shared" si="284"/>
        <v>1</v>
      </c>
      <c r="FM193" s="2" t="b">
        <f t="shared" si="285"/>
        <v>0</v>
      </c>
      <c r="FN193" s="2" t="b">
        <f t="shared" si="286"/>
        <v>1</v>
      </c>
      <c r="FO193" s="2" t="b">
        <f t="shared" si="287"/>
        <v>1</v>
      </c>
      <c r="FP193" s="2" t="b">
        <f t="shared" si="288"/>
        <v>1</v>
      </c>
      <c r="FQ193" s="2" t="b">
        <f t="shared" si="289"/>
        <v>0</v>
      </c>
    </row>
    <row r="194" spans="1:173" s="379" customFormat="1" ht="13.95" customHeight="1">
      <c r="A194" s="335" t="s">
        <v>1956</v>
      </c>
      <c r="B194" s="346" t="s">
        <v>1956</v>
      </c>
      <c r="C194" s="346" t="s">
        <v>227</v>
      </c>
      <c r="D194" s="346" t="s">
        <v>865</v>
      </c>
      <c r="E194" s="346" t="s">
        <v>1320</v>
      </c>
      <c r="F194" s="379" t="s">
        <v>785</v>
      </c>
      <c r="G194" s="379" t="s">
        <v>324</v>
      </c>
      <c r="H194" s="379">
        <v>51.5</v>
      </c>
      <c r="I194" s="379">
        <v>45.25</v>
      </c>
      <c r="J194" s="379">
        <v>43.25</v>
      </c>
      <c r="K194" s="435">
        <f t="shared" si="234"/>
        <v>51.500000000485002</v>
      </c>
      <c r="L194" s="435">
        <f t="shared" si="235"/>
        <v>45.250000000365006</v>
      </c>
      <c r="M194" s="435">
        <f t="shared" si="236"/>
        <v>43.250000000490004</v>
      </c>
      <c r="N194" s="346" t="s">
        <v>324</v>
      </c>
      <c r="O194" s="346" t="s">
        <v>324</v>
      </c>
      <c r="P194" s="346" t="s">
        <v>2406</v>
      </c>
      <c r="Q194" s="346" t="s">
        <v>2407</v>
      </c>
      <c r="R194" s="346"/>
      <c r="S194" s="346" t="s">
        <v>1321</v>
      </c>
      <c r="T194" s="2" t="s">
        <v>1046</v>
      </c>
      <c r="U194" s="379">
        <v>35</v>
      </c>
      <c r="V194" s="2" cm="1">
        <f t="array" ref="V194">IFERROR(INDEX('Offer Statistics'!$BQ$2:$BQ$600,MATCH(1,(B194='Offer Statistics'!$BB$2:$BB$600)*($B$11='Offer Statistics'!$BC$2:$BC$600),0)),"/")</f>
        <v>35</v>
      </c>
      <c r="W194" s="2" cm="1">
        <f t="array" ref="W194">IFERROR(INDEX('Offer Statistics'!$BD$2:$BD$600,MATCH(1,($B194='Offer Statistics'!$BB$2:$BB$600)*($B$11='Offer Statistics'!$BC$2:$BC$600),0)),"/")</f>
        <v>168</v>
      </c>
      <c r="X194" s="2" cm="1">
        <f t="array" ref="X194">IFERROR(INDEX('Offer Statistics'!$BL$2:$BL$600,MATCH(1,($B194='Offer Statistics'!$BB$2:$BB$600)*($B$11='Offer Statistics'!$BC$2:$BC$600),0)),"/")</f>
        <v>35</v>
      </c>
      <c r="Y194" s="379">
        <f t="shared" si="215"/>
        <v>4.8</v>
      </c>
      <c r="Z194" s="379" t="s">
        <v>1046</v>
      </c>
      <c r="AA194" s="435" t="str">
        <f>入學要求!AF203</f>
        <v>以下一科選修取得Lv.4︰M1/2、生物、化學、地理、物理</v>
      </c>
      <c r="AB194" s="435" t="str">
        <f>入學要求!AG203</f>
        <v>/</v>
      </c>
      <c r="AC194" s="426" t="s">
        <v>785</v>
      </c>
      <c r="AD194" s="426"/>
      <c r="AE194" s="426"/>
      <c r="AF194" s="426" t="s">
        <v>324</v>
      </c>
      <c r="AG194" s="426" t="s">
        <v>324</v>
      </c>
      <c r="AH194" s="426" t="s">
        <v>2406</v>
      </c>
      <c r="AI194" s="426" t="s">
        <v>2407</v>
      </c>
      <c r="AJ194" s="426"/>
      <c r="AK194" s="379" t="s">
        <v>324</v>
      </c>
      <c r="AL194" s="379" t="s">
        <v>324</v>
      </c>
      <c r="AM194" s="379" t="s">
        <v>324</v>
      </c>
      <c r="AN194" s="379" t="s">
        <v>324</v>
      </c>
      <c r="AO194" s="379" t="s">
        <v>324</v>
      </c>
      <c r="AP194" s="379" t="s">
        <v>324</v>
      </c>
      <c r="AQ194" s="379" t="s">
        <v>324</v>
      </c>
      <c r="AR194" s="379" t="s">
        <v>324</v>
      </c>
      <c r="AT194" s="379" t="s">
        <v>716</v>
      </c>
      <c r="AV194" s="379" t="s">
        <v>713</v>
      </c>
      <c r="AZ194" s="379">
        <v>1</v>
      </c>
      <c r="BA194" s="379">
        <v>2</v>
      </c>
      <c r="BB194" s="379">
        <v>2</v>
      </c>
      <c r="BD194" s="379">
        <v>2</v>
      </c>
      <c r="BE194" s="379">
        <v>1.5</v>
      </c>
      <c r="BF194" s="379">
        <v>2</v>
      </c>
      <c r="BG194" s="379">
        <v>2</v>
      </c>
      <c r="BH194" s="2" t="str">
        <f t="shared" si="237"/>
        <v>JS4648</v>
      </c>
      <c r="BI194" s="197">
        <v>3</v>
      </c>
      <c r="BJ194" s="197">
        <v>4</v>
      </c>
      <c r="BK194" s="197">
        <v>4</v>
      </c>
      <c r="BL194" s="197" t="s">
        <v>324</v>
      </c>
      <c r="BM194" s="197" t="s">
        <v>324</v>
      </c>
      <c r="BN194" s="197">
        <v>5.5</v>
      </c>
      <c r="BO194" s="197">
        <v>5.5</v>
      </c>
      <c r="BP194" s="197">
        <v>4</v>
      </c>
      <c r="BQ194" s="380">
        <f t="shared" si="238"/>
        <v>3.00000000004</v>
      </c>
      <c r="BR194" s="380">
        <f t="shared" si="239"/>
        <v>4.00000000002</v>
      </c>
      <c r="BS194" s="380">
        <f t="shared" si="240"/>
        <v>4.00000000003</v>
      </c>
      <c r="BT194" s="380"/>
      <c r="BU194" s="380">
        <f t="shared" si="241"/>
        <v>0</v>
      </c>
      <c r="BV194" s="380">
        <f t="shared" si="242"/>
        <v>5.50000000006</v>
      </c>
      <c r="BW194" s="380">
        <f t="shared" si="243"/>
        <v>5.50000000007</v>
      </c>
      <c r="BX194" s="380">
        <f t="shared" si="244"/>
        <v>4.00000000008</v>
      </c>
      <c r="BY194" s="379">
        <f t="shared" si="307"/>
        <v>3.00000000004</v>
      </c>
      <c r="BZ194" s="379">
        <f t="shared" si="308"/>
        <v>8.00000000004</v>
      </c>
      <c r="CA194" s="379">
        <f t="shared" si="309"/>
        <v>8.00000000006</v>
      </c>
      <c r="CC194" s="379">
        <f t="shared" si="310"/>
        <v>0</v>
      </c>
      <c r="CD194" s="379">
        <f t="shared" si="311"/>
        <v>8.2500000000900009</v>
      </c>
      <c r="CE194" s="379">
        <f t="shared" si="312"/>
        <v>11.00000000014</v>
      </c>
      <c r="CF194" s="379">
        <f t="shared" si="313"/>
        <v>8.00000000016</v>
      </c>
      <c r="CG194" s="2" t="b">
        <f t="shared" si="245"/>
        <v>0</v>
      </c>
      <c r="CH194" s="2" t="b">
        <f t="shared" si="246"/>
        <v>1</v>
      </c>
      <c r="CI194" s="2" t="b">
        <f t="shared" si="247"/>
        <v>1</v>
      </c>
      <c r="CJ194" s="2"/>
      <c r="CK194" s="2" t="b">
        <f t="shared" si="248"/>
        <v>0</v>
      </c>
      <c r="CL194" s="2" t="b">
        <f t="shared" si="249"/>
        <v>1</v>
      </c>
      <c r="CM194" s="2" t="b">
        <f t="shared" si="250"/>
        <v>1</v>
      </c>
      <c r="CN194" s="2" t="b">
        <f t="shared" si="251"/>
        <v>1</v>
      </c>
      <c r="CO194" s="379">
        <v>1</v>
      </c>
      <c r="CP194" s="379">
        <v>2</v>
      </c>
      <c r="CQ194" s="379">
        <v>2</v>
      </c>
      <c r="CS194" s="379">
        <v>1.5</v>
      </c>
      <c r="CT194" s="379">
        <v>2</v>
      </c>
      <c r="CU194" s="379">
        <v>1</v>
      </c>
      <c r="CV194" s="379">
        <v>1</v>
      </c>
      <c r="CX194" s="382">
        <v>3</v>
      </c>
      <c r="CY194" s="382">
        <v>5.5</v>
      </c>
      <c r="CZ194" s="382">
        <v>5.5</v>
      </c>
      <c r="DA194" s="382"/>
      <c r="DB194" s="382">
        <v>5.5</v>
      </c>
      <c r="DC194" s="382">
        <v>5.5</v>
      </c>
      <c r="DD194" s="382">
        <v>4</v>
      </c>
      <c r="DE194" s="382" t="s">
        <v>324</v>
      </c>
      <c r="DF194" s="380">
        <f t="shared" si="252"/>
        <v>3.00000000004</v>
      </c>
      <c r="DG194" s="380">
        <f t="shared" si="253"/>
        <v>5.50000000002</v>
      </c>
      <c r="DH194" s="380">
        <f t="shared" si="254"/>
        <v>5.50000000003</v>
      </c>
      <c r="DI194" s="380"/>
      <c r="DJ194" s="380">
        <f t="shared" si="255"/>
        <v>5.50000000005</v>
      </c>
      <c r="DK194" s="380">
        <f t="shared" si="256"/>
        <v>5.50000000006</v>
      </c>
      <c r="DL194" s="380">
        <f t="shared" si="257"/>
        <v>4.00000000007</v>
      </c>
      <c r="DM194" s="380">
        <f t="shared" si="258"/>
        <v>0</v>
      </c>
      <c r="DN194" s="379">
        <f t="shared" si="314"/>
        <v>3.00000000004</v>
      </c>
      <c r="DO194" s="379">
        <f t="shared" si="315"/>
        <v>11.00000000004</v>
      </c>
      <c r="DP194" s="379">
        <f t="shared" si="316"/>
        <v>11.00000000006</v>
      </c>
      <c r="DR194" s="379">
        <f t="shared" si="317"/>
        <v>8.2500000000749996</v>
      </c>
      <c r="DS194" s="379">
        <f t="shared" si="318"/>
        <v>11.00000000012</v>
      </c>
      <c r="DT194" s="379">
        <f t="shared" si="319"/>
        <v>4.00000000007</v>
      </c>
      <c r="DU194" s="379">
        <f t="shared" si="320"/>
        <v>0</v>
      </c>
      <c r="DV194" s="2" t="b">
        <f t="shared" si="259"/>
        <v>0</v>
      </c>
      <c r="DW194" s="2" t="b">
        <f t="shared" si="260"/>
        <v>1</v>
      </c>
      <c r="DX194" s="2" t="b">
        <f t="shared" si="261"/>
        <v>1</v>
      </c>
      <c r="DY194" s="2"/>
      <c r="DZ194" s="2" t="b">
        <f t="shared" si="262"/>
        <v>1</v>
      </c>
      <c r="EA194" s="2" t="b">
        <f t="shared" si="263"/>
        <v>1</v>
      </c>
      <c r="EB194" s="2" t="b">
        <f t="shared" si="264"/>
        <v>1</v>
      </c>
      <c r="EC194" s="2" t="b">
        <f t="shared" si="265"/>
        <v>0</v>
      </c>
      <c r="ED194" s="379">
        <v>1</v>
      </c>
      <c r="EE194" s="379">
        <v>2</v>
      </c>
      <c r="EF194" s="379">
        <v>2</v>
      </c>
      <c r="EH194" s="379">
        <v>2</v>
      </c>
      <c r="EI194" s="379">
        <v>2</v>
      </c>
      <c r="EJ194" s="379">
        <v>1.5</v>
      </c>
      <c r="EK194" s="379">
        <v>2</v>
      </c>
      <c r="EL194" s="382">
        <v>4</v>
      </c>
      <c r="EM194" s="382">
        <v>4</v>
      </c>
      <c r="EN194" s="382">
        <v>5.5</v>
      </c>
      <c r="EO194" s="382"/>
      <c r="EP194" s="382" t="s">
        <v>324</v>
      </c>
      <c r="EQ194" s="382">
        <v>7</v>
      </c>
      <c r="ER194" s="382">
        <v>7</v>
      </c>
      <c r="ES194" s="382">
        <v>4</v>
      </c>
      <c r="ET194" s="380">
        <f t="shared" si="266"/>
        <v>4.00000000004</v>
      </c>
      <c r="EU194" s="380">
        <f t="shared" si="267"/>
        <v>4.00000000002</v>
      </c>
      <c r="EV194" s="380">
        <f t="shared" si="268"/>
        <v>5.50000000003</v>
      </c>
      <c r="EW194" s="380">
        <f t="shared" si="269"/>
        <v>9.9999999999999994E-12</v>
      </c>
      <c r="EX194" s="380">
        <f t="shared" si="270"/>
        <v>0</v>
      </c>
      <c r="EY194" s="380">
        <f t="shared" si="271"/>
        <v>7.00000000006</v>
      </c>
      <c r="EZ194" s="380">
        <f t="shared" si="272"/>
        <v>7.00000000007</v>
      </c>
      <c r="FA194" s="380">
        <f t="shared" si="273"/>
        <v>4.00000000008</v>
      </c>
      <c r="FB194" s="379">
        <f t="shared" si="299"/>
        <v>4.00000000004</v>
      </c>
      <c r="FC194" s="379">
        <f t="shared" si="300"/>
        <v>8.00000000004</v>
      </c>
      <c r="FD194" s="379">
        <f t="shared" si="301"/>
        <v>11.00000000006</v>
      </c>
      <c r="FE194" s="379">
        <f t="shared" si="302"/>
        <v>0</v>
      </c>
      <c r="FF194" s="379">
        <f t="shared" si="303"/>
        <v>0</v>
      </c>
      <c r="FG194" s="379">
        <f t="shared" si="304"/>
        <v>14.00000000012</v>
      </c>
      <c r="FH194" s="379">
        <f t="shared" si="305"/>
        <v>10.500000000105</v>
      </c>
      <c r="FI194" s="379">
        <f t="shared" si="306"/>
        <v>8.00000000016</v>
      </c>
      <c r="FJ194" s="2" t="b">
        <f t="shared" si="282"/>
        <v>0</v>
      </c>
      <c r="FK194" s="2" t="b">
        <f t="shared" si="283"/>
        <v>1</v>
      </c>
      <c r="FL194" s="2" t="b">
        <f t="shared" si="284"/>
        <v>1</v>
      </c>
      <c r="FM194" s="2" t="b">
        <f t="shared" si="285"/>
        <v>0</v>
      </c>
      <c r="FN194" s="2" t="b">
        <f t="shared" si="286"/>
        <v>0</v>
      </c>
      <c r="FO194" s="2" t="b">
        <f t="shared" si="287"/>
        <v>1</v>
      </c>
      <c r="FP194" s="2" t="b">
        <f t="shared" si="288"/>
        <v>1</v>
      </c>
      <c r="FQ194" s="2" t="b">
        <f t="shared" si="289"/>
        <v>1</v>
      </c>
    </row>
    <row r="195" spans="1:173" ht="15.6">
      <c r="A195" s="335" t="s">
        <v>1322</v>
      </c>
      <c r="B195" s="346" t="s">
        <v>1322</v>
      </c>
      <c r="C195" s="346" t="s">
        <v>227</v>
      </c>
      <c r="D195" s="346" t="s">
        <v>865</v>
      </c>
      <c r="E195" s="346" t="s">
        <v>1323</v>
      </c>
      <c r="F195" s="2" t="s">
        <v>785</v>
      </c>
      <c r="G195" s="2" t="s">
        <v>324</v>
      </c>
      <c r="H195" s="2">
        <v>57.75</v>
      </c>
      <c r="I195" s="2">
        <v>52.5</v>
      </c>
      <c r="J195" s="2">
        <v>49.5</v>
      </c>
      <c r="K195" s="435">
        <f t="shared" si="234"/>
        <v>57.750000000374996</v>
      </c>
      <c r="L195" s="435">
        <f t="shared" si="235"/>
        <v>52.500000000374996</v>
      </c>
      <c r="M195" s="435">
        <f t="shared" si="236"/>
        <v>49.500000000355001</v>
      </c>
      <c r="N195" s="346" t="s">
        <v>3053</v>
      </c>
      <c r="O195" s="346" t="s">
        <v>324</v>
      </c>
      <c r="P195" s="346" t="s">
        <v>1324</v>
      </c>
      <c r="Q195" s="346"/>
      <c r="R195" s="346" t="s">
        <v>324</v>
      </c>
      <c r="S195" s="346" t="s">
        <v>1325</v>
      </c>
      <c r="T195" s="2" t="s">
        <v>1046</v>
      </c>
      <c r="U195" s="2">
        <v>35</v>
      </c>
      <c r="V195" s="2" cm="1">
        <f t="array" ref="V195">IFERROR(INDEX('Offer Statistics'!$BQ$2:$BQ$600,MATCH(1,(B195='Offer Statistics'!$BB$2:$BB$600)*($B$11='Offer Statistics'!$BC$2:$BC$600),0)),"/")</f>
        <v>38</v>
      </c>
      <c r="W195" s="2" cm="1">
        <f t="array" ref="W195">IFERROR(INDEX('Offer Statistics'!$BD$2:$BD$600,MATCH(1,($B195='Offer Statistics'!$BB$2:$BB$600)*($B$11='Offer Statistics'!$BC$2:$BC$600),0)),"/")</f>
        <v>144</v>
      </c>
      <c r="X195" s="2" cm="1">
        <f t="array" ref="X195">IFERROR(INDEX('Offer Statistics'!$BL$2:$BL$600,MATCH(1,($B195='Offer Statistics'!$BB$2:$BB$600)*($B$11='Offer Statistics'!$BC$2:$BC$600),0)),"/")</f>
        <v>38</v>
      </c>
      <c r="Y195" s="2">
        <f t="shared" si="215"/>
        <v>3.7894736842105261</v>
      </c>
      <c r="Z195" s="2" t="s">
        <v>1046</v>
      </c>
      <c r="AA195" s="435" t="str">
        <f>入學要求!AF204</f>
        <v>以下一科選修取得Lv.3︰生物、化學、經濟、地理、ICT、物理、科技與生活</v>
      </c>
      <c r="AB195" s="435" t="str">
        <f>入學要求!AG204</f>
        <v>M1/2 需考獲Lv.4或以上</v>
      </c>
      <c r="AC195" s="426" t="s">
        <v>785</v>
      </c>
      <c r="AD195" s="426"/>
      <c r="AE195" s="426"/>
      <c r="AF195" s="426" t="s">
        <v>1326</v>
      </c>
      <c r="AG195" s="426" t="s">
        <v>324</v>
      </c>
      <c r="AH195" s="426" t="s">
        <v>1324</v>
      </c>
      <c r="AI195" s="426"/>
      <c r="AJ195" s="426" t="s">
        <v>324</v>
      </c>
      <c r="AK195" s="2" t="s">
        <v>324</v>
      </c>
      <c r="AL195" s="2" t="s">
        <v>324</v>
      </c>
      <c r="AM195" s="2" t="s">
        <v>324</v>
      </c>
      <c r="AN195" s="2" t="s">
        <v>324</v>
      </c>
      <c r="AO195" s="2" t="s">
        <v>324</v>
      </c>
      <c r="AP195" s="2" t="s">
        <v>324</v>
      </c>
      <c r="AQ195" s="2" t="s">
        <v>324</v>
      </c>
      <c r="AR195" s="2" t="s">
        <v>324</v>
      </c>
      <c r="AT195" s="2" t="s">
        <v>716</v>
      </c>
      <c r="AV195" s="2" t="s">
        <v>713</v>
      </c>
      <c r="AZ195" s="2">
        <v>1</v>
      </c>
      <c r="BA195" s="2">
        <v>1</v>
      </c>
      <c r="BB195" s="2">
        <v>1</v>
      </c>
      <c r="BD195" s="2">
        <v>3.5</v>
      </c>
      <c r="BE195" s="2">
        <v>1</v>
      </c>
      <c r="BF195" s="2">
        <v>1</v>
      </c>
      <c r="BG195" s="2">
        <v>1</v>
      </c>
      <c r="BH195" s="2" t="str">
        <f t="shared" si="237"/>
        <v>JS4682</v>
      </c>
      <c r="BI195" s="197">
        <v>4</v>
      </c>
      <c r="BJ195" s="197">
        <v>5.5</v>
      </c>
      <c r="BK195" s="197">
        <v>8.5</v>
      </c>
      <c r="BL195" s="197" t="s">
        <v>324</v>
      </c>
      <c r="BM195" s="197">
        <v>7</v>
      </c>
      <c r="BN195" s="197">
        <v>5.5</v>
      </c>
      <c r="BO195" s="197">
        <v>5.5</v>
      </c>
      <c r="BP195" s="197" t="s">
        <v>324</v>
      </c>
      <c r="BQ195" s="194">
        <f t="shared" si="238"/>
        <v>4.00000000004</v>
      </c>
      <c r="BR195" s="194">
        <f t="shared" si="239"/>
        <v>5.50000000002</v>
      </c>
      <c r="BS195" s="194">
        <f t="shared" si="240"/>
        <v>8.5000000000299991</v>
      </c>
      <c r="BU195" s="194">
        <f t="shared" si="241"/>
        <v>7.00000000005</v>
      </c>
      <c r="BV195" s="194">
        <f t="shared" si="242"/>
        <v>5.50000000006</v>
      </c>
      <c r="BW195" s="194">
        <f t="shared" si="243"/>
        <v>5.50000000007</v>
      </c>
      <c r="BX195" s="194">
        <f t="shared" si="244"/>
        <v>0</v>
      </c>
      <c r="BY195" s="2">
        <f t="shared" si="307"/>
        <v>4.00000000004</v>
      </c>
      <c r="BZ195" s="2">
        <f t="shared" si="308"/>
        <v>5.50000000002</v>
      </c>
      <c r="CA195" s="2">
        <f t="shared" si="309"/>
        <v>8.5000000000299991</v>
      </c>
      <c r="CC195" s="2">
        <f t="shared" si="310"/>
        <v>24.500000000175</v>
      </c>
      <c r="CD195" s="2">
        <f t="shared" si="311"/>
        <v>5.50000000006</v>
      </c>
      <c r="CE195" s="2">
        <f t="shared" si="312"/>
        <v>5.50000000007</v>
      </c>
      <c r="CF195" s="2">
        <f t="shared" si="313"/>
        <v>0</v>
      </c>
      <c r="CG195" s="2" t="b">
        <f t="shared" si="245"/>
        <v>0</v>
      </c>
      <c r="CH195" s="2" t="b">
        <f t="shared" si="246"/>
        <v>1</v>
      </c>
      <c r="CI195" s="2" t="b">
        <f t="shared" si="247"/>
        <v>1</v>
      </c>
      <c r="CK195" s="2" t="b">
        <f t="shared" si="248"/>
        <v>1</v>
      </c>
      <c r="CL195" s="2" t="b">
        <f t="shared" si="249"/>
        <v>1</v>
      </c>
      <c r="CM195" s="2" t="b">
        <f t="shared" si="250"/>
        <v>1</v>
      </c>
      <c r="CN195" s="2" t="b">
        <f t="shared" si="251"/>
        <v>0</v>
      </c>
      <c r="CO195" s="2">
        <v>1</v>
      </c>
      <c r="CP195" s="2">
        <v>1</v>
      </c>
      <c r="CQ195" s="2">
        <v>1</v>
      </c>
      <c r="CS195" s="2">
        <v>3.5</v>
      </c>
      <c r="CT195" s="2">
        <v>1</v>
      </c>
      <c r="CU195" s="2">
        <v>1</v>
      </c>
      <c r="CV195" s="2">
        <v>1</v>
      </c>
      <c r="CX195" s="2">
        <v>7</v>
      </c>
      <c r="CY195" s="2">
        <v>5.5</v>
      </c>
      <c r="CZ195" s="2">
        <v>7</v>
      </c>
      <c r="DB195" s="2">
        <v>7</v>
      </c>
      <c r="DC195" s="2">
        <v>7</v>
      </c>
      <c r="DD195" s="2">
        <v>7</v>
      </c>
      <c r="DE195" s="2" t="s">
        <v>324</v>
      </c>
      <c r="DF195" s="194">
        <f t="shared" si="252"/>
        <v>7.00000000004</v>
      </c>
      <c r="DG195" s="194">
        <f t="shared" si="253"/>
        <v>5.50000000002</v>
      </c>
      <c r="DH195" s="194">
        <f t="shared" si="254"/>
        <v>7.00000000003</v>
      </c>
      <c r="DJ195" s="194">
        <f t="shared" si="255"/>
        <v>7.00000000005</v>
      </c>
      <c r="DK195" s="194">
        <f t="shared" si="256"/>
        <v>7.00000000006</v>
      </c>
      <c r="DL195" s="194">
        <f t="shared" si="257"/>
        <v>7.00000000007</v>
      </c>
      <c r="DM195" s="194">
        <f t="shared" si="258"/>
        <v>0</v>
      </c>
      <c r="DN195" s="2">
        <f t="shared" si="314"/>
        <v>7.00000000004</v>
      </c>
      <c r="DO195" s="2">
        <f t="shared" si="315"/>
        <v>5.50000000002</v>
      </c>
      <c r="DP195" s="2">
        <f t="shared" si="316"/>
        <v>7.00000000003</v>
      </c>
      <c r="DR195" s="2">
        <f t="shared" si="317"/>
        <v>24.500000000175</v>
      </c>
      <c r="DS195" s="2">
        <f t="shared" si="318"/>
        <v>7.00000000006</v>
      </c>
      <c r="DT195" s="2">
        <f t="shared" si="319"/>
        <v>7.00000000007</v>
      </c>
      <c r="DU195" s="2">
        <f t="shared" si="320"/>
        <v>0</v>
      </c>
      <c r="DV195" s="2" t="b">
        <f t="shared" si="259"/>
        <v>1</v>
      </c>
      <c r="DW195" s="2" t="b">
        <f t="shared" si="260"/>
        <v>0</v>
      </c>
      <c r="DX195" s="2" t="b">
        <f t="shared" si="261"/>
        <v>1</v>
      </c>
      <c r="DZ195" s="2" t="b">
        <f t="shared" si="262"/>
        <v>1</v>
      </c>
      <c r="EA195" s="2" t="b">
        <f t="shared" si="263"/>
        <v>1</v>
      </c>
      <c r="EB195" s="2" t="b">
        <f t="shared" si="264"/>
        <v>1</v>
      </c>
      <c r="EC195" s="2" t="b">
        <f t="shared" si="265"/>
        <v>0</v>
      </c>
      <c r="ED195" s="2">
        <v>1</v>
      </c>
      <c r="EE195" s="2">
        <v>1</v>
      </c>
      <c r="EF195" s="2">
        <v>1</v>
      </c>
      <c r="EH195" s="2">
        <v>3.5</v>
      </c>
      <c r="EI195" s="2">
        <v>1</v>
      </c>
      <c r="EJ195" s="2">
        <v>1</v>
      </c>
      <c r="EK195" s="2">
        <v>1</v>
      </c>
      <c r="EL195" s="2">
        <v>5.5</v>
      </c>
      <c r="EM195" s="2">
        <v>5.5</v>
      </c>
      <c r="EN195" s="2">
        <v>8.5</v>
      </c>
      <c r="EP195" s="2">
        <v>8.5</v>
      </c>
      <c r="EQ195" s="2">
        <v>7</v>
      </c>
      <c r="ER195" s="2">
        <v>7</v>
      </c>
      <c r="ES195" s="2" t="s">
        <v>324</v>
      </c>
      <c r="ET195" s="194">
        <f t="shared" si="266"/>
        <v>5.50000000004</v>
      </c>
      <c r="EU195" s="194">
        <f t="shared" si="267"/>
        <v>5.50000000002</v>
      </c>
      <c r="EV195" s="194">
        <f t="shared" si="268"/>
        <v>8.5000000000299991</v>
      </c>
      <c r="EW195" s="194">
        <f t="shared" si="269"/>
        <v>9.9999999999999994E-12</v>
      </c>
      <c r="EX195" s="194">
        <f t="shared" si="270"/>
        <v>8.5000000000499991</v>
      </c>
      <c r="EY195" s="194">
        <f t="shared" si="271"/>
        <v>7.00000000006</v>
      </c>
      <c r="EZ195" s="194">
        <f t="shared" si="272"/>
        <v>7.00000000007</v>
      </c>
      <c r="FA195" s="194">
        <f t="shared" si="273"/>
        <v>0</v>
      </c>
      <c r="FB195" s="2">
        <f t="shared" si="299"/>
        <v>5.50000000004</v>
      </c>
      <c r="FC195" s="2">
        <f t="shared" si="300"/>
        <v>5.50000000002</v>
      </c>
      <c r="FD195" s="2">
        <f t="shared" si="301"/>
        <v>8.5000000000299991</v>
      </c>
      <c r="FE195" s="2">
        <f t="shared" si="302"/>
        <v>0</v>
      </c>
      <c r="FF195" s="2">
        <f t="shared" si="303"/>
        <v>29.750000000174996</v>
      </c>
      <c r="FG195" s="2">
        <f t="shared" si="304"/>
        <v>7.00000000006</v>
      </c>
      <c r="FH195" s="2">
        <f t="shared" si="305"/>
        <v>7.00000000007</v>
      </c>
      <c r="FI195" s="2">
        <f t="shared" si="306"/>
        <v>0</v>
      </c>
      <c r="FJ195" s="2" t="b">
        <f t="shared" si="282"/>
        <v>1</v>
      </c>
      <c r="FK195" s="2" t="b">
        <f t="shared" si="283"/>
        <v>0</v>
      </c>
      <c r="FL195" s="2" t="b">
        <f t="shared" si="284"/>
        <v>1</v>
      </c>
      <c r="FM195" s="2" t="b">
        <f t="shared" si="285"/>
        <v>0</v>
      </c>
      <c r="FN195" s="2" t="b">
        <f t="shared" si="286"/>
        <v>1</v>
      </c>
      <c r="FO195" s="2" t="b">
        <f t="shared" si="287"/>
        <v>1</v>
      </c>
      <c r="FP195" s="2" t="b">
        <f t="shared" si="288"/>
        <v>1</v>
      </c>
      <c r="FQ195" s="2" t="b">
        <f t="shared" si="289"/>
        <v>0</v>
      </c>
    </row>
    <row r="196" spans="1:173" ht="15.6">
      <c r="A196" s="335" t="s">
        <v>1327</v>
      </c>
      <c r="B196" s="346" t="s">
        <v>1327</v>
      </c>
      <c r="C196" s="346" t="s">
        <v>227</v>
      </c>
      <c r="D196" s="346" t="s">
        <v>865</v>
      </c>
      <c r="E196" s="346" t="s">
        <v>1328</v>
      </c>
      <c r="F196" s="2" t="s">
        <v>785</v>
      </c>
      <c r="G196" s="2" t="s">
        <v>324</v>
      </c>
      <c r="H196" s="2">
        <v>51.25</v>
      </c>
      <c r="I196" s="2">
        <v>47.5</v>
      </c>
      <c r="J196" s="2">
        <v>45.25</v>
      </c>
      <c r="K196" s="435">
        <f t="shared" si="234"/>
        <v>51.250000000349999</v>
      </c>
      <c r="L196" s="435">
        <f t="shared" si="235"/>
        <v>47.500000000330004</v>
      </c>
      <c r="M196" s="435">
        <f t="shared" si="236"/>
        <v>45.250000000390003</v>
      </c>
      <c r="N196" s="346" t="s">
        <v>3054</v>
      </c>
      <c r="O196" s="346" t="s">
        <v>324</v>
      </c>
      <c r="P196" s="346" t="s">
        <v>1329</v>
      </c>
      <c r="Q196" s="346" t="s">
        <v>1330</v>
      </c>
      <c r="R196" s="346" t="s">
        <v>324</v>
      </c>
      <c r="S196" s="346" t="s">
        <v>1331</v>
      </c>
      <c r="T196" s="2" t="s">
        <v>1046</v>
      </c>
      <c r="U196" s="2">
        <v>20</v>
      </c>
      <c r="V196" s="2" cm="1">
        <f t="array" ref="V196">IFERROR(INDEX('Offer Statistics'!$BQ$2:$BQ$600,MATCH(1,(B196='Offer Statistics'!$BB$2:$BB$600)*($B$11='Offer Statistics'!$BC$2:$BC$600),0)),"/")</f>
        <v>19</v>
      </c>
      <c r="W196" s="2" cm="1">
        <f t="array" ref="W196">IFERROR(INDEX('Offer Statistics'!$BD$2:$BD$600,MATCH(1,($B196='Offer Statistics'!$BB$2:$BB$600)*($B$11='Offer Statistics'!$BC$2:$BC$600),0)),"/")</f>
        <v>72</v>
      </c>
      <c r="X196" s="2" cm="1">
        <f t="array" ref="X196">IFERROR(INDEX('Offer Statistics'!$BL$2:$BL$600,MATCH(1,($B196='Offer Statistics'!$BB$2:$BB$600)*($B$11='Offer Statistics'!$BC$2:$BC$600),0)),"/")</f>
        <v>18</v>
      </c>
      <c r="Y196" s="2">
        <f t="shared" si="215"/>
        <v>4</v>
      </c>
      <c r="Z196" s="2" t="s">
        <v>1046</v>
      </c>
      <c r="AA196" s="435" t="str">
        <f>入學要求!AF205</f>
        <v>物理 需考獲Lv.4或以上</v>
      </c>
      <c r="AB196" s="435" t="str">
        <f>入學要求!AG205</f>
        <v>以下一科選修取得Lv.3︰M1/2、生物、化學、組合科學、經濟、地理、ICT、綜合科學、科技與生活</v>
      </c>
      <c r="AC196" s="426" t="s">
        <v>785</v>
      </c>
      <c r="AD196" s="426"/>
      <c r="AE196" s="426"/>
      <c r="AF196" s="426" t="s">
        <v>1332</v>
      </c>
      <c r="AG196" s="426" t="s">
        <v>324</v>
      </c>
      <c r="AH196" s="426" t="s">
        <v>1329</v>
      </c>
      <c r="AI196" s="426" t="s">
        <v>1330</v>
      </c>
      <c r="AJ196" s="426" t="s">
        <v>324</v>
      </c>
      <c r="AK196" s="2" t="s">
        <v>324</v>
      </c>
      <c r="AL196" s="2" t="s">
        <v>324</v>
      </c>
      <c r="AM196" s="2" t="s">
        <v>324</v>
      </c>
      <c r="AN196" s="2" t="s">
        <v>324</v>
      </c>
      <c r="AO196" s="2" t="s">
        <v>324</v>
      </c>
      <c r="AP196" s="2" t="s">
        <v>324</v>
      </c>
      <c r="AQ196" s="2" t="s">
        <v>324</v>
      </c>
      <c r="AR196" s="2" t="s">
        <v>324</v>
      </c>
      <c r="AT196" s="2" t="s">
        <v>716</v>
      </c>
      <c r="AV196" s="2" t="s">
        <v>713</v>
      </c>
      <c r="AZ196" s="2">
        <v>1</v>
      </c>
      <c r="BA196" s="2">
        <v>1</v>
      </c>
      <c r="BB196" s="2">
        <v>1.5</v>
      </c>
      <c r="BD196" s="2">
        <v>1.5</v>
      </c>
      <c r="BE196" s="2">
        <v>2</v>
      </c>
      <c r="BF196" s="2">
        <v>1</v>
      </c>
      <c r="BG196" s="2">
        <v>1</v>
      </c>
      <c r="BH196" s="2" t="str">
        <f t="shared" si="237"/>
        <v>JS4690</v>
      </c>
      <c r="BI196" s="197">
        <v>4</v>
      </c>
      <c r="BJ196" s="197">
        <v>4</v>
      </c>
      <c r="BK196" s="197">
        <v>7</v>
      </c>
      <c r="BL196" s="197" t="s">
        <v>324</v>
      </c>
      <c r="BM196" s="197">
        <v>5.5</v>
      </c>
      <c r="BN196" s="197">
        <v>7</v>
      </c>
      <c r="BO196" s="197">
        <v>7</v>
      </c>
      <c r="BP196" s="197">
        <v>5.5</v>
      </c>
      <c r="BQ196" s="194">
        <f t="shared" si="238"/>
        <v>4.00000000004</v>
      </c>
      <c r="BR196" s="194">
        <f t="shared" si="239"/>
        <v>4.00000000002</v>
      </c>
      <c r="BS196" s="194">
        <f t="shared" si="240"/>
        <v>7.00000000003</v>
      </c>
      <c r="BU196" s="194">
        <f t="shared" si="241"/>
        <v>5.50000000005</v>
      </c>
      <c r="BV196" s="194">
        <f t="shared" si="242"/>
        <v>7.00000000006</v>
      </c>
      <c r="BW196" s="194">
        <f t="shared" si="243"/>
        <v>7.00000000007</v>
      </c>
      <c r="BX196" s="194">
        <f t="shared" si="244"/>
        <v>5.50000000008</v>
      </c>
      <c r="BY196" s="2">
        <f t="shared" si="307"/>
        <v>4.00000000004</v>
      </c>
      <c r="BZ196" s="2">
        <f t="shared" si="308"/>
        <v>4.00000000002</v>
      </c>
      <c r="CA196" s="2">
        <f t="shared" si="309"/>
        <v>10.500000000045</v>
      </c>
      <c r="CC196" s="2">
        <f t="shared" si="310"/>
        <v>8.2500000000749996</v>
      </c>
      <c r="CD196" s="2">
        <f t="shared" si="311"/>
        <v>14.00000000012</v>
      </c>
      <c r="CE196" s="2">
        <f t="shared" si="312"/>
        <v>7.00000000007</v>
      </c>
      <c r="CF196" s="2">
        <f t="shared" si="313"/>
        <v>5.50000000008</v>
      </c>
      <c r="CG196" s="2" t="b">
        <f t="shared" si="245"/>
        <v>0</v>
      </c>
      <c r="CH196" s="2" t="b">
        <f t="shared" si="246"/>
        <v>0</v>
      </c>
      <c r="CI196" s="2" t="b">
        <f t="shared" si="247"/>
        <v>1</v>
      </c>
      <c r="CK196" s="2" t="b">
        <f t="shared" si="248"/>
        <v>1</v>
      </c>
      <c r="CL196" s="2" t="b">
        <f t="shared" si="249"/>
        <v>1</v>
      </c>
      <c r="CM196" s="2" t="b">
        <f t="shared" si="250"/>
        <v>1</v>
      </c>
      <c r="CN196" s="2" t="b">
        <f t="shared" si="251"/>
        <v>1</v>
      </c>
      <c r="CO196" s="2">
        <v>1</v>
      </c>
      <c r="CP196" s="2">
        <v>1</v>
      </c>
      <c r="CQ196" s="2">
        <v>1.5</v>
      </c>
      <c r="CS196" s="2">
        <v>1.5</v>
      </c>
      <c r="CT196" s="2">
        <v>2</v>
      </c>
      <c r="CU196" s="2">
        <v>1</v>
      </c>
      <c r="CV196" s="2">
        <v>1</v>
      </c>
      <c r="CX196" s="2">
        <v>3</v>
      </c>
      <c r="CY196" s="2">
        <v>4</v>
      </c>
      <c r="CZ196" s="2">
        <v>8.5</v>
      </c>
      <c r="DB196" s="2">
        <v>8.5</v>
      </c>
      <c r="DC196" s="2">
        <v>7</v>
      </c>
      <c r="DD196" s="2">
        <v>4</v>
      </c>
      <c r="DE196" s="2" t="s">
        <v>324</v>
      </c>
      <c r="DF196" s="194">
        <f t="shared" si="252"/>
        <v>3.00000000004</v>
      </c>
      <c r="DG196" s="194">
        <f t="shared" si="253"/>
        <v>4.00000000002</v>
      </c>
      <c r="DH196" s="194">
        <f t="shared" si="254"/>
        <v>8.5000000000299991</v>
      </c>
      <c r="DJ196" s="194">
        <f t="shared" si="255"/>
        <v>8.5000000000499991</v>
      </c>
      <c r="DK196" s="194">
        <f t="shared" si="256"/>
        <v>7.00000000006</v>
      </c>
      <c r="DL196" s="194">
        <f t="shared" si="257"/>
        <v>4.00000000007</v>
      </c>
      <c r="DM196" s="194">
        <f t="shared" si="258"/>
        <v>0</v>
      </c>
      <c r="DN196" s="2">
        <f t="shared" si="314"/>
        <v>3.00000000004</v>
      </c>
      <c r="DO196" s="2">
        <f t="shared" si="315"/>
        <v>4.00000000002</v>
      </c>
      <c r="DP196" s="2">
        <f t="shared" si="316"/>
        <v>12.750000000044999</v>
      </c>
      <c r="DR196" s="2">
        <f t="shared" si="317"/>
        <v>12.750000000074998</v>
      </c>
      <c r="DS196" s="2">
        <f t="shared" si="318"/>
        <v>14.00000000012</v>
      </c>
      <c r="DT196" s="2">
        <f t="shared" si="319"/>
        <v>4.00000000007</v>
      </c>
      <c r="DU196" s="2">
        <f t="shared" si="320"/>
        <v>0</v>
      </c>
      <c r="DV196" s="2" t="b">
        <f t="shared" si="259"/>
        <v>0</v>
      </c>
      <c r="DW196" s="2" t="b">
        <f t="shared" si="260"/>
        <v>1</v>
      </c>
      <c r="DX196" s="2" t="b">
        <f t="shared" si="261"/>
        <v>1</v>
      </c>
      <c r="DZ196" s="2" t="b">
        <f t="shared" si="262"/>
        <v>1</v>
      </c>
      <c r="EA196" s="2" t="b">
        <f t="shared" si="263"/>
        <v>1</v>
      </c>
      <c r="EB196" s="2" t="b">
        <f t="shared" si="264"/>
        <v>1</v>
      </c>
      <c r="EC196" s="2" t="b">
        <f t="shared" si="265"/>
        <v>0</v>
      </c>
      <c r="ED196" s="2">
        <v>1</v>
      </c>
      <c r="EE196" s="2">
        <v>1</v>
      </c>
      <c r="EF196" s="2">
        <v>1.5</v>
      </c>
      <c r="EH196" s="2">
        <v>1.5</v>
      </c>
      <c r="EI196" s="2">
        <v>2</v>
      </c>
      <c r="EJ196" s="2">
        <v>1</v>
      </c>
      <c r="EK196" s="2">
        <v>1</v>
      </c>
      <c r="EL196" s="2">
        <v>4</v>
      </c>
      <c r="EM196" s="2">
        <v>4</v>
      </c>
      <c r="EN196" s="2">
        <v>7</v>
      </c>
      <c r="EP196" s="2">
        <v>8.5</v>
      </c>
      <c r="EQ196" s="2">
        <v>8.5</v>
      </c>
      <c r="ER196" s="2">
        <v>7</v>
      </c>
      <c r="ES196" s="2" t="s">
        <v>324</v>
      </c>
      <c r="ET196" s="194">
        <f t="shared" si="266"/>
        <v>4.00000000004</v>
      </c>
      <c r="EU196" s="194">
        <f t="shared" si="267"/>
        <v>4.00000000002</v>
      </c>
      <c r="EV196" s="194">
        <f t="shared" si="268"/>
        <v>7.00000000003</v>
      </c>
      <c r="EW196" s="194">
        <f t="shared" si="269"/>
        <v>9.9999999999999994E-12</v>
      </c>
      <c r="EX196" s="194">
        <f t="shared" si="270"/>
        <v>8.5000000000499991</v>
      </c>
      <c r="EY196" s="194">
        <f t="shared" si="271"/>
        <v>8.50000000006</v>
      </c>
      <c r="EZ196" s="194">
        <f t="shared" si="272"/>
        <v>7.00000000007</v>
      </c>
      <c r="FA196" s="194">
        <f t="shared" si="273"/>
        <v>0</v>
      </c>
      <c r="FB196" s="2">
        <f t="shared" si="299"/>
        <v>4.00000000004</v>
      </c>
      <c r="FC196" s="2">
        <f t="shared" si="300"/>
        <v>4.00000000002</v>
      </c>
      <c r="FD196" s="2">
        <f t="shared" si="301"/>
        <v>10.500000000045</v>
      </c>
      <c r="FE196" s="2">
        <f t="shared" si="302"/>
        <v>0</v>
      </c>
      <c r="FF196" s="2">
        <f t="shared" si="303"/>
        <v>12.750000000074998</v>
      </c>
      <c r="FG196" s="2">
        <f t="shared" si="304"/>
        <v>17.00000000012</v>
      </c>
      <c r="FH196" s="2">
        <f t="shared" si="305"/>
        <v>7.00000000007</v>
      </c>
      <c r="FI196" s="2">
        <f t="shared" si="306"/>
        <v>0</v>
      </c>
      <c r="FJ196" s="2" t="b">
        <f t="shared" si="282"/>
        <v>1</v>
      </c>
      <c r="FK196" s="2" t="b">
        <f t="shared" si="283"/>
        <v>0</v>
      </c>
      <c r="FL196" s="2" t="b">
        <f t="shared" si="284"/>
        <v>1</v>
      </c>
      <c r="FM196" s="2" t="b">
        <f t="shared" si="285"/>
        <v>0</v>
      </c>
      <c r="FN196" s="2" t="b">
        <f t="shared" si="286"/>
        <v>1</v>
      </c>
      <c r="FO196" s="2" t="b">
        <f t="shared" si="287"/>
        <v>1</v>
      </c>
      <c r="FP196" s="2" t="b">
        <f t="shared" si="288"/>
        <v>1</v>
      </c>
      <c r="FQ196" s="2" t="b">
        <f t="shared" si="289"/>
        <v>0</v>
      </c>
    </row>
    <row r="197" spans="1:173" ht="15.6">
      <c r="A197" s="335" t="s">
        <v>1333</v>
      </c>
      <c r="B197" s="346" t="s">
        <v>1333</v>
      </c>
      <c r="C197" s="346" t="s">
        <v>227</v>
      </c>
      <c r="D197" s="346" t="s">
        <v>865</v>
      </c>
      <c r="E197" s="346" t="s">
        <v>1334</v>
      </c>
      <c r="F197" s="2" t="s">
        <v>785</v>
      </c>
      <c r="G197" s="2" t="s">
        <v>324</v>
      </c>
      <c r="H197" s="2">
        <v>44.5</v>
      </c>
      <c r="I197" s="2">
        <v>43</v>
      </c>
      <c r="J197" s="2">
        <v>41.5</v>
      </c>
      <c r="K197" s="435">
        <f t="shared" si="234"/>
        <v>44.500000000310003</v>
      </c>
      <c r="L197" s="435">
        <f t="shared" si="235"/>
        <v>43.000000000330004</v>
      </c>
      <c r="M197" s="435">
        <f t="shared" si="236"/>
        <v>41.500000000330004</v>
      </c>
      <c r="N197" s="346" t="s">
        <v>324</v>
      </c>
      <c r="O197" s="346" t="s">
        <v>324</v>
      </c>
      <c r="P197" s="346" t="s">
        <v>1245</v>
      </c>
      <c r="Q197" s="346" t="s">
        <v>324</v>
      </c>
      <c r="R197" s="346" t="s">
        <v>324</v>
      </c>
      <c r="S197" s="346" t="s">
        <v>1335</v>
      </c>
      <c r="T197" s="2" t="s">
        <v>1046</v>
      </c>
      <c r="U197" s="2">
        <v>25</v>
      </c>
      <c r="V197" s="2" cm="1">
        <f t="array" ref="V197">IFERROR(INDEX('Offer Statistics'!$BQ$2:$BQ$600,MATCH(1,(B197='Offer Statistics'!$BB$2:$BB$600)*($B$11='Offer Statistics'!$BC$2:$BC$600),0)),"/")</f>
        <v>30</v>
      </c>
      <c r="W197" s="2" cm="1">
        <f t="array" ref="W197">IFERROR(INDEX('Offer Statistics'!$BD$2:$BD$600,MATCH(1,($B197='Offer Statistics'!$BB$2:$BB$600)*($B$11='Offer Statistics'!$BC$2:$BC$600),0)),"/")</f>
        <v>125</v>
      </c>
      <c r="X197" s="2" cm="1">
        <f t="array" ref="X197">IFERROR(INDEX('Offer Statistics'!$BL$2:$BL$600,MATCH(1,($B197='Offer Statistics'!$BB$2:$BB$600)*($B$11='Offer Statistics'!$BC$2:$BC$600),0)),"/")</f>
        <v>30</v>
      </c>
      <c r="Y197" s="2">
        <f t="shared" si="215"/>
        <v>4.166666666666667</v>
      </c>
      <c r="Z197" s="2" t="s">
        <v>1046</v>
      </c>
      <c r="AA197" s="435" t="str">
        <f>入學要求!AF206</f>
        <v>M1/2 需取得Lv.3或以上</v>
      </c>
      <c r="AB197" s="435" t="str">
        <f>入學要求!AG206</f>
        <v>/</v>
      </c>
      <c r="AC197" s="424" t="s">
        <v>785</v>
      </c>
      <c r="AD197" s="346"/>
      <c r="AE197" s="346"/>
      <c r="AF197" s="346" t="s">
        <v>324</v>
      </c>
      <c r="AG197" s="346" t="s">
        <v>324</v>
      </c>
      <c r="AH197" s="346" t="s">
        <v>1336</v>
      </c>
      <c r="AI197" s="346" t="s">
        <v>324</v>
      </c>
      <c r="AJ197" s="346" t="s">
        <v>324</v>
      </c>
      <c r="AK197" s="2" t="s">
        <v>324</v>
      </c>
      <c r="AL197" s="2" t="s">
        <v>324</v>
      </c>
      <c r="AM197" s="2" t="s">
        <v>324</v>
      </c>
      <c r="AN197" s="2" t="s">
        <v>324</v>
      </c>
      <c r="AO197" s="2" t="s">
        <v>324</v>
      </c>
      <c r="AP197" s="2" t="s">
        <v>324</v>
      </c>
      <c r="AQ197" s="2" t="s">
        <v>324</v>
      </c>
      <c r="AR197" s="2" t="s">
        <v>324</v>
      </c>
      <c r="AT197" s="2" t="s">
        <v>716</v>
      </c>
      <c r="AV197" s="2" t="s">
        <v>713</v>
      </c>
      <c r="AZ197" s="2">
        <v>1</v>
      </c>
      <c r="BA197" s="2">
        <v>1</v>
      </c>
      <c r="BB197" s="2">
        <v>2</v>
      </c>
      <c r="BD197" s="2">
        <v>2</v>
      </c>
      <c r="BE197" s="2">
        <v>1</v>
      </c>
      <c r="BF197" s="2">
        <v>1</v>
      </c>
      <c r="BG197" s="2">
        <v>1</v>
      </c>
      <c r="BH197" s="2" t="str">
        <f t="shared" si="237"/>
        <v>JS4719</v>
      </c>
      <c r="BI197" s="197">
        <v>5.5</v>
      </c>
      <c r="BJ197" s="197">
        <v>5.5</v>
      </c>
      <c r="BK197" s="197">
        <v>7</v>
      </c>
      <c r="BL197" s="197" t="s">
        <v>324</v>
      </c>
      <c r="BM197" s="197">
        <v>5.5</v>
      </c>
      <c r="BN197" s="197">
        <v>5.5</v>
      </c>
      <c r="BO197" s="197">
        <v>5.5</v>
      </c>
      <c r="BP197" s="197" t="s">
        <v>324</v>
      </c>
      <c r="BQ197" s="194">
        <f t="shared" si="238"/>
        <v>5.50000000004</v>
      </c>
      <c r="BR197" s="194">
        <f t="shared" si="239"/>
        <v>5.50000000002</v>
      </c>
      <c r="BS197" s="194">
        <f t="shared" si="240"/>
        <v>7.00000000003</v>
      </c>
      <c r="BU197" s="194">
        <f t="shared" si="241"/>
        <v>5.50000000005</v>
      </c>
      <c r="BV197" s="194">
        <f t="shared" si="242"/>
        <v>5.50000000006</v>
      </c>
      <c r="BW197" s="194">
        <f t="shared" si="243"/>
        <v>5.50000000007</v>
      </c>
      <c r="BX197" s="194">
        <f t="shared" si="244"/>
        <v>0</v>
      </c>
      <c r="BY197" s="2">
        <f t="shared" si="307"/>
        <v>5.50000000004</v>
      </c>
      <c r="BZ197" s="2">
        <f t="shared" si="308"/>
        <v>5.50000000002</v>
      </c>
      <c r="CA197" s="2">
        <f t="shared" si="309"/>
        <v>14.00000000006</v>
      </c>
      <c r="CC197" s="2">
        <f t="shared" si="310"/>
        <v>11.0000000001</v>
      </c>
      <c r="CD197" s="2">
        <f t="shared" si="311"/>
        <v>5.50000000006</v>
      </c>
      <c r="CE197" s="2">
        <f t="shared" si="312"/>
        <v>5.50000000007</v>
      </c>
      <c r="CF197" s="2">
        <f t="shared" si="313"/>
        <v>0</v>
      </c>
      <c r="CG197" s="2" t="b">
        <f t="shared" si="245"/>
        <v>1</v>
      </c>
      <c r="CH197" s="2" t="b">
        <f t="shared" si="246"/>
        <v>0</v>
      </c>
      <c r="CI197" s="2" t="b">
        <f t="shared" si="247"/>
        <v>1</v>
      </c>
      <c r="CK197" s="2" t="b">
        <f t="shared" si="248"/>
        <v>1</v>
      </c>
      <c r="CL197" s="2" t="b">
        <f t="shared" si="249"/>
        <v>1</v>
      </c>
      <c r="CM197" s="2" t="b">
        <f t="shared" si="250"/>
        <v>1</v>
      </c>
      <c r="CN197" s="2" t="b">
        <f t="shared" si="251"/>
        <v>0</v>
      </c>
      <c r="CO197" s="2">
        <v>1</v>
      </c>
      <c r="CP197" s="2">
        <v>1</v>
      </c>
      <c r="CQ197" s="2">
        <v>2</v>
      </c>
      <c r="CS197" s="2">
        <v>2</v>
      </c>
      <c r="CT197" s="2">
        <v>1</v>
      </c>
      <c r="CU197" s="2">
        <v>1</v>
      </c>
      <c r="CV197" s="2">
        <v>1</v>
      </c>
      <c r="CX197" s="2">
        <v>4</v>
      </c>
      <c r="CY197" s="2">
        <v>4</v>
      </c>
      <c r="CZ197" s="2">
        <v>7</v>
      </c>
      <c r="DB197" s="2">
        <v>8.5</v>
      </c>
      <c r="DC197" s="2">
        <v>4</v>
      </c>
      <c r="DD197" s="2">
        <v>4</v>
      </c>
      <c r="DE197" s="2" t="s">
        <v>324</v>
      </c>
      <c r="DF197" s="194">
        <f t="shared" si="252"/>
        <v>4.00000000004</v>
      </c>
      <c r="DG197" s="194">
        <f t="shared" si="253"/>
        <v>4.00000000002</v>
      </c>
      <c r="DH197" s="194">
        <f t="shared" si="254"/>
        <v>7.00000000003</v>
      </c>
      <c r="DJ197" s="194">
        <f t="shared" si="255"/>
        <v>8.5000000000499991</v>
      </c>
      <c r="DK197" s="194">
        <f t="shared" si="256"/>
        <v>4.00000000006</v>
      </c>
      <c r="DL197" s="194">
        <f t="shared" si="257"/>
        <v>4.00000000007</v>
      </c>
      <c r="DM197" s="194">
        <f t="shared" si="258"/>
        <v>0</v>
      </c>
      <c r="DN197" s="2">
        <f t="shared" si="314"/>
        <v>4.00000000004</v>
      </c>
      <c r="DO197" s="2">
        <f t="shared" si="315"/>
        <v>4.00000000002</v>
      </c>
      <c r="DP197" s="2">
        <f t="shared" si="316"/>
        <v>14.00000000006</v>
      </c>
      <c r="DR197" s="2">
        <f t="shared" si="317"/>
        <v>17.000000000099998</v>
      </c>
      <c r="DS197" s="2">
        <f t="shared" si="318"/>
        <v>4.00000000006</v>
      </c>
      <c r="DT197" s="2">
        <f t="shared" si="319"/>
        <v>4.00000000007</v>
      </c>
      <c r="DU197" s="2">
        <f t="shared" si="320"/>
        <v>0</v>
      </c>
      <c r="DV197" s="2" t="b">
        <f t="shared" si="259"/>
        <v>1</v>
      </c>
      <c r="DW197" s="2" t="b">
        <f t="shared" si="260"/>
        <v>0</v>
      </c>
      <c r="DX197" s="2" t="b">
        <f t="shared" si="261"/>
        <v>1</v>
      </c>
      <c r="DZ197" s="2" t="b">
        <f t="shared" si="262"/>
        <v>1</v>
      </c>
      <c r="EA197" s="2" t="b">
        <f t="shared" si="263"/>
        <v>1</v>
      </c>
      <c r="EB197" s="2" t="b">
        <f t="shared" si="264"/>
        <v>1</v>
      </c>
      <c r="EC197" s="2" t="b">
        <f t="shared" si="265"/>
        <v>0</v>
      </c>
      <c r="ED197" s="2">
        <v>1</v>
      </c>
      <c r="EE197" s="2">
        <v>1</v>
      </c>
      <c r="EF197" s="2">
        <v>2</v>
      </c>
      <c r="EH197" s="2">
        <v>2</v>
      </c>
      <c r="EI197" s="2">
        <v>1</v>
      </c>
      <c r="EJ197" s="2">
        <v>1</v>
      </c>
      <c r="EK197" s="2">
        <v>1</v>
      </c>
      <c r="EL197" s="2">
        <v>5.5</v>
      </c>
      <c r="EM197" s="2">
        <v>7</v>
      </c>
      <c r="EN197" s="2">
        <v>7</v>
      </c>
      <c r="EP197" s="2">
        <v>5.5</v>
      </c>
      <c r="EQ197" s="2">
        <v>7</v>
      </c>
      <c r="ER197" s="2">
        <v>5.5</v>
      </c>
      <c r="ES197" s="2">
        <v>4</v>
      </c>
      <c r="ET197" s="194">
        <f t="shared" si="266"/>
        <v>5.50000000004</v>
      </c>
      <c r="EU197" s="194">
        <f t="shared" si="267"/>
        <v>7.00000000002</v>
      </c>
      <c r="EV197" s="194">
        <f t="shared" si="268"/>
        <v>7.00000000003</v>
      </c>
      <c r="EW197" s="194">
        <f t="shared" si="269"/>
        <v>9.9999999999999994E-12</v>
      </c>
      <c r="EX197" s="194">
        <f t="shared" si="270"/>
        <v>5.50000000005</v>
      </c>
      <c r="EY197" s="194">
        <f t="shared" si="271"/>
        <v>7.00000000006</v>
      </c>
      <c r="EZ197" s="194">
        <f t="shared" si="272"/>
        <v>5.50000000007</v>
      </c>
      <c r="FA197" s="194">
        <f t="shared" si="273"/>
        <v>4.00000000008</v>
      </c>
      <c r="FB197" s="2">
        <f t="shared" si="299"/>
        <v>5.50000000004</v>
      </c>
      <c r="FC197" s="2">
        <f t="shared" si="300"/>
        <v>7.00000000002</v>
      </c>
      <c r="FD197" s="2">
        <f t="shared" si="301"/>
        <v>14.00000000006</v>
      </c>
      <c r="FE197" s="2">
        <f t="shared" si="302"/>
        <v>0</v>
      </c>
      <c r="FF197" s="2">
        <f t="shared" si="303"/>
        <v>11.0000000001</v>
      </c>
      <c r="FG197" s="2">
        <f t="shared" si="304"/>
        <v>7.00000000006</v>
      </c>
      <c r="FH197" s="2">
        <f t="shared" si="305"/>
        <v>5.50000000007</v>
      </c>
      <c r="FI197" s="2">
        <f t="shared" si="306"/>
        <v>4.00000000008</v>
      </c>
      <c r="FJ197" s="2" t="b">
        <f t="shared" si="282"/>
        <v>0</v>
      </c>
      <c r="FK197" s="2" t="b">
        <f t="shared" si="283"/>
        <v>1</v>
      </c>
      <c r="FL197" s="2" t="b">
        <f t="shared" si="284"/>
        <v>1</v>
      </c>
      <c r="FM197" s="2" t="b">
        <f t="shared" si="285"/>
        <v>0</v>
      </c>
      <c r="FN197" s="2" t="b">
        <f t="shared" si="286"/>
        <v>1</v>
      </c>
      <c r="FO197" s="2" t="b">
        <f t="shared" si="287"/>
        <v>1</v>
      </c>
      <c r="FP197" s="2" t="b">
        <f t="shared" si="288"/>
        <v>1</v>
      </c>
      <c r="FQ197" s="2" t="b">
        <f t="shared" si="289"/>
        <v>0</v>
      </c>
    </row>
    <row r="198" spans="1:173" ht="15.6">
      <c r="A198" s="335" t="s">
        <v>1337</v>
      </c>
      <c r="B198" s="346" t="s">
        <v>1337</v>
      </c>
      <c r="C198" s="346" t="s">
        <v>227</v>
      </c>
      <c r="D198" s="346" t="s">
        <v>1338</v>
      </c>
      <c r="E198" s="346" t="s">
        <v>1339</v>
      </c>
      <c r="F198" s="2" t="s">
        <v>785</v>
      </c>
      <c r="G198" s="2" t="s">
        <v>324</v>
      </c>
      <c r="H198" s="2">
        <v>30.5</v>
      </c>
      <c r="I198" s="2">
        <v>29</v>
      </c>
      <c r="J198" s="2">
        <v>27.5</v>
      </c>
      <c r="K198" s="435">
        <f t="shared" si="234"/>
        <v>30.500000000250001</v>
      </c>
      <c r="L198" s="435">
        <f t="shared" si="235"/>
        <v>29.000000000250001</v>
      </c>
      <c r="M198" s="435">
        <f t="shared" si="236"/>
        <v>27.50000000028</v>
      </c>
      <c r="N198" s="346" t="s">
        <v>324</v>
      </c>
      <c r="O198" s="346" t="s">
        <v>324</v>
      </c>
      <c r="P198" s="346" t="s">
        <v>324</v>
      </c>
      <c r="Q198" s="346" t="s">
        <v>324</v>
      </c>
      <c r="R198" s="346" t="s">
        <v>324</v>
      </c>
      <c r="S198" s="346" t="s">
        <v>1340</v>
      </c>
      <c r="T198" s="2" t="s">
        <v>1046</v>
      </c>
      <c r="U198" s="2">
        <v>15</v>
      </c>
      <c r="V198" s="2" cm="1">
        <f t="array" ref="V198">IFERROR(INDEX('Offer Statistics'!$BQ$2:$BQ$600,MATCH(1,(B198='Offer Statistics'!$BB$2:$BB$600)*($B$11='Offer Statistics'!$BC$2:$BC$600),0)),"/")</f>
        <v>14</v>
      </c>
      <c r="W198" s="2" cm="1">
        <f t="array" ref="W198">IFERROR(INDEX('Offer Statistics'!$BD$2:$BD$600,MATCH(1,($B198='Offer Statistics'!$BB$2:$BB$600)*($B$11='Offer Statistics'!$BC$2:$BC$600),0)),"/")</f>
        <v>51</v>
      </c>
      <c r="X198" s="2" cm="1">
        <f t="array" ref="X198">IFERROR(INDEX('Offer Statistics'!$BL$2:$BL$600,MATCH(1,($B198='Offer Statistics'!$BB$2:$BB$600)*($B$11='Offer Statistics'!$BC$2:$BC$600),0)),"/")</f>
        <v>14</v>
      </c>
      <c r="Y198" s="2">
        <f t="shared" si="215"/>
        <v>3.6428571428571428</v>
      </c>
      <c r="Z198" s="2" t="s">
        <v>1046</v>
      </c>
      <c r="AA198" s="435" t="str">
        <f>入學要求!AF207</f>
        <v>以下一科選修取得Lv.3︰生物、化學</v>
      </c>
      <c r="AB198" s="435" t="str">
        <f>入學要求!AG207</f>
        <v>/</v>
      </c>
      <c r="AC198" s="346" t="s">
        <v>785</v>
      </c>
      <c r="AD198" s="346"/>
      <c r="AE198" s="346"/>
      <c r="AF198" s="346" t="s">
        <v>324</v>
      </c>
      <c r="AG198" s="346" t="s">
        <v>324</v>
      </c>
      <c r="AH198" s="346" t="s">
        <v>324</v>
      </c>
      <c r="AI198" s="346" t="s">
        <v>324</v>
      </c>
      <c r="AJ198" s="346" t="s">
        <v>324</v>
      </c>
      <c r="AK198" s="2" t="s">
        <v>324</v>
      </c>
      <c r="AL198" s="2" t="s">
        <v>324</v>
      </c>
      <c r="AM198" s="2" t="s">
        <v>324</v>
      </c>
      <c r="AN198" s="2" t="s">
        <v>324</v>
      </c>
      <c r="AO198" s="2" t="s">
        <v>324</v>
      </c>
      <c r="AP198" s="2" t="s">
        <v>324</v>
      </c>
      <c r="AQ198" s="2" t="s">
        <v>324</v>
      </c>
      <c r="AR198" s="2" t="s">
        <v>324</v>
      </c>
      <c r="AT198" s="2" t="s">
        <v>716</v>
      </c>
      <c r="AV198" s="2" t="s">
        <v>713</v>
      </c>
      <c r="AZ198" s="2">
        <v>1</v>
      </c>
      <c r="BA198" s="2">
        <v>1</v>
      </c>
      <c r="BB198" s="2">
        <v>1</v>
      </c>
      <c r="BD198" s="2">
        <v>1</v>
      </c>
      <c r="BE198" s="2">
        <v>1</v>
      </c>
      <c r="BF198" s="2">
        <v>1</v>
      </c>
      <c r="BG198" s="2">
        <v>1</v>
      </c>
      <c r="BH198" s="2" t="str">
        <f t="shared" si="237"/>
        <v>JS4725</v>
      </c>
      <c r="BI198" s="197">
        <v>4</v>
      </c>
      <c r="BJ198" s="197">
        <v>4</v>
      </c>
      <c r="BK198" s="197">
        <v>7</v>
      </c>
      <c r="BL198" s="197" t="s">
        <v>324</v>
      </c>
      <c r="BM198" s="197" t="s">
        <v>324</v>
      </c>
      <c r="BN198" s="197">
        <v>7</v>
      </c>
      <c r="BO198" s="197">
        <v>5.5</v>
      </c>
      <c r="BP198" s="197">
        <v>4</v>
      </c>
      <c r="BQ198" s="194">
        <f t="shared" si="238"/>
        <v>4.00000000004</v>
      </c>
      <c r="BR198" s="194">
        <f t="shared" si="239"/>
        <v>4.00000000002</v>
      </c>
      <c r="BS198" s="194">
        <f t="shared" si="240"/>
        <v>7.00000000003</v>
      </c>
      <c r="BU198" s="194">
        <f t="shared" si="241"/>
        <v>0</v>
      </c>
      <c r="BV198" s="194">
        <f t="shared" si="242"/>
        <v>7.00000000006</v>
      </c>
      <c r="BW198" s="194">
        <f t="shared" si="243"/>
        <v>5.50000000007</v>
      </c>
      <c r="BX198" s="194">
        <f t="shared" si="244"/>
        <v>4.00000000008</v>
      </c>
      <c r="BY198" s="2">
        <f t="shared" si="307"/>
        <v>4.00000000004</v>
      </c>
      <c r="BZ198" s="2">
        <f t="shared" si="308"/>
        <v>4.00000000002</v>
      </c>
      <c r="CA198" s="2">
        <f t="shared" si="309"/>
        <v>7.00000000003</v>
      </c>
      <c r="CC198" s="2">
        <f t="shared" si="310"/>
        <v>0</v>
      </c>
      <c r="CD198" s="2">
        <f t="shared" si="311"/>
        <v>7.00000000006</v>
      </c>
      <c r="CE198" s="2">
        <f t="shared" si="312"/>
        <v>5.50000000007</v>
      </c>
      <c r="CF198" s="2">
        <f t="shared" si="313"/>
        <v>4.00000000008</v>
      </c>
      <c r="CG198" s="2" t="b">
        <f t="shared" si="245"/>
        <v>1</v>
      </c>
      <c r="CH198" s="2" t="b">
        <f t="shared" si="246"/>
        <v>0</v>
      </c>
      <c r="CI198" s="2" t="b">
        <f t="shared" si="247"/>
        <v>1</v>
      </c>
      <c r="CK198" s="2" t="b">
        <f t="shared" si="248"/>
        <v>0</v>
      </c>
      <c r="CL198" s="2" t="b">
        <f t="shared" si="249"/>
        <v>1</v>
      </c>
      <c r="CM198" s="2" t="b">
        <f t="shared" si="250"/>
        <v>1</v>
      </c>
      <c r="CN198" s="2" t="b">
        <f t="shared" si="251"/>
        <v>1</v>
      </c>
      <c r="CO198" s="2">
        <v>1</v>
      </c>
      <c r="CP198" s="2">
        <v>1</v>
      </c>
      <c r="CQ198" s="2">
        <v>1</v>
      </c>
      <c r="CS198" s="2">
        <v>1</v>
      </c>
      <c r="CT198" s="2">
        <v>1</v>
      </c>
      <c r="CU198" s="2">
        <v>1</v>
      </c>
      <c r="CV198" s="2">
        <v>1</v>
      </c>
      <c r="CX198" s="2">
        <v>4</v>
      </c>
      <c r="CY198" s="2">
        <v>4</v>
      </c>
      <c r="CZ198" s="2">
        <v>7</v>
      </c>
      <c r="DB198" s="2">
        <v>5.5</v>
      </c>
      <c r="DC198" s="2">
        <v>7</v>
      </c>
      <c r="DD198" s="2">
        <v>5.5</v>
      </c>
      <c r="DE198" s="2" t="s">
        <v>324</v>
      </c>
      <c r="DF198" s="194">
        <f t="shared" si="252"/>
        <v>4.00000000004</v>
      </c>
      <c r="DG198" s="194">
        <f t="shared" si="253"/>
        <v>4.00000000002</v>
      </c>
      <c r="DH198" s="194">
        <f t="shared" si="254"/>
        <v>7.00000000003</v>
      </c>
      <c r="DJ198" s="194">
        <f t="shared" si="255"/>
        <v>5.50000000005</v>
      </c>
      <c r="DK198" s="194">
        <f t="shared" si="256"/>
        <v>7.00000000006</v>
      </c>
      <c r="DL198" s="194">
        <f t="shared" si="257"/>
        <v>5.50000000007</v>
      </c>
      <c r="DM198" s="194">
        <f t="shared" si="258"/>
        <v>0</v>
      </c>
      <c r="DN198" s="2">
        <f t="shared" si="314"/>
        <v>4.00000000004</v>
      </c>
      <c r="DO198" s="2">
        <f t="shared" si="315"/>
        <v>4.00000000002</v>
      </c>
      <c r="DP198" s="2">
        <f t="shared" si="316"/>
        <v>7.00000000003</v>
      </c>
      <c r="DR198" s="2">
        <f t="shared" si="317"/>
        <v>5.50000000005</v>
      </c>
      <c r="DS198" s="2">
        <f t="shared" si="318"/>
        <v>7.00000000006</v>
      </c>
      <c r="DT198" s="2">
        <f t="shared" si="319"/>
        <v>5.50000000007</v>
      </c>
      <c r="DU198" s="2">
        <f t="shared" si="320"/>
        <v>0</v>
      </c>
      <c r="DV198" s="2" t="b">
        <f t="shared" si="259"/>
        <v>1</v>
      </c>
      <c r="DW198" s="2" t="b">
        <f t="shared" si="260"/>
        <v>0</v>
      </c>
      <c r="DX198" s="2" t="b">
        <f t="shared" si="261"/>
        <v>1</v>
      </c>
      <c r="DZ198" s="2" t="b">
        <f t="shared" si="262"/>
        <v>1</v>
      </c>
      <c r="EA198" s="2" t="b">
        <f t="shared" si="263"/>
        <v>1</v>
      </c>
      <c r="EB198" s="2" t="b">
        <f t="shared" si="264"/>
        <v>1</v>
      </c>
      <c r="EC198" s="2" t="b">
        <f t="shared" si="265"/>
        <v>0</v>
      </c>
      <c r="ED198" s="2">
        <v>1</v>
      </c>
      <c r="EE198" s="2">
        <v>1</v>
      </c>
      <c r="EF198" s="2">
        <v>1</v>
      </c>
      <c r="EH198" s="2">
        <v>1</v>
      </c>
      <c r="EI198" s="2">
        <v>1</v>
      </c>
      <c r="EJ198" s="2">
        <v>1</v>
      </c>
      <c r="EK198" s="2">
        <v>1</v>
      </c>
      <c r="EL198" s="2">
        <v>4</v>
      </c>
      <c r="EM198" s="2">
        <v>4</v>
      </c>
      <c r="EN198" s="2">
        <v>8.5</v>
      </c>
      <c r="EP198" s="2">
        <v>5.5</v>
      </c>
      <c r="EQ198" s="2">
        <v>7</v>
      </c>
      <c r="ER198" s="2">
        <v>5.5</v>
      </c>
      <c r="ES198" s="2" t="s">
        <v>324</v>
      </c>
      <c r="ET198" s="194">
        <f t="shared" si="266"/>
        <v>4.00000000004</v>
      </c>
      <c r="EU198" s="194">
        <f t="shared" si="267"/>
        <v>4.00000000002</v>
      </c>
      <c r="EV198" s="194">
        <f t="shared" si="268"/>
        <v>8.5000000000299991</v>
      </c>
      <c r="EW198" s="194">
        <f t="shared" si="269"/>
        <v>9.9999999999999994E-12</v>
      </c>
      <c r="EX198" s="194">
        <f t="shared" si="270"/>
        <v>5.50000000005</v>
      </c>
      <c r="EY198" s="194">
        <f t="shared" si="271"/>
        <v>7.00000000006</v>
      </c>
      <c r="EZ198" s="194">
        <f t="shared" si="272"/>
        <v>5.50000000007</v>
      </c>
      <c r="FA198" s="194">
        <f t="shared" si="273"/>
        <v>0</v>
      </c>
      <c r="FB198" s="2">
        <f t="shared" si="299"/>
        <v>4.00000000004</v>
      </c>
      <c r="FC198" s="2">
        <f t="shared" si="300"/>
        <v>4.00000000002</v>
      </c>
      <c r="FD198" s="2">
        <f t="shared" si="301"/>
        <v>8.5000000000299991</v>
      </c>
      <c r="FE198" s="2">
        <f t="shared" si="302"/>
        <v>0</v>
      </c>
      <c r="FF198" s="2">
        <f t="shared" si="303"/>
        <v>5.50000000005</v>
      </c>
      <c r="FG198" s="2">
        <f t="shared" si="304"/>
        <v>7.00000000006</v>
      </c>
      <c r="FH198" s="2">
        <f t="shared" si="305"/>
        <v>5.50000000007</v>
      </c>
      <c r="FI198" s="2">
        <f t="shared" si="306"/>
        <v>0</v>
      </c>
      <c r="FJ198" s="2" t="b">
        <f t="shared" si="282"/>
        <v>1</v>
      </c>
      <c r="FK198" s="2" t="b">
        <f t="shared" si="283"/>
        <v>0</v>
      </c>
      <c r="FL198" s="2" t="b">
        <f t="shared" si="284"/>
        <v>1</v>
      </c>
      <c r="FM198" s="2" t="b">
        <f t="shared" si="285"/>
        <v>0</v>
      </c>
      <c r="FN198" s="2" t="b">
        <f t="shared" si="286"/>
        <v>1</v>
      </c>
      <c r="FO198" s="2" t="b">
        <f t="shared" si="287"/>
        <v>1</v>
      </c>
      <c r="FP198" s="2" t="b">
        <f t="shared" si="288"/>
        <v>1</v>
      </c>
      <c r="FQ198" s="2" t="b">
        <f t="shared" si="289"/>
        <v>0</v>
      </c>
    </row>
    <row r="199" spans="1:173" s="379" customFormat="1" ht="15.6">
      <c r="A199" s="335" t="s">
        <v>1341</v>
      </c>
      <c r="B199" s="346" t="s">
        <v>1341</v>
      </c>
      <c r="C199" s="346" t="s">
        <v>227</v>
      </c>
      <c r="D199" s="346" t="s">
        <v>1342</v>
      </c>
      <c r="E199" s="346" t="s">
        <v>1343</v>
      </c>
      <c r="F199" s="379" t="s">
        <v>785</v>
      </c>
      <c r="G199" s="379" t="s">
        <v>324</v>
      </c>
      <c r="H199" s="379">
        <v>55</v>
      </c>
      <c r="I199" s="379">
        <v>50.5</v>
      </c>
      <c r="J199" s="379">
        <v>47.5</v>
      </c>
      <c r="K199" s="435">
        <f t="shared" si="234"/>
        <v>55.000000000474998</v>
      </c>
      <c r="L199" s="435">
        <f t="shared" si="235"/>
        <v>50.500000000474998</v>
      </c>
      <c r="M199" s="435">
        <f t="shared" si="236"/>
        <v>47.500000000474998</v>
      </c>
      <c r="N199" s="346" t="s">
        <v>3051</v>
      </c>
      <c r="O199" s="346" t="s">
        <v>2394</v>
      </c>
      <c r="P199" s="346" t="s">
        <v>1245</v>
      </c>
      <c r="Q199" s="346" t="s">
        <v>2392</v>
      </c>
      <c r="R199" s="346" t="s">
        <v>324</v>
      </c>
      <c r="S199" s="346" t="s">
        <v>1344</v>
      </c>
      <c r="T199" s="2" t="s">
        <v>1046</v>
      </c>
      <c r="U199" s="379">
        <v>13</v>
      </c>
      <c r="V199" s="2" cm="1">
        <f t="array" ref="V199">IFERROR(INDEX('Offer Statistics'!$BQ$2:$BQ$600,MATCH(1,(B199='Offer Statistics'!$BB$2:$BB$600)*($B$11='Offer Statistics'!$BC$2:$BC$600),0)),"/")</f>
        <v>7</v>
      </c>
      <c r="W199" s="2" cm="1">
        <f t="array" ref="W199">IFERROR(INDEX('Offer Statistics'!$BD$2:$BD$600,MATCH(1,($B199='Offer Statistics'!$BB$2:$BB$600)*($B$11='Offer Statistics'!$BC$2:$BC$600),0)),"/")</f>
        <v>34</v>
      </c>
      <c r="X199" s="2" cm="1">
        <f t="array" ref="X199">IFERROR(INDEX('Offer Statistics'!$BL$2:$BL$600,MATCH(1,($B199='Offer Statistics'!$BB$2:$BB$600)*($B$11='Offer Statistics'!$BC$2:$BC$600),0)),"/")</f>
        <v>7</v>
      </c>
      <c r="Y199" s="379">
        <f t="shared" si="215"/>
        <v>4.8571428571428568</v>
      </c>
      <c r="Z199" s="379" t="s">
        <v>1046</v>
      </c>
      <c r="AA199" s="435" t="str">
        <f>入學要求!AF208</f>
        <v>M1/2 需取得Lv.5或以上</v>
      </c>
      <c r="AB199" s="435" t="str">
        <f>入學要求!AG208</f>
        <v>/</v>
      </c>
      <c r="AC199" s="425" t="s">
        <v>785</v>
      </c>
      <c r="AD199" s="427"/>
      <c r="AE199" s="346"/>
      <c r="AF199" s="346" t="s">
        <v>1302</v>
      </c>
      <c r="AG199" s="346" t="s">
        <v>2394</v>
      </c>
      <c r="AH199" s="346" t="s">
        <v>1336</v>
      </c>
      <c r="AI199" s="427" t="s">
        <v>2392</v>
      </c>
      <c r="AJ199" s="346" t="s">
        <v>324</v>
      </c>
      <c r="AK199" s="379" t="s">
        <v>324</v>
      </c>
      <c r="AL199" s="379" t="s">
        <v>324</v>
      </c>
      <c r="AM199" s="379" t="s">
        <v>324</v>
      </c>
      <c r="AN199" s="381" t="s">
        <v>324</v>
      </c>
      <c r="AO199" s="379" t="s">
        <v>324</v>
      </c>
      <c r="AP199" s="379" t="s">
        <v>324</v>
      </c>
      <c r="AQ199" s="379" t="s">
        <v>324</v>
      </c>
      <c r="AR199" s="379" t="s">
        <v>324</v>
      </c>
      <c r="AT199" s="379" t="s">
        <v>716</v>
      </c>
      <c r="AV199" s="379" t="s">
        <v>713</v>
      </c>
      <c r="AZ199" s="379">
        <v>1</v>
      </c>
      <c r="BA199" s="379">
        <v>1</v>
      </c>
      <c r="BB199" s="379">
        <v>2</v>
      </c>
      <c r="BD199" s="379">
        <v>2</v>
      </c>
      <c r="BE199" s="379">
        <v>1.5</v>
      </c>
      <c r="BF199" s="379">
        <v>1.5</v>
      </c>
      <c r="BG199" s="379">
        <v>1.5</v>
      </c>
      <c r="BH199" s="2" t="str">
        <f t="shared" si="237"/>
        <v>JS4733</v>
      </c>
      <c r="BI199" s="197">
        <v>4</v>
      </c>
      <c r="BJ199" s="197">
        <v>4</v>
      </c>
      <c r="BK199" s="197">
        <v>7</v>
      </c>
      <c r="BL199" s="197" t="s">
        <v>324</v>
      </c>
      <c r="BM199" s="197">
        <v>5.5</v>
      </c>
      <c r="BN199" s="197">
        <v>5.5</v>
      </c>
      <c r="BO199" s="197">
        <v>5.5</v>
      </c>
      <c r="BP199" s="197">
        <v>4</v>
      </c>
      <c r="BQ199" s="380">
        <f t="shared" si="238"/>
        <v>4.00000000004</v>
      </c>
      <c r="BR199" s="380">
        <f t="shared" si="239"/>
        <v>4.00000000002</v>
      </c>
      <c r="BS199" s="380">
        <f t="shared" si="240"/>
        <v>7.00000000003</v>
      </c>
      <c r="BT199" s="380"/>
      <c r="BU199" s="380">
        <f t="shared" si="241"/>
        <v>5.50000000005</v>
      </c>
      <c r="BV199" s="380">
        <f t="shared" si="242"/>
        <v>5.50000000006</v>
      </c>
      <c r="BW199" s="380">
        <f t="shared" si="243"/>
        <v>5.50000000007</v>
      </c>
      <c r="BX199" s="380">
        <f t="shared" si="244"/>
        <v>4.00000000008</v>
      </c>
      <c r="BY199" s="379">
        <f t="shared" si="307"/>
        <v>4.00000000004</v>
      </c>
      <c r="BZ199" s="379">
        <f t="shared" si="308"/>
        <v>4.00000000002</v>
      </c>
      <c r="CA199" s="379">
        <f t="shared" si="309"/>
        <v>14.00000000006</v>
      </c>
      <c r="CC199" s="379">
        <f t="shared" si="310"/>
        <v>11.0000000001</v>
      </c>
      <c r="CD199" s="379">
        <f t="shared" si="311"/>
        <v>8.2500000000900009</v>
      </c>
      <c r="CE199" s="379">
        <f t="shared" si="312"/>
        <v>8.2500000001050005</v>
      </c>
      <c r="CF199" s="379">
        <f t="shared" si="313"/>
        <v>6.00000000012</v>
      </c>
      <c r="CG199" s="2" t="b">
        <f t="shared" si="245"/>
        <v>0</v>
      </c>
      <c r="CH199" s="2" t="b">
        <f t="shared" si="246"/>
        <v>0</v>
      </c>
      <c r="CI199" s="2" t="b">
        <f t="shared" si="247"/>
        <v>1</v>
      </c>
      <c r="CJ199" s="2"/>
      <c r="CK199" s="2" t="b">
        <f t="shared" si="248"/>
        <v>1</v>
      </c>
      <c r="CL199" s="2" t="b">
        <f t="shared" si="249"/>
        <v>1</v>
      </c>
      <c r="CM199" s="2" t="b">
        <f t="shared" si="250"/>
        <v>1</v>
      </c>
      <c r="CN199" s="2" t="b">
        <f t="shared" si="251"/>
        <v>1</v>
      </c>
      <c r="CO199" s="379">
        <v>1</v>
      </c>
      <c r="CP199" s="379">
        <v>1</v>
      </c>
      <c r="CQ199" s="379">
        <v>2</v>
      </c>
      <c r="CS199" s="379">
        <v>2</v>
      </c>
      <c r="CT199" s="379">
        <v>1.5</v>
      </c>
      <c r="CU199" s="379">
        <v>1.5</v>
      </c>
      <c r="CV199" s="379">
        <v>1.5</v>
      </c>
      <c r="CX199" s="379">
        <v>3</v>
      </c>
      <c r="CY199" s="379">
        <v>4</v>
      </c>
      <c r="CZ199" s="379">
        <v>7</v>
      </c>
      <c r="DB199" s="379">
        <v>7</v>
      </c>
      <c r="DC199" s="379">
        <v>5.5</v>
      </c>
      <c r="DD199" s="379">
        <v>5.5</v>
      </c>
      <c r="DE199" s="379">
        <v>4</v>
      </c>
      <c r="DF199" s="380">
        <f t="shared" si="252"/>
        <v>3.00000000004</v>
      </c>
      <c r="DG199" s="380">
        <f t="shared" si="253"/>
        <v>4.00000000002</v>
      </c>
      <c r="DH199" s="380">
        <f t="shared" ref="DH199:DH215" si="326">IFERROR(CZ199+0.00000000003,0)</f>
        <v>7.00000000003</v>
      </c>
      <c r="DI199" s="380"/>
      <c r="DJ199" s="380">
        <f t="shared" ref="DJ199:DJ215" si="327">IFERROR(DB199+0.00000000005,0)</f>
        <v>7.00000000005</v>
      </c>
      <c r="DK199" s="380">
        <f t="shared" ref="DK199:DK215" si="328">IFERROR(DC199+0.00000000006,0)</f>
        <v>5.50000000006</v>
      </c>
      <c r="DL199" s="380">
        <f t="shared" ref="DL199:DL215" si="329">IFERROR(DD199+0.00000000007,0)</f>
        <v>5.50000000007</v>
      </c>
      <c r="DM199" s="380">
        <f t="shared" ref="DM199:DM215" si="330">IFERROR(DE199+0.00000000008,0)</f>
        <v>4.00000000008</v>
      </c>
      <c r="DN199" s="379">
        <f t="shared" ref="DN199:DN215" si="331">DF199*CO199</f>
        <v>3.00000000004</v>
      </c>
      <c r="DO199" s="379">
        <f t="shared" si="315"/>
        <v>4.00000000002</v>
      </c>
      <c r="DP199" s="379">
        <f t="shared" si="316"/>
        <v>14.00000000006</v>
      </c>
      <c r="DR199" s="379">
        <f t="shared" si="317"/>
        <v>14.0000000001</v>
      </c>
      <c r="DS199" s="379">
        <f t="shared" si="318"/>
        <v>8.2500000000900009</v>
      </c>
      <c r="DT199" s="379">
        <f t="shared" si="319"/>
        <v>8.2500000001050005</v>
      </c>
      <c r="DU199" s="379">
        <f t="shared" si="320"/>
        <v>6.00000000012</v>
      </c>
      <c r="DV199" s="2" t="b">
        <f t="shared" si="259"/>
        <v>0</v>
      </c>
      <c r="DW199" s="2" t="b">
        <f t="shared" si="260"/>
        <v>0</v>
      </c>
      <c r="DX199" s="2" t="b">
        <f t="shared" si="261"/>
        <v>1</v>
      </c>
      <c r="DY199" s="2"/>
      <c r="DZ199" s="2" t="b">
        <f t="shared" si="262"/>
        <v>1</v>
      </c>
      <c r="EA199" s="2" t="b">
        <f t="shared" si="263"/>
        <v>1</v>
      </c>
      <c r="EB199" s="2" t="b">
        <f t="shared" si="264"/>
        <v>1</v>
      </c>
      <c r="EC199" s="2" t="b">
        <f t="shared" si="265"/>
        <v>1</v>
      </c>
      <c r="ED199" s="379">
        <v>1</v>
      </c>
      <c r="EE199" s="379">
        <v>1</v>
      </c>
      <c r="EF199" s="379">
        <v>2</v>
      </c>
      <c r="EH199" s="379">
        <v>2</v>
      </c>
      <c r="EI199" s="379">
        <v>1.5</v>
      </c>
      <c r="EJ199" s="379">
        <v>1.5</v>
      </c>
      <c r="EK199" s="379">
        <v>1.5</v>
      </c>
      <c r="EL199" s="379">
        <v>5.5</v>
      </c>
      <c r="EM199" s="379">
        <v>4</v>
      </c>
      <c r="EN199" s="379">
        <v>7</v>
      </c>
      <c r="EP199" s="379">
        <v>7</v>
      </c>
      <c r="EQ199" s="379">
        <v>7</v>
      </c>
      <c r="ER199" s="379">
        <v>7</v>
      </c>
      <c r="ES199" s="379">
        <v>4</v>
      </c>
      <c r="ET199" s="380">
        <f t="shared" si="266"/>
        <v>5.50000000004</v>
      </c>
      <c r="EU199" s="380">
        <f t="shared" si="267"/>
        <v>4.00000000002</v>
      </c>
      <c r="EV199" s="380">
        <f t="shared" si="268"/>
        <v>7.00000000003</v>
      </c>
      <c r="EW199" s="380">
        <f t="shared" si="269"/>
        <v>9.9999999999999994E-12</v>
      </c>
      <c r="EX199" s="380">
        <f t="shared" si="270"/>
        <v>7.00000000005</v>
      </c>
      <c r="EY199" s="380">
        <f t="shared" si="271"/>
        <v>7.00000000006</v>
      </c>
      <c r="EZ199" s="380">
        <f t="shared" si="272"/>
        <v>7.00000000007</v>
      </c>
      <c r="FA199" s="380">
        <f t="shared" si="273"/>
        <v>4.00000000008</v>
      </c>
      <c r="FB199" s="379">
        <f t="shared" si="299"/>
        <v>5.50000000004</v>
      </c>
      <c r="FC199" s="379">
        <f t="shared" si="300"/>
        <v>4.00000000002</v>
      </c>
      <c r="FD199" s="379">
        <f t="shared" si="301"/>
        <v>14.00000000006</v>
      </c>
      <c r="FE199" s="379">
        <f t="shared" si="302"/>
        <v>0</v>
      </c>
      <c r="FF199" s="379">
        <f t="shared" si="303"/>
        <v>14.0000000001</v>
      </c>
      <c r="FG199" s="379">
        <f t="shared" si="304"/>
        <v>10.500000000090001</v>
      </c>
      <c r="FH199" s="379">
        <f t="shared" si="305"/>
        <v>10.500000000105</v>
      </c>
      <c r="FI199" s="379">
        <f t="shared" si="306"/>
        <v>6.00000000012</v>
      </c>
      <c r="FJ199" s="2" t="b">
        <f t="shared" si="282"/>
        <v>0</v>
      </c>
      <c r="FK199" s="2" t="b">
        <f t="shared" si="283"/>
        <v>0</v>
      </c>
      <c r="FL199" s="2" t="b">
        <f t="shared" si="284"/>
        <v>1</v>
      </c>
      <c r="FM199" s="2" t="b">
        <f t="shared" si="285"/>
        <v>0</v>
      </c>
      <c r="FN199" s="2" t="b">
        <f t="shared" si="286"/>
        <v>1</v>
      </c>
      <c r="FO199" s="2" t="b">
        <f t="shared" si="287"/>
        <v>1</v>
      </c>
      <c r="FP199" s="2" t="b">
        <f t="shared" si="288"/>
        <v>1</v>
      </c>
      <c r="FQ199" s="2" t="b">
        <f t="shared" si="289"/>
        <v>1</v>
      </c>
    </row>
    <row r="200" spans="1:173" s="379" customFormat="1" ht="15.6">
      <c r="A200" s="335" t="s">
        <v>2115</v>
      </c>
      <c r="B200" s="346" t="s">
        <v>2115</v>
      </c>
      <c r="C200" s="346" t="s">
        <v>227</v>
      </c>
      <c r="D200" s="346" t="s">
        <v>1342</v>
      </c>
      <c r="E200" s="346" t="s">
        <v>2656</v>
      </c>
      <c r="F200" s="379" t="s">
        <v>785</v>
      </c>
      <c r="G200" s="379" t="s">
        <v>324</v>
      </c>
      <c r="H200" s="379">
        <v>46.5</v>
      </c>
      <c r="I200" s="379">
        <v>38.75</v>
      </c>
      <c r="J200" s="379">
        <v>36.5</v>
      </c>
      <c r="K200" s="435">
        <f t="shared" si="234"/>
        <v>46.500000000355001</v>
      </c>
      <c r="L200" s="435">
        <f t="shared" si="235"/>
        <v>38.750000000355001</v>
      </c>
      <c r="M200" s="435">
        <f t="shared" si="236"/>
        <v>36.500000000355001</v>
      </c>
      <c r="N200" s="346" t="s">
        <v>3051</v>
      </c>
      <c r="O200" s="346" t="s">
        <v>2395</v>
      </c>
      <c r="P200" s="346" t="s">
        <v>2396</v>
      </c>
      <c r="Q200" s="346" t="s">
        <v>780</v>
      </c>
      <c r="R200" s="346"/>
      <c r="S200" s="346" t="s">
        <v>2376</v>
      </c>
      <c r="T200" s="2" t="s">
        <v>1046</v>
      </c>
      <c r="U200" s="379">
        <v>20</v>
      </c>
      <c r="V200" s="2" cm="1">
        <f t="array" ref="V200">IFERROR(INDEX('Offer Statistics'!$BQ$2:$BQ$600,MATCH(1,(B200='Offer Statistics'!$BB$2:$BB$600)*($B$11='Offer Statistics'!$BC$2:$BC$600),0)),"/")</f>
        <v>16</v>
      </c>
      <c r="W200" s="2" cm="1">
        <f t="array" ref="W200">IFERROR(INDEX('Offer Statistics'!$BD$2:$BD$600,MATCH(1,($B200='Offer Statistics'!$BB$2:$BB$600)*($B$11='Offer Statistics'!$BC$2:$BC$600),0)),"/")</f>
        <v>64</v>
      </c>
      <c r="X200" s="2" cm="1">
        <f t="array" ref="X200">IFERROR(INDEX('Offer Statistics'!$BL$2:$BL$600,MATCH(1,($B200='Offer Statistics'!$BB$2:$BB$600)*($B$11='Offer Statistics'!$BC$2:$BC$600),0)),"/")</f>
        <v>15</v>
      </c>
      <c r="Y200" s="379">
        <f t="shared" si="215"/>
        <v>4.2666666666666666</v>
      </c>
      <c r="Z200" s="379" t="s">
        <v>1046</v>
      </c>
      <c r="AA200" s="435" t="str">
        <f>入學要求!AF209</f>
        <v>優先考慮修讀以下科目者︰</v>
      </c>
      <c r="AB200" s="435" t="str">
        <f>入學要求!AG209</f>
        <v>M1/2、生物、化學、物理、地理</v>
      </c>
      <c r="AC200" s="425" t="s">
        <v>785</v>
      </c>
      <c r="AD200" s="346"/>
      <c r="AE200" s="346"/>
      <c r="AF200" s="346" t="s">
        <v>1302</v>
      </c>
      <c r="AG200" s="346" t="s">
        <v>2395</v>
      </c>
      <c r="AH200" s="346" t="s">
        <v>2396</v>
      </c>
      <c r="AI200" s="346" t="s">
        <v>780</v>
      </c>
      <c r="AJ200" s="346"/>
      <c r="AK200" s="379" t="s">
        <v>324</v>
      </c>
      <c r="AL200" s="379" t="s">
        <v>324</v>
      </c>
      <c r="AM200" s="379" t="s">
        <v>324</v>
      </c>
      <c r="AN200" s="379" t="s">
        <v>324</v>
      </c>
      <c r="AO200" s="379" t="s">
        <v>324</v>
      </c>
      <c r="AP200" s="379" t="s">
        <v>324</v>
      </c>
      <c r="AQ200" s="379" t="s">
        <v>324</v>
      </c>
      <c r="AR200" s="379" t="s">
        <v>324</v>
      </c>
      <c r="AT200" s="379" t="s">
        <v>716</v>
      </c>
      <c r="AV200" s="379" t="s">
        <v>713</v>
      </c>
      <c r="AZ200" s="379">
        <v>1</v>
      </c>
      <c r="BA200" s="379">
        <v>1</v>
      </c>
      <c r="BB200" s="379">
        <v>1.5</v>
      </c>
      <c r="BD200" s="379">
        <v>2</v>
      </c>
      <c r="BE200" s="379">
        <v>1</v>
      </c>
      <c r="BF200" s="379">
        <v>1</v>
      </c>
      <c r="BG200" s="379">
        <v>1</v>
      </c>
      <c r="BH200" s="2" t="str">
        <f t="shared" si="237"/>
        <v>JS4750</v>
      </c>
      <c r="BI200" s="197">
        <v>3</v>
      </c>
      <c r="BJ200" s="197">
        <v>3</v>
      </c>
      <c r="BK200" s="197">
        <v>7</v>
      </c>
      <c r="BL200" s="197" t="s">
        <v>324</v>
      </c>
      <c r="BM200" s="197">
        <v>4</v>
      </c>
      <c r="BN200" s="197">
        <v>8.5</v>
      </c>
      <c r="BO200" s="197">
        <v>5.5</v>
      </c>
      <c r="BP200" s="197">
        <v>4</v>
      </c>
      <c r="BQ200" s="380">
        <f t="shared" si="238"/>
        <v>3.00000000004</v>
      </c>
      <c r="BR200" s="380">
        <f t="shared" si="239"/>
        <v>3.00000000002</v>
      </c>
      <c r="BS200" s="380">
        <f t="shared" si="240"/>
        <v>7.00000000003</v>
      </c>
      <c r="BT200" s="380"/>
      <c r="BU200" s="380">
        <f t="shared" si="241"/>
        <v>4.00000000005</v>
      </c>
      <c r="BV200" s="380">
        <f t="shared" si="242"/>
        <v>8.50000000006</v>
      </c>
      <c r="BW200" s="380">
        <f t="shared" si="243"/>
        <v>5.50000000007</v>
      </c>
      <c r="BX200" s="380">
        <f t="shared" si="244"/>
        <v>4.00000000008</v>
      </c>
      <c r="BY200" s="379">
        <f t="shared" si="307"/>
        <v>3.00000000004</v>
      </c>
      <c r="BZ200" s="379">
        <f t="shared" si="308"/>
        <v>3.00000000002</v>
      </c>
      <c r="CA200" s="379">
        <f t="shared" si="309"/>
        <v>10.500000000045</v>
      </c>
      <c r="CC200" s="379">
        <f t="shared" si="310"/>
        <v>8.0000000001</v>
      </c>
      <c r="CD200" s="379">
        <f t="shared" si="311"/>
        <v>8.50000000006</v>
      </c>
      <c r="CE200" s="379">
        <f t="shared" si="312"/>
        <v>5.50000000007</v>
      </c>
      <c r="CF200" s="379">
        <f t="shared" si="313"/>
        <v>4.00000000008</v>
      </c>
      <c r="CG200" s="2" t="b">
        <f t="shared" si="245"/>
        <v>0</v>
      </c>
      <c r="CH200" s="2" t="b">
        <f t="shared" si="246"/>
        <v>0</v>
      </c>
      <c r="CI200" s="2" t="b">
        <f t="shared" si="247"/>
        <v>1</v>
      </c>
      <c r="CJ200" s="2"/>
      <c r="CK200" s="2" t="b">
        <f t="shared" si="248"/>
        <v>1</v>
      </c>
      <c r="CL200" s="2" t="b">
        <f t="shared" si="249"/>
        <v>1</v>
      </c>
      <c r="CM200" s="2" t="b">
        <f t="shared" si="250"/>
        <v>1</v>
      </c>
      <c r="CN200" s="2" t="b">
        <f t="shared" si="251"/>
        <v>1</v>
      </c>
      <c r="CO200" s="379">
        <v>1</v>
      </c>
      <c r="CP200" s="379">
        <v>1</v>
      </c>
      <c r="CQ200" s="379">
        <v>1.5</v>
      </c>
      <c r="CS200" s="379">
        <v>2</v>
      </c>
      <c r="CT200" s="379">
        <v>2</v>
      </c>
      <c r="CU200" s="379">
        <v>1</v>
      </c>
      <c r="CV200" s="379">
        <v>1</v>
      </c>
      <c r="CX200" s="379">
        <v>5.5</v>
      </c>
      <c r="CY200" s="379">
        <v>4</v>
      </c>
      <c r="CZ200" s="379">
        <v>5.5</v>
      </c>
      <c r="DB200" s="379" t="s">
        <v>324</v>
      </c>
      <c r="DC200" s="379">
        <v>7</v>
      </c>
      <c r="DD200" s="379">
        <v>7</v>
      </c>
      <c r="DE200" s="379">
        <v>4</v>
      </c>
      <c r="DF200" s="380">
        <f t="shared" si="252"/>
        <v>5.50000000004</v>
      </c>
      <c r="DG200" s="380">
        <f t="shared" si="253"/>
        <v>4.00000000002</v>
      </c>
      <c r="DH200" s="380">
        <f t="shared" si="326"/>
        <v>5.50000000003</v>
      </c>
      <c r="DI200" s="380"/>
      <c r="DJ200" s="380">
        <f t="shared" si="327"/>
        <v>0</v>
      </c>
      <c r="DK200" s="380">
        <f t="shared" si="328"/>
        <v>7.00000000006</v>
      </c>
      <c r="DL200" s="380">
        <f t="shared" si="329"/>
        <v>7.00000000007</v>
      </c>
      <c r="DM200" s="380">
        <f t="shared" si="330"/>
        <v>4.00000000008</v>
      </c>
      <c r="DN200" s="379">
        <f t="shared" si="331"/>
        <v>5.50000000004</v>
      </c>
      <c r="DO200" s="379">
        <f t="shared" ref="DO200:DU200" si="332">DG200*CP200</f>
        <v>4.00000000002</v>
      </c>
      <c r="DP200" s="379">
        <f t="shared" si="332"/>
        <v>8.2500000000450004</v>
      </c>
      <c r="DR200" s="379">
        <f t="shared" si="332"/>
        <v>0</v>
      </c>
      <c r="DS200" s="379">
        <f t="shared" si="332"/>
        <v>14.00000000012</v>
      </c>
      <c r="DT200" s="379">
        <f t="shared" si="332"/>
        <v>7.00000000007</v>
      </c>
      <c r="DU200" s="379">
        <f t="shared" si="332"/>
        <v>4.00000000008</v>
      </c>
      <c r="DV200" s="2" t="b">
        <f t="shared" si="259"/>
        <v>1</v>
      </c>
      <c r="DW200" s="2" t="b">
        <f t="shared" si="260"/>
        <v>0</v>
      </c>
      <c r="DX200" s="2" t="b">
        <f t="shared" si="261"/>
        <v>1</v>
      </c>
      <c r="DY200" s="2"/>
      <c r="DZ200" s="2" t="b">
        <f t="shared" si="262"/>
        <v>0</v>
      </c>
      <c r="EA200" s="2" t="b">
        <f t="shared" si="263"/>
        <v>1</v>
      </c>
      <c r="EB200" s="2" t="b">
        <f t="shared" si="264"/>
        <v>1</v>
      </c>
      <c r="EC200" s="2" t="b">
        <f t="shared" si="265"/>
        <v>1</v>
      </c>
      <c r="ED200" s="379">
        <v>1</v>
      </c>
      <c r="EE200" s="379">
        <v>1</v>
      </c>
      <c r="EF200" s="379">
        <v>1.5</v>
      </c>
      <c r="EH200" s="379">
        <v>2</v>
      </c>
      <c r="EI200" s="379">
        <v>2</v>
      </c>
      <c r="EJ200" s="379">
        <v>1</v>
      </c>
      <c r="EK200" s="379">
        <v>1</v>
      </c>
      <c r="EL200" s="379">
        <v>4</v>
      </c>
      <c r="EM200" s="379">
        <v>7</v>
      </c>
      <c r="EN200" s="379">
        <v>7</v>
      </c>
      <c r="EP200" s="379">
        <v>5.5</v>
      </c>
      <c r="EQ200" s="379">
        <v>7</v>
      </c>
      <c r="ER200" s="379">
        <v>4</v>
      </c>
      <c r="ES200" s="379" t="s">
        <v>324</v>
      </c>
      <c r="ET200" s="380">
        <f t="shared" si="266"/>
        <v>4.00000000004</v>
      </c>
      <c r="EU200" s="380">
        <f t="shared" si="267"/>
        <v>7.00000000002</v>
      </c>
      <c r="EV200" s="380">
        <f t="shared" si="268"/>
        <v>7.00000000003</v>
      </c>
      <c r="EW200" s="380">
        <f t="shared" si="269"/>
        <v>9.9999999999999994E-12</v>
      </c>
      <c r="EX200" s="380">
        <f t="shared" si="270"/>
        <v>5.50000000005</v>
      </c>
      <c r="EY200" s="380">
        <f t="shared" si="271"/>
        <v>7.00000000006</v>
      </c>
      <c r="EZ200" s="380">
        <f t="shared" si="272"/>
        <v>4.00000000007</v>
      </c>
      <c r="FA200" s="380">
        <f t="shared" si="273"/>
        <v>0</v>
      </c>
      <c r="FB200" s="379">
        <f t="shared" ref="FB200:FI200" si="333">ET200*ED200</f>
        <v>4.00000000004</v>
      </c>
      <c r="FC200" s="379">
        <f t="shared" si="333"/>
        <v>7.00000000002</v>
      </c>
      <c r="FD200" s="379">
        <f t="shared" si="333"/>
        <v>10.500000000045</v>
      </c>
      <c r="FE200" s="379">
        <f t="shared" si="333"/>
        <v>0</v>
      </c>
      <c r="FF200" s="379">
        <f t="shared" si="333"/>
        <v>11.0000000001</v>
      </c>
      <c r="FG200" s="379">
        <f t="shared" si="333"/>
        <v>14.00000000012</v>
      </c>
      <c r="FH200" s="379">
        <f t="shared" si="333"/>
        <v>4.00000000007</v>
      </c>
      <c r="FI200" s="379">
        <f t="shared" si="333"/>
        <v>0</v>
      </c>
      <c r="FJ200" s="2" t="b">
        <f t="shared" si="282"/>
        <v>0</v>
      </c>
      <c r="FK200" s="2" t="b">
        <f t="shared" si="283"/>
        <v>1</v>
      </c>
      <c r="FL200" s="2" t="b">
        <f t="shared" si="284"/>
        <v>1</v>
      </c>
      <c r="FM200" s="2" t="b">
        <f t="shared" si="285"/>
        <v>0</v>
      </c>
      <c r="FN200" s="2" t="b">
        <f t="shared" si="286"/>
        <v>1</v>
      </c>
      <c r="FO200" s="2" t="b">
        <f t="shared" si="287"/>
        <v>1</v>
      </c>
      <c r="FP200" s="2" t="b">
        <f t="shared" si="288"/>
        <v>1</v>
      </c>
      <c r="FQ200" s="2" t="b">
        <f t="shared" si="289"/>
        <v>0</v>
      </c>
    </row>
    <row r="201" spans="1:173" s="379" customFormat="1" ht="15.6">
      <c r="A201" s="335" t="s">
        <v>2064</v>
      </c>
      <c r="B201" s="346" t="s">
        <v>2064</v>
      </c>
      <c r="C201" s="346" t="s">
        <v>227</v>
      </c>
      <c r="D201" s="346" t="s">
        <v>1345</v>
      </c>
      <c r="E201" s="346" t="s">
        <v>2657</v>
      </c>
      <c r="F201" s="364" t="s">
        <v>785</v>
      </c>
      <c r="G201" s="379" t="s">
        <v>324</v>
      </c>
      <c r="H201" s="379">
        <v>36.5</v>
      </c>
      <c r="I201" s="379">
        <v>34</v>
      </c>
      <c r="J201" s="379">
        <v>32.75</v>
      </c>
      <c r="K201" s="435">
        <f t="shared" si="234"/>
        <v>36.50000000032</v>
      </c>
      <c r="L201" s="435">
        <f t="shared" si="235"/>
        <v>34.00000000032</v>
      </c>
      <c r="M201" s="435">
        <f t="shared" si="236"/>
        <v>32.750000000270006</v>
      </c>
      <c r="N201" s="346" t="s">
        <v>324</v>
      </c>
      <c r="O201" s="346" t="s">
        <v>324</v>
      </c>
      <c r="P201" s="346" t="s">
        <v>1330</v>
      </c>
      <c r="Q201" s="346" t="s">
        <v>2378</v>
      </c>
      <c r="R201" s="346" t="s">
        <v>324</v>
      </c>
      <c r="S201" s="346" t="s">
        <v>2114</v>
      </c>
      <c r="T201" s="2" t="s">
        <v>1046</v>
      </c>
      <c r="U201" s="379">
        <v>20</v>
      </c>
      <c r="V201" s="2" cm="1">
        <f t="array" ref="V201">IFERROR(INDEX('Offer Statistics'!$BQ$2:$BQ$600,MATCH(1,(B201='Offer Statistics'!$BB$2:$BB$600)*($B$11='Offer Statistics'!$BC$2:$BC$600),0)),"/")</f>
        <v>22</v>
      </c>
      <c r="W201" s="2" cm="1">
        <f t="array" ref="W201">IFERROR(INDEX('Offer Statistics'!$BD$2:$BD$600,MATCH(1,($B201='Offer Statistics'!$BB$2:$BB$600)*($B$11='Offer Statistics'!$BC$2:$BC$600),0)),"/")</f>
        <v>87</v>
      </c>
      <c r="X201" s="2" cm="1">
        <f t="array" ref="X201">IFERROR(INDEX('Offer Statistics'!$BL$2:$BL$600,MATCH(1,($B201='Offer Statistics'!$BB$2:$BB$600)*($B$11='Offer Statistics'!$BC$2:$BC$600),0)),"/")</f>
        <v>22</v>
      </c>
      <c r="Y201" s="379">
        <f t="shared" si="215"/>
        <v>3.9545454545454546</v>
      </c>
      <c r="Z201" s="379" t="s">
        <v>1046</v>
      </c>
      <c r="AA201" s="435" t="str">
        <f>入學要求!AF210</f>
        <v>優先考慮修讀以下科目者︰M1/2、經濟、ICT</v>
      </c>
      <c r="AB201" s="435" t="str">
        <f>入學要求!AG210</f>
        <v>優先考慮修讀 M1/2 者</v>
      </c>
      <c r="AC201" s="425" t="s">
        <v>785</v>
      </c>
      <c r="AD201" s="425"/>
      <c r="AE201" s="425"/>
      <c r="AF201" s="425" t="s">
        <v>324</v>
      </c>
      <c r="AG201" s="425" t="s">
        <v>324</v>
      </c>
      <c r="AH201" s="431" t="s">
        <v>3078</v>
      </c>
      <c r="AI201" s="431" t="s">
        <v>3079</v>
      </c>
      <c r="AJ201" s="425" t="s">
        <v>780</v>
      </c>
      <c r="AK201" s="379" t="s">
        <v>324</v>
      </c>
      <c r="AL201" s="379" t="s">
        <v>324</v>
      </c>
      <c r="AM201" s="379" t="s">
        <v>324</v>
      </c>
      <c r="AN201" s="379" t="s">
        <v>324</v>
      </c>
      <c r="AO201" s="379" t="s">
        <v>324</v>
      </c>
      <c r="AP201" s="379" t="s">
        <v>324</v>
      </c>
      <c r="AQ201" s="379" t="s">
        <v>324</v>
      </c>
      <c r="AR201" s="379" t="s">
        <v>324</v>
      </c>
      <c r="AT201" s="379" t="s">
        <v>716</v>
      </c>
      <c r="AV201" s="379" t="s">
        <v>713</v>
      </c>
      <c r="AZ201" s="379">
        <v>1</v>
      </c>
      <c r="BA201" s="379">
        <v>1</v>
      </c>
      <c r="BB201" s="379">
        <v>1.5</v>
      </c>
      <c r="BD201" s="379">
        <v>1.5</v>
      </c>
      <c r="BE201" s="379">
        <v>1.5</v>
      </c>
      <c r="BF201" s="379">
        <v>1</v>
      </c>
      <c r="BG201" s="379">
        <v>1</v>
      </c>
      <c r="BH201" s="2" t="str">
        <f t="shared" si="237"/>
        <v>JS4760</v>
      </c>
      <c r="BI201" s="197">
        <v>4</v>
      </c>
      <c r="BJ201" s="197">
        <v>4</v>
      </c>
      <c r="BK201" s="197">
        <v>5.5</v>
      </c>
      <c r="BL201" s="197" t="s">
        <v>324</v>
      </c>
      <c r="BM201" s="197">
        <v>5.5</v>
      </c>
      <c r="BN201" s="197">
        <v>5.5</v>
      </c>
      <c r="BO201" s="197">
        <v>3</v>
      </c>
      <c r="BP201" s="197" t="s">
        <v>324</v>
      </c>
      <c r="BQ201" s="379">
        <f t="shared" si="238"/>
        <v>4.00000000004</v>
      </c>
      <c r="BR201" s="379">
        <f t="shared" si="239"/>
        <v>4.00000000002</v>
      </c>
      <c r="BS201" s="379">
        <f t="shared" si="240"/>
        <v>5.50000000003</v>
      </c>
      <c r="BU201" s="379">
        <f t="shared" si="241"/>
        <v>5.50000000005</v>
      </c>
      <c r="BV201" s="379">
        <f t="shared" si="242"/>
        <v>5.50000000006</v>
      </c>
      <c r="BW201" s="379">
        <f t="shared" si="243"/>
        <v>3.00000000007</v>
      </c>
      <c r="BX201" s="379">
        <f t="shared" si="244"/>
        <v>0</v>
      </c>
      <c r="BY201" s="379">
        <f t="shared" ref="BY201:BY215" si="334">AZ201*BQ201</f>
        <v>4.00000000004</v>
      </c>
      <c r="BZ201" s="379">
        <f t="shared" ref="BZ201:BZ215" si="335">BA201*BR201</f>
        <v>4.00000000002</v>
      </c>
      <c r="CA201" s="379">
        <f t="shared" ref="CA201:CA215" si="336">BB201*BS201</f>
        <v>8.2500000000450004</v>
      </c>
      <c r="CC201" s="379">
        <f t="shared" ref="CC201:CC215" si="337">BD201*BU201</f>
        <v>8.2500000000749996</v>
      </c>
      <c r="CD201" s="379">
        <f t="shared" ref="CD201:CD215" si="338">BE201*BV201</f>
        <v>8.2500000000900009</v>
      </c>
      <c r="CE201" s="379">
        <f t="shared" ref="CE201:CE215" si="339">BF201*BW201</f>
        <v>3.00000000007</v>
      </c>
      <c r="CF201" s="379">
        <f t="shared" ref="CF201:CF215" si="340">BG201*BX201</f>
        <v>0</v>
      </c>
      <c r="CG201" s="2" t="b">
        <f t="shared" si="245"/>
        <v>1</v>
      </c>
      <c r="CH201" s="2" t="b">
        <f t="shared" si="246"/>
        <v>1</v>
      </c>
      <c r="CI201" s="2" t="b">
        <f t="shared" si="247"/>
        <v>1</v>
      </c>
      <c r="CJ201" s="2"/>
      <c r="CK201" s="2" t="b">
        <f t="shared" si="248"/>
        <v>1</v>
      </c>
      <c r="CL201" s="2" t="b">
        <f t="shared" si="249"/>
        <v>1</v>
      </c>
      <c r="CM201" s="2" t="b">
        <f t="shared" si="250"/>
        <v>0</v>
      </c>
      <c r="CN201" s="2" t="b">
        <f t="shared" si="251"/>
        <v>0</v>
      </c>
      <c r="CO201" s="379">
        <v>1</v>
      </c>
      <c r="CP201" s="379">
        <v>1</v>
      </c>
      <c r="CQ201" s="379">
        <v>1.5</v>
      </c>
      <c r="CS201" s="379">
        <v>1.5</v>
      </c>
      <c r="CT201" s="379">
        <v>1.5</v>
      </c>
      <c r="CU201" s="379">
        <v>1</v>
      </c>
      <c r="CV201" s="379">
        <v>1</v>
      </c>
      <c r="CX201" s="379">
        <v>3</v>
      </c>
      <c r="CY201" s="379">
        <v>3</v>
      </c>
      <c r="CZ201" s="379">
        <v>7</v>
      </c>
      <c r="DB201" s="379">
        <v>7</v>
      </c>
      <c r="DC201" s="379">
        <v>4</v>
      </c>
      <c r="DD201" s="379">
        <v>4</v>
      </c>
      <c r="DE201" s="379" t="s">
        <v>324</v>
      </c>
      <c r="DF201" s="379">
        <f t="shared" si="252"/>
        <v>3.00000000004</v>
      </c>
      <c r="DG201" s="379">
        <f t="shared" si="253"/>
        <v>3.00000000002</v>
      </c>
      <c r="DH201" s="379">
        <f t="shared" si="326"/>
        <v>7.00000000003</v>
      </c>
      <c r="DJ201" s="379">
        <f t="shared" si="327"/>
        <v>7.00000000005</v>
      </c>
      <c r="DK201" s="379">
        <f t="shared" si="328"/>
        <v>4.00000000006</v>
      </c>
      <c r="DL201" s="379">
        <f t="shared" si="329"/>
        <v>4.00000000007</v>
      </c>
      <c r="DM201" s="379">
        <f t="shared" si="330"/>
        <v>0</v>
      </c>
      <c r="DN201" s="379">
        <f t="shared" si="331"/>
        <v>3.00000000004</v>
      </c>
      <c r="DO201" s="379">
        <f t="shared" ref="DO201:DO215" si="341">DG201*CP201</f>
        <v>3.00000000002</v>
      </c>
      <c r="DP201" s="379">
        <f t="shared" ref="DP201:DP215" si="342">DH201*CQ201</f>
        <v>10.500000000045</v>
      </c>
      <c r="DR201" s="379">
        <f t="shared" ref="DR201:DR215" si="343">DJ201*CS201</f>
        <v>10.500000000075</v>
      </c>
      <c r="DS201" s="379">
        <f t="shared" ref="DS201:DS215" si="344">DK201*CT201</f>
        <v>6.00000000009</v>
      </c>
      <c r="DT201" s="379">
        <f t="shared" ref="DT201:DT215" si="345">DL201*CU201</f>
        <v>4.00000000007</v>
      </c>
      <c r="DU201" s="379">
        <f t="shared" ref="DU201:DU215" si="346">DM201*CV201</f>
        <v>0</v>
      </c>
      <c r="DV201" s="2" t="b">
        <f t="shared" si="259"/>
        <v>1</v>
      </c>
      <c r="DW201" s="2" t="b">
        <f t="shared" si="260"/>
        <v>0</v>
      </c>
      <c r="DX201" s="2" t="b">
        <f t="shared" si="261"/>
        <v>1</v>
      </c>
      <c r="DY201" s="2"/>
      <c r="DZ201" s="2" t="b">
        <f t="shared" si="262"/>
        <v>1</v>
      </c>
      <c r="EA201" s="2" t="b">
        <f t="shared" si="263"/>
        <v>1</v>
      </c>
      <c r="EB201" s="2" t="b">
        <f t="shared" si="264"/>
        <v>1</v>
      </c>
      <c r="EC201" s="2" t="b">
        <f t="shared" si="265"/>
        <v>0</v>
      </c>
      <c r="ED201" s="379">
        <v>1</v>
      </c>
      <c r="EE201" s="379">
        <v>1</v>
      </c>
      <c r="EF201" s="379">
        <v>1.5</v>
      </c>
      <c r="EH201" s="379">
        <v>1.5</v>
      </c>
      <c r="EI201" s="379">
        <v>1.5</v>
      </c>
      <c r="EJ201" s="379">
        <v>1</v>
      </c>
      <c r="EK201" s="379">
        <v>1</v>
      </c>
      <c r="EL201" s="379">
        <v>5.5</v>
      </c>
      <c r="EM201" s="379">
        <v>3</v>
      </c>
      <c r="EN201" s="379">
        <v>7</v>
      </c>
      <c r="EP201" s="379">
        <v>5.5</v>
      </c>
      <c r="EQ201" s="379">
        <v>5.5</v>
      </c>
      <c r="ER201" s="379">
        <v>4</v>
      </c>
      <c r="ES201" s="379" t="s">
        <v>324</v>
      </c>
      <c r="ET201" s="379">
        <f t="shared" si="266"/>
        <v>5.50000000004</v>
      </c>
      <c r="EU201" s="379">
        <f t="shared" si="267"/>
        <v>3.00000000002</v>
      </c>
      <c r="EV201" s="379">
        <f t="shared" si="268"/>
        <v>7.00000000003</v>
      </c>
      <c r="EW201" s="379">
        <f t="shared" si="269"/>
        <v>9.9999999999999994E-12</v>
      </c>
      <c r="EX201" s="379">
        <f t="shared" si="270"/>
        <v>5.50000000005</v>
      </c>
      <c r="EY201" s="379">
        <f t="shared" si="271"/>
        <v>5.50000000006</v>
      </c>
      <c r="EZ201" s="379">
        <f t="shared" si="272"/>
        <v>4.00000000007</v>
      </c>
      <c r="FA201" s="379">
        <f t="shared" si="273"/>
        <v>0</v>
      </c>
      <c r="FB201" s="379">
        <f t="shared" si="299"/>
        <v>5.50000000004</v>
      </c>
      <c r="FC201" s="379">
        <f t="shared" si="300"/>
        <v>3.00000000002</v>
      </c>
      <c r="FD201" s="379">
        <f t="shared" si="301"/>
        <v>10.500000000045</v>
      </c>
      <c r="FE201" s="379">
        <f t="shared" si="302"/>
        <v>0</v>
      </c>
      <c r="FF201" s="379">
        <f t="shared" si="303"/>
        <v>8.2500000000749996</v>
      </c>
      <c r="FG201" s="379">
        <f t="shared" si="304"/>
        <v>8.2500000000900009</v>
      </c>
      <c r="FH201" s="379">
        <f t="shared" si="305"/>
        <v>4.00000000007</v>
      </c>
      <c r="FI201" s="379">
        <f t="shared" si="306"/>
        <v>0</v>
      </c>
      <c r="FJ201" s="2" t="b">
        <f t="shared" si="282"/>
        <v>1</v>
      </c>
      <c r="FK201" s="2" t="b">
        <f t="shared" si="283"/>
        <v>0</v>
      </c>
      <c r="FL201" s="2" t="b">
        <f t="shared" si="284"/>
        <v>1</v>
      </c>
      <c r="FM201" s="2" t="b">
        <f t="shared" si="285"/>
        <v>0</v>
      </c>
      <c r="FN201" s="2" t="b">
        <f t="shared" si="286"/>
        <v>1</v>
      </c>
      <c r="FO201" s="2" t="b">
        <f t="shared" si="287"/>
        <v>1</v>
      </c>
      <c r="FP201" s="2" t="b">
        <f t="shared" si="288"/>
        <v>1</v>
      </c>
      <c r="FQ201" s="2" t="b">
        <f t="shared" si="289"/>
        <v>0</v>
      </c>
    </row>
    <row r="202" spans="1:173" ht="15.6">
      <c r="A202" s="335" t="s">
        <v>1347</v>
      </c>
      <c r="B202" s="346" t="s">
        <v>1347</v>
      </c>
      <c r="C202" s="346" t="s">
        <v>227</v>
      </c>
      <c r="D202" s="346" t="s">
        <v>1010</v>
      </c>
      <c r="E202" s="346" t="s">
        <v>1348</v>
      </c>
      <c r="F202" s="2" t="s">
        <v>785</v>
      </c>
      <c r="G202" s="2" t="s">
        <v>324</v>
      </c>
      <c r="H202" s="2">
        <v>28.7</v>
      </c>
      <c r="I202" s="2">
        <v>27.65</v>
      </c>
      <c r="J202" s="2">
        <v>26.6</v>
      </c>
      <c r="K202" s="435">
        <f t="shared" si="234"/>
        <v>28.700000000275999</v>
      </c>
      <c r="L202" s="435">
        <f t="shared" si="235"/>
        <v>27.650000000275998</v>
      </c>
      <c r="M202" s="435">
        <f t="shared" si="236"/>
        <v>26.600000000265997</v>
      </c>
      <c r="N202" s="346" t="s">
        <v>324</v>
      </c>
      <c r="O202" s="346" t="s">
        <v>324</v>
      </c>
      <c r="P202" s="346" t="s">
        <v>3055</v>
      </c>
      <c r="Q202" s="346" t="s">
        <v>324</v>
      </c>
      <c r="R202" s="346" t="s">
        <v>324</v>
      </c>
      <c r="S202" s="346" t="s">
        <v>1349</v>
      </c>
      <c r="T202" s="2" t="s">
        <v>1046</v>
      </c>
      <c r="U202" s="2">
        <v>63</v>
      </c>
      <c r="V202" s="2" cm="1">
        <f t="array" ref="V202">IFERROR(INDEX('Offer Statistics'!$BQ$2:$BQ$600,MATCH(1,(B202='Offer Statistics'!$BB$2:$BB$600)*($B$11='Offer Statistics'!$BC$2:$BC$600),0)),"/")</f>
        <v>25</v>
      </c>
      <c r="W202" s="2" cm="1">
        <f t="array" ref="W202">IFERROR(INDEX('Offer Statistics'!$BD$2:$BD$600,MATCH(1,($B202='Offer Statistics'!$BB$2:$BB$600)*($B$11='Offer Statistics'!$BC$2:$BC$600),0)),"/")</f>
        <v>642</v>
      </c>
      <c r="X202" s="2" cm="1">
        <f t="array" ref="X202">IFERROR(INDEX('Offer Statistics'!$BL$2:$BL$600,MATCH(1,($B202='Offer Statistics'!$BB$2:$BB$600)*($B$11='Offer Statistics'!$BC$2:$BC$600),0)),"/")</f>
        <v>25</v>
      </c>
      <c r="Y202" s="2">
        <f t="shared" si="215"/>
        <v>25.68</v>
      </c>
      <c r="Z202" s="379" t="s">
        <v>1046</v>
      </c>
      <c r="AA202" s="435" t="str">
        <f>入學要求!AF211</f>
        <v>/</v>
      </c>
      <c r="AB202" s="435" t="str">
        <f>入學要求!AG211</f>
        <v>/</v>
      </c>
      <c r="AC202" s="425" t="s">
        <v>785</v>
      </c>
      <c r="AD202" s="426"/>
      <c r="AE202" s="426"/>
      <c r="AF202" s="426" t="s">
        <v>324</v>
      </c>
      <c r="AG202" s="426" t="s">
        <v>324</v>
      </c>
      <c r="AH202" s="426" t="s">
        <v>1350</v>
      </c>
      <c r="AI202" s="426" t="s">
        <v>324</v>
      </c>
      <c r="AJ202" s="426" t="s">
        <v>324</v>
      </c>
      <c r="AK202" s="2" t="s">
        <v>324</v>
      </c>
      <c r="AL202" s="2" t="s">
        <v>324</v>
      </c>
      <c r="AM202" s="2" t="s">
        <v>324</v>
      </c>
      <c r="AN202" s="2" t="s">
        <v>324</v>
      </c>
      <c r="AO202" s="2" t="s">
        <v>324</v>
      </c>
      <c r="AP202" s="2" t="s">
        <v>324</v>
      </c>
      <c r="AQ202" s="2" t="s">
        <v>324</v>
      </c>
      <c r="AR202" s="2" t="s">
        <v>324</v>
      </c>
      <c r="AT202" s="2" t="s">
        <v>716</v>
      </c>
      <c r="AV202" s="2" t="s">
        <v>713</v>
      </c>
      <c r="AZ202" s="2">
        <v>1</v>
      </c>
      <c r="BA202" s="2">
        <v>1.3</v>
      </c>
      <c r="BB202" s="2">
        <v>1</v>
      </c>
      <c r="BD202" s="2">
        <v>1</v>
      </c>
      <c r="BE202" s="2">
        <v>1</v>
      </c>
      <c r="BF202" s="2">
        <v>1</v>
      </c>
      <c r="BG202" s="2">
        <v>1</v>
      </c>
      <c r="BH202" s="2" t="str">
        <f t="shared" si="237"/>
        <v>JS4801</v>
      </c>
      <c r="BI202" s="197">
        <v>3</v>
      </c>
      <c r="BJ202" s="197">
        <v>7</v>
      </c>
      <c r="BK202" s="197">
        <v>5.5</v>
      </c>
      <c r="BL202" s="197" t="s">
        <v>324</v>
      </c>
      <c r="BM202" s="197" t="s">
        <v>324</v>
      </c>
      <c r="BN202" s="197">
        <v>4</v>
      </c>
      <c r="BO202" s="197">
        <v>4</v>
      </c>
      <c r="BP202" s="197">
        <v>4</v>
      </c>
      <c r="BQ202" s="194">
        <f t="shared" si="238"/>
        <v>3.00000000004</v>
      </c>
      <c r="BR202" s="194">
        <f t="shared" si="239"/>
        <v>7.00000000002</v>
      </c>
      <c r="BS202" s="194">
        <f t="shared" si="240"/>
        <v>5.50000000003</v>
      </c>
      <c r="BU202" s="194">
        <f t="shared" si="241"/>
        <v>0</v>
      </c>
      <c r="BV202" s="194">
        <f t="shared" si="242"/>
        <v>4.00000000006</v>
      </c>
      <c r="BW202" s="194">
        <f t="shared" si="243"/>
        <v>4.00000000007</v>
      </c>
      <c r="BX202" s="194">
        <f t="shared" si="244"/>
        <v>4.00000000008</v>
      </c>
      <c r="BY202" s="2">
        <f t="shared" si="334"/>
        <v>3.00000000004</v>
      </c>
      <c r="BZ202" s="2">
        <f t="shared" si="335"/>
        <v>9.1000000000260002</v>
      </c>
      <c r="CA202" s="2">
        <f t="shared" si="336"/>
        <v>5.50000000003</v>
      </c>
      <c r="CC202" s="2">
        <f t="shared" si="337"/>
        <v>0</v>
      </c>
      <c r="CD202" s="2">
        <f t="shared" si="338"/>
        <v>4.00000000006</v>
      </c>
      <c r="CE202" s="2">
        <f t="shared" si="339"/>
        <v>4.00000000007</v>
      </c>
      <c r="CF202" s="2">
        <f t="shared" si="340"/>
        <v>4.00000000008</v>
      </c>
      <c r="CG202" s="2" t="b">
        <f t="shared" si="245"/>
        <v>0</v>
      </c>
      <c r="CH202" s="2" t="b">
        <f t="shared" si="246"/>
        <v>1</v>
      </c>
      <c r="CI202" s="2" t="b">
        <f t="shared" si="247"/>
        <v>1</v>
      </c>
      <c r="CK202" s="2" t="b">
        <f t="shared" si="248"/>
        <v>0</v>
      </c>
      <c r="CL202" s="2" t="b">
        <f t="shared" si="249"/>
        <v>1</v>
      </c>
      <c r="CM202" s="2" t="b">
        <f t="shared" si="250"/>
        <v>1</v>
      </c>
      <c r="CN202" s="2" t="b">
        <f t="shared" si="251"/>
        <v>1</v>
      </c>
      <c r="CO202" s="2">
        <v>1</v>
      </c>
      <c r="CP202" s="2">
        <v>1.3</v>
      </c>
      <c r="CQ202" s="2">
        <v>1</v>
      </c>
      <c r="CS202" s="2">
        <v>1</v>
      </c>
      <c r="CT202" s="2">
        <v>1</v>
      </c>
      <c r="CU202" s="2">
        <v>1</v>
      </c>
      <c r="CV202" s="2">
        <v>1</v>
      </c>
      <c r="CX202" s="2">
        <v>4</v>
      </c>
      <c r="CY202" s="2">
        <v>5.5</v>
      </c>
      <c r="CZ202" s="2">
        <v>3</v>
      </c>
      <c r="DB202" s="2" t="s">
        <v>324</v>
      </c>
      <c r="DC202" s="2">
        <v>8.5</v>
      </c>
      <c r="DD202" s="2">
        <v>4</v>
      </c>
      <c r="DE202" s="2">
        <v>4</v>
      </c>
      <c r="DF202" s="194">
        <f t="shared" si="252"/>
        <v>4.00000000004</v>
      </c>
      <c r="DG202" s="194">
        <f t="shared" si="253"/>
        <v>5.50000000002</v>
      </c>
      <c r="DH202" s="194">
        <f t="shared" si="326"/>
        <v>3.00000000003</v>
      </c>
      <c r="DJ202" s="194">
        <f t="shared" si="327"/>
        <v>0</v>
      </c>
      <c r="DK202" s="194">
        <f t="shared" si="328"/>
        <v>8.50000000006</v>
      </c>
      <c r="DL202" s="194">
        <f t="shared" si="329"/>
        <v>4.00000000007</v>
      </c>
      <c r="DM202" s="194">
        <f t="shared" si="330"/>
        <v>4.00000000008</v>
      </c>
      <c r="DN202" s="2">
        <f t="shared" si="331"/>
        <v>4.00000000004</v>
      </c>
      <c r="DO202" s="2">
        <f t="shared" si="341"/>
        <v>7.150000000026</v>
      </c>
      <c r="DP202" s="2">
        <f t="shared" si="342"/>
        <v>3.00000000003</v>
      </c>
      <c r="DR202" s="2">
        <f t="shared" si="343"/>
        <v>0</v>
      </c>
      <c r="DS202" s="2">
        <f t="shared" si="344"/>
        <v>8.50000000006</v>
      </c>
      <c r="DT202" s="2">
        <f t="shared" si="345"/>
        <v>4.00000000007</v>
      </c>
      <c r="DU202" s="2">
        <f t="shared" si="346"/>
        <v>4.00000000008</v>
      </c>
      <c r="DV202" s="2" t="b">
        <f t="shared" si="259"/>
        <v>1</v>
      </c>
      <c r="DW202" s="2" t="b">
        <f t="shared" si="260"/>
        <v>1</v>
      </c>
      <c r="DX202" s="2" t="b">
        <f t="shared" si="261"/>
        <v>0</v>
      </c>
      <c r="DZ202" s="2" t="b">
        <f t="shared" si="262"/>
        <v>0</v>
      </c>
      <c r="EA202" s="2" t="b">
        <f t="shared" si="263"/>
        <v>1</v>
      </c>
      <c r="EB202" s="2" t="b">
        <f t="shared" si="264"/>
        <v>1</v>
      </c>
      <c r="EC202" s="2" t="b">
        <f t="shared" si="265"/>
        <v>1</v>
      </c>
      <c r="ED202" s="2">
        <v>1</v>
      </c>
      <c r="EE202" s="2">
        <v>1.3</v>
      </c>
      <c r="EF202" s="2">
        <v>1</v>
      </c>
      <c r="EH202" s="2">
        <v>1</v>
      </c>
      <c r="EI202" s="2">
        <v>1</v>
      </c>
      <c r="EJ202" s="2">
        <v>1</v>
      </c>
      <c r="EK202" s="2">
        <v>1</v>
      </c>
      <c r="EL202" s="2">
        <v>5.5</v>
      </c>
      <c r="EM202" s="2">
        <v>4</v>
      </c>
      <c r="EN202" s="2">
        <v>3</v>
      </c>
      <c r="EP202" s="2" t="s">
        <v>324</v>
      </c>
      <c r="EQ202" s="2">
        <v>7</v>
      </c>
      <c r="ER202" s="2">
        <v>7</v>
      </c>
      <c r="ES202" s="2">
        <v>4</v>
      </c>
      <c r="ET202" s="194">
        <f t="shared" si="266"/>
        <v>5.50000000004</v>
      </c>
      <c r="EU202" s="194">
        <f t="shared" si="267"/>
        <v>4.00000000002</v>
      </c>
      <c r="EV202" s="194">
        <f t="shared" si="268"/>
        <v>3.00000000003</v>
      </c>
      <c r="EW202" s="194">
        <f t="shared" si="269"/>
        <v>9.9999999999999994E-12</v>
      </c>
      <c r="EX202" s="194">
        <f t="shared" si="270"/>
        <v>0</v>
      </c>
      <c r="EY202" s="194">
        <f t="shared" si="271"/>
        <v>7.00000000006</v>
      </c>
      <c r="EZ202" s="194">
        <f t="shared" si="272"/>
        <v>7.00000000007</v>
      </c>
      <c r="FA202" s="194">
        <f t="shared" si="273"/>
        <v>4.00000000008</v>
      </c>
      <c r="FB202" s="2">
        <f t="shared" si="299"/>
        <v>5.50000000004</v>
      </c>
      <c r="FC202" s="2">
        <f t="shared" si="300"/>
        <v>5.2000000000259998</v>
      </c>
      <c r="FD202" s="2">
        <f t="shared" si="301"/>
        <v>3.00000000003</v>
      </c>
      <c r="FE202" s="2">
        <f t="shared" si="302"/>
        <v>0</v>
      </c>
      <c r="FF202" s="2">
        <f t="shared" si="303"/>
        <v>0</v>
      </c>
      <c r="FG202" s="2">
        <f t="shared" si="304"/>
        <v>7.00000000006</v>
      </c>
      <c r="FH202" s="2">
        <f t="shared" si="305"/>
        <v>7.00000000007</v>
      </c>
      <c r="FI202" s="2">
        <f t="shared" si="306"/>
        <v>4.00000000008</v>
      </c>
      <c r="FJ202" s="2" t="b">
        <f t="shared" si="282"/>
        <v>1</v>
      </c>
      <c r="FK202" s="2" t="b">
        <f t="shared" si="283"/>
        <v>1</v>
      </c>
      <c r="FL202" s="2" t="b">
        <f t="shared" si="284"/>
        <v>0</v>
      </c>
      <c r="FM202" s="2" t="b">
        <f t="shared" si="285"/>
        <v>0</v>
      </c>
      <c r="FN202" s="2" t="b">
        <f t="shared" si="286"/>
        <v>0</v>
      </c>
      <c r="FO202" s="2" t="b">
        <f t="shared" si="287"/>
        <v>1</v>
      </c>
      <c r="FP202" s="2" t="b">
        <f t="shared" si="288"/>
        <v>1</v>
      </c>
      <c r="FQ202" s="2" t="b">
        <f t="shared" si="289"/>
        <v>1</v>
      </c>
    </row>
    <row r="203" spans="1:173" ht="15.6">
      <c r="A203" s="335" t="s">
        <v>1351</v>
      </c>
      <c r="B203" s="346" t="s">
        <v>1351</v>
      </c>
      <c r="C203" s="346" t="s">
        <v>227</v>
      </c>
      <c r="D203" s="346" t="s">
        <v>1010</v>
      </c>
      <c r="E203" s="346" t="s">
        <v>1352</v>
      </c>
      <c r="F203" s="2" t="s">
        <v>785</v>
      </c>
      <c r="G203" s="2" t="s">
        <v>324</v>
      </c>
      <c r="H203" s="2">
        <v>31</v>
      </c>
      <c r="I203" s="2">
        <v>28</v>
      </c>
      <c r="J203" s="2">
        <v>27.25</v>
      </c>
      <c r="K203" s="435">
        <f t="shared" si="234"/>
        <v>31.000000000269999</v>
      </c>
      <c r="L203" s="435">
        <f t="shared" si="235"/>
        <v>28.00000000028</v>
      </c>
      <c r="M203" s="435">
        <f t="shared" si="236"/>
        <v>27.250000000229999</v>
      </c>
      <c r="N203" s="346" t="s">
        <v>324</v>
      </c>
      <c r="O203" s="346" t="s">
        <v>324</v>
      </c>
      <c r="P203" s="346" t="s">
        <v>734</v>
      </c>
      <c r="Q203" s="346" t="s">
        <v>324</v>
      </c>
      <c r="R203" s="346" t="s">
        <v>324</v>
      </c>
      <c r="S203" s="346" t="s">
        <v>1353</v>
      </c>
      <c r="T203" s="2" t="s">
        <v>1046</v>
      </c>
      <c r="U203" s="2">
        <v>31</v>
      </c>
      <c r="V203" s="2" cm="1">
        <f t="array" ref="V203">IFERROR(INDEX('Offer Statistics'!$BQ$2:$BQ$600,MATCH(1,(B203='Offer Statistics'!$BB$2:$BB$600)*($B$11='Offer Statistics'!$BC$2:$BC$600),0)),"/")</f>
        <v>30</v>
      </c>
      <c r="W203" s="2" cm="1">
        <f t="array" ref="W203">IFERROR(INDEX('Offer Statistics'!$BD$2:$BD$600,MATCH(1,($B203='Offer Statistics'!$BB$2:$BB$600)*($B$11='Offer Statistics'!$BC$2:$BC$600),0)),"/")</f>
        <v>140</v>
      </c>
      <c r="X203" s="2" cm="1">
        <f t="array" ref="X203">IFERROR(INDEX('Offer Statistics'!$BL$2:$BL$600,MATCH(1,($B203='Offer Statistics'!$BB$2:$BB$600)*($B$11='Offer Statistics'!$BC$2:$BC$600),0)),"/")</f>
        <v>30</v>
      </c>
      <c r="Y203" s="2">
        <f t="shared" si="215"/>
        <v>4.666666666666667</v>
      </c>
      <c r="Z203" s="2" t="s">
        <v>1046</v>
      </c>
      <c r="AA203" s="435" t="str">
        <f>入學要求!AF212</f>
        <v>/</v>
      </c>
      <c r="AB203" s="435" t="str">
        <f>入學要求!AG212</f>
        <v>/</v>
      </c>
      <c r="AC203" s="425" t="s">
        <v>785</v>
      </c>
      <c r="AD203" s="426"/>
      <c r="AE203" s="426"/>
      <c r="AF203" s="426" t="s">
        <v>324</v>
      </c>
      <c r="AG203" s="426" t="s">
        <v>324</v>
      </c>
      <c r="AH203" s="426" t="s">
        <v>732</v>
      </c>
      <c r="AI203" s="426" t="s">
        <v>324</v>
      </c>
      <c r="AJ203" s="426" t="s">
        <v>324</v>
      </c>
      <c r="AK203" s="2" t="s">
        <v>324</v>
      </c>
      <c r="AL203" s="2" t="s">
        <v>324</v>
      </c>
      <c r="AM203" s="2" t="s">
        <v>324</v>
      </c>
      <c r="AN203" s="2" t="s">
        <v>1354</v>
      </c>
      <c r="AO203" s="155" t="s">
        <v>1355</v>
      </c>
      <c r="AP203" s="2" t="s">
        <v>324</v>
      </c>
      <c r="AQ203" s="2" t="s">
        <v>324</v>
      </c>
      <c r="AR203" s="2" t="s">
        <v>324</v>
      </c>
      <c r="AT203" s="2" t="s">
        <v>716</v>
      </c>
      <c r="AV203" s="2" t="s">
        <v>713</v>
      </c>
      <c r="AZ203" s="2">
        <v>1</v>
      </c>
      <c r="BA203" s="2">
        <v>1.5</v>
      </c>
      <c r="BB203" s="2">
        <v>1</v>
      </c>
      <c r="BD203" s="2">
        <v>1</v>
      </c>
      <c r="BE203" s="2">
        <v>1</v>
      </c>
      <c r="BF203" s="2">
        <v>1</v>
      </c>
      <c r="BG203" s="2">
        <v>1</v>
      </c>
      <c r="BH203" s="2" t="str">
        <f t="shared" si="237"/>
        <v>JS4812</v>
      </c>
      <c r="BI203" s="197">
        <v>4</v>
      </c>
      <c r="BJ203" s="197">
        <v>5.5</v>
      </c>
      <c r="BK203" s="197">
        <v>4</v>
      </c>
      <c r="BL203" s="197" t="s">
        <v>324</v>
      </c>
      <c r="BM203" s="197" t="s">
        <v>324</v>
      </c>
      <c r="BN203" s="197">
        <v>7</v>
      </c>
      <c r="BO203" s="197">
        <v>4</v>
      </c>
      <c r="BP203" s="197">
        <v>3</v>
      </c>
      <c r="BQ203" s="194">
        <f t="shared" si="238"/>
        <v>4.00000000004</v>
      </c>
      <c r="BR203" s="194">
        <f t="shared" si="239"/>
        <v>5.50000000002</v>
      </c>
      <c r="BS203" s="194">
        <f t="shared" si="240"/>
        <v>4.00000000003</v>
      </c>
      <c r="BU203" s="194">
        <f t="shared" si="241"/>
        <v>0</v>
      </c>
      <c r="BV203" s="194">
        <f t="shared" si="242"/>
        <v>7.00000000006</v>
      </c>
      <c r="BW203" s="194">
        <f t="shared" si="243"/>
        <v>4.00000000007</v>
      </c>
      <c r="BX203" s="194">
        <f t="shared" si="244"/>
        <v>3.00000000008</v>
      </c>
      <c r="BY203" s="2">
        <f t="shared" si="334"/>
        <v>4.00000000004</v>
      </c>
      <c r="BZ203" s="2">
        <f t="shared" si="335"/>
        <v>8.2500000000299991</v>
      </c>
      <c r="CA203" s="2">
        <f t="shared" si="336"/>
        <v>4.00000000003</v>
      </c>
      <c r="CC203" s="2">
        <f t="shared" si="337"/>
        <v>0</v>
      </c>
      <c r="CD203" s="2">
        <f t="shared" si="338"/>
        <v>7.00000000006</v>
      </c>
      <c r="CE203" s="2">
        <f t="shared" si="339"/>
        <v>4.00000000007</v>
      </c>
      <c r="CF203" s="2">
        <f t="shared" si="340"/>
        <v>3.00000000008</v>
      </c>
      <c r="CG203" s="2" t="b">
        <f t="shared" si="245"/>
        <v>1</v>
      </c>
      <c r="CH203" s="2" t="b">
        <f t="shared" si="246"/>
        <v>1</v>
      </c>
      <c r="CI203" s="2" t="b">
        <f t="shared" si="247"/>
        <v>1</v>
      </c>
      <c r="CK203" s="2" t="b">
        <f t="shared" si="248"/>
        <v>0</v>
      </c>
      <c r="CL203" s="2" t="b">
        <f t="shared" si="249"/>
        <v>1</v>
      </c>
      <c r="CM203" s="2" t="b">
        <f t="shared" si="250"/>
        <v>1</v>
      </c>
      <c r="CN203" s="2" t="b">
        <f t="shared" si="251"/>
        <v>0</v>
      </c>
      <c r="CO203" s="2">
        <v>1</v>
      </c>
      <c r="CP203" s="2">
        <v>1.5</v>
      </c>
      <c r="CQ203" s="2">
        <v>1</v>
      </c>
      <c r="CS203" s="2">
        <v>1</v>
      </c>
      <c r="CT203" s="2">
        <v>1</v>
      </c>
      <c r="CU203" s="2">
        <v>1</v>
      </c>
      <c r="CV203" s="2">
        <v>1</v>
      </c>
      <c r="CX203" s="2">
        <v>7</v>
      </c>
      <c r="CY203" s="2">
        <v>4</v>
      </c>
      <c r="CZ203" s="2">
        <v>4</v>
      </c>
      <c r="DB203" s="2" t="s">
        <v>324</v>
      </c>
      <c r="DC203" s="2">
        <v>7</v>
      </c>
      <c r="DD203" s="2">
        <v>4</v>
      </c>
      <c r="DE203" s="2">
        <v>4</v>
      </c>
      <c r="DF203" s="194">
        <f t="shared" si="252"/>
        <v>7.00000000004</v>
      </c>
      <c r="DG203" s="194">
        <f t="shared" si="253"/>
        <v>4.00000000002</v>
      </c>
      <c r="DH203" s="194">
        <f t="shared" si="326"/>
        <v>4.00000000003</v>
      </c>
      <c r="DJ203" s="194">
        <f t="shared" si="327"/>
        <v>0</v>
      </c>
      <c r="DK203" s="194">
        <f t="shared" si="328"/>
        <v>7.00000000006</v>
      </c>
      <c r="DL203" s="194">
        <f t="shared" si="329"/>
        <v>4.00000000007</v>
      </c>
      <c r="DM203" s="194">
        <f t="shared" si="330"/>
        <v>4.00000000008</v>
      </c>
      <c r="DN203" s="2">
        <f t="shared" si="331"/>
        <v>7.00000000004</v>
      </c>
      <c r="DO203" s="2">
        <f t="shared" si="341"/>
        <v>6.00000000003</v>
      </c>
      <c r="DP203" s="2">
        <f t="shared" si="342"/>
        <v>4.00000000003</v>
      </c>
      <c r="DR203" s="2">
        <f t="shared" si="343"/>
        <v>0</v>
      </c>
      <c r="DS203" s="2">
        <f t="shared" si="344"/>
        <v>7.00000000006</v>
      </c>
      <c r="DT203" s="2">
        <f t="shared" si="345"/>
        <v>4.00000000007</v>
      </c>
      <c r="DU203" s="2">
        <f t="shared" si="346"/>
        <v>4.00000000008</v>
      </c>
      <c r="DV203" s="2" t="b">
        <f t="shared" si="259"/>
        <v>1</v>
      </c>
      <c r="DW203" s="2" t="b">
        <f t="shared" si="260"/>
        <v>1</v>
      </c>
      <c r="DX203" s="2" t="b">
        <f t="shared" si="261"/>
        <v>0</v>
      </c>
      <c r="DZ203" s="2" t="b">
        <f t="shared" si="262"/>
        <v>0</v>
      </c>
      <c r="EA203" s="2" t="b">
        <f t="shared" si="263"/>
        <v>1</v>
      </c>
      <c r="EB203" s="2" t="b">
        <f t="shared" si="264"/>
        <v>1</v>
      </c>
      <c r="EC203" s="2" t="b">
        <f t="shared" si="265"/>
        <v>1</v>
      </c>
      <c r="ED203" s="2">
        <v>1</v>
      </c>
      <c r="EE203" s="2">
        <v>1.5</v>
      </c>
      <c r="EF203" s="2">
        <v>1</v>
      </c>
      <c r="EH203" s="2">
        <v>1</v>
      </c>
      <c r="EI203" s="2">
        <v>1</v>
      </c>
      <c r="EJ203" s="2">
        <v>1</v>
      </c>
      <c r="EK203" s="2">
        <v>1</v>
      </c>
      <c r="EL203" s="2">
        <v>4</v>
      </c>
      <c r="EM203" s="2">
        <v>4</v>
      </c>
      <c r="EN203" s="2">
        <v>5.5</v>
      </c>
      <c r="EP203" s="2" t="s">
        <v>324</v>
      </c>
      <c r="EQ203" s="2">
        <v>7</v>
      </c>
      <c r="ER203" s="2">
        <v>7</v>
      </c>
      <c r="ES203" s="2">
        <v>5.5</v>
      </c>
      <c r="ET203" s="194">
        <f t="shared" si="266"/>
        <v>4.00000000004</v>
      </c>
      <c r="EU203" s="194">
        <f t="shared" si="267"/>
        <v>4.00000000002</v>
      </c>
      <c r="EV203" s="194">
        <f t="shared" si="268"/>
        <v>5.50000000003</v>
      </c>
      <c r="EW203" s="194">
        <f t="shared" si="269"/>
        <v>9.9999999999999994E-12</v>
      </c>
      <c r="EX203" s="194">
        <f t="shared" si="270"/>
        <v>0</v>
      </c>
      <c r="EY203" s="194">
        <f t="shared" si="271"/>
        <v>7.00000000006</v>
      </c>
      <c r="EZ203" s="194">
        <f t="shared" si="272"/>
        <v>7.00000000007</v>
      </c>
      <c r="FA203" s="194">
        <f t="shared" si="273"/>
        <v>5.50000000008</v>
      </c>
      <c r="FB203" s="2">
        <f t="shared" si="299"/>
        <v>4.00000000004</v>
      </c>
      <c r="FC203" s="2">
        <f t="shared" si="300"/>
        <v>6.00000000003</v>
      </c>
      <c r="FD203" s="2">
        <f t="shared" si="301"/>
        <v>5.50000000003</v>
      </c>
      <c r="FE203" s="2">
        <f t="shared" si="302"/>
        <v>0</v>
      </c>
      <c r="FF203" s="2">
        <f t="shared" si="303"/>
        <v>0</v>
      </c>
      <c r="FG203" s="2">
        <f t="shared" si="304"/>
        <v>7.00000000006</v>
      </c>
      <c r="FH203" s="2">
        <f t="shared" si="305"/>
        <v>7.00000000007</v>
      </c>
      <c r="FI203" s="2">
        <f t="shared" si="306"/>
        <v>5.50000000008</v>
      </c>
      <c r="FJ203" s="2" t="b">
        <f t="shared" si="282"/>
        <v>0</v>
      </c>
      <c r="FK203" s="2" t="b">
        <f t="shared" si="283"/>
        <v>1</v>
      </c>
      <c r="FL203" s="2" t="b">
        <f t="shared" si="284"/>
        <v>1</v>
      </c>
      <c r="FM203" s="2" t="b">
        <f t="shared" si="285"/>
        <v>0</v>
      </c>
      <c r="FN203" s="2" t="b">
        <f t="shared" si="286"/>
        <v>0</v>
      </c>
      <c r="FO203" s="2" t="b">
        <f t="shared" si="287"/>
        <v>1</v>
      </c>
      <c r="FP203" s="2" t="b">
        <f t="shared" si="288"/>
        <v>1</v>
      </c>
      <c r="FQ203" s="2" t="b">
        <f t="shared" si="289"/>
        <v>1</v>
      </c>
    </row>
    <row r="204" spans="1:173" ht="15.6">
      <c r="A204" s="335" t="s">
        <v>1356</v>
      </c>
      <c r="B204" s="346" t="s">
        <v>1356</v>
      </c>
      <c r="C204" s="346" t="s">
        <v>227</v>
      </c>
      <c r="D204" s="346" t="s">
        <v>1010</v>
      </c>
      <c r="E204" s="346" t="s">
        <v>1357</v>
      </c>
      <c r="F204" s="2" t="s">
        <v>785</v>
      </c>
      <c r="G204" s="2" t="s">
        <v>324</v>
      </c>
      <c r="H204" s="2">
        <v>32.25</v>
      </c>
      <c r="I204" s="2">
        <v>30</v>
      </c>
      <c r="J204" s="2">
        <v>29</v>
      </c>
      <c r="K204" s="435">
        <f t="shared" si="234"/>
        <v>32.250000000325002</v>
      </c>
      <c r="L204" s="435">
        <f t="shared" si="235"/>
        <v>30.000000000235001</v>
      </c>
      <c r="M204" s="435">
        <f t="shared" si="236"/>
        <v>29.000000000324999</v>
      </c>
      <c r="N204" s="346" t="s">
        <v>324</v>
      </c>
      <c r="O204" s="346" t="s">
        <v>324</v>
      </c>
      <c r="P204" s="346" t="s">
        <v>780</v>
      </c>
      <c r="Q204" s="346" t="s">
        <v>3038</v>
      </c>
      <c r="R204" s="346" t="s">
        <v>324</v>
      </c>
      <c r="S204" s="346" t="s">
        <v>1358</v>
      </c>
      <c r="T204" s="2" t="s">
        <v>1046</v>
      </c>
      <c r="U204" s="2">
        <v>65</v>
      </c>
      <c r="V204" s="2" cm="1">
        <f t="array" ref="V204">IFERROR(INDEX('Offer Statistics'!$BQ$2:$BQ$600,MATCH(1,(B204='Offer Statistics'!$BB$2:$BB$600)*($B$11='Offer Statistics'!$BC$2:$BC$600),0)),"/")</f>
        <v>55</v>
      </c>
      <c r="W204" s="2" cm="1">
        <f t="array" ref="W204">IFERROR(INDEX('Offer Statistics'!$BD$2:$BD$600,MATCH(1,($B204='Offer Statistics'!$BB$2:$BB$600)*($B$11='Offer Statistics'!$BC$2:$BC$600),0)),"/")</f>
        <v>334</v>
      </c>
      <c r="X204" s="2" cm="1">
        <f t="array" ref="X204">IFERROR(INDEX('Offer Statistics'!$BL$2:$BL$600,MATCH(1,($B204='Offer Statistics'!$BB$2:$BB$600)*($B$11='Offer Statistics'!$BC$2:$BC$600),0)),"/")</f>
        <v>55</v>
      </c>
      <c r="Y204" s="2">
        <f t="shared" si="215"/>
        <v>6.0727272727272723</v>
      </c>
      <c r="Z204" s="2" t="s">
        <v>1046</v>
      </c>
      <c r="AA204" s="435" t="str">
        <f>入學要求!AF213</f>
        <v>/</v>
      </c>
      <c r="AB204" s="435" t="str">
        <f>入學要求!AG213</f>
        <v>/</v>
      </c>
      <c r="AC204" s="425" t="s">
        <v>785</v>
      </c>
      <c r="AD204" s="426"/>
      <c r="AE204" s="426"/>
      <c r="AF204" s="426" t="s">
        <v>324</v>
      </c>
      <c r="AG204" s="426" t="s">
        <v>324</v>
      </c>
      <c r="AH204" s="426" t="s">
        <v>778</v>
      </c>
      <c r="AI204" s="426" t="s">
        <v>1220</v>
      </c>
      <c r="AJ204" s="426" t="s">
        <v>324</v>
      </c>
      <c r="AK204" s="2" t="s">
        <v>324</v>
      </c>
      <c r="AL204" s="2" t="s">
        <v>324</v>
      </c>
      <c r="AM204" s="2" t="s">
        <v>324</v>
      </c>
      <c r="AN204" s="2" t="s">
        <v>324</v>
      </c>
      <c r="AO204" s="2" t="s">
        <v>324</v>
      </c>
      <c r="AP204" s="2" t="s">
        <v>324</v>
      </c>
      <c r="AQ204" s="2" t="s">
        <v>324</v>
      </c>
      <c r="AR204" s="2" t="s">
        <v>324</v>
      </c>
      <c r="AT204" s="2" t="s">
        <v>716</v>
      </c>
      <c r="AV204" s="2" t="s">
        <v>713</v>
      </c>
      <c r="AZ204" s="2">
        <v>1</v>
      </c>
      <c r="BA204" s="2">
        <v>1</v>
      </c>
      <c r="BB204" s="2">
        <v>1.5</v>
      </c>
      <c r="BD204" s="329">
        <v>1</v>
      </c>
      <c r="BE204" s="334">
        <v>1.5</v>
      </c>
      <c r="BF204" s="2">
        <v>1</v>
      </c>
      <c r="BG204" s="2">
        <v>1</v>
      </c>
      <c r="BH204" s="2" t="str">
        <f t="shared" si="237"/>
        <v>JS4824</v>
      </c>
      <c r="BI204" s="197">
        <v>3</v>
      </c>
      <c r="BJ204" s="197">
        <v>3</v>
      </c>
      <c r="BK204" s="197">
        <v>4</v>
      </c>
      <c r="BL204" s="197" t="s">
        <v>324</v>
      </c>
      <c r="BM204" s="197" t="s">
        <v>324</v>
      </c>
      <c r="BN204" s="197">
        <v>7</v>
      </c>
      <c r="BO204" s="197">
        <v>5.5</v>
      </c>
      <c r="BP204" s="197">
        <v>4</v>
      </c>
      <c r="BQ204" s="194">
        <f t="shared" si="238"/>
        <v>3.00000000004</v>
      </c>
      <c r="BR204" s="194">
        <f t="shared" si="239"/>
        <v>3.00000000002</v>
      </c>
      <c r="BS204" s="194">
        <f t="shared" si="240"/>
        <v>4.00000000003</v>
      </c>
      <c r="BU204" s="194">
        <f t="shared" si="241"/>
        <v>0</v>
      </c>
      <c r="BV204" s="194">
        <f t="shared" si="242"/>
        <v>7.00000000006</v>
      </c>
      <c r="BW204" s="194">
        <f t="shared" si="243"/>
        <v>5.50000000007</v>
      </c>
      <c r="BX204" s="194">
        <f t="shared" si="244"/>
        <v>4.00000000008</v>
      </c>
      <c r="BY204" s="2">
        <f t="shared" si="334"/>
        <v>3.00000000004</v>
      </c>
      <c r="BZ204" s="2">
        <f t="shared" si="335"/>
        <v>3.00000000002</v>
      </c>
      <c r="CA204" s="2">
        <f t="shared" si="336"/>
        <v>6.0000000000450004</v>
      </c>
      <c r="CC204" s="2">
        <f t="shared" si="337"/>
        <v>0</v>
      </c>
      <c r="CD204" s="2">
        <f t="shared" si="338"/>
        <v>10.500000000090001</v>
      </c>
      <c r="CE204" s="2">
        <f t="shared" si="339"/>
        <v>5.50000000007</v>
      </c>
      <c r="CF204" s="2">
        <f t="shared" si="340"/>
        <v>4.00000000008</v>
      </c>
      <c r="CG204" s="2" t="b">
        <f t="shared" si="245"/>
        <v>1</v>
      </c>
      <c r="CH204" s="2" t="b">
        <f t="shared" si="246"/>
        <v>0</v>
      </c>
      <c r="CI204" s="2" t="b">
        <f t="shared" si="247"/>
        <v>1</v>
      </c>
      <c r="CK204" s="2" t="b">
        <f t="shared" si="248"/>
        <v>0</v>
      </c>
      <c r="CL204" s="2" t="b">
        <f t="shared" si="249"/>
        <v>1</v>
      </c>
      <c r="CM204" s="2" t="b">
        <f t="shared" si="250"/>
        <v>1</v>
      </c>
      <c r="CN204" s="2" t="b">
        <f t="shared" si="251"/>
        <v>1</v>
      </c>
      <c r="CO204" s="2">
        <v>1</v>
      </c>
      <c r="CP204" s="2">
        <v>1</v>
      </c>
      <c r="CQ204" s="2">
        <v>1.5</v>
      </c>
      <c r="CS204" s="146">
        <v>1</v>
      </c>
      <c r="CT204" s="146">
        <v>1</v>
      </c>
      <c r="CU204" s="93">
        <v>1</v>
      </c>
      <c r="CV204" s="2">
        <v>1</v>
      </c>
      <c r="CX204" s="2">
        <v>5.5</v>
      </c>
      <c r="CY204" s="2">
        <v>3</v>
      </c>
      <c r="CZ204" s="2">
        <v>7</v>
      </c>
      <c r="DB204" s="2" t="s">
        <v>324</v>
      </c>
      <c r="DC204" s="2">
        <v>5.5</v>
      </c>
      <c r="DD204" s="2">
        <v>5.5</v>
      </c>
      <c r="DE204" s="2" t="s">
        <v>324</v>
      </c>
      <c r="DF204" s="194">
        <f t="shared" si="252"/>
        <v>5.50000000004</v>
      </c>
      <c r="DG204" s="194">
        <f t="shared" si="253"/>
        <v>3.00000000002</v>
      </c>
      <c r="DH204" s="194">
        <f t="shared" si="326"/>
        <v>7.00000000003</v>
      </c>
      <c r="DJ204" s="194">
        <f t="shared" si="327"/>
        <v>0</v>
      </c>
      <c r="DK204" s="194">
        <f t="shared" si="328"/>
        <v>5.50000000006</v>
      </c>
      <c r="DL204" s="194">
        <f t="shared" si="329"/>
        <v>5.50000000007</v>
      </c>
      <c r="DM204" s="194">
        <f t="shared" si="330"/>
        <v>0</v>
      </c>
      <c r="DN204" s="2">
        <f t="shared" si="331"/>
        <v>5.50000000004</v>
      </c>
      <c r="DO204" s="2">
        <f t="shared" si="341"/>
        <v>3.00000000002</v>
      </c>
      <c r="DP204" s="2">
        <f t="shared" si="342"/>
        <v>10.500000000045</v>
      </c>
      <c r="DR204" s="2">
        <f t="shared" si="343"/>
        <v>0</v>
      </c>
      <c r="DS204" s="2">
        <f t="shared" si="344"/>
        <v>5.50000000006</v>
      </c>
      <c r="DT204" s="2">
        <f t="shared" si="345"/>
        <v>5.50000000007</v>
      </c>
      <c r="DU204" s="2">
        <f t="shared" si="346"/>
        <v>0</v>
      </c>
      <c r="DV204" s="2" t="b">
        <f t="shared" si="259"/>
        <v>1</v>
      </c>
      <c r="DW204" s="2" t="b">
        <f t="shared" si="260"/>
        <v>1</v>
      </c>
      <c r="DX204" s="2" t="b">
        <f t="shared" si="261"/>
        <v>1</v>
      </c>
      <c r="DZ204" s="2" t="b">
        <f t="shared" si="262"/>
        <v>0</v>
      </c>
      <c r="EA204" s="2" t="b">
        <f t="shared" si="263"/>
        <v>1</v>
      </c>
      <c r="EB204" s="2" t="b">
        <f t="shared" si="264"/>
        <v>1</v>
      </c>
      <c r="EC204" s="2" t="b">
        <f t="shared" si="265"/>
        <v>0</v>
      </c>
      <c r="ED204" s="2">
        <v>1</v>
      </c>
      <c r="EE204" s="2">
        <v>1</v>
      </c>
      <c r="EF204" s="2">
        <v>1.5</v>
      </c>
      <c r="EH204" s="2">
        <v>1</v>
      </c>
      <c r="EI204" s="146">
        <v>1.5</v>
      </c>
      <c r="EJ204" s="2">
        <v>1</v>
      </c>
      <c r="EK204" s="2">
        <v>1</v>
      </c>
      <c r="EL204" s="2">
        <v>4</v>
      </c>
      <c r="EM204" s="2">
        <v>3</v>
      </c>
      <c r="EN204" s="2">
        <v>5.5</v>
      </c>
      <c r="EP204" s="2" t="s">
        <v>324</v>
      </c>
      <c r="EQ204" s="2">
        <v>7</v>
      </c>
      <c r="ER204" s="2">
        <v>5.5</v>
      </c>
      <c r="ES204" s="2">
        <v>4</v>
      </c>
      <c r="ET204" s="194">
        <f t="shared" si="266"/>
        <v>4.00000000004</v>
      </c>
      <c r="EU204" s="194">
        <f t="shared" si="267"/>
        <v>3.00000000002</v>
      </c>
      <c r="EV204" s="194">
        <f t="shared" si="268"/>
        <v>5.50000000003</v>
      </c>
      <c r="EW204" s="194">
        <f t="shared" si="269"/>
        <v>9.9999999999999994E-12</v>
      </c>
      <c r="EX204" s="194">
        <f t="shared" si="270"/>
        <v>0</v>
      </c>
      <c r="EY204" s="194">
        <f t="shared" si="271"/>
        <v>7.00000000006</v>
      </c>
      <c r="EZ204" s="194">
        <f t="shared" si="272"/>
        <v>5.50000000007</v>
      </c>
      <c r="FA204" s="194">
        <f t="shared" si="273"/>
        <v>4.00000000008</v>
      </c>
      <c r="FB204" s="2">
        <f>ET204*ED204</f>
        <v>4.00000000004</v>
      </c>
      <c r="FC204" s="2">
        <f t="shared" si="300"/>
        <v>3.00000000002</v>
      </c>
      <c r="FD204" s="2">
        <f t="shared" si="301"/>
        <v>8.2500000000450004</v>
      </c>
      <c r="FE204" s="2">
        <f t="shared" si="302"/>
        <v>0</v>
      </c>
      <c r="FF204" s="2">
        <f t="shared" si="303"/>
        <v>0</v>
      </c>
      <c r="FG204" s="2">
        <f t="shared" si="304"/>
        <v>10.500000000090001</v>
      </c>
      <c r="FH204" s="2">
        <f t="shared" si="305"/>
        <v>5.50000000007</v>
      </c>
      <c r="FI204" s="2">
        <f t="shared" si="306"/>
        <v>4.00000000008</v>
      </c>
      <c r="FJ204" s="2" t="b">
        <f t="shared" si="282"/>
        <v>1</v>
      </c>
      <c r="FK204" s="2" t="b">
        <f t="shared" si="283"/>
        <v>0</v>
      </c>
      <c r="FL204" s="2" t="b">
        <f t="shared" si="284"/>
        <v>1</v>
      </c>
      <c r="FM204" s="2" t="b">
        <f t="shared" si="285"/>
        <v>0</v>
      </c>
      <c r="FN204" s="2" t="b">
        <f t="shared" si="286"/>
        <v>0</v>
      </c>
      <c r="FO204" s="2" t="b">
        <f t="shared" si="287"/>
        <v>1</v>
      </c>
      <c r="FP204" s="2" t="b">
        <f t="shared" si="288"/>
        <v>1</v>
      </c>
      <c r="FQ204" s="2" t="b">
        <f t="shared" si="289"/>
        <v>1</v>
      </c>
    </row>
    <row r="205" spans="1:173" ht="15.6">
      <c r="A205" s="335" t="s">
        <v>1359</v>
      </c>
      <c r="B205" s="346" t="s">
        <v>1359</v>
      </c>
      <c r="C205" s="346" t="s">
        <v>227</v>
      </c>
      <c r="D205" s="346" t="s">
        <v>1010</v>
      </c>
      <c r="E205" s="346" t="s">
        <v>1360</v>
      </c>
      <c r="F205" s="2" t="s">
        <v>785</v>
      </c>
      <c r="G205" s="2" t="s">
        <v>324</v>
      </c>
      <c r="H205" s="2">
        <v>32.25</v>
      </c>
      <c r="I205" s="2">
        <v>30.75</v>
      </c>
      <c r="J205" s="2">
        <v>30</v>
      </c>
      <c r="K205" s="435">
        <f t="shared" si="234"/>
        <v>32.250000000280004</v>
      </c>
      <c r="L205" s="435">
        <f t="shared" si="235"/>
        <v>30.750000000259998</v>
      </c>
      <c r="M205" s="435">
        <f t="shared" si="236"/>
        <v>30.000000000259998</v>
      </c>
      <c r="N205" s="346" t="s">
        <v>324</v>
      </c>
      <c r="O205" s="346" t="s">
        <v>324</v>
      </c>
      <c r="P205" s="346" t="s">
        <v>2502</v>
      </c>
      <c r="Q205" s="346" t="s">
        <v>324</v>
      </c>
      <c r="R205" s="346" t="s">
        <v>324</v>
      </c>
      <c r="S205" s="346" t="s">
        <v>1361</v>
      </c>
      <c r="T205" s="2" t="s">
        <v>1046</v>
      </c>
      <c r="U205" s="2">
        <v>39</v>
      </c>
      <c r="V205" s="2" cm="1">
        <f t="array" ref="V205">IFERROR(INDEX('Offer Statistics'!$BQ$2:$BQ$600,MATCH(1,(B205='Offer Statistics'!$BB$2:$BB$600)*($B$11='Offer Statistics'!$BC$2:$BC$600),0)),"/")</f>
        <v>44</v>
      </c>
      <c r="W205" s="2" cm="1">
        <f t="array" ref="W205">IFERROR(INDEX('Offer Statistics'!$BD$2:$BD$600,MATCH(1,($B205='Offer Statistics'!$BB$2:$BB$600)*($B$11='Offer Statistics'!$BC$2:$BC$600),0)),"/")</f>
        <v>305</v>
      </c>
      <c r="X205" s="2" cm="1">
        <f t="array" ref="X205">IFERROR(INDEX('Offer Statistics'!$BL$2:$BL$600,MATCH(1,($B205='Offer Statistics'!$BB$2:$BB$600)*($B$11='Offer Statistics'!$BC$2:$BC$600),0)),"/")</f>
        <v>44</v>
      </c>
      <c r="Y205" s="2">
        <f t="shared" si="215"/>
        <v>6.9318181818181817</v>
      </c>
      <c r="Z205" s="2" t="s">
        <v>1046</v>
      </c>
      <c r="AA205" s="435" t="str">
        <f>入學要求!AF214</f>
        <v>/</v>
      </c>
      <c r="AB205" s="435" t="str">
        <f>入學要求!AG214</f>
        <v>/</v>
      </c>
      <c r="AC205" s="425" t="s">
        <v>785</v>
      </c>
      <c r="AD205" s="426"/>
      <c r="AE205" s="426"/>
      <c r="AF205" s="426" t="s">
        <v>324</v>
      </c>
      <c r="AG205" s="426" t="s">
        <v>324</v>
      </c>
      <c r="AH205" s="426" t="s">
        <v>1362</v>
      </c>
      <c r="AI205" s="426" t="s">
        <v>324</v>
      </c>
      <c r="AJ205" s="426" t="s">
        <v>324</v>
      </c>
      <c r="AK205" s="2" t="s">
        <v>324</v>
      </c>
      <c r="AL205" s="2" t="s">
        <v>324</v>
      </c>
      <c r="AM205" s="2" t="s">
        <v>324</v>
      </c>
      <c r="AN205" s="2" t="s">
        <v>324</v>
      </c>
      <c r="AO205" s="2" t="s">
        <v>324</v>
      </c>
      <c r="AP205" s="2" t="s">
        <v>324</v>
      </c>
      <c r="AQ205" s="2" t="s">
        <v>324</v>
      </c>
      <c r="AR205" s="2" t="s">
        <v>324</v>
      </c>
      <c r="AT205" s="2" t="s">
        <v>716</v>
      </c>
      <c r="AV205" s="2" t="s">
        <v>713</v>
      </c>
      <c r="AZ205" s="2">
        <v>1</v>
      </c>
      <c r="BA205" s="2">
        <v>1.5</v>
      </c>
      <c r="BB205" s="2">
        <v>1</v>
      </c>
      <c r="BD205" s="2">
        <v>1</v>
      </c>
      <c r="BE205" s="2">
        <v>1.5</v>
      </c>
      <c r="BF205" s="2">
        <v>1</v>
      </c>
      <c r="BG205" s="2">
        <v>1</v>
      </c>
      <c r="BH205" s="2" t="str">
        <f t="shared" si="237"/>
        <v>JS4836</v>
      </c>
      <c r="BI205" s="197">
        <v>7</v>
      </c>
      <c r="BJ205" s="197">
        <v>4</v>
      </c>
      <c r="BK205" s="197">
        <v>7</v>
      </c>
      <c r="BL205" s="197" t="s">
        <v>324</v>
      </c>
      <c r="BM205" s="197" t="s">
        <v>324</v>
      </c>
      <c r="BN205" s="197">
        <v>4</v>
      </c>
      <c r="BO205" s="197">
        <v>4</v>
      </c>
      <c r="BP205" s="197" t="s">
        <v>324</v>
      </c>
      <c r="BQ205" s="194">
        <f t="shared" si="238"/>
        <v>7.00000000004</v>
      </c>
      <c r="BR205" s="194">
        <f t="shared" si="239"/>
        <v>4.00000000002</v>
      </c>
      <c r="BS205" s="194">
        <f t="shared" si="240"/>
        <v>7.00000000003</v>
      </c>
      <c r="BU205" s="194">
        <f t="shared" si="241"/>
        <v>0</v>
      </c>
      <c r="BV205" s="194">
        <f t="shared" si="242"/>
        <v>4.00000000006</v>
      </c>
      <c r="BW205" s="194">
        <f t="shared" si="243"/>
        <v>4.00000000007</v>
      </c>
      <c r="BX205" s="194">
        <f t="shared" si="244"/>
        <v>0</v>
      </c>
      <c r="BY205" s="2">
        <f t="shared" si="334"/>
        <v>7.00000000004</v>
      </c>
      <c r="BZ205" s="2">
        <f t="shared" si="335"/>
        <v>6.00000000003</v>
      </c>
      <c r="CA205" s="2">
        <f t="shared" si="336"/>
        <v>7.00000000003</v>
      </c>
      <c r="CC205" s="2">
        <f t="shared" si="337"/>
        <v>0</v>
      </c>
      <c r="CD205" s="2">
        <f t="shared" si="338"/>
        <v>6.00000000009</v>
      </c>
      <c r="CE205" s="2">
        <f t="shared" si="339"/>
        <v>4.00000000007</v>
      </c>
      <c r="CF205" s="2">
        <f t="shared" si="340"/>
        <v>0</v>
      </c>
      <c r="CG205" s="2" t="b">
        <f t="shared" si="245"/>
        <v>1</v>
      </c>
      <c r="CH205" s="2" t="b">
        <f t="shared" si="246"/>
        <v>1</v>
      </c>
      <c r="CI205" s="2" t="b">
        <f t="shared" si="247"/>
        <v>1</v>
      </c>
      <c r="CK205" s="2" t="b">
        <f t="shared" si="248"/>
        <v>0</v>
      </c>
      <c r="CL205" s="2" t="b">
        <f t="shared" si="249"/>
        <v>1</v>
      </c>
      <c r="CM205" s="2" t="b">
        <f t="shared" si="250"/>
        <v>1</v>
      </c>
      <c r="CN205" s="2" t="b">
        <f t="shared" si="251"/>
        <v>0</v>
      </c>
      <c r="CO205" s="2">
        <v>1</v>
      </c>
      <c r="CP205" s="2">
        <v>1.5</v>
      </c>
      <c r="CQ205" s="2">
        <v>1</v>
      </c>
      <c r="CS205" s="2">
        <v>1</v>
      </c>
      <c r="CT205" s="2">
        <v>1.5</v>
      </c>
      <c r="CU205" s="2">
        <v>1</v>
      </c>
      <c r="CV205" s="2">
        <v>1</v>
      </c>
      <c r="CX205" s="2">
        <v>7</v>
      </c>
      <c r="CY205" s="2">
        <v>3</v>
      </c>
      <c r="CZ205" s="2">
        <v>5.5</v>
      </c>
      <c r="DB205" s="2" t="s">
        <v>324</v>
      </c>
      <c r="DC205" s="2">
        <v>5.5</v>
      </c>
      <c r="DD205" s="2">
        <v>5.5</v>
      </c>
      <c r="DE205" s="2">
        <v>4</v>
      </c>
      <c r="DF205" s="194">
        <f t="shared" si="252"/>
        <v>7.00000000004</v>
      </c>
      <c r="DG205" s="194">
        <f t="shared" si="253"/>
        <v>3.00000000002</v>
      </c>
      <c r="DH205" s="194">
        <f t="shared" si="326"/>
        <v>5.50000000003</v>
      </c>
      <c r="DJ205" s="194">
        <f t="shared" si="327"/>
        <v>0</v>
      </c>
      <c r="DK205" s="194">
        <f t="shared" si="328"/>
        <v>5.50000000006</v>
      </c>
      <c r="DL205" s="194">
        <f t="shared" si="329"/>
        <v>5.50000000007</v>
      </c>
      <c r="DM205" s="194">
        <f t="shared" si="330"/>
        <v>4.00000000008</v>
      </c>
      <c r="DN205" s="2">
        <f t="shared" si="331"/>
        <v>7.00000000004</v>
      </c>
      <c r="DO205" s="2">
        <f t="shared" si="341"/>
        <v>4.50000000003</v>
      </c>
      <c r="DP205" s="2">
        <f t="shared" si="342"/>
        <v>5.50000000003</v>
      </c>
      <c r="DR205" s="2">
        <f t="shared" si="343"/>
        <v>0</v>
      </c>
      <c r="DS205" s="2">
        <f t="shared" si="344"/>
        <v>8.2500000000900009</v>
      </c>
      <c r="DT205" s="2">
        <f t="shared" si="345"/>
        <v>5.50000000007</v>
      </c>
      <c r="DU205" s="2">
        <f t="shared" si="346"/>
        <v>4.00000000008</v>
      </c>
      <c r="DV205" s="2" t="b">
        <f t="shared" si="259"/>
        <v>1</v>
      </c>
      <c r="DW205" s="2" t="b">
        <f t="shared" si="260"/>
        <v>1</v>
      </c>
      <c r="DX205" s="2" t="b">
        <f t="shared" si="261"/>
        <v>1</v>
      </c>
      <c r="DZ205" s="2" t="b">
        <f t="shared" si="262"/>
        <v>0</v>
      </c>
      <c r="EA205" s="2" t="b">
        <f t="shared" si="263"/>
        <v>1</v>
      </c>
      <c r="EB205" s="2" t="b">
        <f t="shared" si="264"/>
        <v>1</v>
      </c>
      <c r="EC205" s="2" t="b">
        <f t="shared" si="265"/>
        <v>0</v>
      </c>
      <c r="ED205" s="2">
        <v>1</v>
      </c>
      <c r="EE205" s="2">
        <v>1.5</v>
      </c>
      <c r="EF205" s="2">
        <v>1</v>
      </c>
      <c r="EH205" s="2">
        <v>1</v>
      </c>
      <c r="EI205" s="2">
        <v>1.5</v>
      </c>
      <c r="EJ205" s="2">
        <v>1</v>
      </c>
      <c r="EK205" s="2">
        <v>1</v>
      </c>
      <c r="EL205" s="2">
        <v>8.5</v>
      </c>
      <c r="EM205" s="2">
        <v>5.5</v>
      </c>
      <c r="EN205" s="2">
        <v>4</v>
      </c>
      <c r="EP205" s="2">
        <v>5.5</v>
      </c>
      <c r="EQ205" s="2">
        <v>4</v>
      </c>
      <c r="ER205" s="2">
        <v>4</v>
      </c>
      <c r="ES205" s="2" t="s">
        <v>324</v>
      </c>
      <c r="ET205" s="194">
        <f t="shared" si="266"/>
        <v>8.50000000004</v>
      </c>
      <c r="EU205" s="194">
        <f t="shared" si="267"/>
        <v>5.50000000002</v>
      </c>
      <c r="EV205" s="194">
        <f t="shared" si="268"/>
        <v>4.00000000003</v>
      </c>
      <c r="EW205" s="194">
        <f t="shared" si="269"/>
        <v>9.9999999999999994E-12</v>
      </c>
      <c r="EX205" s="194">
        <f t="shared" si="270"/>
        <v>5.50000000005</v>
      </c>
      <c r="EY205" s="194">
        <f t="shared" si="271"/>
        <v>4.00000000006</v>
      </c>
      <c r="EZ205" s="194">
        <f t="shared" si="272"/>
        <v>4.00000000007</v>
      </c>
      <c r="FA205" s="194">
        <f t="shared" si="273"/>
        <v>0</v>
      </c>
      <c r="FB205" s="2">
        <f t="shared" ref="FB205:FB215" si="347">ET205*ED205</f>
        <v>8.50000000004</v>
      </c>
      <c r="FC205" s="2">
        <f t="shared" si="300"/>
        <v>8.2500000000299991</v>
      </c>
      <c r="FD205" s="2">
        <f t="shared" si="301"/>
        <v>4.00000000003</v>
      </c>
      <c r="FE205" s="2">
        <f t="shared" si="302"/>
        <v>0</v>
      </c>
      <c r="FF205" s="2">
        <f t="shared" si="303"/>
        <v>5.50000000005</v>
      </c>
      <c r="FG205" s="2">
        <f t="shared" si="304"/>
        <v>6.00000000009</v>
      </c>
      <c r="FH205" s="2">
        <f t="shared" si="305"/>
        <v>4.00000000007</v>
      </c>
      <c r="FI205" s="2">
        <f t="shared" si="306"/>
        <v>0</v>
      </c>
      <c r="FJ205" s="2" t="b">
        <f t="shared" si="282"/>
        <v>1</v>
      </c>
      <c r="FK205" s="2" t="b">
        <f t="shared" si="283"/>
        <v>1</v>
      </c>
      <c r="FL205" s="2" t="b">
        <f t="shared" si="284"/>
        <v>0</v>
      </c>
      <c r="FM205" s="2" t="b">
        <f t="shared" si="285"/>
        <v>0</v>
      </c>
      <c r="FN205" s="2" t="b">
        <f t="shared" si="286"/>
        <v>1</v>
      </c>
      <c r="FO205" s="2" t="b">
        <f t="shared" si="287"/>
        <v>1</v>
      </c>
      <c r="FP205" s="2" t="b">
        <f t="shared" si="288"/>
        <v>1</v>
      </c>
      <c r="FQ205" s="2" t="b">
        <f t="shared" si="289"/>
        <v>0</v>
      </c>
    </row>
    <row r="206" spans="1:173" ht="15.6">
      <c r="A206" s="335" t="s">
        <v>1363</v>
      </c>
      <c r="B206" s="346" t="s">
        <v>1363</v>
      </c>
      <c r="C206" s="346" t="s">
        <v>227</v>
      </c>
      <c r="D206" s="346" t="s">
        <v>1010</v>
      </c>
      <c r="E206" s="346" t="s">
        <v>1364</v>
      </c>
      <c r="F206" s="2" t="s">
        <v>785</v>
      </c>
      <c r="G206" s="2" t="s">
        <v>324</v>
      </c>
      <c r="H206" s="2">
        <v>26</v>
      </c>
      <c r="I206" s="2">
        <v>24.5</v>
      </c>
      <c r="J206" s="2">
        <v>24</v>
      </c>
      <c r="K206" s="435">
        <f t="shared" si="234"/>
        <v>26.000000000229999</v>
      </c>
      <c r="L206" s="435">
        <f t="shared" si="235"/>
        <v>24.50000000024</v>
      </c>
      <c r="M206" s="435">
        <f t="shared" si="236"/>
        <v>24.000000000220002</v>
      </c>
      <c r="N206" s="346" t="s">
        <v>324</v>
      </c>
      <c r="O206" s="346" t="s">
        <v>324</v>
      </c>
      <c r="P206" s="346" t="s">
        <v>324</v>
      </c>
      <c r="Q206" s="346" t="s">
        <v>324</v>
      </c>
      <c r="R206" s="346" t="s">
        <v>324</v>
      </c>
      <c r="S206" s="346" t="s">
        <v>1365</v>
      </c>
      <c r="T206" s="2" t="s">
        <v>1046</v>
      </c>
      <c r="U206" s="2">
        <v>19</v>
      </c>
      <c r="V206" s="2" cm="1">
        <f t="array" ref="V206">IFERROR(INDEX('Offer Statistics'!$BQ$2:$BQ$600,MATCH(1,(B206='Offer Statistics'!$BB$2:$BB$600)*($B$11='Offer Statistics'!$BC$2:$BC$600),0)),"/")</f>
        <v>23</v>
      </c>
      <c r="W206" s="2" cm="1">
        <f t="array" ref="W206">IFERROR(INDEX('Offer Statistics'!$BD$2:$BD$600,MATCH(1,($B206='Offer Statistics'!$BB$2:$BB$600)*($B$11='Offer Statistics'!$BC$2:$BC$600),0)),"/")</f>
        <v>184</v>
      </c>
      <c r="X206" s="2" cm="1">
        <f t="array" ref="X206">IFERROR(INDEX('Offer Statistics'!$BL$2:$BL$600,MATCH(1,($B206='Offer Statistics'!$BB$2:$BB$600)*($B$11='Offer Statistics'!$BC$2:$BC$600),0)),"/")</f>
        <v>23</v>
      </c>
      <c r="Y206" s="2">
        <f t="shared" si="215"/>
        <v>8</v>
      </c>
      <c r="Z206" s="2" t="s">
        <v>1046</v>
      </c>
      <c r="AA206" s="435" t="str">
        <f>入學要求!AF215</f>
        <v>/</v>
      </c>
      <c r="AB206" s="435" t="str">
        <f>入學要求!AG215</f>
        <v>/</v>
      </c>
      <c r="AC206" s="426" t="s">
        <v>785</v>
      </c>
      <c r="AD206" s="426"/>
      <c r="AE206" s="426"/>
      <c r="AF206" s="426" t="s">
        <v>324</v>
      </c>
      <c r="AG206" s="426" t="s">
        <v>324</v>
      </c>
      <c r="AH206" s="426" t="s">
        <v>324</v>
      </c>
      <c r="AI206" s="426" t="s">
        <v>324</v>
      </c>
      <c r="AJ206" s="426" t="s">
        <v>324</v>
      </c>
      <c r="AK206" s="2" t="s">
        <v>324</v>
      </c>
      <c r="AL206" s="2" t="s">
        <v>324</v>
      </c>
      <c r="AM206" s="2" t="s">
        <v>324</v>
      </c>
      <c r="AN206" s="2" t="s">
        <v>324</v>
      </c>
      <c r="AO206" s="2" t="s">
        <v>324</v>
      </c>
      <c r="AP206" s="2" t="s">
        <v>324</v>
      </c>
      <c r="AQ206" s="2" t="s">
        <v>324</v>
      </c>
      <c r="AR206" s="2" t="s">
        <v>324</v>
      </c>
      <c r="AT206" s="2" t="s">
        <v>716</v>
      </c>
      <c r="AV206" s="2" t="s">
        <v>713</v>
      </c>
      <c r="AZ206" s="2">
        <v>1</v>
      </c>
      <c r="BA206" s="2">
        <v>1</v>
      </c>
      <c r="BB206" s="2">
        <v>1</v>
      </c>
      <c r="BD206" s="2">
        <v>1</v>
      </c>
      <c r="BE206" s="2">
        <v>1</v>
      </c>
      <c r="BF206" s="2">
        <v>1</v>
      </c>
      <c r="BG206" s="2">
        <v>1</v>
      </c>
      <c r="BH206" s="2" t="str">
        <f t="shared" si="237"/>
        <v>JS4838</v>
      </c>
      <c r="BI206" s="197">
        <v>3</v>
      </c>
      <c r="BJ206" s="197">
        <v>4</v>
      </c>
      <c r="BK206" s="197">
        <v>3</v>
      </c>
      <c r="BL206" s="197" t="s">
        <v>324</v>
      </c>
      <c r="BM206" s="197" t="s">
        <v>324</v>
      </c>
      <c r="BN206" s="197">
        <v>8.5</v>
      </c>
      <c r="BO206" s="197">
        <v>5.5</v>
      </c>
      <c r="BP206" s="197" t="s">
        <v>324</v>
      </c>
      <c r="BQ206" s="194">
        <f t="shared" si="238"/>
        <v>3.00000000004</v>
      </c>
      <c r="BR206" s="194">
        <f t="shared" si="239"/>
        <v>4.00000000002</v>
      </c>
      <c r="BS206" s="194">
        <f t="shared" si="240"/>
        <v>3.00000000003</v>
      </c>
      <c r="BU206" s="194">
        <f t="shared" si="241"/>
        <v>0</v>
      </c>
      <c r="BV206" s="194">
        <f t="shared" si="242"/>
        <v>8.50000000006</v>
      </c>
      <c r="BW206" s="194">
        <f t="shared" si="243"/>
        <v>5.50000000007</v>
      </c>
      <c r="BX206" s="194">
        <f t="shared" si="244"/>
        <v>0</v>
      </c>
      <c r="BY206" s="2">
        <f t="shared" si="334"/>
        <v>3.00000000004</v>
      </c>
      <c r="BZ206" s="2">
        <f t="shared" si="335"/>
        <v>4.00000000002</v>
      </c>
      <c r="CA206" s="2">
        <f t="shared" si="336"/>
        <v>3.00000000003</v>
      </c>
      <c r="CC206" s="2">
        <f t="shared" si="337"/>
        <v>0</v>
      </c>
      <c r="CD206" s="2">
        <f t="shared" si="338"/>
        <v>8.50000000006</v>
      </c>
      <c r="CE206" s="2">
        <f t="shared" si="339"/>
        <v>5.50000000007</v>
      </c>
      <c r="CF206" s="2">
        <f t="shared" si="340"/>
        <v>0</v>
      </c>
      <c r="CG206" s="2" t="b">
        <f t="shared" si="245"/>
        <v>1</v>
      </c>
      <c r="CH206" s="2" t="b">
        <f t="shared" si="246"/>
        <v>1</v>
      </c>
      <c r="CI206" s="2" t="b">
        <f t="shared" si="247"/>
        <v>1</v>
      </c>
      <c r="CK206" s="2" t="b">
        <f t="shared" si="248"/>
        <v>0</v>
      </c>
      <c r="CL206" s="2" t="b">
        <f t="shared" si="249"/>
        <v>1</v>
      </c>
      <c r="CM206" s="2" t="b">
        <f t="shared" si="250"/>
        <v>1</v>
      </c>
      <c r="CN206" s="2" t="b">
        <f t="shared" si="251"/>
        <v>0</v>
      </c>
      <c r="CO206" s="2">
        <v>1</v>
      </c>
      <c r="CP206" s="2">
        <v>1</v>
      </c>
      <c r="CQ206" s="2">
        <v>1</v>
      </c>
      <c r="CS206" s="2">
        <v>1</v>
      </c>
      <c r="CT206" s="2">
        <v>1</v>
      </c>
      <c r="CU206" s="2">
        <v>1</v>
      </c>
      <c r="CV206" s="2">
        <v>1</v>
      </c>
      <c r="CX206" s="2">
        <v>5.5</v>
      </c>
      <c r="CY206" s="2">
        <v>5.5</v>
      </c>
      <c r="CZ206" s="2">
        <v>5.5</v>
      </c>
      <c r="DB206" s="2">
        <v>4</v>
      </c>
      <c r="DC206" s="2">
        <v>4</v>
      </c>
      <c r="DD206" s="2">
        <v>4</v>
      </c>
      <c r="DE206" s="2">
        <v>4</v>
      </c>
      <c r="DF206" s="194">
        <f t="shared" si="252"/>
        <v>5.50000000004</v>
      </c>
      <c r="DG206" s="194">
        <f t="shared" si="253"/>
        <v>5.50000000002</v>
      </c>
      <c r="DH206" s="194">
        <f t="shared" si="326"/>
        <v>5.50000000003</v>
      </c>
      <c r="DJ206" s="194">
        <f t="shared" si="327"/>
        <v>4.00000000005</v>
      </c>
      <c r="DK206" s="194">
        <f t="shared" si="328"/>
        <v>4.00000000006</v>
      </c>
      <c r="DL206" s="194">
        <f t="shared" si="329"/>
        <v>4.00000000007</v>
      </c>
      <c r="DM206" s="194">
        <f t="shared" si="330"/>
        <v>4.00000000008</v>
      </c>
      <c r="DN206" s="2">
        <f t="shared" si="331"/>
        <v>5.50000000004</v>
      </c>
      <c r="DO206" s="2">
        <f t="shared" si="341"/>
        <v>5.50000000002</v>
      </c>
      <c r="DP206" s="2">
        <f t="shared" si="342"/>
        <v>5.50000000003</v>
      </c>
      <c r="DR206" s="2">
        <f t="shared" si="343"/>
        <v>4.00000000005</v>
      </c>
      <c r="DS206" s="2">
        <f t="shared" si="344"/>
        <v>4.00000000006</v>
      </c>
      <c r="DT206" s="2">
        <f t="shared" si="345"/>
        <v>4.00000000007</v>
      </c>
      <c r="DU206" s="2">
        <f t="shared" si="346"/>
        <v>4.00000000008</v>
      </c>
      <c r="DV206" s="2" t="b">
        <f t="shared" si="259"/>
        <v>1</v>
      </c>
      <c r="DW206" s="2" t="b">
        <f t="shared" si="260"/>
        <v>1</v>
      </c>
      <c r="DX206" s="2" t="b">
        <f t="shared" si="261"/>
        <v>1</v>
      </c>
      <c r="DZ206" s="2" t="b">
        <f t="shared" si="262"/>
        <v>0</v>
      </c>
      <c r="EA206" s="2" t="b">
        <f t="shared" si="263"/>
        <v>0</v>
      </c>
      <c r="EB206" s="2" t="b">
        <f t="shared" si="264"/>
        <v>1</v>
      </c>
      <c r="EC206" s="2" t="b">
        <f t="shared" si="265"/>
        <v>1</v>
      </c>
      <c r="ED206" s="2">
        <v>1</v>
      </c>
      <c r="EE206" s="2">
        <v>1</v>
      </c>
      <c r="EF206" s="2">
        <v>1</v>
      </c>
      <c r="EH206" s="2">
        <v>1</v>
      </c>
      <c r="EI206" s="2">
        <v>1</v>
      </c>
      <c r="EJ206" s="2">
        <v>1</v>
      </c>
      <c r="EK206" s="2">
        <v>1</v>
      </c>
      <c r="EL206" s="2">
        <v>3</v>
      </c>
      <c r="EM206" s="2">
        <v>4</v>
      </c>
      <c r="EN206" s="2">
        <v>5.5</v>
      </c>
      <c r="EP206" s="2">
        <v>5.5</v>
      </c>
      <c r="EQ206" s="2">
        <v>7</v>
      </c>
      <c r="ER206" s="2">
        <v>4</v>
      </c>
      <c r="ES206" s="2" t="s">
        <v>324</v>
      </c>
      <c r="ET206" s="194">
        <f t="shared" si="266"/>
        <v>3.00000000004</v>
      </c>
      <c r="EU206" s="194">
        <f t="shared" si="267"/>
        <v>4.00000000002</v>
      </c>
      <c r="EV206" s="194">
        <f t="shared" si="268"/>
        <v>5.50000000003</v>
      </c>
      <c r="EW206" s="194">
        <f t="shared" si="269"/>
        <v>9.9999999999999994E-12</v>
      </c>
      <c r="EX206" s="194">
        <f t="shared" si="270"/>
        <v>5.50000000005</v>
      </c>
      <c r="EY206" s="194">
        <f t="shared" si="271"/>
        <v>7.00000000006</v>
      </c>
      <c r="EZ206" s="194">
        <f t="shared" si="272"/>
        <v>4.00000000007</v>
      </c>
      <c r="FA206" s="194">
        <f t="shared" si="273"/>
        <v>0</v>
      </c>
      <c r="FB206" s="2">
        <f t="shared" si="347"/>
        <v>3.00000000004</v>
      </c>
      <c r="FC206" s="2">
        <f t="shared" si="300"/>
        <v>4.00000000002</v>
      </c>
      <c r="FD206" s="2">
        <f t="shared" si="301"/>
        <v>5.50000000003</v>
      </c>
      <c r="FE206" s="2">
        <f t="shared" si="302"/>
        <v>0</v>
      </c>
      <c r="FF206" s="2">
        <f t="shared" si="303"/>
        <v>5.50000000005</v>
      </c>
      <c r="FG206" s="2">
        <f t="shared" si="304"/>
        <v>7.00000000006</v>
      </c>
      <c r="FH206" s="2">
        <f t="shared" si="305"/>
        <v>4.00000000007</v>
      </c>
      <c r="FI206" s="2">
        <f t="shared" si="306"/>
        <v>0</v>
      </c>
      <c r="FJ206" s="2" t="b">
        <f t="shared" si="282"/>
        <v>0</v>
      </c>
      <c r="FK206" s="2" t="b">
        <f t="shared" si="283"/>
        <v>1</v>
      </c>
      <c r="FL206" s="2" t="b">
        <f t="shared" si="284"/>
        <v>1</v>
      </c>
      <c r="FM206" s="2" t="b">
        <f t="shared" si="285"/>
        <v>0</v>
      </c>
      <c r="FN206" s="2" t="b">
        <f t="shared" si="286"/>
        <v>1</v>
      </c>
      <c r="FO206" s="2" t="b">
        <f t="shared" si="287"/>
        <v>1</v>
      </c>
      <c r="FP206" s="2" t="b">
        <f t="shared" si="288"/>
        <v>1</v>
      </c>
      <c r="FQ206" s="2" t="b">
        <f t="shared" si="289"/>
        <v>0</v>
      </c>
    </row>
    <row r="207" spans="1:173" s="379" customFormat="1" ht="15.6">
      <c r="A207" s="335" t="s">
        <v>1366</v>
      </c>
      <c r="B207" s="346" t="s">
        <v>1366</v>
      </c>
      <c r="C207" s="346" t="s">
        <v>227</v>
      </c>
      <c r="D207" s="346" t="s">
        <v>1010</v>
      </c>
      <c r="E207" s="346" t="s">
        <v>1367</v>
      </c>
      <c r="F207" s="379" t="s">
        <v>785</v>
      </c>
      <c r="G207" s="379" t="s">
        <v>324</v>
      </c>
      <c r="H207" s="379">
        <v>27.125</v>
      </c>
      <c r="I207" s="379">
        <v>26.375</v>
      </c>
      <c r="J207" s="379">
        <v>25.5</v>
      </c>
      <c r="K207" s="435">
        <f t="shared" si="234"/>
        <v>27.125000000289997</v>
      </c>
      <c r="L207" s="435">
        <f t="shared" si="235"/>
        <v>26.375000000239996</v>
      </c>
      <c r="M207" s="435">
        <f t="shared" si="236"/>
        <v>25.500000000239996</v>
      </c>
      <c r="N207" s="346" t="s">
        <v>324</v>
      </c>
      <c r="O207" s="346" t="s">
        <v>324</v>
      </c>
      <c r="P207" s="346" t="s">
        <v>734</v>
      </c>
      <c r="Q207" s="346" t="s">
        <v>2408</v>
      </c>
      <c r="R207" s="346" t="s">
        <v>324</v>
      </c>
      <c r="S207" s="346" t="s">
        <v>1368</v>
      </c>
      <c r="T207" s="2" t="s">
        <v>1046</v>
      </c>
      <c r="U207" s="379">
        <v>37</v>
      </c>
      <c r="V207" s="2" cm="1">
        <f t="array" ref="V207">IFERROR(INDEX('Offer Statistics'!$BQ$2:$BQ$600,MATCH(1,(B207='Offer Statistics'!$BB$2:$BB$600)*($B$11='Offer Statistics'!$BC$2:$BC$600),0)),"/")</f>
        <v>39</v>
      </c>
      <c r="W207" s="2" cm="1">
        <f t="array" ref="W207">IFERROR(INDEX('Offer Statistics'!$BD$2:$BD$600,MATCH(1,($B207='Offer Statistics'!$BB$2:$BB$600)*($B$11='Offer Statistics'!$BC$2:$BC$600),0)),"/")</f>
        <v>284</v>
      </c>
      <c r="X207" s="2" cm="1">
        <f t="array" ref="X207">IFERROR(INDEX('Offer Statistics'!$BL$2:$BL$600,MATCH(1,($B207='Offer Statistics'!$BB$2:$BB$600)*($B$11='Offer Statistics'!$BC$2:$BC$600),0)),"/")</f>
        <v>39</v>
      </c>
      <c r="Y207" s="379">
        <f t="shared" si="215"/>
        <v>7.2820512820512819</v>
      </c>
      <c r="Z207" s="379" t="s">
        <v>1046</v>
      </c>
      <c r="AA207" s="435" t="str">
        <f>入學要求!AF216</f>
        <v>/</v>
      </c>
      <c r="AB207" s="435" t="str">
        <f>入學要求!AG216</f>
        <v>/</v>
      </c>
      <c r="AC207" s="425" t="s">
        <v>785</v>
      </c>
      <c r="AD207" s="426"/>
      <c r="AE207" s="426"/>
      <c r="AF207" s="426" t="s">
        <v>324</v>
      </c>
      <c r="AG207" s="426" t="s">
        <v>324</v>
      </c>
      <c r="AH207" s="426" t="s">
        <v>732</v>
      </c>
      <c r="AI207" s="425" t="s">
        <v>2408</v>
      </c>
      <c r="AJ207" s="426" t="s">
        <v>324</v>
      </c>
      <c r="AK207" s="379" t="s">
        <v>324</v>
      </c>
      <c r="AL207" s="379" t="s">
        <v>324</v>
      </c>
      <c r="AM207" s="379" t="s">
        <v>324</v>
      </c>
      <c r="AN207" s="379" t="s">
        <v>324</v>
      </c>
      <c r="AO207" s="379" t="s">
        <v>324</v>
      </c>
      <c r="AP207" s="379" t="s">
        <v>324</v>
      </c>
      <c r="AQ207" s="379" t="s">
        <v>324</v>
      </c>
      <c r="AR207" s="379" t="s">
        <v>324</v>
      </c>
      <c r="AT207" s="379" t="s">
        <v>716</v>
      </c>
      <c r="AV207" s="379" t="s">
        <v>1275</v>
      </c>
      <c r="AZ207" s="379">
        <v>1.25</v>
      </c>
      <c r="BA207" s="379">
        <v>1.5</v>
      </c>
      <c r="BB207" s="379">
        <v>1</v>
      </c>
      <c r="BD207" s="379">
        <v>1</v>
      </c>
      <c r="BE207" s="379">
        <v>1</v>
      </c>
      <c r="BF207" s="379">
        <v>1</v>
      </c>
      <c r="BG207" s="379">
        <v>1</v>
      </c>
      <c r="BH207" s="2" t="str">
        <f t="shared" si="237"/>
        <v>JS4848</v>
      </c>
      <c r="BI207" s="197">
        <v>3</v>
      </c>
      <c r="BJ207" s="197">
        <v>5.5</v>
      </c>
      <c r="BK207" s="197">
        <v>4</v>
      </c>
      <c r="BL207" s="197" t="s">
        <v>324</v>
      </c>
      <c r="BM207" s="197" t="s">
        <v>324</v>
      </c>
      <c r="BN207" s="197">
        <v>5.5</v>
      </c>
      <c r="BO207" s="197">
        <v>4</v>
      </c>
      <c r="BP207" s="197">
        <v>3</v>
      </c>
      <c r="BQ207" s="380">
        <f t="shared" si="238"/>
        <v>3.00000000004</v>
      </c>
      <c r="BR207" s="380">
        <f t="shared" si="239"/>
        <v>5.50000000002</v>
      </c>
      <c r="BS207" s="380">
        <f t="shared" si="240"/>
        <v>4.00000000003</v>
      </c>
      <c r="BT207" s="380"/>
      <c r="BU207" s="380">
        <f t="shared" si="241"/>
        <v>0</v>
      </c>
      <c r="BV207" s="380">
        <f t="shared" si="242"/>
        <v>5.50000000006</v>
      </c>
      <c r="BW207" s="380">
        <f t="shared" si="243"/>
        <v>4.00000000007</v>
      </c>
      <c r="BX207" s="380">
        <f t="shared" si="244"/>
        <v>3.00000000008</v>
      </c>
      <c r="BY207" s="379">
        <f t="shared" si="334"/>
        <v>3.75000000005</v>
      </c>
      <c r="BZ207" s="379">
        <f t="shared" si="335"/>
        <v>8.2500000000299991</v>
      </c>
      <c r="CA207" s="379">
        <f t="shared" si="336"/>
        <v>4.00000000003</v>
      </c>
      <c r="CC207" s="379">
        <f t="shared" si="337"/>
        <v>0</v>
      </c>
      <c r="CD207" s="379">
        <f t="shared" si="338"/>
        <v>5.50000000006</v>
      </c>
      <c r="CE207" s="379">
        <f t="shared" si="339"/>
        <v>4.00000000007</v>
      </c>
      <c r="CF207" s="379">
        <f t="shared" si="340"/>
        <v>3.00000000008</v>
      </c>
      <c r="CG207" s="2" t="b">
        <f t="shared" si="245"/>
        <v>1</v>
      </c>
      <c r="CH207" s="2" t="b">
        <f t="shared" si="246"/>
        <v>1</v>
      </c>
      <c r="CI207" s="2" t="b">
        <f t="shared" si="247"/>
        <v>1</v>
      </c>
      <c r="CJ207" s="2"/>
      <c r="CK207" s="2" t="b">
        <f t="shared" si="248"/>
        <v>0</v>
      </c>
      <c r="CL207" s="2" t="b">
        <f t="shared" si="249"/>
        <v>1</v>
      </c>
      <c r="CM207" s="2" t="b">
        <f t="shared" si="250"/>
        <v>1</v>
      </c>
      <c r="CN207" s="2" t="b">
        <f t="shared" si="251"/>
        <v>0</v>
      </c>
      <c r="CO207" s="379">
        <v>1.25</v>
      </c>
      <c r="CP207" s="379">
        <v>1.5</v>
      </c>
      <c r="CQ207" s="379">
        <v>1</v>
      </c>
      <c r="CS207" s="379">
        <v>1</v>
      </c>
      <c r="CT207" s="379">
        <v>1</v>
      </c>
      <c r="CU207" s="379">
        <v>1</v>
      </c>
      <c r="CV207" s="379">
        <v>1</v>
      </c>
      <c r="CX207" s="379">
        <v>5.5</v>
      </c>
      <c r="CY207" s="379">
        <v>3</v>
      </c>
      <c r="CZ207" s="379">
        <v>5.5</v>
      </c>
      <c r="DB207" s="379" t="s">
        <v>324</v>
      </c>
      <c r="DC207" s="379">
        <v>5.5</v>
      </c>
      <c r="DD207" s="379">
        <v>4</v>
      </c>
      <c r="DE207" s="379" t="s">
        <v>324</v>
      </c>
      <c r="DF207" s="380">
        <f t="shared" si="252"/>
        <v>5.50000000004</v>
      </c>
      <c r="DG207" s="380">
        <f t="shared" si="253"/>
        <v>3.00000000002</v>
      </c>
      <c r="DH207" s="380">
        <f t="shared" si="326"/>
        <v>5.50000000003</v>
      </c>
      <c r="DI207" s="380"/>
      <c r="DJ207" s="380">
        <f t="shared" si="327"/>
        <v>0</v>
      </c>
      <c r="DK207" s="380">
        <f t="shared" si="328"/>
        <v>5.50000000006</v>
      </c>
      <c r="DL207" s="380">
        <f t="shared" si="329"/>
        <v>4.00000000007</v>
      </c>
      <c r="DM207" s="380">
        <f t="shared" si="330"/>
        <v>0</v>
      </c>
      <c r="DN207" s="379">
        <f t="shared" si="331"/>
        <v>6.87500000005</v>
      </c>
      <c r="DO207" s="379">
        <f t="shared" si="341"/>
        <v>4.50000000003</v>
      </c>
      <c r="DP207" s="379">
        <f t="shared" si="342"/>
        <v>5.50000000003</v>
      </c>
      <c r="DR207" s="379">
        <f t="shared" si="343"/>
        <v>0</v>
      </c>
      <c r="DS207" s="379">
        <f t="shared" si="344"/>
        <v>5.50000000006</v>
      </c>
      <c r="DT207" s="379">
        <f t="shared" si="345"/>
        <v>4.00000000007</v>
      </c>
      <c r="DU207" s="379">
        <f t="shared" si="346"/>
        <v>0</v>
      </c>
      <c r="DV207" s="2" t="b">
        <f t="shared" si="259"/>
        <v>1</v>
      </c>
      <c r="DW207" s="2" t="b">
        <f t="shared" si="260"/>
        <v>1</v>
      </c>
      <c r="DX207" s="2" t="b">
        <f t="shared" si="261"/>
        <v>1</v>
      </c>
      <c r="DY207" s="2"/>
      <c r="DZ207" s="2" t="b">
        <f t="shared" si="262"/>
        <v>0</v>
      </c>
      <c r="EA207" s="2" t="b">
        <f t="shared" si="263"/>
        <v>1</v>
      </c>
      <c r="EB207" s="2" t="b">
        <f t="shared" si="264"/>
        <v>1</v>
      </c>
      <c r="EC207" s="2" t="b">
        <f t="shared" si="265"/>
        <v>0</v>
      </c>
      <c r="ED207" s="379">
        <v>1.25</v>
      </c>
      <c r="EE207" s="379">
        <v>1.5</v>
      </c>
      <c r="EF207" s="379">
        <v>1</v>
      </c>
      <c r="EH207" s="379">
        <v>1</v>
      </c>
      <c r="EI207" s="379">
        <v>1</v>
      </c>
      <c r="EJ207" s="379">
        <v>1</v>
      </c>
      <c r="EK207" s="379">
        <v>1</v>
      </c>
      <c r="EL207" s="379">
        <v>5.5</v>
      </c>
      <c r="EM207" s="379">
        <v>5.5</v>
      </c>
      <c r="EN207" s="379">
        <v>4</v>
      </c>
      <c r="EP207" s="379" t="s">
        <v>324</v>
      </c>
      <c r="EQ207" s="379">
        <v>4</v>
      </c>
      <c r="ER207" s="379">
        <v>4</v>
      </c>
      <c r="ES207" s="379">
        <v>4</v>
      </c>
      <c r="ET207" s="380">
        <f t="shared" si="266"/>
        <v>5.50000000004</v>
      </c>
      <c r="EU207" s="380">
        <f t="shared" si="267"/>
        <v>5.50000000002</v>
      </c>
      <c r="EV207" s="380">
        <f t="shared" si="268"/>
        <v>4.00000000003</v>
      </c>
      <c r="EW207" s="380">
        <f t="shared" si="269"/>
        <v>9.9999999999999994E-12</v>
      </c>
      <c r="EX207" s="380">
        <f t="shared" si="270"/>
        <v>0</v>
      </c>
      <c r="EY207" s="380">
        <f t="shared" si="271"/>
        <v>4.00000000006</v>
      </c>
      <c r="EZ207" s="380">
        <f t="shared" si="272"/>
        <v>4.00000000007</v>
      </c>
      <c r="FA207" s="380">
        <f t="shared" si="273"/>
        <v>4.00000000008</v>
      </c>
      <c r="FB207" s="379">
        <f t="shared" si="347"/>
        <v>6.87500000005</v>
      </c>
      <c r="FC207" s="379">
        <f t="shared" si="300"/>
        <v>8.2500000000299991</v>
      </c>
      <c r="FD207" s="379">
        <f t="shared" si="301"/>
        <v>4.00000000003</v>
      </c>
      <c r="FE207" s="379">
        <f t="shared" si="302"/>
        <v>0</v>
      </c>
      <c r="FF207" s="379">
        <f t="shared" si="303"/>
        <v>0</v>
      </c>
      <c r="FG207" s="379">
        <f t="shared" si="304"/>
        <v>4.00000000006</v>
      </c>
      <c r="FH207" s="379">
        <f t="shared" si="305"/>
        <v>4.00000000007</v>
      </c>
      <c r="FI207" s="379">
        <f t="shared" si="306"/>
        <v>4.00000000008</v>
      </c>
      <c r="FJ207" s="2" t="b">
        <f t="shared" si="282"/>
        <v>1</v>
      </c>
      <c r="FK207" s="2" t="b">
        <f t="shared" si="283"/>
        <v>1</v>
      </c>
      <c r="FL207" s="2" t="b">
        <f t="shared" si="284"/>
        <v>0</v>
      </c>
      <c r="FM207" s="2" t="b">
        <f t="shared" si="285"/>
        <v>0</v>
      </c>
      <c r="FN207" s="2" t="b">
        <f t="shared" si="286"/>
        <v>0</v>
      </c>
      <c r="FO207" s="2" t="b">
        <f t="shared" si="287"/>
        <v>1</v>
      </c>
      <c r="FP207" s="2" t="b">
        <f t="shared" si="288"/>
        <v>1</v>
      </c>
      <c r="FQ207" s="2" t="b">
        <f t="shared" si="289"/>
        <v>1</v>
      </c>
    </row>
    <row r="208" spans="1:173" ht="15.6">
      <c r="A208" s="335" t="s">
        <v>1369</v>
      </c>
      <c r="B208" s="346" t="s">
        <v>1369</v>
      </c>
      <c r="C208" s="346" t="s">
        <v>227</v>
      </c>
      <c r="D208" s="346" t="s">
        <v>1010</v>
      </c>
      <c r="E208" s="346" t="s">
        <v>1370</v>
      </c>
      <c r="F208" s="2" t="s">
        <v>785</v>
      </c>
      <c r="G208" s="2" t="s">
        <v>324</v>
      </c>
      <c r="H208" s="2">
        <v>31.85</v>
      </c>
      <c r="I208" s="2">
        <v>29.75</v>
      </c>
      <c r="J208" s="2">
        <v>28.45</v>
      </c>
      <c r="K208" s="435">
        <f t="shared" si="234"/>
        <v>31.850000000288002</v>
      </c>
      <c r="L208" s="435">
        <f t="shared" si="235"/>
        <v>29.750000000238</v>
      </c>
      <c r="M208" s="435">
        <f t="shared" si="236"/>
        <v>28.450000000237996</v>
      </c>
      <c r="N208" s="346" t="s">
        <v>324</v>
      </c>
      <c r="O208" s="346" t="s">
        <v>324</v>
      </c>
      <c r="P208" s="346" t="s">
        <v>3056</v>
      </c>
      <c r="Q208" s="346" t="s">
        <v>324</v>
      </c>
      <c r="R208" s="346" t="s">
        <v>324</v>
      </c>
      <c r="S208" s="346" t="s">
        <v>1371</v>
      </c>
      <c r="T208" s="2" t="s">
        <v>1046</v>
      </c>
      <c r="U208" s="2">
        <v>43</v>
      </c>
      <c r="V208" s="2" cm="1">
        <f t="array" ref="V208">IFERROR(INDEX('Offer Statistics'!$BQ$2:$BQ$600,MATCH(1,(B208='Offer Statistics'!$BB$2:$BB$600)*($B$11='Offer Statistics'!$BC$2:$BC$600),0)),"/")</f>
        <v>43</v>
      </c>
      <c r="W208" s="2" cm="1">
        <f t="array" ref="W208">IFERROR(INDEX('Offer Statistics'!$BD$2:$BD$600,MATCH(1,($B208='Offer Statistics'!$BB$2:$BB$600)*($B$11='Offer Statistics'!$BC$2:$BC$600),0)),"/")</f>
        <v>150</v>
      </c>
      <c r="X208" s="2" cm="1">
        <f t="array" ref="X208">IFERROR(INDEX('Offer Statistics'!$BL$2:$BL$600,MATCH(1,($B208='Offer Statistics'!$BB$2:$BB$600)*($B$11='Offer Statistics'!$BC$2:$BC$600),0)),"/")</f>
        <v>43</v>
      </c>
      <c r="Y208" s="2">
        <f t="shared" si="215"/>
        <v>3.4883720930232558</v>
      </c>
      <c r="Z208" s="2" t="s">
        <v>1046</v>
      </c>
      <c r="AA208" s="435" t="str">
        <f>入學要求!AF217</f>
        <v>/</v>
      </c>
      <c r="AB208" s="435" t="str">
        <f>入學要求!AG217</f>
        <v>/</v>
      </c>
      <c r="AC208" s="425" t="s">
        <v>785</v>
      </c>
      <c r="AD208" s="426"/>
      <c r="AE208" s="426"/>
      <c r="AF208" s="426" t="s">
        <v>324</v>
      </c>
      <c r="AG208" s="426" t="s">
        <v>324</v>
      </c>
      <c r="AH208" s="426" t="s">
        <v>1372</v>
      </c>
      <c r="AI208" s="426" t="s">
        <v>324</v>
      </c>
      <c r="AJ208" s="426" t="s">
        <v>324</v>
      </c>
      <c r="AK208" s="2" t="s">
        <v>324</v>
      </c>
      <c r="AL208" s="2" t="s">
        <v>324</v>
      </c>
      <c r="AM208" s="2" t="s">
        <v>324</v>
      </c>
      <c r="AN208" s="2" t="s">
        <v>324</v>
      </c>
      <c r="AO208" s="2" t="s">
        <v>324</v>
      </c>
      <c r="AP208" s="2" t="s">
        <v>324</v>
      </c>
      <c r="AQ208" s="2" t="s">
        <v>324</v>
      </c>
      <c r="AR208" s="2" t="s">
        <v>324</v>
      </c>
      <c r="AT208" s="2" t="s">
        <v>716</v>
      </c>
      <c r="AV208" s="2" t="s">
        <v>713</v>
      </c>
      <c r="AZ208" s="2">
        <v>1.3</v>
      </c>
      <c r="BA208" s="2">
        <v>1.3</v>
      </c>
      <c r="BB208" s="2">
        <v>1</v>
      </c>
      <c r="BD208" s="2">
        <v>1</v>
      </c>
      <c r="BE208" s="2">
        <v>1</v>
      </c>
      <c r="BF208" s="2">
        <v>1</v>
      </c>
      <c r="BG208" s="2">
        <v>1</v>
      </c>
      <c r="BH208" s="2" t="str">
        <f t="shared" si="237"/>
        <v>JS4850</v>
      </c>
      <c r="BI208" s="197">
        <v>8.5</v>
      </c>
      <c r="BJ208" s="197">
        <v>3</v>
      </c>
      <c r="BK208" s="197">
        <v>5.5</v>
      </c>
      <c r="BL208" s="197" t="s">
        <v>324</v>
      </c>
      <c r="BM208" s="197" t="s">
        <v>324</v>
      </c>
      <c r="BN208" s="197">
        <v>4</v>
      </c>
      <c r="BO208" s="197">
        <v>4</v>
      </c>
      <c r="BP208" s="197" t="s">
        <v>324</v>
      </c>
      <c r="BQ208" s="194">
        <f t="shared" si="238"/>
        <v>8.50000000004</v>
      </c>
      <c r="BR208" s="194">
        <f t="shared" si="239"/>
        <v>3.00000000002</v>
      </c>
      <c r="BS208" s="194">
        <f t="shared" si="240"/>
        <v>5.50000000003</v>
      </c>
      <c r="BU208" s="194">
        <f t="shared" si="241"/>
        <v>0</v>
      </c>
      <c r="BV208" s="194">
        <f t="shared" si="242"/>
        <v>4.00000000006</v>
      </c>
      <c r="BW208" s="194">
        <f t="shared" si="243"/>
        <v>4.00000000007</v>
      </c>
      <c r="BX208" s="194">
        <f t="shared" si="244"/>
        <v>0</v>
      </c>
      <c r="BY208" s="2">
        <f t="shared" si="334"/>
        <v>11.050000000052</v>
      </c>
      <c r="BZ208" s="2">
        <f t="shared" si="335"/>
        <v>3.900000000026</v>
      </c>
      <c r="CA208" s="2">
        <f t="shared" si="336"/>
        <v>5.50000000003</v>
      </c>
      <c r="CC208" s="2">
        <f t="shared" si="337"/>
        <v>0</v>
      </c>
      <c r="CD208" s="2">
        <f t="shared" si="338"/>
        <v>4.00000000006</v>
      </c>
      <c r="CE208" s="2">
        <f t="shared" si="339"/>
        <v>4.00000000007</v>
      </c>
      <c r="CF208" s="2">
        <f t="shared" si="340"/>
        <v>0</v>
      </c>
      <c r="CG208" s="2" t="b">
        <f t="shared" si="245"/>
        <v>1</v>
      </c>
      <c r="CH208" s="2" t="b">
        <f t="shared" si="246"/>
        <v>1</v>
      </c>
      <c r="CI208" s="2" t="b">
        <f t="shared" si="247"/>
        <v>1</v>
      </c>
      <c r="CK208" s="2" t="b">
        <f t="shared" si="248"/>
        <v>0</v>
      </c>
      <c r="CL208" s="2" t="b">
        <f t="shared" si="249"/>
        <v>1</v>
      </c>
      <c r="CM208" s="2" t="b">
        <f t="shared" si="250"/>
        <v>1</v>
      </c>
      <c r="CN208" s="2" t="b">
        <f t="shared" si="251"/>
        <v>0</v>
      </c>
      <c r="CO208" s="2">
        <v>1.3</v>
      </c>
      <c r="CP208" s="2">
        <v>1.3</v>
      </c>
      <c r="CQ208" s="2">
        <v>1</v>
      </c>
      <c r="CS208" s="2">
        <v>1</v>
      </c>
      <c r="CT208" s="2">
        <v>1</v>
      </c>
      <c r="CU208" s="2">
        <v>1</v>
      </c>
      <c r="CV208" s="2">
        <v>1</v>
      </c>
      <c r="CX208" s="2">
        <v>7</v>
      </c>
      <c r="CY208" s="2">
        <v>5.5</v>
      </c>
      <c r="CZ208" s="2">
        <v>4</v>
      </c>
      <c r="DB208" s="2">
        <v>3</v>
      </c>
      <c r="DC208" s="2">
        <v>5.5</v>
      </c>
      <c r="DD208" s="2">
        <v>4</v>
      </c>
      <c r="DE208" s="2" t="s">
        <v>324</v>
      </c>
      <c r="DF208" s="194">
        <f t="shared" si="252"/>
        <v>7.00000000004</v>
      </c>
      <c r="DG208" s="194">
        <f t="shared" si="253"/>
        <v>5.50000000002</v>
      </c>
      <c r="DH208" s="194">
        <f t="shared" si="326"/>
        <v>4.00000000003</v>
      </c>
      <c r="DJ208" s="194">
        <f t="shared" si="327"/>
        <v>3.00000000005</v>
      </c>
      <c r="DK208" s="194">
        <f t="shared" si="328"/>
        <v>5.50000000006</v>
      </c>
      <c r="DL208" s="194">
        <f t="shared" si="329"/>
        <v>4.00000000007</v>
      </c>
      <c r="DM208" s="194">
        <f t="shared" si="330"/>
        <v>0</v>
      </c>
      <c r="DN208" s="2">
        <f t="shared" si="331"/>
        <v>9.1000000000520007</v>
      </c>
      <c r="DO208" s="2">
        <f t="shared" si="341"/>
        <v>7.150000000026</v>
      </c>
      <c r="DP208" s="2">
        <f t="shared" si="342"/>
        <v>4.00000000003</v>
      </c>
      <c r="DR208" s="2">
        <f t="shared" si="343"/>
        <v>3.00000000005</v>
      </c>
      <c r="DS208" s="2">
        <f t="shared" si="344"/>
        <v>5.50000000006</v>
      </c>
      <c r="DT208" s="2">
        <f t="shared" si="345"/>
        <v>4.00000000007</v>
      </c>
      <c r="DU208" s="2">
        <f t="shared" si="346"/>
        <v>0</v>
      </c>
      <c r="DV208" s="2" t="b">
        <f t="shared" si="259"/>
        <v>1</v>
      </c>
      <c r="DW208" s="2" t="b">
        <f t="shared" si="260"/>
        <v>1</v>
      </c>
      <c r="DX208" s="2" t="b">
        <f t="shared" si="261"/>
        <v>1</v>
      </c>
      <c r="DZ208" s="2" t="b">
        <f t="shared" si="262"/>
        <v>0</v>
      </c>
      <c r="EA208" s="2" t="b">
        <f t="shared" si="263"/>
        <v>1</v>
      </c>
      <c r="EB208" s="2" t="b">
        <f t="shared" si="264"/>
        <v>1</v>
      </c>
      <c r="EC208" s="2" t="b">
        <f t="shared" si="265"/>
        <v>0</v>
      </c>
      <c r="ED208" s="2">
        <v>1.3</v>
      </c>
      <c r="EE208" s="2">
        <v>1.3</v>
      </c>
      <c r="EF208" s="2">
        <v>1</v>
      </c>
      <c r="EH208" s="2">
        <v>1</v>
      </c>
      <c r="EI208" s="2">
        <v>1</v>
      </c>
      <c r="EJ208" s="2">
        <v>1</v>
      </c>
      <c r="EK208" s="2">
        <v>1</v>
      </c>
      <c r="EL208" s="2">
        <v>5.5</v>
      </c>
      <c r="EM208" s="2">
        <v>4</v>
      </c>
      <c r="EN208" s="2">
        <v>4</v>
      </c>
      <c r="EP208" s="2" t="s">
        <v>324</v>
      </c>
      <c r="EQ208" s="2">
        <v>8.5</v>
      </c>
      <c r="ER208" s="2">
        <v>7</v>
      </c>
      <c r="ES208" s="2">
        <v>4</v>
      </c>
      <c r="ET208" s="194">
        <f t="shared" si="266"/>
        <v>5.50000000004</v>
      </c>
      <c r="EU208" s="194">
        <f t="shared" si="267"/>
        <v>4.00000000002</v>
      </c>
      <c r="EV208" s="194">
        <f t="shared" si="268"/>
        <v>4.00000000003</v>
      </c>
      <c r="EW208" s="194">
        <f t="shared" si="269"/>
        <v>9.9999999999999994E-12</v>
      </c>
      <c r="EX208" s="194">
        <f t="shared" si="270"/>
        <v>0</v>
      </c>
      <c r="EY208" s="194">
        <f t="shared" si="271"/>
        <v>8.50000000006</v>
      </c>
      <c r="EZ208" s="194">
        <f t="shared" si="272"/>
        <v>7.00000000007</v>
      </c>
      <c r="FA208" s="194">
        <f t="shared" si="273"/>
        <v>4.00000000008</v>
      </c>
      <c r="FB208" s="2">
        <f t="shared" si="347"/>
        <v>7.1500000000520005</v>
      </c>
      <c r="FC208" s="2">
        <f t="shared" si="300"/>
        <v>5.2000000000259998</v>
      </c>
      <c r="FD208" s="2">
        <f t="shared" si="301"/>
        <v>4.00000000003</v>
      </c>
      <c r="FE208" s="2">
        <f t="shared" si="302"/>
        <v>0</v>
      </c>
      <c r="FF208" s="2">
        <f t="shared" si="303"/>
        <v>0</v>
      </c>
      <c r="FG208" s="2">
        <f t="shared" si="304"/>
        <v>8.50000000006</v>
      </c>
      <c r="FH208" s="2">
        <f t="shared" si="305"/>
        <v>7.00000000007</v>
      </c>
      <c r="FI208" s="2">
        <f t="shared" si="306"/>
        <v>4.00000000008</v>
      </c>
      <c r="FJ208" s="2" t="b">
        <f t="shared" si="282"/>
        <v>1</v>
      </c>
      <c r="FK208" s="2" t="b">
        <f t="shared" si="283"/>
        <v>1</v>
      </c>
      <c r="FL208" s="2" t="b">
        <f t="shared" si="284"/>
        <v>0</v>
      </c>
      <c r="FM208" s="2" t="b">
        <f t="shared" si="285"/>
        <v>0</v>
      </c>
      <c r="FN208" s="2" t="b">
        <f t="shared" si="286"/>
        <v>0</v>
      </c>
      <c r="FO208" s="2" t="b">
        <f t="shared" si="287"/>
        <v>1</v>
      </c>
      <c r="FP208" s="2" t="b">
        <f t="shared" si="288"/>
        <v>1</v>
      </c>
      <c r="FQ208" s="2" t="b">
        <f t="shared" si="289"/>
        <v>1</v>
      </c>
    </row>
    <row r="209" spans="1:173" ht="15.6">
      <c r="A209" s="335" t="s">
        <v>1373</v>
      </c>
      <c r="B209" s="346" t="s">
        <v>1373</v>
      </c>
      <c r="C209" s="346" t="s">
        <v>227</v>
      </c>
      <c r="D209" s="346" t="s">
        <v>1010</v>
      </c>
      <c r="E209" s="346" t="s">
        <v>1374</v>
      </c>
      <c r="F209" s="2" t="s">
        <v>785</v>
      </c>
      <c r="G209" s="2" t="s">
        <v>324</v>
      </c>
      <c r="H209" s="2" t="s">
        <v>324</v>
      </c>
      <c r="I209" s="2" t="s">
        <v>324</v>
      </c>
      <c r="J209" s="2" t="s">
        <v>324</v>
      </c>
      <c r="K209" s="435">
        <f t="shared" si="234"/>
        <v>0</v>
      </c>
      <c r="L209" s="435">
        <f t="shared" si="235"/>
        <v>0</v>
      </c>
      <c r="M209" s="435">
        <f t="shared" si="236"/>
        <v>0</v>
      </c>
      <c r="N209" s="346" t="s">
        <v>324</v>
      </c>
      <c r="O209" s="346" t="s">
        <v>324</v>
      </c>
      <c r="P209" s="346" t="s">
        <v>3055</v>
      </c>
      <c r="Q209" s="346" t="s">
        <v>324</v>
      </c>
      <c r="R209" s="346" t="s">
        <v>324</v>
      </c>
      <c r="S209" s="346" t="s">
        <v>1375</v>
      </c>
      <c r="T209" s="2" t="s">
        <v>1046</v>
      </c>
      <c r="U209" s="2">
        <v>9</v>
      </c>
      <c r="V209" s="2" cm="1">
        <f t="array" ref="V209">IFERROR(INDEX('Offer Statistics'!$BQ$2:$BQ$600,MATCH(1,(B209='Offer Statistics'!$BB$2:$BB$600)*($B$11='Offer Statistics'!$BC$2:$BC$600),0)),"/")</f>
        <v>4</v>
      </c>
      <c r="W209" s="2" cm="1">
        <f t="array" ref="W209">IFERROR(INDEX('Offer Statistics'!$BD$2:$BD$600,MATCH(1,($B209='Offer Statistics'!$BB$2:$BB$600)*($B$11='Offer Statistics'!$BC$2:$BC$600),0)),"/")</f>
        <v>23</v>
      </c>
      <c r="X209" s="2" cm="1">
        <f t="array" ref="X209">IFERROR(INDEX('Offer Statistics'!$BL$2:$BL$600,MATCH(1,($B209='Offer Statistics'!$BB$2:$BB$600)*($B$11='Offer Statistics'!$BC$2:$BC$600),0)),"/")</f>
        <v>4</v>
      </c>
      <c r="Y209" s="2">
        <f t="shared" si="215"/>
        <v>5.75</v>
      </c>
      <c r="Z209" s="2" t="s">
        <v>1046</v>
      </c>
      <c r="AA209" s="435" t="str">
        <f>入學要求!AF218</f>
        <v>/</v>
      </c>
      <c r="AB209" s="435" t="str">
        <f>入學要求!AG218</f>
        <v>/</v>
      </c>
      <c r="AC209" s="425" t="s">
        <v>785</v>
      </c>
      <c r="AD209" s="426"/>
      <c r="AE209" s="426"/>
      <c r="AF209" s="426" t="s">
        <v>324</v>
      </c>
      <c r="AG209" s="426" t="s">
        <v>324</v>
      </c>
      <c r="AH209" s="426" t="s">
        <v>1350</v>
      </c>
      <c r="AI209" s="426" t="s">
        <v>324</v>
      </c>
      <c r="AJ209" s="426" t="s">
        <v>324</v>
      </c>
      <c r="AK209" s="2" t="s">
        <v>324</v>
      </c>
      <c r="AL209" s="2" t="s">
        <v>324</v>
      </c>
      <c r="AM209" s="2" t="s">
        <v>324</v>
      </c>
      <c r="AN209" s="2" t="s">
        <v>1192</v>
      </c>
      <c r="AO209" s="2" t="s">
        <v>324</v>
      </c>
      <c r="AP209" s="2" t="s">
        <v>324</v>
      </c>
      <c r="AQ209" s="2" t="s">
        <v>324</v>
      </c>
      <c r="AR209" s="2" t="s">
        <v>324</v>
      </c>
      <c r="AT209" s="2" t="s">
        <v>716</v>
      </c>
      <c r="AV209" s="2" t="s">
        <v>713</v>
      </c>
      <c r="AZ209" s="2">
        <v>1</v>
      </c>
      <c r="BA209" s="2">
        <v>1.3</v>
      </c>
      <c r="BB209" s="2">
        <v>1</v>
      </c>
      <c r="BD209" s="2">
        <v>1</v>
      </c>
      <c r="BE209" s="2">
        <v>1</v>
      </c>
      <c r="BF209" s="2">
        <v>1</v>
      </c>
      <c r="BG209" s="2">
        <v>1</v>
      </c>
      <c r="BH209" s="2" t="str">
        <f t="shared" si="237"/>
        <v>JS4858</v>
      </c>
      <c r="BI209" s="197" t="s">
        <v>324</v>
      </c>
      <c r="BJ209" s="197" t="s">
        <v>324</v>
      </c>
      <c r="BK209" s="197" t="s">
        <v>324</v>
      </c>
      <c r="BL209" s="197" t="s">
        <v>324</v>
      </c>
      <c r="BM209" s="197" t="s">
        <v>324</v>
      </c>
      <c r="BN209" s="197" t="s">
        <v>324</v>
      </c>
      <c r="BO209" s="197" t="s">
        <v>324</v>
      </c>
      <c r="BP209" s="197" t="s">
        <v>324</v>
      </c>
      <c r="BQ209" s="194">
        <f t="shared" si="238"/>
        <v>0</v>
      </c>
      <c r="BR209" s="194">
        <f t="shared" si="239"/>
        <v>0</v>
      </c>
      <c r="BS209" s="194">
        <f t="shared" si="240"/>
        <v>0</v>
      </c>
      <c r="BU209" s="194">
        <f t="shared" si="241"/>
        <v>0</v>
      </c>
      <c r="BV209" s="194">
        <f t="shared" si="242"/>
        <v>0</v>
      </c>
      <c r="BW209" s="194">
        <f t="shared" si="243"/>
        <v>0</v>
      </c>
      <c r="BX209" s="194">
        <f t="shared" si="244"/>
        <v>0</v>
      </c>
      <c r="BY209" s="2">
        <f t="shared" si="334"/>
        <v>0</v>
      </c>
      <c r="BZ209" s="2">
        <f t="shared" si="335"/>
        <v>0</v>
      </c>
      <c r="CA209" s="2">
        <f t="shared" si="336"/>
        <v>0</v>
      </c>
      <c r="CC209" s="2">
        <f t="shared" si="337"/>
        <v>0</v>
      </c>
      <c r="CD209" s="2">
        <f t="shared" si="338"/>
        <v>0</v>
      </c>
      <c r="CE209" s="2">
        <f t="shared" si="339"/>
        <v>0</v>
      </c>
      <c r="CF209" s="2">
        <f t="shared" si="340"/>
        <v>0</v>
      </c>
      <c r="CG209" s="2" t="b">
        <f t="shared" si="245"/>
        <v>0</v>
      </c>
      <c r="CH209" s="2" t="b">
        <f t="shared" si="246"/>
        <v>0</v>
      </c>
      <c r="CI209" s="2" t="b">
        <f t="shared" si="247"/>
        <v>0</v>
      </c>
      <c r="CK209" s="2" t="b">
        <f t="shared" si="248"/>
        <v>0</v>
      </c>
      <c r="CL209" s="2" t="b">
        <f t="shared" si="249"/>
        <v>0</v>
      </c>
      <c r="CM209" s="2" t="b">
        <f t="shared" si="250"/>
        <v>0</v>
      </c>
      <c r="CN209" s="2" t="b">
        <f t="shared" si="251"/>
        <v>0</v>
      </c>
      <c r="CO209" s="2">
        <v>1</v>
      </c>
      <c r="CP209" s="2">
        <v>1.3</v>
      </c>
      <c r="CQ209" s="2">
        <v>1</v>
      </c>
      <c r="CS209" s="2">
        <v>1</v>
      </c>
      <c r="CT209" s="2">
        <v>1</v>
      </c>
      <c r="CU209" s="2">
        <v>1</v>
      </c>
      <c r="CV209" s="2">
        <v>1</v>
      </c>
      <c r="CX209" s="2" t="s">
        <v>324</v>
      </c>
      <c r="CY209" s="2" t="s">
        <v>324</v>
      </c>
      <c r="CZ209" s="2" t="s">
        <v>324</v>
      </c>
      <c r="DB209" s="2" t="s">
        <v>324</v>
      </c>
      <c r="DC209" s="2" t="s">
        <v>324</v>
      </c>
      <c r="DD209" s="2" t="s">
        <v>324</v>
      </c>
      <c r="DE209" s="2" t="s">
        <v>324</v>
      </c>
      <c r="DF209" s="194">
        <f t="shared" si="252"/>
        <v>0</v>
      </c>
      <c r="DG209" s="194">
        <f t="shared" si="253"/>
        <v>0</v>
      </c>
      <c r="DH209" s="194">
        <f t="shared" si="326"/>
        <v>0</v>
      </c>
      <c r="DJ209" s="194">
        <f t="shared" si="327"/>
        <v>0</v>
      </c>
      <c r="DK209" s="194">
        <f t="shared" si="328"/>
        <v>0</v>
      </c>
      <c r="DL209" s="194">
        <f t="shared" si="329"/>
        <v>0</v>
      </c>
      <c r="DM209" s="194">
        <f t="shared" si="330"/>
        <v>0</v>
      </c>
      <c r="DN209" s="2">
        <f t="shared" si="331"/>
        <v>0</v>
      </c>
      <c r="DO209" s="2">
        <f t="shared" si="341"/>
        <v>0</v>
      </c>
      <c r="DP209" s="2">
        <f t="shared" si="342"/>
        <v>0</v>
      </c>
      <c r="DR209" s="2">
        <f t="shared" si="343"/>
        <v>0</v>
      </c>
      <c r="DS209" s="2">
        <f t="shared" si="344"/>
        <v>0</v>
      </c>
      <c r="DT209" s="2">
        <f t="shared" si="345"/>
        <v>0</v>
      </c>
      <c r="DU209" s="2">
        <f t="shared" si="346"/>
        <v>0</v>
      </c>
      <c r="DV209" s="2" t="b">
        <f t="shared" si="259"/>
        <v>0</v>
      </c>
      <c r="DW209" s="2" t="b">
        <f t="shared" si="260"/>
        <v>0</v>
      </c>
      <c r="DX209" s="2" t="b">
        <f t="shared" si="261"/>
        <v>0</v>
      </c>
      <c r="DZ209" s="2" t="b">
        <f t="shared" si="262"/>
        <v>0</v>
      </c>
      <c r="EA209" s="2" t="b">
        <f t="shared" si="263"/>
        <v>0</v>
      </c>
      <c r="EB209" s="2" t="b">
        <f t="shared" si="264"/>
        <v>0</v>
      </c>
      <c r="EC209" s="2" t="b">
        <f t="shared" si="265"/>
        <v>0</v>
      </c>
      <c r="ED209" s="2">
        <v>1</v>
      </c>
      <c r="EE209" s="2">
        <v>1.3</v>
      </c>
      <c r="EF209" s="2">
        <v>1</v>
      </c>
      <c r="EH209" s="2">
        <v>1</v>
      </c>
      <c r="EI209" s="2">
        <v>1</v>
      </c>
      <c r="EJ209" s="2">
        <v>1</v>
      </c>
      <c r="EK209" s="2">
        <v>1</v>
      </c>
      <c r="EL209" s="2" t="s">
        <v>324</v>
      </c>
      <c r="EM209" s="2" t="s">
        <v>324</v>
      </c>
      <c r="EN209" s="2" t="s">
        <v>324</v>
      </c>
      <c r="EP209" s="2" t="s">
        <v>324</v>
      </c>
      <c r="EQ209" s="2" t="s">
        <v>324</v>
      </c>
      <c r="ER209" s="2" t="s">
        <v>324</v>
      </c>
      <c r="ES209" s="2" t="s">
        <v>324</v>
      </c>
      <c r="ET209" s="194">
        <f t="shared" si="266"/>
        <v>0</v>
      </c>
      <c r="EU209" s="194">
        <f t="shared" si="267"/>
        <v>0</v>
      </c>
      <c r="EV209" s="194">
        <f t="shared" si="268"/>
        <v>0</v>
      </c>
      <c r="EW209" s="194">
        <f t="shared" si="269"/>
        <v>9.9999999999999994E-12</v>
      </c>
      <c r="EX209" s="194">
        <f t="shared" si="270"/>
        <v>0</v>
      </c>
      <c r="EY209" s="194">
        <f t="shared" si="271"/>
        <v>0</v>
      </c>
      <c r="EZ209" s="194">
        <f t="shared" si="272"/>
        <v>0</v>
      </c>
      <c r="FA209" s="194">
        <f t="shared" si="273"/>
        <v>0</v>
      </c>
      <c r="FB209" s="2">
        <f t="shared" ref="FB209:FI209" si="348">ET209*ED209</f>
        <v>0</v>
      </c>
      <c r="FC209" s="2">
        <f t="shared" si="348"/>
        <v>0</v>
      </c>
      <c r="FD209" s="2">
        <f t="shared" si="348"/>
        <v>0</v>
      </c>
      <c r="FE209" s="2">
        <f t="shared" si="348"/>
        <v>0</v>
      </c>
      <c r="FF209" s="2">
        <f t="shared" si="348"/>
        <v>0</v>
      </c>
      <c r="FG209" s="2">
        <f t="shared" si="348"/>
        <v>0</v>
      </c>
      <c r="FH209" s="2">
        <f t="shared" si="348"/>
        <v>0</v>
      </c>
      <c r="FI209" s="2">
        <f t="shared" si="348"/>
        <v>0</v>
      </c>
      <c r="FJ209" s="2" t="b">
        <f t="shared" si="282"/>
        <v>0</v>
      </c>
      <c r="FK209" s="2" t="b">
        <f t="shared" si="283"/>
        <v>0</v>
      </c>
      <c r="FL209" s="2" t="b">
        <f t="shared" si="284"/>
        <v>0</v>
      </c>
      <c r="FM209" s="2" t="b">
        <f t="shared" si="285"/>
        <v>0</v>
      </c>
      <c r="FN209" s="2" t="b">
        <f t="shared" si="286"/>
        <v>0</v>
      </c>
      <c r="FO209" s="2" t="b">
        <f t="shared" si="287"/>
        <v>0</v>
      </c>
      <c r="FP209" s="2" t="b">
        <f t="shared" si="288"/>
        <v>0</v>
      </c>
      <c r="FQ209" s="2" t="b">
        <f t="shared" si="289"/>
        <v>0</v>
      </c>
    </row>
    <row r="210" spans="1:173" ht="15.6">
      <c r="A210" s="335" t="s">
        <v>41</v>
      </c>
      <c r="B210" s="346" t="s">
        <v>41</v>
      </c>
      <c r="C210" s="346" t="s">
        <v>227</v>
      </c>
      <c r="D210" s="346" t="s">
        <v>1010</v>
      </c>
      <c r="E210" s="346" t="s">
        <v>1376</v>
      </c>
      <c r="F210" s="2" t="s">
        <v>785</v>
      </c>
      <c r="G210" s="2" t="s">
        <v>324</v>
      </c>
      <c r="H210" s="2">
        <v>33.75</v>
      </c>
      <c r="I210" s="2">
        <v>32.25</v>
      </c>
      <c r="J210" s="2">
        <v>30.75</v>
      </c>
      <c r="K210" s="435">
        <f t="shared" ref="K210:K215" si="349">SUMIF(FJ210:FQ210,TRUE,FB210:FI210)</f>
        <v>33.750000000264997</v>
      </c>
      <c r="L210" s="435">
        <f t="shared" ref="L210:L215" si="350">SUMIF(DV210:EC210,TRUE,DN210:DU210)</f>
        <v>32.250000000284999</v>
      </c>
      <c r="M210" s="435">
        <f t="shared" ref="M210:M215" si="351">SUMIF(CG210:CN210,TRUE,BY210:CF210)</f>
        <v>30.750000000265</v>
      </c>
      <c r="N210" s="346" t="s">
        <v>324</v>
      </c>
      <c r="O210" s="346" t="s">
        <v>324</v>
      </c>
      <c r="P210" s="346" t="s">
        <v>1377</v>
      </c>
      <c r="Q210" s="346" t="s">
        <v>324</v>
      </c>
      <c r="R210" s="346" t="s">
        <v>324</v>
      </c>
      <c r="S210" s="346" t="s">
        <v>1378</v>
      </c>
      <c r="T210" s="2" t="s">
        <v>1046</v>
      </c>
      <c r="U210" s="2">
        <v>56</v>
      </c>
      <c r="V210" s="2" cm="1">
        <f t="array" ref="V210">IFERROR(INDEX('Offer Statistics'!$BQ$2:$BQ$600,MATCH(1,(B210='Offer Statistics'!$BB$2:$BB$600)*($B$11='Offer Statistics'!$BC$2:$BC$600),0)),"/")</f>
        <v>60</v>
      </c>
      <c r="W210" s="2" cm="1">
        <f t="array" ref="W210">IFERROR(INDEX('Offer Statistics'!$BD$2:$BD$600,MATCH(1,($B210='Offer Statistics'!$BB$2:$BB$600)*($B$11='Offer Statistics'!$BC$2:$BC$600),0)),"/")</f>
        <v>342</v>
      </c>
      <c r="X210" s="2" cm="1">
        <f t="array" ref="X210">IFERROR(INDEX('Offer Statistics'!$BL$2:$BL$600,MATCH(1,($B210='Offer Statistics'!$BB$2:$BB$600)*($B$11='Offer Statistics'!$BC$2:$BC$600),0)),"/")</f>
        <v>60</v>
      </c>
      <c r="Y210" s="2">
        <f t="shared" si="215"/>
        <v>5.7</v>
      </c>
      <c r="Z210" s="2" t="s">
        <v>1046</v>
      </c>
      <c r="AA210" s="435" t="str">
        <f>入學要求!AF219</f>
        <v>/</v>
      </c>
      <c r="AB210" s="435" t="str">
        <f>入學要求!AG219</f>
        <v>/</v>
      </c>
      <c r="AC210" s="425" t="s">
        <v>785</v>
      </c>
      <c r="AD210" s="426"/>
      <c r="AE210" s="426"/>
      <c r="AF210" s="426" t="s">
        <v>324</v>
      </c>
      <c r="AG210" s="426" t="s">
        <v>324</v>
      </c>
      <c r="AH210" s="426" t="s">
        <v>1379</v>
      </c>
      <c r="AI210" s="426" t="s">
        <v>324</v>
      </c>
      <c r="AJ210" s="426" t="s">
        <v>324</v>
      </c>
      <c r="AK210" s="2" t="s">
        <v>324</v>
      </c>
      <c r="AL210" s="2" t="s">
        <v>324</v>
      </c>
      <c r="AM210" s="2" t="s">
        <v>324</v>
      </c>
      <c r="AN210" s="2" t="s">
        <v>324</v>
      </c>
      <c r="AO210" s="2" t="s">
        <v>324</v>
      </c>
      <c r="AP210" s="2" t="s">
        <v>324</v>
      </c>
      <c r="AQ210" s="2" t="s">
        <v>324</v>
      </c>
      <c r="AR210" s="2" t="s">
        <v>324</v>
      </c>
      <c r="AT210" s="2" t="s">
        <v>716</v>
      </c>
      <c r="AV210" s="2" t="s">
        <v>713</v>
      </c>
      <c r="AZ210" s="2">
        <v>1</v>
      </c>
      <c r="BA210" s="2">
        <v>1.5</v>
      </c>
      <c r="BB210" s="2">
        <v>1.5</v>
      </c>
      <c r="BD210" s="2">
        <v>1</v>
      </c>
      <c r="BE210" s="2">
        <v>1</v>
      </c>
      <c r="BF210" s="2">
        <v>1</v>
      </c>
      <c r="BG210" s="2">
        <v>1</v>
      </c>
      <c r="BH210" s="2" t="str">
        <f t="shared" ref="BH210:BH215" si="352">B210</f>
        <v>JS4862</v>
      </c>
      <c r="BI210" s="197">
        <v>5.5</v>
      </c>
      <c r="BJ210" s="197">
        <v>8.5</v>
      </c>
      <c r="BK210" s="197">
        <v>3</v>
      </c>
      <c r="BL210" s="197" t="s">
        <v>324</v>
      </c>
      <c r="BM210" s="197" t="s">
        <v>324</v>
      </c>
      <c r="BN210" s="197">
        <v>4</v>
      </c>
      <c r="BO210" s="197">
        <v>4</v>
      </c>
      <c r="BP210" s="197">
        <v>4</v>
      </c>
      <c r="BQ210" s="194">
        <f t="shared" si="238"/>
        <v>5.50000000004</v>
      </c>
      <c r="BR210" s="194">
        <f t="shared" si="239"/>
        <v>8.50000000002</v>
      </c>
      <c r="BS210" s="194">
        <f t="shared" si="240"/>
        <v>3.00000000003</v>
      </c>
      <c r="BU210" s="194">
        <f t="shared" si="241"/>
        <v>0</v>
      </c>
      <c r="BV210" s="194">
        <f t="shared" si="242"/>
        <v>4.00000000006</v>
      </c>
      <c r="BW210" s="194">
        <f t="shared" si="243"/>
        <v>4.00000000007</v>
      </c>
      <c r="BX210" s="194">
        <f t="shared" si="244"/>
        <v>4.00000000008</v>
      </c>
      <c r="BY210" s="2">
        <f t="shared" si="334"/>
        <v>5.50000000004</v>
      </c>
      <c r="BZ210" s="2">
        <f t="shared" si="335"/>
        <v>12.750000000029999</v>
      </c>
      <c r="CA210" s="2">
        <f t="shared" si="336"/>
        <v>4.5000000000450004</v>
      </c>
      <c r="CC210" s="2">
        <f t="shared" si="337"/>
        <v>0</v>
      </c>
      <c r="CD210" s="2">
        <f t="shared" si="338"/>
        <v>4.00000000006</v>
      </c>
      <c r="CE210" s="2">
        <f t="shared" si="339"/>
        <v>4.00000000007</v>
      </c>
      <c r="CF210" s="2">
        <f t="shared" si="340"/>
        <v>4.00000000008</v>
      </c>
      <c r="CG210" s="2" t="b">
        <f t="shared" ref="CG210:CG215" si="353">IF(BY210&gt;LARGE($BY210:$CF210,6),TRUE)</f>
        <v>1</v>
      </c>
      <c r="CH210" s="2" t="b">
        <f t="shared" ref="CH210:CH215" si="354">IF(BZ210&gt;LARGE($BY210:$CF210,6),TRUE)</f>
        <v>1</v>
      </c>
      <c r="CI210" s="2" t="b">
        <f t="shared" ref="CI210:CI215" si="355">IF(CA210&gt;LARGE($BY210:$CF210,6),TRUE)</f>
        <v>1</v>
      </c>
      <c r="CK210" s="2" t="b">
        <f t="shared" ref="CK210:CK215" si="356">IF(CC210&gt;LARGE($BY210:$CF210,6),TRUE)</f>
        <v>0</v>
      </c>
      <c r="CL210" s="2" t="b">
        <f t="shared" ref="CL210:CL215" si="357">IF(CD210&gt;LARGE($BY210:$CF210,6),TRUE)</f>
        <v>0</v>
      </c>
      <c r="CM210" s="2" t="b">
        <f t="shared" ref="CM210:CM215" si="358">IF(CE210&gt;LARGE($BY210:$CF210,6),TRUE)</f>
        <v>1</v>
      </c>
      <c r="CN210" s="2" t="b">
        <f t="shared" ref="CN210:CN215" si="359">IF(CF210&gt;LARGE($BY210:$CF210,6),TRUE)</f>
        <v>1</v>
      </c>
      <c r="CO210" s="2">
        <v>1</v>
      </c>
      <c r="CP210" s="2">
        <v>1.5</v>
      </c>
      <c r="CQ210" s="2">
        <v>1.5</v>
      </c>
      <c r="CS210" s="2">
        <v>1</v>
      </c>
      <c r="CT210" s="2">
        <v>1</v>
      </c>
      <c r="CU210" s="2">
        <v>1</v>
      </c>
      <c r="CV210" s="2">
        <v>1</v>
      </c>
      <c r="CX210" s="2">
        <v>3</v>
      </c>
      <c r="CY210" s="2">
        <v>4</v>
      </c>
      <c r="CZ210" s="2">
        <v>5.5</v>
      </c>
      <c r="DB210" s="2" t="s">
        <v>324</v>
      </c>
      <c r="DC210" s="2">
        <v>7</v>
      </c>
      <c r="DD210" s="2">
        <v>5.5</v>
      </c>
      <c r="DE210" s="2">
        <v>5.5</v>
      </c>
      <c r="DF210" s="194">
        <f t="shared" si="252"/>
        <v>3.00000000004</v>
      </c>
      <c r="DG210" s="194">
        <f t="shared" si="253"/>
        <v>4.00000000002</v>
      </c>
      <c r="DH210" s="194">
        <f t="shared" si="326"/>
        <v>5.50000000003</v>
      </c>
      <c r="DJ210" s="194">
        <f t="shared" si="327"/>
        <v>0</v>
      </c>
      <c r="DK210" s="194">
        <f t="shared" si="328"/>
        <v>7.00000000006</v>
      </c>
      <c r="DL210" s="194">
        <f t="shared" si="329"/>
        <v>5.50000000007</v>
      </c>
      <c r="DM210" s="194">
        <f t="shared" si="330"/>
        <v>5.50000000008</v>
      </c>
      <c r="DN210" s="2">
        <f t="shared" si="331"/>
        <v>3.00000000004</v>
      </c>
      <c r="DO210" s="2">
        <f t="shared" si="341"/>
        <v>6.00000000003</v>
      </c>
      <c r="DP210" s="2">
        <f t="shared" si="342"/>
        <v>8.2500000000450004</v>
      </c>
      <c r="DR210" s="2">
        <f t="shared" si="343"/>
        <v>0</v>
      </c>
      <c r="DS210" s="2">
        <f t="shared" si="344"/>
        <v>7.00000000006</v>
      </c>
      <c r="DT210" s="2">
        <f t="shared" si="345"/>
        <v>5.50000000007</v>
      </c>
      <c r="DU210" s="2">
        <f t="shared" si="346"/>
        <v>5.50000000008</v>
      </c>
      <c r="DV210" s="2" t="b">
        <f t="shared" ref="DV210:DV215" si="360">IF(DN210&gt;LARGE($DN210:$DU210,6),TRUE)</f>
        <v>0</v>
      </c>
      <c r="DW210" s="2" t="b">
        <f t="shared" ref="DW210:DW215" si="361">IF(DO210&gt;LARGE($DN210:$DU210,6),TRUE)</f>
        <v>1</v>
      </c>
      <c r="DX210" s="2" t="b">
        <f t="shared" ref="DX210:DX215" si="362">IF(DP210&gt;LARGE($DN210:$DU210,6),TRUE)</f>
        <v>1</v>
      </c>
      <c r="DZ210" s="2" t="b">
        <f t="shared" ref="DZ210:DZ215" si="363">IF(DR210&gt;LARGE($DN210:$DU210,6),TRUE)</f>
        <v>0</v>
      </c>
      <c r="EA210" s="2" t="b">
        <f t="shared" ref="EA210:EA215" si="364">IF(DS210&gt;LARGE($DN210:$DU210,6),TRUE)</f>
        <v>1</v>
      </c>
      <c r="EB210" s="2" t="b">
        <f t="shared" ref="EB210:EB215" si="365">IF(DT210&gt;LARGE($DN210:$DU210,6),TRUE)</f>
        <v>1</v>
      </c>
      <c r="EC210" s="2" t="b">
        <f t="shared" ref="EC210:EC215" si="366">IF(DU210&gt;LARGE($DN210:$DU210,6),TRUE)</f>
        <v>1</v>
      </c>
      <c r="ED210" s="2">
        <v>1</v>
      </c>
      <c r="EE210" s="2">
        <v>1.5</v>
      </c>
      <c r="EF210" s="2">
        <v>1.5</v>
      </c>
      <c r="EH210" s="2">
        <v>1</v>
      </c>
      <c r="EI210" s="2">
        <v>1</v>
      </c>
      <c r="EJ210" s="2">
        <v>1</v>
      </c>
      <c r="EK210" s="2">
        <v>1</v>
      </c>
      <c r="EL210" s="2">
        <v>4</v>
      </c>
      <c r="EM210" s="2">
        <v>5.5</v>
      </c>
      <c r="EN210" s="2">
        <v>7</v>
      </c>
      <c r="EP210" s="2">
        <v>5.5</v>
      </c>
      <c r="EQ210" s="2">
        <v>5.5</v>
      </c>
      <c r="ER210" s="2">
        <v>4</v>
      </c>
      <c r="ES210" s="2">
        <v>4</v>
      </c>
      <c r="ET210" s="194">
        <f t="shared" si="266"/>
        <v>4.00000000004</v>
      </c>
      <c r="EU210" s="194">
        <f t="shared" si="267"/>
        <v>5.50000000002</v>
      </c>
      <c r="EV210" s="194">
        <f t="shared" si="268"/>
        <v>7.00000000003</v>
      </c>
      <c r="EW210" s="194">
        <f t="shared" si="269"/>
        <v>9.9999999999999994E-12</v>
      </c>
      <c r="EX210" s="194">
        <f t="shared" si="270"/>
        <v>5.50000000005</v>
      </c>
      <c r="EY210" s="194">
        <f t="shared" si="271"/>
        <v>5.50000000006</v>
      </c>
      <c r="EZ210" s="194">
        <f t="shared" si="272"/>
        <v>4.00000000007</v>
      </c>
      <c r="FA210" s="194">
        <f t="shared" si="273"/>
        <v>4.00000000008</v>
      </c>
      <c r="FB210" s="2">
        <f t="shared" si="347"/>
        <v>4.00000000004</v>
      </c>
      <c r="FC210" s="2">
        <f t="shared" si="300"/>
        <v>8.2500000000299991</v>
      </c>
      <c r="FD210" s="2">
        <f t="shared" si="301"/>
        <v>10.500000000045</v>
      </c>
      <c r="FE210" s="2">
        <f t="shared" si="302"/>
        <v>0</v>
      </c>
      <c r="FF210" s="2">
        <f t="shared" si="303"/>
        <v>5.50000000005</v>
      </c>
      <c r="FG210" s="2">
        <f t="shared" si="304"/>
        <v>5.50000000006</v>
      </c>
      <c r="FH210" s="2">
        <f t="shared" si="305"/>
        <v>4.00000000007</v>
      </c>
      <c r="FI210" s="2">
        <f t="shared" si="306"/>
        <v>4.00000000008</v>
      </c>
      <c r="FJ210" s="2" t="b">
        <f t="shared" ref="FJ210:FJ215" si="367">IF(FB210&gt;LARGE($FB210:$FI210,6),TRUE)</f>
        <v>0</v>
      </c>
      <c r="FK210" s="2" t="b">
        <f t="shared" ref="FK210:FK215" si="368">IF(FC210&gt;LARGE($FB210:$FI210,6),TRUE)</f>
        <v>1</v>
      </c>
      <c r="FL210" s="2" t="b">
        <f t="shared" ref="FL210:FL215" si="369">IF(FD210&gt;LARGE($FB210:$FI210,6),TRUE)</f>
        <v>1</v>
      </c>
      <c r="FM210" s="2" t="b">
        <f t="shared" ref="FM210:FM215" si="370">IF(FE210&gt;LARGE($FB210:$FI210,6),TRUE)</f>
        <v>0</v>
      </c>
      <c r="FN210" s="2" t="b">
        <f t="shared" ref="FN210:FN215" si="371">IF(FF210&gt;LARGE($FB210:$FI210,6),TRUE)</f>
        <v>1</v>
      </c>
      <c r="FO210" s="2" t="b">
        <f t="shared" ref="FO210:FO215" si="372">IF(FG210&gt;LARGE($FB210:$FI210,6),TRUE)</f>
        <v>1</v>
      </c>
      <c r="FP210" s="2" t="b">
        <f t="shared" ref="FP210:FP215" si="373">IF(FH210&gt;LARGE($FB210:$FI210,6),TRUE)</f>
        <v>0</v>
      </c>
      <c r="FQ210" s="2" t="b">
        <f t="shared" ref="FQ210:FQ215" si="374">IF(FI210&gt;LARGE($FB210:$FI210,6),TRUE)</f>
        <v>1</v>
      </c>
    </row>
    <row r="211" spans="1:173" ht="15.6">
      <c r="A211" s="335" t="s">
        <v>1380</v>
      </c>
      <c r="B211" s="346" t="s">
        <v>1380</v>
      </c>
      <c r="C211" s="346" t="s">
        <v>227</v>
      </c>
      <c r="D211" s="346" t="s">
        <v>1010</v>
      </c>
      <c r="E211" s="346" t="s">
        <v>1381</v>
      </c>
      <c r="F211" s="2" t="s">
        <v>785</v>
      </c>
      <c r="G211" s="2" t="s">
        <v>324</v>
      </c>
      <c r="H211" s="2">
        <v>29</v>
      </c>
      <c r="I211" s="2">
        <v>27.5</v>
      </c>
      <c r="J211" s="2">
        <v>26</v>
      </c>
      <c r="K211" s="435">
        <f t="shared" si="349"/>
        <v>29.000000000260002</v>
      </c>
      <c r="L211" s="435">
        <f t="shared" si="350"/>
        <v>27.500000000250001</v>
      </c>
      <c r="M211" s="435">
        <f t="shared" si="351"/>
        <v>26.00000000028</v>
      </c>
      <c r="N211" s="346" t="s">
        <v>324</v>
      </c>
      <c r="O211" s="346" t="s">
        <v>324</v>
      </c>
      <c r="P211" s="346" t="s">
        <v>324</v>
      </c>
      <c r="Q211" s="346" t="s">
        <v>324</v>
      </c>
      <c r="R211" s="346" t="s">
        <v>324</v>
      </c>
      <c r="S211" s="346" t="s">
        <v>1382</v>
      </c>
      <c r="T211" s="2" t="s">
        <v>1046</v>
      </c>
      <c r="U211" s="2">
        <v>45</v>
      </c>
      <c r="V211" s="2" cm="1">
        <f t="array" ref="V211">IFERROR(INDEX('Offer Statistics'!$BQ$2:$BQ$600,MATCH(1,(B211='Offer Statistics'!$BB$2:$BB$600)*($B$11='Offer Statistics'!$BC$2:$BC$600),0)),"/")</f>
        <v>37</v>
      </c>
      <c r="W211" s="2" cm="1">
        <f t="array" ref="W211">IFERROR(INDEX('Offer Statistics'!$BD$2:$BD$600,MATCH(1,($B211='Offer Statistics'!$BB$2:$BB$600)*($B$11='Offer Statistics'!$BC$2:$BC$600),0)),"/")</f>
        <v>323</v>
      </c>
      <c r="X211" s="2" cm="1">
        <f t="array" ref="X211">IFERROR(INDEX('Offer Statistics'!$BL$2:$BL$600,MATCH(1,($B211='Offer Statistics'!$BB$2:$BB$600)*($B$11='Offer Statistics'!$BC$2:$BC$600),0)),"/")</f>
        <v>37</v>
      </c>
      <c r="Y211" s="2">
        <f>IFERROR(W211/X211,"新科目")</f>
        <v>8.7297297297297298</v>
      </c>
      <c r="Z211" s="2" t="s">
        <v>1046</v>
      </c>
      <c r="AA211" s="435" t="str">
        <f>入學要求!AF220</f>
        <v>/</v>
      </c>
      <c r="AB211" s="435" t="str">
        <f>入學要求!AG220</f>
        <v>/</v>
      </c>
      <c r="AC211" s="426" t="s">
        <v>785</v>
      </c>
      <c r="AD211" s="426"/>
      <c r="AE211" s="426"/>
      <c r="AF211" s="426" t="s">
        <v>324</v>
      </c>
      <c r="AG211" s="426" t="s">
        <v>324</v>
      </c>
      <c r="AH211" s="426" t="s">
        <v>324</v>
      </c>
      <c r="AI211" s="426" t="s">
        <v>324</v>
      </c>
      <c r="AJ211" s="426" t="s">
        <v>324</v>
      </c>
      <c r="AK211" s="2" t="s">
        <v>324</v>
      </c>
      <c r="AL211" s="2" t="s">
        <v>324</v>
      </c>
      <c r="AM211" s="2" t="s">
        <v>324</v>
      </c>
      <c r="AN211" s="2" t="s">
        <v>324</v>
      </c>
      <c r="AO211" s="2" t="s">
        <v>324</v>
      </c>
      <c r="AP211" s="2" t="s">
        <v>324</v>
      </c>
      <c r="AQ211" s="2" t="s">
        <v>324</v>
      </c>
      <c r="AR211" s="2" t="s">
        <v>324</v>
      </c>
      <c r="AT211" s="2" t="s">
        <v>716</v>
      </c>
      <c r="AV211" s="2" t="s">
        <v>713</v>
      </c>
      <c r="AZ211" s="2">
        <v>1</v>
      </c>
      <c r="BA211" s="2">
        <v>1</v>
      </c>
      <c r="BB211" s="2">
        <v>1</v>
      </c>
      <c r="BD211" s="2">
        <v>1</v>
      </c>
      <c r="BE211" s="2">
        <v>1</v>
      </c>
      <c r="BF211" s="2">
        <v>1</v>
      </c>
      <c r="BG211" s="2">
        <v>1</v>
      </c>
      <c r="BH211" s="2" t="str">
        <f t="shared" si="352"/>
        <v>JS4874</v>
      </c>
      <c r="BI211" s="197">
        <v>5.5</v>
      </c>
      <c r="BJ211" s="197">
        <v>4</v>
      </c>
      <c r="BK211" s="197">
        <v>4</v>
      </c>
      <c r="BL211" s="197" t="s">
        <v>324</v>
      </c>
      <c r="BM211" s="197" t="s">
        <v>324</v>
      </c>
      <c r="BN211" s="197">
        <v>7</v>
      </c>
      <c r="BO211" s="197">
        <v>5.5</v>
      </c>
      <c r="BP211" s="197">
        <v>4</v>
      </c>
      <c r="BQ211" s="194">
        <f>IFERROR(BI211+0.00000000004,0)</f>
        <v>5.50000000004</v>
      </c>
      <c r="BR211" s="194">
        <f>IFERROR(BJ211+0.00000000002,0)</f>
        <v>4.00000000002</v>
      </c>
      <c r="BS211" s="194">
        <f>IFERROR(BK211+0.00000000003,0)</f>
        <v>4.00000000003</v>
      </c>
      <c r="BU211" s="194">
        <f>IFERROR(BM211+0.00000000005,0)</f>
        <v>0</v>
      </c>
      <c r="BV211" s="194">
        <f>IFERROR(BN211+0.00000000006,0)</f>
        <v>7.00000000006</v>
      </c>
      <c r="BW211" s="194">
        <f>IFERROR(BO211+0.00000000007,0)</f>
        <v>5.50000000007</v>
      </c>
      <c r="BX211" s="194">
        <f>IFERROR(BP211+0.00000000008,0)</f>
        <v>4.00000000008</v>
      </c>
      <c r="BY211" s="2">
        <f t="shared" si="334"/>
        <v>5.50000000004</v>
      </c>
      <c r="BZ211" s="2">
        <f t="shared" si="335"/>
        <v>4.00000000002</v>
      </c>
      <c r="CA211" s="2">
        <f t="shared" si="336"/>
        <v>4.00000000003</v>
      </c>
      <c r="CC211" s="2">
        <f t="shared" si="337"/>
        <v>0</v>
      </c>
      <c r="CD211" s="2">
        <f t="shared" si="338"/>
        <v>7.00000000006</v>
      </c>
      <c r="CE211" s="2">
        <f t="shared" si="339"/>
        <v>5.50000000007</v>
      </c>
      <c r="CF211" s="2">
        <f t="shared" si="340"/>
        <v>4.00000000008</v>
      </c>
      <c r="CG211" s="2" t="b">
        <f t="shared" si="353"/>
        <v>1</v>
      </c>
      <c r="CH211" s="2" t="b">
        <f t="shared" si="354"/>
        <v>0</v>
      </c>
      <c r="CI211" s="2" t="b">
        <f t="shared" si="355"/>
        <v>1</v>
      </c>
      <c r="CK211" s="2" t="b">
        <f t="shared" si="356"/>
        <v>0</v>
      </c>
      <c r="CL211" s="2" t="b">
        <f t="shared" si="357"/>
        <v>1</v>
      </c>
      <c r="CM211" s="2" t="b">
        <f t="shared" si="358"/>
        <v>1</v>
      </c>
      <c r="CN211" s="2" t="b">
        <f t="shared" si="359"/>
        <v>1</v>
      </c>
      <c r="CO211" s="2">
        <v>1</v>
      </c>
      <c r="CP211" s="2">
        <v>1</v>
      </c>
      <c r="CQ211" s="2">
        <v>1</v>
      </c>
      <c r="CS211" s="2">
        <v>1</v>
      </c>
      <c r="CT211" s="2">
        <v>1</v>
      </c>
      <c r="CU211" s="2">
        <v>1</v>
      </c>
      <c r="CV211" s="2">
        <v>1</v>
      </c>
      <c r="CX211" s="2">
        <v>8.5</v>
      </c>
      <c r="CY211" s="2">
        <v>3</v>
      </c>
      <c r="CZ211" s="2">
        <v>5.5</v>
      </c>
      <c r="DB211" s="2">
        <v>4</v>
      </c>
      <c r="DC211" s="2">
        <v>5.5</v>
      </c>
      <c r="DD211" s="2">
        <v>4</v>
      </c>
      <c r="DE211" s="2" t="s">
        <v>324</v>
      </c>
      <c r="DF211" s="194">
        <f>IFERROR(CX211+0.00000000004,0)</f>
        <v>8.50000000004</v>
      </c>
      <c r="DG211" s="194">
        <f>IFERROR(CY211+0.00000000002,0)</f>
        <v>3.00000000002</v>
      </c>
      <c r="DH211" s="194">
        <f t="shared" si="326"/>
        <v>5.50000000003</v>
      </c>
      <c r="DJ211" s="194">
        <f t="shared" si="327"/>
        <v>4.00000000005</v>
      </c>
      <c r="DK211" s="194">
        <f t="shared" si="328"/>
        <v>5.50000000006</v>
      </c>
      <c r="DL211" s="194">
        <f t="shared" si="329"/>
        <v>4.00000000007</v>
      </c>
      <c r="DM211" s="194">
        <f t="shared" si="330"/>
        <v>0</v>
      </c>
      <c r="DN211" s="2">
        <f t="shared" si="331"/>
        <v>8.50000000004</v>
      </c>
      <c r="DO211" s="2">
        <f t="shared" si="341"/>
        <v>3.00000000002</v>
      </c>
      <c r="DP211" s="2">
        <f t="shared" si="342"/>
        <v>5.50000000003</v>
      </c>
      <c r="DR211" s="2">
        <f t="shared" si="343"/>
        <v>4.00000000005</v>
      </c>
      <c r="DS211" s="2">
        <f t="shared" si="344"/>
        <v>5.50000000006</v>
      </c>
      <c r="DT211" s="2">
        <f t="shared" si="345"/>
        <v>4.00000000007</v>
      </c>
      <c r="DU211" s="2">
        <f t="shared" si="346"/>
        <v>0</v>
      </c>
      <c r="DV211" s="2" t="b">
        <f t="shared" si="360"/>
        <v>1</v>
      </c>
      <c r="DW211" s="2" t="b">
        <f t="shared" si="361"/>
        <v>0</v>
      </c>
      <c r="DX211" s="2" t="b">
        <f t="shared" si="362"/>
        <v>1</v>
      </c>
      <c r="DZ211" s="2" t="b">
        <f t="shared" si="363"/>
        <v>1</v>
      </c>
      <c r="EA211" s="2" t="b">
        <f t="shared" si="364"/>
        <v>1</v>
      </c>
      <c r="EB211" s="2" t="b">
        <f t="shared" si="365"/>
        <v>1</v>
      </c>
      <c r="EC211" s="2" t="b">
        <f t="shared" si="366"/>
        <v>0</v>
      </c>
      <c r="ED211" s="2">
        <v>1</v>
      </c>
      <c r="EE211" s="2">
        <v>1</v>
      </c>
      <c r="EF211" s="2">
        <v>1</v>
      </c>
      <c r="EH211" s="2">
        <v>1</v>
      </c>
      <c r="EI211" s="2">
        <v>1</v>
      </c>
      <c r="EJ211" s="2">
        <v>1</v>
      </c>
      <c r="EK211" s="2">
        <v>1</v>
      </c>
      <c r="EL211" s="2">
        <v>3</v>
      </c>
      <c r="EM211" s="2">
        <v>4</v>
      </c>
      <c r="EN211" s="2">
        <v>4</v>
      </c>
      <c r="EP211" s="2" t="s">
        <v>324</v>
      </c>
      <c r="EQ211" s="2">
        <v>7</v>
      </c>
      <c r="ER211" s="2">
        <v>8.5</v>
      </c>
      <c r="ES211" s="2">
        <v>5.5</v>
      </c>
      <c r="ET211" s="194">
        <f>IFERROR(EL211+0.00000000004,0)</f>
        <v>3.00000000004</v>
      </c>
      <c r="EU211" s="194">
        <f>IFERROR(EM211+0.00000000002,0)</f>
        <v>4.00000000002</v>
      </c>
      <c r="EV211" s="194">
        <f>IFERROR(EN211+0.00000000003,0)</f>
        <v>4.00000000003</v>
      </c>
      <c r="EW211" s="194">
        <f>IFERROR(EO211+0.00000000001,0)</f>
        <v>9.9999999999999994E-12</v>
      </c>
      <c r="EX211" s="194">
        <f>IFERROR(EP211+0.00000000005,0)</f>
        <v>0</v>
      </c>
      <c r="EY211" s="194">
        <f>IFERROR(EQ211+0.00000000006,0)</f>
        <v>7.00000000006</v>
      </c>
      <c r="EZ211" s="194">
        <f>IFERROR(ER211+0.00000000007,0)</f>
        <v>8.5000000000699991</v>
      </c>
      <c r="FA211" s="194">
        <f>IFERROR(ES211+0.00000000008,0)</f>
        <v>5.50000000008</v>
      </c>
      <c r="FB211" s="2">
        <f t="shared" si="347"/>
        <v>3.00000000004</v>
      </c>
      <c r="FC211" s="2">
        <f t="shared" si="300"/>
        <v>4.00000000002</v>
      </c>
      <c r="FD211" s="2">
        <f t="shared" si="301"/>
        <v>4.00000000003</v>
      </c>
      <c r="FE211" s="2">
        <f t="shared" si="302"/>
        <v>0</v>
      </c>
      <c r="FF211" s="2">
        <f t="shared" si="303"/>
        <v>0</v>
      </c>
      <c r="FG211" s="2">
        <f t="shared" si="304"/>
        <v>7.00000000006</v>
      </c>
      <c r="FH211" s="2">
        <f t="shared" si="305"/>
        <v>8.5000000000699991</v>
      </c>
      <c r="FI211" s="2">
        <f t="shared" si="306"/>
        <v>5.50000000008</v>
      </c>
      <c r="FJ211" s="2" t="b">
        <f t="shared" si="367"/>
        <v>0</v>
      </c>
      <c r="FK211" s="2" t="b">
        <f t="shared" si="368"/>
        <v>1</v>
      </c>
      <c r="FL211" s="2" t="b">
        <f t="shared" si="369"/>
        <v>1</v>
      </c>
      <c r="FM211" s="2" t="b">
        <f t="shared" si="370"/>
        <v>0</v>
      </c>
      <c r="FN211" s="2" t="b">
        <f t="shared" si="371"/>
        <v>0</v>
      </c>
      <c r="FO211" s="2" t="b">
        <f t="shared" si="372"/>
        <v>1</v>
      </c>
      <c r="FP211" s="2" t="b">
        <f t="shared" si="373"/>
        <v>1</v>
      </c>
      <c r="FQ211" s="2" t="b">
        <f t="shared" si="374"/>
        <v>1</v>
      </c>
    </row>
    <row r="212" spans="1:173" s="379" customFormat="1" ht="15.6">
      <c r="A212" s="335" t="s">
        <v>1383</v>
      </c>
      <c r="B212" s="346" t="s">
        <v>1383</v>
      </c>
      <c r="C212" s="346" t="s">
        <v>227</v>
      </c>
      <c r="D212" s="346" t="s">
        <v>1010</v>
      </c>
      <c r="E212" s="346" t="s">
        <v>1384</v>
      </c>
      <c r="F212" s="379" t="s">
        <v>785</v>
      </c>
      <c r="G212" s="379" t="s">
        <v>324</v>
      </c>
      <c r="H212" s="379">
        <v>26.5</v>
      </c>
      <c r="I212" s="379">
        <v>25.5</v>
      </c>
      <c r="J212" s="379">
        <v>25</v>
      </c>
      <c r="K212" s="435">
        <f t="shared" si="349"/>
        <v>26.50000000028</v>
      </c>
      <c r="L212" s="435">
        <f t="shared" si="350"/>
        <v>25.50000000028</v>
      </c>
      <c r="M212" s="435">
        <f t="shared" si="351"/>
        <v>25.00000000028</v>
      </c>
      <c r="N212" s="346" t="s">
        <v>324</v>
      </c>
      <c r="O212" s="346" t="s">
        <v>324</v>
      </c>
      <c r="P212" s="346" t="s">
        <v>734</v>
      </c>
      <c r="Q212" s="346" t="s">
        <v>324</v>
      </c>
      <c r="R212" s="346" t="s">
        <v>324</v>
      </c>
      <c r="S212" s="346" t="s">
        <v>1385</v>
      </c>
      <c r="T212" s="379" t="s">
        <v>1046</v>
      </c>
      <c r="U212" s="379">
        <v>38</v>
      </c>
      <c r="V212" s="2" cm="1">
        <f t="array" ref="V212">IFERROR(INDEX('Offer Statistics'!$BQ$2:$BQ$600,MATCH(1,(B212='Offer Statistics'!$BB$2:$BB$600)*($B$11='Offer Statistics'!$BC$2:$BC$600),0)),"/")</f>
        <v>38</v>
      </c>
      <c r="W212" s="2" cm="1">
        <f t="array" ref="W212">IFERROR(INDEX('Offer Statistics'!$BD$2:$BD$600,MATCH(1,($B212='Offer Statistics'!$BB$2:$BB$600)*($B$11='Offer Statistics'!$BC$2:$BC$600),0)),"/")</f>
        <v>236</v>
      </c>
      <c r="X212" s="2" cm="1">
        <f t="array" ref="X212">IFERROR(INDEX('Offer Statistics'!$BL$2:$BL$600,MATCH(1,($B212='Offer Statistics'!$BB$2:$BB$600)*($B$11='Offer Statistics'!$BC$2:$BC$600),0)),"/")</f>
        <v>37</v>
      </c>
      <c r="Y212" s="379">
        <f>IFERROR(W212/X212,"新科目")</f>
        <v>6.3783783783783781</v>
      </c>
      <c r="Z212" s="379" t="s">
        <v>1046</v>
      </c>
      <c r="AA212" s="435" t="str">
        <f>入學要求!AF221</f>
        <v>/</v>
      </c>
      <c r="AB212" s="435" t="str">
        <f>入學要求!AG221</f>
        <v>/</v>
      </c>
      <c r="AC212" s="425" t="s">
        <v>785</v>
      </c>
      <c r="AD212" s="426"/>
      <c r="AE212" s="426"/>
      <c r="AF212" s="426" t="s">
        <v>324</v>
      </c>
      <c r="AG212" s="426" t="s">
        <v>324</v>
      </c>
      <c r="AH212" s="425" t="s">
        <v>734</v>
      </c>
      <c r="AI212" s="426" t="s">
        <v>324</v>
      </c>
      <c r="AJ212" s="426" t="s">
        <v>324</v>
      </c>
      <c r="AK212" s="379" t="s">
        <v>324</v>
      </c>
      <c r="AL212" s="379" t="s">
        <v>324</v>
      </c>
      <c r="AM212" s="379" t="s">
        <v>324</v>
      </c>
      <c r="AN212" s="379" t="s">
        <v>324</v>
      </c>
      <c r="AO212" s="379" t="s">
        <v>324</v>
      </c>
      <c r="AP212" s="379" t="s">
        <v>324</v>
      </c>
      <c r="AQ212" s="379" t="s">
        <v>324</v>
      </c>
      <c r="AR212" s="379" t="s">
        <v>324</v>
      </c>
      <c r="AT212" s="379" t="s">
        <v>716</v>
      </c>
      <c r="AV212" s="379" t="s">
        <v>713</v>
      </c>
      <c r="AZ212" s="379">
        <v>1</v>
      </c>
      <c r="BA212" s="379">
        <v>1.5</v>
      </c>
      <c r="BB212" s="379">
        <v>1</v>
      </c>
      <c r="BD212" s="379">
        <v>1</v>
      </c>
      <c r="BE212" s="379">
        <v>1</v>
      </c>
      <c r="BF212" s="379">
        <v>1</v>
      </c>
      <c r="BG212" s="379">
        <v>1</v>
      </c>
      <c r="BH212" s="2" t="str">
        <f t="shared" si="352"/>
        <v>JS4886</v>
      </c>
      <c r="BI212" s="197">
        <v>4</v>
      </c>
      <c r="BJ212" s="197">
        <v>4</v>
      </c>
      <c r="BK212" s="197">
        <v>3</v>
      </c>
      <c r="BL212" s="197" t="s">
        <v>324</v>
      </c>
      <c r="BM212" s="197" t="s">
        <v>324</v>
      </c>
      <c r="BN212" s="197">
        <v>7</v>
      </c>
      <c r="BO212" s="197">
        <v>4</v>
      </c>
      <c r="BP212" s="197">
        <v>4</v>
      </c>
      <c r="BQ212" s="380">
        <f>IFERROR(BI212+0.00000000004,0)</f>
        <v>4.00000000004</v>
      </c>
      <c r="BR212" s="380">
        <f>IFERROR(BJ212+0.00000000002,0)</f>
        <v>4.00000000002</v>
      </c>
      <c r="BS212" s="380">
        <f>IFERROR(BK212+0.00000000003,0)</f>
        <v>3.00000000003</v>
      </c>
      <c r="BT212" s="380"/>
      <c r="BU212" s="380">
        <f>IFERROR(BM212+0.00000000005,0)</f>
        <v>0</v>
      </c>
      <c r="BV212" s="380">
        <f>IFERROR(BN212+0.00000000006,0)</f>
        <v>7.00000000006</v>
      </c>
      <c r="BW212" s="380">
        <f>IFERROR(BO212+0.00000000007,0)</f>
        <v>4.00000000007</v>
      </c>
      <c r="BX212" s="380">
        <f>IFERROR(BP212+0.00000000008,0)</f>
        <v>4.00000000008</v>
      </c>
      <c r="BY212" s="379">
        <f t="shared" si="334"/>
        <v>4.00000000004</v>
      </c>
      <c r="BZ212" s="379">
        <f t="shared" si="335"/>
        <v>6.00000000003</v>
      </c>
      <c r="CA212" s="379">
        <f t="shared" si="336"/>
        <v>3.00000000003</v>
      </c>
      <c r="CC212" s="379">
        <f t="shared" si="337"/>
        <v>0</v>
      </c>
      <c r="CD212" s="379">
        <f t="shared" si="338"/>
        <v>7.00000000006</v>
      </c>
      <c r="CE212" s="379">
        <f t="shared" si="339"/>
        <v>4.00000000007</v>
      </c>
      <c r="CF212" s="379">
        <f t="shared" si="340"/>
        <v>4.00000000008</v>
      </c>
      <c r="CG212" s="2" t="b">
        <f t="shared" si="353"/>
        <v>1</v>
      </c>
      <c r="CH212" s="2" t="b">
        <f t="shared" si="354"/>
        <v>1</v>
      </c>
      <c r="CI212" s="2" t="b">
        <f t="shared" si="355"/>
        <v>0</v>
      </c>
      <c r="CJ212" s="2"/>
      <c r="CK212" s="2" t="b">
        <f t="shared" si="356"/>
        <v>0</v>
      </c>
      <c r="CL212" s="2" t="b">
        <f t="shared" si="357"/>
        <v>1</v>
      </c>
      <c r="CM212" s="2" t="b">
        <f t="shared" si="358"/>
        <v>1</v>
      </c>
      <c r="CN212" s="2" t="b">
        <f t="shared" si="359"/>
        <v>1</v>
      </c>
      <c r="CO212" s="379">
        <v>1</v>
      </c>
      <c r="CP212" s="379">
        <v>1.5</v>
      </c>
      <c r="CQ212" s="379">
        <v>1</v>
      </c>
      <c r="CS212" s="379">
        <v>1</v>
      </c>
      <c r="CT212" s="379">
        <v>1</v>
      </c>
      <c r="CU212" s="379">
        <v>1</v>
      </c>
      <c r="CV212" s="379">
        <v>1</v>
      </c>
      <c r="CX212" s="379">
        <v>4</v>
      </c>
      <c r="CY212" s="379">
        <v>7</v>
      </c>
      <c r="CZ212" s="379">
        <v>3</v>
      </c>
      <c r="DB212" s="379" t="s">
        <v>324</v>
      </c>
      <c r="DC212" s="379">
        <v>4</v>
      </c>
      <c r="DD212" s="379">
        <v>4</v>
      </c>
      <c r="DE212" s="379">
        <v>3</v>
      </c>
      <c r="DF212" s="380">
        <f>IFERROR(CX212+0.00000000004,0)</f>
        <v>4.00000000004</v>
      </c>
      <c r="DG212" s="380">
        <f>IFERROR(CY212+0.00000000002,0)</f>
        <v>7.00000000002</v>
      </c>
      <c r="DH212" s="380">
        <f t="shared" si="326"/>
        <v>3.00000000003</v>
      </c>
      <c r="DI212" s="380"/>
      <c r="DJ212" s="380">
        <f t="shared" si="327"/>
        <v>0</v>
      </c>
      <c r="DK212" s="380">
        <f t="shared" si="328"/>
        <v>4.00000000006</v>
      </c>
      <c r="DL212" s="380">
        <f t="shared" si="329"/>
        <v>4.00000000007</v>
      </c>
      <c r="DM212" s="380">
        <f t="shared" si="330"/>
        <v>3.00000000008</v>
      </c>
      <c r="DN212" s="379">
        <f t="shared" si="331"/>
        <v>4.00000000004</v>
      </c>
      <c r="DO212" s="379">
        <f t="shared" si="341"/>
        <v>10.500000000029999</v>
      </c>
      <c r="DP212" s="379">
        <f t="shared" si="342"/>
        <v>3.00000000003</v>
      </c>
      <c r="DR212" s="379">
        <f t="shared" si="343"/>
        <v>0</v>
      </c>
      <c r="DS212" s="379">
        <f t="shared" si="344"/>
        <v>4.00000000006</v>
      </c>
      <c r="DT212" s="379">
        <f t="shared" si="345"/>
        <v>4.00000000007</v>
      </c>
      <c r="DU212" s="379">
        <f t="shared" si="346"/>
        <v>3.00000000008</v>
      </c>
      <c r="DV212" s="2" t="b">
        <f t="shared" si="360"/>
        <v>1</v>
      </c>
      <c r="DW212" s="2" t="b">
        <f t="shared" si="361"/>
        <v>1</v>
      </c>
      <c r="DX212" s="2" t="b">
        <f t="shared" si="362"/>
        <v>0</v>
      </c>
      <c r="DY212" s="2"/>
      <c r="DZ212" s="2" t="b">
        <f t="shared" si="363"/>
        <v>0</v>
      </c>
      <c r="EA212" s="2" t="b">
        <f t="shared" si="364"/>
        <v>1</v>
      </c>
      <c r="EB212" s="2" t="b">
        <f t="shared" si="365"/>
        <v>1</v>
      </c>
      <c r="EC212" s="2" t="b">
        <f t="shared" si="366"/>
        <v>1</v>
      </c>
      <c r="ED212" s="379">
        <v>1</v>
      </c>
      <c r="EE212" s="379">
        <v>1.5</v>
      </c>
      <c r="EF212" s="379">
        <v>1</v>
      </c>
      <c r="EH212" s="379">
        <v>1</v>
      </c>
      <c r="EI212" s="379">
        <v>1</v>
      </c>
      <c r="EJ212" s="379">
        <v>1</v>
      </c>
      <c r="EK212" s="379">
        <v>1</v>
      </c>
      <c r="EL212" s="379">
        <v>4</v>
      </c>
      <c r="EM212" s="379">
        <v>4</v>
      </c>
      <c r="EN212" s="379">
        <v>4</v>
      </c>
      <c r="EP212" s="379" t="s">
        <v>324</v>
      </c>
      <c r="EQ212" s="379">
        <v>7</v>
      </c>
      <c r="ER212" s="379">
        <v>5.5</v>
      </c>
      <c r="ES212" s="379">
        <v>4</v>
      </c>
      <c r="ET212" s="380">
        <f>IFERROR(EL212+0.00000000004,0)</f>
        <v>4.00000000004</v>
      </c>
      <c r="EU212" s="380">
        <f>IFERROR(EM212+0.00000000002,0)</f>
        <v>4.00000000002</v>
      </c>
      <c r="EV212" s="380">
        <f>IFERROR(EN212+0.00000000003,0)</f>
        <v>4.00000000003</v>
      </c>
      <c r="EW212" s="380">
        <f>IFERROR(EO212+0.00000000001,0)</f>
        <v>9.9999999999999994E-12</v>
      </c>
      <c r="EX212" s="380">
        <f>IFERROR(EP212+0.00000000005,0)</f>
        <v>0</v>
      </c>
      <c r="EY212" s="380">
        <f>IFERROR(EQ212+0.00000000006,0)</f>
        <v>7.00000000006</v>
      </c>
      <c r="EZ212" s="380">
        <f>IFERROR(ER212+0.00000000007,0)</f>
        <v>5.50000000007</v>
      </c>
      <c r="FA212" s="380">
        <f>IFERROR(ES212+0.00000000008,0)</f>
        <v>4.00000000008</v>
      </c>
      <c r="FB212" s="379">
        <f t="shared" si="347"/>
        <v>4.00000000004</v>
      </c>
      <c r="FC212" s="379">
        <f t="shared" si="300"/>
        <v>6.00000000003</v>
      </c>
      <c r="FD212" s="379">
        <f t="shared" si="301"/>
        <v>4.00000000003</v>
      </c>
      <c r="FE212" s="379">
        <f t="shared" si="302"/>
        <v>0</v>
      </c>
      <c r="FF212" s="379">
        <f t="shared" si="303"/>
        <v>0</v>
      </c>
      <c r="FG212" s="379">
        <f t="shared" si="304"/>
        <v>7.00000000006</v>
      </c>
      <c r="FH212" s="379">
        <f t="shared" si="305"/>
        <v>5.50000000007</v>
      </c>
      <c r="FI212" s="379">
        <f t="shared" si="306"/>
        <v>4.00000000008</v>
      </c>
      <c r="FJ212" s="2" t="b">
        <f t="shared" si="367"/>
        <v>1</v>
      </c>
      <c r="FK212" s="2" t="b">
        <f t="shared" si="368"/>
        <v>1</v>
      </c>
      <c r="FL212" s="2" t="b">
        <f t="shared" si="369"/>
        <v>0</v>
      </c>
      <c r="FM212" s="2" t="b">
        <f t="shared" si="370"/>
        <v>0</v>
      </c>
      <c r="FN212" s="2" t="b">
        <f t="shared" si="371"/>
        <v>0</v>
      </c>
      <c r="FO212" s="2" t="b">
        <f t="shared" si="372"/>
        <v>1</v>
      </c>
      <c r="FP212" s="2" t="b">
        <f t="shared" si="373"/>
        <v>1</v>
      </c>
      <c r="FQ212" s="2" t="b">
        <f t="shared" si="374"/>
        <v>1</v>
      </c>
    </row>
    <row r="213" spans="1:173" ht="15.6">
      <c r="A213" s="335" t="s">
        <v>1386</v>
      </c>
      <c r="B213" s="346" t="s">
        <v>1386</v>
      </c>
      <c r="C213" s="346" t="s">
        <v>227</v>
      </c>
      <c r="D213" s="346" t="s">
        <v>1010</v>
      </c>
      <c r="E213" s="346" t="s">
        <v>1387</v>
      </c>
      <c r="F213" s="2" t="s">
        <v>785</v>
      </c>
      <c r="G213" s="2" t="s">
        <v>324</v>
      </c>
      <c r="H213" s="2">
        <v>30.25</v>
      </c>
      <c r="I213" s="2">
        <v>25.5</v>
      </c>
      <c r="J213" s="2">
        <v>24.25</v>
      </c>
      <c r="K213" s="435">
        <f t="shared" si="349"/>
        <v>30.25000000028</v>
      </c>
      <c r="L213" s="435">
        <f t="shared" si="350"/>
        <v>25.500000000269996</v>
      </c>
      <c r="M213" s="435">
        <f t="shared" si="351"/>
        <v>24.25000000028</v>
      </c>
      <c r="N213" s="346" t="s">
        <v>324</v>
      </c>
      <c r="O213" s="346" t="s">
        <v>324</v>
      </c>
      <c r="P213" s="346" t="s">
        <v>734</v>
      </c>
      <c r="Q213" s="346" t="s">
        <v>324</v>
      </c>
      <c r="R213" s="346" t="s">
        <v>324</v>
      </c>
      <c r="S213" s="346" t="s">
        <v>1388</v>
      </c>
      <c r="T213" s="2" t="s">
        <v>1046</v>
      </c>
      <c r="U213" s="2">
        <v>19</v>
      </c>
      <c r="V213" s="2" cm="1">
        <f t="array" ref="V213">IFERROR(INDEX('Offer Statistics'!$BQ$2:$BQ$600,MATCH(1,(B213='Offer Statistics'!$BB$2:$BB$600)*($B$11='Offer Statistics'!$BC$2:$BC$600),0)),"/")</f>
        <v>20</v>
      </c>
      <c r="W213" s="2" cm="1">
        <f t="array" ref="W213">IFERROR(INDEX('Offer Statistics'!$BD$2:$BD$600,MATCH(1,($B213='Offer Statistics'!$BB$2:$BB$600)*($B$11='Offer Statistics'!$BC$2:$BC$600),0)),"/")</f>
        <v>62</v>
      </c>
      <c r="X213" s="2" cm="1">
        <f t="array" ref="X213">IFERROR(INDEX('Offer Statistics'!$BL$2:$BL$600,MATCH(1,($B213='Offer Statistics'!$BB$2:$BB$600)*($B$11='Offer Statistics'!$BC$2:$BC$600),0)),"/")</f>
        <v>20</v>
      </c>
      <c r="Y213" s="2">
        <f>IFERROR(W213/X213,"新科目")</f>
        <v>3.1</v>
      </c>
      <c r="Z213" s="2" t="s">
        <v>1046</v>
      </c>
      <c r="AA213" s="435" t="str">
        <f>入學要求!AF222</f>
        <v>/</v>
      </c>
      <c r="AB213" s="435" t="str">
        <f>入學要求!AG222</f>
        <v>/</v>
      </c>
      <c r="AC213" s="425" t="s">
        <v>785</v>
      </c>
      <c r="AD213" s="426"/>
      <c r="AE213" s="426"/>
      <c r="AF213" s="426" t="s">
        <v>324</v>
      </c>
      <c r="AG213" s="426" t="s">
        <v>324</v>
      </c>
      <c r="AH213" s="426" t="s">
        <v>732</v>
      </c>
      <c r="AI213" s="426" t="s">
        <v>324</v>
      </c>
      <c r="AJ213" s="426" t="s">
        <v>324</v>
      </c>
      <c r="AK213" s="2" t="s">
        <v>324</v>
      </c>
      <c r="AL213" s="2" t="s">
        <v>324</v>
      </c>
      <c r="AM213" s="2" t="s">
        <v>324</v>
      </c>
      <c r="AN213" s="2" t="s">
        <v>324</v>
      </c>
      <c r="AO213" s="2" t="s">
        <v>324</v>
      </c>
      <c r="AP213" s="2" t="s">
        <v>324</v>
      </c>
      <c r="AQ213" s="2" t="s">
        <v>324</v>
      </c>
      <c r="AR213" s="2" t="s">
        <v>324</v>
      </c>
      <c r="AT213" s="2" t="s">
        <v>716</v>
      </c>
      <c r="AV213" s="2" t="s">
        <v>713</v>
      </c>
      <c r="AZ213" s="2">
        <v>1</v>
      </c>
      <c r="BA213" s="2">
        <v>1.5</v>
      </c>
      <c r="BB213" s="2">
        <v>1</v>
      </c>
      <c r="BD213" s="2">
        <v>1</v>
      </c>
      <c r="BE213" s="2">
        <v>1</v>
      </c>
      <c r="BF213" s="2">
        <v>1</v>
      </c>
      <c r="BG213" s="2">
        <v>1</v>
      </c>
      <c r="BH213" s="2" t="str">
        <f t="shared" si="352"/>
        <v>JS4892</v>
      </c>
      <c r="BI213" s="197">
        <v>4</v>
      </c>
      <c r="BJ213" s="197">
        <v>5.5</v>
      </c>
      <c r="BK213" s="197">
        <v>4</v>
      </c>
      <c r="BL213" s="197" t="s">
        <v>324</v>
      </c>
      <c r="BM213" s="197" t="s">
        <v>324</v>
      </c>
      <c r="BN213" s="197">
        <v>4</v>
      </c>
      <c r="BO213" s="197">
        <v>4</v>
      </c>
      <c r="BP213" s="197">
        <v>4</v>
      </c>
      <c r="BQ213" s="194">
        <f>IFERROR(BI213+0.00000000004,0)</f>
        <v>4.00000000004</v>
      </c>
      <c r="BR213" s="194">
        <f>IFERROR(BJ213+0.00000000002,0)</f>
        <v>5.50000000002</v>
      </c>
      <c r="BS213" s="194">
        <f>IFERROR(BK213+0.00000000003,0)</f>
        <v>4.00000000003</v>
      </c>
      <c r="BU213" s="194">
        <f>IFERROR(BM213+0.00000000005,0)</f>
        <v>0</v>
      </c>
      <c r="BV213" s="194">
        <f>IFERROR(BN213+0.00000000006,0)</f>
        <v>4.00000000006</v>
      </c>
      <c r="BW213" s="194">
        <f>IFERROR(BO213+0.00000000007,0)</f>
        <v>4.00000000007</v>
      </c>
      <c r="BX213" s="194">
        <f>IFERROR(BP213+0.00000000008,0)</f>
        <v>4.00000000008</v>
      </c>
      <c r="BY213" s="2">
        <f t="shared" si="334"/>
        <v>4.00000000004</v>
      </c>
      <c r="BZ213" s="2">
        <f t="shared" si="335"/>
        <v>8.2500000000299991</v>
      </c>
      <c r="CA213" s="2">
        <f t="shared" si="336"/>
        <v>4.00000000003</v>
      </c>
      <c r="CC213" s="2">
        <f t="shared" si="337"/>
        <v>0</v>
      </c>
      <c r="CD213" s="2">
        <f t="shared" si="338"/>
        <v>4.00000000006</v>
      </c>
      <c r="CE213" s="2">
        <f t="shared" si="339"/>
        <v>4.00000000007</v>
      </c>
      <c r="CF213" s="2">
        <f t="shared" si="340"/>
        <v>4.00000000008</v>
      </c>
      <c r="CG213" s="2" t="b">
        <f t="shared" si="353"/>
        <v>1</v>
      </c>
      <c r="CH213" s="2" t="b">
        <f t="shared" si="354"/>
        <v>1</v>
      </c>
      <c r="CI213" s="2" t="b">
        <f t="shared" si="355"/>
        <v>0</v>
      </c>
      <c r="CK213" s="2" t="b">
        <f t="shared" si="356"/>
        <v>0</v>
      </c>
      <c r="CL213" s="2" t="b">
        <f t="shared" si="357"/>
        <v>1</v>
      </c>
      <c r="CM213" s="2" t="b">
        <f t="shared" si="358"/>
        <v>1</v>
      </c>
      <c r="CN213" s="2" t="b">
        <f t="shared" si="359"/>
        <v>1</v>
      </c>
      <c r="CO213" s="2">
        <v>1</v>
      </c>
      <c r="CP213" s="2">
        <v>1.5</v>
      </c>
      <c r="CQ213" s="2">
        <v>1</v>
      </c>
      <c r="CS213" s="2">
        <v>1</v>
      </c>
      <c r="CT213" s="2">
        <v>1</v>
      </c>
      <c r="CU213" s="2">
        <v>1</v>
      </c>
      <c r="CV213" s="2">
        <v>1</v>
      </c>
      <c r="CX213" s="2">
        <v>3</v>
      </c>
      <c r="CY213" s="2">
        <v>7</v>
      </c>
      <c r="CZ213" s="2">
        <v>4</v>
      </c>
      <c r="DB213" s="2" t="s">
        <v>324</v>
      </c>
      <c r="DC213" s="2">
        <v>4</v>
      </c>
      <c r="DD213" s="2">
        <v>4</v>
      </c>
      <c r="DE213" s="2">
        <v>3</v>
      </c>
      <c r="DF213" s="194">
        <f>IFERROR(CX213+0.00000000004,0)</f>
        <v>3.00000000004</v>
      </c>
      <c r="DG213" s="194">
        <f>IFERROR(CY213+0.00000000002,0)</f>
        <v>7.00000000002</v>
      </c>
      <c r="DH213" s="194">
        <f t="shared" si="326"/>
        <v>4.00000000003</v>
      </c>
      <c r="DJ213" s="194">
        <f t="shared" si="327"/>
        <v>0</v>
      </c>
      <c r="DK213" s="194">
        <f t="shared" si="328"/>
        <v>4.00000000006</v>
      </c>
      <c r="DL213" s="194">
        <f t="shared" si="329"/>
        <v>4.00000000007</v>
      </c>
      <c r="DM213" s="194">
        <f t="shared" si="330"/>
        <v>3.00000000008</v>
      </c>
      <c r="DN213" s="2">
        <f t="shared" si="331"/>
        <v>3.00000000004</v>
      </c>
      <c r="DO213" s="2">
        <f t="shared" si="341"/>
        <v>10.500000000029999</v>
      </c>
      <c r="DP213" s="2">
        <f t="shared" si="342"/>
        <v>4.00000000003</v>
      </c>
      <c r="DR213" s="2">
        <f t="shared" si="343"/>
        <v>0</v>
      </c>
      <c r="DS213" s="2">
        <f t="shared" si="344"/>
        <v>4.00000000006</v>
      </c>
      <c r="DT213" s="2">
        <f t="shared" si="345"/>
        <v>4.00000000007</v>
      </c>
      <c r="DU213" s="2">
        <f t="shared" si="346"/>
        <v>3.00000000008</v>
      </c>
      <c r="DV213" s="2" t="b">
        <f t="shared" si="360"/>
        <v>0</v>
      </c>
      <c r="DW213" s="2" t="b">
        <f t="shared" si="361"/>
        <v>1</v>
      </c>
      <c r="DX213" s="2" t="b">
        <f t="shared" si="362"/>
        <v>1</v>
      </c>
      <c r="DZ213" s="2" t="b">
        <f t="shared" si="363"/>
        <v>0</v>
      </c>
      <c r="EA213" s="2" t="b">
        <f t="shared" si="364"/>
        <v>1</v>
      </c>
      <c r="EB213" s="2" t="b">
        <f t="shared" si="365"/>
        <v>1</v>
      </c>
      <c r="EC213" s="2" t="b">
        <f t="shared" si="366"/>
        <v>1</v>
      </c>
      <c r="ED213" s="2">
        <v>1</v>
      </c>
      <c r="EE213" s="2">
        <v>1.5</v>
      </c>
      <c r="EF213" s="2">
        <v>1</v>
      </c>
      <c r="EH213" s="2">
        <v>1</v>
      </c>
      <c r="EI213" s="2">
        <v>1</v>
      </c>
      <c r="EJ213" s="2">
        <v>1</v>
      </c>
      <c r="EK213" s="2">
        <v>1</v>
      </c>
      <c r="EL213" s="2">
        <v>5.5</v>
      </c>
      <c r="EM213" s="2">
        <v>5.5</v>
      </c>
      <c r="EN213" s="2">
        <v>3</v>
      </c>
      <c r="EP213" s="2" t="s">
        <v>324</v>
      </c>
      <c r="EQ213" s="2">
        <v>8.5</v>
      </c>
      <c r="ER213" s="2">
        <v>4</v>
      </c>
      <c r="ES213" s="2">
        <v>4</v>
      </c>
      <c r="ET213" s="194">
        <f>IFERROR(EL213+0.00000000004,0)</f>
        <v>5.50000000004</v>
      </c>
      <c r="EU213" s="194">
        <f>IFERROR(EM213+0.00000000002,0)</f>
        <v>5.50000000002</v>
      </c>
      <c r="EV213" s="194">
        <f>IFERROR(EN213+0.00000000003,0)</f>
        <v>3.00000000003</v>
      </c>
      <c r="EW213" s="194">
        <f>IFERROR(EO213+0.00000000001,0)</f>
        <v>9.9999999999999994E-12</v>
      </c>
      <c r="EX213" s="194">
        <f>IFERROR(EP213+0.00000000005,0)</f>
        <v>0</v>
      </c>
      <c r="EY213" s="194">
        <f>IFERROR(EQ213+0.00000000006,0)</f>
        <v>8.50000000006</v>
      </c>
      <c r="EZ213" s="194">
        <f>IFERROR(ER213+0.00000000007,0)</f>
        <v>4.00000000007</v>
      </c>
      <c r="FA213" s="194">
        <f>IFERROR(ES213+0.00000000008,0)</f>
        <v>4.00000000008</v>
      </c>
      <c r="FB213" s="2">
        <f t="shared" si="347"/>
        <v>5.50000000004</v>
      </c>
      <c r="FC213" s="2">
        <f t="shared" si="300"/>
        <v>8.2500000000299991</v>
      </c>
      <c r="FD213" s="2">
        <f t="shared" si="301"/>
        <v>3.00000000003</v>
      </c>
      <c r="FE213" s="2">
        <f t="shared" si="302"/>
        <v>0</v>
      </c>
      <c r="FF213" s="2">
        <f t="shared" si="303"/>
        <v>0</v>
      </c>
      <c r="FG213" s="2">
        <f t="shared" si="304"/>
        <v>8.50000000006</v>
      </c>
      <c r="FH213" s="2">
        <f t="shared" si="305"/>
        <v>4.00000000007</v>
      </c>
      <c r="FI213" s="2">
        <f t="shared" si="306"/>
        <v>4.00000000008</v>
      </c>
      <c r="FJ213" s="2" t="b">
        <f t="shared" si="367"/>
        <v>1</v>
      </c>
      <c r="FK213" s="2" t="b">
        <f t="shared" si="368"/>
        <v>1</v>
      </c>
      <c r="FL213" s="2" t="b">
        <f t="shared" si="369"/>
        <v>0</v>
      </c>
      <c r="FM213" s="2" t="b">
        <f t="shared" si="370"/>
        <v>0</v>
      </c>
      <c r="FN213" s="2" t="b">
        <f t="shared" si="371"/>
        <v>0</v>
      </c>
      <c r="FO213" s="2" t="b">
        <f t="shared" si="372"/>
        <v>1</v>
      </c>
      <c r="FP213" s="2" t="b">
        <f t="shared" si="373"/>
        <v>1</v>
      </c>
      <c r="FQ213" s="2" t="b">
        <f t="shared" si="374"/>
        <v>1</v>
      </c>
    </row>
    <row r="214" spans="1:173" ht="15.6">
      <c r="A214" s="335" t="s">
        <v>1389</v>
      </c>
      <c r="B214" s="346" t="s">
        <v>1389</v>
      </c>
      <c r="C214" s="346" t="s">
        <v>227</v>
      </c>
      <c r="D214" s="346" t="s">
        <v>1010</v>
      </c>
      <c r="E214" s="346" t="s">
        <v>1390</v>
      </c>
      <c r="F214" s="2" t="s">
        <v>785</v>
      </c>
      <c r="G214" s="2" t="s">
        <v>324</v>
      </c>
      <c r="H214" s="2">
        <v>23</v>
      </c>
      <c r="I214" s="2">
        <v>23</v>
      </c>
      <c r="J214" s="2">
        <v>23</v>
      </c>
      <c r="K214" s="435">
        <f t="shared" si="349"/>
        <v>23.000000000229999</v>
      </c>
      <c r="L214" s="435">
        <f t="shared" si="350"/>
        <v>23.00000000028</v>
      </c>
      <c r="M214" s="435">
        <f t="shared" si="351"/>
        <v>23.000000000250001</v>
      </c>
      <c r="N214" s="346" t="s">
        <v>324</v>
      </c>
      <c r="O214" s="346" t="s">
        <v>324</v>
      </c>
      <c r="P214" s="346" t="s">
        <v>324</v>
      </c>
      <c r="Q214" s="346" t="s">
        <v>324</v>
      </c>
      <c r="R214" s="346" t="s">
        <v>324</v>
      </c>
      <c r="S214" s="346" t="s">
        <v>1391</v>
      </c>
      <c r="T214" s="2" t="s">
        <v>1046</v>
      </c>
      <c r="U214" s="2">
        <v>19</v>
      </c>
      <c r="V214" s="2" cm="1">
        <f t="array" ref="V214">IFERROR(INDEX('Offer Statistics'!$BQ$2:$BQ$600,MATCH(1,(B214='Offer Statistics'!$BB$2:$BB$600)*($B$11='Offer Statistics'!$BC$2:$BC$600),0)),"/")</f>
        <v>19</v>
      </c>
      <c r="W214" s="2" cm="1">
        <f t="array" ref="W214">IFERROR(INDEX('Offer Statistics'!$BD$2:$BD$600,MATCH(1,($B214='Offer Statistics'!$BB$2:$BB$600)*($B$11='Offer Statistics'!$BC$2:$BC$600),0)),"/")</f>
        <v>91</v>
      </c>
      <c r="X214" s="2" cm="1">
        <f t="array" ref="X214">IFERROR(INDEX('Offer Statistics'!$BL$2:$BL$600,MATCH(1,($B214='Offer Statistics'!$BB$2:$BB$600)*($B$11='Offer Statistics'!$BC$2:$BC$600),0)),"/")</f>
        <v>19</v>
      </c>
      <c r="Y214" s="2">
        <f>IFERROR(W214/X214,"新科目")</f>
        <v>4.7894736842105265</v>
      </c>
      <c r="Z214" s="2" t="s">
        <v>1046</v>
      </c>
      <c r="AA214" s="435" t="str">
        <f>入學要求!AF223</f>
        <v>/</v>
      </c>
      <c r="AB214" s="435" t="str">
        <f>入學要求!AG223</f>
        <v>/</v>
      </c>
      <c r="AC214" s="426" t="s">
        <v>785</v>
      </c>
      <c r="AD214" s="426"/>
      <c r="AE214" s="426"/>
      <c r="AF214" s="426" t="s">
        <v>324</v>
      </c>
      <c r="AG214" s="426" t="s">
        <v>324</v>
      </c>
      <c r="AH214" s="426" t="s">
        <v>324</v>
      </c>
      <c r="AI214" s="426" t="s">
        <v>324</v>
      </c>
      <c r="AJ214" s="426" t="s">
        <v>324</v>
      </c>
      <c r="AK214" s="2" t="s">
        <v>324</v>
      </c>
      <c r="AL214" s="2" t="s">
        <v>324</v>
      </c>
      <c r="AM214" s="2" t="s">
        <v>324</v>
      </c>
      <c r="AN214" s="2" t="s">
        <v>324</v>
      </c>
      <c r="AO214" s="2" t="s">
        <v>324</v>
      </c>
      <c r="AP214" s="2" t="s">
        <v>324</v>
      </c>
      <c r="AQ214" s="2" t="s">
        <v>324</v>
      </c>
      <c r="AR214" s="2" t="s">
        <v>324</v>
      </c>
      <c r="AT214" s="2" t="s">
        <v>716</v>
      </c>
      <c r="AV214" s="2" t="s">
        <v>713</v>
      </c>
      <c r="AZ214" s="2">
        <v>1</v>
      </c>
      <c r="BA214" s="2">
        <v>1</v>
      </c>
      <c r="BB214" s="2">
        <v>1</v>
      </c>
      <c r="BD214" s="2">
        <v>1</v>
      </c>
      <c r="BE214" s="2">
        <v>1</v>
      </c>
      <c r="BF214" s="2">
        <v>1</v>
      </c>
      <c r="BG214" s="2">
        <v>1</v>
      </c>
      <c r="BH214" s="2" t="str">
        <f t="shared" si="352"/>
        <v>JS4893</v>
      </c>
      <c r="BI214" s="197">
        <v>4</v>
      </c>
      <c r="BJ214" s="197">
        <v>3</v>
      </c>
      <c r="BK214" s="197">
        <v>5.5</v>
      </c>
      <c r="BL214" s="197" t="s">
        <v>324</v>
      </c>
      <c r="BM214" s="197">
        <v>4</v>
      </c>
      <c r="BN214" s="197">
        <v>5.5</v>
      </c>
      <c r="BO214" s="197">
        <v>4</v>
      </c>
      <c r="BP214" s="197" t="s">
        <v>324</v>
      </c>
      <c r="BQ214" s="194">
        <f>IFERROR(BI214+0.00000000004,0)</f>
        <v>4.00000000004</v>
      </c>
      <c r="BR214" s="194">
        <f>IFERROR(BJ214+0.00000000002,0)</f>
        <v>3.00000000002</v>
      </c>
      <c r="BS214" s="194">
        <f>IFERROR(BK214+0.00000000003,0)</f>
        <v>5.50000000003</v>
      </c>
      <c r="BU214" s="194">
        <f>IFERROR(BM214+0.00000000005,0)</f>
        <v>4.00000000005</v>
      </c>
      <c r="BV214" s="194">
        <f>IFERROR(BN214+0.00000000006,0)</f>
        <v>5.50000000006</v>
      </c>
      <c r="BW214" s="194">
        <f>IFERROR(BO214+0.00000000007,0)</f>
        <v>4.00000000007</v>
      </c>
      <c r="BX214" s="194">
        <f>IFERROR(BP214+0.00000000008,0)</f>
        <v>0</v>
      </c>
      <c r="BY214" s="2">
        <f t="shared" si="334"/>
        <v>4.00000000004</v>
      </c>
      <c r="BZ214" s="2">
        <f t="shared" si="335"/>
        <v>3.00000000002</v>
      </c>
      <c r="CA214" s="2">
        <f t="shared" si="336"/>
        <v>5.50000000003</v>
      </c>
      <c r="CC214" s="2">
        <f t="shared" si="337"/>
        <v>4.00000000005</v>
      </c>
      <c r="CD214" s="2">
        <f t="shared" si="338"/>
        <v>5.50000000006</v>
      </c>
      <c r="CE214" s="2">
        <f t="shared" si="339"/>
        <v>4.00000000007</v>
      </c>
      <c r="CF214" s="2">
        <f t="shared" si="340"/>
        <v>0</v>
      </c>
      <c r="CG214" s="2" t="b">
        <f t="shared" si="353"/>
        <v>1</v>
      </c>
      <c r="CH214" s="2" t="b">
        <f t="shared" si="354"/>
        <v>0</v>
      </c>
      <c r="CI214" s="2" t="b">
        <f t="shared" si="355"/>
        <v>1</v>
      </c>
      <c r="CK214" s="2" t="b">
        <f t="shared" si="356"/>
        <v>1</v>
      </c>
      <c r="CL214" s="2" t="b">
        <f t="shared" si="357"/>
        <v>1</v>
      </c>
      <c r="CM214" s="2" t="b">
        <f t="shared" si="358"/>
        <v>1</v>
      </c>
      <c r="CN214" s="2" t="b">
        <f t="shared" si="359"/>
        <v>0</v>
      </c>
      <c r="CO214" s="2">
        <v>1</v>
      </c>
      <c r="CP214" s="2">
        <v>1</v>
      </c>
      <c r="CQ214" s="2">
        <v>1</v>
      </c>
      <c r="CS214" s="2">
        <v>1</v>
      </c>
      <c r="CT214" s="2">
        <v>1</v>
      </c>
      <c r="CU214" s="2">
        <v>1</v>
      </c>
      <c r="CV214" s="2">
        <v>1</v>
      </c>
      <c r="CX214" s="2">
        <v>4</v>
      </c>
      <c r="CY214" s="2">
        <v>3</v>
      </c>
      <c r="CZ214" s="2">
        <v>4</v>
      </c>
      <c r="DB214" s="2">
        <v>3</v>
      </c>
      <c r="DC214" s="2">
        <v>5.5</v>
      </c>
      <c r="DD214" s="2">
        <v>5.5</v>
      </c>
      <c r="DE214" s="2">
        <v>4</v>
      </c>
      <c r="DF214" s="194">
        <f>IFERROR(CX214+0.00000000004,0)</f>
        <v>4.00000000004</v>
      </c>
      <c r="DG214" s="194">
        <f>IFERROR(CY214+0.00000000002,0)</f>
        <v>3.00000000002</v>
      </c>
      <c r="DH214" s="194">
        <f t="shared" si="326"/>
        <v>4.00000000003</v>
      </c>
      <c r="DJ214" s="194">
        <f t="shared" si="327"/>
        <v>3.00000000005</v>
      </c>
      <c r="DK214" s="194">
        <f t="shared" si="328"/>
        <v>5.50000000006</v>
      </c>
      <c r="DL214" s="194">
        <f t="shared" si="329"/>
        <v>5.50000000007</v>
      </c>
      <c r="DM214" s="194">
        <f t="shared" si="330"/>
        <v>4.00000000008</v>
      </c>
      <c r="DN214" s="2">
        <f t="shared" si="331"/>
        <v>4.00000000004</v>
      </c>
      <c r="DO214" s="2">
        <f t="shared" si="341"/>
        <v>3.00000000002</v>
      </c>
      <c r="DP214" s="2">
        <f t="shared" si="342"/>
        <v>4.00000000003</v>
      </c>
      <c r="DR214" s="2">
        <f t="shared" si="343"/>
        <v>3.00000000005</v>
      </c>
      <c r="DS214" s="2">
        <f t="shared" si="344"/>
        <v>5.50000000006</v>
      </c>
      <c r="DT214" s="2">
        <f t="shared" si="345"/>
        <v>5.50000000007</v>
      </c>
      <c r="DU214" s="2">
        <f t="shared" si="346"/>
        <v>4.00000000008</v>
      </c>
      <c r="DV214" s="2" t="b">
        <f t="shared" si="360"/>
        <v>1</v>
      </c>
      <c r="DW214" s="2" t="b">
        <f t="shared" si="361"/>
        <v>0</v>
      </c>
      <c r="DX214" s="2" t="b">
        <f t="shared" si="362"/>
        <v>1</v>
      </c>
      <c r="DZ214" s="2" t="b">
        <f t="shared" si="363"/>
        <v>0</v>
      </c>
      <c r="EA214" s="2" t="b">
        <f t="shared" si="364"/>
        <v>1</v>
      </c>
      <c r="EB214" s="2" t="b">
        <f t="shared" si="365"/>
        <v>1</v>
      </c>
      <c r="EC214" s="2" t="b">
        <f t="shared" si="366"/>
        <v>1</v>
      </c>
      <c r="ED214" s="2">
        <v>1</v>
      </c>
      <c r="EE214" s="2">
        <v>1</v>
      </c>
      <c r="EF214" s="2">
        <v>1</v>
      </c>
      <c r="EH214" s="2">
        <v>1</v>
      </c>
      <c r="EI214" s="2">
        <v>1</v>
      </c>
      <c r="EJ214" s="2">
        <v>1</v>
      </c>
      <c r="EK214" s="2">
        <v>1</v>
      </c>
      <c r="EL214" s="2">
        <v>3</v>
      </c>
      <c r="EM214" s="2">
        <v>4</v>
      </c>
      <c r="EN214" s="2">
        <v>5.5</v>
      </c>
      <c r="EP214" s="2">
        <v>5.5</v>
      </c>
      <c r="EQ214" s="2">
        <v>4</v>
      </c>
      <c r="ER214" s="2">
        <v>4</v>
      </c>
      <c r="ES214" s="2">
        <v>3</v>
      </c>
      <c r="ET214" s="194">
        <f>IFERROR(EL214+0.00000000004,0)</f>
        <v>3.00000000004</v>
      </c>
      <c r="EU214" s="194">
        <f>IFERROR(EM214+0.00000000002,0)</f>
        <v>4.00000000002</v>
      </c>
      <c r="EV214" s="194">
        <f>IFERROR(EN214+0.00000000003,0)</f>
        <v>5.50000000003</v>
      </c>
      <c r="EW214" s="194">
        <f>IFERROR(EO214+0.00000000001,0)</f>
        <v>9.9999999999999994E-12</v>
      </c>
      <c r="EX214" s="194">
        <f>IFERROR(EP214+0.00000000005,0)</f>
        <v>5.50000000005</v>
      </c>
      <c r="EY214" s="194">
        <f>IFERROR(EQ214+0.00000000006,0)</f>
        <v>4.00000000006</v>
      </c>
      <c r="EZ214" s="194">
        <f>IFERROR(ER214+0.00000000007,0)</f>
        <v>4.00000000007</v>
      </c>
      <c r="FA214" s="194">
        <f>IFERROR(ES214+0.00000000008,0)</f>
        <v>3.00000000008</v>
      </c>
      <c r="FB214" s="2">
        <f t="shared" si="347"/>
        <v>3.00000000004</v>
      </c>
      <c r="FC214" s="2">
        <f t="shared" si="300"/>
        <v>4.00000000002</v>
      </c>
      <c r="FD214" s="2">
        <f t="shared" si="301"/>
        <v>5.50000000003</v>
      </c>
      <c r="FE214" s="2">
        <f t="shared" si="302"/>
        <v>0</v>
      </c>
      <c r="FF214" s="2">
        <f t="shared" si="303"/>
        <v>5.50000000005</v>
      </c>
      <c r="FG214" s="2">
        <f t="shared" si="304"/>
        <v>4.00000000006</v>
      </c>
      <c r="FH214" s="2">
        <f t="shared" si="305"/>
        <v>4.00000000007</v>
      </c>
      <c r="FI214" s="2">
        <f t="shared" si="306"/>
        <v>3.00000000008</v>
      </c>
      <c r="FJ214" s="2" t="b">
        <f t="shared" si="367"/>
        <v>0</v>
      </c>
      <c r="FK214" s="2" t="b">
        <f t="shared" si="368"/>
        <v>1</v>
      </c>
      <c r="FL214" s="2" t="b">
        <f t="shared" si="369"/>
        <v>1</v>
      </c>
      <c r="FM214" s="2" t="b">
        <f t="shared" si="370"/>
        <v>0</v>
      </c>
      <c r="FN214" s="2" t="b">
        <f t="shared" si="371"/>
        <v>1</v>
      </c>
      <c r="FO214" s="2" t="b">
        <f t="shared" si="372"/>
        <v>1</v>
      </c>
      <c r="FP214" s="2" t="b">
        <f t="shared" si="373"/>
        <v>1</v>
      </c>
      <c r="FQ214" s="2" t="b">
        <f t="shared" si="374"/>
        <v>0</v>
      </c>
    </row>
    <row r="215" spans="1:173" s="364" customFormat="1" ht="15.6">
      <c r="A215" s="335" t="s">
        <v>1392</v>
      </c>
      <c r="B215" s="346" t="s">
        <v>1392</v>
      </c>
      <c r="C215" s="346" t="s">
        <v>227</v>
      </c>
      <c r="D215" s="346" t="s">
        <v>1393</v>
      </c>
      <c r="E215" s="346" t="s">
        <v>535</v>
      </c>
      <c r="F215" s="364" t="s">
        <v>2259</v>
      </c>
      <c r="G215" s="364" t="s">
        <v>324</v>
      </c>
      <c r="H215" s="364">
        <v>34.5</v>
      </c>
      <c r="I215" s="364">
        <v>33</v>
      </c>
      <c r="J215" s="364">
        <v>33</v>
      </c>
      <c r="K215" s="435">
        <f t="shared" si="349"/>
        <v>34.500000000290001</v>
      </c>
      <c r="L215" s="435">
        <f t="shared" si="350"/>
        <v>33.000000000290001</v>
      </c>
      <c r="M215" s="435">
        <f t="shared" si="351"/>
        <v>33.000000000279996</v>
      </c>
      <c r="N215" s="346" t="s">
        <v>324</v>
      </c>
      <c r="O215" s="346" t="s">
        <v>324</v>
      </c>
      <c r="P215" s="346" t="s">
        <v>770</v>
      </c>
      <c r="Q215" s="346" t="s">
        <v>324</v>
      </c>
      <c r="R215" s="346" t="s">
        <v>324</v>
      </c>
      <c r="S215" s="346" t="s">
        <v>798</v>
      </c>
      <c r="T215" s="364" t="s">
        <v>1046</v>
      </c>
      <c r="U215" s="364">
        <v>73</v>
      </c>
      <c r="V215" s="2" cm="1">
        <f t="array" ref="V215">IFERROR(INDEX('Offer Statistics'!$BQ$2:$BQ$600,MATCH(1,(B215='Offer Statistics'!$BB$2:$BB$600)*($B$11='Offer Statistics'!$BC$2:$BC$600),0)),"/")</f>
        <v>40</v>
      </c>
      <c r="W215" s="2" cm="1">
        <f t="array" ref="W215">IFERROR(INDEX('Offer Statistics'!$BD$2:$BD$600,MATCH(1,($B215='Offer Statistics'!$BB$2:$BB$600)*($B$11='Offer Statistics'!$BC$2:$BC$600),0)),"/")</f>
        <v>233</v>
      </c>
      <c r="X215" s="2" cm="1">
        <f t="array" ref="X215">IFERROR(INDEX('Offer Statistics'!$BL$2:$BL$600,MATCH(1,($B215='Offer Statistics'!$BB$2:$BB$600)*($B$11='Offer Statistics'!$BC$2:$BC$600),0)),"/")</f>
        <v>40</v>
      </c>
      <c r="Y215" s="364">
        <f>IFERROR(W215/X215,"新科目")</f>
        <v>5.8250000000000002</v>
      </c>
      <c r="Z215" s="364" t="s">
        <v>1046</v>
      </c>
      <c r="AA215" s="435" t="str">
        <f>入學要求!AF224</f>
        <v>/</v>
      </c>
      <c r="AB215" s="435" t="str">
        <f>入學要求!AG224</f>
        <v>/</v>
      </c>
      <c r="AC215" s="425" t="s">
        <v>2259</v>
      </c>
      <c r="AD215" s="426"/>
      <c r="AE215" s="426"/>
      <c r="AF215" s="426" t="s">
        <v>324</v>
      </c>
      <c r="AG215" s="426" t="s">
        <v>324</v>
      </c>
      <c r="AH215" s="426" t="s">
        <v>770</v>
      </c>
      <c r="AI215" s="425" t="s">
        <v>324</v>
      </c>
      <c r="AJ215" s="426" t="s">
        <v>324</v>
      </c>
      <c r="AK215" s="364" t="s">
        <v>324</v>
      </c>
      <c r="AL215" s="364" t="s">
        <v>324</v>
      </c>
      <c r="AM215" s="364" t="s">
        <v>324</v>
      </c>
      <c r="AN215" s="364" t="s">
        <v>324</v>
      </c>
      <c r="AO215" s="364" t="s">
        <v>324</v>
      </c>
      <c r="AP215" s="364" t="s">
        <v>324</v>
      </c>
      <c r="AQ215" s="364" t="s">
        <v>324</v>
      </c>
      <c r="AR215" s="364" t="s">
        <v>324</v>
      </c>
      <c r="AT215" s="364" t="s">
        <v>716</v>
      </c>
      <c r="AV215" s="364" t="s">
        <v>1196</v>
      </c>
      <c r="AZ215" s="364">
        <v>1</v>
      </c>
      <c r="BA215" s="364">
        <v>2</v>
      </c>
      <c r="BB215" s="364">
        <v>1</v>
      </c>
      <c r="BD215" s="364">
        <v>1</v>
      </c>
      <c r="BE215" s="364">
        <v>1</v>
      </c>
      <c r="BF215" s="364">
        <v>1</v>
      </c>
      <c r="BG215" s="364">
        <v>1</v>
      </c>
      <c r="BH215" s="2" t="str">
        <f t="shared" si="352"/>
        <v>JS4903</v>
      </c>
      <c r="BI215" s="197">
        <v>4</v>
      </c>
      <c r="BJ215" s="197">
        <v>7</v>
      </c>
      <c r="BK215" s="197">
        <v>5.5</v>
      </c>
      <c r="BL215" s="197" t="s">
        <v>324</v>
      </c>
      <c r="BM215" s="197" t="s">
        <v>324</v>
      </c>
      <c r="BN215" s="197">
        <v>5.5</v>
      </c>
      <c r="BO215" s="197">
        <v>4</v>
      </c>
      <c r="BP215" s="197">
        <v>4</v>
      </c>
      <c r="BQ215" s="365">
        <f>IFERROR(BI215+0.00000000004,0)</f>
        <v>4.00000000004</v>
      </c>
      <c r="BR215" s="365">
        <f>IFERROR(BJ215+0.00000000002,0)</f>
        <v>7.00000000002</v>
      </c>
      <c r="BS215" s="365">
        <f>IFERROR(BK215+0.00000000003,0)</f>
        <v>5.50000000003</v>
      </c>
      <c r="BT215" s="365"/>
      <c r="BU215" s="365">
        <f>IFERROR(BM215+0.00000000005,0)</f>
        <v>0</v>
      </c>
      <c r="BV215" s="365">
        <f>IFERROR(BN215+0.00000000006,0)</f>
        <v>5.50000000006</v>
      </c>
      <c r="BW215" s="365">
        <f>IFERROR(BO215+0.00000000007,0)</f>
        <v>4.00000000007</v>
      </c>
      <c r="BX215" s="365">
        <f>IFERROR(BP215+0.00000000008,0)</f>
        <v>4.00000000008</v>
      </c>
      <c r="BY215" s="364">
        <f t="shared" si="334"/>
        <v>4.00000000004</v>
      </c>
      <c r="BZ215" s="364">
        <f t="shared" si="335"/>
        <v>14.00000000004</v>
      </c>
      <c r="CA215" s="364">
        <f t="shared" si="336"/>
        <v>5.50000000003</v>
      </c>
      <c r="CC215" s="364">
        <f t="shared" si="337"/>
        <v>0</v>
      </c>
      <c r="CD215" s="364">
        <f t="shared" si="338"/>
        <v>5.50000000006</v>
      </c>
      <c r="CE215" s="364">
        <f t="shared" si="339"/>
        <v>4.00000000007</v>
      </c>
      <c r="CF215" s="364">
        <f t="shared" si="340"/>
        <v>4.00000000008</v>
      </c>
      <c r="CG215" s="2" t="b">
        <f t="shared" si="353"/>
        <v>0</v>
      </c>
      <c r="CH215" s="2" t="b">
        <f t="shared" si="354"/>
        <v>1</v>
      </c>
      <c r="CI215" s="2" t="b">
        <f t="shared" si="355"/>
        <v>1</v>
      </c>
      <c r="CJ215" s="2"/>
      <c r="CK215" s="2" t="b">
        <f t="shared" si="356"/>
        <v>0</v>
      </c>
      <c r="CL215" s="2" t="b">
        <f t="shared" si="357"/>
        <v>1</v>
      </c>
      <c r="CM215" s="2" t="b">
        <f t="shared" si="358"/>
        <v>1</v>
      </c>
      <c r="CN215" s="2" t="b">
        <f t="shared" si="359"/>
        <v>1</v>
      </c>
      <c r="CO215" s="364">
        <v>1</v>
      </c>
      <c r="CP215" s="364">
        <v>2</v>
      </c>
      <c r="CQ215" s="364">
        <v>1</v>
      </c>
      <c r="CS215" s="364">
        <v>1</v>
      </c>
      <c r="CT215" s="364">
        <v>1</v>
      </c>
      <c r="CU215" s="364">
        <v>1</v>
      </c>
      <c r="CV215" s="364">
        <v>1</v>
      </c>
      <c r="CX215" s="364">
        <v>5.5</v>
      </c>
      <c r="CY215" s="364">
        <v>7</v>
      </c>
      <c r="CZ215" s="364">
        <v>4</v>
      </c>
      <c r="DB215" s="364" t="s">
        <v>324</v>
      </c>
      <c r="DC215" s="364">
        <v>5.5</v>
      </c>
      <c r="DD215" s="364">
        <v>4</v>
      </c>
      <c r="DE215" s="364">
        <v>4</v>
      </c>
      <c r="DF215" s="365">
        <f>IFERROR(CX215+0.00000000004,0)</f>
        <v>5.50000000004</v>
      </c>
      <c r="DG215" s="365">
        <f>IFERROR(CY215+0.00000000002,0)</f>
        <v>7.00000000002</v>
      </c>
      <c r="DH215" s="365">
        <f t="shared" si="326"/>
        <v>4.00000000003</v>
      </c>
      <c r="DI215" s="365"/>
      <c r="DJ215" s="365">
        <f t="shared" si="327"/>
        <v>0</v>
      </c>
      <c r="DK215" s="365">
        <f t="shared" si="328"/>
        <v>5.50000000006</v>
      </c>
      <c r="DL215" s="365">
        <f t="shared" si="329"/>
        <v>4.00000000007</v>
      </c>
      <c r="DM215" s="365">
        <f t="shared" si="330"/>
        <v>4.00000000008</v>
      </c>
      <c r="DN215" s="364">
        <f t="shared" si="331"/>
        <v>5.50000000004</v>
      </c>
      <c r="DO215" s="364">
        <f t="shared" si="341"/>
        <v>14.00000000004</v>
      </c>
      <c r="DP215" s="364">
        <f t="shared" si="342"/>
        <v>4.00000000003</v>
      </c>
      <c r="DR215" s="364">
        <f t="shared" si="343"/>
        <v>0</v>
      </c>
      <c r="DS215" s="364">
        <f t="shared" si="344"/>
        <v>5.50000000006</v>
      </c>
      <c r="DT215" s="364">
        <f t="shared" si="345"/>
        <v>4.00000000007</v>
      </c>
      <c r="DU215" s="364">
        <f t="shared" si="346"/>
        <v>4.00000000008</v>
      </c>
      <c r="DV215" s="2" t="b">
        <f t="shared" si="360"/>
        <v>1</v>
      </c>
      <c r="DW215" s="2" t="b">
        <f t="shared" si="361"/>
        <v>1</v>
      </c>
      <c r="DX215" s="2" t="b">
        <f t="shared" si="362"/>
        <v>0</v>
      </c>
      <c r="DY215" s="2"/>
      <c r="DZ215" s="2" t="b">
        <f t="shared" si="363"/>
        <v>0</v>
      </c>
      <c r="EA215" s="2" t="b">
        <f t="shared" si="364"/>
        <v>1</v>
      </c>
      <c r="EB215" s="2" t="b">
        <f t="shared" si="365"/>
        <v>1</v>
      </c>
      <c r="EC215" s="2" t="b">
        <f t="shared" si="366"/>
        <v>1</v>
      </c>
      <c r="ED215" s="364">
        <v>1</v>
      </c>
      <c r="EE215" s="364">
        <v>2</v>
      </c>
      <c r="EF215" s="364">
        <v>1</v>
      </c>
      <c r="EH215" s="364">
        <v>1</v>
      </c>
      <c r="EI215" s="364">
        <v>1</v>
      </c>
      <c r="EJ215" s="364">
        <v>1</v>
      </c>
      <c r="EK215" s="364">
        <v>1</v>
      </c>
      <c r="EL215" s="364">
        <v>7</v>
      </c>
      <c r="EM215" s="364">
        <v>7</v>
      </c>
      <c r="EN215" s="364">
        <v>4</v>
      </c>
      <c r="EP215" s="364" t="s">
        <v>324</v>
      </c>
      <c r="EQ215" s="364">
        <v>5.5</v>
      </c>
      <c r="ER215" s="364">
        <v>4</v>
      </c>
      <c r="ES215" s="364">
        <v>4</v>
      </c>
      <c r="ET215" s="365">
        <f>IFERROR(EL215+0.00000000004,0)</f>
        <v>7.00000000004</v>
      </c>
      <c r="EU215" s="365">
        <f>IFERROR(EM215+0.00000000002,0)</f>
        <v>7.00000000002</v>
      </c>
      <c r="EV215" s="365">
        <f>IFERROR(EN215+0.00000000003,0)</f>
        <v>4.00000000003</v>
      </c>
      <c r="EW215" s="365">
        <f>IFERROR(EO215+0.00000000001,0)</f>
        <v>9.9999999999999994E-12</v>
      </c>
      <c r="EX215" s="365">
        <f>IFERROR(EP215+0.00000000005,0)</f>
        <v>0</v>
      </c>
      <c r="EY215" s="365">
        <f>IFERROR(EQ215+0.00000000006,0)</f>
        <v>5.50000000006</v>
      </c>
      <c r="EZ215" s="365">
        <f>IFERROR(ER215+0.00000000007,0)</f>
        <v>4.00000000007</v>
      </c>
      <c r="FA215" s="365">
        <f>IFERROR(ES215+0.00000000008,0)</f>
        <v>4.00000000008</v>
      </c>
      <c r="FB215" s="364">
        <f t="shared" si="347"/>
        <v>7.00000000004</v>
      </c>
      <c r="FC215" s="364">
        <f t="shared" si="300"/>
        <v>14.00000000004</v>
      </c>
      <c r="FD215" s="364">
        <f t="shared" si="301"/>
        <v>4.00000000003</v>
      </c>
      <c r="FE215" s="364">
        <f t="shared" si="302"/>
        <v>0</v>
      </c>
      <c r="FF215" s="364">
        <f t="shared" si="303"/>
        <v>0</v>
      </c>
      <c r="FG215" s="364">
        <f t="shared" si="304"/>
        <v>5.50000000006</v>
      </c>
      <c r="FH215" s="364">
        <f t="shared" si="305"/>
        <v>4.00000000007</v>
      </c>
      <c r="FI215" s="364">
        <f t="shared" si="306"/>
        <v>4.00000000008</v>
      </c>
      <c r="FJ215" s="2" t="b">
        <f t="shared" si="367"/>
        <v>1</v>
      </c>
      <c r="FK215" s="2" t="b">
        <f t="shared" si="368"/>
        <v>1</v>
      </c>
      <c r="FL215" s="2" t="b">
        <f t="shared" si="369"/>
        <v>0</v>
      </c>
      <c r="FM215" s="2" t="b">
        <f t="shared" si="370"/>
        <v>0</v>
      </c>
      <c r="FN215" s="2" t="b">
        <f t="shared" si="371"/>
        <v>0</v>
      </c>
      <c r="FO215" s="2" t="b">
        <f t="shared" si="372"/>
        <v>1</v>
      </c>
      <c r="FP215" s="2" t="b">
        <f t="shared" si="373"/>
        <v>1</v>
      </c>
      <c r="FQ215" s="2" t="b">
        <f t="shared" si="374"/>
        <v>1</v>
      </c>
    </row>
    <row r="216" spans="1:173">
      <c r="C216" s="328" t="s">
        <v>3090</v>
      </c>
      <c r="F216" s="11"/>
      <c r="AC216" s="468"/>
      <c r="AD216" s="468"/>
      <c r="AE216" s="468"/>
      <c r="AF216" s="468"/>
      <c r="AG216" s="468"/>
      <c r="AH216" s="468"/>
      <c r="AI216" s="468"/>
      <c r="AJ216" s="468"/>
    </row>
    <row r="217" spans="1:173">
      <c r="I217" s="435"/>
      <c r="J217" s="435"/>
      <c r="K217" s="435"/>
      <c r="L217" s="435"/>
      <c r="U217" s="2" t="s">
        <v>70</v>
      </c>
      <c r="V217" s="2" t="s">
        <v>118</v>
      </c>
      <c r="W217" s="2" t="s">
        <v>1394</v>
      </c>
      <c r="X217" s="2" t="s">
        <v>1395</v>
      </c>
      <c r="Y217" s="2" t="s">
        <v>938</v>
      </c>
    </row>
    <row r="218" spans="1:173" ht="13.95" customHeight="1">
      <c r="A218" s="335" t="s">
        <v>459</v>
      </c>
      <c r="B218" s="2" t="s">
        <v>459</v>
      </c>
      <c r="C218" s="2" t="s">
        <v>229</v>
      </c>
      <c r="D218" s="2" t="s">
        <v>865</v>
      </c>
      <c r="E218" s="2" t="s">
        <v>1396</v>
      </c>
      <c r="F218" s="2" t="s">
        <v>1397</v>
      </c>
      <c r="G218" s="2" t="s">
        <v>324</v>
      </c>
      <c r="H218" s="2" t="s">
        <v>324</v>
      </c>
      <c r="I218" s="435">
        <v>36.75</v>
      </c>
      <c r="J218" s="435">
        <v>34.5</v>
      </c>
      <c r="K218" s="435"/>
      <c r="L218" s="435"/>
      <c r="N218" s="422"/>
      <c r="O218" s="422"/>
      <c r="P218" s="346" t="s">
        <v>3100</v>
      </c>
      <c r="Q218" s="479" t="s">
        <v>2439</v>
      </c>
      <c r="R218" s="480" t="s">
        <v>3101</v>
      </c>
      <c r="S218" s="346" t="s">
        <v>153</v>
      </c>
      <c r="T218" s="346" t="s">
        <v>2941</v>
      </c>
      <c r="U218" s="346">
        <v>20</v>
      </c>
      <c r="V218" s="422" cm="1">
        <f t="array" ref="V218">IFERROR(INDEX('Offer Statistics'!$CH$2:$CH$350,MATCH(1,(B218='Offer Statistics'!$BS$2:$BS$350)*($B$11='Offer Statistics'!$BT$2:$BT$350),0)),"/")</f>
        <v>21</v>
      </c>
      <c r="W218" s="422" cm="1">
        <f t="array" ref="W218">IFERROR(INDEX('Offer Statistics'!$BU$2:$BU$350,MATCH(1,(B218='Offer Statistics'!$BS$2:$BS$350)*($B$11='Offer Statistics'!$BT$2:$BT$350),0)),"/")</f>
        <v>69</v>
      </c>
      <c r="X218" s="422" cm="1">
        <f t="array" ref="X218">IFERROR(INDEX('Offer Statistics'!$CC$2:$CC$350,MATCH(1,(B218='Offer Statistics'!$BS$2:$BS$350)*($B$11='Offer Statistics'!$BT$2:$BT$350),0)),"/")</f>
        <v>21</v>
      </c>
      <c r="Y218" s="422">
        <f>IFERROR(W218/X218,"新科目")</f>
        <v>3.2857142857142856</v>
      </c>
      <c r="Z218" s="422" t="s">
        <v>1046</v>
      </c>
      <c r="AA218" s="422" t="str">
        <f>入學要求!AF227</f>
        <v>以下一科選修取得Lv.3︰M1/2、生物、化學、組合科學、物理</v>
      </c>
      <c r="AB218" s="422" t="str">
        <f>入學要求!AG227</f>
        <v>申請人必須出席面試</v>
      </c>
      <c r="AC218" s="426" t="s">
        <v>1397</v>
      </c>
      <c r="AD218" s="422"/>
      <c r="AE218" s="422"/>
      <c r="AF218" s="422"/>
      <c r="AG218" s="422"/>
      <c r="AH218" s="346" t="s">
        <v>1398</v>
      </c>
      <c r="AI218" s="479" t="s">
        <v>2439</v>
      </c>
      <c r="AJ218" s="480" t="s">
        <v>1399</v>
      </c>
      <c r="AK218" s="346" t="s">
        <v>1400</v>
      </c>
      <c r="AL218" s="346" t="s">
        <v>2428</v>
      </c>
      <c r="AM218" s="346" t="s">
        <v>324</v>
      </c>
      <c r="AN218" s="346" t="s">
        <v>1401</v>
      </c>
      <c r="AO218" s="346" t="s">
        <v>324</v>
      </c>
      <c r="AP218" s="346" t="s">
        <v>324</v>
      </c>
      <c r="AQ218" s="435" t="s">
        <v>3094</v>
      </c>
      <c r="AR218" s="422" t="s">
        <v>3309</v>
      </c>
      <c r="AS218" s="422" t="s">
        <v>3310</v>
      </c>
      <c r="AT218" s="2" t="s">
        <v>716</v>
      </c>
      <c r="AV218" s="2" t="s">
        <v>713</v>
      </c>
      <c r="AZ218" s="2" t="s">
        <v>324</v>
      </c>
      <c r="BA218" s="2" t="s">
        <v>324</v>
      </c>
      <c r="BB218" s="2" t="s">
        <v>324</v>
      </c>
      <c r="BC218" s="2" t="s">
        <v>324</v>
      </c>
      <c r="BD218" s="2" t="s">
        <v>324</v>
      </c>
      <c r="BE218" s="2" t="s">
        <v>324</v>
      </c>
      <c r="BF218" s="2" t="s">
        <v>324</v>
      </c>
      <c r="BG218" s="2" t="s">
        <v>324</v>
      </c>
      <c r="BH218" s="2" t="s">
        <v>324</v>
      </c>
      <c r="BI218" s="2" t="s">
        <v>324</v>
      </c>
      <c r="BJ218" s="2" t="s">
        <v>324</v>
      </c>
      <c r="BK218" s="2" t="s">
        <v>324</v>
      </c>
      <c r="BL218" s="2" t="s">
        <v>324</v>
      </c>
      <c r="BM218" s="2" t="s">
        <v>324</v>
      </c>
      <c r="BN218" s="2" t="s">
        <v>324</v>
      </c>
      <c r="BO218" s="2" t="s">
        <v>324</v>
      </c>
      <c r="BP218" s="2" t="s">
        <v>324</v>
      </c>
      <c r="BQ218" s="2" t="s">
        <v>324</v>
      </c>
      <c r="BR218" s="2" t="s">
        <v>324</v>
      </c>
      <c r="BS218" s="2" t="s">
        <v>324</v>
      </c>
      <c r="BT218" s="2" t="s">
        <v>324</v>
      </c>
      <c r="BU218" s="2" t="s">
        <v>324</v>
      </c>
      <c r="BV218" s="2" t="s">
        <v>324</v>
      </c>
      <c r="BW218" s="2" t="s">
        <v>324</v>
      </c>
      <c r="BX218" s="2" t="s">
        <v>324</v>
      </c>
      <c r="BY218" s="2" t="s">
        <v>324</v>
      </c>
      <c r="BZ218" s="2" t="s">
        <v>324</v>
      </c>
      <c r="CA218" s="2" t="s">
        <v>324</v>
      </c>
      <c r="CB218" s="2" t="s">
        <v>324</v>
      </c>
      <c r="CC218" s="2" t="s">
        <v>324</v>
      </c>
      <c r="CD218" s="2" t="s">
        <v>324</v>
      </c>
      <c r="CE218" s="2" t="s">
        <v>324</v>
      </c>
      <c r="CF218" s="2" t="s">
        <v>324</v>
      </c>
      <c r="CG218" s="2" t="s">
        <v>324</v>
      </c>
      <c r="CH218" s="2" t="s">
        <v>324</v>
      </c>
      <c r="CI218" s="2" t="s">
        <v>324</v>
      </c>
      <c r="CJ218" s="2" t="s">
        <v>324</v>
      </c>
      <c r="CK218" s="2" t="s">
        <v>324</v>
      </c>
      <c r="CL218" s="2" t="s">
        <v>324</v>
      </c>
      <c r="CM218" s="2" t="s">
        <v>324</v>
      </c>
      <c r="CN218" s="2" t="s">
        <v>324</v>
      </c>
      <c r="CO218" s="2" t="s">
        <v>324</v>
      </c>
      <c r="CP218" s="2" t="s">
        <v>324</v>
      </c>
      <c r="CQ218" s="2" t="s">
        <v>324</v>
      </c>
      <c r="CR218" s="2" t="s">
        <v>324</v>
      </c>
      <c r="CS218" s="2" t="s">
        <v>324</v>
      </c>
      <c r="CT218" s="2" t="s">
        <v>324</v>
      </c>
      <c r="CU218" s="2" t="s">
        <v>324</v>
      </c>
      <c r="CV218" s="2" t="s">
        <v>324</v>
      </c>
      <c r="CW218" s="2" t="s">
        <v>324</v>
      </c>
      <c r="CX218" s="2" t="s">
        <v>324</v>
      </c>
      <c r="CY218" s="2" t="s">
        <v>324</v>
      </c>
      <c r="CZ218" s="2" t="s">
        <v>324</v>
      </c>
      <c r="DA218" s="2" t="s">
        <v>324</v>
      </c>
      <c r="DB218" s="2" t="s">
        <v>324</v>
      </c>
      <c r="DC218" s="2" t="s">
        <v>324</v>
      </c>
      <c r="DD218" s="2" t="s">
        <v>324</v>
      </c>
      <c r="DE218" s="2" t="s">
        <v>324</v>
      </c>
      <c r="DF218" s="2" t="s">
        <v>324</v>
      </c>
      <c r="DG218" s="2" t="s">
        <v>324</v>
      </c>
      <c r="DH218" s="2" t="s">
        <v>324</v>
      </c>
      <c r="DI218" s="2" t="s">
        <v>324</v>
      </c>
      <c r="DJ218" s="2" t="s">
        <v>324</v>
      </c>
      <c r="DK218" s="2" t="s">
        <v>324</v>
      </c>
      <c r="DL218" s="2" t="s">
        <v>324</v>
      </c>
      <c r="DM218" s="2" t="s">
        <v>324</v>
      </c>
      <c r="DN218" s="2" t="s">
        <v>324</v>
      </c>
      <c r="DO218" s="2" t="s">
        <v>324</v>
      </c>
      <c r="DP218" s="2" t="s">
        <v>324</v>
      </c>
      <c r="DQ218" s="2" t="s">
        <v>324</v>
      </c>
      <c r="DR218" s="2" t="s">
        <v>324</v>
      </c>
      <c r="DS218" s="2" t="s">
        <v>324</v>
      </c>
      <c r="DT218" s="2" t="s">
        <v>324</v>
      </c>
      <c r="DU218" s="2" t="s">
        <v>324</v>
      </c>
      <c r="DV218" s="2" t="s">
        <v>324</v>
      </c>
      <c r="DW218" s="2" t="s">
        <v>324</v>
      </c>
      <c r="DX218" s="2" t="s">
        <v>324</v>
      </c>
      <c r="DY218" s="2" t="s">
        <v>324</v>
      </c>
      <c r="DZ218" s="2" t="s">
        <v>324</v>
      </c>
      <c r="EA218" s="2" t="s">
        <v>324</v>
      </c>
      <c r="EB218" s="2" t="s">
        <v>324</v>
      </c>
      <c r="EC218" s="2" t="s">
        <v>324</v>
      </c>
      <c r="ED218" s="2" t="s">
        <v>324</v>
      </c>
      <c r="EE218" s="2" t="s">
        <v>324</v>
      </c>
      <c r="EF218" s="2" t="s">
        <v>324</v>
      </c>
      <c r="EG218" s="2" t="s">
        <v>324</v>
      </c>
      <c r="EH218" s="2" t="s">
        <v>324</v>
      </c>
      <c r="EI218" s="2" t="s">
        <v>324</v>
      </c>
      <c r="EJ218" s="2" t="s">
        <v>324</v>
      </c>
      <c r="EK218" s="2" t="s">
        <v>324</v>
      </c>
      <c r="EL218" s="2" t="s">
        <v>324</v>
      </c>
      <c r="EM218" s="2" t="s">
        <v>324</v>
      </c>
      <c r="EN218" s="2" t="s">
        <v>324</v>
      </c>
      <c r="EO218" s="2" t="s">
        <v>324</v>
      </c>
      <c r="EP218" s="2" t="s">
        <v>324</v>
      </c>
      <c r="EQ218" s="2" t="s">
        <v>324</v>
      </c>
      <c r="ER218" s="2" t="s">
        <v>324</v>
      </c>
      <c r="ES218" s="2" t="s">
        <v>324</v>
      </c>
      <c r="ET218" s="2" t="s">
        <v>324</v>
      </c>
      <c r="EU218" s="2" t="s">
        <v>324</v>
      </c>
      <c r="EV218" s="2" t="s">
        <v>324</v>
      </c>
      <c r="EW218" s="2" t="s">
        <v>324</v>
      </c>
      <c r="EX218" s="2" t="s">
        <v>324</v>
      </c>
      <c r="EY218" s="2" t="s">
        <v>324</v>
      </c>
      <c r="EZ218" s="2" t="s">
        <v>324</v>
      </c>
      <c r="FA218" s="2" t="s">
        <v>324</v>
      </c>
      <c r="FB218" s="2" t="s">
        <v>324</v>
      </c>
      <c r="FC218" s="2" t="s">
        <v>324</v>
      </c>
      <c r="FD218" s="2" t="s">
        <v>324</v>
      </c>
      <c r="FE218" s="2" t="s">
        <v>324</v>
      </c>
      <c r="FF218" s="2" t="s">
        <v>324</v>
      </c>
      <c r="FG218" s="2" t="s">
        <v>324</v>
      </c>
      <c r="FH218" s="2" t="s">
        <v>324</v>
      </c>
      <c r="FI218" s="2" t="s">
        <v>324</v>
      </c>
      <c r="FJ218" s="2" t="s">
        <v>324</v>
      </c>
      <c r="FK218" s="2" t="s">
        <v>324</v>
      </c>
      <c r="FL218" s="2" t="s">
        <v>324</v>
      </c>
      <c r="FM218" s="2" t="s">
        <v>324</v>
      </c>
      <c r="FN218" s="2" t="s">
        <v>324</v>
      </c>
      <c r="FO218" s="2" t="s">
        <v>324</v>
      </c>
      <c r="FP218" s="2" t="s">
        <v>324</v>
      </c>
      <c r="FQ218" s="2" t="s">
        <v>324</v>
      </c>
    </row>
    <row r="219" spans="1:173">
      <c r="A219" s="335" t="s">
        <v>460</v>
      </c>
      <c r="B219" s="2" t="s">
        <v>460</v>
      </c>
      <c r="C219" s="2" t="s">
        <v>229</v>
      </c>
      <c r="D219" s="2" t="s">
        <v>865</v>
      </c>
      <c r="E219" s="2" t="s">
        <v>1402</v>
      </c>
      <c r="F219" s="2" t="s">
        <v>1397</v>
      </c>
      <c r="G219" s="2" t="s">
        <v>324</v>
      </c>
      <c r="H219" s="2" t="s">
        <v>324</v>
      </c>
      <c r="I219" s="435">
        <v>31.13</v>
      </c>
      <c r="J219" s="435">
        <v>29.66</v>
      </c>
      <c r="K219" s="435"/>
      <c r="L219" s="435"/>
      <c r="N219" s="422"/>
      <c r="O219" s="422"/>
      <c r="P219" s="346" t="s">
        <v>3102</v>
      </c>
      <c r="Q219" s="346" t="s">
        <v>2437</v>
      </c>
      <c r="R219" s="346" t="s">
        <v>3103</v>
      </c>
      <c r="S219" s="346" t="s">
        <v>154</v>
      </c>
      <c r="T219" s="346" t="s">
        <v>2941</v>
      </c>
      <c r="U219" s="346" t="s">
        <v>3121</v>
      </c>
      <c r="V219" s="422" cm="1">
        <f t="array" ref="V219">IFERROR(INDEX('Offer Statistics'!$CH$2:$CH$350,MATCH(1,(B219='Offer Statistics'!$BS$2:$BS$350)*($B$11='Offer Statistics'!$BT$2:$BT$350),0)),"/")</f>
        <v>188</v>
      </c>
      <c r="W219" s="422" cm="1">
        <f t="array" ref="W219">IFERROR(INDEX('Offer Statistics'!$BU$2:$BU$350,MATCH(1,(B219='Offer Statistics'!$BS$2:$BS$350)*($B$11='Offer Statistics'!$BT$2:$BT$350),0)),"/")</f>
        <v>927</v>
      </c>
      <c r="X219" s="422" cm="1">
        <f t="array" ref="X219">IFERROR(INDEX('Offer Statistics'!$CC$2:$CC$350,MATCH(1,(B219='Offer Statistics'!$BS$2:$BS$350)*($B$11='Offer Statistics'!$BT$2:$BT$350),0)),"/")</f>
        <v>181</v>
      </c>
      <c r="Y219" s="422">
        <f t="shared" ref="Y219:Y250" si="375">IFERROR(W219/X219,"新科目")</f>
        <v>5.1215469613259668</v>
      </c>
      <c r="Z219" s="422" t="s">
        <v>1046</v>
      </c>
      <c r="AA219" s="422" t="str">
        <f>入學要求!AF228</f>
        <v>以下一科選修取得Lv.3︰M1/2、生物、化學、組合科學、物理</v>
      </c>
      <c r="AB219" s="422" t="str">
        <f>入學要求!AG228</f>
        <v>/</v>
      </c>
      <c r="AC219" s="426" t="s">
        <v>1397</v>
      </c>
      <c r="AD219" s="422"/>
      <c r="AE219" s="422"/>
      <c r="AF219" s="422"/>
      <c r="AG219" s="422"/>
      <c r="AH219" s="346" t="s">
        <v>1403</v>
      </c>
      <c r="AI219" s="346" t="s">
        <v>2437</v>
      </c>
      <c r="AJ219" s="346" t="s">
        <v>1404</v>
      </c>
      <c r="AK219" s="346" t="s">
        <v>1400</v>
      </c>
      <c r="AL219" s="346" t="s">
        <v>1405</v>
      </c>
      <c r="AM219" s="346" t="s">
        <v>324</v>
      </c>
      <c r="AN219" s="346" t="s">
        <v>324</v>
      </c>
      <c r="AO219" s="346" t="s">
        <v>324</v>
      </c>
      <c r="AP219" s="346" t="s">
        <v>324</v>
      </c>
      <c r="AQ219" s="435" t="s">
        <v>3095</v>
      </c>
      <c r="AR219" s="422" t="s">
        <v>3309</v>
      </c>
      <c r="AS219" s="422" t="s">
        <v>3310</v>
      </c>
      <c r="AT219" s="2" t="s">
        <v>716</v>
      </c>
      <c r="AV219" s="2" t="s">
        <v>713</v>
      </c>
      <c r="AZ219" s="2" t="s">
        <v>324</v>
      </c>
      <c r="BA219" s="2" t="s">
        <v>324</v>
      </c>
      <c r="BB219" s="2" t="s">
        <v>324</v>
      </c>
      <c r="BC219" s="2" t="s">
        <v>324</v>
      </c>
      <c r="BD219" s="2" t="s">
        <v>324</v>
      </c>
      <c r="BE219" s="2" t="s">
        <v>324</v>
      </c>
      <c r="BF219" s="2" t="s">
        <v>324</v>
      </c>
      <c r="BG219" s="2" t="s">
        <v>324</v>
      </c>
      <c r="BH219" s="2" t="s">
        <v>324</v>
      </c>
      <c r="BI219" s="2" t="s">
        <v>324</v>
      </c>
      <c r="BJ219" s="2" t="s">
        <v>324</v>
      </c>
      <c r="BK219" s="2" t="s">
        <v>324</v>
      </c>
      <c r="BL219" s="2" t="s">
        <v>324</v>
      </c>
      <c r="BM219" s="2" t="s">
        <v>324</v>
      </c>
      <c r="BN219" s="2" t="s">
        <v>324</v>
      </c>
      <c r="BO219" s="2" t="s">
        <v>324</v>
      </c>
      <c r="BP219" s="2" t="s">
        <v>324</v>
      </c>
      <c r="BQ219" s="2" t="s">
        <v>324</v>
      </c>
      <c r="BR219" s="2" t="s">
        <v>324</v>
      </c>
      <c r="BS219" s="2" t="s">
        <v>324</v>
      </c>
      <c r="BT219" s="2" t="s">
        <v>324</v>
      </c>
      <c r="BU219" s="2" t="s">
        <v>324</v>
      </c>
      <c r="BV219" s="2" t="s">
        <v>324</v>
      </c>
      <c r="BW219" s="2" t="s">
        <v>324</v>
      </c>
      <c r="BX219" s="2" t="s">
        <v>324</v>
      </c>
      <c r="BY219" s="2" t="s">
        <v>324</v>
      </c>
      <c r="BZ219" s="2" t="s">
        <v>324</v>
      </c>
      <c r="CA219" s="2" t="s">
        <v>324</v>
      </c>
      <c r="CB219" s="2" t="s">
        <v>324</v>
      </c>
      <c r="CC219" s="2" t="s">
        <v>324</v>
      </c>
      <c r="CD219" s="2" t="s">
        <v>324</v>
      </c>
      <c r="CE219" s="2" t="s">
        <v>324</v>
      </c>
      <c r="CF219" s="2" t="s">
        <v>324</v>
      </c>
      <c r="CG219" s="2" t="s">
        <v>324</v>
      </c>
      <c r="CH219" s="2" t="s">
        <v>324</v>
      </c>
      <c r="CI219" s="2" t="s">
        <v>324</v>
      </c>
      <c r="CJ219" s="2" t="s">
        <v>324</v>
      </c>
      <c r="CK219" s="2" t="s">
        <v>324</v>
      </c>
      <c r="CL219" s="2" t="s">
        <v>324</v>
      </c>
      <c r="CM219" s="2" t="s">
        <v>324</v>
      </c>
      <c r="CN219" s="2" t="s">
        <v>324</v>
      </c>
      <c r="CO219" s="2" t="s">
        <v>324</v>
      </c>
      <c r="CP219" s="2" t="s">
        <v>324</v>
      </c>
      <c r="CQ219" s="2" t="s">
        <v>324</v>
      </c>
      <c r="CR219" s="2" t="s">
        <v>324</v>
      </c>
      <c r="CS219" s="2" t="s">
        <v>324</v>
      </c>
      <c r="CT219" s="2" t="s">
        <v>324</v>
      </c>
      <c r="CU219" s="2" t="s">
        <v>324</v>
      </c>
      <c r="CV219" s="2" t="s">
        <v>324</v>
      </c>
      <c r="CW219" s="2" t="s">
        <v>324</v>
      </c>
      <c r="CX219" s="2" t="s">
        <v>324</v>
      </c>
      <c r="CY219" s="2" t="s">
        <v>324</v>
      </c>
      <c r="CZ219" s="2" t="s">
        <v>324</v>
      </c>
      <c r="DA219" s="2" t="s">
        <v>324</v>
      </c>
      <c r="DB219" s="2" t="s">
        <v>324</v>
      </c>
      <c r="DC219" s="2" t="s">
        <v>324</v>
      </c>
      <c r="DD219" s="2" t="s">
        <v>324</v>
      </c>
      <c r="DE219" s="2" t="s">
        <v>324</v>
      </c>
      <c r="DF219" s="2" t="s">
        <v>324</v>
      </c>
      <c r="DG219" s="2" t="s">
        <v>324</v>
      </c>
      <c r="DH219" s="2" t="s">
        <v>324</v>
      </c>
      <c r="DI219" s="2" t="s">
        <v>324</v>
      </c>
      <c r="DJ219" s="2" t="s">
        <v>324</v>
      </c>
      <c r="DK219" s="2" t="s">
        <v>324</v>
      </c>
      <c r="DL219" s="2" t="s">
        <v>324</v>
      </c>
      <c r="DM219" s="2" t="s">
        <v>324</v>
      </c>
      <c r="DN219" s="2" t="s">
        <v>324</v>
      </c>
      <c r="DO219" s="2" t="s">
        <v>324</v>
      </c>
      <c r="DP219" s="2" t="s">
        <v>324</v>
      </c>
      <c r="DQ219" s="2" t="s">
        <v>324</v>
      </c>
      <c r="DR219" s="2" t="s">
        <v>324</v>
      </c>
      <c r="DS219" s="2" t="s">
        <v>324</v>
      </c>
      <c r="DT219" s="2" t="s">
        <v>324</v>
      </c>
      <c r="DU219" s="2" t="s">
        <v>324</v>
      </c>
      <c r="DV219" s="2" t="s">
        <v>324</v>
      </c>
      <c r="DW219" s="2" t="s">
        <v>324</v>
      </c>
      <c r="DX219" s="2" t="s">
        <v>324</v>
      </c>
      <c r="DY219" s="2" t="s">
        <v>324</v>
      </c>
      <c r="DZ219" s="2" t="s">
        <v>324</v>
      </c>
      <c r="EA219" s="2" t="s">
        <v>324</v>
      </c>
      <c r="EB219" s="2" t="s">
        <v>324</v>
      </c>
      <c r="EC219" s="2" t="s">
        <v>324</v>
      </c>
      <c r="ED219" s="2" t="s">
        <v>324</v>
      </c>
      <c r="EE219" s="2" t="s">
        <v>324</v>
      </c>
      <c r="EF219" s="2" t="s">
        <v>324</v>
      </c>
      <c r="EG219" s="2" t="s">
        <v>324</v>
      </c>
      <c r="EH219" s="2" t="s">
        <v>324</v>
      </c>
      <c r="EI219" s="2" t="s">
        <v>324</v>
      </c>
      <c r="EJ219" s="2" t="s">
        <v>324</v>
      </c>
      <c r="EK219" s="2" t="s">
        <v>324</v>
      </c>
      <c r="EL219" s="2" t="s">
        <v>324</v>
      </c>
      <c r="EM219" s="2" t="s">
        <v>324</v>
      </c>
      <c r="EN219" s="2" t="s">
        <v>324</v>
      </c>
      <c r="EO219" s="2" t="s">
        <v>324</v>
      </c>
      <c r="EP219" s="2" t="s">
        <v>324</v>
      </c>
      <c r="EQ219" s="2" t="s">
        <v>324</v>
      </c>
      <c r="ER219" s="2" t="s">
        <v>324</v>
      </c>
      <c r="ES219" s="2" t="s">
        <v>324</v>
      </c>
      <c r="ET219" s="2" t="s">
        <v>324</v>
      </c>
      <c r="EU219" s="2" t="s">
        <v>324</v>
      </c>
      <c r="EV219" s="2" t="s">
        <v>324</v>
      </c>
      <c r="EW219" s="2" t="s">
        <v>324</v>
      </c>
      <c r="EX219" s="2" t="s">
        <v>324</v>
      </c>
      <c r="EY219" s="2" t="s">
        <v>324</v>
      </c>
      <c r="EZ219" s="2" t="s">
        <v>324</v>
      </c>
      <c r="FA219" s="2" t="s">
        <v>324</v>
      </c>
      <c r="FB219" s="2" t="s">
        <v>324</v>
      </c>
      <c r="FC219" s="2" t="s">
        <v>324</v>
      </c>
      <c r="FD219" s="2" t="s">
        <v>324</v>
      </c>
      <c r="FE219" s="2" t="s">
        <v>324</v>
      </c>
      <c r="FF219" s="2" t="s">
        <v>324</v>
      </c>
      <c r="FG219" s="2" t="s">
        <v>324</v>
      </c>
      <c r="FH219" s="2" t="s">
        <v>324</v>
      </c>
      <c r="FI219" s="2" t="s">
        <v>324</v>
      </c>
      <c r="FJ219" s="2" t="s">
        <v>324</v>
      </c>
      <c r="FK219" s="2" t="s">
        <v>324</v>
      </c>
      <c r="FL219" s="2" t="s">
        <v>324</v>
      </c>
      <c r="FM219" s="2" t="s">
        <v>324</v>
      </c>
      <c r="FN219" s="2" t="s">
        <v>324</v>
      </c>
      <c r="FO219" s="2" t="s">
        <v>324</v>
      </c>
      <c r="FP219" s="2" t="s">
        <v>324</v>
      </c>
      <c r="FQ219" s="2" t="s">
        <v>324</v>
      </c>
    </row>
    <row r="220" spans="1:173">
      <c r="A220" s="335" t="s">
        <v>461</v>
      </c>
      <c r="B220" s="2" t="s">
        <v>461</v>
      </c>
      <c r="C220" s="2" t="s">
        <v>229</v>
      </c>
      <c r="D220" s="2" t="s">
        <v>865</v>
      </c>
      <c r="E220" s="2" t="s">
        <v>1406</v>
      </c>
      <c r="F220" s="2" t="s">
        <v>1397</v>
      </c>
      <c r="G220" s="2" t="s">
        <v>324</v>
      </c>
      <c r="H220" s="2" t="s">
        <v>324</v>
      </c>
      <c r="I220" s="435">
        <v>32</v>
      </c>
      <c r="J220" s="435">
        <v>30.44</v>
      </c>
      <c r="K220" s="435"/>
      <c r="L220" s="435"/>
      <c r="N220" s="422"/>
      <c r="O220" s="422"/>
      <c r="P220" s="346" t="s">
        <v>3102</v>
      </c>
      <c r="Q220" s="346" t="s">
        <v>2438</v>
      </c>
      <c r="R220" s="346" t="s">
        <v>3103</v>
      </c>
      <c r="S220" s="346" t="s">
        <v>155</v>
      </c>
      <c r="T220" s="346" t="s">
        <v>2941</v>
      </c>
      <c r="U220" s="346" t="s">
        <v>3121</v>
      </c>
      <c r="V220" s="422" cm="1">
        <f t="array" ref="V220">IFERROR(INDEX('Offer Statistics'!$CH$2:$CH$350,MATCH(1,(B220='Offer Statistics'!$BS$2:$BS$350)*($B$11='Offer Statistics'!$BT$2:$BT$350),0)),"/")</f>
        <v>203</v>
      </c>
      <c r="W220" s="422" cm="1">
        <f t="array" ref="W220">IFERROR(INDEX('Offer Statistics'!$BU$2:$BU$350,MATCH(1,(B220='Offer Statistics'!$BS$2:$BS$350)*($B$11='Offer Statistics'!$BT$2:$BT$350),0)),"/")</f>
        <v>1057</v>
      </c>
      <c r="X220" s="422" cm="1">
        <f t="array" ref="X220">IFERROR(INDEX('Offer Statistics'!$CC$2:$CC$350,MATCH(1,(B220='Offer Statistics'!$BS$2:$BS$350)*($B$11='Offer Statistics'!$BT$2:$BT$350),0)),"/")</f>
        <v>193</v>
      </c>
      <c r="Y220" s="422">
        <f t="shared" si="375"/>
        <v>5.4766839378238341</v>
      </c>
      <c r="Z220" s="422" t="s">
        <v>1046</v>
      </c>
      <c r="AA220" s="422" t="str">
        <f>入學要求!AF229</f>
        <v>以下一科選修取得Lv.3︰M1/2、生物、化學、組合科學、物理</v>
      </c>
      <c r="AB220" s="422" t="str">
        <f>入學要求!AG229</f>
        <v>/</v>
      </c>
      <c r="AC220" s="426" t="s">
        <v>1397</v>
      </c>
      <c r="AD220" s="422"/>
      <c r="AE220" s="422"/>
      <c r="AF220" s="422"/>
      <c r="AG220" s="422"/>
      <c r="AH220" s="346" t="s">
        <v>1403</v>
      </c>
      <c r="AI220" s="346" t="s">
        <v>2438</v>
      </c>
      <c r="AJ220" s="346" t="s">
        <v>1404</v>
      </c>
      <c r="AK220" s="346" t="s">
        <v>1400</v>
      </c>
      <c r="AL220" s="346" t="s">
        <v>1407</v>
      </c>
      <c r="AM220" s="346" t="s">
        <v>324</v>
      </c>
      <c r="AN220" s="346" t="s">
        <v>324</v>
      </c>
      <c r="AO220" s="346" t="s">
        <v>324</v>
      </c>
      <c r="AP220" s="346" t="s">
        <v>324</v>
      </c>
      <c r="AQ220" s="435" t="s">
        <v>3095</v>
      </c>
      <c r="AR220" s="422" t="s">
        <v>3309</v>
      </c>
      <c r="AS220" s="422" t="s">
        <v>3310</v>
      </c>
      <c r="AT220" s="2" t="s">
        <v>716</v>
      </c>
      <c r="AV220" s="2" t="s">
        <v>713</v>
      </c>
      <c r="AZ220" s="2" t="s">
        <v>324</v>
      </c>
      <c r="BA220" s="2" t="s">
        <v>324</v>
      </c>
      <c r="BB220" s="2" t="s">
        <v>324</v>
      </c>
      <c r="BC220" s="2" t="s">
        <v>324</v>
      </c>
      <c r="BD220" s="2" t="s">
        <v>324</v>
      </c>
      <c r="BE220" s="2" t="s">
        <v>324</v>
      </c>
      <c r="BF220" s="2" t="s">
        <v>324</v>
      </c>
      <c r="BG220" s="2" t="s">
        <v>324</v>
      </c>
      <c r="BH220" s="2" t="s">
        <v>324</v>
      </c>
      <c r="BI220" s="2" t="s">
        <v>324</v>
      </c>
      <c r="BJ220" s="2" t="s">
        <v>324</v>
      </c>
      <c r="BK220" s="2" t="s">
        <v>324</v>
      </c>
      <c r="BL220" s="2" t="s">
        <v>324</v>
      </c>
      <c r="BM220" s="2" t="s">
        <v>324</v>
      </c>
      <c r="BN220" s="2" t="s">
        <v>324</v>
      </c>
      <c r="BO220" s="2" t="s">
        <v>324</v>
      </c>
      <c r="BP220" s="2" t="s">
        <v>324</v>
      </c>
      <c r="BQ220" s="2" t="s">
        <v>324</v>
      </c>
      <c r="BR220" s="2" t="s">
        <v>324</v>
      </c>
      <c r="BS220" s="2" t="s">
        <v>324</v>
      </c>
      <c r="BT220" s="2" t="s">
        <v>324</v>
      </c>
      <c r="BU220" s="2" t="s">
        <v>324</v>
      </c>
      <c r="BV220" s="2" t="s">
        <v>324</v>
      </c>
      <c r="BW220" s="2" t="s">
        <v>324</v>
      </c>
      <c r="BX220" s="2" t="s">
        <v>324</v>
      </c>
      <c r="BY220" s="2" t="s">
        <v>324</v>
      </c>
      <c r="BZ220" s="2" t="s">
        <v>324</v>
      </c>
      <c r="CA220" s="2" t="s">
        <v>324</v>
      </c>
      <c r="CB220" s="2" t="s">
        <v>324</v>
      </c>
      <c r="CC220" s="2" t="s">
        <v>324</v>
      </c>
      <c r="CD220" s="2" t="s">
        <v>324</v>
      </c>
      <c r="CE220" s="2" t="s">
        <v>324</v>
      </c>
      <c r="CF220" s="2" t="s">
        <v>324</v>
      </c>
      <c r="CG220" s="2" t="s">
        <v>324</v>
      </c>
      <c r="CH220" s="2" t="s">
        <v>324</v>
      </c>
      <c r="CI220" s="2" t="s">
        <v>324</v>
      </c>
      <c r="CJ220" s="2" t="s">
        <v>324</v>
      </c>
      <c r="CK220" s="2" t="s">
        <v>324</v>
      </c>
      <c r="CL220" s="2" t="s">
        <v>324</v>
      </c>
      <c r="CM220" s="2" t="s">
        <v>324</v>
      </c>
      <c r="CN220" s="2" t="s">
        <v>324</v>
      </c>
      <c r="CO220" s="2" t="s">
        <v>324</v>
      </c>
      <c r="CP220" s="2" t="s">
        <v>324</v>
      </c>
      <c r="CQ220" s="2" t="s">
        <v>324</v>
      </c>
      <c r="CR220" s="2" t="s">
        <v>324</v>
      </c>
      <c r="CS220" s="2" t="s">
        <v>324</v>
      </c>
      <c r="CT220" s="2" t="s">
        <v>324</v>
      </c>
      <c r="CU220" s="2" t="s">
        <v>324</v>
      </c>
      <c r="CV220" s="2" t="s">
        <v>324</v>
      </c>
      <c r="CW220" s="2" t="s">
        <v>324</v>
      </c>
      <c r="CX220" s="2" t="s">
        <v>324</v>
      </c>
      <c r="CY220" s="2" t="s">
        <v>324</v>
      </c>
      <c r="CZ220" s="2" t="s">
        <v>324</v>
      </c>
      <c r="DA220" s="2" t="s">
        <v>324</v>
      </c>
      <c r="DB220" s="2" t="s">
        <v>324</v>
      </c>
      <c r="DC220" s="2" t="s">
        <v>324</v>
      </c>
      <c r="DD220" s="2" t="s">
        <v>324</v>
      </c>
      <c r="DE220" s="2" t="s">
        <v>324</v>
      </c>
      <c r="DF220" s="2" t="s">
        <v>324</v>
      </c>
      <c r="DG220" s="2" t="s">
        <v>324</v>
      </c>
      <c r="DH220" s="2" t="s">
        <v>324</v>
      </c>
      <c r="DI220" s="2" t="s">
        <v>324</v>
      </c>
      <c r="DJ220" s="2" t="s">
        <v>324</v>
      </c>
      <c r="DK220" s="2" t="s">
        <v>324</v>
      </c>
      <c r="DL220" s="2" t="s">
        <v>324</v>
      </c>
      <c r="DM220" s="2" t="s">
        <v>324</v>
      </c>
      <c r="DN220" s="2" t="s">
        <v>324</v>
      </c>
      <c r="DO220" s="2" t="s">
        <v>324</v>
      </c>
      <c r="DP220" s="2" t="s">
        <v>324</v>
      </c>
      <c r="DQ220" s="2" t="s">
        <v>324</v>
      </c>
      <c r="DR220" s="2" t="s">
        <v>324</v>
      </c>
      <c r="DS220" s="2" t="s">
        <v>324</v>
      </c>
      <c r="DT220" s="2" t="s">
        <v>324</v>
      </c>
      <c r="DU220" s="2" t="s">
        <v>324</v>
      </c>
      <c r="DV220" s="2" t="s">
        <v>324</v>
      </c>
      <c r="DW220" s="2" t="s">
        <v>324</v>
      </c>
      <c r="DX220" s="2" t="s">
        <v>324</v>
      </c>
      <c r="DY220" s="2" t="s">
        <v>324</v>
      </c>
      <c r="DZ220" s="2" t="s">
        <v>324</v>
      </c>
      <c r="EA220" s="2" t="s">
        <v>324</v>
      </c>
      <c r="EB220" s="2" t="s">
        <v>324</v>
      </c>
      <c r="EC220" s="2" t="s">
        <v>324</v>
      </c>
      <c r="ED220" s="2" t="s">
        <v>324</v>
      </c>
      <c r="EE220" s="2" t="s">
        <v>324</v>
      </c>
      <c r="EF220" s="2" t="s">
        <v>324</v>
      </c>
      <c r="EG220" s="2" t="s">
        <v>324</v>
      </c>
      <c r="EH220" s="2" t="s">
        <v>324</v>
      </c>
      <c r="EI220" s="2" t="s">
        <v>324</v>
      </c>
      <c r="EJ220" s="2" t="s">
        <v>324</v>
      </c>
      <c r="EK220" s="2" t="s">
        <v>324</v>
      </c>
      <c r="EL220" s="2" t="s">
        <v>324</v>
      </c>
      <c r="EM220" s="2" t="s">
        <v>324</v>
      </c>
      <c r="EN220" s="2" t="s">
        <v>324</v>
      </c>
      <c r="EO220" s="2" t="s">
        <v>324</v>
      </c>
      <c r="EP220" s="2" t="s">
        <v>324</v>
      </c>
      <c r="EQ220" s="2" t="s">
        <v>324</v>
      </c>
      <c r="ER220" s="2" t="s">
        <v>324</v>
      </c>
      <c r="ES220" s="2" t="s">
        <v>324</v>
      </c>
      <c r="ET220" s="2" t="s">
        <v>324</v>
      </c>
      <c r="EU220" s="2" t="s">
        <v>324</v>
      </c>
      <c r="EV220" s="2" t="s">
        <v>324</v>
      </c>
      <c r="EW220" s="2" t="s">
        <v>324</v>
      </c>
      <c r="EX220" s="2" t="s">
        <v>324</v>
      </c>
      <c r="EY220" s="2" t="s">
        <v>324</v>
      </c>
      <c r="EZ220" s="2" t="s">
        <v>324</v>
      </c>
      <c r="FA220" s="2" t="s">
        <v>324</v>
      </c>
      <c r="FB220" s="2" t="s">
        <v>324</v>
      </c>
      <c r="FC220" s="2" t="s">
        <v>324</v>
      </c>
      <c r="FD220" s="2" t="s">
        <v>324</v>
      </c>
      <c r="FE220" s="2" t="s">
        <v>324</v>
      </c>
      <c r="FF220" s="2" t="s">
        <v>324</v>
      </c>
      <c r="FG220" s="2" t="s">
        <v>324</v>
      </c>
      <c r="FH220" s="2" t="s">
        <v>324</v>
      </c>
      <c r="FI220" s="2" t="s">
        <v>324</v>
      </c>
      <c r="FJ220" s="2" t="s">
        <v>324</v>
      </c>
      <c r="FK220" s="2" t="s">
        <v>324</v>
      </c>
      <c r="FL220" s="2" t="s">
        <v>324</v>
      </c>
      <c r="FM220" s="2" t="s">
        <v>324</v>
      </c>
      <c r="FN220" s="2" t="s">
        <v>324</v>
      </c>
      <c r="FO220" s="2" t="s">
        <v>324</v>
      </c>
      <c r="FP220" s="2" t="s">
        <v>324</v>
      </c>
      <c r="FQ220" s="2" t="s">
        <v>324</v>
      </c>
    </row>
    <row r="221" spans="1:173">
      <c r="A221" s="335" t="s">
        <v>2782</v>
      </c>
      <c r="B221" s="2" t="s">
        <v>2782</v>
      </c>
      <c r="C221" s="2" t="s">
        <v>229</v>
      </c>
      <c r="D221" s="2" t="s">
        <v>865</v>
      </c>
      <c r="E221" s="2" t="s">
        <v>2784</v>
      </c>
      <c r="F221" s="2" t="s">
        <v>2940</v>
      </c>
      <c r="I221" s="435" t="s">
        <v>324</v>
      </c>
      <c r="J221" s="435" t="s">
        <v>324</v>
      </c>
      <c r="K221" s="435"/>
      <c r="L221" s="435"/>
      <c r="N221" s="422"/>
      <c r="O221" s="422"/>
      <c r="P221" s="346" t="s">
        <v>324</v>
      </c>
      <c r="Q221" s="346" t="s">
        <v>324</v>
      </c>
      <c r="R221" s="346" t="s">
        <v>324</v>
      </c>
      <c r="S221" s="346" t="s">
        <v>2783</v>
      </c>
      <c r="T221" s="346" t="s">
        <v>2941</v>
      </c>
      <c r="U221" s="346">
        <v>25</v>
      </c>
      <c r="V221" s="422" t="str" cm="1">
        <f t="array" ref="V221">IFERROR(INDEX('Offer Statistics'!$CH$2:$CH$350,MATCH(1,(B221='Offer Statistics'!$BS$2:$BS$350)*($B$11='Offer Statistics'!$BT$2:$BT$350),0)),"/")</f>
        <v>/</v>
      </c>
      <c r="W221" s="422" t="str" cm="1">
        <f t="array" ref="W221">IFERROR(INDEX('Offer Statistics'!$BU$2:$BU$350,MATCH(1,(B221='Offer Statistics'!$BS$2:$BS$350)*($B$11='Offer Statistics'!$BT$2:$BT$350),0)),"/")</f>
        <v>/</v>
      </c>
      <c r="X221" s="422" t="str" cm="1">
        <f t="array" ref="X221">IFERROR(INDEX('Offer Statistics'!$CC$2:$CC$350,MATCH(1,(B221='Offer Statistics'!$BS$2:$BS$350)*($B$11='Offer Statistics'!$BT$2:$BT$350),0)),"/")</f>
        <v>/</v>
      </c>
      <c r="Y221" s="422" t="str">
        <f t="shared" si="375"/>
        <v>新科目</v>
      </c>
      <c r="Z221" s="422" t="s">
        <v>1046</v>
      </c>
      <c r="AA221" s="422" t="str">
        <f>入學要求!AF230</f>
        <v>以下一科選修取得Lv.3︰M1/2、生物、化學、組合科學、物理</v>
      </c>
      <c r="AB221" s="422" t="str">
        <f>入學要求!AG230</f>
        <v>/</v>
      </c>
      <c r="AC221" s="426" t="s">
        <v>1397</v>
      </c>
      <c r="AD221" s="422"/>
      <c r="AE221" s="422"/>
      <c r="AF221" s="422"/>
      <c r="AG221" s="422"/>
      <c r="AH221" s="346" t="s">
        <v>1403</v>
      </c>
      <c r="AI221" s="346" t="s">
        <v>2438</v>
      </c>
      <c r="AJ221" s="346" t="s">
        <v>3103</v>
      </c>
      <c r="AK221" s="346" t="s">
        <v>324</v>
      </c>
      <c r="AL221" s="346" t="s">
        <v>324</v>
      </c>
      <c r="AM221" s="346" t="s">
        <v>324</v>
      </c>
      <c r="AN221" s="346" t="s">
        <v>324</v>
      </c>
      <c r="AO221" s="346" t="s">
        <v>324</v>
      </c>
      <c r="AP221" s="346" t="s">
        <v>324</v>
      </c>
      <c r="AQ221" s="435" t="s">
        <v>3095</v>
      </c>
      <c r="AR221" s="422" t="s">
        <v>3309</v>
      </c>
      <c r="AS221" s="422" t="s">
        <v>3310</v>
      </c>
      <c r="AT221" s="2" t="s">
        <v>324</v>
      </c>
      <c r="AU221" s="2" t="s">
        <v>324</v>
      </c>
      <c r="AV221" s="2" t="s">
        <v>713</v>
      </c>
      <c r="AZ221" s="2" t="s">
        <v>324</v>
      </c>
      <c r="BA221" s="2" t="s">
        <v>324</v>
      </c>
      <c r="BB221" s="2" t="s">
        <v>324</v>
      </c>
      <c r="BC221" s="2" t="s">
        <v>324</v>
      </c>
      <c r="BD221" s="2" t="s">
        <v>324</v>
      </c>
      <c r="BE221" s="2" t="s">
        <v>324</v>
      </c>
      <c r="BF221" s="2" t="s">
        <v>324</v>
      </c>
      <c r="BG221" s="2" t="s">
        <v>324</v>
      </c>
      <c r="BH221" s="2" t="s">
        <v>324</v>
      </c>
      <c r="BI221" s="2" t="s">
        <v>324</v>
      </c>
      <c r="BJ221" s="2" t="s">
        <v>324</v>
      </c>
      <c r="BK221" s="2" t="s">
        <v>324</v>
      </c>
      <c r="BL221" s="2" t="s">
        <v>324</v>
      </c>
      <c r="BM221" s="2" t="s">
        <v>324</v>
      </c>
      <c r="BN221" s="2" t="s">
        <v>324</v>
      </c>
      <c r="BO221" s="2" t="s">
        <v>324</v>
      </c>
      <c r="BP221" s="2" t="s">
        <v>324</v>
      </c>
      <c r="BQ221" s="2" t="s">
        <v>324</v>
      </c>
      <c r="BR221" s="2" t="s">
        <v>324</v>
      </c>
      <c r="BS221" s="2" t="s">
        <v>324</v>
      </c>
      <c r="BT221" s="2" t="s">
        <v>324</v>
      </c>
      <c r="BU221" s="2" t="s">
        <v>324</v>
      </c>
      <c r="BV221" s="2" t="s">
        <v>324</v>
      </c>
      <c r="BW221" s="2" t="s">
        <v>324</v>
      </c>
      <c r="BX221" s="2" t="s">
        <v>324</v>
      </c>
      <c r="BY221" s="2" t="s">
        <v>324</v>
      </c>
      <c r="BZ221" s="2" t="s">
        <v>324</v>
      </c>
      <c r="CA221" s="2" t="s">
        <v>324</v>
      </c>
      <c r="CB221" s="2" t="s">
        <v>324</v>
      </c>
      <c r="CC221" s="2" t="s">
        <v>324</v>
      </c>
      <c r="CD221" s="2" t="s">
        <v>324</v>
      </c>
      <c r="CE221" s="2" t="s">
        <v>324</v>
      </c>
      <c r="CF221" s="2" t="s">
        <v>324</v>
      </c>
      <c r="CG221" s="2" t="s">
        <v>324</v>
      </c>
      <c r="CH221" s="2" t="s">
        <v>324</v>
      </c>
      <c r="CI221" s="2" t="s">
        <v>324</v>
      </c>
      <c r="CJ221" s="2" t="s">
        <v>324</v>
      </c>
      <c r="CK221" s="2" t="s">
        <v>324</v>
      </c>
      <c r="CL221" s="2" t="s">
        <v>324</v>
      </c>
      <c r="CM221" s="2" t="s">
        <v>324</v>
      </c>
      <c r="CN221" s="2" t="s">
        <v>324</v>
      </c>
      <c r="CO221" s="2" t="s">
        <v>324</v>
      </c>
      <c r="CP221" s="2" t="s">
        <v>324</v>
      </c>
      <c r="CQ221" s="2" t="s">
        <v>324</v>
      </c>
      <c r="CR221" s="2" t="s">
        <v>324</v>
      </c>
      <c r="CS221" s="2" t="s">
        <v>324</v>
      </c>
      <c r="CT221" s="2" t="s">
        <v>324</v>
      </c>
      <c r="CU221" s="2" t="s">
        <v>324</v>
      </c>
      <c r="CV221" s="2" t="s">
        <v>324</v>
      </c>
      <c r="CW221" s="2" t="s">
        <v>324</v>
      </c>
      <c r="CX221" s="2" t="s">
        <v>324</v>
      </c>
      <c r="CY221" s="2" t="s">
        <v>324</v>
      </c>
      <c r="CZ221" s="2" t="s">
        <v>324</v>
      </c>
      <c r="DA221" s="2" t="s">
        <v>324</v>
      </c>
      <c r="DB221" s="2" t="s">
        <v>324</v>
      </c>
      <c r="DC221" s="2" t="s">
        <v>324</v>
      </c>
      <c r="DD221" s="2" t="s">
        <v>324</v>
      </c>
      <c r="DE221" s="2" t="s">
        <v>324</v>
      </c>
      <c r="DF221" s="2" t="s">
        <v>324</v>
      </c>
      <c r="DG221" s="2" t="s">
        <v>324</v>
      </c>
      <c r="DH221" s="2" t="s">
        <v>324</v>
      </c>
      <c r="DI221" s="2" t="s">
        <v>324</v>
      </c>
      <c r="DJ221" s="2" t="s">
        <v>324</v>
      </c>
      <c r="DK221" s="2" t="s">
        <v>324</v>
      </c>
      <c r="DL221" s="2" t="s">
        <v>324</v>
      </c>
      <c r="DM221" s="2" t="s">
        <v>324</v>
      </c>
      <c r="DN221" s="2" t="s">
        <v>324</v>
      </c>
      <c r="DO221" s="2" t="s">
        <v>324</v>
      </c>
      <c r="DP221" s="2" t="s">
        <v>324</v>
      </c>
      <c r="DQ221" s="2" t="s">
        <v>324</v>
      </c>
      <c r="DR221" s="2" t="s">
        <v>324</v>
      </c>
      <c r="DS221" s="2" t="s">
        <v>324</v>
      </c>
      <c r="DT221" s="2" t="s">
        <v>324</v>
      </c>
      <c r="DU221" s="2" t="s">
        <v>324</v>
      </c>
      <c r="DV221" s="2" t="s">
        <v>324</v>
      </c>
      <c r="DW221" s="2" t="s">
        <v>324</v>
      </c>
      <c r="DX221" s="2" t="s">
        <v>324</v>
      </c>
      <c r="DY221" s="2" t="s">
        <v>324</v>
      </c>
      <c r="DZ221" s="2" t="s">
        <v>324</v>
      </c>
      <c r="EA221" s="2" t="s">
        <v>324</v>
      </c>
      <c r="EB221" s="2" t="s">
        <v>324</v>
      </c>
      <c r="EC221" s="2" t="s">
        <v>324</v>
      </c>
      <c r="ED221" s="2" t="s">
        <v>324</v>
      </c>
      <c r="EE221" s="2" t="s">
        <v>324</v>
      </c>
      <c r="EF221" s="2" t="s">
        <v>324</v>
      </c>
      <c r="EG221" s="2" t="s">
        <v>324</v>
      </c>
      <c r="EH221" s="2" t="s">
        <v>324</v>
      </c>
      <c r="EI221" s="2" t="s">
        <v>324</v>
      </c>
      <c r="EJ221" s="2" t="s">
        <v>324</v>
      </c>
      <c r="EK221" s="2" t="s">
        <v>324</v>
      </c>
      <c r="EL221" s="2" t="s">
        <v>324</v>
      </c>
      <c r="EM221" s="2" t="s">
        <v>324</v>
      </c>
      <c r="EN221" s="2" t="s">
        <v>324</v>
      </c>
      <c r="EO221" s="2" t="s">
        <v>324</v>
      </c>
      <c r="EP221" s="2" t="s">
        <v>324</v>
      </c>
      <c r="EQ221" s="2" t="s">
        <v>324</v>
      </c>
      <c r="ER221" s="2" t="s">
        <v>324</v>
      </c>
      <c r="ES221" s="2" t="s">
        <v>324</v>
      </c>
      <c r="ET221" s="2" t="s">
        <v>324</v>
      </c>
      <c r="EU221" s="2" t="s">
        <v>324</v>
      </c>
      <c r="EV221" s="2" t="s">
        <v>324</v>
      </c>
      <c r="EW221" s="2" t="s">
        <v>324</v>
      </c>
      <c r="EX221" s="2" t="s">
        <v>324</v>
      </c>
      <c r="EY221" s="2" t="s">
        <v>324</v>
      </c>
      <c r="EZ221" s="2" t="s">
        <v>324</v>
      </c>
      <c r="FA221" s="2" t="s">
        <v>324</v>
      </c>
      <c r="FB221" s="2" t="s">
        <v>324</v>
      </c>
      <c r="FC221" s="2" t="s">
        <v>324</v>
      </c>
      <c r="FD221" s="2" t="s">
        <v>324</v>
      </c>
      <c r="FE221" s="2" t="s">
        <v>324</v>
      </c>
      <c r="FF221" s="2" t="s">
        <v>324</v>
      </c>
      <c r="FG221" s="2" t="s">
        <v>324</v>
      </c>
      <c r="FH221" s="2" t="s">
        <v>324</v>
      </c>
      <c r="FI221" s="2" t="s">
        <v>324</v>
      </c>
      <c r="FJ221" s="2" t="s">
        <v>324</v>
      </c>
      <c r="FK221" s="2" t="s">
        <v>324</v>
      </c>
      <c r="FL221" s="2" t="s">
        <v>324</v>
      </c>
      <c r="FM221" s="2" t="s">
        <v>324</v>
      </c>
      <c r="FN221" s="2" t="s">
        <v>324</v>
      </c>
      <c r="FO221" s="2" t="s">
        <v>324</v>
      </c>
      <c r="FP221" s="2" t="s">
        <v>324</v>
      </c>
      <c r="FQ221" s="2" t="s">
        <v>324</v>
      </c>
    </row>
    <row r="222" spans="1:173">
      <c r="A222" s="335" t="s">
        <v>463</v>
      </c>
      <c r="B222" s="2" t="s">
        <v>463</v>
      </c>
      <c r="C222" s="2" t="s">
        <v>229</v>
      </c>
      <c r="D222" s="2" t="s">
        <v>865</v>
      </c>
      <c r="E222" s="2" t="s">
        <v>1408</v>
      </c>
      <c r="F222" s="2" t="s">
        <v>1397</v>
      </c>
      <c r="G222" s="2" t="s">
        <v>324</v>
      </c>
      <c r="H222" s="2" t="s">
        <v>324</v>
      </c>
      <c r="I222" s="435">
        <v>37.380000000000003</v>
      </c>
      <c r="J222" s="435">
        <v>34</v>
      </c>
      <c r="K222" s="435"/>
      <c r="L222" s="435"/>
      <c r="N222" s="422"/>
      <c r="O222" s="422"/>
      <c r="P222" s="346" t="s">
        <v>3102</v>
      </c>
      <c r="Q222" s="346" t="s">
        <v>2437</v>
      </c>
      <c r="R222" s="346" t="s">
        <v>3103</v>
      </c>
      <c r="S222" s="346" t="s">
        <v>156</v>
      </c>
      <c r="T222" s="346" t="s">
        <v>2941</v>
      </c>
      <c r="U222" s="346">
        <v>40</v>
      </c>
      <c r="V222" s="422" cm="1">
        <f t="array" ref="V222">IFERROR(INDEX('Offer Statistics'!$CH$2:$CH$350,MATCH(1,(B222='Offer Statistics'!$BS$2:$BS$350)*($B$11='Offer Statistics'!$BT$2:$BT$350),0)),"/")</f>
        <v>36</v>
      </c>
      <c r="W222" s="422" cm="1">
        <f t="array" ref="W222">IFERROR(INDEX('Offer Statistics'!$BU$2:$BU$350,MATCH(1,(B222='Offer Statistics'!$BS$2:$BS$350)*($B$11='Offer Statistics'!$BT$2:$BT$350),0)),"/")</f>
        <v>145</v>
      </c>
      <c r="X222" s="422" cm="1">
        <f t="array" ref="X222">IFERROR(INDEX('Offer Statistics'!$CC$2:$CC$350,MATCH(1,(B222='Offer Statistics'!$BS$2:$BS$350)*($B$11='Offer Statistics'!$BT$2:$BT$350),0)),"/")</f>
        <v>36</v>
      </c>
      <c r="Y222" s="422">
        <f t="shared" si="375"/>
        <v>4.0277777777777777</v>
      </c>
      <c r="Z222" s="422" t="s">
        <v>1046</v>
      </c>
      <c r="AA222" s="422" t="str">
        <f>入學要求!AF231</f>
        <v>以下一科選修取得Lv.3︰M1/2、生物、化學、組合科學、物理</v>
      </c>
      <c r="AB222" s="422" t="str">
        <f>入學要求!AG231</f>
        <v>/</v>
      </c>
      <c r="AC222" s="426" t="s">
        <v>1397</v>
      </c>
      <c r="AD222" s="422"/>
      <c r="AE222" s="422"/>
      <c r="AF222" s="422"/>
      <c r="AG222" s="422"/>
      <c r="AH222" s="346" t="s">
        <v>1403</v>
      </c>
      <c r="AI222" s="346" t="s">
        <v>2437</v>
      </c>
      <c r="AJ222" s="346" t="s">
        <v>1404</v>
      </c>
      <c r="AK222" s="346" t="s">
        <v>1400</v>
      </c>
      <c r="AL222" s="346" t="s">
        <v>1409</v>
      </c>
      <c r="AM222" s="346" t="s">
        <v>324</v>
      </c>
      <c r="AN222" s="346" t="s">
        <v>324</v>
      </c>
      <c r="AO222" s="346" t="s">
        <v>324</v>
      </c>
      <c r="AP222" s="346" t="s">
        <v>324</v>
      </c>
      <c r="AQ222" s="435" t="s">
        <v>3095</v>
      </c>
      <c r="AR222" s="422" t="s">
        <v>3309</v>
      </c>
      <c r="AS222" s="422" t="s">
        <v>3310</v>
      </c>
      <c r="AT222" s="2" t="s">
        <v>716</v>
      </c>
      <c r="AV222" s="2" t="s">
        <v>713</v>
      </c>
      <c r="AZ222" s="2" t="s">
        <v>324</v>
      </c>
      <c r="BA222" s="2" t="s">
        <v>324</v>
      </c>
      <c r="BB222" s="2" t="s">
        <v>324</v>
      </c>
      <c r="BC222" s="2" t="s">
        <v>324</v>
      </c>
      <c r="BD222" s="2" t="s">
        <v>324</v>
      </c>
      <c r="BE222" s="2" t="s">
        <v>324</v>
      </c>
      <c r="BF222" s="2" t="s">
        <v>324</v>
      </c>
      <c r="BG222" s="2" t="s">
        <v>324</v>
      </c>
      <c r="BH222" s="2" t="s">
        <v>324</v>
      </c>
      <c r="BI222" s="2" t="s">
        <v>324</v>
      </c>
      <c r="BJ222" s="2" t="s">
        <v>324</v>
      </c>
      <c r="BK222" s="2" t="s">
        <v>324</v>
      </c>
      <c r="BL222" s="2" t="s">
        <v>324</v>
      </c>
      <c r="BM222" s="2" t="s">
        <v>324</v>
      </c>
      <c r="BN222" s="2" t="s">
        <v>324</v>
      </c>
      <c r="BO222" s="2" t="s">
        <v>324</v>
      </c>
      <c r="BP222" s="2" t="s">
        <v>324</v>
      </c>
      <c r="BQ222" s="2" t="s">
        <v>324</v>
      </c>
      <c r="BR222" s="2" t="s">
        <v>324</v>
      </c>
      <c r="BS222" s="2" t="s">
        <v>324</v>
      </c>
      <c r="BT222" s="2" t="s">
        <v>324</v>
      </c>
      <c r="BU222" s="2" t="s">
        <v>324</v>
      </c>
      <c r="BV222" s="2" t="s">
        <v>324</v>
      </c>
      <c r="BW222" s="2" t="s">
        <v>324</v>
      </c>
      <c r="BX222" s="2" t="s">
        <v>324</v>
      </c>
      <c r="BY222" s="2" t="s">
        <v>324</v>
      </c>
      <c r="BZ222" s="2" t="s">
        <v>324</v>
      </c>
      <c r="CA222" s="2" t="s">
        <v>324</v>
      </c>
      <c r="CB222" s="2" t="s">
        <v>324</v>
      </c>
      <c r="CC222" s="2" t="s">
        <v>324</v>
      </c>
      <c r="CD222" s="2" t="s">
        <v>324</v>
      </c>
      <c r="CE222" s="2" t="s">
        <v>324</v>
      </c>
      <c r="CF222" s="2" t="s">
        <v>324</v>
      </c>
      <c r="CG222" s="2" t="s">
        <v>324</v>
      </c>
      <c r="CH222" s="2" t="s">
        <v>324</v>
      </c>
      <c r="CI222" s="2" t="s">
        <v>324</v>
      </c>
      <c r="CJ222" s="2" t="s">
        <v>324</v>
      </c>
      <c r="CK222" s="2" t="s">
        <v>324</v>
      </c>
      <c r="CL222" s="2" t="s">
        <v>324</v>
      </c>
      <c r="CM222" s="2" t="s">
        <v>324</v>
      </c>
      <c r="CN222" s="2" t="s">
        <v>324</v>
      </c>
      <c r="CO222" s="2" t="s">
        <v>324</v>
      </c>
      <c r="CP222" s="2" t="s">
        <v>324</v>
      </c>
      <c r="CQ222" s="2" t="s">
        <v>324</v>
      </c>
      <c r="CR222" s="2" t="s">
        <v>324</v>
      </c>
      <c r="CS222" s="2" t="s">
        <v>324</v>
      </c>
      <c r="CT222" s="2" t="s">
        <v>324</v>
      </c>
      <c r="CU222" s="2" t="s">
        <v>324</v>
      </c>
      <c r="CV222" s="2" t="s">
        <v>324</v>
      </c>
      <c r="CW222" s="2" t="s">
        <v>324</v>
      </c>
      <c r="CX222" s="2" t="s">
        <v>324</v>
      </c>
      <c r="CY222" s="2" t="s">
        <v>324</v>
      </c>
      <c r="CZ222" s="2" t="s">
        <v>324</v>
      </c>
      <c r="DA222" s="2" t="s">
        <v>324</v>
      </c>
      <c r="DB222" s="2" t="s">
        <v>324</v>
      </c>
      <c r="DC222" s="2" t="s">
        <v>324</v>
      </c>
      <c r="DD222" s="2" t="s">
        <v>324</v>
      </c>
      <c r="DE222" s="2" t="s">
        <v>324</v>
      </c>
      <c r="DF222" s="2" t="s">
        <v>324</v>
      </c>
      <c r="DG222" s="2" t="s">
        <v>324</v>
      </c>
      <c r="DH222" s="2" t="s">
        <v>324</v>
      </c>
      <c r="DI222" s="2" t="s">
        <v>324</v>
      </c>
      <c r="DJ222" s="2" t="s">
        <v>324</v>
      </c>
      <c r="DK222" s="2" t="s">
        <v>324</v>
      </c>
      <c r="DL222" s="2" t="s">
        <v>324</v>
      </c>
      <c r="DM222" s="2" t="s">
        <v>324</v>
      </c>
      <c r="DN222" s="2" t="s">
        <v>324</v>
      </c>
      <c r="DO222" s="2" t="s">
        <v>324</v>
      </c>
      <c r="DP222" s="2" t="s">
        <v>324</v>
      </c>
      <c r="DQ222" s="2" t="s">
        <v>324</v>
      </c>
      <c r="DR222" s="2" t="s">
        <v>324</v>
      </c>
      <c r="DS222" s="2" t="s">
        <v>324</v>
      </c>
      <c r="DT222" s="2" t="s">
        <v>324</v>
      </c>
      <c r="DU222" s="2" t="s">
        <v>324</v>
      </c>
      <c r="DV222" s="2" t="s">
        <v>324</v>
      </c>
      <c r="DW222" s="2" t="s">
        <v>324</v>
      </c>
      <c r="DX222" s="2" t="s">
        <v>324</v>
      </c>
      <c r="DY222" s="2" t="s">
        <v>324</v>
      </c>
      <c r="DZ222" s="2" t="s">
        <v>324</v>
      </c>
      <c r="EA222" s="2" t="s">
        <v>324</v>
      </c>
      <c r="EB222" s="2" t="s">
        <v>324</v>
      </c>
      <c r="EC222" s="2" t="s">
        <v>324</v>
      </c>
      <c r="ED222" s="2" t="s">
        <v>324</v>
      </c>
      <c r="EE222" s="2" t="s">
        <v>324</v>
      </c>
      <c r="EF222" s="2" t="s">
        <v>324</v>
      </c>
      <c r="EG222" s="2" t="s">
        <v>324</v>
      </c>
      <c r="EH222" s="2" t="s">
        <v>324</v>
      </c>
      <c r="EI222" s="2" t="s">
        <v>324</v>
      </c>
      <c r="EJ222" s="2" t="s">
        <v>324</v>
      </c>
      <c r="EK222" s="2" t="s">
        <v>324</v>
      </c>
      <c r="EL222" s="2" t="s">
        <v>324</v>
      </c>
      <c r="EM222" s="2" t="s">
        <v>324</v>
      </c>
      <c r="EN222" s="2" t="s">
        <v>324</v>
      </c>
      <c r="EO222" s="2" t="s">
        <v>324</v>
      </c>
      <c r="EP222" s="2" t="s">
        <v>324</v>
      </c>
      <c r="EQ222" s="2" t="s">
        <v>324</v>
      </c>
      <c r="ER222" s="2" t="s">
        <v>324</v>
      </c>
      <c r="ES222" s="2" t="s">
        <v>324</v>
      </c>
      <c r="ET222" s="2" t="s">
        <v>324</v>
      </c>
      <c r="EU222" s="2" t="s">
        <v>324</v>
      </c>
      <c r="EV222" s="2" t="s">
        <v>324</v>
      </c>
      <c r="EW222" s="2" t="s">
        <v>324</v>
      </c>
      <c r="EX222" s="2" t="s">
        <v>324</v>
      </c>
      <c r="EY222" s="2" t="s">
        <v>324</v>
      </c>
      <c r="EZ222" s="2" t="s">
        <v>324</v>
      </c>
      <c r="FA222" s="2" t="s">
        <v>324</v>
      </c>
      <c r="FB222" s="2" t="s">
        <v>324</v>
      </c>
      <c r="FC222" s="2" t="s">
        <v>324</v>
      </c>
      <c r="FD222" s="2" t="s">
        <v>324</v>
      </c>
      <c r="FE222" s="2" t="s">
        <v>324</v>
      </c>
      <c r="FF222" s="2" t="s">
        <v>324</v>
      </c>
      <c r="FG222" s="2" t="s">
        <v>324</v>
      </c>
      <c r="FH222" s="2" t="s">
        <v>324</v>
      </c>
      <c r="FI222" s="2" t="s">
        <v>324</v>
      </c>
      <c r="FJ222" s="2" t="s">
        <v>324</v>
      </c>
      <c r="FK222" s="2" t="s">
        <v>324</v>
      </c>
      <c r="FL222" s="2" t="s">
        <v>324</v>
      </c>
      <c r="FM222" s="2" t="s">
        <v>324</v>
      </c>
      <c r="FN222" s="2" t="s">
        <v>324</v>
      </c>
      <c r="FO222" s="2" t="s">
        <v>324</v>
      </c>
      <c r="FP222" s="2" t="s">
        <v>324</v>
      </c>
      <c r="FQ222" s="2" t="s">
        <v>324</v>
      </c>
    </row>
    <row r="223" spans="1:173">
      <c r="A223" s="335" t="s">
        <v>2785</v>
      </c>
      <c r="B223" s="2" t="s">
        <v>2785</v>
      </c>
      <c r="C223" s="2" t="s">
        <v>229</v>
      </c>
      <c r="D223" s="2" t="s">
        <v>870</v>
      </c>
      <c r="E223" s="2" t="s">
        <v>2787</v>
      </c>
      <c r="F223" s="478" t="s">
        <v>1397</v>
      </c>
      <c r="G223" s="2" t="s">
        <v>324</v>
      </c>
      <c r="H223" s="2" t="s">
        <v>324</v>
      </c>
      <c r="I223" s="435">
        <v>48.45</v>
      </c>
      <c r="J223" s="435">
        <v>45.7</v>
      </c>
      <c r="K223" s="346"/>
      <c r="L223" s="346"/>
      <c r="M223" s="346"/>
      <c r="N223" s="346" t="s">
        <v>3124</v>
      </c>
      <c r="O223" s="346"/>
      <c r="P223" s="346" t="s">
        <v>2449</v>
      </c>
      <c r="Q223" s="346" t="s">
        <v>3104</v>
      </c>
      <c r="R223" s="346" t="s">
        <v>2450</v>
      </c>
      <c r="S223" s="346" t="s">
        <v>2786</v>
      </c>
      <c r="T223" s="346" t="s">
        <v>2941</v>
      </c>
      <c r="U223" s="346">
        <v>93</v>
      </c>
      <c r="V223" s="422" t="str" cm="1">
        <f t="array" ref="V223">IFERROR(INDEX('Offer Statistics'!$CH$2:$CH$350,MATCH(1,(B223='Offer Statistics'!$BS$2:$BS$350)*($B$11='Offer Statistics'!$BT$2:$BT$350),0)),"/")</f>
        <v>/</v>
      </c>
      <c r="W223" s="422" t="str" cm="1">
        <f t="array" ref="W223">IFERROR(INDEX('Offer Statistics'!$BU$2:$BU$350,MATCH(1,(B223='Offer Statistics'!$BS$2:$BS$350)*($B$11='Offer Statistics'!$BT$2:$BT$350),0)),"/")</f>
        <v>/</v>
      </c>
      <c r="X223" s="422" t="str" cm="1">
        <f t="array" ref="X223">IFERROR(INDEX('Offer Statistics'!$CC$2:$CC$350,MATCH(1,(B223='Offer Statistics'!$BS$2:$BS$350)*($B$11='Offer Statistics'!$BT$2:$BT$350),0)),"/")</f>
        <v>/</v>
      </c>
      <c r="Y223" s="422" t="str">
        <f t="shared" si="375"/>
        <v>新科目</v>
      </c>
      <c r="Z223" s="422" t="s">
        <v>1046</v>
      </c>
      <c r="AA223" s="422" t="str">
        <f>入學要求!AF232</f>
        <v>以下一科選修取得Lv.3︰生物、化學、組合科學、物理、ICT</v>
      </c>
      <c r="AB223" s="422" t="str">
        <f>入學要求!AG232</f>
        <v>/</v>
      </c>
      <c r="AC223" s="346" t="s">
        <v>1397</v>
      </c>
      <c r="AD223" s="422"/>
      <c r="AE223" s="422"/>
      <c r="AF223" s="422"/>
      <c r="AG223" s="422"/>
      <c r="AH223" s="346" t="s">
        <v>2449</v>
      </c>
      <c r="AI223" s="346" t="s">
        <v>3104</v>
      </c>
      <c r="AJ223" s="346" t="s">
        <v>2450</v>
      </c>
      <c r="AK223" s="346" t="s">
        <v>1400</v>
      </c>
      <c r="AL223" s="346" t="s">
        <v>2429</v>
      </c>
      <c r="AM223" s="346" t="s">
        <v>2430</v>
      </c>
      <c r="AN223" s="346" t="s">
        <v>324</v>
      </c>
      <c r="AO223" s="346" t="s">
        <v>324</v>
      </c>
      <c r="AP223" s="346" t="s">
        <v>324</v>
      </c>
      <c r="AQ223" s="435" t="s">
        <v>3096</v>
      </c>
      <c r="AR223" s="422" t="s">
        <v>3309</v>
      </c>
      <c r="AS223" s="422" t="s">
        <v>3310</v>
      </c>
      <c r="AT223" s="2" t="s">
        <v>716</v>
      </c>
      <c r="AU223" s="346" t="s">
        <v>3124</v>
      </c>
      <c r="AV223" s="2" t="s">
        <v>713</v>
      </c>
      <c r="AZ223" s="2" t="s">
        <v>324</v>
      </c>
      <c r="BA223" s="2" t="s">
        <v>324</v>
      </c>
      <c r="BB223" s="2" t="s">
        <v>324</v>
      </c>
      <c r="BC223" s="2" t="s">
        <v>324</v>
      </c>
      <c r="BD223" s="2" t="s">
        <v>324</v>
      </c>
      <c r="BE223" s="2" t="s">
        <v>324</v>
      </c>
      <c r="BF223" s="2" t="s">
        <v>324</v>
      </c>
      <c r="BG223" s="2" t="s">
        <v>324</v>
      </c>
      <c r="BH223" s="2" t="s">
        <v>324</v>
      </c>
      <c r="BI223" s="2" t="s">
        <v>324</v>
      </c>
      <c r="BJ223" s="2" t="s">
        <v>324</v>
      </c>
      <c r="BK223" s="2" t="s">
        <v>324</v>
      </c>
      <c r="BL223" s="2" t="s">
        <v>324</v>
      </c>
      <c r="BM223" s="2" t="s">
        <v>324</v>
      </c>
      <c r="BN223" s="2" t="s">
        <v>324</v>
      </c>
      <c r="BO223" s="2" t="s">
        <v>324</v>
      </c>
      <c r="BP223" s="2" t="s">
        <v>324</v>
      </c>
      <c r="BQ223" s="2" t="s">
        <v>324</v>
      </c>
      <c r="BR223" s="2" t="s">
        <v>324</v>
      </c>
      <c r="BS223" s="2" t="s">
        <v>324</v>
      </c>
      <c r="BT223" s="2" t="s">
        <v>324</v>
      </c>
      <c r="BU223" s="2" t="s">
        <v>324</v>
      </c>
      <c r="BV223" s="2" t="s">
        <v>324</v>
      </c>
      <c r="BW223" s="2" t="s">
        <v>324</v>
      </c>
      <c r="BX223" s="2" t="s">
        <v>324</v>
      </c>
      <c r="BY223" s="2" t="s">
        <v>324</v>
      </c>
      <c r="BZ223" s="2" t="s">
        <v>324</v>
      </c>
      <c r="CA223" s="2" t="s">
        <v>324</v>
      </c>
      <c r="CB223" s="2" t="s">
        <v>324</v>
      </c>
      <c r="CC223" s="2" t="s">
        <v>324</v>
      </c>
      <c r="CD223" s="2" t="s">
        <v>324</v>
      </c>
      <c r="CE223" s="2" t="s">
        <v>324</v>
      </c>
      <c r="CF223" s="2" t="s">
        <v>324</v>
      </c>
      <c r="CG223" s="2" t="s">
        <v>324</v>
      </c>
      <c r="CH223" s="2" t="s">
        <v>324</v>
      </c>
      <c r="CI223" s="2" t="s">
        <v>324</v>
      </c>
      <c r="CJ223" s="2" t="s">
        <v>324</v>
      </c>
      <c r="CK223" s="2" t="s">
        <v>324</v>
      </c>
      <c r="CL223" s="2" t="s">
        <v>324</v>
      </c>
      <c r="CM223" s="2" t="s">
        <v>324</v>
      </c>
      <c r="CN223" s="2" t="s">
        <v>324</v>
      </c>
      <c r="CO223" s="2" t="s">
        <v>324</v>
      </c>
      <c r="CP223" s="2" t="s">
        <v>324</v>
      </c>
      <c r="CQ223" s="2" t="s">
        <v>324</v>
      </c>
      <c r="CR223" s="2" t="s">
        <v>324</v>
      </c>
      <c r="CS223" s="2" t="s">
        <v>324</v>
      </c>
      <c r="CT223" s="2" t="s">
        <v>324</v>
      </c>
      <c r="CU223" s="2" t="s">
        <v>324</v>
      </c>
      <c r="CV223" s="2" t="s">
        <v>324</v>
      </c>
      <c r="CW223" s="2" t="s">
        <v>324</v>
      </c>
      <c r="CX223" s="2" t="s">
        <v>324</v>
      </c>
      <c r="CY223" s="2" t="s">
        <v>324</v>
      </c>
      <c r="CZ223" s="2" t="s">
        <v>324</v>
      </c>
      <c r="DA223" s="2" t="s">
        <v>324</v>
      </c>
      <c r="DB223" s="2" t="s">
        <v>324</v>
      </c>
      <c r="DC223" s="2" t="s">
        <v>324</v>
      </c>
      <c r="DD223" s="2" t="s">
        <v>324</v>
      </c>
      <c r="DE223" s="2" t="s">
        <v>324</v>
      </c>
      <c r="DF223" s="2" t="s">
        <v>324</v>
      </c>
      <c r="DG223" s="2" t="s">
        <v>324</v>
      </c>
      <c r="DH223" s="2" t="s">
        <v>324</v>
      </c>
      <c r="DI223" s="2" t="s">
        <v>324</v>
      </c>
      <c r="DJ223" s="2" t="s">
        <v>324</v>
      </c>
      <c r="DK223" s="2" t="s">
        <v>324</v>
      </c>
      <c r="DL223" s="2" t="s">
        <v>324</v>
      </c>
      <c r="DM223" s="2" t="s">
        <v>324</v>
      </c>
      <c r="DN223" s="2" t="s">
        <v>324</v>
      </c>
      <c r="DO223" s="2" t="s">
        <v>324</v>
      </c>
      <c r="DP223" s="2" t="s">
        <v>324</v>
      </c>
      <c r="DQ223" s="2" t="s">
        <v>324</v>
      </c>
      <c r="DR223" s="2" t="s">
        <v>324</v>
      </c>
      <c r="DS223" s="2" t="s">
        <v>324</v>
      </c>
      <c r="DT223" s="2" t="s">
        <v>324</v>
      </c>
      <c r="DU223" s="2" t="s">
        <v>324</v>
      </c>
      <c r="DV223" s="2" t="s">
        <v>324</v>
      </c>
      <c r="DW223" s="2" t="s">
        <v>324</v>
      </c>
      <c r="DX223" s="2" t="s">
        <v>324</v>
      </c>
      <c r="DY223" s="2" t="s">
        <v>324</v>
      </c>
      <c r="DZ223" s="2" t="s">
        <v>324</v>
      </c>
      <c r="EA223" s="2" t="s">
        <v>324</v>
      </c>
      <c r="EB223" s="2" t="s">
        <v>324</v>
      </c>
      <c r="EC223" s="2" t="s">
        <v>324</v>
      </c>
      <c r="ED223" s="2" t="s">
        <v>324</v>
      </c>
      <c r="EE223" s="2" t="s">
        <v>324</v>
      </c>
      <c r="EF223" s="2" t="s">
        <v>324</v>
      </c>
      <c r="EG223" s="2" t="s">
        <v>324</v>
      </c>
      <c r="EH223" s="2" t="s">
        <v>324</v>
      </c>
      <c r="EI223" s="2" t="s">
        <v>324</v>
      </c>
      <c r="EJ223" s="2" t="s">
        <v>324</v>
      </c>
      <c r="EK223" s="2" t="s">
        <v>324</v>
      </c>
      <c r="EL223" s="2" t="s">
        <v>324</v>
      </c>
      <c r="EM223" s="2" t="s">
        <v>324</v>
      </c>
      <c r="EN223" s="2" t="s">
        <v>324</v>
      </c>
      <c r="EO223" s="2" t="s">
        <v>324</v>
      </c>
      <c r="EP223" s="2" t="s">
        <v>324</v>
      </c>
      <c r="EQ223" s="2" t="s">
        <v>324</v>
      </c>
      <c r="ER223" s="2" t="s">
        <v>324</v>
      </c>
      <c r="ES223" s="2" t="s">
        <v>324</v>
      </c>
      <c r="ET223" s="2" t="s">
        <v>324</v>
      </c>
      <c r="EU223" s="2" t="s">
        <v>324</v>
      </c>
      <c r="EV223" s="2" t="s">
        <v>324</v>
      </c>
      <c r="EW223" s="2" t="s">
        <v>324</v>
      </c>
      <c r="EX223" s="2" t="s">
        <v>324</v>
      </c>
      <c r="EY223" s="2" t="s">
        <v>324</v>
      </c>
      <c r="EZ223" s="2" t="s">
        <v>324</v>
      </c>
      <c r="FA223" s="2" t="s">
        <v>324</v>
      </c>
      <c r="FB223" s="2" t="s">
        <v>324</v>
      </c>
      <c r="FC223" s="2" t="s">
        <v>324</v>
      </c>
      <c r="FD223" s="2" t="s">
        <v>324</v>
      </c>
      <c r="FE223" s="2" t="s">
        <v>324</v>
      </c>
      <c r="FF223" s="2" t="s">
        <v>324</v>
      </c>
      <c r="FG223" s="2" t="s">
        <v>324</v>
      </c>
      <c r="FH223" s="2" t="s">
        <v>324</v>
      </c>
      <c r="FI223" s="2" t="s">
        <v>324</v>
      </c>
      <c r="FJ223" s="2" t="s">
        <v>324</v>
      </c>
      <c r="FK223" s="2" t="s">
        <v>324</v>
      </c>
      <c r="FL223" s="2" t="s">
        <v>324</v>
      </c>
      <c r="FM223" s="2" t="s">
        <v>324</v>
      </c>
      <c r="FN223" s="2" t="s">
        <v>324</v>
      </c>
      <c r="FO223" s="2" t="s">
        <v>324</v>
      </c>
      <c r="FP223" s="2" t="s">
        <v>324</v>
      </c>
      <c r="FQ223" s="2" t="s">
        <v>324</v>
      </c>
    </row>
    <row r="224" spans="1:173">
      <c r="A224" s="335" t="s">
        <v>2788</v>
      </c>
      <c r="B224" s="2" t="s">
        <v>2788</v>
      </c>
      <c r="C224" s="2" t="s">
        <v>229</v>
      </c>
      <c r="D224" s="2" t="s">
        <v>870</v>
      </c>
      <c r="E224" s="2" t="s">
        <v>2790</v>
      </c>
      <c r="F224" s="478" t="s">
        <v>1397</v>
      </c>
      <c r="G224" s="2" t="s">
        <v>324</v>
      </c>
      <c r="H224" s="2" t="s">
        <v>324</v>
      </c>
      <c r="I224" s="435">
        <v>39.78</v>
      </c>
      <c r="J224" s="435">
        <v>38.21</v>
      </c>
      <c r="K224" s="346"/>
      <c r="L224" s="346"/>
      <c r="M224" s="346"/>
      <c r="N224" s="346" t="s">
        <v>3125</v>
      </c>
      <c r="O224" s="346"/>
      <c r="P224" s="346" t="s">
        <v>2449</v>
      </c>
      <c r="Q224" s="346" t="s">
        <v>3104</v>
      </c>
      <c r="R224" s="346" t="s">
        <v>2450</v>
      </c>
      <c r="S224" s="346" t="s">
        <v>2789</v>
      </c>
      <c r="T224" s="346" t="s">
        <v>2941</v>
      </c>
      <c r="U224" s="346">
        <v>47</v>
      </c>
      <c r="V224" s="422" t="str" cm="1">
        <f t="array" ref="V224">IFERROR(INDEX('Offer Statistics'!$CH$2:$CH$350,MATCH(1,(B224='Offer Statistics'!$BS$2:$BS$350)*($B$11='Offer Statistics'!$BT$2:$BT$350),0)),"/")</f>
        <v>/</v>
      </c>
      <c r="W224" s="422" t="str" cm="1">
        <f t="array" ref="W224">IFERROR(INDEX('Offer Statistics'!$BU$2:$BU$350,MATCH(1,(B224='Offer Statistics'!$BS$2:$BS$350)*($B$11='Offer Statistics'!$BT$2:$BT$350),0)),"/")</f>
        <v>/</v>
      </c>
      <c r="X224" s="422" t="str" cm="1">
        <f t="array" ref="X224">IFERROR(INDEX('Offer Statistics'!$CC$2:$CC$350,MATCH(1,(B224='Offer Statistics'!$BS$2:$BS$350)*($B$11='Offer Statistics'!$BT$2:$BT$350),0)),"/")</f>
        <v>/</v>
      </c>
      <c r="Y224" s="422" t="str">
        <f t="shared" si="375"/>
        <v>新科目</v>
      </c>
      <c r="Z224" s="422" t="s">
        <v>1046</v>
      </c>
      <c r="AA224" s="422" t="str">
        <f>入學要求!AF233</f>
        <v>以下一科選修取得Lv.3︰生物、化學、組合科學、物理、ICT</v>
      </c>
      <c r="AB224" s="422" t="str">
        <f>入學要求!AG233</f>
        <v>/</v>
      </c>
      <c r="AC224" s="346" t="s">
        <v>1397</v>
      </c>
      <c r="AD224" s="422"/>
      <c r="AE224" s="422"/>
      <c r="AF224" s="422"/>
      <c r="AG224" s="422"/>
      <c r="AH224" s="346" t="s">
        <v>2449</v>
      </c>
      <c r="AI224" s="346" t="s">
        <v>3104</v>
      </c>
      <c r="AJ224" s="346" t="s">
        <v>2450</v>
      </c>
      <c r="AK224" s="346" t="s">
        <v>1400</v>
      </c>
      <c r="AL224" s="346" t="s">
        <v>1416</v>
      </c>
      <c r="AM224" s="346" t="s">
        <v>1410</v>
      </c>
      <c r="AN224" s="346" t="s">
        <v>324</v>
      </c>
      <c r="AO224" s="346" t="s">
        <v>324</v>
      </c>
      <c r="AP224" s="346" t="s">
        <v>324</v>
      </c>
      <c r="AQ224" s="435" t="s">
        <v>3096</v>
      </c>
      <c r="AR224" s="422" t="s">
        <v>3309</v>
      </c>
      <c r="AS224" s="422" t="s">
        <v>3310</v>
      </c>
      <c r="AT224" s="2" t="s">
        <v>716</v>
      </c>
      <c r="AU224" s="346" t="s">
        <v>3125</v>
      </c>
      <c r="AV224" s="2" t="s">
        <v>713</v>
      </c>
      <c r="AZ224" s="2" t="s">
        <v>324</v>
      </c>
      <c r="BA224" s="2" t="s">
        <v>324</v>
      </c>
      <c r="BB224" s="2" t="s">
        <v>324</v>
      </c>
      <c r="BC224" s="2" t="s">
        <v>324</v>
      </c>
      <c r="BD224" s="2" t="s">
        <v>324</v>
      </c>
      <c r="BE224" s="2" t="s">
        <v>324</v>
      </c>
      <c r="BF224" s="2" t="s">
        <v>324</v>
      </c>
      <c r="BG224" s="2" t="s">
        <v>324</v>
      </c>
      <c r="BH224" s="2" t="s">
        <v>324</v>
      </c>
      <c r="BI224" s="2" t="s">
        <v>324</v>
      </c>
      <c r="BJ224" s="2" t="s">
        <v>324</v>
      </c>
      <c r="BK224" s="2" t="s">
        <v>324</v>
      </c>
      <c r="BL224" s="2" t="s">
        <v>324</v>
      </c>
      <c r="BM224" s="2" t="s">
        <v>324</v>
      </c>
      <c r="BN224" s="2" t="s">
        <v>324</v>
      </c>
      <c r="BO224" s="2" t="s">
        <v>324</v>
      </c>
      <c r="BP224" s="2" t="s">
        <v>324</v>
      </c>
      <c r="BQ224" s="2" t="s">
        <v>324</v>
      </c>
      <c r="BR224" s="2" t="s">
        <v>324</v>
      </c>
      <c r="BS224" s="2" t="s">
        <v>324</v>
      </c>
      <c r="BT224" s="2" t="s">
        <v>324</v>
      </c>
      <c r="BU224" s="2" t="s">
        <v>324</v>
      </c>
      <c r="BV224" s="2" t="s">
        <v>324</v>
      </c>
      <c r="BW224" s="2" t="s">
        <v>324</v>
      </c>
      <c r="BX224" s="2" t="s">
        <v>324</v>
      </c>
      <c r="BY224" s="2" t="s">
        <v>324</v>
      </c>
      <c r="BZ224" s="2" t="s">
        <v>324</v>
      </c>
      <c r="CA224" s="2" t="s">
        <v>324</v>
      </c>
      <c r="CB224" s="2" t="s">
        <v>324</v>
      </c>
      <c r="CC224" s="2" t="s">
        <v>324</v>
      </c>
      <c r="CD224" s="2" t="s">
        <v>324</v>
      </c>
      <c r="CE224" s="2" t="s">
        <v>324</v>
      </c>
      <c r="CF224" s="2" t="s">
        <v>324</v>
      </c>
      <c r="CG224" s="2" t="s">
        <v>324</v>
      </c>
      <c r="CH224" s="2" t="s">
        <v>324</v>
      </c>
      <c r="CI224" s="2" t="s">
        <v>324</v>
      </c>
      <c r="CJ224" s="2" t="s">
        <v>324</v>
      </c>
      <c r="CK224" s="2" t="s">
        <v>324</v>
      </c>
      <c r="CL224" s="2" t="s">
        <v>324</v>
      </c>
      <c r="CM224" s="2" t="s">
        <v>324</v>
      </c>
      <c r="CN224" s="2" t="s">
        <v>324</v>
      </c>
      <c r="CO224" s="2" t="s">
        <v>324</v>
      </c>
      <c r="CP224" s="2" t="s">
        <v>324</v>
      </c>
      <c r="CQ224" s="2" t="s">
        <v>324</v>
      </c>
      <c r="CR224" s="2" t="s">
        <v>324</v>
      </c>
      <c r="CS224" s="2" t="s">
        <v>324</v>
      </c>
      <c r="CT224" s="2" t="s">
        <v>324</v>
      </c>
      <c r="CU224" s="2" t="s">
        <v>324</v>
      </c>
      <c r="CV224" s="2" t="s">
        <v>324</v>
      </c>
      <c r="CW224" s="2" t="s">
        <v>324</v>
      </c>
      <c r="CX224" s="2" t="s">
        <v>324</v>
      </c>
      <c r="CY224" s="2" t="s">
        <v>324</v>
      </c>
      <c r="CZ224" s="2" t="s">
        <v>324</v>
      </c>
      <c r="DA224" s="2" t="s">
        <v>324</v>
      </c>
      <c r="DB224" s="2" t="s">
        <v>324</v>
      </c>
      <c r="DC224" s="2" t="s">
        <v>324</v>
      </c>
      <c r="DD224" s="2" t="s">
        <v>324</v>
      </c>
      <c r="DE224" s="2" t="s">
        <v>324</v>
      </c>
      <c r="DF224" s="2" t="s">
        <v>324</v>
      </c>
      <c r="DG224" s="2" t="s">
        <v>324</v>
      </c>
      <c r="DH224" s="2" t="s">
        <v>324</v>
      </c>
      <c r="DI224" s="2" t="s">
        <v>324</v>
      </c>
      <c r="DJ224" s="2" t="s">
        <v>324</v>
      </c>
      <c r="DK224" s="2" t="s">
        <v>324</v>
      </c>
      <c r="DL224" s="2" t="s">
        <v>324</v>
      </c>
      <c r="DM224" s="2" t="s">
        <v>324</v>
      </c>
      <c r="DN224" s="2" t="s">
        <v>324</v>
      </c>
      <c r="DO224" s="2" t="s">
        <v>324</v>
      </c>
      <c r="DP224" s="2" t="s">
        <v>324</v>
      </c>
      <c r="DQ224" s="2" t="s">
        <v>324</v>
      </c>
      <c r="DR224" s="2" t="s">
        <v>324</v>
      </c>
      <c r="DS224" s="2" t="s">
        <v>324</v>
      </c>
      <c r="DT224" s="2" t="s">
        <v>324</v>
      </c>
      <c r="DU224" s="2" t="s">
        <v>324</v>
      </c>
      <c r="DV224" s="2" t="s">
        <v>324</v>
      </c>
      <c r="DW224" s="2" t="s">
        <v>324</v>
      </c>
      <c r="DX224" s="2" t="s">
        <v>324</v>
      </c>
      <c r="DY224" s="2" t="s">
        <v>324</v>
      </c>
      <c r="DZ224" s="2" t="s">
        <v>324</v>
      </c>
      <c r="EA224" s="2" t="s">
        <v>324</v>
      </c>
      <c r="EB224" s="2" t="s">
        <v>324</v>
      </c>
      <c r="EC224" s="2" t="s">
        <v>324</v>
      </c>
      <c r="ED224" s="2" t="s">
        <v>324</v>
      </c>
      <c r="EE224" s="2" t="s">
        <v>324</v>
      </c>
      <c r="EF224" s="2" t="s">
        <v>324</v>
      </c>
      <c r="EG224" s="2" t="s">
        <v>324</v>
      </c>
      <c r="EH224" s="2" t="s">
        <v>324</v>
      </c>
      <c r="EI224" s="2" t="s">
        <v>324</v>
      </c>
      <c r="EJ224" s="2" t="s">
        <v>324</v>
      </c>
      <c r="EK224" s="2" t="s">
        <v>324</v>
      </c>
      <c r="EL224" s="2" t="s">
        <v>324</v>
      </c>
      <c r="EM224" s="2" t="s">
        <v>324</v>
      </c>
      <c r="EN224" s="2" t="s">
        <v>324</v>
      </c>
      <c r="EO224" s="2" t="s">
        <v>324</v>
      </c>
      <c r="EP224" s="2" t="s">
        <v>324</v>
      </c>
      <c r="EQ224" s="2" t="s">
        <v>324</v>
      </c>
      <c r="ER224" s="2" t="s">
        <v>324</v>
      </c>
      <c r="ES224" s="2" t="s">
        <v>324</v>
      </c>
      <c r="ET224" s="2" t="s">
        <v>324</v>
      </c>
      <c r="EU224" s="2" t="s">
        <v>324</v>
      </c>
      <c r="EV224" s="2" t="s">
        <v>324</v>
      </c>
      <c r="EW224" s="2" t="s">
        <v>324</v>
      </c>
      <c r="EX224" s="2" t="s">
        <v>324</v>
      </c>
      <c r="EY224" s="2" t="s">
        <v>324</v>
      </c>
      <c r="EZ224" s="2" t="s">
        <v>324</v>
      </c>
      <c r="FA224" s="2" t="s">
        <v>324</v>
      </c>
      <c r="FB224" s="2" t="s">
        <v>324</v>
      </c>
      <c r="FC224" s="2" t="s">
        <v>324</v>
      </c>
      <c r="FD224" s="2" t="s">
        <v>324</v>
      </c>
      <c r="FE224" s="2" t="s">
        <v>324</v>
      </c>
      <c r="FF224" s="2" t="s">
        <v>324</v>
      </c>
      <c r="FG224" s="2" t="s">
        <v>324</v>
      </c>
      <c r="FH224" s="2" t="s">
        <v>324</v>
      </c>
      <c r="FI224" s="2" t="s">
        <v>324</v>
      </c>
      <c r="FJ224" s="2" t="s">
        <v>324</v>
      </c>
      <c r="FK224" s="2" t="s">
        <v>324</v>
      </c>
      <c r="FL224" s="2" t="s">
        <v>324</v>
      </c>
      <c r="FM224" s="2" t="s">
        <v>324</v>
      </c>
      <c r="FN224" s="2" t="s">
        <v>324</v>
      </c>
      <c r="FO224" s="2" t="s">
        <v>324</v>
      </c>
      <c r="FP224" s="2" t="s">
        <v>324</v>
      </c>
      <c r="FQ224" s="2" t="s">
        <v>324</v>
      </c>
    </row>
    <row r="225" spans="1:173">
      <c r="A225" s="335" t="s">
        <v>2791</v>
      </c>
      <c r="B225" s="2" t="s">
        <v>2791</v>
      </c>
      <c r="C225" s="2" t="s">
        <v>229</v>
      </c>
      <c r="D225" s="2" t="s">
        <v>870</v>
      </c>
      <c r="E225" s="2" t="s">
        <v>2793</v>
      </c>
      <c r="F225" s="478" t="s">
        <v>1397</v>
      </c>
      <c r="G225" s="2" t="s">
        <v>324</v>
      </c>
      <c r="H225" s="2" t="s">
        <v>324</v>
      </c>
      <c r="I225" s="435">
        <v>39.78</v>
      </c>
      <c r="J225" s="435">
        <v>38.21</v>
      </c>
      <c r="K225" s="346"/>
      <c r="L225" s="346"/>
      <c r="M225" s="346"/>
      <c r="N225" s="346" t="s">
        <v>3125</v>
      </c>
      <c r="O225" s="346"/>
      <c r="P225" s="346" t="s">
        <v>2449</v>
      </c>
      <c r="Q225" s="346" t="s">
        <v>3104</v>
      </c>
      <c r="R225" s="346" t="s">
        <v>2450</v>
      </c>
      <c r="S225" s="346" t="s">
        <v>2792</v>
      </c>
      <c r="T225" s="346" t="s">
        <v>2941</v>
      </c>
      <c r="U225" s="346">
        <v>121</v>
      </c>
      <c r="V225" s="422" t="str" cm="1">
        <f t="array" ref="V225">IFERROR(INDEX('Offer Statistics'!$CH$2:$CH$350,MATCH(1,(B225='Offer Statistics'!$BS$2:$BS$350)*($B$11='Offer Statistics'!$BT$2:$BT$350),0)),"/")</f>
        <v>/</v>
      </c>
      <c r="W225" s="422" t="str" cm="1">
        <f t="array" ref="W225">IFERROR(INDEX('Offer Statistics'!$BU$2:$BU$350,MATCH(1,(B225='Offer Statistics'!$BS$2:$BS$350)*($B$11='Offer Statistics'!$BT$2:$BT$350),0)),"/")</f>
        <v>/</v>
      </c>
      <c r="X225" s="422" t="str" cm="1">
        <f t="array" ref="X225">IFERROR(INDEX('Offer Statistics'!$CC$2:$CC$350,MATCH(1,(B225='Offer Statistics'!$BS$2:$BS$350)*($B$11='Offer Statistics'!$BT$2:$BT$350),0)),"/")</f>
        <v>/</v>
      </c>
      <c r="Y225" s="422" t="str">
        <f t="shared" si="375"/>
        <v>新科目</v>
      </c>
      <c r="Z225" s="422" t="s">
        <v>1046</v>
      </c>
      <c r="AA225" s="422" t="str">
        <f>入學要求!AF234</f>
        <v>以下一科選修取得Lv.3︰生物、化學、組合科學、物理、ICT</v>
      </c>
      <c r="AB225" s="422" t="str">
        <f>入學要求!AG234</f>
        <v>/</v>
      </c>
      <c r="AC225" s="346" t="s">
        <v>1397</v>
      </c>
      <c r="AD225" s="422"/>
      <c r="AE225" s="422"/>
      <c r="AF225" s="422"/>
      <c r="AG225" s="422"/>
      <c r="AH225" s="346" t="s">
        <v>2449</v>
      </c>
      <c r="AI225" s="346" t="s">
        <v>3104</v>
      </c>
      <c r="AJ225" s="346" t="s">
        <v>2450</v>
      </c>
      <c r="AK225" s="346" t="s">
        <v>1400</v>
      </c>
      <c r="AL225" s="346" t="s">
        <v>1416</v>
      </c>
      <c r="AM225" s="346" t="s">
        <v>1410</v>
      </c>
      <c r="AN225" s="346" t="s">
        <v>324</v>
      </c>
      <c r="AO225" s="346" t="s">
        <v>324</v>
      </c>
      <c r="AP225" s="346" t="s">
        <v>324</v>
      </c>
      <c r="AQ225" s="435" t="s">
        <v>3096</v>
      </c>
      <c r="AR225" s="422" t="s">
        <v>3309</v>
      </c>
      <c r="AS225" s="422" t="s">
        <v>3310</v>
      </c>
      <c r="AT225" s="2" t="s">
        <v>716</v>
      </c>
      <c r="AU225" s="346" t="s">
        <v>3125</v>
      </c>
      <c r="AV225" s="2" t="s">
        <v>713</v>
      </c>
      <c r="AZ225" s="2" t="s">
        <v>324</v>
      </c>
      <c r="BA225" s="2" t="s">
        <v>324</v>
      </c>
      <c r="BB225" s="2" t="s">
        <v>324</v>
      </c>
      <c r="BC225" s="2" t="s">
        <v>324</v>
      </c>
      <c r="BD225" s="2" t="s">
        <v>324</v>
      </c>
      <c r="BE225" s="2" t="s">
        <v>324</v>
      </c>
      <c r="BF225" s="2" t="s">
        <v>324</v>
      </c>
      <c r="BG225" s="2" t="s">
        <v>324</v>
      </c>
      <c r="BH225" s="2" t="s">
        <v>324</v>
      </c>
      <c r="BI225" s="2" t="s">
        <v>324</v>
      </c>
      <c r="BJ225" s="2" t="s">
        <v>324</v>
      </c>
      <c r="BK225" s="2" t="s">
        <v>324</v>
      </c>
      <c r="BL225" s="2" t="s">
        <v>324</v>
      </c>
      <c r="BM225" s="2" t="s">
        <v>324</v>
      </c>
      <c r="BN225" s="2" t="s">
        <v>324</v>
      </c>
      <c r="BO225" s="2" t="s">
        <v>324</v>
      </c>
      <c r="BP225" s="2" t="s">
        <v>324</v>
      </c>
      <c r="BQ225" s="2" t="s">
        <v>324</v>
      </c>
      <c r="BR225" s="2" t="s">
        <v>324</v>
      </c>
      <c r="BS225" s="2" t="s">
        <v>324</v>
      </c>
      <c r="BT225" s="2" t="s">
        <v>324</v>
      </c>
      <c r="BU225" s="2" t="s">
        <v>324</v>
      </c>
      <c r="BV225" s="2" t="s">
        <v>324</v>
      </c>
      <c r="BW225" s="2" t="s">
        <v>324</v>
      </c>
      <c r="BX225" s="2" t="s">
        <v>324</v>
      </c>
      <c r="BY225" s="2" t="s">
        <v>324</v>
      </c>
      <c r="BZ225" s="2" t="s">
        <v>324</v>
      </c>
      <c r="CA225" s="2" t="s">
        <v>324</v>
      </c>
      <c r="CB225" s="2" t="s">
        <v>324</v>
      </c>
      <c r="CC225" s="2" t="s">
        <v>324</v>
      </c>
      <c r="CD225" s="2" t="s">
        <v>324</v>
      </c>
      <c r="CE225" s="2" t="s">
        <v>324</v>
      </c>
      <c r="CF225" s="2" t="s">
        <v>324</v>
      </c>
      <c r="CG225" s="2" t="s">
        <v>324</v>
      </c>
      <c r="CH225" s="2" t="s">
        <v>324</v>
      </c>
      <c r="CI225" s="2" t="s">
        <v>324</v>
      </c>
      <c r="CJ225" s="2" t="s">
        <v>324</v>
      </c>
      <c r="CK225" s="2" t="s">
        <v>324</v>
      </c>
      <c r="CL225" s="2" t="s">
        <v>324</v>
      </c>
      <c r="CM225" s="2" t="s">
        <v>324</v>
      </c>
      <c r="CN225" s="2" t="s">
        <v>324</v>
      </c>
      <c r="CO225" s="2" t="s">
        <v>324</v>
      </c>
      <c r="CP225" s="2" t="s">
        <v>324</v>
      </c>
      <c r="CQ225" s="2" t="s">
        <v>324</v>
      </c>
      <c r="CR225" s="2" t="s">
        <v>324</v>
      </c>
      <c r="CS225" s="2" t="s">
        <v>324</v>
      </c>
      <c r="CT225" s="2" t="s">
        <v>324</v>
      </c>
      <c r="CU225" s="2" t="s">
        <v>324</v>
      </c>
      <c r="CV225" s="2" t="s">
        <v>324</v>
      </c>
      <c r="CW225" s="2" t="s">
        <v>324</v>
      </c>
      <c r="CX225" s="2" t="s">
        <v>324</v>
      </c>
      <c r="CY225" s="2" t="s">
        <v>324</v>
      </c>
      <c r="CZ225" s="2" t="s">
        <v>324</v>
      </c>
      <c r="DA225" s="2" t="s">
        <v>324</v>
      </c>
      <c r="DB225" s="2" t="s">
        <v>324</v>
      </c>
      <c r="DC225" s="2" t="s">
        <v>324</v>
      </c>
      <c r="DD225" s="2" t="s">
        <v>324</v>
      </c>
      <c r="DE225" s="2" t="s">
        <v>324</v>
      </c>
      <c r="DF225" s="2" t="s">
        <v>324</v>
      </c>
      <c r="DG225" s="2" t="s">
        <v>324</v>
      </c>
      <c r="DH225" s="2" t="s">
        <v>324</v>
      </c>
      <c r="DI225" s="2" t="s">
        <v>324</v>
      </c>
      <c r="DJ225" s="2" t="s">
        <v>324</v>
      </c>
      <c r="DK225" s="2" t="s">
        <v>324</v>
      </c>
      <c r="DL225" s="2" t="s">
        <v>324</v>
      </c>
      <c r="DM225" s="2" t="s">
        <v>324</v>
      </c>
      <c r="DN225" s="2" t="s">
        <v>324</v>
      </c>
      <c r="DO225" s="2" t="s">
        <v>324</v>
      </c>
      <c r="DP225" s="2" t="s">
        <v>324</v>
      </c>
      <c r="DQ225" s="2" t="s">
        <v>324</v>
      </c>
      <c r="DR225" s="2" t="s">
        <v>324</v>
      </c>
      <c r="DS225" s="2" t="s">
        <v>324</v>
      </c>
      <c r="DT225" s="2" t="s">
        <v>324</v>
      </c>
      <c r="DU225" s="2" t="s">
        <v>324</v>
      </c>
      <c r="DV225" s="2" t="s">
        <v>324</v>
      </c>
      <c r="DW225" s="2" t="s">
        <v>324</v>
      </c>
      <c r="DX225" s="2" t="s">
        <v>324</v>
      </c>
      <c r="DY225" s="2" t="s">
        <v>324</v>
      </c>
      <c r="DZ225" s="2" t="s">
        <v>324</v>
      </c>
      <c r="EA225" s="2" t="s">
        <v>324</v>
      </c>
      <c r="EB225" s="2" t="s">
        <v>324</v>
      </c>
      <c r="EC225" s="2" t="s">
        <v>324</v>
      </c>
      <c r="ED225" s="2" t="s">
        <v>324</v>
      </c>
      <c r="EE225" s="2" t="s">
        <v>324</v>
      </c>
      <c r="EF225" s="2" t="s">
        <v>324</v>
      </c>
      <c r="EG225" s="2" t="s">
        <v>324</v>
      </c>
      <c r="EH225" s="2" t="s">
        <v>324</v>
      </c>
      <c r="EI225" s="2" t="s">
        <v>324</v>
      </c>
      <c r="EJ225" s="2" t="s">
        <v>324</v>
      </c>
      <c r="EK225" s="2" t="s">
        <v>324</v>
      </c>
      <c r="EL225" s="2" t="s">
        <v>324</v>
      </c>
      <c r="EM225" s="2" t="s">
        <v>324</v>
      </c>
      <c r="EN225" s="2" t="s">
        <v>324</v>
      </c>
      <c r="EO225" s="2" t="s">
        <v>324</v>
      </c>
      <c r="EP225" s="2" t="s">
        <v>324</v>
      </c>
      <c r="EQ225" s="2" t="s">
        <v>324</v>
      </c>
      <c r="ER225" s="2" t="s">
        <v>324</v>
      </c>
      <c r="ES225" s="2" t="s">
        <v>324</v>
      </c>
      <c r="ET225" s="2" t="s">
        <v>324</v>
      </c>
      <c r="EU225" s="2" t="s">
        <v>324</v>
      </c>
      <c r="EV225" s="2" t="s">
        <v>324</v>
      </c>
      <c r="EW225" s="2" t="s">
        <v>324</v>
      </c>
      <c r="EX225" s="2" t="s">
        <v>324</v>
      </c>
      <c r="EY225" s="2" t="s">
        <v>324</v>
      </c>
      <c r="EZ225" s="2" t="s">
        <v>324</v>
      </c>
      <c r="FA225" s="2" t="s">
        <v>324</v>
      </c>
      <c r="FB225" s="2" t="s">
        <v>324</v>
      </c>
      <c r="FC225" s="2" t="s">
        <v>324</v>
      </c>
      <c r="FD225" s="2" t="s">
        <v>324</v>
      </c>
      <c r="FE225" s="2" t="s">
        <v>324</v>
      </c>
      <c r="FF225" s="2" t="s">
        <v>324</v>
      </c>
      <c r="FG225" s="2" t="s">
        <v>324</v>
      </c>
      <c r="FH225" s="2" t="s">
        <v>324</v>
      </c>
      <c r="FI225" s="2" t="s">
        <v>324</v>
      </c>
      <c r="FJ225" s="2" t="s">
        <v>324</v>
      </c>
      <c r="FK225" s="2" t="s">
        <v>324</v>
      </c>
      <c r="FL225" s="2" t="s">
        <v>324</v>
      </c>
      <c r="FM225" s="2" t="s">
        <v>324</v>
      </c>
      <c r="FN225" s="2" t="s">
        <v>324</v>
      </c>
      <c r="FO225" s="2" t="s">
        <v>324</v>
      </c>
      <c r="FP225" s="2" t="s">
        <v>324</v>
      </c>
      <c r="FQ225" s="2" t="s">
        <v>324</v>
      </c>
    </row>
    <row r="226" spans="1:173">
      <c r="A226" s="335" t="s">
        <v>2794</v>
      </c>
      <c r="B226" s="2" t="s">
        <v>2794</v>
      </c>
      <c r="C226" s="2" t="s">
        <v>229</v>
      </c>
      <c r="D226" s="2" t="s">
        <v>870</v>
      </c>
      <c r="E226" s="2" t="s">
        <v>2796</v>
      </c>
      <c r="F226" s="478" t="s">
        <v>1397</v>
      </c>
      <c r="G226" s="2" t="s">
        <v>324</v>
      </c>
      <c r="H226" s="2" t="s">
        <v>324</v>
      </c>
      <c r="I226" s="435">
        <v>48.45</v>
      </c>
      <c r="J226" s="435">
        <v>45.7</v>
      </c>
      <c r="K226" s="346"/>
      <c r="L226" s="346"/>
      <c r="M226" s="346"/>
      <c r="N226" s="346" t="s">
        <v>3124</v>
      </c>
      <c r="O226" s="346"/>
      <c r="P226" s="346" t="s">
        <v>2449</v>
      </c>
      <c r="Q226" s="346" t="s">
        <v>3104</v>
      </c>
      <c r="R226" s="346" t="s">
        <v>2450</v>
      </c>
      <c r="S226" s="346" t="s">
        <v>2795</v>
      </c>
      <c r="T226" s="346" t="s">
        <v>2941</v>
      </c>
      <c r="U226" s="346">
        <v>119</v>
      </c>
      <c r="V226" s="422" t="str" cm="1">
        <f t="array" ref="V226">IFERROR(INDEX('Offer Statistics'!$CH$2:$CH$350,MATCH(1,(B226='Offer Statistics'!$BS$2:$BS$350)*($B$11='Offer Statistics'!$BT$2:$BT$350),0)),"/")</f>
        <v>/</v>
      </c>
      <c r="W226" s="422" t="str" cm="1">
        <f t="array" ref="W226">IFERROR(INDEX('Offer Statistics'!$BU$2:$BU$350,MATCH(1,(B226='Offer Statistics'!$BS$2:$BS$350)*($B$11='Offer Statistics'!$BT$2:$BT$350),0)),"/")</f>
        <v>/</v>
      </c>
      <c r="X226" s="422" t="str" cm="1">
        <f t="array" ref="X226">IFERROR(INDEX('Offer Statistics'!$CC$2:$CC$350,MATCH(1,(B226='Offer Statistics'!$BS$2:$BS$350)*($B$11='Offer Statistics'!$BT$2:$BT$350),0)),"/")</f>
        <v>/</v>
      </c>
      <c r="Y226" s="422" t="str">
        <f t="shared" si="375"/>
        <v>新科目</v>
      </c>
      <c r="Z226" s="422" t="s">
        <v>1046</v>
      </c>
      <c r="AA226" s="422" t="str">
        <f>入學要求!AF235</f>
        <v>以下一科選修取得Lv.3︰生物、化學、組合科學、物理、ICT</v>
      </c>
      <c r="AB226" s="422" t="str">
        <f>入學要求!AG235</f>
        <v>/</v>
      </c>
      <c r="AC226" s="346" t="s">
        <v>1397</v>
      </c>
      <c r="AD226" s="422"/>
      <c r="AE226" s="422"/>
      <c r="AF226" s="422"/>
      <c r="AG226" s="422"/>
      <c r="AH226" s="346" t="s">
        <v>2449</v>
      </c>
      <c r="AI226" s="346" t="s">
        <v>3104</v>
      </c>
      <c r="AJ226" s="346" t="s">
        <v>2450</v>
      </c>
      <c r="AK226" s="346" t="s">
        <v>1400</v>
      </c>
      <c r="AL226" s="346" t="s">
        <v>2429</v>
      </c>
      <c r="AM226" s="346" t="s">
        <v>2430</v>
      </c>
      <c r="AN226" s="346" t="s">
        <v>324</v>
      </c>
      <c r="AO226" s="346" t="s">
        <v>324</v>
      </c>
      <c r="AP226" s="346" t="s">
        <v>324</v>
      </c>
      <c r="AQ226" s="435" t="s">
        <v>3096</v>
      </c>
      <c r="AR226" s="422" t="s">
        <v>3309</v>
      </c>
      <c r="AS226" s="422" t="s">
        <v>3310</v>
      </c>
      <c r="AT226" s="2" t="s">
        <v>716</v>
      </c>
      <c r="AU226" s="346" t="s">
        <v>3124</v>
      </c>
      <c r="AV226" s="2" t="s">
        <v>713</v>
      </c>
      <c r="AZ226" s="2" t="s">
        <v>324</v>
      </c>
      <c r="BA226" s="2" t="s">
        <v>324</v>
      </c>
      <c r="BB226" s="2" t="s">
        <v>324</v>
      </c>
      <c r="BC226" s="2" t="s">
        <v>324</v>
      </c>
      <c r="BD226" s="2" t="s">
        <v>324</v>
      </c>
      <c r="BE226" s="2" t="s">
        <v>324</v>
      </c>
      <c r="BF226" s="2" t="s">
        <v>324</v>
      </c>
      <c r="BG226" s="2" t="s">
        <v>324</v>
      </c>
      <c r="BH226" s="2" t="s">
        <v>324</v>
      </c>
      <c r="BI226" s="2" t="s">
        <v>324</v>
      </c>
      <c r="BJ226" s="2" t="s">
        <v>324</v>
      </c>
      <c r="BK226" s="2" t="s">
        <v>324</v>
      </c>
      <c r="BL226" s="2" t="s">
        <v>324</v>
      </c>
      <c r="BM226" s="2" t="s">
        <v>324</v>
      </c>
      <c r="BN226" s="2" t="s">
        <v>324</v>
      </c>
      <c r="BO226" s="2" t="s">
        <v>324</v>
      </c>
      <c r="BP226" s="2" t="s">
        <v>324</v>
      </c>
      <c r="BQ226" s="2" t="s">
        <v>324</v>
      </c>
      <c r="BR226" s="2" t="s">
        <v>324</v>
      </c>
      <c r="BS226" s="2" t="s">
        <v>324</v>
      </c>
      <c r="BT226" s="2" t="s">
        <v>324</v>
      </c>
      <c r="BU226" s="2" t="s">
        <v>324</v>
      </c>
      <c r="BV226" s="2" t="s">
        <v>324</v>
      </c>
      <c r="BW226" s="2" t="s">
        <v>324</v>
      </c>
      <c r="BX226" s="2" t="s">
        <v>324</v>
      </c>
      <c r="BY226" s="2" t="s">
        <v>324</v>
      </c>
      <c r="BZ226" s="2" t="s">
        <v>324</v>
      </c>
      <c r="CA226" s="2" t="s">
        <v>324</v>
      </c>
      <c r="CB226" s="2" t="s">
        <v>324</v>
      </c>
      <c r="CC226" s="2" t="s">
        <v>324</v>
      </c>
      <c r="CD226" s="2" t="s">
        <v>324</v>
      </c>
      <c r="CE226" s="2" t="s">
        <v>324</v>
      </c>
      <c r="CF226" s="2" t="s">
        <v>324</v>
      </c>
      <c r="CG226" s="2" t="s">
        <v>324</v>
      </c>
      <c r="CH226" s="2" t="s">
        <v>324</v>
      </c>
      <c r="CI226" s="2" t="s">
        <v>324</v>
      </c>
      <c r="CJ226" s="2" t="s">
        <v>324</v>
      </c>
      <c r="CK226" s="2" t="s">
        <v>324</v>
      </c>
      <c r="CL226" s="2" t="s">
        <v>324</v>
      </c>
      <c r="CM226" s="2" t="s">
        <v>324</v>
      </c>
      <c r="CN226" s="2" t="s">
        <v>324</v>
      </c>
      <c r="CO226" s="2" t="s">
        <v>324</v>
      </c>
      <c r="CP226" s="2" t="s">
        <v>324</v>
      </c>
      <c r="CQ226" s="2" t="s">
        <v>324</v>
      </c>
      <c r="CR226" s="2" t="s">
        <v>324</v>
      </c>
      <c r="CS226" s="2" t="s">
        <v>324</v>
      </c>
      <c r="CT226" s="2" t="s">
        <v>324</v>
      </c>
      <c r="CU226" s="2" t="s">
        <v>324</v>
      </c>
      <c r="CV226" s="2" t="s">
        <v>324</v>
      </c>
      <c r="CW226" s="2" t="s">
        <v>324</v>
      </c>
      <c r="CX226" s="2" t="s">
        <v>324</v>
      </c>
      <c r="CY226" s="2" t="s">
        <v>324</v>
      </c>
      <c r="CZ226" s="2" t="s">
        <v>324</v>
      </c>
      <c r="DA226" s="2" t="s">
        <v>324</v>
      </c>
      <c r="DB226" s="2" t="s">
        <v>324</v>
      </c>
      <c r="DC226" s="2" t="s">
        <v>324</v>
      </c>
      <c r="DD226" s="2" t="s">
        <v>324</v>
      </c>
      <c r="DE226" s="2" t="s">
        <v>324</v>
      </c>
      <c r="DF226" s="2" t="s">
        <v>324</v>
      </c>
      <c r="DG226" s="2" t="s">
        <v>324</v>
      </c>
      <c r="DH226" s="2" t="s">
        <v>324</v>
      </c>
      <c r="DI226" s="2" t="s">
        <v>324</v>
      </c>
      <c r="DJ226" s="2" t="s">
        <v>324</v>
      </c>
      <c r="DK226" s="2" t="s">
        <v>324</v>
      </c>
      <c r="DL226" s="2" t="s">
        <v>324</v>
      </c>
      <c r="DM226" s="2" t="s">
        <v>324</v>
      </c>
      <c r="DN226" s="2" t="s">
        <v>324</v>
      </c>
      <c r="DO226" s="2" t="s">
        <v>324</v>
      </c>
      <c r="DP226" s="2" t="s">
        <v>324</v>
      </c>
      <c r="DQ226" s="2" t="s">
        <v>324</v>
      </c>
      <c r="DR226" s="2" t="s">
        <v>324</v>
      </c>
      <c r="DS226" s="2" t="s">
        <v>324</v>
      </c>
      <c r="DT226" s="2" t="s">
        <v>324</v>
      </c>
      <c r="DU226" s="2" t="s">
        <v>324</v>
      </c>
      <c r="DV226" s="2" t="s">
        <v>324</v>
      </c>
      <c r="DW226" s="2" t="s">
        <v>324</v>
      </c>
      <c r="DX226" s="2" t="s">
        <v>324</v>
      </c>
      <c r="DY226" s="2" t="s">
        <v>324</v>
      </c>
      <c r="DZ226" s="2" t="s">
        <v>324</v>
      </c>
      <c r="EA226" s="2" t="s">
        <v>324</v>
      </c>
      <c r="EB226" s="2" t="s">
        <v>324</v>
      </c>
      <c r="EC226" s="2" t="s">
        <v>324</v>
      </c>
      <c r="ED226" s="2" t="s">
        <v>324</v>
      </c>
      <c r="EE226" s="2" t="s">
        <v>324</v>
      </c>
      <c r="EF226" s="2" t="s">
        <v>324</v>
      </c>
      <c r="EG226" s="2" t="s">
        <v>324</v>
      </c>
      <c r="EH226" s="2" t="s">
        <v>324</v>
      </c>
      <c r="EI226" s="2" t="s">
        <v>324</v>
      </c>
      <c r="EJ226" s="2" t="s">
        <v>324</v>
      </c>
      <c r="EK226" s="2" t="s">
        <v>324</v>
      </c>
      <c r="EL226" s="2" t="s">
        <v>324</v>
      </c>
      <c r="EM226" s="2" t="s">
        <v>324</v>
      </c>
      <c r="EN226" s="2" t="s">
        <v>324</v>
      </c>
      <c r="EO226" s="2" t="s">
        <v>324</v>
      </c>
      <c r="EP226" s="2" t="s">
        <v>324</v>
      </c>
      <c r="EQ226" s="2" t="s">
        <v>324</v>
      </c>
      <c r="ER226" s="2" t="s">
        <v>324</v>
      </c>
      <c r="ES226" s="2" t="s">
        <v>324</v>
      </c>
      <c r="ET226" s="2" t="s">
        <v>324</v>
      </c>
      <c r="EU226" s="2" t="s">
        <v>324</v>
      </c>
      <c r="EV226" s="2" t="s">
        <v>324</v>
      </c>
      <c r="EW226" s="2" t="s">
        <v>324</v>
      </c>
      <c r="EX226" s="2" t="s">
        <v>324</v>
      </c>
      <c r="EY226" s="2" t="s">
        <v>324</v>
      </c>
      <c r="EZ226" s="2" t="s">
        <v>324</v>
      </c>
      <c r="FA226" s="2" t="s">
        <v>324</v>
      </c>
      <c r="FB226" s="2" t="s">
        <v>324</v>
      </c>
      <c r="FC226" s="2" t="s">
        <v>324</v>
      </c>
      <c r="FD226" s="2" t="s">
        <v>324</v>
      </c>
      <c r="FE226" s="2" t="s">
        <v>324</v>
      </c>
      <c r="FF226" s="2" t="s">
        <v>324</v>
      </c>
      <c r="FG226" s="2" t="s">
        <v>324</v>
      </c>
      <c r="FH226" s="2" t="s">
        <v>324</v>
      </c>
      <c r="FI226" s="2" t="s">
        <v>324</v>
      </c>
      <c r="FJ226" s="2" t="s">
        <v>324</v>
      </c>
      <c r="FK226" s="2" t="s">
        <v>324</v>
      </c>
      <c r="FL226" s="2" t="s">
        <v>324</v>
      </c>
      <c r="FM226" s="2" t="s">
        <v>324</v>
      </c>
      <c r="FN226" s="2" t="s">
        <v>324</v>
      </c>
      <c r="FO226" s="2" t="s">
        <v>324</v>
      </c>
      <c r="FP226" s="2" t="s">
        <v>324</v>
      </c>
      <c r="FQ226" s="2" t="s">
        <v>324</v>
      </c>
    </row>
    <row r="227" spans="1:173">
      <c r="A227" s="335" t="s">
        <v>2797</v>
      </c>
      <c r="B227" s="2" t="s">
        <v>2797</v>
      </c>
      <c r="C227" s="2" t="s">
        <v>229</v>
      </c>
      <c r="D227" s="2" t="s">
        <v>870</v>
      </c>
      <c r="E227" s="2" t="s">
        <v>2799</v>
      </c>
      <c r="F227" s="478" t="s">
        <v>1397</v>
      </c>
      <c r="G227" s="2" t="s">
        <v>324</v>
      </c>
      <c r="H227" s="2" t="s">
        <v>324</v>
      </c>
      <c r="I227" s="435">
        <v>39.78</v>
      </c>
      <c r="J227" s="435">
        <v>38.21</v>
      </c>
      <c r="K227" s="346"/>
      <c r="L227" s="346"/>
      <c r="M227" s="346"/>
      <c r="N227" s="346" t="s">
        <v>3125</v>
      </c>
      <c r="O227" s="346"/>
      <c r="P227" s="346" t="s">
        <v>2449</v>
      </c>
      <c r="Q227" s="346" t="s">
        <v>3104</v>
      </c>
      <c r="R227" s="346" t="s">
        <v>2450</v>
      </c>
      <c r="S227" s="346" t="s">
        <v>2798</v>
      </c>
      <c r="T227" s="346" t="s">
        <v>2941</v>
      </c>
      <c r="U227" s="346">
        <v>72</v>
      </c>
      <c r="V227" s="422" t="str" cm="1">
        <f t="array" ref="V227">IFERROR(INDEX('Offer Statistics'!$CH$2:$CH$350,MATCH(1,(B227='Offer Statistics'!$BS$2:$BS$350)*($B$11='Offer Statistics'!$BT$2:$BT$350),0)),"/")</f>
        <v>/</v>
      </c>
      <c r="W227" s="422" t="str" cm="1">
        <f t="array" ref="W227">IFERROR(INDEX('Offer Statistics'!$BU$2:$BU$350,MATCH(1,(B227='Offer Statistics'!$BS$2:$BS$350)*($B$11='Offer Statistics'!$BT$2:$BT$350),0)),"/")</f>
        <v>/</v>
      </c>
      <c r="X227" s="422" t="str" cm="1">
        <f t="array" ref="X227">IFERROR(INDEX('Offer Statistics'!$CC$2:$CC$350,MATCH(1,(B227='Offer Statistics'!$BS$2:$BS$350)*($B$11='Offer Statistics'!$BT$2:$BT$350),0)),"/")</f>
        <v>/</v>
      </c>
      <c r="Y227" s="422" t="str">
        <f t="shared" si="375"/>
        <v>新科目</v>
      </c>
      <c r="Z227" s="422" t="s">
        <v>1046</v>
      </c>
      <c r="AA227" s="422" t="str">
        <f>入學要求!AF236</f>
        <v>以下一科選修取得Lv.3︰生物、化學、組合科學、物理、ICT</v>
      </c>
      <c r="AB227" s="422" t="str">
        <f>入學要求!AG236</f>
        <v>/</v>
      </c>
      <c r="AC227" s="346" t="s">
        <v>1397</v>
      </c>
      <c r="AD227" s="422"/>
      <c r="AE227" s="422"/>
      <c r="AF227" s="422"/>
      <c r="AG227" s="422"/>
      <c r="AH227" s="346" t="s">
        <v>2449</v>
      </c>
      <c r="AI227" s="346" t="s">
        <v>3104</v>
      </c>
      <c r="AJ227" s="346" t="s">
        <v>2450</v>
      </c>
      <c r="AK227" s="346" t="s">
        <v>1400</v>
      </c>
      <c r="AL227" s="346" t="s">
        <v>1416</v>
      </c>
      <c r="AM227" s="346" t="s">
        <v>1410</v>
      </c>
      <c r="AN227" s="346" t="s">
        <v>324</v>
      </c>
      <c r="AO227" s="346" t="s">
        <v>324</v>
      </c>
      <c r="AP227" s="346" t="s">
        <v>324</v>
      </c>
      <c r="AQ227" s="435" t="s">
        <v>3096</v>
      </c>
      <c r="AR227" s="422" t="s">
        <v>3309</v>
      </c>
      <c r="AS227" s="422" t="s">
        <v>3310</v>
      </c>
      <c r="AT227" s="2" t="s">
        <v>716</v>
      </c>
      <c r="AU227" s="346" t="s">
        <v>3125</v>
      </c>
      <c r="AV227" s="2" t="s">
        <v>713</v>
      </c>
      <c r="AZ227" s="2" t="s">
        <v>324</v>
      </c>
      <c r="BA227" s="2" t="s">
        <v>324</v>
      </c>
      <c r="BB227" s="2" t="s">
        <v>324</v>
      </c>
      <c r="BC227" s="2" t="s">
        <v>324</v>
      </c>
      <c r="BD227" s="2" t="s">
        <v>324</v>
      </c>
      <c r="BE227" s="2" t="s">
        <v>324</v>
      </c>
      <c r="BF227" s="2" t="s">
        <v>324</v>
      </c>
      <c r="BG227" s="2" t="s">
        <v>324</v>
      </c>
      <c r="BH227" s="2" t="s">
        <v>324</v>
      </c>
      <c r="BI227" s="2" t="s">
        <v>324</v>
      </c>
      <c r="BJ227" s="2" t="s">
        <v>324</v>
      </c>
      <c r="BK227" s="2" t="s">
        <v>324</v>
      </c>
      <c r="BL227" s="2" t="s">
        <v>324</v>
      </c>
      <c r="BM227" s="2" t="s">
        <v>324</v>
      </c>
      <c r="BN227" s="2" t="s">
        <v>324</v>
      </c>
      <c r="BO227" s="2" t="s">
        <v>324</v>
      </c>
      <c r="BP227" s="2" t="s">
        <v>324</v>
      </c>
      <c r="BQ227" s="2" t="s">
        <v>324</v>
      </c>
      <c r="BR227" s="2" t="s">
        <v>324</v>
      </c>
      <c r="BS227" s="2" t="s">
        <v>324</v>
      </c>
      <c r="BT227" s="2" t="s">
        <v>324</v>
      </c>
      <c r="BU227" s="2" t="s">
        <v>324</v>
      </c>
      <c r="BV227" s="2" t="s">
        <v>324</v>
      </c>
      <c r="BW227" s="2" t="s">
        <v>324</v>
      </c>
      <c r="BX227" s="2" t="s">
        <v>324</v>
      </c>
      <c r="BY227" s="2" t="s">
        <v>324</v>
      </c>
      <c r="BZ227" s="2" t="s">
        <v>324</v>
      </c>
      <c r="CA227" s="2" t="s">
        <v>324</v>
      </c>
      <c r="CB227" s="2" t="s">
        <v>324</v>
      </c>
      <c r="CC227" s="2" t="s">
        <v>324</v>
      </c>
      <c r="CD227" s="2" t="s">
        <v>324</v>
      </c>
      <c r="CE227" s="2" t="s">
        <v>324</v>
      </c>
      <c r="CF227" s="2" t="s">
        <v>324</v>
      </c>
      <c r="CG227" s="2" t="s">
        <v>324</v>
      </c>
      <c r="CH227" s="2" t="s">
        <v>324</v>
      </c>
      <c r="CI227" s="2" t="s">
        <v>324</v>
      </c>
      <c r="CJ227" s="2" t="s">
        <v>324</v>
      </c>
      <c r="CK227" s="2" t="s">
        <v>324</v>
      </c>
      <c r="CL227" s="2" t="s">
        <v>324</v>
      </c>
      <c r="CM227" s="2" t="s">
        <v>324</v>
      </c>
      <c r="CN227" s="2" t="s">
        <v>324</v>
      </c>
      <c r="CO227" s="2" t="s">
        <v>324</v>
      </c>
      <c r="CP227" s="2" t="s">
        <v>324</v>
      </c>
      <c r="CQ227" s="2" t="s">
        <v>324</v>
      </c>
      <c r="CR227" s="2" t="s">
        <v>324</v>
      </c>
      <c r="CS227" s="2" t="s">
        <v>324</v>
      </c>
      <c r="CT227" s="2" t="s">
        <v>324</v>
      </c>
      <c r="CU227" s="2" t="s">
        <v>324</v>
      </c>
      <c r="CV227" s="2" t="s">
        <v>324</v>
      </c>
      <c r="CW227" s="2" t="s">
        <v>324</v>
      </c>
      <c r="CX227" s="2" t="s">
        <v>324</v>
      </c>
      <c r="CY227" s="2" t="s">
        <v>324</v>
      </c>
      <c r="CZ227" s="2" t="s">
        <v>324</v>
      </c>
      <c r="DA227" s="2" t="s">
        <v>324</v>
      </c>
      <c r="DB227" s="2" t="s">
        <v>324</v>
      </c>
      <c r="DC227" s="2" t="s">
        <v>324</v>
      </c>
      <c r="DD227" s="2" t="s">
        <v>324</v>
      </c>
      <c r="DE227" s="2" t="s">
        <v>324</v>
      </c>
      <c r="DF227" s="2" t="s">
        <v>324</v>
      </c>
      <c r="DG227" s="2" t="s">
        <v>324</v>
      </c>
      <c r="DH227" s="2" t="s">
        <v>324</v>
      </c>
      <c r="DI227" s="2" t="s">
        <v>324</v>
      </c>
      <c r="DJ227" s="2" t="s">
        <v>324</v>
      </c>
      <c r="DK227" s="2" t="s">
        <v>324</v>
      </c>
      <c r="DL227" s="2" t="s">
        <v>324</v>
      </c>
      <c r="DM227" s="2" t="s">
        <v>324</v>
      </c>
      <c r="DN227" s="2" t="s">
        <v>324</v>
      </c>
      <c r="DO227" s="2" t="s">
        <v>324</v>
      </c>
      <c r="DP227" s="2" t="s">
        <v>324</v>
      </c>
      <c r="DQ227" s="2" t="s">
        <v>324</v>
      </c>
      <c r="DR227" s="2" t="s">
        <v>324</v>
      </c>
      <c r="DS227" s="2" t="s">
        <v>324</v>
      </c>
      <c r="DT227" s="2" t="s">
        <v>324</v>
      </c>
      <c r="DU227" s="2" t="s">
        <v>324</v>
      </c>
      <c r="DV227" s="2" t="s">
        <v>324</v>
      </c>
      <c r="DW227" s="2" t="s">
        <v>324</v>
      </c>
      <c r="DX227" s="2" t="s">
        <v>324</v>
      </c>
      <c r="DY227" s="2" t="s">
        <v>324</v>
      </c>
      <c r="DZ227" s="2" t="s">
        <v>324</v>
      </c>
      <c r="EA227" s="2" t="s">
        <v>324</v>
      </c>
      <c r="EB227" s="2" t="s">
        <v>324</v>
      </c>
      <c r="EC227" s="2" t="s">
        <v>324</v>
      </c>
      <c r="ED227" s="2" t="s">
        <v>324</v>
      </c>
      <c r="EE227" s="2" t="s">
        <v>324</v>
      </c>
      <c r="EF227" s="2" t="s">
        <v>324</v>
      </c>
      <c r="EG227" s="2" t="s">
        <v>324</v>
      </c>
      <c r="EH227" s="2" t="s">
        <v>324</v>
      </c>
      <c r="EI227" s="2" t="s">
        <v>324</v>
      </c>
      <c r="EJ227" s="2" t="s">
        <v>324</v>
      </c>
      <c r="EK227" s="2" t="s">
        <v>324</v>
      </c>
      <c r="EL227" s="2" t="s">
        <v>324</v>
      </c>
      <c r="EM227" s="2" t="s">
        <v>324</v>
      </c>
      <c r="EN227" s="2" t="s">
        <v>324</v>
      </c>
      <c r="EO227" s="2" t="s">
        <v>324</v>
      </c>
      <c r="EP227" s="2" t="s">
        <v>324</v>
      </c>
      <c r="EQ227" s="2" t="s">
        <v>324</v>
      </c>
      <c r="ER227" s="2" t="s">
        <v>324</v>
      </c>
      <c r="ES227" s="2" t="s">
        <v>324</v>
      </c>
      <c r="ET227" s="2" t="s">
        <v>324</v>
      </c>
      <c r="EU227" s="2" t="s">
        <v>324</v>
      </c>
      <c r="EV227" s="2" t="s">
        <v>324</v>
      </c>
      <c r="EW227" s="2" t="s">
        <v>324</v>
      </c>
      <c r="EX227" s="2" t="s">
        <v>324</v>
      </c>
      <c r="EY227" s="2" t="s">
        <v>324</v>
      </c>
      <c r="EZ227" s="2" t="s">
        <v>324</v>
      </c>
      <c r="FA227" s="2" t="s">
        <v>324</v>
      </c>
      <c r="FB227" s="2" t="s">
        <v>324</v>
      </c>
      <c r="FC227" s="2" t="s">
        <v>324</v>
      </c>
      <c r="FD227" s="2" t="s">
        <v>324</v>
      </c>
      <c r="FE227" s="2" t="s">
        <v>324</v>
      </c>
      <c r="FF227" s="2" t="s">
        <v>324</v>
      </c>
      <c r="FG227" s="2" t="s">
        <v>324</v>
      </c>
      <c r="FH227" s="2" t="s">
        <v>324</v>
      </c>
      <c r="FI227" s="2" t="s">
        <v>324</v>
      </c>
      <c r="FJ227" s="2" t="s">
        <v>324</v>
      </c>
      <c r="FK227" s="2" t="s">
        <v>324</v>
      </c>
      <c r="FL227" s="2" t="s">
        <v>324</v>
      </c>
      <c r="FM227" s="2" t="s">
        <v>324</v>
      </c>
      <c r="FN227" s="2" t="s">
        <v>324</v>
      </c>
      <c r="FO227" s="2" t="s">
        <v>324</v>
      </c>
      <c r="FP227" s="2" t="s">
        <v>324</v>
      </c>
      <c r="FQ227" s="2" t="s">
        <v>324</v>
      </c>
    </row>
    <row r="228" spans="1:173">
      <c r="A228" s="335" t="s">
        <v>2800</v>
      </c>
      <c r="B228" s="2" t="s">
        <v>2800</v>
      </c>
      <c r="C228" s="2" t="s">
        <v>229</v>
      </c>
      <c r="D228" s="2" t="s">
        <v>870</v>
      </c>
      <c r="E228" s="2" t="s">
        <v>2802</v>
      </c>
      <c r="F228" s="478" t="s">
        <v>1397</v>
      </c>
      <c r="G228" s="2" t="s">
        <v>324</v>
      </c>
      <c r="H228" s="2" t="s">
        <v>324</v>
      </c>
      <c r="I228" s="435">
        <v>39.78</v>
      </c>
      <c r="J228" s="435">
        <v>38.21</v>
      </c>
      <c r="K228" s="346"/>
      <c r="L228" s="346"/>
      <c r="M228" s="346"/>
      <c r="N228" s="346" t="s">
        <v>3125</v>
      </c>
      <c r="O228" s="346"/>
      <c r="P228" s="346" t="s">
        <v>2449</v>
      </c>
      <c r="Q228" s="346" t="s">
        <v>3104</v>
      </c>
      <c r="R228" s="346" t="s">
        <v>2450</v>
      </c>
      <c r="S228" s="346" t="s">
        <v>2801</v>
      </c>
      <c r="T228" s="346" t="s">
        <v>2941</v>
      </c>
      <c r="U228" s="346">
        <v>37</v>
      </c>
      <c r="V228" s="422" t="str" cm="1">
        <f t="array" ref="V228">IFERROR(INDEX('Offer Statistics'!$CH$2:$CH$350,MATCH(1,(B228='Offer Statistics'!$BS$2:$BS$350)*($B$11='Offer Statistics'!$BT$2:$BT$350),0)),"/")</f>
        <v>/</v>
      </c>
      <c r="W228" s="422" t="str" cm="1">
        <f t="array" ref="W228">IFERROR(INDEX('Offer Statistics'!$BU$2:$BU$350,MATCH(1,(B228='Offer Statistics'!$BS$2:$BS$350)*($B$11='Offer Statistics'!$BT$2:$BT$350),0)),"/")</f>
        <v>/</v>
      </c>
      <c r="X228" s="422" t="str" cm="1">
        <f t="array" ref="X228">IFERROR(INDEX('Offer Statistics'!$CC$2:$CC$350,MATCH(1,(B228='Offer Statistics'!$BS$2:$BS$350)*($B$11='Offer Statistics'!$BT$2:$BT$350),0)),"/")</f>
        <v>/</v>
      </c>
      <c r="Y228" s="422" t="str">
        <f t="shared" si="375"/>
        <v>新科目</v>
      </c>
      <c r="Z228" s="422" t="s">
        <v>1046</v>
      </c>
      <c r="AA228" s="422" t="str">
        <f>入學要求!AF237</f>
        <v>以下一科選修取得Lv.3︰生物、化學、組合科學、物理、ICT</v>
      </c>
      <c r="AB228" s="422" t="str">
        <f>入學要求!AG237</f>
        <v>/</v>
      </c>
      <c r="AC228" s="346" t="s">
        <v>1397</v>
      </c>
      <c r="AD228" s="422"/>
      <c r="AE228" s="422"/>
      <c r="AF228" s="422"/>
      <c r="AG228" s="422"/>
      <c r="AH228" s="346" t="s">
        <v>2449</v>
      </c>
      <c r="AI228" s="346" t="s">
        <v>3104</v>
      </c>
      <c r="AJ228" s="346" t="s">
        <v>2450</v>
      </c>
      <c r="AK228" s="346" t="s">
        <v>1400</v>
      </c>
      <c r="AL228" s="346" t="s">
        <v>1416</v>
      </c>
      <c r="AM228" s="346" t="s">
        <v>1410</v>
      </c>
      <c r="AN228" s="346" t="s">
        <v>324</v>
      </c>
      <c r="AO228" s="346" t="s">
        <v>324</v>
      </c>
      <c r="AP228" s="346" t="s">
        <v>324</v>
      </c>
      <c r="AQ228" s="435" t="s">
        <v>3096</v>
      </c>
      <c r="AR228" s="422" t="s">
        <v>3309</v>
      </c>
      <c r="AS228" s="422" t="s">
        <v>3310</v>
      </c>
      <c r="AT228" s="2" t="s">
        <v>716</v>
      </c>
      <c r="AU228" s="346" t="s">
        <v>3125</v>
      </c>
      <c r="AV228" s="2" t="s">
        <v>713</v>
      </c>
      <c r="AZ228" s="2" t="s">
        <v>324</v>
      </c>
      <c r="BA228" s="2" t="s">
        <v>324</v>
      </c>
      <c r="BB228" s="2" t="s">
        <v>324</v>
      </c>
      <c r="BC228" s="2" t="s">
        <v>324</v>
      </c>
      <c r="BD228" s="2" t="s">
        <v>324</v>
      </c>
      <c r="BE228" s="2" t="s">
        <v>324</v>
      </c>
      <c r="BF228" s="2" t="s">
        <v>324</v>
      </c>
      <c r="BG228" s="2" t="s">
        <v>324</v>
      </c>
      <c r="BH228" s="2" t="s">
        <v>324</v>
      </c>
      <c r="BI228" s="2" t="s">
        <v>324</v>
      </c>
      <c r="BJ228" s="2" t="s">
        <v>324</v>
      </c>
      <c r="BK228" s="2" t="s">
        <v>324</v>
      </c>
      <c r="BL228" s="2" t="s">
        <v>324</v>
      </c>
      <c r="BM228" s="2" t="s">
        <v>324</v>
      </c>
      <c r="BN228" s="2" t="s">
        <v>324</v>
      </c>
      <c r="BO228" s="2" t="s">
        <v>324</v>
      </c>
      <c r="BP228" s="2" t="s">
        <v>324</v>
      </c>
      <c r="BQ228" s="2" t="s">
        <v>324</v>
      </c>
      <c r="BR228" s="2" t="s">
        <v>324</v>
      </c>
      <c r="BS228" s="2" t="s">
        <v>324</v>
      </c>
      <c r="BT228" s="2" t="s">
        <v>324</v>
      </c>
      <c r="BU228" s="2" t="s">
        <v>324</v>
      </c>
      <c r="BV228" s="2" t="s">
        <v>324</v>
      </c>
      <c r="BW228" s="2" t="s">
        <v>324</v>
      </c>
      <c r="BX228" s="2" t="s">
        <v>324</v>
      </c>
      <c r="BY228" s="2" t="s">
        <v>324</v>
      </c>
      <c r="BZ228" s="2" t="s">
        <v>324</v>
      </c>
      <c r="CA228" s="2" t="s">
        <v>324</v>
      </c>
      <c r="CB228" s="2" t="s">
        <v>324</v>
      </c>
      <c r="CC228" s="2" t="s">
        <v>324</v>
      </c>
      <c r="CD228" s="2" t="s">
        <v>324</v>
      </c>
      <c r="CE228" s="2" t="s">
        <v>324</v>
      </c>
      <c r="CF228" s="2" t="s">
        <v>324</v>
      </c>
      <c r="CG228" s="2" t="s">
        <v>324</v>
      </c>
      <c r="CH228" s="2" t="s">
        <v>324</v>
      </c>
      <c r="CI228" s="2" t="s">
        <v>324</v>
      </c>
      <c r="CJ228" s="2" t="s">
        <v>324</v>
      </c>
      <c r="CK228" s="2" t="s">
        <v>324</v>
      </c>
      <c r="CL228" s="2" t="s">
        <v>324</v>
      </c>
      <c r="CM228" s="2" t="s">
        <v>324</v>
      </c>
      <c r="CN228" s="2" t="s">
        <v>324</v>
      </c>
      <c r="CO228" s="2" t="s">
        <v>324</v>
      </c>
      <c r="CP228" s="2" t="s">
        <v>324</v>
      </c>
      <c r="CQ228" s="2" t="s">
        <v>324</v>
      </c>
      <c r="CR228" s="2" t="s">
        <v>324</v>
      </c>
      <c r="CS228" s="2" t="s">
        <v>324</v>
      </c>
      <c r="CT228" s="2" t="s">
        <v>324</v>
      </c>
      <c r="CU228" s="2" t="s">
        <v>324</v>
      </c>
      <c r="CV228" s="2" t="s">
        <v>324</v>
      </c>
      <c r="CW228" s="2" t="s">
        <v>324</v>
      </c>
      <c r="CX228" s="2" t="s">
        <v>324</v>
      </c>
      <c r="CY228" s="2" t="s">
        <v>324</v>
      </c>
      <c r="CZ228" s="2" t="s">
        <v>324</v>
      </c>
      <c r="DA228" s="2" t="s">
        <v>324</v>
      </c>
      <c r="DB228" s="2" t="s">
        <v>324</v>
      </c>
      <c r="DC228" s="2" t="s">
        <v>324</v>
      </c>
      <c r="DD228" s="2" t="s">
        <v>324</v>
      </c>
      <c r="DE228" s="2" t="s">
        <v>324</v>
      </c>
      <c r="DF228" s="2" t="s">
        <v>324</v>
      </c>
      <c r="DG228" s="2" t="s">
        <v>324</v>
      </c>
      <c r="DH228" s="2" t="s">
        <v>324</v>
      </c>
      <c r="DI228" s="2" t="s">
        <v>324</v>
      </c>
      <c r="DJ228" s="2" t="s">
        <v>324</v>
      </c>
      <c r="DK228" s="2" t="s">
        <v>324</v>
      </c>
      <c r="DL228" s="2" t="s">
        <v>324</v>
      </c>
      <c r="DM228" s="2" t="s">
        <v>324</v>
      </c>
      <c r="DN228" s="2" t="s">
        <v>324</v>
      </c>
      <c r="DO228" s="2" t="s">
        <v>324</v>
      </c>
      <c r="DP228" s="2" t="s">
        <v>324</v>
      </c>
      <c r="DQ228" s="2" t="s">
        <v>324</v>
      </c>
      <c r="DR228" s="2" t="s">
        <v>324</v>
      </c>
      <c r="DS228" s="2" t="s">
        <v>324</v>
      </c>
      <c r="DT228" s="2" t="s">
        <v>324</v>
      </c>
      <c r="DU228" s="2" t="s">
        <v>324</v>
      </c>
      <c r="DV228" s="2" t="s">
        <v>324</v>
      </c>
      <c r="DW228" s="2" t="s">
        <v>324</v>
      </c>
      <c r="DX228" s="2" t="s">
        <v>324</v>
      </c>
      <c r="DY228" s="2" t="s">
        <v>324</v>
      </c>
      <c r="DZ228" s="2" t="s">
        <v>324</v>
      </c>
      <c r="EA228" s="2" t="s">
        <v>324</v>
      </c>
      <c r="EB228" s="2" t="s">
        <v>324</v>
      </c>
      <c r="EC228" s="2" t="s">
        <v>324</v>
      </c>
      <c r="ED228" s="2" t="s">
        <v>324</v>
      </c>
      <c r="EE228" s="2" t="s">
        <v>324</v>
      </c>
      <c r="EF228" s="2" t="s">
        <v>324</v>
      </c>
      <c r="EG228" s="2" t="s">
        <v>324</v>
      </c>
      <c r="EH228" s="2" t="s">
        <v>324</v>
      </c>
      <c r="EI228" s="2" t="s">
        <v>324</v>
      </c>
      <c r="EJ228" s="2" t="s">
        <v>324</v>
      </c>
      <c r="EK228" s="2" t="s">
        <v>324</v>
      </c>
      <c r="EL228" s="2" t="s">
        <v>324</v>
      </c>
      <c r="EM228" s="2" t="s">
        <v>324</v>
      </c>
      <c r="EN228" s="2" t="s">
        <v>324</v>
      </c>
      <c r="EO228" s="2" t="s">
        <v>324</v>
      </c>
      <c r="EP228" s="2" t="s">
        <v>324</v>
      </c>
      <c r="EQ228" s="2" t="s">
        <v>324</v>
      </c>
      <c r="ER228" s="2" t="s">
        <v>324</v>
      </c>
      <c r="ES228" s="2" t="s">
        <v>324</v>
      </c>
      <c r="ET228" s="2" t="s">
        <v>324</v>
      </c>
      <c r="EU228" s="2" t="s">
        <v>324</v>
      </c>
      <c r="EV228" s="2" t="s">
        <v>324</v>
      </c>
      <c r="EW228" s="2" t="s">
        <v>324</v>
      </c>
      <c r="EX228" s="2" t="s">
        <v>324</v>
      </c>
      <c r="EY228" s="2" t="s">
        <v>324</v>
      </c>
      <c r="EZ228" s="2" t="s">
        <v>324</v>
      </c>
      <c r="FA228" s="2" t="s">
        <v>324</v>
      </c>
      <c r="FB228" s="2" t="s">
        <v>324</v>
      </c>
      <c r="FC228" s="2" t="s">
        <v>324</v>
      </c>
      <c r="FD228" s="2" t="s">
        <v>324</v>
      </c>
      <c r="FE228" s="2" t="s">
        <v>324</v>
      </c>
      <c r="FF228" s="2" t="s">
        <v>324</v>
      </c>
      <c r="FG228" s="2" t="s">
        <v>324</v>
      </c>
      <c r="FH228" s="2" t="s">
        <v>324</v>
      </c>
      <c r="FI228" s="2" t="s">
        <v>324</v>
      </c>
      <c r="FJ228" s="2" t="s">
        <v>324</v>
      </c>
      <c r="FK228" s="2" t="s">
        <v>324</v>
      </c>
      <c r="FL228" s="2" t="s">
        <v>324</v>
      </c>
      <c r="FM228" s="2" t="s">
        <v>324</v>
      </c>
      <c r="FN228" s="2" t="s">
        <v>324</v>
      </c>
      <c r="FO228" s="2" t="s">
        <v>324</v>
      </c>
      <c r="FP228" s="2" t="s">
        <v>324</v>
      </c>
      <c r="FQ228" s="2" t="s">
        <v>324</v>
      </c>
    </row>
    <row r="229" spans="1:173">
      <c r="A229" s="335" t="s">
        <v>2803</v>
      </c>
      <c r="B229" s="2" t="s">
        <v>2803</v>
      </c>
      <c r="C229" s="2" t="s">
        <v>229</v>
      </c>
      <c r="D229" s="2" t="s">
        <v>870</v>
      </c>
      <c r="E229" s="2" t="s">
        <v>2805</v>
      </c>
      <c r="F229" s="478" t="s">
        <v>1397</v>
      </c>
      <c r="G229" s="2" t="s">
        <v>324</v>
      </c>
      <c r="H229" s="2" t="s">
        <v>324</v>
      </c>
      <c r="I229" s="435">
        <v>39.78</v>
      </c>
      <c r="J229" s="435">
        <v>38.21</v>
      </c>
      <c r="K229" s="346"/>
      <c r="L229" s="346"/>
      <c r="M229" s="346"/>
      <c r="N229" s="346" t="s">
        <v>3123</v>
      </c>
      <c r="O229" s="346"/>
      <c r="P229" s="346" t="s">
        <v>2449</v>
      </c>
      <c r="Q229" s="346" t="s">
        <v>3104</v>
      </c>
      <c r="R229" s="346" t="s">
        <v>2450</v>
      </c>
      <c r="S229" s="346" t="s">
        <v>2804</v>
      </c>
      <c r="T229" s="346" t="s">
        <v>2941</v>
      </c>
      <c r="U229" s="346">
        <v>79</v>
      </c>
      <c r="V229" s="422" t="str" cm="1">
        <f t="array" ref="V229">IFERROR(INDEX('Offer Statistics'!$CH$2:$CH$350,MATCH(1,(B229='Offer Statistics'!$BS$2:$BS$350)*($B$11='Offer Statistics'!$BT$2:$BT$350),0)),"/")</f>
        <v>/</v>
      </c>
      <c r="W229" s="422" t="str" cm="1">
        <f t="array" ref="W229">IFERROR(INDEX('Offer Statistics'!$BU$2:$BU$350,MATCH(1,(B229='Offer Statistics'!$BS$2:$BS$350)*($B$11='Offer Statistics'!$BT$2:$BT$350),0)),"/")</f>
        <v>/</v>
      </c>
      <c r="X229" s="422" t="str" cm="1">
        <f t="array" ref="X229">IFERROR(INDEX('Offer Statistics'!$CC$2:$CC$350,MATCH(1,(B229='Offer Statistics'!$BS$2:$BS$350)*($B$11='Offer Statistics'!$BT$2:$BT$350),0)),"/")</f>
        <v>/</v>
      </c>
      <c r="Y229" s="422" t="str">
        <f t="shared" si="375"/>
        <v>新科目</v>
      </c>
      <c r="Z229" s="422" t="s">
        <v>1046</v>
      </c>
      <c r="AA229" s="422" t="str">
        <f>入學要求!AF238</f>
        <v>以下一科選修取得Lv.3︰生物、化學、組合科學、物理、ICT</v>
      </c>
      <c r="AB229" s="422" t="str">
        <f>入學要求!AG238</f>
        <v>/</v>
      </c>
      <c r="AC229" s="346" t="s">
        <v>1397</v>
      </c>
      <c r="AD229" s="422"/>
      <c r="AE229" s="422"/>
      <c r="AF229" s="422"/>
      <c r="AG229" s="422"/>
      <c r="AH229" s="346" t="s">
        <v>2449</v>
      </c>
      <c r="AI229" s="346" t="s">
        <v>3104</v>
      </c>
      <c r="AJ229" s="346" t="s">
        <v>2450</v>
      </c>
      <c r="AK229" s="346" t="s">
        <v>1400</v>
      </c>
      <c r="AL229" s="346" t="s">
        <v>1416</v>
      </c>
      <c r="AM229" s="346" t="s">
        <v>1410</v>
      </c>
      <c r="AN229" s="346" t="s">
        <v>324</v>
      </c>
      <c r="AO229" s="346" t="s">
        <v>324</v>
      </c>
      <c r="AP229" s="346" t="s">
        <v>324</v>
      </c>
      <c r="AQ229" s="435" t="s">
        <v>3096</v>
      </c>
      <c r="AR229" s="422" t="s">
        <v>3309</v>
      </c>
      <c r="AS229" s="422" t="s">
        <v>3310</v>
      </c>
      <c r="AT229" s="2" t="s">
        <v>716</v>
      </c>
      <c r="AU229" s="346" t="s">
        <v>3123</v>
      </c>
      <c r="AV229" s="2" t="s">
        <v>713</v>
      </c>
      <c r="AZ229" s="2" t="s">
        <v>324</v>
      </c>
      <c r="BA229" s="2" t="s">
        <v>324</v>
      </c>
      <c r="BB229" s="2" t="s">
        <v>324</v>
      </c>
      <c r="BC229" s="2" t="s">
        <v>324</v>
      </c>
      <c r="BD229" s="2" t="s">
        <v>324</v>
      </c>
      <c r="BE229" s="2" t="s">
        <v>324</v>
      </c>
      <c r="BF229" s="2" t="s">
        <v>324</v>
      </c>
      <c r="BG229" s="2" t="s">
        <v>324</v>
      </c>
      <c r="BH229" s="2" t="s">
        <v>324</v>
      </c>
      <c r="BI229" s="2" t="s">
        <v>324</v>
      </c>
      <c r="BJ229" s="2" t="s">
        <v>324</v>
      </c>
      <c r="BK229" s="2" t="s">
        <v>324</v>
      </c>
      <c r="BL229" s="2" t="s">
        <v>324</v>
      </c>
      <c r="BM229" s="2" t="s">
        <v>324</v>
      </c>
      <c r="BN229" s="2" t="s">
        <v>324</v>
      </c>
      <c r="BO229" s="2" t="s">
        <v>324</v>
      </c>
      <c r="BP229" s="2" t="s">
        <v>324</v>
      </c>
      <c r="BQ229" s="2" t="s">
        <v>324</v>
      </c>
      <c r="BR229" s="2" t="s">
        <v>324</v>
      </c>
      <c r="BS229" s="2" t="s">
        <v>324</v>
      </c>
      <c r="BT229" s="2" t="s">
        <v>324</v>
      </c>
      <c r="BU229" s="2" t="s">
        <v>324</v>
      </c>
      <c r="BV229" s="2" t="s">
        <v>324</v>
      </c>
      <c r="BW229" s="2" t="s">
        <v>324</v>
      </c>
      <c r="BX229" s="2" t="s">
        <v>324</v>
      </c>
      <c r="BY229" s="2" t="s">
        <v>324</v>
      </c>
      <c r="BZ229" s="2" t="s">
        <v>324</v>
      </c>
      <c r="CA229" s="2" t="s">
        <v>324</v>
      </c>
      <c r="CB229" s="2" t="s">
        <v>324</v>
      </c>
      <c r="CC229" s="2" t="s">
        <v>324</v>
      </c>
      <c r="CD229" s="2" t="s">
        <v>324</v>
      </c>
      <c r="CE229" s="2" t="s">
        <v>324</v>
      </c>
      <c r="CF229" s="2" t="s">
        <v>324</v>
      </c>
      <c r="CG229" s="2" t="s">
        <v>324</v>
      </c>
      <c r="CH229" s="2" t="s">
        <v>324</v>
      </c>
      <c r="CI229" s="2" t="s">
        <v>324</v>
      </c>
      <c r="CJ229" s="2" t="s">
        <v>324</v>
      </c>
      <c r="CK229" s="2" t="s">
        <v>324</v>
      </c>
      <c r="CL229" s="2" t="s">
        <v>324</v>
      </c>
      <c r="CM229" s="2" t="s">
        <v>324</v>
      </c>
      <c r="CN229" s="2" t="s">
        <v>324</v>
      </c>
      <c r="CO229" s="2" t="s">
        <v>324</v>
      </c>
      <c r="CP229" s="2" t="s">
        <v>324</v>
      </c>
      <c r="CQ229" s="2" t="s">
        <v>324</v>
      </c>
      <c r="CR229" s="2" t="s">
        <v>324</v>
      </c>
      <c r="CS229" s="2" t="s">
        <v>324</v>
      </c>
      <c r="CT229" s="2" t="s">
        <v>324</v>
      </c>
      <c r="CU229" s="2" t="s">
        <v>324</v>
      </c>
      <c r="CV229" s="2" t="s">
        <v>324</v>
      </c>
      <c r="CW229" s="2" t="s">
        <v>324</v>
      </c>
      <c r="CX229" s="2" t="s">
        <v>324</v>
      </c>
      <c r="CY229" s="2" t="s">
        <v>324</v>
      </c>
      <c r="CZ229" s="2" t="s">
        <v>324</v>
      </c>
      <c r="DA229" s="2" t="s">
        <v>324</v>
      </c>
      <c r="DB229" s="2" t="s">
        <v>324</v>
      </c>
      <c r="DC229" s="2" t="s">
        <v>324</v>
      </c>
      <c r="DD229" s="2" t="s">
        <v>324</v>
      </c>
      <c r="DE229" s="2" t="s">
        <v>324</v>
      </c>
      <c r="DF229" s="2" t="s">
        <v>324</v>
      </c>
      <c r="DG229" s="2" t="s">
        <v>324</v>
      </c>
      <c r="DH229" s="2" t="s">
        <v>324</v>
      </c>
      <c r="DI229" s="2" t="s">
        <v>324</v>
      </c>
      <c r="DJ229" s="2" t="s">
        <v>324</v>
      </c>
      <c r="DK229" s="2" t="s">
        <v>324</v>
      </c>
      <c r="DL229" s="2" t="s">
        <v>324</v>
      </c>
      <c r="DM229" s="2" t="s">
        <v>324</v>
      </c>
      <c r="DN229" s="2" t="s">
        <v>324</v>
      </c>
      <c r="DO229" s="2" t="s">
        <v>324</v>
      </c>
      <c r="DP229" s="2" t="s">
        <v>324</v>
      </c>
      <c r="DQ229" s="2" t="s">
        <v>324</v>
      </c>
      <c r="DR229" s="2" t="s">
        <v>324</v>
      </c>
      <c r="DS229" s="2" t="s">
        <v>324</v>
      </c>
      <c r="DT229" s="2" t="s">
        <v>324</v>
      </c>
      <c r="DU229" s="2" t="s">
        <v>324</v>
      </c>
      <c r="DV229" s="2" t="s">
        <v>324</v>
      </c>
      <c r="DW229" s="2" t="s">
        <v>324</v>
      </c>
      <c r="DX229" s="2" t="s">
        <v>324</v>
      </c>
      <c r="DY229" s="2" t="s">
        <v>324</v>
      </c>
      <c r="DZ229" s="2" t="s">
        <v>324</v>
      </c>
      <c r="EA229" s="2" t="s">
        <v>324</v>
      </c>
      <c r="EB229" s="2" t="s">
        <v>324</v>
      </c>
      <c r="EC229" s="2" t="s">
        <v>324</v>
      </c>
      <c r="ED229" s="2" t="s">
        <v>324</v>
      </c>
      <c r="EE229" s="2" t="s">
        <v>324</v>
      </c>
      <c r="EF229" s="2" t="s">
        <v>324</v>
      </c>
      <c r="EG229" s="2" t="s">
        <v>324</v>
      </c>
      <c r="EH229" s="2" t="s">
        <v>324</v>
      </c>
      <c r="EI229" s="2" t="s">
        <v>324</v>
      </c>
      <c r="EJ229" s="2" t="s">
        <v>324</v>
      </c>
      <c r="EK229" s="2" t="s">
        <v>324</v>
      </c>
      <c r="EL229" s="2" t="s">
        <v>324</v>
      </c>
      <c r="EM229" s="2" t="s">
        <v>324</v>
      </c>
      <c r="EN229" s="2" t="s">
        <v>324</v>
      </c>
      <c r="EO229" s="2" t="s">
        <v>324</v>
      </c>
      <c r="EP229" s="2" t="s">
        <v>324</v>
      </c>
      <c r="EQ229" s="2" t="s">
        <v>324</v>
      </c>
      <c r="ER229" s="2" t="s">
        <v>324</v>
      </c>
      <c r="ES229" s="2" t="s">
        <v>324</v>
      </c>
      <c r="ET229" s="2" t="s">
        <v>324</v>
      </c>
      <c r="EU229" s="2" t="s">
        <v>324</v>
      </c>
      <c r="EV229" s="2" t="s">
        <v>324</v>
      </c>
      <c r="EW229" s="2" t="s">
        <v>324</v>
      </c>
      <c r="EX229" s="2" t="s">
        <v>324</v>
      </c>
      <c r="EY229" s="2" t="s">
        <v>324</v>
      </c>
      <c r="EZ229" s="2" t="s">
        <v>324</v>
      </c>
      <c r="FA229" s="2" t="s">
        <v>324</v>
      </c>
      <c r="FB229" s="2" t="s">
        <v>324</v>
      </c>
      <c r="FC229" s="2" t="s">
        <v>324</v>
      </c>
      <c r="FD229" s="2" t="s">
        <v>324</v>
      </c>
      <c r="FE229" s="2" t="s">
        <v>324</v>
      </c>
      <c r="FF229" s="2" t="s">
        <v>324</v>
      </c>
      <c r="FG229" s="2" t="s">
        <v>324</v>
      </c>
      <c r="FH229" s="2" t="s">
        <v>324</v>
      </c>
      <c r="FI229" s="2" t="s">
        <v>324</v>
      </c>
      <c r="FJ229" s="2" t="s">
        <v>324</v>
      </c>
      <c r="FK229" s="2" t="s">
        <v>324</v>
      </c>
      <c r="FL229" s="2" t="s">
        <v>324</v>
      </c>
      <c r="FM229" s="2" t="s">
        <v>324</v>
      </c>
      <c r="FN229" s="2" t="s">
        <v>324</v>
      </c>
      <c r="FO229" s="2" t="s">
        <v>324</v>
      </c>
      <c r="FP229" s="2" t="s">
        <v>324</v>
      </c>
      <c r="FQ229" s="2" t="s">
        <v>324</v>
      </c>
    </row>
    <row r="230" spans="1:173">
      <c r="A230" s="335" t="s">
        <v>1423</v>
      </c>
      <c r="B230" s="2" t="s">
        <v>1423</v>
      </c>
      <c r="C230" s="2" t="s">
        <v>229</v>
      </c>
      <c r="D230" s="2" t="s">
        <v>870</v>
      </c>
      <c r="E230" s="2" t="s">
        <v>1424</v>
      </c>
      <c r="F230" s="2" t="s">
        <v>1397</v>
      </c>
      <c r="G230" s="2" t="s">
        <v>324</v>
      </c>
      <c r="H230" s="2" t="s">
        <v>324</v>
      </c>
      <c r="I230" s="435">
        <v>48.45</v>
      </c>
      <c r="J230" s="435">
        <v>45.7</v>
      </c>
      <c r="K230" s="435"/>
      <c r="L230" s="435"/>
      <c r="N230" s="422"/>
      <c r="O230" s="422"/>
      <c r="P230" s="346" t="s">
        <v>2449</v>
      </c>
      <c r="Q230" s="346" t="s">
        <v>3104</v>
      </c>
      <c r="R230" s="346" t="s">
        <v>2450</v>
      </c>
      <c r="S230" s="346" t="s">
        <v>159</v>
      </c>
      <c r="T230" s="346" t="s">
        <v>2941</v>
      </c>
      <c r="U230" s="346">
        <v>116</v>
      </c>
      <c r="V230" s="422" cm="1">
        <f t="array" ref="V230">IFERROR(INDEX('Offer Statistics'!$CH$2:$CH$350,MATCH(1,(B230='Offer Statistics'!$BS$2:$BS$350)*($B$11='Offer Statistics'!$BT$2:$BT$350),0)),"/")</f>
        <v>161</v>
      </c>
      <c r="W230" s="422" cm="1">
        <f t="array" ref="W230">IFERROR(INDEX('Offer Statistics'!$BU$2:$BU$350,MATCH(1,(B230='Offer Statistics'!$BS$2:$BS$350)*($B$11='Offer Statistics'!$BT$2:$BT$350),0)),"/")</f>
        <v>522</v>
      </c>
      <c r="X230" s="422" cm="1">
        <f t="array" ref="X230">IFERROR(INDEX('Offer Statistics'!$CC$2:$CC$350,MATCH(1,(B230='Offer Statistics'!$BS$2:$BS$350)*($B$11='Offer Statistics'!$BT$2:$BT$350),0)),"/")</f>
        <v>158</v>
      </c>
      <c r="Y230" s="422">
        <f t="shared" si="375"/>
        <v>3.3037974683544302</v>
      </c>
      <c r="Z230" s="422" t="s">
        <v>1046</v>
      </c>
      <c r="AA230" s="422" t="str">
        <f>入學要求!AF239</f>
        <v>以下一科選修取得Lv.3︰生物、化學、組合科學、物理、ICT</v>
      </c>
      <c r="AB230" s="422" t="str">
        <f>入學要求!AG239</f>
        <v>/</v>
      </c>
      <c r="AC230" s="346" t="s">
        <v>1397</v>
      </c>
      <c r="AD230" s="422"/>
      <c r="AE230" s="422"/>
      <c r="AF230" s="422"/>
      <c r="AG230" s="422"/>
      <c r="AH230" s="346" t="s">
        <v>1413</v>
      </c>
      <c r="AI230" s="346" t="s">
        <v>1414</v>
      </c>
      <c r="AJ230" s="346" t="s">
        <v>1415</v>
      </c>
      <c r="AK230" s="346" t="s">
        <v>1400</v>
      </c>
      <c r="AL230" s="346" t="s">
        <v>2429</v>
      </c>
      <c r="AM230" s="346" t="s">
        <v>2430</v>
      </c>
      <c r="AN230" s="346" t="s">
        <v>324</v>
      </c>
      <c r="AO230" s="346" t="s">
        <v>324</v>
      </c>
      <c r="AP230" s="346" t="s">
        <v>324</v>
      </c>
      <c r="AQ230" s="435" t="s">
        <v>3096</v>
      </c>
      <c r="AR230" s="422" t="s">
        <v>3309</v>
      </c>
      <c r="AS230" s="422" t="s">
        <v>3310</v>
      </c>
      <c r="AT230" s="2" t="s">
        <v>716</v>
      </c>
      <c r="AV230" s="2" t="s">
        <v>713</v>
      </c>
      <c r="AZ230" s="2" t="s">
        <v>324</v>
      </c>
      <c r="BA230" s="2" t="s">
        <v>324</v>
      </c>
      <c r="BB230" s="2" t="s">
        <v>324</v>
      </c>
      <c r="BC230" s="2" t="s">
        <v>324</v>
      </c>
      <c r="BD230" s="2" t="s">
        <v>324</v>
      </c>
      <c r="BE230" s="2" t="s">
        <v>324</v>
      </c>
      <c r="BF230" s="2" t="s">
        <v>324</v>
      </c>
      <c r="BG230" s="2" t="s">
        <v>324</v>
      </c>
      <c r="BH230" s="2" t="s">
        <v>324</v>
      </c>
      <c r="BI230" s="2" t="s">
        <v>324</v>
      </c>
      <c r="BJ230" s="2" t="s">
        <v>324</v>
      </c>
      <c r="BK230" s="2" t="s">
        <v>324</v>
      </c>
      <c r="BL230" s="2" t="s">
        <v>324</v>
      </c>
      <c r="BM230" s="2" t="s">
        <v>324</v>
      </c>
      <c r="BN230" s="2" t="s">
        <v>324</v>
      </c>
      <c r="BO230" s="2" t="s">
        <v>324</v>
      </c>
      <c r="BP230" s="2" t="s">
        <v>324</v>
      </c>
      <c r="BQ230" s="2" t="s">
        <v>324</v>
      </c>
      <c r="BR230" s="2" t="s">
        <v>324</v>
      </c>
      <c r="BS230" s="2" t="s">
        <v>324</v>
      </c>
      <c r="BT230" s="2" t="s">
        <v>324</v>
      </c>
      <c r="BU230" s="2" t="s">
        <v>324</v>
      </c>
      <c r="BV230" s="2" t="s">
        <v>324</v>
      </c>
      <c r="BW230" s="2" t="s">
        <v>324</v>
      </c>
      <c r="BX230" s="2" t="s">
        <v>324</v>
      </c>
      <c r="BY230" s="2" t="s">
        <v>324</v>
      </c>
      <c r="BZ230" s="2" t="s">
        <v>324</v>
      </c>
      <c r="CA230" s="2" t="s">
        <v>324</v>
      </c>
      <c r="CB230" s="2" t="s">
        <v>324</v>
      </c>
      <c r="CC230" s="2" t="s">
        <v>324</v>
      </c>
      <c r="CD230" s="2" t="s">
        <v>324</v>
      </c>
      <c r="CE230" s="2" t="s">
        <v>324</v>
      </c>
      <c r="CF230" s="2" t="s">
        <v>324</v>
      </c>
      <c r="CG230" s="2" t="s">
        <v>324</v>
      </c>
      <c r="CH230" s="2" t="s">
        <v>324</v>
      </c>
      <c r="CI230" s="2" t="s">
        <v>324</v>
      </c>
      <c r="CJ230" s="2" t="s">
        <v>324</v>
      </c>
      <c r="CK230" s="2" t="s">
        <v>324</v>
      </c>
      <c r="CL230" s="2" t="s">
        <v>324</v>
      </c>
      <c r="CM230" s="2" t="s">
        <v>324</v>
      </c>
      <c r="CN230" s="2" t="s">
        <v>324</v>
      </c>
      <c r="CO230" s="2" t="s">
        <v>324</v>
      </c>
      <c r="CP230" s="2" t="s">
        <v>324</v>
      </c>
      <c r="CQ230" s="2" t="s">
        <v>324</v>
      </c>
      <c r="CR230" s="2" t="s">
        <v>324</v>
      </c>
      <c r="CS230" s="2" t="s">
        <v>324</v>
      </c>
      <c r="CT230" s="2" t="s">
        <v>324</v>
      </c>
      <c r="CU230" s="2" t="s">
        <v>324</v>
      </c>
      <c r="CV230" s="2" t="s">
        <v>324</v>
      </c>
      <c r="CW230" s="2" t="s">
        <v>324</v>
      </c>
      <c r="CX230" s="2" t="s">
        <v>324</v>
      </c>
      <c r="CY230" s="2" t="s">
        <v>324</v>
      </c>
      <c r="CZ230" s="2" t="s">
        <v>324</v>
      </c>
      <c r="DA230" s="2" t="s">
        <v>324</v>
      </c>
      <c r="DB230" s="2" t="s">
        <v>324</v>
      </c>
      <c r="DC230" s="2" t="s">
        <v>324</v>
      </c>
      <c r="DD230" s="2" t="s">
        <v>324</v>
      </c>
      <c r="DE230" s="2" t="s">
        <v>324</v>
      </c>
      <c r="DF230" s="2" t="s">
        <v>324</v>
      </c>
      <c r="DG230" s="2" t="s">
        <v>324</v>
      </c>
      <c r="DH230" s="2" t="s">
        <v>324</v>
      </c>
      <c r="DI230" s="2" t="s">
        <v>324</v>
      </c>
      <c r="DJ230" s="2" t="s">
        <v>324</v>
      </c>
      <c r="DK230" s="2" t="s">
        <v>324</v>
      </c>
      <c r="DL230" s="2" t="s">
        <v>324</v>
      </c>
      <c r="DM230" s="2" t="s">
        <v>324</v>
      </c>
      <c r="DN230" s="2" t="s">
        <v>324</v>
      </c>
      <c r="DO230" s="2" t="s">
        <v>324</v>
      </c>
      <c r="DP230" s="2" t="s">
        <v>324</v>
      </c>
      <c r="DQ230" s="2" t="s">
        <v>324</v>
      </c>
      <c r="DR230" s="2" t="s">
        <v>324</v>
      </c>
      <c r="DS230" s="2" t="s">
        <v>324</v>
      </c>
      <c r="DT230" s="2" t="s">
        <v>324</v>
      </c>
      <c r="DU230" s="2" t="s">
        <v>324</v>
      </c>
      <c r="DV230" s="2" t="s">
        <v>324</v>
      </c>
      <c r="DW230" s="2" t="s">
        <v>324</v>
      </c>
      <c r="DX230" s="2" t="s">
        <v>324</v>
      </c>
      <c r="DY230" s="2" t="s">
        <v>324</v>
      </c>
      <c r="DZ230" s="2" t="s">
        <v>324</v>
      </c>
      <c r="EA230" s="2" t="s">
        <v>324</v>
      </c>
      <c r="EB230" s="2" t="s">
        <v>324</v>
      </c>
      <c r="EC230" s="2" t="s">
        <v>324</v>
      </c>
      <c r="ED230" s="2" t="s">
        <v>324</v>
      </c>
      <c r="EE230" s="2" t="s">
        <v>324</v>
      </c>
      <c r="EF230" s="2" t="s">
        <v>324</v>
      </c>
      <c r="EG230" s="2" t="s">
        <v>324</v>
      </c>
      <c r="EH230" s="2" t="s">
        <v>324</v>
      </c>
      <c r="EI230" s="2" t="s">
        <v>324</v>
      </c>
      <c r="EJ230" s="2" t="s">
        <v>324</v>
      </c>
      <c r="EK230" s="2" t="s">
        <v>324</v>
      </c>
      <c r="EL230" s="2" t="s">
        <v>324</v>
      </c>
      <c r="EM230" s="2" t="s">
        <v>324</v>
      </c>
      <c r="EN230" s="2" t="s">
        <v>324</v>
      </c>
      <c r="EO230" s="2" t="s">
        <v>324</v>
      </c>
      <c r="EP230" s="2" t="s">
        <v>324</v>
      </c>
      <c r="EQ230" s="2" t="s">
        <v>324</v>
      </c>
      <c r="ER230" s="2" t="s">
        <v>324</v>
      </c>
      <c r="ES230" s="2" t="s">
        <v>324</v>
      </c>
      <c r="ET230" s="2" t="s">
        <v>324</v>
      </c>
      <c r="EU230" s="2" t="s">
        <v>324</v>
      </c>
      <c r="EV230" s="2" t="s">
        <v>324</v>
      </c>
      <c r="EW230" s="2" t="s">
        <v>324</v>
      </c>
      <c r="EX230" s="2" t="s">
        <v>324</v>
      </c>
      <c r="EY230" s="2" t="s">
        <v>324</v>
      </c>
      <c r="EZ230" s="2" t="s">
        <v>324</v>
      </c>
      <c r="FA230" s="2" t="s">
        <v>324</v>
      </c>
      <c r="FB230" s="2" t="s">
        <v>324</v>
      </c>
      <c r="FC230" s="2" t="s">
        <v>324</v>
      </c>
      <c r="FD230" s="2" t="s">
        <v>324</v>
      </c>
      <c r="FE230" s="2" t="s">
        <v>324</v>
      </c>
      <c r="FF230" s="2" t="s">
        <v>324</v>
      </c>
      <c r="FG230" s="2" t="s">
        <v>324</v>
      </c>
      <c r="FH230" s="2" t="s">
        <v>324</v>
      </c>
      <c r="FI230" s="2" t="s">
        <v>324</v>
      </c>
      <c r="FJ230" s="2" t="s">
        <v>324</v>
      </c>
      <c r="FK230" s="2" t="s">
        <v>324</v>
      </c>
      <c r="FL230" s="2" t="s">
        <v>324</v>
      </c>
      <c r="FM230" s="2" t="s">
        <v>324</v>
      </c>
      <c r="FN230" s="2" t="s">
        <v>324</v>
      </c>
      <c r="FO230" s="2" t="s">
        <v>324</v>
      </c>
      <c r="FP230" s="2" t="s">
        <v>324</v>
      </c>
      <c r="FQ230" s="2" t="s">
        <v>324</v>
      </c>
    </row>
    <row r="231" spans="1:173">
      <c r="A231" s="335" t="s">
        <v>1425</v>
      </c>
      <c r="B231" s="2" t="s">
        <v>1425</v>
      </c>
      <c r="C231" s="2" t="s">
        <v>229</v>
      </c>
      <c r="D231" s="2" t="s">
        <v>710</v>
      </c>
      <c r="E231" s="2" t="s">
        <v>1426</v>
      </c>
      <c r="F231" s="2" t="s">
        <v>1397</v>
      </c>
      <c r="G231" s="2" t="s">
        <v>324</v>
      </c>
      <c r="H231" s="2" t="s">
        <v>324</v>
      </c>
      <c r="I231" s="435">
        <v>32.5</v>
      </c>
      <c r="J231" s="435">
        <v>32.049999999999997</v>
      </c>
      <c r="K231" s="435"/>
      <c r="L231" s="435"/>
      <c r="N231" s="422"/>
      <c r="O231" s="422"/>
      <c r="P231" s="346" t="s">
        <v>2440</v>
      </c>
      <c r="Q231" s="346" t="s">
        <v>324</v>
      </c>
      <c r="R231" s="346" t="s">
        <v>324</v>
      </c>
      <c r="S231" s="346" t="s">
        <v>160</v>
      </c>
      <c r="T231" s="346" t="s">
        <v>2941</v>
      </c>
      <c r="U231" s="346">
        <v>350</v>
      </c>
      <c r="V231" s="422" cm="1">
        <f t="array" ref="V231">IFERROR(INDEX('Offer Statistics'!$CH$2:$CH$350,MATCH(1,(B231='Offer Statistics'!$BS$2:$BS$350)*($B$11='Offer Statistics'!$BT$2:$BT$350),0)),"/")</f>
        <v>235</v>
      </c>
      <c r="W231" s="422" cm="1">
        <f t="array" ref="W231">IFERROR(INDEX('Offer Statistics'!$BU$2:$BU$350,MATCH(1,(B231='Offer Statistics'!$BS$2:$BS$350)*($B$11='Offer Statistics'!$BT$2:$BT$350),0)),"/")</f>
        <v>1035</v>
      </c>
      <c r="X231" s="422" cm="1">
        <f t="array" ref="X231">IFERROR(INDEX('Offer Statistics'!$CC$2:$CC$350,MATCH(1,(B231='Offer Statistics'!$BS$2:$BS$350)*($B$11='Offer Statistics'!$BT$2:$BT$350),0)),"/")</f>
        <v>235</v>
      </c>
      <c r="Y231" s="422">
        <f t="shared" si="375"/>
        <v>4.4042553191489358</v>
      </c>
      <c r="Z231" s="422" t="s">
        <v>1046</v>
      </c>
      <c r="AA231" s="422" t="str">
        <f>入學要求!AF240</f>
        <v>/</v>
      </c>
      <c r="AB231" s="422" t="str">
        <f>入學要求!AG240</f>
        <v>/</v>
      </c>
      <c r="AC231" s="346" t="s">
        <v>1397</v>
      </c>
      <c r="AD231" s="346"/>
      <c r="AE231" s="346"/>
      <c r="AF231" s="346"/>
      <c r="AG231" s="346"/>
      <c r="AH231" s="346" t="s">
        <v>2440</v>
      </c>
      <c r="AI231" s="346" t="s">
        <v>324</v>
      </c>
      <c r="AJ231" s="346" t="s">
        <v>324</v>
      </c>
      <c r="AK231" s="346" t="s">
        <v>2427</v>
      </c>
      <c r="AL231" s="346" t="s">
        <v>3108</v>
      </c>
      <c r="AM231" s="346" t="s">
        <v>324</v>
      </c>
      <c r="AN231" s="346" t="s">
        <v>324</v>
      </c>
      <c r="AO231" s="346" t="s">
        <v>324</v>
      </c>
      <c r="AP231" s="346" t="s">
        <v>324</v>
      </c>
      <c r="AQ231" s="435" t="s">
        <v>3098</v>
      </c>
      <c r="AR231" s="422" t="s">
        <v>3309</v>
      </c>
      <c r="AS231" s="422" t="s">
        <v>3310</v>
      </c>
      <c r="AT231" s="2" t="s">
        <v>716</v>
      </c>
      <c r="AV231" s="2" t="s">
        <v>713</v>
      </c>
      <c r="AZ231" s="2" t="s">
        <v>324</v>
      </c>
      <c r="BA231" s="2" t="s">
        <v>324</v>
      </c>
      <c r="BB231" s="2" t="s">
        <v>324</v>
      </c>
      <c r="BC231" s="2" t="s">
        <v>324</v>
      </c>
      <c r="BD231" s="2" t="s">
        <v>324</v>
      </c>
      <c r="BE231" s="2" t="s">
        <v>324</v>
      </c>
      <c r="BF231" s="2" t="s">
        <v>324</v>
      </c>
      <c r="BG231" s="2" t="s">
        <v>324</v>
      </c>
      <c r="BH231" s="2" t="s">
        <v>324</v>
      </c>
      <c r="BI231" s="2" t="s">
        <v>324</v>
      </c>
      <c r="BJ231" s="2" t="s">
        <v>324</v>
      </c>
      <c r="BK231" s="2" t="s">
        <v>324</v>
      </c>
      <c r="BL231" s="2" t="s">
        <v>324</v>
      </c>
      <c r="BM231" s="2" t="s">
        <v>324</v>
      </c>
      <c r="BN231" s="2" t="s">
        <v>324</v>
      </c>
      <c r="BO231" s="2" t="s">
        <v>324</v>
      </c>
      <c r="BP231" s="2" t="s">
        <v>324</v>
      </c>
      <c r="BQ231" s="2" t="s">
        <v>324</v>
      </c>
      <c r="BR231" s="2" t="s">
        <v>324</v>
      </c>
      <c r="BS231" s="2" t="s">
        <v>324</v>
      </c>
      <c r="BT231" s="2" t="s">
        <v>324</v>
      </c>
      <c r="BU231" s="2" t="s">
        <v>324</v>
      </c>
      <c r="BV231" s="2" t="s">
        <v>324</v>
      </c>
      <c r="BW231" s="2" t="s">
        <v>324</v>
      </c>
      <c r="BX231" s="2" t="s">
        <v>324</v>
      </c>
      <c r="BY231" s="2" t="s">
        <v>324</v>
      </c>
      <c r="BZ231" s="2" t="s">
        <v>324</v>
      </c>
      <c r="CA231" s="2" t="s">
        <v>324</v>
      </c>
      <c r="CB231" s="2" t="s">
        <v>324</v>
      </c>
      <c r="CC231" s="2" t="s">
        <v>324</v>
      </c>
      <c r="CD231" s="2" t="s">
        <v>324</v>
      </c>
      <c r="CE231" s="2" t="s">
        <v>324</v>
      </c>
      <c r="CF231" s="2" t="s">
        <v>324</v>
      </c>
      <c r="CG231" s="2" t="s">
        <v>324</v>
      </c>
      <c r="CH231" s="2" t="s">
        <v>324</v>
      </c>
      <c r="CI231" s="2" t="s">
        <v>324</v>
      </c>
      <c r="CJ231" s="2" t="s">
        <v>324</v>
      </c>
      <c r="CK231" s="2" t="s">
        <v>324</v>
      </c>
      <c r="CL231" s="2" t="s">
        <v>324</v>
      </c>
      <c r="CM231" s="2" t="s">
        <v>324</v>
      </c>
      <c r="CN231" s="2" t="s">
        <v>324</v>
      </c>
      <c r="CO231" s="2" t="s">
        <v>324</v>
      </c>
      <c r="CP231" s="2" t="s">
        <v>324</v>
      </c>
      <c r="CQ231" s="2" t="s">
        <v>324</v>
      </c>
      <c r="CR231" s="2" t="s">
        <v>324</v>
      </c>
      <c r="CS231" s="2" t="s">
        <v>324</v>
      </c>
      <c r="CT231" s="2" t="s">
        <v>324</v>
      </c>
      <c r="CU231" s="2" t="s">
        <v>324</v>
      </c>
      <c r="CV231" s="2" t="s">
        <v>324</v>
      </c>
      <c r="CW231" s="2" t="s">
        <v>324</v>
      </c>
      <c r="CX231" s="2" t="s">
        <v>324</v>
      </c>
      <c r="CY231" s="2" t="s">
        <v>324</v>
      </c>
      <c r="CZ231" s="2" t="s">
        <v>324</v>
      </c>
      <c r="DA231" s="2" t="s">
        <v>324</v>
      </c>
      <c r="DB231" s="2" t="s">
        <v>324</v>
      </c>
      <c r="DC231" s="2" t="s">
        <v>324</v>
      </c>
      <c r="DD231" s="2" t="s">
        <v>324</v>
      </c>
      <c r="DE231" s="2" t="s">
        <v>324</v>
      </c>
      <c r="DF231" s="2" t="s">
        <v>324</v>
      </c>
      <c r="DG231" s="2" t="s">
        <v>324</v>
      </c>
      <c r="DH231" s="2" t="s">
        <v>324</v>
      </c>
      <c r="DI231" s="2" t="s">
        <v>324</v>
      </c>
      <c r="DJ231" s="2" t="s">
        <v>324</v>
      </c>
      <c r="DK231" s="2" t="s">
        <v>324</v>
      </c>
      <c r="DL231" s="2" t="s">
        <v>324</v>
      </c>
      <c r="DM231" s="2" t="s">
        <v>324</v>
      </c>
      <c r="DN231" s="2" t="s">
        <v>324</v>
      </c>
      <c r="DO231" s="2" t="s">
        <v>324</v>
      </c>
      <c r="DP231" s="2" t="s">
        <v>324</v>
      </c>
      <c r="DQ231" s="2" t="s">
        <v>324</v>
      </c>
      <c r="DR231" s="2" t="s">
        <v>324</v>
      </c>
      <c r="DS231" s="2" t="s">
        <v>324</v>
      </c>
      <c r="DT231" s="2" t="s">
        <v>324</v>
      </c>
      <c r="DU231" s="2" t="s">
        <v>324</v>
      </c>
      <c r="DV231" s="2" t="s">
        <v>324</v>
      </c>
      <c r="DW231" s="2" t="s">
        <v>324</v>
      </c>
      <c r="DX231" s="2" t="s">
        <v>324</v>
      </c>
      <c r="DY231" s="2" t="s">
        <v>324</v>
      </c>
      <c r="DZ231" s="2" t="s">
        <v>324</v>
      </c>
      <c r="EA231" s="2" t="s">
        <v>324</v>
      </c>
      <c r="EB231" s="2" t="s">
        <v>324</v>
      </c>
      <c r="EC231" s="2" t="s">
        <v>324</v>
      </c>
      <c r="ED231" s="2" t="s">
        <v>324</v>
      </c>
      <c r="EE231" s="2" t="s">
        <v>324</v>
      </c>
      <c r="EF231" s="2" t="s">
        <v>324</v>
      </c>
      <c r="EG231" s="2" t="s">
        <v>324</v>
      </c>
      <c r="EH231" s="2" t="s">
        <v>324</v>
      </c>
      <c r="EI231" s="2" t="s">
        <v>324</v>
      </c>
      <c r="EJ231" s="2" t="s">
        <v>324</v>
      </c>
      <c r="EK231" s="2" t="s">
        <v>324</v>
      </c>
      <c r="EL231" s="2" t="s">
        <v>324</v>
      </c>
      <c r="EM231" s="2" t="s">
        <v>324</v>
      </c>
      <c r="EN231" s="2" t="s">
        <v>324</v>
      </c>
      <c r="EO231" s="2" t="s">
        <v>324</v>
      </c>
      <c r="EP231" s="2" t="s">
        <v>324</v>
      </c>
      <c r="EQ231" s="2" t="s">
        <v>324</v>
      </c>
      <c r="ER231" s="2" t="s">
        <v>324</v>
      </c>
      <c r="ES231" s="2" t="s">
        <v>324</v>
      </c>
      <c r="ET231" s="2" t="s">
        <v>324</v>
      </c>
      <c r="EU231" s="2" t="s">
        <v>324</v>
      </c>
      <c r="EV231" s="2" t="s">
        <v>324</v>
      </c>
      <c r="EW231" s="2" t="s">
        <v>324</v>
      </c>
      <c r="EX231" s="2" t="s">
        <v>324</v>
      </c>
      <c r="EY231" s="2" t="s">
        <v>324</v>
      </c>
      <c r="EZ231" s="2" t="s">
        <v>324</v>
      </c>
      <c r="FA231" s="2" t="s">
        <v>324</v>
      </c>
      <c r="FB231" s="2" t="s">
        <v>324</v>
      </c>
      <c r="FC231" s="2" t="s">
        <v>324</v>
      </c>
      <c r="FD231" s="2" t="s">
        <v>324</v>
      </c>
      <c r="FE231" s="2" t="s">
        <v>324</v>
      </c>
      <c r="FF231" s="2" t="s">
        <v>324</v>
      </c>
      <c r="FG231" s="2" t="s">
        <v>324</v>
      </c>
      <c r="FH231" s="2" t="s">
        <v>324</v>
      </c>
      <c r="FI231" s="2" t="s">
        <v>324</v>
      </c>
      <c r="FJ231" s="2" t="s">
        <v>324</v>
      </c>
      <c r="FK231" s="2" t="s">
        <v>324</v>
      </c>
      <c r="FL231" s="2" t="s">
        <v>324</v>
      </c>
      <c r="FM231" s="2" t="s">
        <v>324</v>
      </c>
      <c r="FN231" s="2" t="s">
        <v>324</v>
      </c>
      <c r="FO231" s="2" t="s">
        <v>324</v>
      </c>
      <c r="FP231" s="2" t="s">
        <v>324</v>
      </c>
      <c r="FQ231" s="2" t="s">
        <v>324</v>
      </c>
    </row>
    <row r="232" spans="1:173">
      <c r="A232" s="335" t="s">
        <v>1428</v>
      </c>
      <c r="B232" s="2" t="s">
        <v>1428</v>
      </c>
      <c r="C232" s="2" t="s">
        <v>229</v>
      </c>
      <c r="D232" s="2" t="s">
        <v>710</v>
      </c>
      <c r="E232" s="2" t="s">
        <v>1429</v>
      </c>
      <c r="F232" s="2" t="s">
        <v>1397</v>
      </c>
      <c r="G232" s="2" t="s">
        <v>324</v>
      </c>
      <c r="H232" s="2" t="s">
        <v>324</v>
      </c>
      <c r="I232" s="435">
        <v>35.049999999999997</v>
      </c>
      <c r="J232" s="435">
        <v>34.14</v>
      </c>
      <c r="K232" s="435"/>
      <c r="L232" s="435"/>
      <c r="N232" s="422"/>
      <c r="O232" s="422"/>
      <c r="P232" s="346" t="s">
        <v>2440</v>
      </c>
      <c r="Q232" s="346" t="s">
        <v>324</v>
      </c>
      <c r="R232" s="346" t="s">
        <v>324</v>
      </c>
      <c r="S232" s="346" t="s">
        <v>161</v>
      </c>
      <c r="T232" s="346" t="s">
        <v>2941</v>
      </c>
      <c r="U232" s="346" t="s">
        <v>2536</v>
      </c>
      <c r="V232" s="422" cm="1">
        <f t="array" ref="V232">IFERROR(INDEX('Offer Statistics'!$CH$2:$CH$350,MATCH(1,(B232='Offer Statistics'!$BS$2:$BS$350)*($B$11='Offer Statistics'!$BT$2:$BT$350),0)),"/")</f>
        <v>30</v>
      </c>
      <c r="W232" s="422" cm="1">
        <f t="array" ref="W232">IFERROR(INDEX('Offer Statistics'!$BU$2:$BU$350,MATCH(1,(B232='Offer Statistics'!$BS$2:$BS$350)*($B$11='Offer Statistics'!$BT$2:$BT$350),0)),"/")</f>
        <v>108</v>
      </c>
      <c r="X232" s="422" cm="1">
        <f t="array" ref="X232">IFERROR(INDEX('Offer Statistics'!$CC$2:$CC$350,MATCH(1,(B232='Offer Statistics'!$BS$2:$BS$350)*($B$11='Offer Statistics'!$BT$2:$BT$350),0)),"/")</f>
        <v>30</v>
      </c>
      <c r="Y232" s="422">
        <f t="shared" si="375"/>
        <v>3.6</v>
      </c>
      <c r="Z232" s="422" t="s">
        <v>1046</v>
      </c>
      <c r="AA232" s="422" t="str">
        <f>入學要求!AF241</f>
        <v>/</v>
      </c>
      <c r="AB232" s="422" t="str">
        <f>入學要求!AG241</f>
        <v>/</v>
      </c>
      <c r="AC232" s="346" t="s">
        <v>1397</v>
      </c>
      <c r="AD232" s="346"/>
      <c r="AE232" s="346"/>
      <c r="AF232" s="346"/>
      <c r="AG232" s="346"/>
      <c r="AH232" s="346" t="s">
        <v>2440</v>
      </c>
      <c r="AI232" s="346" t="s">
        <v>324</v>
      </c>
      <c r="AJ232" s="346" t="s">
        <v>324</v>
      </c>
      <c r="AK232" s="346" t="s">
        <v>2427</v>
      </c>
      <c r="AL232" s="346" t="s">
        <v>3109</v>
      </c>
      <c r="AM232" s="346" t="s">
        <v>324</v>
      </c>
      <c r="AN232" s="346" t="s">
        <v>324</v>
      </c>
      <c r="AO232" s="346" t="s">
        <v>324</v>
      </c>
      <c r="AP232" s="346" t="s">
        <v>324</v>
      </c>
      <c r="AQ232" s="435" t="s">
        <v>3098</v>
      </c>
      <c r="AR232" s="422" t="s">
        <v>3309</v>
      </c>
      <c r="AS232" s="422" t="s">
        <v>3310</v>
      </c>
      <c r="AT232" s="2" t="s">
        <v>716</v>
      </c>
      <c r="AV232" s="2" t="s">
        <v>713</v>
      </c>
      <c r="AZ232" s="2" t="s">
        <v>324</v>
      </c>
      <c r="BA232" s="2" t="s">
        <v>324</v>
      </c>
      <c r="BB232" s="2" t="s">
        <v>324</v>
      </c>
      <c r="BC232" s="2" t="s">
        <v>324</v>
      </c>
      <c r="BD232" s="2" t="s">
        <v>324</v>
      </c>
      <c r="BE232" s="2" t="s">
        <v>324</v>
      </c>
      <c r="BF232" s="2" t="s">
        <v>324</v>
      </c>
      <c r="BG232" s="2" t="s">
        <v>324</v>
      </c>
      <c r="BH232" s="2" t="s">
        <v>324</v>
      </c>
      <c r="BI232" s="2" t="s">
        <v>324</v>
      </c>
      <c r="BJ232" s="2" t="s">
        <v>324</v>
      </c>
      <c r="BK232" s="2" t="s">
        <v>324</v>
      </c>
      <c r="BL232" s="2" t="s">
        <v>324</v>
      </c>
      <c r="BM232" s="2" t="s">
        <v>324</v>
      </c>
      <c r="BN232" s="2" t="s">
        <v>324</v>
      </c>
      <c r="BO232" s="2" t="s">
        <v>324</v>
      </c>
      <c r="BP232" s="2" t="s">
        <v>324</v>
      </c>
      <c r="BQ232" s="2" t="s">
        <v>324</v>
      </c>
      <c r="BR232" s="2" t="s">
        <v>324</v>
      </c>
      <c r="BS232" s="2" t="s">
        <v>324</v>
      </c>
      <c r="BT232" s="2" t="s">
        <v>324</v>
      </c>
      <c r="BU232" s="2" t="s">
        <v>324</v>
      </c>
      <c r="BV232" s="2" t="s">
        <v>324</v>
      </c>
      <c r="BW232" s="2" t="s">
        <v>324</v>
      </c>
      <c r="BX232" s="2" t="s">
        <v>324</v>
      </c>
      <c r="BY232" s="2" t="s">
        <v>324</v>
      </c>
      <c r="BZ232" s="2" t="s">
        <v>324</v>
      </c>
      <c r="CA232" s="2" t="s">
        <v>324</v>
      </c>
      <c r="CB232" s="2" t="s">
        <v>324</v>
      </c>
      <c r="CC232" s="2" t="s">
        <v>324</v>
      </c>
      <c r="CD232" s="2" t="s">
        <v>324</v>
      </c>
      <c r="CE232" s="2" t="s">
        <v>324</v>
      </c>
      <c r="CF232" s="2" t="s">
        <v>324</v>
      </c>
      <c r="CG232" s="2" t="s">
        <v>324</v>
      </c>
      <c r="CH232" s="2" t="s">
        <v>324</v>
      </c>
      <c r="CI232" s="2" t="s">
        <v>324</v>
      </c>
      <c r="CJ232" s="2" t="s">
        <v>324</v>
      </c>
      <c r="CK232" s="2" t="s">
        <v>324</v>
      </c>
      <c r="CL232" s="2" t="s">
        <v>324</v>
      </c>
      <c r="CM232" s="2" t="s">
        <v>324</v>
      </c>
      <c r="CN232" s="2" t="s">
        <v>324</v>
      </c>
      <c r="CO232" s="2" t="s">
        <v>324</v>
      </c>
      <c r="CP232" s="2" t="s">
        <v>324</v>
      </c>
      <c r="CQ232" s="2" t="s">
        <v>324</v>
      </c>
      <c r="CR232" s="2" t="s">
        <v>324</v>
      </c>
      <c r="CS232" s="2" t="s">
        <v>324</v>
      </c>
      <c r="CT232" s="2" t="s">
        <v>324</v>
      </c>
      <c r="CU232" s="2" t="s">
        <v>324</v>
      </c>
      <c r="CV232" s="2" t="s">
        <v>324</v>
      </c>
      <c r="CW232" s="2" t="s">
        <v>324</v>
      </c>
      <c r="CX232" s="2" t="s">
        <v>324</v>
      </c>
      <c r="CY232" s="2" t="s">
        <v>324</v>
      </c>
      <c r="CZ232" s="2" t="s">
        <v>324</v>
      </c>
      <c r="DA232" s="2" t="s">
        <v>324</v>
      </c>
      <c r="DB232" s="2" t="s">
        <v>324</v>
      </c>
      <c r="DC232" s="2" t="s">
        <v>324</v>
      </c>
      <c r="DD232" s="2" t="s">
        <v>324</v>
      </c>
      <c r="DE232" s="2" t="s">
        <v>324</v>
      </c>
      <c r="DF232" s="2" t="s">
        <v>324</v>
      </c>
      <c r="DG232" s="2" t="s">
        <v>324</v>
      </c>
      <c r="DH232" s="2" t="s">
        <v>324</v>
      </c>
      <c r="DI232" s="2" t="s">
        <v>324</v>
      </c>
      <c r="DJ232" s="2" t="s">
        <v>324</v>
      </c>
      <c r="DK232" s="2" t="s">
        <v>324</v>
      </c>
      <c r="DL232" s="2" t="s">
        <v>324</v>
      </c>
      <c r="DM232" s="2" t="s">
        <v>324</v>
      </c>
      <c r="DN232" s="2" t="s">
        <v>324</v>
      </c>
      <c r="DO232" s="2" t="s">
        <v>324</v>
      </c>
      <c r="DP232" s="2" t="s">
        <v>324</v>
      </c>
      <c r="DQ232" s="2" t="s">
        <v>324</v>
      </c>
      <c r="DR232" s="2" t="s">
        <v>324</v>
      </c>
      <c r="DS232" s="2" t="s">
        <v>324</v>
      </c>
      <c r="DT232" s="2" t="s">
        <v>324</v>
      </c>
      <c r="DU232" s="2" t="s">
        <v>324</v>
      </c>
      <c r="DV232" s="2" t="s">
        <v>324</v>
      </c>
      <c r="DW232" s="2" t="s">
        <v>324</v>
      </c>
      <c r="DX232" s="2" t="s">
        <v>324</v>
      </c>
      <c r="DY232" s="2" t="s">
        <v>324</v>
      </c>
      <c r="DZ232" s="2" t="s">
        <v>324</v>
      </c>
      <c r="EA232" s="2" t="s">
        <v>324</v>
      </c>
      <c r="EB232" s="2" t="s">
        <v>324</v>
      </c>
      <c r="EC232" s="2" t="s">
        <v>324</v>
      </c>
      <c r="ED232" s="2" t="s">
        <v>324</v>
      </c>
      <c r="EE232" s="2" t="s">
        <v>324</v>
      </c>
      <c r="EF232" s="2" t="s">
        <v>324</v>
      </c>
      <c r="EG232" s="2" t="s">
        <v>324</v>
      </c>
      <c r="EH232" s="2" t="s">
        <v>324</v>
      </c>
      <c r="EI232" s="2" t="s">
        <v>324</v>
      </c>
      <c r="EJ232" s="2" t="s">
        <v>324</v>
      </c>
      <c r="EK232" s="2" t="s">
        <v>324</v>
      </c>
      <c r="EL232" s="2" t="s">
        <v>324</v>
      </c>
      <c r="EM232" s="2" t="s">
        <v>324</v>
      </c>
      <c r="EN232" s="2" t="s">
        <v>324</v>
      </c>
      <c r="EO232" s="2" t="s">
        <v>324</v>
      </c>
      <c r="EP232" s="2" t="s">
        <v>324</v>
      </c>
      <c r="EQ232" s="2" t="s">
        <v>324</v>
      </c>
      <c r="ER232" s="2" t="s">
        <v>324</v>
      </c>
      <c r="ES232" s="2" t="s">
        <v>324</v>
      </c>
      <c r="ET232" s="2" t="s">
        <v>324</v>
      </c>
      <c r="EU232" s="2" t="s">
        <v>324</v>
      </c>
      <c r="EV232" s="2" t="s">
        <v>324</v>
      </c>
      <c r="EW232" s="2" t="s">
        <v>324</v>
      </c>
      <c r="EX232" s="2" t="s">
        <v>324</v>
      </c>
      <c r="EY232" s="2" t="s">
        <v>324</v>
      </c>
      <c r="EZ232" s="2" t="s">
        <v>324</v>
      </c>
      <c r="FA232" s="2" t="s">
        <v>324</v>
      </c>
      <c r="FB232" s="2" t="s">
        <v>324</v>
      </c>
      <c r="FC232" s="2" t="s">
        <v>324</v>
      </c>
      <c r="FD232" s="2" t="s">
        <v>324</v>
      </c>
      <c r="FE232" s="2" t="s">
        <v>324</v>
      </c>
      <c r="FF232" s="2" t="s">
        <v>324</v>
      </c>
      <c r="FG232" s="2" t="s">
        <v>324</v>
      </c>
      <c r="FH232" s="2" t="s">
        <v>324</v>
      </c>
      <c r="FI232" s="2" t="s">
        <v>324</v>
      </c>
      <c r="FJ232" s="2" t="s">
        <v>324</v>
      </c>
      <c r="FK232" s="2" t="s">
        <v>324</v>
      </c>
      <c r="FL232" s="2" t="s">
        <v>324</v>
      </c>
      <c r="FM232" s="2" t="s">
        <v>324</v>
      </c>
      <c r="FN232" s="2" t="s">
        <v>324</v>
      </c>
      <c r="FO232" s="2" t="s">
        <v>324</v>
      </c>
      <c r="FP232" s="2" t="s">
        <v>324</v>
      </c>
      <c r="FQ232" s="2" t="s">
        <v>324</v>
      </c>
    </row>
    <row r="233" spans="1:173">
      <c r="A233" s="335" t="s">
        <v>1430</v>
      </c>
      <c r="B233" s="2" t="s">
        <v>1430</v>
      </c>
      <c r="C233" s="2" t="s">
        <v>229</v>
      </c>
      <c r="D233" s="2" t="s">
        <v>710</v>
      </c>
      <c r="E233" s="2" t="s">
        <v>1431</v>
      </c>
      <c r="F233" s="2" t="s">
        <v>1397</v>
      </c>
      <c r="G233" s="2" t="s">
        <v>324</v>
      </c>
      <c r="H233" s="2" t="s">
        <v>324</v>
      </c>
      <c r="I233" s="435">
        <v>43.5</v>
      </c>
      <c r="J233" s="435">
        <v>42.75</v>
      </c>
      <c r="K233" s="435"/>
      <c r="L233" s="435"/>
      <c r="N233" s="422"/>
      <c r="O233" s="422"/>
      <c r="P233" s="346" t="s">
        <v>3105</v>
      </c>
      <c r="Q233" s="480" t="s">
        <v>2441</v>
      </c>
      <c r="R233" s="480" t="s">
        <v>2442</v>
      </c>
      <c r="S233" s="346" t="s">
        <v>162</v>
      </c>
      <c r="T233" s="346" t="s">
        <v>2941</v>
      </c>
      <c r="U233" s="346">
        <v>45</v>
      </c>
      <c r="V233" s="422" cm="1">
        <f t="array" ref="V233">IFERROR(INDEX('Offer Statistics'!$CH$2:$CH$350,MATCH(1,(B233='Offer Statistics'!$BS$2:$BS$350)*($B$11='Offer Statistics'!$BT$2:$BT$350),0)),"/")</f>
        <v>45</v>
      </c>
      <c r="W233" s="422" cm="1">
        <f t="array" ref="W233">IFERROR(INDEX('Offer Statistics'!$BU$2:$BU$350,MATCH(1,(B233='Offer Statistics'!$BS$2:$BS$350)*($B$11='Offer Statistics'!$BT$2:$BT$350),0)),"/")</f>
        <v>141</v>
      </c>
      <c r="X233" s="422" cm="1">
        <f t="array" ref="X233">IFERROR(INDEX('Offer Statistics'!$CC$2:$CC$350,MATCH(1,(B233='Offer Statistics'!$BS$2:$BS$350)*($B$11='Offer Statistics'!$BT$2:$BT$350),0)),"/")</f>
        <v>45</v>
      </c>
      <c r="Y233" s="422">
        <f t="shared" si="375"/>
        <v>3.1333333333333333</v>
      </c>
      <c r="Z233" s="422" t="s">
        <v>1046</v>
      </c>
      <c r="AA233" s="422" t="str">
        <f>入學要求!AF242</f>
        <v>/</v>
      </c>
      <c r="AB233" s="422" t="str">
        <f>入學要求!AG242</f>
        <v>/</v>
      </c>
      <c r="AC233" s="346" t="s">
        <v>1397</v>
      </c>
      <c r="AD233" s="422"/>
      <c r="AE233" s="422"/>
      <c r="AF233" s="422"/>
      <c r="AG233" s="422"/>
      <c r="AH233" s="346" t="s">
        <v>1432</v>
      </c>
      <c r="AI233" s="480" t="s">
        <v>2441</v>
      </c>
      <c r="AJ233" s="480" t="s">
        <v>2442</v>
      </c>
      <c r="AK233" s="346" t="s">
        <v>2427</v>
      </c>
      <c r="AL233" s="346" t="s">
        <v>3110</v>
      </c>
      <c r="AM233" s="346" t="s">
        <v>324</v>
      </c>
      <c r="AN233" s="346" t="s">
        <v>324</v>
      </c>
      <c r="AO233" s="346" t="s">
        <v>324</v>
      </c>
      <c r="AP233" s="346" t="s">
        <v>324</v>
      </c>
      <c r="AQ233" s="435" t="s">
        <v>3095</v>
      </c>
      <c r="AR233" s="422" t="s">
        <v>3309</v>
      </c>
      <c r="AS233" s="422" t="s">
        <v>3310</v>
      </c>
      <c r="AT233" s="2" t="s">
        <v>716</v>
      </c>
      <c r="AV233" s="2" t="s">
        <v>713</v>
      </c>
      <c r="AZ233" s="2" t="s">
        <v>324</v>
      </c>
      <c r="BA233" s="2" t="s">
        <v>324</v>
      </c>
      <c r="BB233" s="2" t="s">
        <v>324</v>
      </c>
      <c r="BC233" s="2" t="s">
        <v>324</v>
      </c>
      <c r="BD233" s="2" t="s">
        <v>324</v>
      </c>
      <c r="BE233" s="2" t="s">
        <v>324</v>
      </c>
      <c r="BF233" s="2" t="s">
        <v>324</v>
      </c>
      <c r="BG233" s="2" t="s">
        <v>324</v>
      </c>
      <c r="BH233" s="2" t="s">
        <v>324</v>
      </c>
      <c r="BI233" s="2" t="s">
        <v>324</v>
      </c>
      <c r="BJ233" s="2" t="s">
        <v>324</v>
      </c>
      <c r="BK233" s="2" t="s">
        <v>324</v>
      </c>
      <c r="BL233" s="2" t="s">
        <v>324</v>
      </c>
      <c r="BM233" s="2" t="s">
        <v>324</v>
      </c>
      <c r="BN233" s="2" t="s">
        <v>324</v>
      </c>
      <c r="BO233" s="2" t="s">
        <v>324</v>
      </c>
      <c r="BP233" s="2" t="s">
        <v>324</v>
      </c>
      <c r="BQ233" s="2" t="s">
        <v>324</v>
      </c>
      <c r="BR233" s="2" t="s">
        <v>324</v>
      </c>
      <c r="BS233" s="2" t="s">
        <v>324</v>
      </c>
      <c r="BT233" s="2" t="s">
        <v>324</v>
      </c>
      <c r="BU233" s="2" t="s">
        <v>324</v>
      </c>
      <c r="BV233" s="2" t="s">
        <v>324</v>
      </c>
      <c r="BW233" s="2" t="s">
        <v>324</v>
      </c>
      <c r="BX233" s="2" t="s">
        <v>324</v>
      </c>
      <c r="BY233" s="2" t="s">
        <v>324</v>
      </c>
      <c r="BZ233" s="2" t="s">
        <v>324</v>
      </c>
      <c r="CA233" s="2" t="s">
        <v>324</v>
      </c>
      <c r="CB233" s="2" t="s">
        <v>324</v>
      </c>
      <c r="CC233" s="2" t="s">
        <v>324</v>
      </c>
      <c r="CD233" s="2" t="s">
        <v>324</v>
      </c>
      <c r="CE233" s="2" t="s">
        <v>324</v>
      </c>
      <c r="CF233" s="2" t="s">
        <v>324</v>
      </c>
      <c r="CG233" s="2" t="s">
        <v>324</v>
      </c>
      <c r="CH233" s="2" t="s">
        <v>324</v>
      </c>
      <c r="CI233" s="2" t="s">
        <v>324</v>
      </c>
      <c r="CJ233" s="2" t="s">
        <v>324</v>
      </c>
      <c r="CK233" s="2" t="s">
        <v>324</v>
      </c>
      <c r="CL233" s="2" t="s">
        <v>324</v>
      </c>
      <c r="CM233" s="2" t="s">
        <v>324</v>
      </c>
      <c r="CN233" s="2" t="s">
        <v>324</v>
      </c>
      <c r="CO233" s="2" t="s">
        <v>324</v>
      </c>
      <c r="CP233" s="2" t="s">
        <v>324</v>
      </c>
      <c r="CQ233" s="2" t="s">
        <v>324</v>
      </c>
      <c r="CR233" s="2" t="s">
        <v>324</v>
      </c>
      <c r="CS233" s="2" t="s">
        <v>324</v>
      </c>
      <c r="CT233" s="2" t="s">
        <v>324</v>
      </c>
      <c r="CU233" s="2" t="s">
        <v>324</v>
      </c>
      <c r="CV233" s="2" t="s">
        <v>324</v>
      </c>
      <c r="CW233" s="2" t="s">
        <v>324</v>
      </c>
      <c r="CX233" s="2" t="s">
        <v>324</v>
      </c>
      <c r="CY233" s="2" t="s">
        <v>324</v>
      </c>
      <c r="CZ233" s="2" t="s">
        <v>324</v>
      </c>
      <c r="DA233" s="2" t="s">
        <v>324</v>
      </c>
      <c r="DB233" s="2" t="s">
        <v>324</v>
      </c>
      <c r="DC233" s="2" t="s">
        <v>324</v>
      </c>
      <c r="DD233" s="2" t="s">
        <v>324</v>
      </c>
      <c r="DE233" s="2" t="s">
        <v>324</v>
      </c>
      <c r="DF233" s="2" t="s">
        <v>324</v>
      </c>
      <c r="DG233" s="2" t="s">
        <v>324</v>
      </c>
      <c r="DH233" s="2" t="s">
        <v>324</v>
      </c>
      <c r="DI233" s="2" t="s">
        <v>324</v>
      </c>
      <c r="DJ233" s="2" t="s">
        <v>324</v>
      </c>
      <c r="DK233" s="2" t="s">
        <v>324</v>
      </c>
      <c r="DL233" s="2" t="s">
        <v>324</v>
      </c>
      <c r="DM233" s="2" t="s">
        <v>324</v>
      </c>
      <c r="DN233" s="2" t="s">
        <v>324</v>
      </c>
      <c r="DO233" s="2" t="s">
        <v>324</v>
      </c>
      <c r="DP233" s="2" t="s">
        <v>324</v>
      </c>
      <c r="DQ233" s="2" t="s">
        <v>324</v>
      </c>
      <c r="DR233" s="2" t="s">
        <v>324</v>
      </c>
      <c r="DS233" s="2" t="s">
        <v>324</v>
      </c>
      <c r="DT233" s="2" t="s">
        <v>324</v>
      </c>
      <c r="DU233" s="2" t="s">
        <v>324</v>
      </c>
      <c r="DV233" s="2" t="s">
        <v>324</v>
      </c>
      <c r="DW233" s="2" t="s">
        <v>324</v>
      </c>
      <c r="DX233" s="2" t="s">
        <v>324</v>
      </c>
      <c r="DY233" s="2" t="s">
        <v>324</v>
      </c>
      <c r="DZ233" s="2" t="s">
        <v>324</v>
      </c>
      <c r="EA233" s="2" t="s">
        <v>324</v>
      </c>
      <c r="EB233" s="2" t="s">
        <v>324</v>
      </c>
      <c r="EC233" s="2" t="s">
        <v>324</v>
      </c>
      <c r="ED233" s="2" t="s">
        <v>324</v>
      </c>
      <c r="EE233" s="2" t="s">
        <v>324</v>
      </c>
      <c r="EF233" s="2" t="s">
        <v>324</v>
      </c>
      <c r="EG233" s="2" t="s">
        <v>324</v>
      </c>
      <c r="EH233" s="2" t="s">
        <v>324</v>
      </c>
      <c r="EI233" s="2" t="s">
        <v>324</v>
      </c>
      <c r="EJ233" s="2" t="s">
        <v>324</v>
      </c>
      <c r="EK233" s="2" t="s">
        <v>324</v>
      </c>
      <c r="EL233" s="2" t="s">
        <v>324</v>
      </c>
      <c r="EM233" s="2" t="s">
        <v>324</v>
      </c>
      <c r="EN233" s="2" t="s">
        <v>324</v>
      </c>
      <c r="EO233" s="2" t="s">
        <v>324</v>
      </c>
      <c r="EP233" s="2" t="s">
        <v>324</v>
      </c>
      <c r="EQ233" s="2" t="s">
        <v>324</v>
      </c>
      <c r="ER233" s="2" t="s">
        <v>324</v>
      </c>
      <c r="ES233" s="2" t="s">
        <v>324</v>
      </c>
      <c r="ET233" s="2" t="s">
        <v>324</v>
      </c>
      <c r="EU233" s="2" t="s">
        <v>324</v>
      </c>
      <c r="EV233" s="2" t="s">
        <v>324</v>
      </c>
      <c r="EW233" s="2" t="s">
        <v>324</v>
      </c>
      <c r="EX233" s="2" t="s">
        <v>324</v>
      </c>
      <c r="EY233" s="2" t="s">
        <v>324</v>
      </c>
      <c r="EZ233" s="2" t="s">
        <v>324</v>
      </c>
      <c r="FA233" s="2" t="s">
        <v>324</v>
      </c>
      <c r="FB233" s="2" t="s">
        <v>324</v>
      </c>
      <c r="FC233" s="2" t="s">
        <v>324</v>
      </c>
      <c r="FD233" s="2" t="s">
        <v>324</v>
      </c>
      <c r="FE233" s="2" t="s">
        <v>324</v>
      </c>
      <c r="FF233" s="2" t="s">
        <v>324</v>
      </c>
      <c r="FG233" s="2" t="s">
        <v>324</v>
      </c>
      <c r="FH233" s="2" t="s">
        <v>324</v>
      </c>
      <c r="FI233" s="2" t="s">
        <v>324</v>
      </c>
      <c r="FJ233" s="2" t="s">
        <v>324</v>
      </c>
      <c r="FK233" s="2" t="s">
        <v>324</v>
      </c>
      <c r="FL233" s="2" t="s">
        <v>324</v>
      </c>
      <c r="FM233" s="2" t="s">
        <v>324</v>
      </c>
      <c r="FN233" s="2" t="s">
        <v>324</v>
      </c>
      <c r="FO233" s="2" t="s">
        <v>324</v>
      </c>
      <c r="FP233" s="2" t="s">
        <v>324</v>
      </c>
      <c r="FQ233" s="2" t="s">
        <v>324</v>
      </c>
    </row>
    <row r="234" spans="1:173">
      <c r="A234" s="335" t="s">
        <v>1433</v>
      </c>
      <c r="B234" s="2" t="s">
        <v>1433</v>
      </c>
      <c r="C234" s="2" t="s">
        <v>229</v>
      </c>
      <c r="D234" s="2" t="s">
        <v>710</v>
      </c>
      <c r="E234" s="2" t="s">
        <v>1434</v>
      </c>
      <c r="F234" s="2" t="s">
        <v>1397</v>
      </c>
      <c r="G234" s="2" t="s">
        <v>324</v>
      </c>
      <c r="H234" s="2" t="s">
        <v>324</v>
      </c>
      <c r="I234" s="435">
        <v>53.44</v>
      </c>
      <c r="J234" s="435">
        <v>50.06</v>
      </c>
      <c r="K234" s="435"/>
      <c r="L234" s="435"/>
      <c r="N234" s="422"/>
      <c r="O234" s="422"/>
      <c r="P234" s="346" t="s">
        <v>2440</v>
      </c>
      <c r="Q234" s="346" t="s">
        <v>324</v>
      </c>
      <c r="R234" s="346" t="s">
        <v>324</v>
      </c>
      <c r="S234" s="346" t="s">
        <v>163</v>
      </c>
      <c r="T234" s="346" t="s">
        <v>2941</v>
      </c>
      <c r="U234" s="346">
        <v>30</v>
      </c>
      <c r="V234" s="422" cm="1">
        <f t="array" ref="V234">IFERROR(INDEX('Offer Statistics'!$CH$2:$CH$350,MATCH(1,(B234='Offer Statistics'!$BS$2:$BS$350)*($B$11='Offer Statistics'!$BT$2:$BT$350),0)),"/")</f>
        <v>18</v>
      </c>
      <c r="W234" s="422" cm="1">
        <f t="array" ref="W234">IFERROR(INDEX('Offer Statistics'!$BU$2:$BU$350,MATCH(1,(B234='Offer Statistics'!$BS$2:$BS$350)*($B$11='Offer Statistics'!$BT$2:$BT$350),0)),"/")</f>
        <v>64</v>
      </c>
      <c r="X234" s="422" cm="1">
        <f t="array" ref="X234">IFERROR(INDEX('Offer Statistics'!$CC$2:$CC$350,MATCH(1,(B234='Offer Statistics'!$BS$2:$BS$350)*($B$11='Offer Statistics'!$BT$2:$BT$350),0)),"/")</f>
        <v>18</v>
      </c>
      <c r="Y234" s="422">
        <f t="shared" si="375"/>
        <v>3.5555555555555554</v>
      </c>
      <c r="Z234" s="422" t="s">
        <v>1046</v>
      </c>
      <c r="AA234" s="422" t="str">
        <f>入學要求!AF243</f>
        <v>英文科應考獲Lv.5 或以上</v>
      </c>
      <c r="AB234" s="422" t="str">
        <f>入學要求!AG243</f>
        <v>申請人必須出席面試</v>
      </c>
      <c r="AC234" s="346" t="s">
        <v>1397</v>
      </c>
      <c r="AD234" s="422"/>
      <c r="AE234" s="422"/>
      <c r="AF234" s="422"/>
      <c r="AG234" s="422"/>
      <c r="AH234" s="346" t="s">
        <v>2440</v>
      </c>
      <c r="AI234" s="346" t="s">
        <v>324</v>
      </c>
      <c r="AJ234" s="346" t="s">
        <v>324</v>
      </c>
      <c r="AK234" s="346" t="s">
        <v>2427</v>
      </c>
      <c r="AL234" s="346" t="s">
        <v>3111</v>
      </c>
      <c r="AM234" s="346" t="s">
        <v>324</v>
      </c>
      <c r="AN234" s="346" t="s">
        <v>1401</v>
      </c>
      <c r="AO234" s="346" t="s">
        <v>1435</v>
      </c>
      <c r="AP234" s="346" t="s">
        <v>324</v>
      </c>
      <c r="AQ234" s="435" t="s">
        <v>3098</v>
      </c>
      <c r="AR234" s="422" t="s">
        <v>3309</v>
      </c>
      <c r="AS234" s="422" t="s">
        <v>3310</v>
      </c>
      <c r="AT234" s="2" t="s">
        <v>716</v>
      </c>
      <c r="AV234" s="2" t="s">
        <v>713</v>
      </c>
      <c r="AZ234" s="2" t="s">
        <v>324</v>
      </c>
      <c r="BA234" s="2" t="s">
        <v>324</v>
      </c>
      <c r="BB234" s="2" t="s">
        <v>324</v>
      </c>
      <c r="BC234" s="2" t="s">
        <v>324</v>
      </c>
      <c r="BD234" s="2" t="s">
        <v>324</v>
      </c>
      <c r="BE234" s="2" t="s">
        <v>324</v>
      </c>
      <c r="BF234" s="2" t="s">
        <v>324</v>
      </c>
      <c r="BG234" s="2" t="s">
        <v>324</v>
      </c>
      <c r="BH234" s="2" t="s">
        <v>324</v>
      </c>
      <c r="BI234" s="2" t="s">
        <v>324</v>
      </c>
      <c r="BJ234" s="2" t="s">
        <v>324</v>
      </c>
      <c r="BK234" s="2" t="s">
        <v>324</v>
      </c>
      <c r="BL234" s="2" t="s">
        <v>324</v>
      </c>
      <c r="BM234" s="2" t="s">
        <v>324</v>
      </c>
      <c r="BN234" s="2" t="s">
        <v>324</v>
      </c>
      <c r="BO234" s="2" t="s">
        <v>324</v>
      </c>
      <c r="BP234" s="2" t="s">
        <v>324</v>
      </c>
      <c r="BQ234" s="2" t="s">
        <v>324</v>
      </c>
      <c r="BR234" s="2" t="s">
        <v>324</v>
      </c>
      <c r="BS234" s="2" t="s">
        <v>324</v>
      </c>
      <c r="BT234" s="2" t="s">
        <v>324</v>
      </c>
      <c r="BU234" s="2" t="s">
        <v>324</v>
      </c>
      <c r="BV234" s="2" t="s">
        <v>324</v>
      </c>
      <c r="BW234" s="2" t="s">
        <v>324</v>
      </c>
      <c r="BX234" s="2" t="s">
        <v>324</v>
      </c>
      <c r="BY234" s="2" t="s">
        <v>324</v>
      </c>
      <c r="BZ234" s="2" t="s">
        <v>324</v>
      </c>
      <c r="CA234" s="2" t="s">
        <v>324</v>
      </c>
      <c r="CB234" s="2" t="s">
        <v>324</v>
      </c>
      <c r="CC234" s="2" t="s">
        <v>324</v>
      </c>
      <c r="CD234" s="2" t="s">
        <v>324</v>
      </c>
      <c r="CE234" s="2" t="s">
        <v>324</v>
      </c>
      <c r="CF234" s="2" t="s">
        <v>324</v>
      </c>
      <c r="CG234" s="2" t="s">
        <v>324</v>
      </c>
      <c r="CH234" s="2" t="s">
        <v>324</v>
      </c>
      <c r="CI234" s="2" t="s">
        <v>324</v>
      </c>
      <c r="CJ234" s="2" t="s">
        <v>324</v>
      </c>
      <c r="CK234" s="2" t="s">
        <v>324</v>
      </c>
      <c r="CL234" s="2" t="s">
        <v>324</v>
      </c>
      <c r="CM234" s="2" t="s">
        <v>324</v>
      </c>
      <c r="CN234" s="2" t="s">
        <v>324</v>
      </c>
      <c r="CO234" s="2" t="s">
        <v>324</v>
      </c>
      <c r="CP234" s="2" t="s">
        <v>324</v>
      </c>
      <c r="CQ234" s="2" t="s">
        <v>324</v>
      </c>
      <c r="CR234" s="2" t="s">
        <v>324</v>
      </c>
      <c r="CS234" s="2" t="s">
        <v>324</v>
      </c>
      <c r="CT234" s="2" t="s">
        <v>324</v>
      </c>
      <c r="CU234" s="2" t="s">
        <v>324</v>
      </c>
      <c r="CV234" s="2" t="s">
        <v>324</v>
      </c>
      <c r="CW234" s="2" t="s">
        <v>324</v>
      </c>
      <c r="CX234" s="2" t="s">
        <v>324</v>
      </c>
      <c r="CY234" s="2" t="s">
        <v>324</v>
      </c>
      <c r="CZ234" s="2" t="s">
        <v>324</v>
      </c>
      <c r="DA234" s="2" t="s">
        <v>324</v>
      </c>
      <c r="DB234" s="2" t="s">
        <v>324</v>
      </c>
      <c r="DC234" s="2" t="s">
        <v>324</v>
      </c>
      <c r="DD234" s="2" t="s">
        <v>324</v>
      </c>
      <c r="DE234" s="2" t="s">
        <v>324</v>
      </c>
      <c r="DF234" s="2" t="s">
        <v>324</v>
      </c>
      <c r="DG234" s="2" t="s">
        <v>324</v>
      </c>
      <c r="DH234" s="2" t="s">
        <v>324</v>
      </c>
      <c r="DI234" s="2" t="s">
        <v>324</v>
      </c>
      <c r="DJ234" s="2" t="s">
        <v>324</v>
      </c>
      <c r="DK234" s="2" t="s">
        <v>324</v>
      </c>
      <c r="DL234" s="2" t="s">
        <v>324</v>
      </c>
      <c r="DM234" s="2" t="s">
        <v>324</v>
      </c>
      <c r="DN234" s="2" t="s">
        <v>324</v>
      </c>
      <c r="DO234" s="2" t="s">
        <v>324</v>
      </c>
      <c r="DP234" s="2" t="s">
        <v>324</v>
      </c>
      <c r="DQ234" s="2" t="s">
        <v>324</v>
      </c>
      <c r="DR234" s="2" t="s">
        <v>324</v>
      </c>
      <c r="DS234" s="2" t="s">
        <v>324</v>
      </c>
      <c r="DT234" s="2" t="s">
        <v>324</v>
      </c>
      <c r="DU234" s="2" t="s">
        <v>324</v>
      </c>
      <c r="DV234" s="2" t="s">
        <v>324</v>
      </c>
      <c r="DW234" s="2" t="s">
        <v>324</v>
      </c>
      <c r="DX234" s="2" t="s">
        <v>324</v>
      </c>
      <c r="DY234" s="2" t="s">
        <v>324</v>
      </c>
      <c r="DZ234" s="2" t="s">
        <v>324</v>
      </c>
      <c r="EA234" s="2" t="s">
        <v>324</v>
      </c>
      <c r="EB234" s="2" t="s">
        <v>324</v>
      </c>
      <c r="EC234" s="2" t="s">
        <v>324</v>
      </c>
      <c r="ED234" s="2" t="s">
        <v>324</v>
      </c>
      <c r="EE234" s="2" t="s">
        <v>324</v>
      </c>
      <c r="EF234" s="2" t="s">
        <v>324</v>
      </c>
      <c r="EG234" s="2" t="s">
        <v>324</v>
      </c>
      <c r="EH234" s="2" t="s">
        <v>324</v>
      </c>
      <c r="EI234" s="2" t="s">
        <v>324</v>
      </c>
      <c r="EJ234" s="2" t="s">
        <v>324</v>
      </c>
      <c r="EK234" s="2" t="s">
        <v>324</v>
      </c>
      <c r="EL234" s="2" t="s">
        <v>324</v>
      </c>
      <c r="EM234" s="2" t="s">
        <v>324</v>
      </c>
      <c r="EN234" s="2" t="s">
        <v>324</v>
      </c>
      <c r="EO234" s="2" t="s">
        <v>324</v>
      </c>
      <c r="EP234" s="2" t="s">
        <v>324</v>
      </c>
      <c r="EQ234" s="2" t="s">
        <v>324</v>
      </c>
      <c r="ER234" s="2" t="s">
        <v>324</v>
      </c>
      <c r="ES234" s="2" t="s">
        <v>324</v>
      </c>
      <c r="ET234" s="2" t="s">
        <v>324</v>
      </c>
      <c r="EU234" s="2" t="s">
        <v>324</v>
      </c>
      <c r="EV234" s="2" t="s">
        <v>324</v>
      </c>
      <c r="EW234" s="2" t="s">
        <v>324</v>
      </c>
      <c r="EX234" s="2" t="s">
        <v>324</v>
      </c>
      <c r="EY234" s="2" t="s">
        <v>324</v>
      </c>
      <c r="EZ234" s="2" t="s">
        <v>324</v>
      </c>
      <c r="FA234" s="2" t="s">
        <v>324</v>
      </c>
      <c r="FB234" s="2" t="s">
        <v>324</v>
      </c>
      <c r="FC234" s="2" t="s">
        <v>324</v>
      </c>
      <c r="FD234" s="2" t="s">
        <v>324</v>
      </c>
      <c r="FE234" s="2" t="s">
        <v>324</v>
      </c>
      <c r="FF234" s="2" t="s">
        <v>324</v>
      </c>
      <c r="FG234" s="2" t="s">
        <v>324</v>
      </c>
      <c r="FH234" s="2" t="s">
        <v>324</v>
      </c>
      <c r="FI234" s="2" t="s">
        <v>324</v>
      </c>
      <c r="FJ234" s="2" t="s">
        <v>324</v>
      </c>
      <c r="FK234" s="2" t="s">
        <v>324</v>
      </c>
      <c r="FL234" s="2" t="s">
        <v>324</v>
      </c>
      <c r="FM234" s="2" t="s">
        <v>324</v>
      </c>
      <c r="FN234" s="2" t="s">
        <v>324</v>
      </c>
      <c r="FO234" s="2" t="s">
        <v>324</v>
      </c>
      <c r="FP234" s="2" t="s">
        <v>324</v>
      </c>
      <c r="FQ234" s="2" t="s">
        <v>324</v>
      </c>
    </row>
    <row r="235" spans="1:173">
      <c r="A235" s="335" t="s">
        <v>1436</v>
      </c>
      <c r="B235" s="2" t="s">
        <v>1436</v>
      </c>
      <c r="C235" s="2" t="s">
        <v>229</v>
      </c>
      <c r="D235" s="2" t="s">
        <v>710</v>
      </c>
      <c r="E235" s="2" t="s">
        <v>1437</v>
      </c>
      <c r="F235" s="2" t="s">
        <v>1397</v>
      </c>
      <c r="G235" s="2" t="s">
        <v>324</v>
      </c>
      <c r="H235" s="2" t="s">
        <v>324</v>
      </c>
      <c r="I235" s="435">
        <v>35.4</v>
      </c>
      <c r="J235" s="435">
        <v>34</v>
      </c>
      <c r="K235" s="435"/>
      <c r="L235" s="435"/>
      <c r="N235" s="422"/>
      <c r="O235" s="422"/>
      <c r="P235" s="346" t="s">
        <v>2440</v>
      </c>
      <c r="Q235" s="346" t="s">
        <v>324</v>
      </c>
      <c r="R235" s="346" t="s">
        <v>324</v>
      </c>
      <c r="S235" s="346" t="s">
        <v>164</v>
      </c>
      <c r="T235" s="346" t="s">
        <v>2941</v>
      </c>
      <c r="U235" s="346" t="s">
        <v>2536</v>
      </c>
      <c r="V235" s="422" cm="1">
        <f t="array" ref="V235">IFERROR(INDEX('Offer Statistics'!$CH$2:$CH$350,MATCH(1,(B235='Offer Statistics'!$BS$2:$BS$350)*($B$11='Offer Statistics'!$BT$2:$BT$350),0)),"/")</f>
        <v>30</v>
      </c>
      <c r="W235" s="422" cm="1">
        <f t="array" ref="W235">IFERROR(INDEX('Offer Statistics'!$BU$2:$BU$350,MATCH(1,(B235='Offer Statistics'!$BS$2:$BS$350)*($B$11='Offer Statistics'!$BT$2:$BT$350),0)),"/")</f>
        <v>92</v>
      </c>
      <c r="X235" s="422" cm="1">
        <f t="array" ref="X235">IFERROR(INDEX('Offer Statistics'!$CC$2:$CC$350,MATCH(1,(B235='Offer Statistics'!$BS$2:$BS$350)*($B$11='Offer Statistics'!$BT$2:$BT$350),0)),"/")</f>
        <v>30</v>
      </c>
      <c r="Y235" s="422">
        <f t="shared" si="375"/>
        <v>3.0666666666666669</v>
      </c>
      <c r="Z235" s="422" t="s">
        <v>1046</v>
      </c>
      <c r="AA235" s="422" t="str">
        <f>入學要求!AF244</f>
        <v>/</v>
      </c>
      <c r="AB235" s="422" t="str">
        <f>入學要求!AG244</f>
        <v>/</v>
      </c>
      <c r="AC235" s="346" t="s">
        <v>1397</v>
      </c>
      <c r="AD235" s="422"/>
      <c r="AE235" s="422"/>
      <c r="AF235" s="422"/>
      <c r="AG235" s="422"/>
      <c r="AH235" s="346" t="s">
        <v>2440</v>
      </c>
      <c r="AI235" s="346" t="s">
        <v>324</v>
      </c>
      <c r="AJ235" s="346" t="s">
        <v>324</v>
      </c>
      <c r="AK235" s="346" t="s">
        <v>2427</v>
      </c>
      <c r="AL235" s="346" t="s">
        <v>3112</v>
      </c>
      <c r="AM235" s="346" t="s">
        <v>324</v>
      </c>
      <c r="AN235" s="346" t="s">
        <v>324</v>
      </c>
      <c r="AO235" s="346" t="s">
        <v>324</v>
      </c>
      <c r="AP235" s="346" t="s">
        <v>324</v>
      </c>
      <c r="AQ235" s="435" t="s">
        <v>3098</v>
      </c>
      <c r="AR235" s="422" t="s">
        <v>3309</v>
      </c>
      <c r="AS235" s="422" t="s">
        <v>3310</v>
      </c>
      <c r="AT235" s="2" t="s">
        <v>716</v>
      </c>
      <c r="AV235" s="2" t="s">
        <v>713</v>
      </c>
      <c r="AZ235" s="2" t="s">
        <v>324</v>
      </c>
      <c r="BA235" s="2" t="s">
        <v>324</v>
      </c>
      <c r="BB235" s="2" t="s">
        <v>324</v>
      </c>
      <c r="BC235" s="2" t="s">
        <v>324</v>
      </c>
      <c r="BD235" s="2" t="s">
        <v>324</v>
      </c>
      <c r="BE235" s="2" t="s">
        <v>324</v>
      </c>
      <c r="BF235" s="2" t="s">
        <v>324</v>
      </c>
      <c r="BG235" s="2" t="s">
        <v>324</v>
      </c>
      <c r="BH235" s="2" t="s">
        <v>324</v>
      </c>
      <c r="BI235" s="2" t="s">
        <v>324</v>
      </c>
      <c r="BJ235" s="2" t="s">
        <v>324</v>
      </c>
      <c r="BK235" s="2" t="s">
        <v>324</v>
      </c>
      <c r="BL235" s="2" t="s">
        <v>324</v>
      </c>
      <c r="BM235" s="2" t="s">
        <v>324</v>
      </c>
      <c r="BN235" s="2" t="s">
        <v>324</v>
      </c>
      <c r="BO235" s="2" t="s">
        <v>324</v>
      </c>
      <c r="BP235" s="2" t="s">
        <v>324</v>
      </c>
      <c r="BQ235" s="2" t="s">
        <v>324</v>
      </c>
      <c r="BR235" s="2" t="s">
        <v>324</v>
      </c>
      <c r="BS235" s="2" t="s">
        <v>324</v>
      </c>
      <c r="BT235" s="2" t="s">
        <v>324</v>
      </c>
      <c r="BU235" s="2" t="s">
        <v>324</v>
      </c>
      <c r="BV235" s="2" t="s">
        <v>324</v>
      </c>
      <c r="BW235" s="2" t="s">
        <v>324</v>
      </c>
      <c r="BX235" s="2" t="s">
        <v>324</v>
      </c>
      <c r="BY235" s="2" t="s">
        <v>324</v>
      </c>
      <c r="BZ235" s="2" t="s">
        <v>324</v>
      </c>
      <c r="CA235" s="2" t="s">
        <v>324</v>
      </c>
      <c r="CB235" s="2" t="s">
        <v>324</v>
      </c>
      <c r="CC235" s="2" t="s">
        <v>324</v>
      </c>
      <c r="CD235" s="2" t="s">
        <v>324</v>
      </c>
      <c r="CE235" s="2" t="s">
        <v>324</v>
      </c>
      <c r="CF235" s="2" t="s">
        <v>324</v>
      </c>
      <c r="CG235" s="2" t="s">
        <v>324</v>
      </c>
      <c r="CH235" s="2" t="s">
        <v>324</v>
      </c>
      <c r="CI235" s="2" t="s">
        <v>324</v>
      </c>
      <c r="CJ235" s="2" t="s">
        <v>324</v>
      </c>
      <c r="CK235" s="2" t="s">
        <v>324</v>
      </c>
      <c r="CL235" s="2" t="s">
        <v>324</v>
      </c>
      <c r="CM235" s="2" t="s">
        <v>324</v>
      </c>
      <c r="CN235" s="2" t="s">
        <v>324</v>
      </c>
      <c r="CO235" s="2" t="s">
        <v>324</v>
      </c>
      <c r="CP235" s="2" t="s">
        <v>324</v>
      </c>
      <c r="CQ235" s="2" t="s">
        <v>324</v>
      </c>
      <c r="CR235" s="2" t="s">
        <v>324</v>
      </c>
      <c r="CS235" s="2" t="s">
        <v>324</v>
      </c>
      <c r="CT235" s="2" t="s">
        <v>324</v>
      </c>
      <c r="CU235" s="2" t="s">
        <v>324</v>
      </c>
      <c r="CV235" s="2" t="s">
        <v>324</v>
      </c>
      <c r="CW235" s="2" t="s">
        <v>324</v>
      </c>
      <c r="CX235" s="2" t="s">
        <v>324</v>
      </c>
      <c r="CY235" s="2" t="s">
        <v>324</v>
      </c>
      <c r="CZ235" s="2" t="s">
        <v>324</v>
      </c>
      <c r="DA235" s="2" t="s">
        <v>324</v>
      </c>
      <c r="DB235" s="2" t="s">
        <v>324</v>
      </c>
      <c r="DC235" s="2" t="s">
        <v>324</v>
      </c>
      <c r="DD235" s="2" t="s">
        <v>324</v>
      </c>
      <c r="DE235" s="2" t="s">
        <v>324</v>
      </c>
      <c r="DF235" s="2" t="s">
        <v>324</v>
      </c>
      <c r="DG235" s="2" t="s">
        <v>324</v>
      </c>
      <c r="DH235" s="2" t="s">
        <v>324</v>
      </c>
      <c r="DI235" s="2" t="s">
        <v>324</v>
      </c>
      <c r="DJ235" s="2" t="s">
        <v>324</v>
      </c>
      <c r="DK235" s="2" t="s">
        <v>324</v>
      </c>
      <c r="DL235" s="2" t="s">
        <v>324</v>
      </c>
      <c r="DM235" s="2" t="s">
        <v>324</v>
      </c>
      <c r="DN235" s="2" t="s">
        <v>324</v>
      </c>
      <c r="DO235" s="2" t="s">
        <v>324</v>
      </c>
      <c r="DP235" s="2" t="s">
        <v>324</v>
      </c>
      <c r="DQ235" s="2" t="s">
        <v>324</v>
      </c>
      <c r="DR235" s="2" t="s">
        <v>324</v>
      </c>
      <c r="DS235" s="2" t="s">
        <v>324</v>
      </c>
      <c r="DT235" s="2" t="s">
        <v>324</v>
      </c>
      <c r="DU235" s="2" t="s">
        <v>324</v>
      </c>
      <c r="DV235" s="2" t="s">
        <v>324</v>
      </c>
      <c r="DW235" s="2" t="s">
        <v>324</v>
      </c>
      <c r="DX235" s="2" t="s">
        <v>324</v>
      </c>
      <c r="DY235" s="2" t="s">
        <v>324</v>
      </c>
      <c r="DZ235" s="2" t="s">
        <v>324</v>
      </c>
      <c r="EA235" s="2" t="s">
        <v>324</v>
      </c>
      <c r="EB235" s="2" t="s">
        <v>324</v>
      </c>
      <c r="EC235" s="2" t="s">
        <v>324</v>
      </c>
      <c r="ED235" s="2" t="s">
        <v>324</v>
      </c>
      <c r="EE235" s="2" t="s">
        <v>324</v>
      </c>
      <c r="EF235" s="2" t="s">
        <v>324</v>
      </c>
      <c r="EG235" s="2" t="s">
        <v>324</v>
      </c>
      <c r="EH235" s="2" t="s">
        <v>324</v>
      </c>
      <c r="EI235" s="2" t="s">
        <v>324</v>
      </c>
      <c r="EJ235" s="2" t="s">
        <v>324</v>
      </c>
      <c r="EK235" s="2" t="s">
        <v>324</v>
      </c>
      <c r="EL235" s="2" t="s">
        <v>324</v>
      </c>
      <c r="EM235" s="2" t="s">
        <v>324</v>
      </c>
      <c r="EN235" s="2" t="s">
        <v>324</v>
      </c>
      <c r="EO235" s="2" t="s">
        <v>324</v>
      </c>
      <c r="EP235" s="2" t="s">
        <v>324</v>
      </c>
      <c r="EQ235" s="2" t="s">
        <v>324</v>
      </c>
      <c r="ER235" s="2" t="s">
        <v>324</v>
      </c>
      <c r="ES235" s="2" t="s">
        <v>324</v>
      </c>
      <c r="ET235" s="2" t="s">
        <v>324</v>
      </c>
      <c r="EU235" s="2" t="s">
        <v>324</v>
      </c>
      <c r="EV235" s="2" t="s">
        <v>324</v>
      </c>
      <c r="EW235" s="2" t="s">
        <v>324</v>
      </c>
      <c r="EX235" s="2" t="s">
        <v>324</v>
      </c>
      <c r="EY235" s="2" t="s">
        <v>324</v>
      </c>
      <c r="EZ235" s="2" t="s">
        <v>324</v>
      </c>
      <c r="FA235" s="2" t="s">
        <v>324</v>
      </c>
      <c r="FB235" s="2" t="s">
        <v>324</v>
      </c>
      <c r="FC235" s="2" t="s">
        <v>324</v>
      </c>
      <c r="FD235" s="2" t="s">
        <v>324</v>
      </c>
      <c r="FE235" s="2" t="s">
        <v>324</v>
      </c>
      <c r="FF235" s="2" t="s">
        <v>324</v>
      </c>
      <c r="FG235" s="2" t="s">
        <v>324</v>
      </c>
      <c r="FH235" s="2" t="s">
        <v>324</v>
      </c>
      <c r="FI235" s="2" t="s">
        <v>324</v>
      </c>
      <c r="FJ235" s="2" t="s">
        <v>324</v>
      </c>
      <c r="FK235" s="2" t="s">
        <v>324</v>
      </c>
      <c r="FL235" s="2" t="s">
        <v>324</v>
      </c>
      <c r="FM235" s="2" t="s">
        <v>324</v>
      </c>
      <c r="FN235" s="2" t="s">
        <v>324</v>
      </c>
      <c r="FO235" s="2" t="s">
        <v>324</v>
      </c>
      <c r="FP235" s="2" t="s">
        <v>324</v>
      </c>
      <c r="FQ235" s="2" t="s">
        <v>324</v>
      </c>
    </row>
    <row r="236" spans="1:173">
      <c r="A236" s="335" t="s">
        <v>1438</v>
      </c>
      <c r="B236" s="2" t="s">
        <v>1438</v>
      </c>
      <c r="C236" s="2" t="s">
        <v>229</v>
      </c>
      <c r="D236" s="2" t="s">
        <v>710</v>
      </c>
      <c r="E236" s="2" t="s">
        <v>1439</v>
      </c>
      <c r="F236" s="2" t="s">
        <v>1397</v>
      </c>
      <c r="G236" s="2" t="s">
        <v>324</v>
      </c>
      <c r="H236" s="2" t="s">
        <v>324</v>
      </c>
      <c r="I236" s="435">
        <v>33.549999999999997</v>
      </c>
      <c r="J236" s="435">
        <v>32.04</v>
      </c>
      <c r="K236" s="435"/>
      <c r="L236" s="435"/>
      <c r="N236" s="422"/>
      <c r="O236" s="422"/>
      <c r="P236" s="346" t="s">
        <v>2440</v>
      </c>
      <c r="Q236" s="346" t="s">
        <v>324</v>
      </c>
      <c r="R236" s="346" t="s">
        <v>324</v>
      </c>
      <c r="S236" s="346" t="s">
        <v>165</v>
      </c>
      <c r="T236" s="346" t="s">
        <v>2941</v>
      </c>
      <c r="U236" s="346" t="s">
        <v>2536</v>
      </c>
      <c r="V236" s="422" cm="1">
        <f t="array" ref="V236">IFERROR(INDEX('Offer Statistics'!$CH$2:$CH$350,MATCH(1,(B236='Offer Statistics'!$BS$2:$BS$350)*($B$11='Offer Statistics'!$BT$2:$BT$350),0)),"/")</f>
        <v>24</v>
      </c>
      <c r="W236" s="422" cm="1">
        <f t="array" ref="W236">IFERROR(INDEX('Offer Statistics'!$BU$2:$BU$350,MATCH(1,(B236='Offer Statistics'!$BS$2:$BS$350)*($B$11='Offer Statistics'!$BT$2:$BT$350),0)),"/")</f>
        <v>67</v>
      </c>
      <c r="X236" s="422" cm="1">
        <f t="array" ref="X236">IFERROR(INDEX('Offer Statistics'!$CC$2:$CC$350,MATCH(1,(B236='Offer Statistics'!$BS$2:$BS$350)*($B$11='Offer Statistics'!$BT$2:$BT$350),0)),"/")</f>
        <v>24</v>
      </c>
      <c r="Y236" s="422">
        <f t="shared" si="375"/>
        <v>2.7916666666666665</v>
      </c>
      <c r="Z236" s="422" t="s">
        <v>1046</v>
      </c>
      <c r="AA236" s="422" t="str">
        <f>入學要求!AF245</f>
        <v>/</v>
      </c>
      <c r="AB236" s="422" t="str">
        <f>入學要求!AG245</f>
        <v>/</v>
      </c>
      <c r="AC236" s="346" t="s">
        <v>1397</v>
      </c>
      <c r="AD236" s="422"/>
      <c r="AE236" s="422"/>
      <c r="AF236" s="422"/>
      <c r="AG236" s="422"/>
      <c r="AH236" s="346" t="s">
        <v>2440</v>
      </c>
      <c r="AI236" s="346" t="s">
        <v>324</v>
      </c>
      <c r="AJ236" s="346" t="s">
        <v>324</v>
      </c>
      <c r="AK236" s="346" t="s">
        <v>2427</v>
      </c>
      <c r="AL236" s="346" t="s">
        <v>3113</v>
      </c>
      <c r="AM236" s="346" t="s">
        <v>324</v>
      </c>
      <c r="AN236" s="346" t="s">
        <v>324</v>
      </c>
      <c r="AO236" s="346" t="s">
        <v>324</v>
      </c>
      <c r="AP236" s="346" t="s">
        <v>324</v>
      </c>
      <c r="AQ236" s="435" t="s">
        <v>3098</v>
      </c>
      <c r="AR236" s="422" t="s">
        <v>3309</v>
      </c>
      <c r="AS236" s="422" t="s">
        <v>3310</v>
      </c>
      <c r="AT236" s="2" t="s">
        <v>716</v>
      </c>
      <c r="AV236" s="2" t="s">
        <v>713</v>
      </c>
      <c r="AZ236" s="2" t="s">
        <v>324</v>
      </c>
      <c r="BA236" s="2" t="s">
        <v>324</v>
      </c>
      <c r="BB236" s="2" t="s">
        <v>324</v>
      </c>
      <c r="BC236" s="2" t="s">
        <v>324</v>
      </c>
      <c r="BD236" s="2" t="s">
        <v>324</v>
      </c>
      <c r="BE236" s="2" t="s">
        <v>324</v>
      </c>
      <c r="BF236" s="2" t="s">
        <v>324</v>
      </c>
      <c r="BG236" s="2" t="s">
        <v>324</v>
      </c>
      <c r="BH236" s="2" t="s">
        <v>324</v>
      </c>
      <c r="BI236" s="2" t="s">
        <v>324</v>
      </c>
      <c r="BJ236" s="2" t="s">
        <v>324</v>
      </c>
      <c r="BK236" s="2" t="s">
        <v>324</v>
      </c>
      <c r="BL236" s="2" t="s">
        <v>324</v>
      </c>
      <c r="BM236" s="2" t="s">
        <v>324</v>
      </c>
      <c r="BN236" s="2" t="s">
        <v>324</v>
      </c>
      <c r="BO236" s="2" t="s">
        <v>324</v>
      </c>
      <c r="BP236" s="2" t="s">
        <v>324</v>
      </c>
      <c r="BQ236" s="2" t="s">
        <v>324</v>
      </c>
      <c r="BR236" s="2" t="s">
        <v>324</v>
      </c>
      <c r="BS236" s="2" t="s">
        <v>324</v>
      </c>
      <c r="BT236" s="2" t="s">
        <v>324</v>
      </c>
      <c r="BU236" s="2" t="s">
        <v>324</v>
      </c>
      <c r="BV236" s="2" t="s">
        <v>324</v>
      </c>
      <c r="BW236" s="2" t="s">
        <v>324</v>
      </c>
      <c r="BX236" s="2" t="s">
        <v>324</v>
      </c>
      <c r="BY236" s="2" t="s">
        <v>324</v>
      </c>
      <c r="BZ236" s="2" t="s">
        <v>324</v>
      </c>
      <c r="CA236" s="2" t="s">
        <v>324</v>
      </c>
      <c r="CB236" s="2" t="s">
        <v>324</v>
      </c>
      <c r="CC236" s="2" t="s">
        <v>324</v>
      </c>
      <c r="CD236" s="2" t="s">
        <v>324</v>
      </c>
      <c r="CE236" s="2" t="s">
        <v>324</v>
      </c>
      <c r="CF236" s="2" t="s">
        <v>324</v>
      </c>
      <c r="CG236" s="2" t="s">
        <v>324</v>
      </c>
      <c r="CH236" s="2" t="s">
        <v>324</v>
      </c>
      <c r="CI236" s="2" t="s">
        <v>324</v>
      </c>
      <c r="CJ236" s="2" t="s">
        <v>324</v>
      </c>
      <c r="CK236" s="2" t="s">
        <v>324</v>
      </c>
      <c r="CL236" s="2" t="s">
        <v>324</v>
      </c>
      <c r="CM236" s="2" t="s">
        <v>324</v>
      </c>
      <c r="CN236" s="2" t="s">
        <v>324</v>
      </c>
      <c r="CO236" s="2" t="s">
        <v>324</v>
      </c>
      <c r="CP236" s="2" t="s">
        <v>324</v>
      </c>
      <c r="CQ236" s="2" t="s">
        <v>324</v>
      </c>
      <c r="CR236" s="2" t="s">
        <v>324</v>
      </c>
      <c r="CS236" s="2" t="s">
        <v>324</v>
      </c>
      <c r="CT236" s="2" t="s">
        <v>324</v>
      </c>
      <c r="CU236" s="2" t="s">
        <v>324</v>
      </c>
      <c r="CV236" s="2" t="s">
        <v>324</v>
      </c>
      <c r="CW236" s="2" t="s">
        <v>324</v>
      </c>
      <c r="CX236" s="2" t="s">
        <v>324</v>
      </c>
      <c r="CY236" s="2" t="s">
        <v>324</v>
      </c>
      <c r="CZ236" s="2" t="s">
        <v>324</v>
      </c>
      <c r="DA236" s="2" t="s">
        <v>324</v>
      </c>
      <c r="DB236" s="2" t="s">
        <v>324</v>
      </c>
      <c r="DC236" s="2" t="s">
        <v>324</v>
      </c>
      <c r="DD236" s="2" t="s">
        <v>324</v>
      </c>
      <c r="DE236" s="2" t="s">
        <v>324</v>
      </c>
      <c r="DF236" s="2" t="s">
        <v>324</v>
      </c>
      <c r="DG236" s="2" t="s">
        <v>324</v>
      </c>
      <c r="DH236" s="2" t="s">
        <v>324</v>
      </c>
      <c r="DI236" s="2" t="s">
        <v>324</v>
      </c>
      <c r="DJ236" s="2" t="s">
        <v>324</v>
      </c>
      <c r="DK236" s="2" t="s">
        <v>324</v>
      </c>
      <c r="DL236" s="2" t="s">
        <v>324</v>
      </c>
      <c r="DM236" s="2" t="s">
        <v>324</v>
      </c>
      <c r="DN236" s="2" t="s">
        <v>324</v>
      </c>
      <c r="DO236" s="2" t="s">
        <v>324</v>
      </c>
      <c r="DP236" s="2" t="s">
        <v>324</v>
      </c>
      <c r="DQ236" s="2" t="s">
        <v>324</v>
      </c>
      <c r="DR236" s="2" t="s">
        <v>324</v>
      </c>
      <c r="DS236" s="2" t="s">
        <v>324</v>
      </c>
      <c r="DT236" s="2" t="s">
        <v>324</v>
      </c>
      <c r="DU236" s="2" t="s">
        <v>324</v>
      </c>
      <c r="DV236" s="2" t="s">
        <v>324</v>
      </c>
      <c r="DW236" s="2" t="s">
        <v>324</v>
      </c>
      <c r="DX236" s="2" t="s">
        <v>324</v>
      </c>
      <c r="DY236" s="2" t="s">
        <v>324</v>
      </c>
      <c r="DZ236" s="2" t="s">
        <v>324</v>
      </c>
      <c r="EA236" s="2" t="s">
        <v>324</v>
      </c>
      <c r="EB236" s="2" t="s">
        <v>324</v>
      </c>
      <c r="EC236" s="2" t="s">
        <v>324</v>
      </c>
      <c r="ED236" s="2" t="s">
        <v>324</v>
      </c>
      <c r="EE236" s="2" t="s">
        <v>324</v>
      </c>
      <c r="EF236" s="2" t="s">
        <v>324</v>
      </c>
      <c r="EG236" s="2" t="s">
        <v>324</v>
      </c>
      <c r="EH236" s="2" t="s">
        <v>324</v>
      </c>
      <c r="EI236" s="2" t="s">
        <v>324</v>
      </c>
      <c r="EJ236" s="2" t="s">
        <v>324</v>
      </c>
      <c r="EK236" s="2" t="s">
        <v>324</v>
      </c>
      <c r="EL236" s="2" t="s">
        <v>324</v>
      </c>
      <c r="EM236" s="2" t="s">
        <v>324</v>
      </c>
      <c r="EN236" s="2" t="s">
        <v>324</v>
      </c>
      <c r="EO236" s="2" t="s">
        <v>324</v>
      </c>
      <c r="EP236" s="2" t="s">
        <v>324</v>
      </c>
      <c r="EQ236" s="2" t="s">
        <v>324</v>
      </c>
      <c r="ER236" s="2" t="s">
        <v>324</v>
      </c>
      <c r="ES236" s="2" t="s">
        <v>324</v>
      </c>
      <c r="ET236" s="2" t="s">
        <v>324</v>
      </c>
      <c r="EU236" s="2" t="s">
        <v>324</v>
      </c>
      <c r="EV236" s="2" t="s">
        <v>324</v>
      </c>
      <c r="EW236" s="2" t="s">
        <v>324</v>
      </c>
      <c r="EX236" s="2" t="s">
        <v>324</v>
      </c>
      <c r="EY236" s="2" t="s">
        <v>324</v>
      </c>
      <c r="EZ236" s="2" t="s">
        <v>324</v>
      </c>
      <c r="FA236" s="2" t="s">
        <v>324</v>
      </c>
      <c r="FB236" s="2" t="s">
        <v>324</v>
      </c>
      <c r="FC236" s="2" t="s">
        <v>324</v>
      </c>
      <c r="FD236" s="2" t="s">
        <v>324</v>
      </c>
      <c r="FE236" s="2" t="s">
        <v>324</v>
      </c>
      <c r="FF236" s="2" t="s">
        <v>324</v>
      </c>
      <c r="FG236" s="2" t="s">
        <v>324</v>
      </c>
      <c r="FH236" s="2" t="s">
        <v>324</v>
      </c>
      <c r="FI236" s="2" t="s">
        <v>324</v>
      </c>
      <c r="FJ236" s="2" t="s">
        <v>324</v>
      </c>
      <c r="FK236" s="2" t="s">
        <v>324</v>
      </c>
      <c r="FL236" s="2" t="s">
        <v>324</v>
      </c>
      <c r="FM236" s="2" t="s">
        <v>324</v>
      </c>
      <c r="FN236" s="2" t="s">
        <v>324</v>
      </c>
      <c r="FO236" s="2" t="s">
        <v>324</v>
      </c>
      <c r="FP236" s="2" t="s">
        <v>324</v>
      </c>
      <c r="FQ236" s="2" t="s">
        <v>324</v>
      </c>
    </row>
    <row r="237" spans="1:173">
      <c r="A237" s="335" t="s">
        <v>1440</v>
      </c>
      <c r="B237" s="2" t="s">
        <v>1440</v>
      </c>
      <c r="C237" s="2" t="s">
        <v>229</v>
      </c>
      <c r="D237" s="2" t="s">
        <v>710</v>
      </c>
      <c r="E237" s="2" t="s">
        <v>1441</v>
      </c>
      <c r="F237" s="2" t="s">
        <v>1397</v>
      </c>
      <c r="G237" s="2" t="s">
        <v>324</v>
      </c>
      <c r="H237" s="2" t="s">
        <v>324</v>
      </c>
      <c r="I237" s="435">
        <v>32.5</v>
      </c>
      <c r="J237" s="435">
        <v>32.049999999999997</v>
      </c>
      <c r="K237" s="435"/>
      <c r="L237" s="435"/>
      <c r="N237" s="422"/>
      <c r="O237" s="422"/>
      <c r="P237" s="346" t="s">
        <v>2440</v>
      </c>
      <c r="Q237" s="346" t="s">
        <v>324</v>
      </c>
      <c r="R237" s="346" t="s">
        <v>324</v>
      </c>
      <c r="S237" s="346" t="s">
        <v>166</v>
      </c>
      <c r="T237" s="346" t="s">
        <v>2941</v>
      </c>
      <c r="U237" s="346" t="s">
        <v>2536</v>
      </c>
      <c r="V237" s="422" cm="1">
        <f t="array" ref="V237">IFERROR(INDEX('Offer Statistics'!$CH$2:$CH$350,MATCH(1,(B237='Offer Statistics'!$BS$2:$BS$350)*($B$11='Offer Statistics'!$BT$2:$BT$350),0)),"/")</f>
        <v>17</v>
      </c>
      <c r="W237" s="422" cm="1">
        <f t="array" ref="W237">IFERROR(INDEX('Offer Statistics'!$BU$2:$BU$350,MATCH(1,(B237='Offer Statistics'!$BS$2:$BS$350)*($B$11='Offer Statistics'!$BT$2:$BT$350),0)),"/")</f>
        <v>73</v>
      </c>
      <c r="X237" s="422" cm="1">
        <f t="array" ref="X237">IFERROR(INDEX('Offer Statistics'!$CC$2:$CC$350,MATCH(1,(B237='Offer Statistics'!$BS$2:$BS$350)*($B$11='Offer Statistics'!$BT$2:$BT$350),0)),"/")</f>
        <v>17</v>
      </c>
      <c r="Y237" s="422">
        <f t="shared" si="375"/>
        <v>4.2941176470588234</v>
      </c>
      <c r="Z237" s="422" t="s">
        <v>1046</v>
      </c>
      <c r="AA237" s="422" t="str">
        <f>入學要求!AF246</f>
        <v>/</v>
      </c>
      <c r="AB237" s="422" t="str">
        <f>入學要求!AG246</f>
        <v>/</v>
      </c>
      <c r="AC237" s="346" t="s">
        <v>1397</v>
      </c>
      <c r="AD237" s="422"/>
      <c r="AE237" s="422"/>
      <c r="AF237" s="422"/>
      <c r="AG237" s="422"/>
      <c r="AH237" s="346" t="s">
        <v>2440</v>
      </c>
      <c r="AI237" s="346" t="s">
        <v>324</v>
      </c>
      <c r="AJ237" s="346" t="s">
        <v>324</v>
      </c>
      <c r="AK237" s="346" t="s">
        <v>2427</v>
      </c>
      <c r="AL237" s="346" t="s">
        <v>3114</v>
      </c>
      <c r="AM237" s="346" t="s">
        <v>324</v>
      </c>
      <c r="AN237" s="346" t="s">
        <v>324</v>
      </c>
      <c r="AO237" s="346" t="s">
        <v>324</v>
      </c>
      <c r="AP237" s="346" t="s">
        <v>324</v>
      </c>
      <c r="AQ237" s="435" t="s">
        <v>3098</v>
      </c>
      <c r="AR237" s="422" t="s">
        <v>3309</v>
      </c>
      <c r="AS237" s="422" t="s">
        <v>3310</v>
      </c>
      <c r="AT237" s="2" t="s">
        <v>716</v>
      </c>
      <c r="AV237" s="2" t="s">
        <v>713</v>
      </c>
      <c r="AZ237" s="2" t="s">
        <v>324</v>
      </c>
      <c r="BA237" s="2" t="s">
        <v>324</v>
      </c>
      <c r="BB237" s="2" t="s">
        <v>324</v>
      </c>
      <c r="BC237" s="2" t="s">
        <v>324</v>
      </c>
      <c r="BD237" s="2" t="s">
        <v>324</v>
      </c>
      <c r="BE237" s="2" t="s">
        <v>324</v>
      </c>
      <c r="BF237" s="2" t="s">
        <v>324</v>
      </c>
      <c r="BG237" s="2" t="s">
        <v>324</v>
      </c>
      <c r="BH237" s="2" t="s">
        <v>324</v>
      </c>
      <c r="BI237" s="2" t="s">
        <v>324</v>
      </c>
      <c r="BJ237" s="2" t="s">
        <v>324</v>
      </c>
      <c r="BK237" s="2" t="s">
        <v>324</v>
      </c>
      <c r="BL237" s="2" t="s">
        <v>324</v>
      </c>
      <c r="BM237" s="2" t="s">
        <v>324</v>
      </c>
      <c r="BN237" s="2" t="s">
        <v>324</v>
      </c>
      <c r="BO237" s="2" t="s">
        <v>324</v>
      </c>
      <c r="BP237" s="2" t="s">
        <v>324</v>
      </c>
      <c r="BQ237" s="2" t="s">
        <v>324</v>
      </c>
      <c r="BR237" s="2" t="s">
        <v>324</v>
      </c>
      <c r="BS237" s="2" t="s">
        <v>324</v>
      </c>
      <c r="BT237" s="2" t="s">
        <v>324</v>
      </c>
      <c r="BU237" s="2" t="s">
        <v>324</v>
      </c>
      <c r="BV237" s="2" t="s">
        <v>324</v>
      </c>
      <c r="BW237" s="2" t="s">
        <v>324</v>
      </c>
      <c r="BX237" s="2" t="s">
        <v>324</v>
      </c>
      <c r="BY237" s="2" t="s">
        <v>324</v>
      </c>
      <c r="BZ237" s="2" t="s">
        <v>324</v>
      </c>
      <c r="CA237" s="2" t="s">
        <v>324</v>
      </c>
      <c r="CB237" s="2" t="s">
        <v>324</v>
      </c>
      <c r="CC237" s="2" t="s">
        <v>324</v>
      </c>
      <c r="CD237" s="2" t="s">
        <v>324</v>
      </c>
      <c r="CE237" s="2" t="s">
        <v>324</v>
      </c>
      <c r="CF237" s="2" t="s">
        <v>324</v>
      </c>
      <c r="CG237" s="2" t="s">
        <v>324</v>
      </c>
      <c r="CH237" s="2" t="s">
        <v>324</v>
      </c>
      <c r="CI237" s="2" t="s">
        <v>324</v>
      </c>
      <c r="CJ237" s="2" t="s">
        <v>324</v>
      </c>
      <c r="CK237" s="2" t="s">
        <v>324</v>
      </c>
      <c r="CL237" s="2" t="s">
        <v>324</v>
      </c>
      <c r="CM237" s="2" t="s">
        <v>324</v>
      </c>
      <c r="CN237" s="2" t="s">
        <v>324</v>
      </c>
      <c r="CO237" s="2" t="s">
        <v>324</v>
      </c>
      <c r="CP237" s="2" t="s">
        <v>324</v>
      </c>
      <c r="CQ237" s="2" t="s">
        <v>324</v>
      </c>
      <c r="CR237" s="2" t="s">
        <v>324</v>
      </c>
      <c r="CS237" s="2" t="s">
        <v>324</v>
      </c>
      <c r="CT237" s="2" t="s">
        <v>324</v>
      </c>
      <c r="CU237" s="2" t="s">
        <v>324</v>
      </c>
      <c r="CV237" s="2" t="s">
        <v>324</v>
      </c>
      <c r="CW237" s="2" t="s">
        <v>324</v>
      </c>
      <c r="CX237" s="2" t="s">
        <v>324</v>
      </c>
      <c r="CY237" s="2" t="s">
        <v>324</v>
      </c>
      <c r="CZ237" s="2" t="s">
        <v>324</v>
      </c>
      <c r="DA237" s="2" t="s">
        <v>324</v>
      </c>
      <c r="DB237" s="2" t="s">
        <v>324</v>
      </c>
      <c r="DC237" s="2" t="s">
        <v>324</v>
      </c>
      <c r="DD237" s="2" t="s">
        <v>324</v>
      </c>
      <c r="DE237" s="2" t="s">
        <v>324</v>
      </c>
      <c r="DF237" s="2" t="s">
        <v>324</v>
      </c>
      <c r="DG237" s="2" t="s">
        <v>324</v>
      </c>
      <c r="DH237" s="2" t="s">
        <v>324</v>
      </c>
      <c r="DI237" s="2" t="s">
        <v>324</v>
      </c>
      <c r="DJ237" s="2" t="s">
        <v>324</v>
      </c>
      <c r="DK237" s="2" t="s">
        <v>324</v>
      </c>
      <c r="DL237" s="2" t="s">
        <v>324</v>
      </c>
      <c r="DM237" s="2" t="s">
        <v>324</v>
      </c>
      <c r="DN237" s="2" t="s">
        <v>324</v>
      </c>
      <c r="DO237" s="2" t="s">
        <v>324</v>
      </c>
      <c r="DP237" s="2" t="s">
        <v>324</v>
      </c>
      <c r="DQ237" s="2" t="s">
        <v>324</v>
      </c>
      <c r="DR237" s="2" t="s">
        <v>324</v>
      </c>
      <c r="DS237" s="2" t="s">
        <v>324</v>
      </c>
      <c r="DT237" s="2" t="s">
        <v>324</v>
      </c>
      <c r="DU237" s="2" t="s">
        <v>324</v>
      </c>
      <c r="DV237" s="2" t="s">
        <v>324</v>
      </c>
      <c r="DW237" s="2" t="s">
        <v>324</v>
      </c>
      <c r="DX237" s="2" t="s">
        <v>324</v>
      </c>
      <c r="DY237" s="2" t="s">
        <v>324</v>
      </c>
      <c r="DZ237" s="2" t="s">
        <v>324</v>
      </c>
      <c r="EA237" s="2" t="s">
        <v>324</v>
      </c>
      <c r="EB237" s="2" t="s">
        <v>324</v>
      </c>
      <c r="EC237" s="2" t="s">
        <v>324</v>
      </c>
      <c r="ED237" s="2" t="s">
        <v>324</v>
      </c>
      <c r="EE237" s="2" t="s">
        <v>324</v>
      </c>
      <c r="EF237" s="2" t="s">
        <v>324</v>
      </c>
      <c r="EG237" s="2" t="s">
        <v>324</v>
      </c>
      <c r="EH237" s="2" t="s">
        <v>324</v>
      </c>
      <c r="EI237" s="2" t="s">
        <v>324</v>
      </c>
      <c r="EJ237" s="2" t="s">
        <v>324</v>
      </c>
      <c r="EK237" s="2" t="s">
        <v>324</v>
      </c>
      <c r="EL237" s="2" t="s">
        <v>324</v>
      </c>
      <c r="EM237" s="2" t="s">
        <v>324</v>
      </c>
      <c r="EN237" s="2" t="s">
        <v>324</v>
      </c>
      <c r="EO237" s="2" t="s">
        <v>324</v>
      </c>
      <c r="EP237" s="2" t="s">
        <v>324</v>
      </c>
      <c r="EQ237" s="2" t="s">
        <v>324</v>
      </c>
      <c r="ER237" s="2" t="s">
        <v>324</v>
      </c>
      <c r="ES237" s="2" t="s">
        <v>324</v>
      </c>
      <c r="ET237" s="2" t="s">
        <v>324</v>
      </c>
      <c r="EU237" s="2" t="s">
        <v>324</v>
      </c>
      <c r="EV237" s="2" t="s">
        <v>324</v>
      </c>
      <c r="EW237" s="2" t="s">
        <v>324</v>
      </c>
      <c r="EX237" s="2" t="s">
        <v>324</v>
      </c>
      <c r="EY237" s="2" t="s">
        <v>324</v>
      </c>
      <c r="EZ237" s="2" t="s">
        <v>324</v>
      </c>
      <c r="FA237" s="2" t="s">
        <v>324</v>
      </c>
      <c r="FB237" s="2" t="s">
        <v>324</v>
      </c>
      <c r="FC237" s="2" t="s">
        <v>324</v>
      </c>
      <c r="FD237" s="2" t="s">
        <v>324</v>
      </c>
      <c r="FE237" s="2" t="s">
        <v>324</v>
      </c>
      <c r="FF237" s="2" t="s">
        <v>324</v>
      </c>
      <c r="FG237" s="2" t="s">
        <v>324</v>
      </c>
      <c r="FH237" s="2" t="s">
        <v>324</v>
      </c>
      <c r="FI237" s="2" t="s">
        <v>324</v>
      </c>
      <c r="FJ237" s="2" t="s">
        <v>324</v>
      </c>
      <c r="FK237" s="2" t="s">
        <v>324</v>
      </c>
      <c r="FL237" s="2" t="s">
        <v>324</v>
      </c>
      <c r="FM237" s="2" t="s">
        <v>324</v>
      </c>
      <c r="FN237" s="2" t="s">
        <v>324</v>
      </c>
      <c r="FO237" s="2" t="s">
        <v>324</v>
      </c>
      <c r="FP237" s="2" t="s">
        <v>324</v>
      </c>
      <c r="FQ237" s="2" t="s">
        <v>324</v>
      </c>
    </row>
    <row r="238" spans="1:173">
      <c r="A238" s="335" t="s">
        <v>1442</v>
      </c>
      <c r="B238" s="2" t="s">
        <v>1442</v>
      </c>
      <c r="C238" s="2" t="s">
        <v>229</v>
      </c>
      <c r="D238" s="2" t="s">
        <v>710</v>
      </c>
      <c r="E238" s="2" t="s">
        <v>1443</v>
      </c>
      <c r="F238" s="2" t="s">
        <v>1397</v>
      </c>
      <c r="G238" s="2" t="s">
        <v>324</v>
      </c>
      <c r="H238" s="2" t="s">
        <v>324</v>
      </c>
      <c r="I238" s="435">
        <v>32.479999999999997</v>
      </c>
      <c r="J238" s="435">
        <v>31.3</v>
      </c>
      <c r="K238" s="435"/>
      <c r="L238" s="435"/>
      <c r="N238" s="422"/>
      <c r="O238" s="422"/>
      <c r="P238" s="346" t="s">
        <v>2440</v>
      </c>
      <c r="Q238" s="346" t="s">
        <v>324</v>
      </c>
      <c r="R238" s="346" t="s">
        <v>324</v>
      </c>
      <c r="S238" s="346" t="s">
        <v>167</v>
      </c>
      <c r="T238" s="346" t="s">
        <v>2941</v>
      </c>
      <c r="U238" s="346" t="s">
        <v>2536</v>
      </c>
      <c r="V238" s="422" cm="1">
        <f t="array" ref="V238">IFERROR(INDEX('Offer Statistics'!$CH$2:$CH$350,MATCH(1,(B238='Offer Statistics'!$BS$2:$BS$350)*($B$11='Offer Statistics'!$BT$2:$BT$350),0)),"/")</f>
        <v>10</v>
      </c>
      <c r="W238" s="422" cm="1">
        <f t="array" ref="W238">IFERROR(INDEX('Offer Statistics'!$BU$2:$BU$350,MATCH(1,(B238='Offer Statistics'!$BS$2:$BS$350)*($B$11='Offer Statistics'!$BT$2:$BT$350),0)),"/")</f>
        <v>28</v>
      </c>
      <c r="X238" s="422" cm="1">
        <f t="array" ref="X238">IFERROR(INDEX('Offer Statistics'!$CC$2:$CC$350,MATCH(1,(B238='Offer Statistics'!$BS$2:$BS$350)*($B$11='Offer Statistics'!$BT$2:$BT$350),0)),"/")</f>
        <v>10</v>
      </c>
      <c r="Y238" s="422">
        <f t="shared" si="375"/>
        <v>2.8</v>
      </c>
      <c r="Z238" s="422" t="s">
        <v>1046</v>
      </c>
      <c r="AA238" s="422" t="str">
        <f>入學要求!AF247</f>
        <v>/</v>
      </c>
      <c r="AB238" s="422" t="str">
        <f>入學要求!AG247</f>
        <v>/</v>
      </c>
      <c r="AC238" s="346" t="s">
        <v>1397</v>
      </c>
      <c r="AD238" s="422"/>
      <c r="AE238" s="422"/>
      <c r="AF238" s="422"/>
      <c r="AG238" s="422"/>
      <c r="AH238" s="346" t="s">
        <v>2440</v>
      </c>
      <c r="AI238" s="346" t="s">
        <v>324</v>
      </c>
      <c r="AJ238" s="346" t="s">
        <v>324</v>
      </c>
      <c r="AK238" s="346" t="s">
        <v>2427</v>
      </c>
      <c r="AL238" s="346" t="s">
        <v>3115</v>
      </c>
      <c r="AM238" s="346" t="s">
        <v>324</v>
      </c>
      <c r="AN238" s="346" t="s">
        <v>1192</v>
      </c>
      <c r="AO238" s="346" t="s">
        <v>324</v>
      </c>
      <c r="AP238" s="346" t="s">
        <v>324</v>
      </c>
      <c r="AQ238" s="435" t="s">
        <v>3098</v>
      </c>
      <c r="AR238" s="422" t="s">
        <v>3309</v>
      </c>
      <c r="AS238" s="422" t="s">
        <v>3310</v>
      </c>
      <c r="AT238" s="2" t="s">
        <v>716</v>
      </c>
      <c r="AV238" s="2" t="s">
        <v>713</v>
      </c>
      <c r="AZ238" s="2" t="s">
        <v>324</v>
      </c>
      <c r="BA238" s="2" t="s">
        <v>324</v>
      </c>
      <c r="BB238" s="2" t="s">
        <v>324</v>
      </c>
      <c r="BC238" s="2" t="s">
        <v>324</v>
      </c>
      <c r="BD238" s="2" t="s">
        <v>324</v>
      </c>
      <c r="BE238" s="2" t="s">
        <v>324</v>
      </c>
      <c r="BF238" s="2" t="s">
        <v>324</v>
      </c>
      <c r="BG238" s="2" t="s">
        <v>324</v>
      </c>
      <c r="BH238" s="2" t="s">
        <v>324</v>
      </c>
      <c r="BI238" s="2" t="s">
        <v>324</v>
      </c>
      <c r="BJ238" s="2" t="s">
        <v>324</v>
      </c>
      <c r="BK238" s="2" t="s">
        <v>324</v>
      </c>
      <c r="BL238" s="2" t="s">
        <v>324</v>
      </c>
      <c r="BM238" s="2" t="s">
        <v>324</v>
      </c>
      <c r="BN238" s="2" t="s">
        <v>324</v>
      </c>
      <c r="BO238" s="2" t="s">
        <v>324</v>
      </c>
      <c r="BP238" s="2" t="s">
        <v>324</v>
      </c>
      <c r="BQ238" s="2" t="s">
        <v>324</v>
      </c>
      <c r="BR238" s="2" t="s">
        <v>324</v>
      </c>
      <c r="BS238" s="2" t="s">
        <v>324</v>
      </c>
      <c r="BT238" s="2" t="s">
        <v>324</v>
      </c>
      <c r="BU238" s="2" t="s">
        <v>324</v>
      </c>
      <c r="BV238" s="2" t="s">
        <v>324</v>
      </c>
      <c r="BW238" s="2" t="s">
        <v>324</v>
      </c>
      <c r="BX238" s="2" t="s">
        <v>324</v>
      </c>
      <c r="BY238" s="2" t="s">
        <v>324</v>
      </c>
      <c r="BZ238" s="2" t="s">
        <v>324</v>
      </c>
      <c r="CA238" s="2" t="s">
        <v>324</v>
      </c>
      <c r="CB238" s="2" t="s">
        <v>324</v>
      </c>
      <c r="CC238" s="2" t="s">
        <v>324</v>
      </c>
      <c r="CD238" s="2" t="s">
        <v>324</v>
      </c>
      <c r="CE238" s="2" t="s">
        <v>324</v>
      </c>
      <c r="CF238" s="2" t="s">
        <v>324</v>
      </c>
      <c r="CG238" s="2" t="s">
        <v>324</v>
      </c>
      <c r="CH238" s="2" t="s">
        <v>324</v>
      </c>
      <c r="CI238" s="2" t="s">
        <v>324</v>
      </c>
      <c r="CJ238" s="2" t="s">
        <v>324</v>
      </c>
      <c r="CK238" s="2" t="s">
        <v>324</v>
      </c>
      <c r="CL238" s="2" t="s">
        <v>324</v>
      </c>
      <c r="CM238" s="2" t="s">
        <v>324</v>
      </c>
      <c r="CN238" s="2" t="s">
        <v>324</v>
      </c>
      <c r="CO238" s="2" t="s">
        <v>324</v>
      </c>
      <c r="CP238" s="2" t="s">
        <v>324</v>
      </c>
      <c r="CQ238" s="2" t="s">
        <v>324</v>
      </c>
      <c r="CR238" s="2" t="s">
        <v>324</v>
      </c>
      <c r="CS238" s="2" t="s">
        <v>324</v>
      </c>
      <c r="CT238" s="2" t="s">
        <v>324</v>
      </c>
      <c r="CU238" s="2" t="s">
        <v>324</v>
      </c>
      <c r="CV238" s="2" t="s">
        <v>324</v>
      </c>
      <c r="CW238" s="2" t="s">
        <v>324</v>
      </c>
      <c r="CX238" s="2" t="s">
        <v>324</v>
      </c>
      <c r="CY238" s="2" t="s">
        <v>324</v>
      </c>
      <c r="CZ238" s="2" t="s">
        <v>324</v>
      </c>
      <c r="DA238" s="2" t="s">
        <v>324</v>
      </c>
      <c r="DB238" s="2" t="s">
        <v>324</v>
      </c>
      <c r="DC238" s="2" t="s">
        <v>324</v>
      </c>
      <c r="DD238" s="2" t="s">
        <v>324</v>
      </c>
      <c r="DE238" s="2" t="s">
        <v>324</v>
      </c>
      <c r="DF238" s="2" t="s">
        <v>324</v>
      </c>
      <c r="DG238" s="2" t="s">
        <v>324</v>
      </c>
      <c r="DH238" s="2" t="s">
        <v>324</v>
      </c>
      <c r="DI238" s="2" t="s">
        <v>324</v>
      </c>
      <c r="DJ238" s="2" t="s">
        <v>324</v>
      </c>
      <c r="DK238" s="2" t="s">
        <v>324</v>
      </c>
      <c r="DL238" s="2" t="s">
        <v>324</v>
      </c>
      <c r="DM238" s="2" t="s">
        <v>324</v>
      </c>
      <c r="DN238" s="2" t="s">
        <v>324</v>
      </c>
      <c r="DO238" s="2" t="s">
        <v>324</v>
      </c>
      <c r="DP238" s="2" t="s">
        <v>324</v>
      </c>
      <c r="DQ238" s="2" t="s">
        <v>324</v>
      </c>
      <c r="DR238" s="2" t="s">
        <v>324</v>
      </c>
      <c r="DS238" s="2" t="s">
        <v>324</v>
      </c>
      <c r="DT238" s="2" t="s">
        <v>324</v>
      </c>
      <c r="DU238" s="2" t="s">
        <v>324</v>
      </c>
      <c r="DV238" s="2" t="s">
        <v>324</v>
      </c>
      <c r="DW238" s="2" t="s">
        <v>324</v>
      </c>
      <c r="DX238" s="2" t="s">
        <v>324</v>
      </c>
      <c r="DY238" s="2" t="s">
        <v>324</v>
      </c>
      <c r="DZ238" s="2" t="s">
        <v>324</v>
      </c>
      <c r="EA238" s="2" t="s">
        <v>324</v>
      </c>
      <c r="EB238" s="2" t="s">
        <v>324</v>
      </c>
      <c r="EC238" s="2" t="s">
        <v>324</v>
      </c>
      <c r="ED238" s="2" t="s">
        <v>324</v>
      </c>
      <c r="EE238" s="2" t="s">
        <v>324</v>
      </c>
      <c r="EF238" s="2" t="s">
        <v>324</v>
      </c>
      <c r="EG238" s="2" t="s">
        <v>324</v>
      </c>
      <c r="EH238" s="2" t="s">
        <v>324</v>
      </c>
      <c r="EI238" s="2" t="s">
        <v>324</v>
      </c>
      <c r="EJ238" s="2" t="s">
        <v>324</v>
      </c>
      <c r="EK238" s="2" t="s">
        <v>324</v>
      </c>
      <c r="EL238" s="2" t="s">
        <v>324</v>
      </c>
      <c r="EM238" s="2" t="s">
        <v>324</v>
      </c>
      <c r="EN238" s="2" t="s">
        <v>324</v>
      </c>
      <c r="EO238" s="2" t="s">
        <v>324</v>
      </c>
      <c r="EP238" s="2" t="s">
        <v>324</v>
      </c>
      <c r="EQ238" s="2" t="s">
        <v>324</v>
      </c>
      <c r="ER238" s="2" t="s">
        <v>324</v>
      </c>
      <c r="ES238" s="2" t="s">
        <v>324</v>
      </c>
      <c r="ET238" s="2" t="s">
        <v>324</v>
      </c>
      <c r="EU238" s="2" t="s">
        <v>324</v>
      </c>
      <c r="EV238" s="2" t="s">
        <v>324</v>
      </c>
      <c r="EW238" s="2" t="s">
        <v>324</v>
      </c>
      <c r="EX238" s="2" t="s">
        <v>324</v>
      </c>
      <c r="EY238" s="2" t="s">
        <v>324</v>
      </c>
      <c r="EZ238" s="2" t="s">
        <v>324</v>
      </c>
      <c r="FA238" s="2" t="s">
        <v>324</v>
      </c>
      <c r="FB238" s="2" t="s">
        <v>324</v>
      </c>
      <c r="FC238" s="2" t="s">
        <v>324</v>
      </c>
      <c r="FD238" s="2" t="s">
        <v>324</v>
      </c>
      <c r="FE238" s="2" t="s">
        <v>324</v>
      </c>
      <c r="FF238" s="2" t="s">
        <v>324</v>
      </c>
      <c r="FG238" s="2" t="s">
        <v>324</v>
      </c>
      <c r="FH238" s="2" t="s">
        <v>324</v>
      </c>
      <c r="FI238" s="2" t="s">
        <v>324</v>
      </c>
      <c r="FJ238" s="2" t="s">
        <v>324</v>
      </c>
      <c r="FK238" s="2" t="s">
        <v>324</v>
      </c>
      <c r="FL238" s="2" t="s">
        <v>324</v>
      </c>
      <c r="FM238" s="2" t="s">
        <v>324</v>
      </c>
      <c r="FN238" s="2" t="s">
        <v>324</v>
      </c>
      <c r="FO238" s="2" t="s">
        <v>324</v>
      </c>
      <c r="FP238" s="2" t="s">
        <v>324</v>
      </c>
      <c r="FQ238" s="2" t="s">
        <v>324</v>
      </c>
    </row>
    <row r="239" spans="1:173">
      <c r="A239" s="335" t="s">
        <v>1444</v>
      </c>
      <c r="B239" s="2" t="s">
        <v>1444</v>
      </c>
      <c r="C239" s="2" t="s">
        <v>229</v>
      </c>
      <c r="D239" s="2" t="s">
        <v>710</v>
      </c>
      <c r="E239" s="2" t="s">
        <v>1445</v>
      </c>
      <c r="F239" s="2" t="s">
        <v>1397</v>
      </c>
      <c r="G239" s="2" t="s">
        <v>324</v>
      </c>
      <c r="H239" s="2" t="s">
        <v>324</v>
      </c>
      <c r="I239" s="435">
        <v>32.4</v>
      </c>
      <c r="J239" s="435">
        <v>31.93</v>
      </c>
      <c r="K239" s="435"/>
      <c r="L239" s="435"/>
      <c r="N239" s="422"/>
      <c r="O239" s="422"/>
      <c r="P239" s="346" t="s">
        <v>2440</v>
      </c>
      <c r="Q239" s="346" t="s">
        <v>324</v>
      </c>
      <c r="R239" s="346" t="s">
        <v>324</v>
      </c>
      <c r="S239" s="346" t="s">
        <v>168</v>
      </c>
      <c r="T239" s="346" t="s">
        <v>2941</v>
      </c>
      <c r="U239" s="346">
        <v>60</v>
      </c>
      <c r="V239" s="422" cm="1">
        <f t="array" ref="V239">IFERROR(INDEX('Offer Statistics'!$CH$2:$CH$350,MATCH(1,(B239='Offer Statistics'!$BS$2:$BS$350)*($B$11='Offer Statistics'!$BT$2:$BT$350),0)),"/")</f>
        <v>56</v>
      </c>
      <c r="W239" s="422" cm="1">
        <f t="array" ref="W239">IFERROR(INDEX('Offer Statistics'!$BU$2:$BU$350,MATCH(1,(B239='Offer Statistics'!$BS$2:$BS$350)*($B$11='Offer Statistics'!$BT$2:$BT$350),0)),"/")</f>
        <v>173</v>
      </c>
      <c r="X239" s="422" cm="1">
        <f t="array" ref="X239">IFERROR(INDEX('Offer Statistics'!$CC$2:$CC$350,MATCH(1,(B239='Offer Statistics'!$BS$2:$BS$350)*($B$11='Offer Statistics'!$BT$2:$BT$350),0)),"/")</f>
        <v>56</v>
      </c>
      <c r="Y239" s="422">
        <f t="shared" si="375"/>
        <v>3.0892857142857144</v>
      </c>
      <c r="Z239" s="422" t="s">
        <v>1046</v>
      </c>
      <c r="AA239" s="422" t="str">
        <f>入學要求!AF248</f>
        <v>/</v>
      </c>
      <c r="AB239" s="422" t="str">
        <f>入學要求!AG248</f>
        <v>/</v>
      </c>
      <c r="AC239" s="346" t="s">
        <v>1397</v>
      </c>
      <c r="AD239" s="422"/>
      <c r="AE239" s="422"/>
      <c r="AF239" s="422"/>
      <c r="AG239" s="422"/>
      <c r="AH239" s="346" t="s">
        <v>2440</v>
      </c>
      <c r="AI239" s="346" t="s">
        <v>324</v>
      </c>
      <c r="AJ239" s="346" t="s">
        <v>324</v>
      </c>
      <c r="AK239" s="346" t="s">
        <v>2427</v>
      </c>
      <c r="AL239" s="346" t="s">
        <v>2433</v>
      </c>
      <c r="AM239" s="346" t="s">
        <v>324</v>
      </c>
      <c r="AN239" s="346" t="s">
        <v>324</v>
      </c>
      <c r="AO239" s="346" t="s">
        <v>324</v>
      </c>
      <c r="AP239" s="346" t="s">
        <v>324</v>
      </c>
      <c r="AQ239" s="435" t="s">
        <v>3098</v>
      </c>
      <c r="AR239" s="422" t="s">
        <v>3309</v>
      </c>
      <c r="AS239" s="422" t="s">
        <v>3310</v>
      </c>
      <c r="AT239" s="2" t="s">
        <v>716</v>
      </c>
      <c r="AV239" s="2" t="s">
        <v>713</v>
      </c>
      <c r="AZ239" s="2" t="s">
        <v>324</v>
      </c>
      <c r="BA239" s="2" t="s">
        <v>324</v>
      </c>
      <c r="BB239" s="2" t="s">
        <v>324</v>
      </c>
      <c r="BC239" s="2" t="s">
        <v>324</v>
      </c>
      <c r="BD239" s="2" t="s">
        <v>324</v>
      </c>
      <c r="BE239" s="2" t="s">
        <v>324</v>
      </c>
      <c r="BF239" s="2" t="s">
        <v>324</v>
      </c>
      <c r="BG239" s="2" t="s">
        <v>324</v>
      </c>
      <c r="BH239" s="2" t="s">
        <v>324</v>
      </c>
      <c r="BI239" s="2" t="s">
        <v>324</v>
      </c>
      <c r="BJ239" s="2" t="s">
        <v>324</v>
      </c>
      <c r="BK239" s="2" t="s">
        <v>324</v>
      </c>
      <c r="BL239" s="2" t="s">
        <v>324</v>
      </c>
      <c r="BM239" s="2" t="s">
        <v>324</v>
      </c>
      <c r="BN239" s="2" t="s">
        <v>324</v>
      </c>
      <c r="BO239" s="2" t="s">
        <v>324</v>
      </c>
      <c r="BP239" s="2" t="s">
        <v>324</v>
      </c>
      <c r="BQ239" s="2" t="s">
        <v>324</v>
      </c>
      <c r="BR239" s="2" t="s">
        <v>324</v>
      </c>
      <c r="BS239" s="2" t="s">
        <v>324</v>
      </c>
      <c r="BT239" s="2" t="s">
        <v>324</v>
      </c>
      <c r="BU239" s="2" t="s">
        <v>324</v>
      </c>
      <c r="BV239" s="2" t="s">
        <v>324</v>
      </c>
      <c r="BW239" s="2" t="s">
        <v>324</v>
      </c>
      <c r="BX239" s="2" t="s">
        <v>324</v>
      </c>
      <c r="BY239" s="2" t="s">
        <v>324</v>
      </c>
      <c r="BZ239" s="2" t="s">
        <v>324</v>
      </c>
      <c r="CA239" s="2" t="s">
        <v>324</v>
      </c>
      <c r="CB239" s="2" t="s">
        <v>324</v>
      </c>
      <c r="CC239" s="2" t="s">
        <v>324</v>
      </c>
      <c r="CD239" s="2" t="s">
        <v>324</v>
      </c>
      <c r="CE239" s="2" t="s">
        <v>324</v>
      </c>
      <c r="CF239" s="2" t="s">
        <v>324</v>
      </c>
      <c r="CG239" s="2" t="s">
        <v>324</v>
      </c>
      <c r="CH239" s="2" t="s">
        <v>324</v>
      </c>
      <c r="CI239" s="2" t="s">
        <v>324</v>
      </c>
      <c r="CJ239" s="2" t="s">
        <v>324</v>
      </c>
      <c r="CK239" s="2" t="s">
        <v>324</v>
      </c>
      <c r="CL239" s="2" t="s">
        <v>324</v>
      </c>
      <c r="CM239" s="2" t="s">
        <v>324</v>
      </c>
      <c r="CN239" s="2" t="s">
        <v>324</v>
      </c>
      <c r="CO239" s="2" t="s">
        <v>324</v>
      </c>
      <c r="CP239" s="2" t="s">
        <v>324</v>
      </c>
      <c r="CQ239" s="2" t="s">
        <v>324</v>
      </c>
      <c r="CR239" s="2" t="s">
        <v>324</v>
      </c>
      <c r="CS239" s="2" t="s">
        <v>324</v>
      </c>
      <c r="CT239" s="2" t="s">
        <v>324</v>
      </c>
      <c r="CU239" s="2" t="s">
        <v>324</v>
      </c>
      <c r="CV239" s="2" t="s">
        <v>324</v>
      </c>
      <c r="CW239" s="2" t="s">
        <v>324</v>
      </c>
      <c r="CX239" s="2" t="s">
        <v>324</v>
      </c>
      <c r="CY239" s="2" t="s">
        <v>324</v>
      </c>
      <c r="CZ239" s="2" t="s">
        <v>324</v>
      </c>
      <c r="DA239" s="2" t="s">
        <v>324</v>
      </c>
      <c r="DB239" s="2" t="s">
        <v>324</v>
      </c>
      <c r="DC239" s="2" t="s">
        <v>324</v>
      </c>
      <c r="DD239" s="2" t="s">
        <v>324</v>
      </c>
      <c r="DE239" s="2" t="s">
        <v>324</v>
      </c>
      <c r="DF239" s="2" t="s">
        <v>324</v>
      </c>
      <c r="DG239" s="2" t="s">
        <v>324</v>
      </c>
      <c r="DH239" s="2" t="s">
        <v>324</v>
      </c>
      <c r="DI239" s="2" t="s">
        <v>324</v>
      </c>
      <c r="DJ239" s="2" t="s">
        <v>324</v>
      </c>
      <c r="DK239" s="2" t="s">
        <v>324</v>
      </c>
      <c r="DL239" s="2" t="s">
        <v>324</v>
      </c>
      <c r="DM239" s="2" t="s">
        <v>324</v>
      </c>
      <c r="DN239" s="2" t="s">
        <v>324</v>
      </c>
      <c r="DO239" s="2" t="s">
        <v>324</v>
      </c>
      <c r="DP239" s="2" t="s">
        <v>324</v>
      </c>
      <c r="DQ239" s="2" t="s">
        <v>324</v>
      </c>
      <c r="DR239" s="2" t="s">
        <v>324</v>
      </c>
      <c r="DS239" s="2" t="s">
        <v>324</v>
      </c>
      <c r="DT239" s="2" t="s">
        <v>324</v>
      </c>
      <c r="DU239" s="2" t="s">
        <v>324</v>
      </c>
      <c r="DV239" s="2" t="s">
        <v>324</v>
      </c>
      <c r="DW239" s="2" t="s">
        <v>324</v>
      </c>
      <c r="DX239" s="2" t="s">
        <v>324</v>
      </c>
      <c r="DY239" s="2" t="s">
        <v>324</v>
      </c>
      <c r="DZ239" s="2" t="s">
        <v>324</v>
      </c>
      <c r="EA239" s="2" t="s">
        <v>324</v>
      </c>
      <c r="EB239" s="2" t="s">
        <v>324</v>
      </c>
      <c r="EC239" s="2" t="s">
        <v>324</v>
      </c>
      <c r="ED239" s="2" t="s">
        <v>324</v>
      </c>
      <c r="EE239" s="2" t="s">
        <v>324</v>
      </c>
      <c r="EF239" s="2" t="s">
        <v>324</v>
      </c>
      <c r="EG239" s="2" t="s">
        <v>324</v>
      </c>
      <c r="EH239" s="2" t="s">
        <v>324</v>
      </c>
      <c r="EI239" s="2" t="s">
        <v>324</v>
      </c>
      <c r="EJ239" s="2" t="s">
        <v>324</v>
      </c>
      <c r="EK239" s="2" t="s">
        <v>324</v>
      </c>
      <c r="EL239" s="2" t="s">
        <v>324</v>
      </c>
      <c r="EM239" s="2" t="s">
        <v>324</v>
      </c>
      <c r="EN239" s="2" t="s">
        <v>324</v>
      </c>
      <c r="EO239" s="2" t="s">
        <v>324</v>
      </c>
      <c r="EP239" s="2" t="s">
        <v>324</v>
      </c>
      <c r="EQ239" s="2" t="s">
        <v>324</v>
      </c>
      <c r="ER239" s="2" t="s">
        <v>324</v>
      </c>
      <c r="ES239" s="2" t="s">
        <v>324</v>
      </c>
      <c r="ET239" s="2" t="s">
        <v>324</v>
      </c>
      <c r="EU239" s="2" t="s">
        <v>324</v>
      </c>
      <c r="EV239" s="2" t="s">
        <v>324</v>
      </c>
      <c r="EW239" s="2" t="s">
        <v>324</v>
      </c>
      <c r="EX239" s="2" t="s">
        <v>324</v>
      </c>
      <c r="EY239" s="2" t="s">
        <v>324</v>
      </c>
      <c r="EZ239" s="2" t="s">
        <v>324</v>
      </c>
      <c r="FA239" s="2" t="s">
        <v>324</v>
      </c>
      <c r="FB239" s="2" t="s">
        <v>324</v>
      </c>
      <c r="FC239" s="2" t="s">
        <v>324</v>
      </c>
      <c r="FD239" s="2" t="s">
        <v>324</v>
      </c>
      <c r="FE239" s="2" t="s">
        <v>324</v>
      </c>
      <c r="FF239" s="2" t="s">
        <v>324</v>
      </c>
      <c r="FG239" s="2" t="s">
        <v>324</v>
      </c>
      <c r="FH239" s="2" t="s">
        <v>324</v>
      </c>
      <c r="FI239" s="2" t="s">
        <v>324</v>
      </c>
      <c r="FJ239" s="2" t="s">
        <v>324</v>
      </c>
      <c r="FK239" s="2" t="s">
        <v>324</v>
      </c>
      <c r="FL239" s="2" t="s">
        <v>324</v>
      </c>
      <c r="FM239" s="2" t="s">
        <v>324</v>
      </c>
      <c r="FN239" s="2" t="s">
        <v>324</v>
      </c>
      <c r="FO239" s="2" t="s">
        <v>324</v>
      </c>
      <c r="FP239" s="2" t="s">
        <v>324</v>
      </c>
      <c r="FQ239" s="2" t="s">
        <v>324</v>
      </c>
    </row>
    <row r="240" spans="1:173">
      <c r="A240" s="335" t="s">
        <v>1446</v>
      </c>
      <c r="B240" s="2" t="s">
        <v>1446</v>
      </c>
      <c r="C240" s="2" t="s">
        <v>229</v>
      </c>
      <c r="D240" s="2" t="s">
        <v>710</v>
      </c>
      <c r="E240" s="2" t="s">
        <v>1447</v>
      </c>
      <c r="F240" s="2" t="s">
        <v>1397</v>
      </c>
      <c r="G240" s="2" t="s">
        <v>324</v>
      </c>
      <c r="H240" s="2" t="s">
        <v>324</v>
      </c>
      <c r="I240" s="435">
        <v>50.06</v>
      </c>
      <c r="J240" s="435">
        <v>48.56</v>
      </c>
      <c r="K240" s="435"/>
      <c r="L240" s="435"/>
      <c r="N240" s="422"/>
      <c r="O240" s="422"/>
      <c r="P240" s="346" t="s">
        <v>3105</v>
      </c>
      <c r="Q240" s="480" t="s">
        <v>2441</v>
      </c>
      <c r="R240" s="480" t="s">
        <v>2442</v>
      </c>
      <c r="S240" s="346" t="s">
        <v>169</v>
      </c>
      <c r="T240" s="346" t="s">
        <v>2941</v>
      </c>
      <c r="U240" s="346">
        <v>30</v>
      </c>
      <c r="V240" s="422" cm="1">
        <f t="array" ref="V240">IFERROR(INDEX('Offer Statistics'!$CH$2:$CH$350,MATCH(1,(B240='Offer Statistics'!$BS$2:$BS$350)*($B$11='Offer Statistics'!$BT$2:$BT$350),0)),"/")</f>
        <v>33</v>
      </c>
      <c r="W240" s="422" cm="1">
        <f t="array" ref="W240">IFERROR(INDEX('Offer Statistics'!$BU$2:$BU$350,MATCH(1,(B240='Offer Statistics'!$BS$2:$BS$350)*($B$11='Offer Statistics'!$BT$2:$BT$350),0)),"/")</f>
        <v>105</v>
      </c>
      <c r="X240" s="422" cm="1">
        <f t="array" ref="X240">IFERROR(INDEX('Offer Statistics'!$CC$2:$CC$350,MATCH(1,(B240='Offer Statistics'!$BS$2:$BS$350)*($B$11='Offer Statistics'!$BT$2:$BT$350),0)),"/")</f>
        <v>33</v>
      </c>
      <c r="Y240" s="422">
        <f t="shared" si="375"/>
        <v>3.1818181818181817</v>
      </c>
      <c r="Z240" s="422" t="s">
        <v>1046</v>
      </c>
      <c r="AA240" s="422" t="str">
        <f>入學要求!AF249</f>
        <v>申請人必須出席面試</v>
      </c>
      <c r="AB240" s="422" t="str">
        <f>入學要求!AG249</f>
        <v>/</v>
      </c>
      <c r="AC240" s="346" t="s">
        <v>1397</v>
      </c>
      <c r="AD240" s="422"/>
      <c r="AE240" s="422"/>
      <c r="AF240" s="422"/>
      <c r="AG240" s="422"/>
      <c r="AH240" s="346" t="s">
        <v>1432</v>
      </c>
      <c r="AI240" s="480" t="s">
        <v>2441</v>
      </c>
      <c r="AJ240" s="480" t="s">
        <v>2442</v>
      </c>
      <c r="AK240" s="346" t="s">
        <v>2427</v>
      </c>
      <c r="AL240" s="346" t="s">
        <v>3116</v>
      </c>
      <c r="AM240" s="346" t="s">
        <v>324</v>
      </c>
      <c r="AN240" s="346" t="s">
        <v>1401</v>
      </c>
      <c r="AO240" s="346" t="s">
        <v>324</v>
      </c>
      <c r="AP240" s="346" t="s">
        <v>324</v>
      </c>
      <c r="AQ240" s="435" t="s">
        <v>3095</v>
      </c>
      <c r="AR240" s="422" t="s">
        <v>3309</v>
      </c>
      <c r="AS240" s="422" t="s">
        <v>3310</v>
      </c>
      <c r="AT240" s="2" t="s">
        <v>716</v>
      </c>
      <c r="AV240" s="2" t="s">
        <v>713</v>
      </c>
      <c r="AZ240" s="2" t="s">
        <v>324</v>
      </c>
      <c r="BA240" s="2" t="s">
        <v>324</v>
      </c>
      <c r="BB240" s="2" t="s">
        <v>324</v>
      </c>
      <c r="BC240" s="2" t="s">
        <v>324</v>
      </c>
      <c r="BD240" s="2" t="s">
        <v>324</v>
      </c>
      <c r="BE240" s="2" t="s">
        <v>324</v>
      </c>
      <c r="BF240" s="2" t="s">
        <v>324</v>
      </c>
      <c r="BG240" s="2" t="s">
        <v>324</v>
      </c>
      <c r="BH240" s="2" t="s">
        <v>324</v>
      </c>
      <c r="BI240" s="2" t="s">
        <v>324</v>
      </c>
      <c r="BJ240" s="2" t="s">
        <v>324</v>
      </c>
      <c r="BK240" s="2" t="s">
        <v>324</v>
      </c>
      <c r="BL240" s="2" t="s">
        <v>324</v>
      </c>
      <c r="BM240" s="2" t="s">
        <v>324</v>
      </c>
      <c r="BN240" s="2" t="s">
        <v>324</v>
      </c>
      <c r="BO240" s="2" t="s">
        <v>324</v>
      </c>
      <c r="BP240" s="2" t="s">
        <v>324</v>
      </c>
      <c r="BQ240" s="2" t="s">
        <v>324</v>
      </c>
      <c r="BR240" s="2" t="s">
        <v>324</v>
      </c>
      <c r="BS240" s="2" t="s">
        <v>324</v>
      </c>
      <c r="BT240" s="2" t="s">
        <v>324</v>
      </c>
      <c r="BU240" s="2" t="s">
        <v>324</v>
      </c>
      <c r="BV240" s="2" t="s">
        <v>324</v>
      </c>
      <c r="BW240" s="2" t="s">
        <v>324</v>
      </c>
      <c r="BX240" s="2" t="s">
        <v>324</v>
      </c>
      <c r="BY240" s="2" t="s">
        <v>324</v>
      </c>
      <c r="BZ240" s="2" t="s">
        <v>324</v>
      </c>
      <c r="CA240" s="2" t="s">
        <v>324</v>
      </c>
      <c r="CB240" s="2" t="s">
        <v>324</v>
      </c>
      <c r="CC240" s="2" t="s">
        <v>324</v>
      </c>
      <c r="CD240" s="2" t="s">
        <v>324</v>
      </c>
      <c r="CE240" s="2" t="s">
        <v>324</v>
      </c>
      <c r="CF240" s="2" t="s">
        <v>324</v>
      </c>
      <c r="CG240" s="2" t="s">
        <v>324</v>
      </c>
      <c r="CH240" s="2" t="s">
        <v>324</v>
      </c>
      <c r="CI240" s="2" t="s">
        <v>324</v>
      </c>
      <c r="CJ240" s="2" t="s">
        <v>324</v>
      </c>
      <c r="CK240" s="2" t="s">
        <v>324</v>
      </c>
      <c r="CL240" s="2" t="s">
        <v>324</v>
      </c>
      <c r="CM240" s="2" t="s">
        <v>324</v>
      </c>
      <c r="CN240" s="2" t="s">
        <v>324</v>
      </c>
      <c r="CO240" s="2" t="s">
        <v>324</v>
      </c>
      <c r="CP240" s="2" t="s">
        <v>324</v>
      </c>
      <c r="CQ240" s="2" t="s">
        <v>324</v>
      </c>
      <c r="CR240" s="2" t="s">
        <v>324</v>
      </c>
      <c r="CS240" s="2" t="s">
        <v>324</v>
      </c>
      <c r="CT240" s="2" t="s">
        <v>324</v>
      </c>
      <c r="CU240" s="2" t="s">
        <v>324</v>
      </c>
      <c r="CV240" s="2" t="s">
        <v>324</v>
      </c>
      <c r="CW240" s="2" t="s">
        <v>324</v>
      </c>
      <c r="CX240" s="2" t="s">
        <v>324</v>
      </c>
      <c r="CY240" s="2" t="s">
        <v>324</v>
      </c>
      <c r="CZ240" s="2" t="s">
        <v>324</v>
      </c>
      <c r="DA240" s="2" t="s">
        <v>324</v>
      </c>
      <c r="DB240" s="2" t="s">
        <v>324</v>
      </c>
      <c r="DC240" s="2" t="s">
        <v>324</v>
      </c>
      <c r="DD240" s="2" t="s">
        <v>324</v>
      </c>
      <c r="DE240" s="2" t="s">
        <v>324</v>
      </c>
      <c r="DF240" s="2" t="s">
        <v>324</v>
      </c>
      <c r="DG240" s="2" t="s">
        <v>324</v>
      </c>
      <c r="DH240" s="2" t="s">
        <v>324</v>
      </c>
      <c r="DI240" s="2" t="s">
        <v>324</v>
      </c>
      <c r="DJ240" s="2" t="s">
        <v>324</v>
      </c>
      <c r="DK240" s="2" t="s">
        <v>324</v>
      </c>
      <c r="DL240" s="2" t="s">
        <v>324</v>
      </c>
      <c r="DM240" s="2" t="s">
        <v>324</v>
      </c>
      <c r="DN240" s="2" t="s">
        <v>324</v>
      </c>
      <c r="DO240" s="2" t="s">
        <v>324</v>
      </c>
      <c r="DP240" s="2" t="s">
        <v>324</v>
      </c>
      <c r="DQ240" s="2" t="s">
        <v>324</v>
      </c>
      <c r="DR240" s="2" t="s">
        <v>324</v>
      </c>
      <c r="DS240" s="2" t="s">
        <v>324</v>
      </c>
      <c r="DT240" s="2" t="s">
        <v>324</v>
      </c>
      <c r="DU240" s="2" t="s">
        <v>324</v>
      </c>
      <c r="DV240" s="2" t="s">
        <v>324</v>
      </c>
      <c r="DW240" s="2" t="s">
        <v>324</v>
      </c>
      <c r="DX240" s="2" t="s">
        <v>324</v>
      </c>
      <c r="DY240" s="2" t="s">
        <v>324</v>
      </c>
      <c r="DZ240" s="2" t="s">
        <v>324</v>
      </c>
      <c r="EA240" s="2" t="s">
        <v>324</v>
      </c>
      <c r="EB240" s="2" t="s">
        <v>324</v>
      </c>
      <c r="EC240" s="2" t="s">
        <v>324</v>
      </c>
      <c r="ED240" s="2" t="s">
        <v>324</v>
      </c>
      <c r="EE240" s="2" t="s">
        <v>324</v>
      </c>
      <c r="EF240" s="2" t="s">
        <v>324</v>
      </c>
      <c r="EG240" s="2" t="s">
        <v>324</v>
      </c>
      <c r="EH240" s="2" t="s">
        <v>324</v>
      </c>
      <c r="EI240" s="2" t="s">
        <v>324</v>
      </c>
      <c r="EJ240" s="2" t="s">
        <v>324</v>
      </c>
      <c r="EK240" s="2" t="s">
        <v>324</v>
      </c>
      <c r="EL240" s="2" t="s">
        <v>324</v>
      </c>
      <c r="EM240" s="2" t="s">
        <v>324</v>
      </c>
      <c r="EN240" s="2" t="s">
        <v>324</v>
      </c>
      <c r="EO240" s="2" t="s">
        <v>324</v>
      </c>
      <c r="EP240" s="2" t="s">
        <v>324</v>
      </c>
      <c r="EQ240" s="2" t="s">
        <v>324</v>
      </c>
      <c r="ER240" s="2" t="s">
        <v>324</v>
      </c>
      <c r="ES240" s="2" t="s">
        <v>324</v>
      </c>
      <c r="ET240" s="2" t="s">
        <v>324</v>
      </c>
      <c r="EU240" s="2" t="s">
        <v>324</v>
      </c>
      <c r="EV240" s="2" t="s">
        <v>324</v>
      </c>
      <c r="EW240" s="2" t="s">
        <v>324</v>
      </c>
      <c r="EX240" s="2" t="s">
        <v>324</v>
      </c>
      <c r="EY240" s="2" t="s">
        <v>324</v>
      </c>
      <c r="EZ240" s="2" t="s">
        <v>324</v>
      </c>
      <c r="FA240" s="2" t="s">
        <v>324</v>
      </c>
      <c r="FB240" s="2" t="s">
        <v>324</v>
      </c>
      <c r="FC240" s="2" t="s">
        <v>324</v>
      </c>
      <c r="FD240" s="2" t="s">
        <v>324</v>
      </c>
      <c r="FE240" s="2" t="s">
        <v>324</v>
      </c>
      <c r="FF240" s="2" t="s">
        <v>324</v>
      </c>
      <c r="FG240" s="2" t="s">
        <v>324</v>
      </c>
      <c r="FH240" s="2" t="s">
        <v>324</v>
      </c>
      <c r="FI240" s="2" t="s">
        <v>324</v>
      </c>
      <c r="FJ240" s="2" t="s">
        <v>324</v>
      </c>
      <c r="FK240" s="2" t="s">
        <v>324</v>
      </c>
      <c r="FL240" s="2" t="s">
        <v>324</v>
      </c>
      <c r="FM240" s="2" t="s">
        <v>324</v>
      </c>
      <c r="FN240" s="2" t="s">
        <v>324</v>
      </c>
      <c r="FO240" s="2" t="s">
        <v>324</v>
      </c>
      <c r="FP240" s="2" t="s">
        <v>324</v>
      </c>
      <c r="FQ240" s="2" t="s">
        <v>324</v>
      </c>
    </row>
    <row r="241" spans="1:173">
      <c r="A241" s="335" t="s">
        <v>1448</v>
      </c>
      <c r="B241" s="2" t="s">
        <v>1448</v>
      </c>
      <c r="C241" s="2" t="s">
        <v>229</v>
      </c>
      <c r="D241" s="2" t="s">
        <v>710</v>
      </c>
      <c r="E241" s="2" t="s">
        <v>1449</v>
      </c>
      <c r="F241" s="2" t="s">
        <v>1397</v>
      </c>
      <c r="G241" s="2" t="s">
        <v>324</v>
      </c>
      <c r="H241" s="2" t="s">
        <v>324</v>
      </c>
      <c r="I241" s="435">
        <v>60.94</v>
      </c>
      <c r="J241" s="435">
        <v>59.11</v>
      </c>
      <c r="K241" s="435"/>
      <c r="L241" s="435"/>
      <c r="N241" s="422"/>
      <c r="O241" s="422"/>
      <c r="P241" s="346" t="s">
        <v>3105</v>
      </c>
      <c r="Q241" s="480" t="s">
        <v>2441</v>
      </c>
      <c r="R241" s="480" t="s">
        <v>2442</v>
      </c>
      <c r="S241" s="346" t="s">
        <v>170</v>
      </c>
      <c r="T241" s="346" t="s">
        <v>2941</v>
      </c>
      <c r="U241" s="346">
        <v>20</v>
      </c>
      <c r="V241" s="422" cm="1">
        <f t="array" ref="V241">IFERROR(INDEX('Offer Statistics'!$CH$2:$CH$350,MATCH(1,(B241='Offer Statistics'!$BS$2:$BS$350)*($B$11='Offer Statistics'!$BT$2:$BT$350),0)),"/")</f>
        <v>18</v>
      </c>
      <c r="W241" s="422" cm="1">
        <f t="array" ref="W241">IFERROR(INDEX('Offer Statistics'!$BU$2:$BU$350,MATCH(1,(B241='Offer Statistics'!$BS$2:$BS$350)*($B$11='Offer Statistics'!$BT$2:$BT$350),0)),"/")</f>
        <v>65</v>
      </c>
      <c r="X241" s="422" cm="1">
        <f t="array" ref="X241">IFERROR(INDEX('Offer Statistics'!$CC$2:$CC$350,MATCH(1,(B241='Offer Statistics'!$BS$2:$BS$350)*($B$11='Offer Statistics'!$BT$2:$BT$350),0)),"/")</f>
        <v>18</v>
      </c>
      <c r="Y241" s="422">
        <f t="shared" si="375"/>
        <v>3.6111111111111112</v>
      </c>
      <c r="Z241" s="422" t="s">
        <v>1046</v>
      </c>
      <c r="AA241" s="422" t="str">
        <f>入學要求!AF250</f>
        <v>申請人必須出席面試</v>
      </c>
      <c r="AB241" s="422" t="str">
        <f>入學要求!AG250</f>
        <v>/</v>
      </c>
      <c r="AC241" s="346" t="s">
        <v>1397</v>
      </c>
      <c r="AD241" s="422"/>
      <c r="AE241" s="422"/>
      <c r="AF241" s="422"/>
      <c r="AG241" s="422"/>
      <c r="AH241" s="346" t="s">
        <v>1432</v>
      </c>
      <c r="AI241" s="480" t="s">
        <v>2441</v>
      </c>
      <c r="AJ241" s="480" t="s">
        <v>2442</v>
      </c>
      <c r="AK241" s="346" t="s">
        <v>2427</v>
      </c>
      <c r="AL241" s="346" t="s">
        <v>3117</v>
      </c>
      <c r="AM241" s="346" t="s">
        <v>324</v>
      </c>
      <c r="AN241" s="346" t="s">
        <v>1401</v>
      </c>
      <c r="AO241" s="346" t="s">
        <v>324</v>
      </c>
      <c r="AP241" s="346" t="s">
        <v>324</v>
      </c>
      <c r="AQ241" s="435" t="s">
        <v>3095</v>
      </c>
      <c r="AR241" s="422" t="s">
        <v>3309</v>
      </c>
      <c r="AS241" s="422" t="s">
        <v>3310</v>
      </c>
      <c r="AT241" s="2" t="s">
        <v>716</v>
      </c>
      <c r="AV241" s="2" t="s">
        <v>713</v>
      </c>
      <c r="AZ241" s="2" t="s">
        <v>324</v>
      </c>
      <c r="BA241" s="2" t="s">
        <v>324</v>
      </c>
      <c r="BB241" s="2" t="s">
        <v>324</v>
      </c>
      <c r="BC241" s="2" t="s">
        <v>324</v>
      </c>
      <c r="BD241" s="2" t="s">
        <v>324</v>
      </c>
      <c r="BE241" s="2" t="s">
        <v>324</v>
      </c>
      <c r="BF241" s="2" t="s">
        <v>324</v>
      </c>
      <c r="BG241" s="2" t="s">
        <v>324</v>
      </c>
      <c r="BH241" s="2" t="s">
        <v>324</v>
      </c>
      <c r="BI241" s="2" t="s">
        <v>324</v>
      </c>
      <c r="BJ241" s="2" t="s">
        <v>324</v>
      </c>
      <c r="BK241" s="2" t="s">
        <v>324</v>
      </c>
      <c r="BL241" s="2" t="s">
        <v>324</v>
      </c>
      <c r="BM241" s="2" t="s">
        <v>324</v>
      </c>
      <c r="BN241" s="2" t="s">
        <v>324</v>
      </c>
      <c r="BO241" s="2" t="s">
        <v>324</v>
      </c>
      <c r="BP241" s="2" t="s">
        <v>324</v>
      </c>
      <c r="BQ241" s="2" t="s">
        <v>324</v>
      </c>
      <c r="BR241" s="2" t="s">
        <v>324</v>
      </c>
      <c r="BS241" s="2" t="s">
        <v>324</v>
      </c>
      <c r="BT241" s="2" t="s">
        <v>324</v>
      </c>
      <c r="BU241" s="2" t="s">
        <v>324</v>
      </c>
      <c r="BV241" s="2" t="s">
        <v>324</v>
      </c>
      <c r="BW241" s="2" t="s">
        <v>324</v>
      </c>
      <c r="BX241" s="2" t="s">
        <v>324</v>
      </c>
      <c r="BY241" s="2" t="s">
        <v>324</v>
      </c>
      <c r="BZ241" s="2" t="s">
        <v>324</v>
      </c>
      <c r="CA241" s="2" t="s">
        <v>324</v>
      </c>
      <c r="CB241" s="2" t="s">
        <v>324</v>
      </c>
      <c r="CC241" s="2" t="s">
        <v>324</v>
      </c>
      <c r="CD241" s="2" t="s">
        <v>324</v>
      </c>
      <c r="CE241" s="2" t="s">
        <v>324</v>
      </c>
      <c r="CF241" s="2" t="s">
        <v>324</v>
      </c>
      <c r="CG241" s="2" t="s">
        <v>324</v>
      </c>
      <c r="CH241" s="2" t="s">
        <v>324</v>
      </c>
      <c r="CI241" s="2" t="s">
        <v>324</v>
      </c>
      <c r="CJ241" s="2" t="s">
        <v>324</v>
      </c>
      <c r="CK241" s="2" t="s">
        <v>324</v>
      </c>
      <c r="CL241" s="2" t="s">
        <v>324</v>
      </c>
      <c r="CM241" s="2" t="s">
        <v>324</v>
      </c>
      <c r="CN241" s="2" t="s">
        <v>324</v>
      </c>
      <c r="CO241" s="2" t="s">
        <v>324</v>
      </c>
      <c r="CP241" s="2" t="s">
        <v>324</v>
      </c>
      <c r="CQ241" s="2" t="s">
        <v>324</v>
      </c>
      <c r="CR241" s="2" t="s">
        <v>324</v>
      </c>
      <c r="CS241" s="2" t="s">
        <v>324</v>
      </c>
      <c r="CT241" s="2" t="s">
        <v>324</v>
      </c>
      <c r="CU241" s="2" t="s">
        <v>324</v>
      </c>
      <c r="CV241" s="2" t="s">
        <v>324</v>
      </c>
      <c r="CW241" s="2" t="s">
        <v>324</v>
      </c>
      <c r="CX241" s="2" t="s">
        <v>324</v>
      </c>
      <c r="CY241" s="2" t="s">
        <v>324</v>
      </c>
      <c r="CZ241" s="2" t="s">
        <v>324</v>
      </c>
      <c r="DA241" s="2" t="s">
        <v>324</v>
      </c>
      <c r="DB241" s="2" t="s">
        <v>324</v>
      </c>
      <c r="DC241" s="2" t="s">
        <v>324</v>
      </c>
      <c r="DD241" s="2" t="s">
        <v>324</v>
      </c>
      <c r="DE241" s="2" t="s">
        <v>324</v>
      </c>
      <c r="DF241" s="2" t="s">
        <v>324</v>
      </c>
      <c r="DG241" s="2" t="s">
        <v>324</v>
      </c>
      <c r="DH241" s="2" t="s">
        <v>324</v>
      </c>
      <c r="DI241" s="2" t="s">
        <v>324</v>
      </c>
      <c r="DJ241" s="2" t="s">
        <v>324</v>
      </c>
      <c r="DK241" s="2" t="s">
        <v>324</v>
      </c>
      <c r="DL241" s="2" t="s">
        <v>324</v>
      </c>
      <c r="DM241" s="2" t="s">
        <v>324</v>
      </c>
      <c r="DN241" s="2" t="s">
        <v>324</v>
      </c>
      <c r="DO241" s="2" t="s">
        <v>324</v>
      </c>
      <c r="DP241" s="2" t="s">
        <v>324</v>
      </c>
      <c r="DQ241" s="2" t="s">
        <v>324</v>
      </c>
      <c r="DR241" s="2" t="s">
        <v>324</v>
      </c>
      <c r="DS241" s="2" t="s">
        <v>324</v>
      </c>
      <c r="DT241" s="2" t="s">
        <v>324</v>
      </c>
      <c r="DU241" s="2" t="s">
        <v>324</v>
      </c>
      <c r="DV241" s="2" t="s">
        <v>324</v>
      </c>
      <c r="DW241" s="2" t="s">
        <v>324</v>
      </c>
      <c r="DX241" s="2" t="s">
        <v>324</v>
      </c>
      <c r="DY241" s="2" t="s">
        <v>324</v>
      </c>
      <c r="DZ241" s="2" t="s">
        <v>324</v>
      </c>
      <c r="EA241" s="2" t="s">
        <v>324</v>
      </c>
      <c r="EB241" s="2" t="s">
        <v>324</v>
      </c>
      <c r="EC241" s="2" t="s">
        <v>324</v>
      </c>
      <c r="ED241" s="2" t="s">
        <v>324</v>
      </c>
      <c r="EE241" s="2" t="s">
        <v>324</v>
      </c>
      <c r="EF241" s="2" t="s">
        <v>324</v>
      </c>
      <c r="EG241" s="2" t="s">
        <v>324</v>
      </c>
      <c r="EH241" s="2" t="s">
        <v>324</v>
      </c>
      <c r="EI241" s="2" t="s">
        <v>324</v>
      </c>
      <c r="EJ241" s="2" t="s">
        <v>324</v>
      </c>
      <c r="EK241" s="2" t="s">
        <v>324</v>
      </c>
      <c r="EL241" s="2" t="s">
        <v>324</v>
      </c>
      <c r="EM241" s="2" t="s">
        <v>324</v>
      </c>
      <c r="EN241" s="2" t="s">
        <v>324</v>
      </c>
      <c r="EO241" s="2" t="s">
        <v>324</v>
      </c>
      <c r="EP241" s="2" t="s">
        <v>324</v>
      </c>
      <c r="EQ241" s="2" t="s">
        <v>324</v>
      </c>
      <c r="ER241" s="2" t="s">
        <v>324</v>
      </c>
      <c r="ES241" s="2" t="s">
        <v>324</v>
      </c>
      <c r="ET241" s="2" t="s">
        <v>324</v>
      </c>
      <c r="EU241" s="2" t="s">
        <v>324</v>
      </c>
      <c r="EV241" s="2" t="s">
        <v>324</v>
      </c>
      <c r="EW241" s="2" t="s">
        <v>324</v>
      </c>
      <c r="EX241" s="2" t="s">
        <v>324</v>
      </c>
      <c r="EY241" s="2" t="s">
        <v>324</v>
      </c>
      <c r="EZ241" s="2" t="s">
        <v>324</v>
      </c>
      <c r="FA241" s="2" t="s">
        <v>324</v>
      </c>
      <c r="FB241" s="2" t="s">
        <v>324</v>
      </c>
      <c r="FC241" s="2" t="s">
        <v>324</v>
      </c>
      <c r="FD241" s="2" t="s">
        <v>324</v>
      </c>
      <c r="FE241" s="2" t="s">
        <v>324</v>
      </c>
      <c r="FF241" s="2" t="s">
        <v>324</v>
      </c>
      <c r="FG241" s="2" t="s">
        <v>324</v>
      </c>
      <c r="FH241" s="2" t="s">
        <v>324</v>
      </c>
      <c r="FI241" s="2" t="s">
        <v>324</v>
      </c>
      <c r="FJ241" s="2" t="s">
        <v>324</v>
      </c>
      <c r="FK241" s="2" t="s">
        <v>324</v>
      </c>
      <c r="FL241" s="2" t="s">
        <v>324</v>
      </c>
      <c r="FM241" s="2" t="s">
        <v>324</v>
      </c>
      <c r="FN241" s="2" t="s">
        <v>324</v>
      </c>
      <c r="FO241" s="2" t="s">
        <v>324</v>
      </c>
      <c r="FP241" s="2" t="s">
        <v>324</v>
      </c>
      <c r="FQ241" s="2" t="s">
        <v>324</v>
      </c>
    </row>
    <row r="242" spans="1:173">
      <c r="A242" s="335" t="s">
        <v>1450</v>
      </c>
      <c r="B242" s="2" t="s">
        <v>1450</v>
      </c>
      <c r="C242" s="2" t="s">
        <v>229</v>
      </c>
      <c r="D242" s="2" t="s">
        <v>1451</v>
      </c>
      <c r="E242" s="2" t="s">
        <v>1452</v>
      </c>
      <c r="F242" s="2" t="s">
        <v>1096</v>
      </c>
      <c r="G242" s="2" t="s">
        <v>324</v>
      </c>
      <c r="H242" s="2" t="s">
        <v>324</v>
      </c>
      <c r="I242" s="435">
        <v>28</v>
      </c>
      <c r="J242" s="435">
        <v>27.5</v>
      </c>
      <c r="K242" s="435"/>
      <c r="L242" s="435"/>
      <c r="N242" s="422"/>
      <c r="O242" s="422"/>
      <c r="P242" s="346" t="s">
        <v>2443</v>
      </c>
      <c r="Q242" s="346" t="s">
        <v>324</v>
      </c>
      <c r="R242" s="346" t="s">
        <v>324</v>
      </c>
      <c r="S242" s="346" t="s">
        <v>171</v>
      </c>
      <c r="T242" s="346" t="s">
        <v>2941</v>
      </c>
      <c r="U242" s="346">
        <v>50</v>
      </c>
      <c r="V242" s="422" cm="1">
        <f t="array" ref="V242">IFERROR(INDEX('Offer Statistics'!$CH$2:$CH$350,MATCH(1,(B242='Offer Statistics'!$BS$2:$BS$350)*($B$11='Offer Statistics'!$BT$2:$BT$350),0)),"/")</f>
        <v>53</v>
      </c>
      <c r="W242" s="422" cm="1">
        <f t="array" ref="W242">IFERROR(INDEX('Offer Statistics'!$BU$2:$BU$350,MATCH(1,(B242='Offer Statistics'!$BS$2:$BS$350)*($B$11='Offer Statistics'!$BT$2:$BT$350),0)),"/")</f>
        <v>242</v>
      </c>
      <c r="X242" s="422" cm="1">
        <f t="array" ref="X242">IFERROR(INDEX('Offer Statistics'!$CC$2:$CC$350,MATCH(1,(B242='Offer Statistics'!$BS$2:$BS$350)*($B$11='Offer Statistics'!$BT$2:$BT$350),0)),"/")</f>
        <v>51</v>
      </c>
      <c r="Y242" s="422">
        <f t="shared" si="375"/>
        <v>4.7450980392156863</v>
      </c>
      <c r="Z242" s="422" t="s">
        <v>1046</v>
      </c>
      <c r="AA242" s="422" t="str">
        <f>入學要求!AF251</f>
        <v>/</v>
      </c>
      <c r="AB242" s="422" t="str">
        <f>入學要求!AG251</f>
        <v>/</v>
      </c>
      <c r="AC242" s="346" t="s">
        <v>1096</v>
      </c>
      <c r="AD242" s="422"/>
      <c r="AE242" s="422"/>
      <c r="AF242" s="422"/>
      <c r="AG242" s="422"/>
      <c r="AH242" s="346" t="s">
        <v>2443</v>
      </c>
      <c r="AI242" s="346" t="s">
        <v>324</v>
      </c>
      <c r="AJ242" s="346" t="s">
        <v>324</v>
      </c>
      <c r="AK242" s="346" t="s">
        <v>1400</v>
      </c>
      <c r="AL242" s="346" t="s">
        <v>1453</v>
      </c>
      <c r="AM242" s="346" t="s">
        <v>324</v>
      </c>
      <c r="AN242" s="346" t="s">
        <v>324</v>
      </c>
      <c r="AO242" s="346" t="s">
        <v>324</v>
      </c>
      <c r="AP242" s="346" t="s">
        <v>324</v>
      </c>
      <c r="AQ242" s="435" t="s">
        <v>3097</v>
      </c>
      <c r="AR242" s="422" t="s">
        <v>3309</v>
      </c>
      <c r="AS242" s="422" t="s">
        <v>3310</v>
      </c>
      <c r="AT242" s="2" t="s">
        <v>716</v>
      </c>
      <c r="AV242" s="2" t="s">
        <v>713</v>
      </c>
      <c r="AZ242" s="2" t="s">
        <v>324</v>
      </c>
      <c r="BA242" s="2" t="s">
        <v>324</v>
      </c>
      <c r="BB242" s="2" t="s">
        <v>324</v>
      </c>
      <c r="BC242" s="2" t="s">
        <v>324</v>
      </c>
      <c r="BD242" s="2" t="s">
        <v>324</v>
      </c>
      <c r="BE242" s="2" t="s">
        <v>324</v>
      </c>
      <c r="BF242" s="2" t="s">
        <v>324</v>
      </c>
      <c r="BG242" s="2" t="s">
        <v>324</v>
      </c>
      <c r="BH242" s="2" t="s">
        <v>324</v>
      </c>
      <c r="BI242" s="2" t="s">
        <v>324</v>
      </c>
      <c r="BJ242" s="2" t="s">
        <v>324</v>
      </c>
      <c r="BK242" s="2" t="s">
        <v>324</v>
      </c>
      <c r="BL242" s="2" t="s">
        <v>324</v>
      </c>
      <c r="BM242" s="2" t="s">
        <v>324</v>
      </c>
      <c r="BN242" s="2" t="s">
        <v>324</v>
      </c>
      <c r="BO242" s="2" t="s">
        <v>324</v>
      </c>
      <c r="BP242" s="2" t="s">
        <v>324</v>
      </c>
      <c r="BQ242" s="2" t="s">
        <v>324</v>
      </c>
      <c r="BR242" s="2" t="s">
        <v>324</v>
      </c>
      <c r="BS242" s="2" t="s">
        <v>324</v>
      </c>
      <c r="BT242" s="2" t="s">
        <v>324</v>
      </c>
      <c r="BU242" s="2" t="s">
        <v>324</v>
      </c>
      <c r="BV242" s="2" t="s">
        <v>324</v>
      </c>
      <c r="BW242" s="2" t="s">
        <v>324</v>
      </c>
      <c r="BX242" s="2" t="s">
        <v>324</v>
      </c>
      <c r="BY242" s="2" t="s">
        <v>324</v>
      </c>
      <c r="BZ242" s="2" t="s">
        <v>324</v>
      </c>
      <c r="CA242" s="2" t="s">
        <v>324</v>
      </c>
      <c r="CB242" s="2" t="s">
        <v>324</v>
      </c>
      <c r="CC242" s="2" t="s">
        <v>324</v>
      </c>
      <c r="CD242" s="2" t="s">
        <v>324</v>
      </c>
      <c r="CE242" s="2" t="s">
        <v>324</v>
      </c>
      <c r="CF242" s="2" t="s">
        <v>324</v>
      </c>
      <c r="CG242" s="2" t="s">
        <v>324</v>
      </c>
      <c r="CH242" s="2" t="s">
        <v>324</v>
      </c>
      <c r="CI242" s="2" t="s">
        <v>324</v>
      </c>
      <c r="CJ242" s="2" t="s">
        <v>324</v>
      </c>
      <c r="CK242" s="2" t="s">
        <v>324</v>
      </c>
      <c r="CL242" s="2" t="s">
        <v>324</v>
      </c>
      <c r="CM242" s="2" t="s">
        <v>324</v>
      </c>
      <c r="CN242" s="2" t="s">
        <v>324</v>
      </c>
      <c r="CO242" s="2" t="s">
        <v>324</v>
      </c>
      <c r="CP242" s="2" t="s">
        <v>324</v>
      </c>
      <c r="CQ242" s="2" t="s">
        <v>324</v>
      </c>
      <c r="CR242" s="2" t="s">
        <v>324</v>
      </c>
      <c r="CS242" s="2" t="s">
        <v>324</v>
      </c>
      <c r="CT242" s="2" t="s">
        <v>324</v>
      </c>
      <c r="CU242" s="2" t="s">
        <v>324</v>
      </c>
      <c r="CV242" s="2" t="s">
        <v>324</v>
      </c>
      <c r="CW242" s="2" t="s">
        <v>324</v>
      </c>
      <c r="CX242" s="2" t="s">
        <v>324</v>
      </c>
      <c r="CY242" s="2" t="s">
        <v>324</v>
      </c>
      <c r="CZ242" s="2" t="s">
        <v>324</v>
      </c>
      <c r="DA242" s="2" t="s">
        <v>324</v>
      </c>
      <c r="DB242" s="2" t="s">
        <v>324</v>
      </c>
      <c r="DC242" s="2" t="s">
        <v>324</v>
      </c>
      <c r="DD242" s="2" t="s">
        <v>324</v>
      </c>
      <c r="DE242" s="2" t="s">
        <v>324</v>
      </c>
      <c r="DF242" s="2" t="s">
        <v>324</v>
      </c>
      <c r="DG242" s="2" t="s">
        <v>324</v>
      </c>
      <c r="DH242" s="2" t="s">
        <v>324</v>
      </c>
      <c r="DI242" s="2" t="s">
        <v>324</v>
      </c>
      <c r="DJ242" s="2" t="s">
        <v>324</v>
      </c>
      <c r="DK242" s="2" t="s">
        <v>324</v>
      </c>
      <c r="DL242" s="2" t="s">
        <v>324</v>
      </c>
      <c r="DM242" s="2" t="s">
        <v>324</v>
      </c>
      <c r="DN242" s="2" t="s">
        <v>324</v>
      </c>
      <c r="DO242" s="2" t="s">
        <v>324</v>
      </c>
      <c r="DP242" s="2" t="s">
        <v>324</v>
      </c>
      <c r="DQ242" s="2" t="s">
        <v>324</v>
      </c>
      <c r="DR242" s="2" t="s">
        <v>324</v>
      </c>
      <c r="DS242" s="2" t="s">
        <v>324</v>
      </c>
      <c r="DT242" s="2" t="s">
        <v>324</v>
      </c>
      <c r="DU242" s="2" t="s">
        <v>324</v>
      </c>
      <c r="DV242" s="2" t="s">
        <v>324</v>
      </c>
      <c r="DW242" s="2" t="s">
        <v>324</v>
      </c>
      <c r="DX242" s="2" t="s">
        <v>324</v>
      </c>
      <c r="DY242" s="2" t="s">
        <v>324</v>
      </c>
      <c r="DZ242" s="2" t="s">
        <v>324</v>
      </c>
      <c r="EA242" s="2" t="s">
        <v>324</v>
      </c>
      <c r="EB242" s="2" t="s">
        <v>324</v>
      </c>
      <c r="EC242" s="2" t="s">
        <v>324</v>
      </c>
      <c r="ED242" s="2" t="s">
        <v>324</v>
      </c>
      <c r="EE242" s="2" t="s">
        <v>324</v>
      </c>
      <c r="EF242" s="2" t="s">
        <v>324</v>
      </c>
      <c r="EG242" s="2" t="s">
        <v>324</v>
      </c>
      <c r="EH242" s="2" t="s">
        <v>324</v>
      </c>
      <c r="EI242" s="2" t="s">
        <v>324</v>
      </c>
      <c r="EJ242" s="2" t="s">
        <v>324</v>
      </c>
      <c r="EK242" s="2" t="s">
        <v>324</v>
      </c>
      <c r="EL242" s="2" t="s">
        <v>324</v>
      </c>
      <c r="EM242" s="2" t="s">
        <v>324</v>
      </c>
      <c r="EN242" s="2" t="s">
        <v>324</v>
      </c>
      <c r="EO242" s="2" t="s">
        <v>324</v>
      </c>
      <c r="EP242" s="2" t="s">
        <v>324</v>
      </c>
      <c r="EQ242" s="2" t="s">
        <v>324</v>
      </c>
      <c r="ER242" s="2" t="s">
        <v>324</v>
      </c>
      <c r="ES242" s="2" t="s">
        <v>324</v>
      </c>
      <c r="ET242" s="2" t="s">
        <v>324</v>
      </c>
      <c r="EU242" s="2" t="s">
        <v>324</v>
      </c>
      <c r="EV242" s="2" t="s">
        <v>324</v>
      </c>
      <c r="EW242" s="2" t="s">
        <v>324</v>
      </c>
      <c r="EX242" s="2" t="s">
        <v>324</v>
      </c>
      <c r="EY242" s="2" t="s">
        <v>324</v>
      </c>
      <c r="EZ242" s="2" t="s">
        <v>324</v>
      </c>
      <c r="FA242" s="2" t="s">
        <v>324</v>
      </c>
      <c r="FB242" s="2" t="s">
        <v>324</v>
      </c>
      <c r="FC242" s="2" t="s">
        <v>324</v>
      </c>
      <c r="FD242" s="2" t="s">
        <v>324</v>
      </c>
      <c r="FE242" s="2" t="s">
        <v>324</v>
      </c>
      <c r="FF242" s="2" t="s">
        <v>324</v>
      </c>
      <c r="FG242" s="2" t="s">
        <v>324</v>
      </c>
      <c r="FH242" s="2" t="s">
        <v>324</v>
      </c>
      <c r="FI242" s="2" t="s">
        <v>324</v>
      </c>
      <c r="FJ242" s="2" t="s">
        <v>324</v>
      </c>
      <c r="FK242" s="2" t="s">
        <v>324</v>
      </c>
      <c r="FL242" s="2" t="s">
        <v>324</v>
      </c>
      <c r="FM242" s="2" t="s">
        <v>324</v>
      </c>
      <c r="FN242" s="2" t="s">
        <v>324</v>
      </c>
      <c r="FO242" s="2" t="s">
        <v>324</v>
      </c>
      <c r="FP242" s="2" t="s">
        <v>324</v>
      </c>
      <c r="FQ242" s="2" t="s">
        <v>324</v>
      </c>
    </row>
    <row r="243" spans="1:173">
      <c r="A243" s="335" t="s">
        <v>1454</v>
      </c>
      <c r="B243" s="2" t="s">
        <v>1454</v>
      </c>
      <c r="C243" s="2" t="s">
        <v>229</v>
      </c>
      <c r="D243" s="2" t="s">
        <v>1451</v>
      </c>
      <c r="E243" s="2" t="s">
        <v>1455</v>
      </c>
      <c r="F243" s="2" t="s">
        <v>1397</v>
      </c>
      <c r="G243" s="2" t="s">
        <v>324</v>
      </c>
      <c r="H243" s="2" t="s">
        <v>324</v>
      </c>
      <c r="I243" s="435">
        <v>30.88</v>
      </c>
      <c r="J243" s="435">
        <v>30</v>
      </c>
      <c r="K243" s="435"/>
      <c r="L243" s="435"/>
      <c r="N243" s="422"/>
      <c r="O243" s="422"/>
      <c r="P243" s="346" t="s">
        <v>2444</v>
      </c>
      <c r="Q243" s="346" t="s">
        <v>2445</v>
      </c>
      <c r="R243" s="346" t="s">
        <v>324</v>
      </c>
      <c r="S243" s="346" t="s">
        <v>172</v>
      </c>
      <c r="T243" s="346" t="s">
        <v>2941</v>
      </c>
      <c r="U243" s="346">
        <v>26</v>
      </c>
      <c r="V243" s="422" cm="1">
        <f t="array" ref="V243">IFERROR(INDEX('Offer Statistics'!$CH$2:$CH$350,MATCH(1,(B243='Offer Statistics'!$BS$2:$BS$350)*($B$11='Offer Statistics'!$BT$2:$BT$350),0)),"/")</f>
        <v>28</v>
      </c>
      <c r="W243" s="422" cm="1">
        <f t="array" ref="W243">IFERROR(INDEX('Offer Statistics'!$BU$2:$BU$350,MATCH(1,(B243='Offer Statistics'!$BS$2:$BS$350)*($B$11='Offer Statistics'!$BT$2:$BT$350),0)),"/")</f>
        <v>77</v>
      </c>
      <c r="X243" s="422" cm="1">
        <f t="array" ref="X243">IFERROR(INDEX('Offer Statistics'!$CC$2:$CC$350,MATCH(1,(B243='Offer Statistics'!$BS$2:$BS$350)*($B$11='Offer Statistics'!$BT$2:$BT$350),0)),"/")</f>
        <v>27</v>
      </c>
      <c r="Y243" s="422">
        <f t="shared" si="375"/>
        <v>2.8518518518518516</v>
      </c>
      <c r="Z243" s="422" t="s">
        <v>1046</v>
      </c>
      <c r="AA243" s="422" t="str">
        <f>入學要求!AF252</f>
        <v>數學科應考獲Lv.4 或以上</v>
      </c>
      <c r="AB243" s="422" t="str">
        <f>入學要求!AG252</f>
        <v>/</v>
      </c>
      <c r="AC243" s="346" t="s">
        <v>1397</v>
      </c>
      <c r="AD243" s="422"/>
      <c r="AE243" s="422"/>
      <c r="AF243" s="422"/>
      <c r="AG243" s="422"/>
      <c r="AH243" s="346" t="s">
        <v>2444</v>
      </c>
      <c r="AI243" s="346" t="s">
        <v>2445</v>
      </c>
      <c r="AJ243" s="346" t="s">
        <v>324</v>
      </c>
      <c r="AK243" s="346" t="s">
        <v>1400</v>
      </c>
      <c r="AL243" s="346" t="s">
        <v>1456</v>
      </c>
      <c r="AM243" s="346" t="s">
        <v>324</v>
      </c>
      <c r="AN243" s="346" t="s">
        <v>1457</v>
      </c>
      <c r="AO243" s="346" t="s">
        <v>324</v>
      </c>
      <c r="AP243" s="346" t="s">
        <v>324</v>
      </c>
      <c r="AQ243" s="435" t="s">
        <v>3095</v>
      </c>
      <c r="AR243" s="422" t="s">
        <v>3309</v>
      </c>
      <c r="AS243" s="422" t="s">
        <v>3310</v>
      </c>
      <c r="AT243" s="2" t="s">
        <v>716</v>
      </c>
      <c r="AV243" s="2" t="s">
        <v>713</v>
      </c>
      <c r="AZ243" s="2" t="s">
        <v>324</v>
      </c>
      <c r="BA243" s="2" t="s">
        <v>324</v>
      </c>
      <c r="BB243" s="2" t="s">
        <v>324</v>
      </c>
      <c r="BC243" s="2" t="s">
        <v>324</v>
      </c>
      <c r="BD243" s="2" t="s">
        <v>324</v>
      </c>
      <c r="BE243" s="2" t="s">
        <v>324</v>
      </c>
      <c r="BF243" s="2" t="s">
        <v>324</v>
      </c>
      <c r="BG243" s="2" t="s">
        <v>324</v>
      </c>
      <c r="BH243" s="2" t="s">
        <v>324</v>
      </c>
      <c r="BI243" s="2" t="s">
        <v>324</v>
      </c>
      <c r="BJ243" s="2" t="s">
        <v>324</v>
      </c>
      <c r="BK243" s="2" t="s">
        <v>324</v>
      </c>
      <c r="BL243" s="2" t="s">
        <v>324</v>
      </c>
      <c r="BM243" s="2" t="s">
        <v>324</v>
      </c>
      <c r="BN243" s="2" t="s">
        <v>324</v>
      </c>
      <c r="BO243" s="2" t="s">
        <v>324</v>
      </c>
      <c r="BP243" s="2" t="s">
        <v>324</v>
      </c>
      <c r="BQ243" s="2" t="s">
        <v>324</v>
      </c>
      <c r="BR243" s="2" t="s">
        <v>324</v>
      </c>
      <c r="BS243" s="2" t="s">
        <v>324</v>
      </c>
      <c r="BT243" s="2" t="s">
        <v>324</v>
      </c>
      <c r="BU243" s="2" t="s">
        <v>324</v>
      </c>
      <c r="BV243" s="2" t="s">
        <v>324</v>
      </c>
      <c r="BW243" s="2" t="s">
        <v>324</v>
      </c>
      <c r="BX243" s="2" t="s">
        <v>324</v>
      </c>
      <c r="BY243" s="2" t="s">
        <v>324</v>
      </c>
      <c r="BZ243" s="2" t="s">
        <v>324</v>
      </c>
      <c r="CA243" s="2" t="s">
        <v>324</v>
      </c>
      <c r="CB243" s="2" t="s">
        <v>324</v>
      </c>
      <c r="CC243" s="2" t="s">
        <v>324</v>
      </c>
      <c r="CD243" s="2" t="s">
        <v>324</v>
      </c>
      <c r="CE243" s="2" t="s">
        <v>324</v>
      </c>
      <c r="CF243" s="2" t="s">
        <v>324</v>
      </c>
      <c r="CG243" s="2" t="s">
        <v>324</v>
      </c>
      <c r="CH243" s="2" t="s">
        <v>324</v>
      </c>
      <c r="CI243" s="2" t="s">
        <v>324</v>
      </c>
      <c r="CJ243" s="2" t="s">
        <v>324</v>
      </c>
      <c r="CK243" s="2" t="s">
        <v>324</v>
      </c>
      <c r="CL243" s="2" t="s">
        <v>324</v>
      </c>
      <c r="CM243" s="2" t="s">
        <v>324</v>
      </c>
      <c r="CN243" s="2" t="s">
        <v>324</v>
      </c>
      <c r="CO243" s="2" t="s">
        <v>324</v>
      </c>
      <c r="CP243" s="2" t="s">
        <v>324</v>
      </c>
      <c r="CQ243" s="2" t="s">
        <v>324</v>
      </c>
      <c r="CR243" s="2" t="s">
        <v>324</v>
      </c>
      <c r="CS243" s="2" t="s">
        <v>324</v>
      </c>
      <c r="CT243" s="2" t="s">
        <v>324</v>
      </c>
      <c r="CU243" s="2" t="s">
        <v>324</v>
      </c>
      <c r="CV243" s="2" t="s">
        <v>324</v>
      </c>
      <c r="CW243" s="2" t="s">
        <v>324</v>
      </c>
      <c r="CX243" s="2" t="s">
        <v>324</v>
      </c>
      <c r="CY243" s="2" t="s">
        <v>324</v>
      </c>
      <c r="CZ243" s="2" t="s">
        <v>324</v>
      </c>
      <c r="DA243" s="2" t="s">
        <v>324</v>
      </c>
      <c r="DB243" s="2" t="s">
        <v>324</v>
      </c>
      <c r="DC243" s="2" t="s">
        <v>324</v>
      </c>
      <c r="DD243" s="2" t="s">
        <v>324</v>
      </c>
      <c r="DE243" s="2" t="s">
        <v>324</v>
      </c>
      <c r="DF243" s="2" t="s">
        <v>324</v>
      </c>
      <c r="DG243" s="2" t="s">
        <v>324</v>
      </c>
      <c r="DH243" s="2" t="s">
        <v>324</v>
      </c>
      <c r="DI243" s="2" t="s">
        <v>324</v>
      </c>
      <c r="DJ243" s="2" t="s">
        <v>324</v>
      </c>
      <c r="DK243" s="2" t="s">
        <v>324</v>
      </c>
      <c r="DL243" s="2" t="s">
        <v>324</v>
      </c>
      <c r="DM243" s="2" t="s">
        <v>324</v>
      </c>
      <c r="DN243" s="2" t="s">
        <v>324</v>
      </c>
      <c r="DO243" s="2" t="s">
        <v>324</v>
      </c>
      <c r="DP243" s="2" t="s">
        <v>324</v>
      </c>
      <c r="DQ243" s="2" t="s">
        <v>324</v>
      </c>
      <c r="DR243" s="2" t="s">
        <v>324</v>
      </c>
      <c r="DS243" s="2" t="s">
        <v>324</v>
      </c>
      <c r="DT243" s="2" t="s">
        <v>324</v>
      </c>
      <c r="DU243" s="2" t="s">
        <v>324</v>
      </c>
      <c r="DV243" s="2" t="s">
        <v>324</v>
      </c>
      <c r="DW243" s="2" t="s">
        <v>324</v>
      </c>
      <c r="DX243" s="2" t="s">
        <v>324</v>
      </c>
      <c r="DY243" s="2" t="s">
        <v>324</v>
      </c>
      <c r="DZ243" s="2" t="s">
        <v>324</v>
      </c>
      <c r="EA243" s="2" t="s">
        <v>324</v>
      </c>
      <c r="EB243" s="2" t="s">
        <v>324</v>
      </c>
      <c r="EC243" s="2" t="s">
        <v>324</v>
      </c>
      <c r="ED243" s="2" t="s">
        <v>324</v>
      </c>
      <c r="EE243" s="2" t="s">
        <v>324</v>
      </c>
      <c r="EF243" s="2" t="s">
        <v>324</v>
      </c>
      <c r="EG243" s="2" t="s">
        <v>324</v>
      </c>
      <c r="EH243" s="2" t="s">
        <v>324</v>
      </c>
      <c r="EI243" s="2" t="s">
        <v>324</v>
      </c>
      <c r="EJ243" s="2" t="s">
        <v>324</v>
      </c>
      <c r="EK243" s="2" t="s">
        <v>324</v>
      </c>
      <c r="EL243" s="2" t="s">
        <v>324</v>
      </c>
      <c r="EM243" s="2" t="s">
        <v>324</v>
      </c>
      <c r="EN243" s="2" t="s">
        <v>324</v>
      </c>
      <c r="EO243" s="2" t="s">
        <v>324</v>
      </c>
      <c r="EP243" s="2" t="s">
        <v>324</v>
      </c>
      <c r="EQ243" s="2" t="s">
        <v>324</v>
      </c>
      <c r="ER243" s="2" t="s">
        <v>324</v>
      </c>
      <c r="ES243" s="2" t="s">
        <v>324</v>
      </c>
      <c r="ET243" s="2" t="s">
        <v>324</v>
      </c>
      <c r="EU243" s="2" t="s">
        <v>324</v>
      </c>
      <c r="EV243" s="2" t="s">
        <v>324</v>
      </c>
      <c r="EW243" s="2" t="s">
        <v>324</v>
      </c>
      <c r="EX243" s="2" t="s">
        <v>324</v>
      </c>
      <c r="EY243" s="2" t="s">
        <v>324</v>
      </c>
      <c r="EZ243" s="2" t="s">
        <v>324</v>
      </c>
      <c r="FA243" s="2" t="s">
        <v>324</v>
      </c>
      <c r="FB243" s="2" t="s">
        <v>324</v>
      </c>
      <c r="FC243" s="2" t="s">
        <v>324</v>
      </c>
      <c r="FD243" s="2" t="s">
        <v>324</v>
      </c>
      <c r="FE243" s="2" t="s">
        <v>324</v>
      </c>
      <c r="FF243" s="2" t="s">
        <v>324</v>
      </c>
      <c r="FG243" s="2" t="s">
        <v>324</v>
      </c>
      <c r="FH243" s="2" t="s">
        <v>324</v>
      </c>
      <c r="FI243" s="2" t="s">
        <v>324</v>
      </c>
      <c r="FJ243" s="2" t="s">
        <v>324</v>
      </c>
      <c r="FK243" s="2" t="s">
        <v>324</v>
      </c>
      <c r="FL243" s="2" t="s">
        <v>324</v>
      </c>
      <c r="FM243" s="2" t="s">
        <v>324</v>
      </c>
      <c r="FN243" s="2" t="s">
        <v>324</v>
      </c>
      <c r="FO243" s="2" t="s">
        <v>324</v>
      </c>
      <c r="FP243" s="2" t="s">
        <v>324</v>
      </c>
      <c r="FQ243" s="2" t="s">
        <v>324</v>
      </c>
    </row>
    <row r="244" spans="1:173">
      <c r="A244" s="335" t="s">
        <v>2116</v>
      </c>
      <c r="B244" s="2" t="s">
        <v>2116</v>
      </c>
      <c r="C244" s="2" t="s">
        <v>229</v>
      </c>
      <c r="D244" s="2" t="s">
        <v>870</v>
      </c>
      <c r="E244" s="2" t="s">
        <v>1417</v>
      </c>
      <c r="F244" s="2" t="s">
        <v>1397</v>
      </c>
      <c r="G244" s="2" t="s">
        <v>324</v>
      </c>
      <c r="H244" s="2" t="s">
        <v>324</v>
      </c>
      <c r="I244" s="435">
        <v>39.28</v>
      </c>
      <c r="J244" s="435">
        <v>33.24</v>
      </c>
      <c r="K244" s="435"/>
      <c r="L244" s="435"/>
      <c r="N244" s="422"/>
      <c r="O244" s="422"/>
      <c r="P244" s="346" t="s">
        <v>2449</v>
      </c>
      <c r="Q244" s="346" t="s">
        <v>3106</v>
      </c>
      <c r="R244" s="346" t="s">
        <v>2450</v>
      </c>
      <c r="S244" s="346" t="s">
        <v>158</v>
      </c>
      <c r="T244" s="346" t="s">
        <v>2941</v>
      </c>
      <c r="U244" s="346">
        <v>20</v>
      </c>
      <c r="V244" s="422" cm="1">
        <f t="array" ref="V244">IFERROR(INDEX('Offer Statistics'!$CH$2:$CH$350,MATCH(1,(B244='Offer Statistics'!$BS$2:$BS$350)*($B$11='Offer Statistics'!$BT$2:$BT$350),0)),"/")</f>
        <v>7</v>
      </c>
      <c r="W244" s="422" cm="1">
        <f t="array" ref="W244">IFERROR(INDEX('Offer Statistics'!$BU$2:$BU$350,MATCH(1,(B244='Offer Statistics'!$BS$2:$BS$350)*($B$11='Offer Statistics'!$BT$2:$BT$350),0)),"/")</f>
        <v>25</v>
      </c>
      <c r="X244" s="422" cm="1">
        <f t="array" ref="X244">IFERROR(INDEX('Offer Statistics'!$CC$2:$CC$350,MATCH(1,(B244='Offer Statistics'!$BS$2:$BS$350)*($B$11='Offer Statistics'!$BT$2:$BT$350),0)),"/")</f>
        <v>7</v>
      </c>
      <c r="Y244" s="422">
        <f t="shared" si="375"/>
        <v>3.5714285714285716</v>
      </c>
      <c r="Z244" s="422" t="s">
        <v>1046</v>
      </c>
      <c r="AA244" s="422" t="str">
        <f>入學要求!AF253</f>
        <v>以下一科選修取得Lv.3︰生物、化學、組合科學、物理、ICT、DAT</v>
      </c>
      <c r="AB244" s="422" t="str">
        <f>入學要求!AG253</f>
        <v>申請人必須以指定連結遞交 設計相關履歷。</v>
      </c>
      <c r="AC244" s="346" t="s">
        <v>1397</v>
      </c>
      <c r="AD244" s="422"/>
      <c r="AE244" s="422"/>
      <c r="AF244" s="422"/>
      <c r="AG244" s="422"/>
      <c r="AH244" s="346" t="s">
        <v>1413</v>
      </c>
      <c r="AI244" s="346" t="s">
        <v>1418</v>
      </c>
      <c r="AJ244" s="346" t="s">
        <v>1415</v>
      </c>
      <c r="AK244" s="346" t="s">
        <v>1400</v>
      </c>
      <c r="AL244" s="346" t="s">
        <v>1419</v>
      </c>
      <c r="AM244" s="346" t="s">
        <v>1410</v>
      </c>
      <c r="AN244" s="346" t="s">
        <v>1420</v>
      </c>
      <c r="AO244" s="346" t="s">
        <v>1421</v>
      </c>
      <c r="AP244" s="502" t="s">
        <v>1422</v>
      </c>
      <c r="AQ244" s="435" t="s">
        <v>3096</v>
      </c>
      <c r="AR244" s="422" t="s">
        <v>3309</v>
      </c>
      <c r="AS244" s="422" t="s">
        <v>3310</v>
      </c>
      <c r="AT244" s="2" t="s">
        <v>716</v>
      </c>
      <c r="AV244" s="2" t="s">
        <v>713</v>
      </c>
      <c r="AZ244" s="2" t="s">
        <v>324</v>
      </c>
      <c r="BA244" s="2" t="s">
        <v>324</v>
      </c>
      <c r="BB244" s="2" t="s">
        <v>324</v>
      </c>
      <c r="BC244" s="2" t="s">
        <v>324</v>
      </c>
      <c r="BD244" s="2" t="s">
        <v>324</v>
      </c>
      <c r="BE244" s="2" t="s">
        <v>324</v>
      </c>
      <c r="BF244" s="2" t="s">
        <v>324</v>
      </c>
      <c r="BG244" s="2" t="s">
        <v>324</v>
      </c>
      <c r="BH244" s="2" t="s">
        <v>324</v>
      </c>
      <c r="BI244" s="2" t="s">
        <v>324</v>
      </c>
      <c r="BJ244" s="2" t="s">
        <v>324</v>
      </c>
      <c r="BK244" s="2" t="s">
        <v>324</v>
      </c>
      <c r="BL244" s="2" t="s">
        <v>324</v>
      </c>
      <c r="BM244" s="2" t="s">
        <v>324</v>
      </c>
      <c r="BN244" s="2" t="s">
        <v>324</v>
      </c>
      <c r="BO244" s="2" t="s">
        <v>324</v>
      </c>
      <c r="BP244" s="2" t="s">
        <v>324</v>
      </c>
      <c r="BQ244" s="2" t="s">
        <v>324</v>
      </c>
      <c r="BR244" s="2" t="s">
        <v>324</v>
      </c>
      <c r="BS244" s="2" t="s">
        <v>324</v>
      </c>
      <c r="BT244" s="2" t="s">
        <v>324</v>
      </c>
      <c r="BU244" s="2" t="s">
        <v>324</v>
      </c>
      <c r="BV244" s="2" t="s">
        <v>324</v>
      </c>
      <c r="BW244" s="2" t="s">
        <v>324</v>
      </c>
      <c r="BX244" s="2" t="s">
        <v>324</v>
      </c>
      <c r="BY244" s="2" t="s">
        <v>324</v>
      </c>
      <c r="BZ244" s="2" t="s">
        <v>324</v>
      </c>
      <c r="CA244" s="2" t="s">
        <v>324</v>
      </c>
      <c r="CB244" s="2" t="s">
        <v>324</v>
      </c>
      <c r="CC244" s="2" t="s">
        <v>324</v>
      </c>
      <c r="CD244" s="2" t="s">
        <v>324</v>
      </c>
      <c r="CE244" s="2" t="s">
        <v>324</v>
      </c>
      <c r="CF244" s="2" t="s">
        <v>324</v>
      </c>
      <c r="CG244" s="2" t="s">
        <v>324</v>
      </c>
      <c r="CH244" s="2" t="s">
        <v>324</v>
      </c>
      <c r="CI244" s="2" t="s">
        <v>324</v>
      </c>
      <c r="CJ244" s="2" t="s">
        <v>324</v>
      </c>
      <c r="CK244" s="2" t="s">
        <v>324</v>
      </c>
      <c r="CL244" s="2" t="s">
        <v>324</v>
      </c>
      <c r="CM244" s="2" t="s">
        <v>324</v>
      </c>
      <c r="CN244" s="2" t="s">
        <v>324</v>
      </c>
      <c r="CO244" s="2" t="s">
        <v>324</v>
      </c>
      <c r="CP244" s="2" t="s">
        <v>324</v>
      </c>
      <c r="CQ244" s="2" t="s">
        <v>324</v>
      </c>
      <c r="CR244" s="2" t="s">
        <v>324</v>
      </c>
      <c r="CS244" s="2" t="s">
        <v>324</v>
      </c>
      <c r="CT244" s="2" t="s">
        <v>324</v>
      </c>
      <c r="CU244" s="2" t="s">
        <v>324</v>
      </c>
      <c r="CV244" s="2" t="s">
        <v>324</v>
      </c>
      <c r="CW244" s="2" t="s">
        <v>324</v>
      </c>
      <c r="CX244" s="2" t="s">
        <v>324</v>
      </c>
      <c r="CY244" s="2" t="s">
        <v>324</v>
      </c>
      <c r="CZ244" s="2" t="s">
        <v>324</v>
      </c>
      <c r="DA244" s="2" t="s">
        <v>324</v>
      </c>
      <c r="DB244" s="2" t="s">
        <v>324</v>
      </c>
      <c r="DC244" s="2" t="s">
        <v>324</v>
      </c>
      <c r="DD244" s="2" t="s">
        <v>324</v>
      </c>
      <c r="DE244" s="2" t="s">
        <v>324</v>
      </c>
      <c r="DF244" s="2" t="s">
        <v>324</v>
      </c>
      <c r="DG244" s="2" t="s">
        <v>324</v>
      </c>
      <c r="DH244" s="2" t="s">
        <v>324</v>
      </c>
      <c r="DI244" s="2" t="s">
        <v>324</v>
      </c>
      <c r="DJ244" s="2" t="s">
        <v>324</v>
      </c>
      <c r="DK244" s="2" t="s">
        <v>324</v>
      </c>
      <c r="DL244" s="2" t="s">
        <v>324</v>
      </c>
      <c r="DM244" s="2" t="s">
        <v>324</v>
      </c>
      <c r="DN244" s="2" t="s">
        <v>324</v>
      </c>
      <c r="DO244" s="2" t="s">
        <v>324</v>
      </c>
      <c r="DP244" s="2" t="s">
        <v>324</v>
      </c>
      <c r="DQ244" s="2" t="s">
        <v>324</v>
      </c>
      <c r="DR244" s="2" t="s">
        <v>324</v>
      </c>
      <c r="DS244" s="2" t="s">
        <v>324</v>
      </c>
      <c r="DT244" s="2" t="s">
        <v>324</v>
      </c>
      <c r="DU244" s="2" t="s">
        <v>324</v>
      </c>
      <c r="DV244" s="2" t="s">
        <v>324</v>
      </c>
      <c r="DW244" s="2" t="s">
        <v>324</v>
      </c>
      <c r="DX244" s="2" t="s">
        <v>324</v>
      </c>
      <c r="DY244" s="2" t="s">
        <v>324</v>
      </c>
      <c r="DZ244" s="2" t="s">
        <v>324</v>
      </c>
      <c r="EA244" s="2" t="s">
        <v>324</v>
      </c>
      <c r="EB244" s="2" t="s">
        <v>324</v>
      </c>
      <c r="EC244" s="2" t="s">
        <v>324</v>
      </c>
      <c r="ED244" s="2" t="s">
        <v>324</v>
      </c>
      <c r="EE244" s="2" t="s">
        <v>324</v>
      </c>
      <c r="EF244" s="2" t="s">
        <v>324</v>
      </c>
      <c r="EG244" s="2" t="s">
        <v>324</v>
      </c>
      <c r="EH244" s="2" t="s">
        <v>324</v>
      </c>
      <c r="EI244" s="2" t="s">
        <v>324</v>
      </c>
      <c r="EJ244" s="2" t="s">
        <v>324</v>
      </c>
      <c r="EK244" s="2" t="s">
        <v>324</v>
      </c>
      <c r="EL244" s="2" t="s">
        <v>324</v>
      </c>
      <c r="EM244" s="2" t="s">
        <v>324</v>
      </c>
      <c r="EN244" s="2" t="s">
        <v>324</v>
      </c>
      <c r="EO244" s="2" t="s">
        <v>324</v>
      </c>
      <c r="EP244" s="2" t="s">
        <v>324</v>
      </c>
      <c r="EQ244" s="2" t="s">
        <v>324</v>
      </c>
      <c r="ER244" s="2" t="s">
        <v>324</v>
      </c>
      <c r="ES244" s="2" t="s">
        <v>324</v>
      </c>
      <c r="ET244" s="2" t="s">
        <v>324</v>
      </c>
      <c r="EU244" s="2" t="s">
        <v>324</v>
      </c>
      <c r="EV244" s="2" t="s">
        <v>324</v>
      </c>
      <c r="EW244" s="2" t="s">
        <v>324</v>
      </c>
      <c r="EX244" s="2" t="s">
        <v>324</v>
      </c>
      <c r="EY244" s="2" t="s">
        <v>324</v>
      </c>
      <c r="EZ244" s="2" t="s">
        <v>324</v>
      </c>
      <c r="FA244" s="2" t="s">
        <v>324</v>
      </c>
      <c r="FB244" s="2" t="s">
        <v>324</v>
      </c>
      <c r="FC244" s="2" t="s">
        <v>324</v>
      </c>
      <c r="FD244" s="2" t="s">
        <v>324</v>
      </c>
      <c r="FE244" s="2" t="s">
        <v>324</v>
      </c>
      <c r="FF244" s="2" t="s">
        <v>324</v>
      </c>
      <c r="FG244" s="2" t="s">
        <v>324</v>
      </c>
      <c r="FH244" s="2" t="s">
        <v>324</v>
      </c>
      <c r="FI244" s="2" t="s">
        <v>324</v>
      </c>
      <c r="FJ244" s="2" t="s">
        <v>324</v>
      </c>
      <c r="FK244" s="2" t="s">
        <v>324</v>
      </c>
      <c r="FL244" s="2" t="s">
        <v>324</v>
      </c>
      <c r="FM244" s="2" t="s">
        <v>324</v>
      </c>
      <c r="FN244" s="2" t="s">
        <v>324</v>
      </c>
      <c r="FO244" s="2" t="s">
        <v>324</v>
      </c>
      <c r="FP244" s="2" t="s">
        <v>324</v>
      </c>
      <c r="FQ244" s="2" t="s">
        <v>324</v>
      </c>
    </row>
    <row r="245" spans="1:173">
      <c r="A245" s="335" t="s">
        <v>1458</v>
      </c>
      <c r="B245" s="2" t="s">
        <v>1458</v>
      </c>
      <c r="C245" s="2" t="s">
        <v>229</v>
      </c>
      <c r="D245" s="2" t="s">
        <v>1459</v>
      </c>
      <c r="E245" s="2" t="s">
        <v>1460</v>
      </c>
      <c r="F245" s="2" t="s">
        <v>1397</v>
      </c>
      <c r="G245" s="2" t="s">
        <v>324</v>
      </c>
      <c r="H245" s="2" t="s">
        <v>324</v>
      </c>
      <c r="I245" s="435">
        <v>39.75</v>
      </c>
      <c r="J245" s="435">
        <v>38.909999999999997</v>
      </c>
      <c r="K245" s="435"/>
      <c r="L245" s="435"/>
      <c r="N245" s="422"/>
      <c r="O245" s="422"/>
      <c r="P245" s="346" t="s">
        <v>2446</v>
      </c>
      <c r="Q245" s="346" t="s">
        <v>3107</v>
      </c>
      <c r="R245" s="346" t="s">
        <v>324</v>
      </c>
      <c r="S245" s="346" t="s">
        <v>173</v>
      </c>
      <c r="T245" s="346" t="s">
        <v>2941</v>
      </c>
      <c r="U245" s="346">
        <v>25</v>
      </c>
      <c r="V245" s="422" cm="1">
        <f t="array" ref="V245">IFERROR(INDEX('Offer Statistics'!$CH$2:$CH$350,MATCH(1,(B245='Offer Statistics'!$BS$2:$BS$350)*($B$11='Offer Statistics'!$BT$2:$BT$350),0)),"/")</f>
        <v>24</v>
      </c>
      <c r="W245" s="422" cm="1">
        <f t="array" ref="W245">IFERROR(INDEX('Offer Statistics'!$BU$2:$BU$350,MATCH(1,(B245='Offer Statistics'!$BS$2:$BS$350)*($B$11='Offer Statistics'!$BT$2:$BT$350),0)),"/")</f>
        <v>65</v>
      </c>
      <c r="X245" s="422" cm="1">
        <f t="array" ref="X245">IFERROR(INDEX('Offer Statistics'!$CC$2:$CC$350,MATCH(1,(B245='Offer Statistics'!$BS$2:$BS$350)*($B$11='Offer Statistics'!$BT$2:$BT$350),0)),"/")</f>
        <v>24</v>
      </c>
      <c r="Y245" s="422">
        <f t="shared" si="375"/>
        <v>2.7083333333333335</v>
      </c>
      <c r="Z245" s="422" t="s">
        <v>1046</v>
      </c>
      <c r="AA245" s="422" t="str">
        <f>入學要求!AF254</f>
        <v>以下一科選修取得Lv.3︰生物、化學</v>
      </c>
      <c r="AB245" s="422" t="str">
        <f>入學要求!AG254</f>
        <v>/</v>
      </c>
      <c r="AC245" s="346" t="s">
        <v>1397</v>
      </c>
      <c r="AD245" s="422"/>
      <c r="AE245" s="422"/>
      <c r="AF245" s="422"/>
      <c r="AG245" s="422"/>
      <c r="AH245" s="346" t="s">
        <v>2446</v>
      </c>
      <c r="AI245" s="346" t="s">
        <v>1461</v>
      </c>
      <c r="AJ245" s="346" t="s">
        <v>324</v>
      </c>
      <c r="AK245" s="346" t="s">
        <v>1400</v>
      </c>
      <c r="AL245" s="346" t="s">
        <v>2431</v>
      </c>
      <c r="AM245" s="346" t="s">
        <v>324</v>
      </c>
      <c r="AN245" s="346" t="s">
        <v>324</v>
      </c>
      <c r="AO245" s="346" t="s">
        <v>324</v>
      </c>
      <c r="AP245" s="346" t="s">
        <v>324</v>
      </c>
      <c r="AQ245" s="435" t="s">
        <v>3095</v>
      </c>
      <c r="AR245" s="422" t="s">
        <v>3309</v>
      </c>
      <c r="AS245" s="422" t="s">
        <v>3310</v>
      </c>
      <c r="AT245" s="2" t="s">
        <v>716</v>
      </c>
      <c r="AV245" s="2" t="s">
        <v>713</v>
      </c>
      <c r="AZ245" s="2" t="s">
        <v>324</v>
      </c>
      <c r="BA245" s="2" t="s">
        <v>324</v>
      </c>
      <c r="BB245" s="2" t="s">
        <v>324</v>
      </c>
      <c r="BC245" s="2" t="s">
        <v>324</v>
      </c>
      <c r="BD245" s="2" t="s">
        <v>324</v>
      </c>
      <c r="BE245" s="2" t="s">
        <v>324</v>
      </c>
      <c r="BF245" s="2" t="s">
        <v>324</v>
      </c>
      <c r="BG245" s="2" t="s">
        <v>324</v>
      </c>
      <c r="BH245" s="2" t="s">
        <v>324</v>
      </c>
      <c r="BI245" s="2" t="s">
        <v>324</v>
      </c>
      <c r="BJ245" s="2" t="s">
        <v>324</v>
      </c>
      <c r="BK245" s="2" t="s">
        <v>324</v>
      </c>
      <c r="BL245" s="2" t="s">
        <v>324</v>
      </c>
      <c r="BM245" s="2" t="s">
        <v>324</v>
      </c>
      <c r="BN245" s="2" t="s">
        <v>324</v>
      </c>
      <c r="BO245" s="2" t="s">
        <v>324</v>
      </c>
      <c r="BP245" s="2" t="s">
        <v>324</v>
      </c>
      <c r="BQ245" s="2" t="s">
        <v>324</v>
      </c>
      <c r="BR245" s="2" t="s">
        <v>324</v>
      </c>
      <c r="BS245" s="2" t="s">
        <v>324</v>
      </c>
      <c r="BT245" s="2" t="s">
        <v>324</v>
      </c>
      <c r="BU245" s="2" t="s">
        <v>324</v>
      </c>
      <c r="BV245" s="2" t="s">
        <v>324</v>
      </c>
      <c r="BW245" s="2" t="s">
        <v>324</v>
      </c>
      <c r="BX245" s="2" t="s">
        <v>324</v>
      </c>
      <c r="BY245" s="2" t="s">
        <v>324</v>
      </c>
      <c r="BZ245" s="2" t="s">
        <v>324</v>
      </c>
      <c r="CA245" s="2" t="s">
        <v>324</v>
      </c>
      <c r="CB245" s="2" t="s">
        <v>324</v>
      </c>
      <c r="CC245" s="2" t="s">
        <v>324</v>
      </c>
      <c r="CD245" s="2" t="s">
        <v>324</v>
      </c>
      <c r="CE245" s="2" t="s">
        <v>324</v>
      </c>
      <c r="CF245" s="2" t="s">
        <v>324</v>
      </c>
      <c r="CG245" s="2" t="s">
        <v>324</v>
      </c>
      <c r="CH245" s="2" t="s">
        <v>324</v>
      </c>
      <c r="CI245" s="2" t="s">
        <v>324</v>
      </c>
      <c r="CJ245" s="2" t="s">
        <v>324</v>
      </c>
      <c r="CK245" s="2" t="s">
        <v>324</v>
      </c>
      <c r="CL245" s="2" t="s">
        <v>324</v>
      </c>
      <c r="CM245" s="2" t="s">
        <v>324</v>
      </c>
      <c r="CN245" s="2" t="s">
        <v>324</v>
      </c>
      <c r="CO245" s="2" t="s">
        <v>324</v>
      </c>
      <c r="CP245" s="2" t="s">
        <v>324</v>
      </c>
      <c r="CQ245" s="2" t="s">
        <v>324</v>
      </c>
      <c r="CR245" s="2" t="s">
        <v>324</v>
      </c>
      <c r="CS245" s="2" t="s">
        <v>324</v>
      </c>
      <c r="CT245" s="2" t="s">
        <v>324</v>
      </c>
      <c r="CU245" s="2" t="s">
        <v>324</v>
      </c>
      <c r="CV245" s="2" t="s">
        <v>324</v>
      </c>
      <c r="CW245" s="2" t="s">
        <v>324</v>
      </c>
      <c r="CX245" s="2" t="s">
        <v>324</v>
      </c>
      <c r="CY245" s="2" t="s">
        <v>324</v>
      </c>
      <c r="CZ245" s="2" t="s">
        <v>324</v>
      </c>
      <c r="DA245" s="2" t="s">
        <v>324</v>
      </c>
      <c r="DB245" s="2" t="s">
        <v>324</v>
      </c>
      <c r="DC245" s="2" t="s">
        <v>324</v>
      </c>
      <c r="DD245" s="2" t="s">
        <v>324</v>
      </c>
      <c r="DE245" s="2" t="s">
        <v>324</v>
      </c>
      <c r="DF245" s="2" t="s">
        <v>324</v>
      </c>
      <c r="DG245" s="2" t="s">
        <v>324</v>
      </c>
      <c r="DH245" s="2" t="s">
        <v>324</v>
      </c>
      <c r="DI245" s="2" t="s">
        <v>324</v>
      </c>
      <c r="DJ245" s="2" t="s">
        <v>324</v>
      </c>
      <c r="DK245" s="2" t="s">
        <v>324</v>
      </c>
      <c r="DL245" s="2" t="s">
        <v>324</v>
      </c>
      <c r="DM245" s="2" t="s">
        <v>324</v>
      </c>
      <c r="DN245" s="2" t="s">
        <v>324</v>
      </c>
      <c r="DO245" s="2" t="s">
        <v>324</v>
      </c>
      <c r="DP245" s="2" t="s">
        <v>324</v>
      </c>
      <c r="DQ245" s="2" t="s">
        <v>324</v>
      </c>
      <c r="DR245" s="2" t="s">
        <v>324</v>
      </c>
      <c r="DS245" s="2" t="s">
        <v>324</v>
      </c>
      <c r="DT245" s="2" t="s">
        <v>324</v>
      </c>
      <c r="DU245" s="2" t="s">
        <v>324</v>
      </c>
      <c r="DV245" s="2" t="s">
        <v>324</v>
      </c>
      <c r="DW245" s="2" t="s">
        <v>324</v>
      </c>
      <c r="DX245" s="2" t="s">
        <v>324</v>
      </c>
      <c r="DY245" s="2" t="s">
        <v>324</v>
      </c>
      <c r="DZ245" s="2" t="s">
        <v>324</v>
      </c>
      <c r="EA245" s="2" t="s">
        <v>324</v>
      </c>
      <c r="EB245" s="2" t="s">
        <v>324</v>
      </c>
      <c r="EC245" s="2" t="s">
        <v>324</v>
      </c>
      <c r="ED245" s="2" t="s">
        <v>324</v>
      </c>
      <c r="EE245" s="2" t="s">
        <v>324</v>
      </c>
      <c r="EF245" s="2" t="s">
        <v>324</v>
      </c>
      <c r="EG245" s="2" t="s">
        <v>324</v>
      </c>
      <c r="EH245" s="2" t="s">
        <v>324</v>
      </c>
      <c r="EI245" s="2" t="s">
        <v>324</v>
      </c>
      <c r="EJ245" s="2" t="s">
        <v>324</v>
      </c>
      <c r="EK245" s="2" t="s">
        <v>324</v>
      </c>
      <c r="EL245" s="2" t="s">
        <v>324</v>
      </c>
      <c r="EM245" s="2" t="s">
        <v>324</v>
      </c>
      <c r="EN245" s="2" t="s">
        <v>324</v>
      </c>
      <c r="EO245" s="2" t="s">
        <v>324</v>
      </c>
      <c r="EP245" s="2" t="s">
        <v>324</v>
      </c>
      <c r="EQ245" s="2" t="s">
        <v>324</v>
      </c>
      <c r="ER245" s="2" t="s">
        <v>324</v>
      </c>
      <c r="ES245" s="2" t="s">
        <v>324</v>
      </c>
      <c r="ET245" s="2" t="s">
        <v>324</v>
      </c>
      <c r="EU245" s="2" t="s">
        <v>324</v>
      </c>
      <c r="EV245" s="2" t="s">
        <v>324</v>
      </c>
      <c r="EW245" s="2" t="s">
        <v>324</v>
      </c>
      <c r="EX245" s="2" t="s">
        <v>324</v>
      </c>
      <c r="EY245" s="2" t="s">
        <v>324</v>
      </c>
      <c r="EZ245" s="2" t="s">
        <v>324</v>
      </c>
      <c r="FA245" s="2" t="s">
        <v>324</v>
      </c>
      <c r="FB245" s="2" t="s">
        <v>324</v>
      </c>
      <c r="FC245" s="2" t="s">
        <v>324</v>
      </c>
      <c r="FD245" s="2" t="s">
        <v>324</v>
      </c>
      <c r="FE245" s="2" t="s">
        <v>324</v>
      </c>
      <c r="FF245" s="2" t="s">
        <v>324</v>
      </c>
      <c r="FG245" s="2" t="s">
        <v>324</v>
      </c>
      <c r="FH245" s="2" t="s">
        <v>324</v>
      </c>
      <c r="FI245" s="2" t="s">
        <v>324</v>
      </c>
      <c r="FJ245" s="2" t="s">
        <v>324</v>
      </c>
      <c r="FK245" s="2" t="s">
        <v>324</v>
      </c>
      <c r="FL245" s="2" t="s">
        <v>324</v>
      </c>
      <c r="FM245" s="2" t="s">
        <v>324</v>
      </c>
      <c r="FN245" s="2" t="s">
        <v>324</v>
      </c>
      <c r="FO245" s="2" t="s">
        <v>324</v>
      </c>
      <c r="FP245" s="2" t="s">
        <v>324</v>
      </c>
      <c r="FQ245" s="2" t="s">
        <v>324</v>
      </c>
    </row>
    <row r="246" spans="1:173">
      <c r="A246" s="335" t="s">
        <v>1462</v>
      </c>
      <c r="B246" s="2" t="s">
        <v>1462</v>
      </c>
      <c r="C246" s="2" t="s">
        <v>229</v>
      </c>
      <c r="D246" s="2" t="s">
        <v>1459</v>
      </c>
      <c r="E246" s="2" t="s">
        <v>1463</v>
      </c>
      <c r="F246" s="2" t="s">
        <v>1397</v>
      </c>
      <c r="G246" s="2" t="s">
        <v>324</v>
      </c>
      <c r="H246" s="2" t="s">
        <v>324</v>
      </c>
      <c r="I246" s="435">
        <v>31.4</v>
      </c>
      <c r="J246" s="435">
        <v>30.55</v>
      </c>
      <c r="K246" s="435"/>
      <c r="L246" s="435"/>
      <c r="N246" s="422"/>
      <c r="O246" s="422"/>
      <c r="P246" s="346" t="s">
        <v>2440</v>
      </c>
      <c r="Q246" s="346" t="s">
        <v>324</v>
      </c>
      <c r="R246" s="346" t="s">
        <v>324</v>
      </c>
      <c r="S246" s="346" t="s">
        <v>174</v>
      </c>
      <c r="T246" s="346" t="s">
        <v>2941</v>
      </c>
      <c r="U246" s="346">
        <v>21</v>
      </c>
      <c r="V246" s="422" cm="1">
        <f t="array" ref="V246">IFERROR(INDEX('Offer Statistics'!$CH$2:$CH$350,MATCH(1,(B246='Offer Statistics'!$BS$2:$BS$350)*($B$11='Offer Statistics'!$BT$2:$BT$350),0)),"/")</f>
        <v>23</v>
      </c>
      <c r="W246" s="422" cm="1">
        <f t="array" ref="W246">IFERROR(INDEX('Offer Statistics'!$BU$2:$BU$350,MATCH(1,(B246='Offer Statistics'!$BS$2:$BS$350)*($B$11='Offer Statistics'!$BT$2:$BT$350),0)),"/")</f>
        <v>149</v>
      </c>
      <c r="X246" s="422" cm="1">
        <f t="array" ref="X246">IFERROR(INDEX('Offer Statistics'!$CC$2:$CC$350,MATCH(1,(B246='Offer Statistics'!$BS$2:$BS$350)*($B$11='Offer Statistics'!$BT$2:$BT$350),0)),"/")</f>
        <v>23</v>
      </c>
      <c r="Y246" s="422">
        <f t="shared" si="375"/>
        <v>6.4782608695652177</v>
      </c>
      <c r="Z246" s="422" t="s">
        <v>1046</v>
      </c>
      <c r="AA246" s="422" t="str">
        <f>入學要求!AF255</f>
        <v>/</v>
      </c>
      <c r="AB246" s="422" t="str">
        <f>入學要求!AG255</f>
        <v>/</v>
      </c>
      <c r="AC246" s="346" t="s">
        <v>1397</v>
      </c>
      <c r="AD246" s="422"/>
      <c r="AE246" s="422"/>
      <c r="AF246" s="422"/>
      <c r="AG246" s="422"/>
      <c r="AH246" s="346" t="s">
        <v>2440</v>
      </c>
      <c r="AI246" s="346" t="s">
        <v>324</v>
      </c>
      <c r="AJ246" s="346" t="s">
        <v>324</v>
      </c>
      <c r="AK246" s="346" t="s">
        <v>1400</v>
      </c>
      <c r="AL246" s="346" t="s">
        <v>3120</v>
      </c>
      <c r="AM246" s="346" t="s">
        <v>324</v>
      </c>
      <c r="AN246" s="346" t="s">
        <v>324</v>
      </c>
      <c r="AO246" s="346" t="s">
        <v>324</v>
      </c>
      <c r="AP246" s="346" t="s">
        <v>324</v>
      </c>
      <c r="AQ246" s="435" t="s">
        <v>3098</v>
      </c>
      <c r="AR246" s="422" t="s">
        <v>3309</v>
      </c>
      <c r="AS246" s="422" t="s">
        <v>3310</v>
      </c>
      <c r="AT246" s="2" t="s">
        <v>716</v>
      </c>
      <c r="AV246" s="2" t="s">
        <v>713</v>
      </c>
      <c r="AZ246" s="2" t="s">
        <v>324</v>
      </c>
      <c r="BA246" s="2" t="s">
        <v>324</v>
      </c>
      <c r="BB246" s="2" t="s">
        <v>324</v>
      </c>
      <c r="BC246" s="2" t="s">
        <v>324</v>
      </c>
      <c r="BD246" s="2" t="s">
        <v>324</v>
      </c>
      <c r="BE246" s="2" t="s">
        <v>324</v>
      </c>
      <c r="BF246" s="2" t="s">
        <v>324</v>
      </c>
      <c r="BG246" s="2" t="s">
        <v>324</v>
      </c>
      <c r="BH246" s="2" t="s">
        <v>324</v>
      </c>
      <c r="BI246" s="2" t="s">
        <v>324</v>
      </c>
      <c r="BJ246" s="2" t="s">
        <v>324</v>
      </c>
      <c r="BK246" s="2" t="s">
        <v>324</v>
      </c>
      <c r="BL246" s="2" t="s">
        <v>324</v>
      </c>
      <c r="BM246" s="2" t="s">
        <v>324</v>
      </c>
      <c r="BN246" s="2" t="s">
        <v>324</v>
      </c>
      <c r="BO246" s="2" t="s">
        <v>324</v>
      </c>
      <c r="BP246" s="2" t="s">
        <v>324</v>
      </c>
      <c r="BQ246" s="2" t="s">
        <v>324</v>
      </c>
      <c r="BR246" s="2" t="s">
        <v>324</v>
      </c>
      <c r="BS246" s="2" t="s">
        <v>324</v>
      </c>
      <c r="BT246" s="2" t="s">
        <v>324</v>
      </c>
      <c r="BU246" s="2" t="s">
        <v>324</v>
      </c>
      <c r="BV246" s="2" t="s">
        <v>324</v>
      </c>
      <c r="BW246" s="2" t="s">
        <v>324</v>
      </c>
      <c r="BX246" s="2" t="s">
        <v>324</v>
      </c>
      <c r="BY246" s="2" t="s">
        <v>324</v>
      </c>
      <c r="BZ246" s="2" t="s">
        <v>324</v>
      </c>
      <c r="CA246" s="2" t="s">
        <v>324</v>
      </c>
      <c r="CB246" s="2" t="s">
        <v>324</v>
      </c>
      <c r="CC246" s="2" t="s">
        <v>324</v>
      </c>
      <c r="CD246" s="2" t="s">
        <v>324</v>
      </c>
      <c r="CE246" s="2" t="s">
        <v>324</v>
      </c>
      <c r="CF246" s="2" t="s">
        <v>324</v>
      </c>
      <c r="CG246" s="2" t="s">
        <v>324</v>
      </c>
      <c r="CH246" s="2" t="s">
        <v>324</v>
      </c>
      <c r="CI246" s="2" t="s">
        <v>324</v>
      </c>
      <c r="CJ246" s="2" t="s">
        <v>324</v>
      </c>
      <c r="CK246" s="2" t="s">
        <v>324</v>
      </c>
      <c r="CL246" s="2" t="s">
        <v>324</v>
      </c>
      <c r="CM246" s="2" t="s">
        <v>324</v>
      </c>
      <c r="CN246" s="2" t="s">
        <v>324</v>
      </c>
      <c r="CO246" s="2" t="s">
        <v>324</v>
      </c>
      <c r="CP246" s="2" t="s">
        <v>324</v>
      </c>
      <c r="CQ246" s="2" t="s">
        <v>324</v>
      </c>
      <c r="CR246" s="2" t="s">
        <v>324</v>
      </c>
      <c r="CS246" s="2" t="s">
        <v>324</v>
      </c>
      <c r="CT246" s="2" t="s">
        <v>324</v>
      </c>
      <c r="CU246" s="2" t="s">
        <v>324</v>
      </c>
      <c r="CV246" s="2" t="s">
        <v>324</v>
      </c>
      <c r="CW246" s="2" t="s">
        <v>324</v>
      </c>
      <c r="CX246" s="2" t="s">
        <v>324</v>
      </c>
      <c r="CY246" s="2" t="s">
        <v>324</v>
      </c>
      <c r="CZ246" s="2" t="s">
        <v>324</v>
      </c>
      <c r="DA246" s="2" t="s">
        <v>324</v>
      </c>
      <c r="DB246" s="2" t="s">
        <v>324</v>
      </c>
      <c r="DC246" s="2" t="s">
        <v>324</v>
      </c>
      <c r="DD246" s="2" t="s">
        <v>324</v>
      </c>
      <c r="DE246" s="2" t="s">
        <v>324</v>
      </c>
      <c r="DF246" s="2" t="s">
        <v>324</v>
      </c>
      <c r="DG246" s="2" t="s">
        <v>324</v>
      </c>
      <c r="DH246" s="2" t="s">
        <v>324</v>
      </c>
      <c r="DI246" s="2" t="s">
        <v>324</v>
      </c>
      <c r="DJ246" s="2" t="s">
        <v>324</v>
      </c>
      <c r="DK246" s="2" t="s">
        <v>324</v>
      </c>
      <c r="DL246" s="2" t="s">
        <v>324</v>
      </c>
      <c r="DM246" s="2" t="s">
        <v>324</v>
      </c>
      <c r="DN246" s="2" t="s">
        <v>324</v>
      </c>
      <c r="DO246" s="2" t="s">
        <v>324</v>
      </c>
      <c r="DP246" s="2" t="s">
        <v>324</v>
      </c>
      <c r="DQ246" s="2" t="s">
        <v>324</v>
      </c>
      <c r="DR246" s="2" t="s">
        <v>324</v>
      </c>
      <c r="DS246" s="2" t="s">
        <v>324</v>
      </c>
      <c r="DT246" s="2" t="s">
        <v>324</v>
      </c>
      <c r="DU246" s="2" t="s">
        <v>324</v>
      </c>
      <c r="DV246" s="2" t="s">
        <v>324</v>
      </c>
      <c r="DW246" s="2" t="s">
        <v>324</v>
      </c>
      <c r="DX246" s="2" t="s">
        <v>324</v>
      </c>
      <c r="DY246" s="2" t="s">
        <v>324</v>
      </c>
      <c r="DZ246" s="2" t="s">
        <v>324</v>
      </c>
      <c r="EA246" s="2" t="s">
        <v>324</v>
      </c>
      <c r="EB246" s="2" t="s">
        <v>324</v>
      </c>
      <c r="EC246" s="2" t="s">
        <v>324</v>
      </c>
      <c r="ED246" s="2" t="s">
        <v>324</v>
      </c>
      <c r="EE246" s="2" t="s">
        <v>324</v>
      </c>
      <c r="EF246" s="2" t="s">
        <v>324</v>
      </c>
      <c r="EG246" s="2" t="s">
        <v>324</v>
      </c>
      <c r="EH246" s="2" t="s">
        <v>324</v>
      </c>
      <c r="EI246" s="2" t="s">
        <v>324</v>
      </c>
      <c r="EJ246" s="2" t="s">
        <v>324</v>
      </c>
      <c r="EK246" s="2" t="s">
        <v>324</v>
      </c>
      <c r="EL246" s="2" t="s">
        <v>324</v>
      </c>
      <c r="EM246" s="2" t="s">
        <v>324</v>
      </c>
      <c r="EN246" s="2" t="s">
        <v>324</v>
      </c>
      <c r="EO246" s="2" t="s">
        <v>324</v>
      </c>
      <c r="EP246" s="2" t="s">
        <v>324</v>
      </c>
      <c r="EQ246" s="2" t="s">
        <v>324</v>
      </c>
      <c r="ER246" s="2" t="s">
        <v>324</v>
      </c>
      <c r="ES246" s="2" t="s">
        <v>324</v>
      </c>
      <c r="ET246" s="2" t="s">
        <v>324</v>
      </c>
      <c r="EU246" s="2" t="s">
        <v>324</v>
      </c>
      <c r="EV246" s="2" t="s">
        <v>324</v>
      </c>
      <c r="EW246" s="2" t="s">
        <v>324</v>
      </c>
      <c r="EX246" s="2" t="s">
        <v>324</v>
      </c>
      <c r="EY246" s="2" t="s">
        <v>324</v>
      </c>
      <c r="EZ246" s="2" t="s">
        <v>324</v>
      </c>
      <c r="FA246" s="2" t="s">
        <v>324</v>
      </c>
      <c r="FB246" s="2" t="s">
        <v>324</v>
      </c>
      <c r="FC246" s="2" t="s">
        <v>324</v>
      </c>
      <c r="FD246" s="2" t="s">
        <v>324</v>
      </c>
      <c r="FE246" s="2" t="s">
        <v>324</v>
      </c>
      <c r="FF246" s="2" t="s">
        <v>324</v>
      </c>
      <c r="FG246" s="2" t="s">
        <v>324</v>
      </c>
      <c r="FH246" s="2" t="s">
        <v>324</v>
      </c>
      <c r="FI246" s="2" t="s">
        <v>324</v>
      </c>
      <c r="FJ246" s="2" t="s">
        <v>324</v>
      </c>
      <c r="FK246" s="2" t="s">
        <v>324</v>
      </c>
      <c r="FL246" s="2" t="s">
        <v>324</v>
      </c>
      <c r="FM246" s="2" t="s">
        <v>324</v>
      </c>
      <c r="FN246" s="2" t="s">
        <v>324</v>
      </c>
      <c r="FO246" s="2" t="s">
        <v>324</v>
      </c>
      <c r="FP246" s="2" t="s">
        <v>324</v>
      </c>
      <c r="FQ246" s="2" t="s">
        <v>324</v>
      </c>
    </row>
    <row r="247" spans="1:173">
      <c r="A247" s="335" t="s">
        <v>1464</v>
      </c>
      <c r="B247" s="2" t="s">
        <v>1464</v>
      </c>
      <c r="C247" s="2" t="s">
        <v>229</v>
      </c>
      <c r="D247" s="2" t="s">
        <v>1459</v>
      </c>
      <c r="E247" s="2" t="s">
        <v>1465</v>
      </c>
      <c r="F247" s="2" t="s">
        <v>1397</v>
      </c>
      <c r="G247" s="2" t="s">
        <v>324</v>
      </c>
      <c r="H247" s="2" t="s">
        <v>324</v>
      </c>
      <c r="I247" s="435">
        <v>42.6</v>
      </c>
      <c r="J247" s="435">
        <v>39.200000000000003</v>
      </c>
      <c r="K247" s="435"/>
      <c r="L247" s="435"/>
      <c r="N247" s="422"/>
      <c r="O247" s="422"/>
      <c r="P247" s="346" t="s">
        <v>2447</v>
      </c>
      <c r="Q247" s="346" t="s">
        <v>2448</v>
      </c>
      <c r="R247" s="346" t="s">
        <v>324</v>
      </c>
      <c r="S247" s="346" t="s">
        <v>175</v>
      </c>
      <c r="T247" s="346" t="s">
        <v>2941</v>
      </c>
      <c r="U247" s="346">
        <v>15</v>
      </c>
      <c r="V247" s="422" cm="1">
        <f t="array" ref="V247">IFERROR(INDEX('Offer Statistics'!$CH$2:$CH$350,MATCH(1,(B247='Offer Statistics'!$BS$2:$BS$350)*($B$11='Offer Statistics'!$BT$2:$BT$350),0)),"/")</f>
        <v>14</v>
      </c>
      <c r="W247" s="422" cm="1">
        <f t="array" ref="W247">IFERROR(INDEX('Offer Statistics'!$BU$2:$BU$350,MATCH(1,(B247='Offer Statistics'!$BS$2:$BS$350)*($B$11='Offer Statistics'!$BT$2:$BT$350),0)),"/")</f>
        <v>49</v>
      </c>
      <c r="X247" s="422" cm="1">
        <f t="array" ref="X247">IFERROR(INDEX('Offer Statistics'!$CC$2:$CC$350,MATCH(1,(B247='Offer Statistics'!$BS$2:$BS$350)*($B$11='Offer Statistics'!$BT$2:$BT$350),0)),"/")</f>
        <v>14</v>
      </c>
      <c r="Y247" s="422">
        <f t="shared" si="375"/>
        <v>3.5</v>
      </c>
      <c r="Z247" s="422" t="s">
        <v>1046</v>
      </c>
      <c r="AA247" s="422" t="str">
        <f>入學要求!AF256</f>
        <v>以下一科選修取得Lv.3︰M1/2、生物、化學、組合科學、物理、經濟</v>
      </c>
      <c r="AB247" s="422" t="str">
        <f>入學要求!AG256</f>
        <v>/</v>
      </c>
      <c r="AC247" s="429" t="s">
        <v>1427</v>
      </c>
      <c r="AD247" s="422"/>
      <c r="AE247" s="422"/>
      <c r="AF247" s="422"/>
      <c r="AG247" s="422"/>
      <c r="AH247" s="346" t="s">
        <v>2447</v>
      </c>
      <c r="AI247" s="346" t="s">
        <v>2448</v>
      </c>
      <c r="AJ247" s="346" t="s">
        <v>324</v>
      </c>
      <c r="AK247" s="346" t="s">
        <v>1400</v>
      </c>
      <c r="AL247" s="346" t="s">
        <v>2432</v>
      </c>
      <c r="AM247" s="346" t="s">
        <v>324</v>
      </c>
      <c r="AN247" s="346" t="s">
        <v>324</v>
      </c>
      <c r="AO247" s="346" t="s">
        <v>324</v>
      </c>
      <c r="AP247" s="346" t="s">
        <v>324</v>
      </c>
      <c r="AQ247" s="435" t="s">
        <v>3099</v>
      </c>
      <c r="AR247" s="422" t="s">
        <v>3309</v>
      </c>
      <c r="AS247" s="422" t="s">
        <v>3310</v>
      </c>
      <c r="AT247" s="2" t="s">
        <v>716</v>
      </c>
      <c r="AV247" s="2" t="s">
        <v>713</v>
      </c>
      <c r="AZ247" s="2" t="s">
        <v>324</v>
      </c>
      <c r="BA247" s="2" t="s">
        <v>324</v>
      </c>
      <c r="BB247" s="2" t="s">
        <v>324</v>
      </c>
      <c r="BC247" s="2" t="s">
        <v>324</v>
      </c>
      <c r="BD247" s="2" t="s">
        <v>324</v>
      </c>
      <c r="BE247" s="2" t="s">
        <v>324</v>
      </c>
      <c r="BF247" s="2" t="s">
        <v>324</v>
      </c>
      <c r="BG247" s="2" t="s">
        <v>324</v>
      </c>
      <c r="BH247" s="2" t="s">
        <v>324</v>
      </c>
      <c r="BI247" s="2" t="s">
        <v>324</v>
      </c>
      <c r="BJ247" s="2" t="s">
        <v>324</v>
      </c>
      <c r="BK247" s="2" t="s">
        <v>324</v>
      </c>
      <c r="BL247" s="2" t="s">
        <v>324</v>
      </c>
      <c r="BM247" s="2" t="s">
        <v>324</v>
      </c>
      <c r="BN247" s="2" t="s">
        <v>324</v>
      </c>
      <c r="BO247" s="2" t="s">
        <v>324</v>
      </c>
      <c r="BP247" s="2" t="s">
        <v>324</v>
      </c>
      <c r="BQ247" s="2" t="s">
        <v>324</v>
      </c>
      <c r="BR247" s="2" t="s">
        <v>324</v>
      </c>
      <c r="BS247" s="2" t="s">
        <v>324</v>
      </c>
      <c r="BT247" s="2" t="s">
        <v>324</v>
      </c>
      <c r="BU247" s="2" t="s">
        <v>324</v>
      </c>
      <c r="BV247" s="2" t="s">
        <v>324</v>
      </c>
      <c r="BW247" s="2" t="s">
        <v>324</v>
      </c>
      <c r="BX247" s="2" t="s">
        <v>324</v>
      </c>
      <c r="BY247" s="2" t="s">
        <v>324</v>
      </c>
      <c r="BZ247" s="2" t="s">
        <v>324</v>
      </c>
      <c r="CA247" s="2" t="s">
        <v>324</v>
      </c>
      <c r="CB247" s="2" t="s">
        <v>324</v>
      </c>
      <c r="CC247" s="2" t="s">
        <v>324</v>
      </c>
      <c r="CD247" s="2" t="s">
        <v>324</v>
      </c>
      <c r="CE247" s="2" t="s">
        <v>324</v>
      </c>
      <c r="CF247" s="2" t="s">
        <v>324</v>
      </c>
      <c r="CG247" s="2" t="s">
        <v>324</v>
      </c>
      <c r="CH247" s="2" t="s">
        <v>324</v>
      </c>
      <c r="CI247" s="2" t="s">
        <v>324</v>
      </c>
      <c r="CJ247" s="2" t="s">
        <v>324</v>
      </c>
      <c r="CK247" s="2" t="s">
        <v>324</v>
      </c>
      <c r="CL247" s="2" t="s">
        <v>324</v>
      </c>
      <c r="CM247" s="2" t="s">
        <v>324</v>
      </c>
      <c r="CN247" s="2" t="s">
        <v>324</v>
      </c>
      <c r="CO247" s="2" t="s">
        <v>324</v>
      </c>
      <c r="CP247" s="2" t="s">
        <v>324</v>
      </c>
      <c r="CQ247" s="2" t="s">
        <v>324</v>
      </c>
      <c r="CR247" s="2" t="s">
        <v>324</v>
      </c>
      <c r="CS247" s="2" t="s">
        <v>324</v>
      </c>
      <c r="CT247" s="2" t="s">
        <v>324</v>
      </c>
      <c r="CU247" s="2" t="s">
        <v>324</v>
      </c>
      <c r="CV247" s="2" t="s">
        <v>324</v>
      </c>
      <c r="CW247" s="2" t="s">
        <v>324</v>
      </c>
      <c r="CX247" s="2" t="s">
        <v>324</v>
      </c>
      <c r="CY247" s="2" t="s">
        <v>324</v>
      </c>
      <c r="CZ247" s="2" t="s">
        <v>324</v>
      </c>
      <c r="DA247" s="2" t="s">
        <v>324</v>
      </c>
      <c r="DB247" s="2" t="s">
        <v>324</v>
      </c>
      <c r="DC247" s="2" t="s">
        <v>324</v>
      </c>
      <c r="DD247" s="2" t="s">
        <v>324</v>
      </c>
      <c r="DE247" s="2" t="s">
        <v>324</v>
      </c>
      <c r="DF247" s="2" t="s">
        <v>324</v>
      </c>
      <c r="DG247" s="2" t="s">
        <v>324</v>
      </c>
      <c r="DH247" s="2" t="s">
        <v>324</v>
      </c>
      <c r="DI247" s="2" t="s">
        <v>324</v>
      </c>
      <c r="DJ247" s="2" t="s">
        <v>324</v>
      </c>
      <c r="DK247" s="2" t="s">
        <v>324</v>
      </c>
      <c r="DL247" s="2" t="s">
        <v>324</v>
      </c>
      <c r="DM247" s="2" t="s">
        <v>324</v>
      </c>
      <c r="DN247" s="2" t="s">
        <v>324</v>
      </c>
      <c r="DO247" s="2" t="s">
        <v>324</v>
      </c>
      <c r="DP247" s="2" t="s">
        <v>324</v>
      </c>
      <c r="DQ247" s="2" t="s">
        <v>324</v>
      </c>
      <c r="DR247" s="2" t="s">
        <v>324</v>
      </c>
      <c r="DS247" s="2" t="s">
        <v>324</v>
      </c>
      <c r="DT247" s="2" t="s">
        <v>324</v>
      </c>
      <c r="DU247" s="2" t="s">
        <v>324</v>
      </c>
      <c r="DV247" s="2" t="s">
        <v>324</v>
      </c>
      <c r="DW247" s="2" t="s">
        <v>324</v>
      </c>
      <c r="DX247" s="2" t="s">
        <v>324</v>
      </c>
      <c r="DY247" s="2" t="s">
        <v>324</v>
      </c>
      <c r="DZ247" s="2" t="s">
        <v>324</v>
      </c>
      <c r="EA247" s="2" t="s">
        <v>324</v>
      </c>
      <c r="EB247" s="2" t="s">
        <v>324</v>
      </c>
      <c r="EC247" s="2" t="s">
        <v>324</v>
      </c>
      <c r="ED247" s="2" t="s">
        <v>324</v>
      </c>
      <c r="EE247" s="2" t="s">
        <v>324</v>
      </c>
      <c r="EF247" s="2" t="s">
        <v>324</v>
      </c>
      <c r="EG247" s="2" t="s">
        <v>324</v>
      </c>
      <c r="EH247" s="2" t="s">
        <v>324</v>
      </c>
      <c r="EI247" s="2" t="s">
        <v>324</v>
      </c>
      <c r="EJ247" s="2" t="s">
        <v>324</v>
      </c>
      <c r="EK247" s="2" t="s">
        <v>324</v>
      </c>
      <c r="EL247" s="2" t="s">
        <v>324</v>
      </c>
      <c r="EM247" s="2" t="s">
        <v>324</v>
      </c>
      <c r="EN247" s="2" t="s">
        <v>324</v>
      </c>
      <c r="EO247" s="2" t="s">
        <v>324</v>
      </c>
      <c r="EP247" s="2" t="s">
        <v>324</v>
      </c>
      <c r="EQ247" s="2" t="s">
        <v>324</v>
      </c>
      <c r="ER247" s="2" t="s">
        <v>324</v>
      </c>
      <c r="ES247" s="2" t="s">
        <v>324</v>
      </c>
      <c r="ET247" s="2" t="s">
        <v>324</v>
      </c>
      <c r="EU247" s="2" t="s">
        <v>324</v>
      </c>
      <c r="EV247" s="2" t="s">
        <v>324</v>
      </c>
      <c r="EW247" s="2" t="s">
        <v>324</v>
      </c>
      <c r="EX247" s="2" t="s">
        <v>324</v>
      </c>
      <c r="EY247" s="2" t="s">
        <v>324</v>
      </c>
      <c r="EZ247" s="2" t="s">
        <v>324</v>
      </c>
      <c r="FA247" s="2" t="s">
        <v>324</v>
      </c>
      <c r="FB247" s="2" t="s">
        <v>324</v>
      </c>
      <c r="FC247" s="2" t="s">
        <v>324</v>
      </c>
      <c r="FD247" s="2" t="s">
        <v>324</v>
      </c>
      <c r="FE247" s="2" t="s">
        <v>324</v>
      </c>
      <c r="FF247" s="2" t="s">
        <v>324</v>
      </c>
      <c r="FG247" s="2" t="s">
        <v>324</v>
      </c>
      <c r="FH247" s="2" t="s">
        <v>324</v>
      </c>
      <c r="FI247" s="2" t="s">
        <v>324</v>
      </c>
      <c r="FJ247" s="2" t="s">
        <v>324</v>
      </c>
      <c r="FK247" s="2" t="s">
        <v>324</v>
      </c>
      <c r="FL247" s="2" t="s">
        <v>324</v>
      </c>
      <c r="FM247" s="2" t="s">
        <v>324</v>
      </c>
      <c r="FN247" s="2" t="s">
        <v>324</v>
      </c>
      <c r="FO247" s="2" t="s">
        <v>324</v>
      </c>
      <c r="FP247" s="2" t="s">
        <v>324</v>
      </c>
      <c r="FQ247" s="2" t="s">
        <v>324</v>
      </c>
    </row>
    <row r="248" spans="1:173">
      <c r="A248" s="335" t="s">
        <v>1466</v>
      </c>
      <c r="B248" s="2" t="s">
        <v>1466</v>
      </c>
      <c r="C248" s="2" t="s">
        <v>229</v>
      </c>
      <c r="D248" s="2" t="s">
        <v>1459</v>
      </c>
      <c r="E248" s="2" t="s">
        <v>1467</v>
      </c>
      <c r="F248" s="2" t="s">
        <v>1397</v>
      </c>
      <c r="G248" s="2" t="s">
        <v>324</v>
      </c>
      <c r="H248" s="2" t="s">
        <v>324</v>
      </c>
      <c r="I248" s="435">
        <v>45</v>
      </c>
      <c r="J248" s="435">
        <v>42.88</v>
      </c>
      <c r="L248" s="333"/>
      <c r="N248" s="422"/>
      <c r="O248" s="422"/>
      <c r="P248" s="346" t="s">
        <v>2444</v>
      </c>
      <c r="Q248" s="346" t="s">
        <v>2445</v>
      </c>
      <c r="R248" s="346" t="s">
        <v>324</v>
      </c>
      <c r="S248" s="346" t="s">
        <v>176</v>
      </c>
      <c r="T248" s="346" t="s">
        <v>2941</v>
      </c>
      <c r="U248" s="346">
        <v>22</v>
      </c>
      <c r="V248" s="422" cm="1">
        <f t="array" ref="V248">IFERROR(INDEX('Offer Statistics'!$CH$2:$CH$350,MATCH(1,(B248='Offer Statistics'!$BS$2:$BS$350)*($B$11='Offer Statistics'!$BT$2:$BT$350),0)),"/")</f>
        <v>23</v>
      </c>
      <c r="W248" s="422" cm="1">
        <f t="array" ref="W248">IFERROR(INDEX('Offer Statistics'!$BU$2:$BU$350,MATCH(1,(B248='Offer Statistics'!$BS$2:$BS$350)*($B$11='Offer Statistics'!$BT$2:$BT$350),0)),"/")</f>
        <v>68</v>
      </c>
      <c r="X248" s="422" cm="1">
        <f t="array" ref="X248">IFERROR(INDEX('Offer Statistics'!$CC$2:$CC$350,MATCH(1,(B248='Offer Statistics'!$BS$2:$BS$350)*($B$11='Offer Statistics'!$BT$2:$BT$350),0)),"/")</f>
        <v>23</v>
      </c>
      <c r="Y248" s="422">
        <f t="shared" si="375"/>
        <v>2.9565217391304346</v>
      </c>
      <c r="Z248" s="422" t="s">
        <v>1046</v>
      </c>
      <c r="AA248" s="422" t="str">
        <f>入學要求!AF257</f>
        <v>申請人必須出席面試</v>
      </c>
      <c r="AB248" s="422" t="str">
        <f>入學要求!AG257</f>
        <v>/</v>
      </c>
      <c r="AC248" s="346" t="s">
        <v>1427</v>
      </c>
      <c r="AD248" s="422"/>
      <c r="AE248" s="422"/>
      <c r="AF248" s="422"/>
      <c r="AG248" s="422"/>
      <c r="AH248" s="346" t="s">
        <v>2444</v>
      </c>
      <c r="AI248" s="346" t="s">
        <v>2445</v>
      </c>
      <c r="AJ248" s="346" t="s">
        <v>324</v>
      </c>
      <c r="AK248" s="346" t="s">
        <v>2427</v>
      </c>
      <c r="AL248" s="346" t="s">
        <v>3110</v>
      </c>
      <c r="AM248" s="346" t="s">
        <v>324</v>
      </c>
      <c r="AN248" s="346" t="s">
        <v>1401</v>
      </c>
      <c r="AO248" s="346" t="s">
        <v>324</v>
      </c>
      <c r="AP248" s="346" t="s">
        <v>324</v>
      </c>
      <c r="AQ248" s="435" t="s">
        <v>3095</v>
      </c>
      <c r="AR248" s="422" t="s">
        <v>3309</v>
      </c>
      <c r="AS248" s="422" t="s">
        <v>3310</v>
      </c>
      <c r="AT248" s="2" t="s">
        <v>716</v>
      </c>
      <c r="AV248" s="2" t="s">
        <v>713</v>
      </c>
      <c r="AZ248" s="2" t="s">
        <v>324</v>
      </c>
      <c r="BA248" s="2" t="s">
        <v>324</v>
      </c>
      <c r="BB248" s="2" t="s">
        <v>324</v>
      </c>
      <c r="BC248" s="2" t="s">
        <v>324</v>
      </c>
      <c r="BD248" s="2" t="s">
        <v>324</v>
      </c>
      <c r="BE248" s="2" t="s">
        <v>324</v>
      </c>
      <c r="BF248" s="2" t="s">
        <v>324</v>
      </c>
      <c r="BG248" s="2" t="s">
        <v>324</v>
      </c>
      <c r="BH248" s="2" t="s">
        <v>324</v>
      </c>
      <c r="BI248" s="2" t="s">
        <v>324</v>
      </c>
      <c r="BJ248" s="2" t="s">
        <v>324</v>
      </c>
      <c r="BK248" s="2" t="s">
        <v>324</v>
      </c>
      <c r="BL248" s="2" t="s">
        <v>324</v>
      </c>
      <c r="BM248" s="2" t="s">
        <v>324</v>
      </c>
      <c r="BN248" s="2" t="s">
        <v>324</v>
      </c>
      <c r="BO248" s="2" t="s">
        <v>324</v>
      </c>
      <c r="BP248" s="2" t="s">
        <v>324</v>
      </c>
      <c r="BQ248" s="2" t="s">
        <v>324</v>
      </c>
      <c r="BR248" s="2" t="s">
        <v>324</v>
      </c>
      <c r="BS248" s="2" t="s">
        <v>324</v>
      </c>
      <c r="BT248" s="2" t="s">
        <v>324</v>
      </c>
      <c r="BU248" s="2" t="s">
        <v>324</v>
      </c>
      <c r="BV248" s="2" t="s">
        <v>324</v>
      </c>
      <c r="BW248" s="2" t="s">
        <v>324</v>
      </c>
      <c r="BX248" s="2" t="s">
        <v>324</v>
      </c>
      <c r="BY248" s="2" t="s">
        <v>324</v>
      </c>
      <c r="BZ248" s="2" t="s">
        <v>324</v>
      </c>
      <c r="CA248" s="2" t="s">
        <v>324</v>
      </c>
      <c r="CB248" s="2" t="s">
        <v>324</v>
      </c>
      <c r="CC248" s="2" t="s">
        <v>324</v>
      </c>
      <c r="CD248" s="2" t="s">
        <v>324</v>
      </c>
      <c r="CE248" s="2" t="s">
        <v>324</v>
      </c>
      <c r="CF248" s="2" t="s">
        <v>324</v>
      </c>
      <c r="CG248" s="2" t="s">
        <v>324</v>
      </c>
      <c r="CH248" s="2" t="s">
        <v>324</v>
      </c>
      <c r="CI248" s="2" t="s">
        <v>324</v>
      </c>
      <c r="CJ248" s="2" t="s">
        <v>324</v>
      </c>
      <c r="CK248" s="2" t="s">
        <v>324</v>
      </c>
      <c r="CL248" s="2" t="s">
        <v>324</v>
      </c>
      <c r="CM248" s="2" t="s">
        <v>324</v>
      </c>
      <c r="CN248" s="2" t="s">
        <v>324</v>
      </c>
      <c r="CO248" s="2" t="s">
        <v>324</v>
      </c>
      <c r="CP248" s="2" t="s">
        <v>324</v>
      </c>
      <c r="CQ248" s="2" t="s">
        <v>324</v>
      </c>
      <c r="CR248" s="2" t="s">
        <v>324</v>
      </c>
      <c r="CS248" s="2" t="s">
        <v>324</v>
      </c>
      <c r="CT248" s="2" t="s">
        <v>324</v>
      </c>
      <c r="CU248" s="2" t="s">
        <v>324</v>
      </c>
      <c r="CV248" s="2" t="s">
        <v>324</v>
      </c>
      <c r="CW248" s="2" t="s">
        <v>324</v>
      </c>
      <c r="CX248" s="2" t="s">
        <v>324</v>
      </c>
      <c r="CY248" s="2" t="s">
        <v>324</v>
      </c>
      <c r="CZ248" s="2" t="s">
        <v>324</v>
      </c>
      <c r="DA248" s="2" t="s">
        <v>324</v>
      </c>
      <c r="DB248" s="2" t="s">
        <v>324</v>
      </c>
      <c r="DC248" s="2" t="s">
        <v>324</v>
      </c>
      <c r="DD248" s="2" t="s">
        <v>324</v>
      </c>
      <c r="DE248" s="2" t="s">
        <v>324</v>
      </c>
      <c r="DF248" s="2" t="s">
        <v>324</v>
      </c>
      <c r="DG248" s="2" t="s">
        <v>324</v>
      </c>
      <c r="DH248" s="2" t="s">
        <v>324</v>
      </c>
      <c r="DI248" s="2" t="s">
        <v>324</v>
      </c>
      <c r="DJ248" s="2" t="s">
        <v>324</v>
      </c>
      <c r="DK248" s="2" t="s">
        <v>324</v>
      </c>
      <c r="DL248" s="2" t="s">
        <v>324</v>
      </c>
      <c r="DM248" s="2" t="s">
        <v>324</v>
      </c>
      <c r="DN248" s="2" t="s">
        <v>324</v>
      </c>
      <c r="DO248" s="2" t="s">
        <v>324</v>
      </c>
      <c r="DP248" s="2" t="s">
        <v>324</v>
      </c>
      <c r="DQ248" s="2" t="s">
        <v>324</v>
      </c>
      <c r="DR248" s="2" t="s">
        <v>324</v>
      </c>
      <c r="DS248" s="2" t="s">
        <v>324</v>
      </c>
      <c r="DT248" s="2" t="s">
        <v>324</v>
      </c>
      <c r="DU248" s="2" t="s">
        <v>324</v>
      </c>
      <c r="DV248" s="2" t="s">
        <v>324</v>
      </c>
      <c r="DW248" s="2" t="s">
        <v>324</v>
      </c>
      <c r="DX248" s="2" t="s">
        <v>324</v>
      </c>
      <c r="DY248" s="2" t="s">
        <v>324</v>
      </c>
      <c r="DZ248" s="2" t="s">
        <v>324</v>
      </c>
      <c r="EA248" s="2" t="s">
        <v>324</v>
      </c>
      <c r="EB248" s="2" t="s">
        <v>324</v>
      </c>
      <c r="EC248" s="2" t="s">
        <v>324</v>
      </c>
      <c r="ED248" s="2" t="s">
        <v>324</v>
      </c>
      <c r="EE248" s="2" t="s">
        <v>324</v>
      </c>
      <c r="EF248" s="2" t="s">
        <v>324</v>
      </c>
      <c r="EG248" s="2" t="s">
        <v>324</v>
      </c>
      <c r="EH248" s="2" t="s">
        <v>324</v>
      </c>
      <c r="EI248" s="2" t="s">
        <v>324</v>
      </c>
      <c r="EJ248" s="2" t="s">
        <v>324</v>
      </c>
      <c r="EK248" s="2" t="s">
        <v>324</v>
      </c>
      <c r="EL248" s="2" t="s">
        <v>324</v>
      </c>
      <c r="EM248" s="2" t="s">
        <v>324</v>
      </c>
      <c r="EN248" s="2" t="s">
        <v>324</v>
      </c>
      <c r="EO248" s="2" t="s">
        <v>324</v>
      </c>
      <c r="EP248" s="2" t="s">
        <v>324</v>
      </c>
      <c r="EQ248" s="2" t="s">
        <v>324</v>
      </c>
      <c r="ER248" s="2" t="s">
        <v>324</v>
      </c>
      <c r="ES248" s="2" t="s">
        <v>324</v>
      </c>
      <c r="ET248" s="2" t="s">
        <v>324</v>
      </c>
      <c r="EU248" s="2" t="s">
        <v>324</v>
      </c>
      <c r="EV248" s="2" t="s">
        <v>324</v>
      </c>
      <c r="EW248" s="2" t="s">
        <v>324</v>
      </c>
      <c r="EX248" s="2" t="s">
        <v>324</v>
      </c>
      <c r="EY248" s="2" t="s">
        <v>324</v>
      </c>
      <c r="EZ248" s="2" t="s">
        <v>324</v>
      </c>
      <c r="FA248" s="2" t="s">
        <v>324</v>
      </c>
      <c r="FB248" s="2" t="s">
        <v>324</v>
      </c>
      <c r="FC248" s="2" t="s">
        <v>324</v>
      </c>
      <c r="FD248" s="2" t="s">
        <v>324</v>
      </c>
      <c r="FE248" s="2" t="s">
        <v>324</v>
      </c>
      <c r="FF248" s="2" t="s">
        <v>324</v>
      </c>
      <c r="FG248" s="2" t="s">
        <v>324</v>
      </c>
      <c r="FH248" s="2" t="s">
        <v>324</v>
      </c>
      <c r="FI248" s="2" t="s">
        <v>324</v>
      </c>
      <c r="FJ248" s="2" t="s">
        <v>324</v>
      </c>
      <c r="FK248" s="2" t="s">
        <v>324</v>
      </c>
      <c r="FL248" s="2" t="s">
        <v>324</v>
      </c>
      <c r="FM248" s="2" t="s">
        <v>324</v>
      </c>
      <c r="FN248" s="2" t="s">
        <v>324</v>
      </c>
      <c r="FO248" s="2" t="s">
        <v>324</v>
      </c>
      <c r="FP248" s="2" t="s">
        <v>324</v>
      </c>
      <c r="FQ248" s="2" t="s">
        <v>324</v>
      </c>
    </row>
    <row r="249" spans="1:173">
      <c r="A249" s="335" t="s">
        <v>1468</v>
      </c>
      <c r="B249" s="2" t="s">
        <v>1468</v>
      </c>
      <c r="C249" s="2" t="s">
        <v>229</v>
      </c>
      <c r="D249" s="2" t="s">
        <v>1459</v>
      </c>
      <c r="E249" s="2" t="s">
        <v>1469</v>
      </c>
      <c r="F249" s="2" t="s">
        <v>1397</v>
      </c>
      <c r="G249" s="2" t="s">
        <v>324</v>
      </c>
      <c r="H249" s="2" t="s">
        <v>324</v>
      </c>
      <c r="I249" s="435">
        <v>38.630000000000003</v>
      </c>
      <c r="J249" s="435">
        <v>37.130000000000003</v>
      </c>
      <c r="L249" s="333"/>
      <c r="N249" s="422"/>
      <c r="O249" s="422"/>
      <c r="P249" s="346" t="s">
        <v>3105</v>
      </c>
      <c r="Q249" s="480" t="s">
        <v>2441</v>
      </c>
      <c r="R249" s="480" t="s">
        <v>2442</v>
      </c>
      <c r="S249" s="346" t="s">
        <v>1470</v>
      </c>
      <c r="T249" s="346" t="s">
        <v>2941</v>
      </c>
      <c r="U249" s="346">
        <v>18</v>
      </c>
      <c r="V249" s="422" cm="1">
        <f t="array" ref="V249">IFERROR(INDEX('Offer Statistics'!$CH$2:$CH$350,MATCH(1,(B249='Offer Statistics'!$BS$2:$BS$350)*($B$11='Offer Statistics'!$BT$2:$BT$350),0)),"/")</f>
        <v>17</v>
      </c>
      <c r="W249" s="422" cm="1">
        <f t="array" ref="W249">IFERROR(INDEX('Offer Statistics'!$BU$2:$BU$350,MATCH(1,(B249='Offer Statistics'!$BS$2:$BS$350)*($B$11='Offer Statistics'!$BT$2:$BT$350),0)),"/")</f>
        <v>31</v>
      </c>
      <c r="X249" s="422" cm="1">
        <f t="array" ref="X249">IFERROR(INDEX('Offer Statistics'!$CC$2:$CC$350,MATCH(1,(B249='Offer Statistics'!$BS$2:$BS$350)*($B$11='Offer Statistics'!$BT$2:$BT$350),0)),"/")</f>
        <v>17</v>
      </c>
      <c r="Y249" s="422">
        <f t="shared" si="375"/>
        <v>1.8235294117647058</v>
      </c>
      <c r="Z249" s="422" t="s">
        <v>1046</v>
      </c>
      <c r="AA249" s="422" t="str">
        <f>入學要求!AF258</f>
        <v>申請人必須出席面試</v>
      </c>
      <c r="AB249" s="422" t="str">
        <f>入學要求!AG258</f>
        <v>/</v>
      </c>
      <c r="AC249" s="346" t="s">
        <v>1427</v>
      </c>
      <c r="AD249" s="422"/>
      <c r="AE249" s="422"/>
      <c r="AF249" s="422"/>
      <c r="AG249" s="422"/>
      <c r="AH249" s="346" t="s">
        <v>1432</v>
      </c>
      <c r="AI249" s="480" t="s">
        <v>2441</v>
      </c>
      <c r="AJ249" s="480" t="s">
        <v>2442</v>
      </c>
      <c r="AK249" s="346" t="s">
        <v>2427</v>
      </c>
      <c r="AL249" s="346" t="s">
        <v>3118</v>
      </c>
      <c r="AM249" s="346" t="s">
        <v>324</v>
      </c>
      <c r="AN249" s="346" t="s">
        <v>1401</v>
      </c>
      <c r="AO249" s="346" t="s">
        <v>324</v>
      </c>
      <c r="AP249" s="346" t="s">
        <v>324</v>
      </c>
      <c r="AQ249" s="435" t="s">
        <v>3095</v>
      </c>
      <c r="AR249" s="422" t="s">
        <v>3309</v>
      </c>
      <c r="AS249" s="422" t="s">
        <v>3310</v>
      </c>
      <c r="AT249" s="2" t="s">
        <v>716</v>
      </c>
      <c r="AV249" s="2" t="s">
        <v>713</v>
      </c>
      <c r="AZ249" s="2" t="s">
        <v>324</v>
      </c>
      <c r="BA249" s="2" t="s">
        <v>324</v>
      </c>
      <c r="BB249" s="2" t="s">
        <v>324</v>
      </c>
      <c r="BC249" s="2" t="s">
        <v>324</v>
      </c>
      <c r="BD249" s="2" t="s">
        <v>324</v>
      </c>
      <c r="BE249" s="2" t="s">
        <v>324</v>
      </c>
      <c r="BF249" s="2" t="s">
        <v>324</v>
      </c>
      <c r="BG249" s="2" t="s">
        <v>324</v>
      </c>
      <c r="BH249" s="2" t="s">
        <v>324</v>
      </c>
      <c r="BI249" s="2" t="s">
        <v>324</v>
      </c>
      <c r="BJ249" s="2" t="s">
        <v>324</v>
      </c>
      <c r="BK249" s="2" t="s">
        <v>324</v>
      </c>
      <c r="BL249" s="2" t="s">
        <v>324</v>
      </c>
      <c r="BM249" s="2" t="s">
        <v>324</v>
      </c>
      <c r="BN249" s="2" t="s">
        <v>324</v>
      </c>
      <c r="BO249" s="2" t="s">
        <v>324</v>
      </c>
      <c r="BP249" s="2" t="s">
        <v>324</v>
      </c>
      <c r="BQ249" s="2" t="s">
        <v>324</v>
      </c>
      <c r="BR249" s="2" t="s">
        <v>324</v>
      </c>
      <c r="BS249" s="2" t="s">
        <v>324</v>
      </c>
      <c r="BT249" s="2" t="s">
        <v>324</v>
      </c>
      <c r="BU249" s="2" t="s">
        <v>324</v>
      </c>
      <c r="BV249" s="2" t="s">
        <v>324</v>
      </c>
      <c r="BW249" s="2" t="s">
        <v>324</v>
      </c>
      <c r="BX249" s="2" t="s">
        <v>324</v>
      </c>
      <c r="BY249" s="2" t="s">
        <v>324</v>
      </c>
      <c r="BZ249" s="2" t="s">
        <v>324</v>
      </c>
      <c r="CA249" s="2" t="s">
        <v>324</v>
      </c>
      <c r="CB249" s="2" t="s">
        <v>324</v>
      </c>
      <c r="CC249" s="2" t="s">
        <v>324</v>
      </c>
      <c r="CD249" s="2" t="s">
        <v>324</v>
      </c>
      <c r="CE249" s="2" t="s">
        <v>324</v>
      </c>
      <c r="CF249" s="2" t="s">
        <v>324</v>
      </c>
      <c r="CG249" s="2" t="s">
        <v>324</v>
      </c>
      <c r="CH249" s="2" t="s">
        <v>324</v>
      </c>
      <c r="CI249" s="2" t="s">
        <v>324</v>
      </c>
      <c r="CJ249" s="2" t="s">
        <v>324</v>
      </c>
      <c r="CK249" s="2" t="s">
        <v>324</v>
      </c>
      <c r="CL249" s="2" t="s">
        <v>324</v>
      </c>
      <c r="CM249" s="2" t="s">
        <v>324</v>
      </c>
      <c r="CN249" s="2" t="s">
        <v>324</v>
      </c>
      <c r="CO249" s="2" t="s">
        <v>324</v>
      </c>
      <c r="CP249" s="2" t="s">
        <v>324</v>
      </c>
      <c r="CQ249" s="2" t="s">
        <v>324</v>
      </c>
      <c r="CR249" s="2" t="s">
        <v>324</v>
      </c>
      <c r="CS249" s="2" t="s">
        <v>324</v>
      </c>
      <c r="CT249" s="2" t="s">
        <v>324</v>
      </c>
      <c r="CU249" s="2" t="s">
        <v>324</v>
      </c>
      <c r="CV249" s="2" t="s">
        <v>324</v>
      </c>
      <c r="CW249" s="2" t="s">
        <v>324</v>
      </c>
      <c r="CX249" s="2" t="s">
        <v>324</v>
      </c>
      <c r="CY249" s="2" t="s">
        <v>324</v>
      </c>
      <c r="CZ249" s="2" t="s">
        <v>324</v>
      </c>
      <c r="DA249" s="2" t="s">
        <v>324</v>
      </c>
      <c r="DB249" s="2" t="s">
        <v>324</v>
      </c>
      <c r="DC249" s="2" t="s">
        <v>324</v>
      </c>
      <c r="DD249" s="2" t="s">
        <v>324</v>
      </c>
      <c r="DE249" s="2" t="s">
        <v>324</v>
      </c>
      <c r="DF249" s="2" t="s">
        <v>324</v>
      </c>
      <c r="DG249" s="2" t="s">
        <v>324</v>
      </c>
      <c r="DH249" s="2" t="s">
        <v>324</v>
      </c>
      <c r="DI249" s="2" t="s">
        <v>324</v>
      </c>
      <c r="DJ249" s="2" t="s">
        <v>324</v>
      </c>
      <c r="DK249" s="2" t="s">
        <v>324</v>
      </c>
      <c r="DL249" s="2" t="s">
        <v>324</v>
      </c>
      <c r="DM249" s="2" t="s">
        <v>324</v>
      </c>
      <c r="DN249" s="2" t="s">
        <v>324</v>
      </c>
      <c r="DO249" s="2" t="s">
        <v>324</v>
      </c>
      <c r="DP249" s="2" t="s">
        <v>324</v>
      </c>
      <c r="DQ249" s="2" t="s">
        <v>324</v>
      </c>
      <c r="DR249" s="2" t="s">
        <v>324</v>
      </c>
      <c r="DS249" s="2" t="s">
        <v>324</v>
      </c>
      <c r="DT249" s="2" t="s">
        <v>324</v>
      </c>
      <c r="DU249" s="2" t="s">
        <v>324</v>
      </c>
      <c r="DV249" s="2" t="s">
        <v>324</v>
      </c>
      <c r="DW249" s="2" t="s">
        <v>324</v>
      </c>
      <c r="DX249" s="2" t="s">
        <v>324</v>
      </c>
      <c r="DY249" s="2" t="s">
        <v>324</v>
      </c>
      <c r="DZ249" s="2" t="s">
        <v>324</v>
      </c>
      <c r="EA249" s="2" t="s">
        <v>324</v>
      </c>
      <c r="EB249" s="2" t="s">
        <v>324</v>
      </c>
      <c r="EC249" s="2" t="s">
        <v>324</v>
      </c>
      <c r="ED249" s="2" t="s">
        <v>324</v>
      </c>
      <c r="EE249" s="2" t="s">
        <v>324</v>
      </c>
      <c r="EF249" s="2" t="s">
        <v>324</v>
      </c>
      <c r="EG249" s="2" t="s">
        <v>324</v>
      </c>
      <c r="EH249" s="2" t="s">
        <v>324</v>
      </c>
      <c r="EI249" s="2" t="s">
        <v>324</v>
      </c>
      <c r="EJ249" s="2" t="s">
        <v>324</v>
      </c>
      <c r="EK249" s="2" t="s">
        <v>324</v>
      </c>
      <c r="EL249" s="2" t="s">
        <v>324</v>
      </c>
      <c r="EM249" s="2" t="s">
        <v>324</v>
      </c>
      <c r="EN249" s="2" t="s">
        <v>324</v>
      </c>
      <c r="EO249" s="2" t="s">
        <v>324</v>
      </c>
      <c r="EP249" s="2" t="s">
        <v>324</v>
      </c>
      <c r="EQ249" s="2" t="s">
        <v>324</v>
      </c>
      <c r="ER249" s="2" t="s">
        <v>324</v>
      </c>
      <c r="ES249" s="2" t="s">
        <v>324</v>
      </c>
      <c r="ET249" s="2" t="s">
        <v>324</v>
      </c>
      <c r="EU249" s="2" t="s">
        <v>324</v>
      </c>
      <c r="EV249" s="2" t="s">
        <v>324</v>
      </c>
      <c r="EW249" s="2" t="s">
        <v>324</v>
      </c>
      <c r="EX249" s="2" t="s">
        <v>324</v>
      </c>
      <c r="EY249" s="2" t="s">
        <v>324</v>
      </c>
      <c r="EZ249" s="2" t="s">
        <v>324</v>
      </c>
      <c r="FA249" s="2" t="s">
        <v>324</v>
      </c>
      <c r="FB249" s="2" t="s">
        <v>324</v>
      </c>
      <c r="FC249" s="2" t="s">
        <v>324</v>
      </c>
      <c r="FD249" s="2" t="s">
        <v>324</v>
      </c>
      <c r="FE249" s="2" t="s">
        <v>324</v>
      </c>
      <c r="FF249" s="2" t="s">
        <v>324</v>
      </c>
      <c r="FG249" s="2" t="s">
        <v>324</v>
      </c>
      <c r="FH249" s="2" t="s">
        <v>324</v>
      </c>
      <c r="FI249" s="2" t="s">
        <v>324</v>
      </c>
      <c r="FJ249" s="2" t="s">
        <v>324</v>
      </c>
      <c r="FK249" s="2" t="s">
        <v>324</v>
      </c>
      <c r="FL249" s="2" t="s">
        <v>324</v>
      </c>
      <c r="FM249" s="2" t="s">
        <v>324</v>
      </c>
      <c r="FN249" s="2" t="s">
        <v>324</v>
      </c>
      <c r="FO249" s="2" t="s">
        <v>324</v>
      </c>
      <c r="FP249" s="2" t="s">
        <v>324</v>
      </c>
      <c r="FQ249" s="2" t="s">
        <v>324</v>
      </c>
    </row>
    <row r="250" spans="1:173">
      <c r="A250" s="335" t="s">
        <v>1471</v>
      </c>
      <c r="B250" s="2" t="s">
        <v>1471</v>
      </c>
      <c r="C250" s="2" t="s">
        <v>229</v>
      </c>
      <c r="D250" s="2" t="s">
        <v>1459</v>
      </c>
      <c r="E250" s="2" t="s">
        <v>1472</v>
      </c>
      <c r="F250" s="2" t="s">
        <v>1397</v>
      </c>
      <c r="G250" s="2" t="s">
        <v>324</v>
      </c>
      <c r="H250" s="2" t="s">
        <v>324</v>
      </c>
      <c r="I250" s="435">
        <v>61.66</v>
      </c>
      <c r="J250" s="435">
        <v>58.55</v>
      </c>
      <c r="L250" s="333"/>
      <c r="N250" s="422"/>
      <c r="O250" s="422"/>
      <c r="P250" s="346" t="s">
        <v>2449</v>
      </c>
      <c r="Q250" s="346" t="s">
        <v>3104</v>
      </c>
      <c r="R250" s="346" t="s">
        <v>2450</v>
      </c>
      <c r="S250" s="346" t="s">
        <v>177</v>
      </c>
      <c r="T250" s="346" t="s">
        <v>2941</v>
      </c>
      <c r="U250" s="346">
        <v>22</v>
      </c>
      <c r="V250" s="422" cm="1">
        <f t="array" ref="V250">IFERROR(INDEX('Offer Statistics'!$CH$2:$CH$350,MATCH(1,(B250='Offer Statistics'!$BS$2:$BS$350)*($B$11='Offer Statistics'!$BT$2:$BT$350),0)),"/")</f>
        <v>20</v>
      </c>
      <c r="W250" s="422" cm="1">
        <f t="array" ref="W250">IFERROR(INDEX('Offer Statistics'!$BU$2:$BU$350,MATCH(1,(B250='Offer Statistics'!$BS$2:$BS$350)*($B$11='Offer Statistics'!$BT$2:$BT$350),0)),"/")</f>
        <v>51</v>
      </c>
      <c r="X250" s="422" cm="1">
        <f t="array" ref="X250">IFERROR(INDEX('Offer Statistics'!$CC$2:$CC$350,MATCH(1,(B250='Offer Statistics'!$BS$2:$BS$350)*($B$11='Offer Statistics'!$BT$2:$BT$350),0)),"/")</f>
        <v>20</v>
      </c>
      <c r="Y250" s="422">
        <f t="shared" si="375"/>
        <v>2.5499999999999998</v>
      </c>
      <c r="Z250" s="422" t="s">
        <v>1046</v>
      </c>
      <c r="AA250" s="422" t="str">
        <f>入學要求!AF259</f>
        <v>以下一科選修取得Lv.3︰生物、化學、組合科學、物理、ICT</v>
      </c>
      <c r="AB250" s="422" t="str">
        <f>入學要求!AG259</f>
        <v>/</v>
      </c>
      <c r="AC250" s="346" t="s">
        <v>1427</v>
      </c>
      <c r="AD250" s="422"/>
      <c r="AE250" s="422"/>
      <c r="AF250" s="422"/>
      <c r="AG250" s="422"/>
      <c r="AH250" s="346" t="s">
        <v>2449</v>
      </c>
      <c r="AI250" s="346" t="s">
        <v>1414</v>
      </c>
      <c r="AJ250" s="346" t="s">
        <v>2450</v>
      </c>
      <c r="AK250" s="346" t="s">
        <v>1400</v>
      </c>
      <c r="AL250" s="346" t="s">
        <v>3119</v>
      </c>
      <c r="AM250" s="346" t="s">
        <v>2430</v>
      </c>
      <c r="AN250" s="346" t="s">
        <v>324</v>
      </c>
      <c r="AO250" s="346" t="s">
        <v>324</v>
      </c>
      <c r="AP250" s="346" t="s">
        <v>324</v>
      </c>
      <c r="AQ250" s="435" t="s">
        <v>3096</v>
      </c>
      <c r="AR250" s="422" t="s">
        <v>3309</v>
      </c>
      <c r="AS250" s="422" t="s">
        <v>3310</v>
      </c>
      <c r="AT250" s="2" t="s">
        <v>716</v>
      </c>
      <c r="AV250" s="2" t="s">
        <v>713</v>
      </c>
      <c r="AZ250" s="2" t="s">
        <v>324</v>
      </c>
      <c r="BA250" s="2" t="s">
        <v>324</v>
      </c>
      <c r="BB250" s="2" t="s">
        <v>324</v>
      </c>
      <c r="BD250" s="2" t="s">
        <v>324</v>
      </c>
      <c r="BE250" s="2" t="s">
        <v>324</v>
      </c>
      <c r="BF250" s="2" t="s">
        <v>324</v>
      </c>
      <c r="BG250" s="2" t="s">
        <v>324</v>
      </c>
      <c r="BI250" s="2" t="s">
        <v>324</v>
      </c>
      <c r="BJ250" s="2" t="s">
        <v>324</v>
      </c>
      <c r="BK250" s="2" t="s">
        <v>324</v>
      </c>
      <c r="BM250" s="2" t="s">
        <v>324</v>
      </c>
      <c r="BN250" s="2" t="s">
        <v>324</v>
      </c>
      <c r="BO250" s="2" t="s">
        <v>324</v>
      </c>
      <c r="BP250" s="2" t="s">
        <v>324</v>
      </c>
      <c r="BY250" s="2" t="s">
        <v>324</v>
      </c>
      <c r="BZ250" s="2" t="s">
        <v>324</v>
      </c>
      <c r="CA250" s="2" t="s">
        <v>324</v>
      </c>
      <c r="CC250" s="2" t="s">
        <v>324</v>
      </c>
      <c r="CD250" s="2" t="s">
        <v>324</v>
      </c>
      <c r="CE250" s="2" t="s">
        <v>324</v>
      </c>
      <c r="CF250" s="2" t="s">
        <v>324</v>
      </c>
      <c r="CG250" s="2" t="s">
        <v>324</v>
      </c>
      <c r="CH250" s="2" t="s">
        <v>324</v>
      </c>
      <c r="CI250" s="2" t="s">
        <v>324</v>
      </c>
      <c r="CK250" s="2" t="s">
        <v>324</v>
      </c>
      <c r="CL250" s="2" t="s">
        <v>324</v>
      </c>
      <c r="CM250" s="2" t="s">
        <v>324</v>
      </c>
      <c r="CN250" s="2" t="s">
        <v>324</v>
      </c>
      <c r="CO250" s="2" t="s">
        <v>324</v>
      </c>
      <c r="CP250" s="2" t="s">
        <v>324</v>
      </c>
      <c r="CQ250" s="2" t="s">
        <v>324</v>
      </c>
      <c r="CS250" s="2" t="s">
        <v>324</v>
      </c>
      <c r="CT250" s="2" t="s">
        <v>324</v>
      </c>
      <c r="CU250" s="2" t="s">
        <v>324</v>
      </c>
      <c r="CV250" s="2" t="s">
        <v>324</v>
      </c>
      <c r="CX250" s="2" t="s">
        <v>324</v>
      </c>
      <c r="CY250" s="2" t="s">
        <v>324</v>
      </c>
      <c r="CZ250" s="2" t="s">
        <v>324</v>
      </c>
      <c r="DB250" s="2" t="s">
        <v>324</v>
      </c>
      <c r="DC250" s="2" t="s">
        <v>324</v>
      </c>
      <c r="DD250" s="2" t="s">
        <v>324</v>
      </c>
      <c r="DE250" s="2" t="s">
        <v>324</v>
      </c>
      <c r="DN250" s="2" t="s">
        <v>324</v>
      </c>
      <c r="DO250" s="2" t="s">
        <v>324</v>
      </c>
      <c r="DP250" s="2" t="s">
        <v>324</v>
      </c>
      <c r="DR250" s="2" t="s">
        <v>324</v>
      </c>
      <c r="DS250" s="2" t="s">
        <v>324</v>
      </c>
      <c r="DT250" s="2" t="s">
        <v>324</v>
      </c>
      <c r="DU250" s="2" t="s">
        <v>324</v>
      </c>
      <c r="DV250" s="2" t="s">
        <v>324</v>
      </c>
      <c r="DW250" s="2" t="s">
        <v>324</v>
      </c>
      <c r="DX250" s="2" t="s">
        <v>324</v>
      </c>
      <c r="DZ250" s="2" t="s">
        <v>324</v>
      </c>
      <c r="EA250" s="2" t="s">
        <v>324</v>
      </c>
      <c r="EB250" s="2" t="s">
        <v>324</v>
      </c>
      <c r="EC250" s="2" t="s">
        <v>324</v>
      </c>
      <c r="ED250" s="2" t="s">
        <v>324</v>
      </c>
      <c r="EE250" s="2" t="s">
        <v>324</v>
      </c>
      <c r="EF250" s="2" t="s">
        <v>324</v>
      </c>
      <c r="EH250" s="2" t="s">
        <v>324</v>
      </c>
      <c r="EI250" s="2" t="s">
        <v>324</v>
      </c>
      <c r="EJ250" s="2" t="s">
        <v>324</v>
      </c>
      <c r="EK250" s="2" t="s">
        <v>324</v>
      </c>
      <c r="EL250" s="2" t="s">
        <v>324</v>
      </c>
      <c r="EM250" s="2" t="s">
        <v>324</v>
      </c>
      <c r="EN250" s="2" t="s">
        <v>324</v>
      </c>
      <c r="EP250" s="2" t="s">
        <v>324</v>
      </c>
      <c r="EQ250" s="2" t="s">
        <v>324</v>
      </c>
      <c r="ER250" s="2" t="s">
        <v>324</v>
      </c>
      <c r="ES250" s="2" t="s">
        <v>324</v>
      </c>
      <c r="FB250" s="2" t="s">
        <v>324</v>
      </c>
      <c r="FC250" s="2" t="s">
        <v>324</v>
      </c>
      <c r="FD250" s="2" t="s">
        <v>324</v>
      </c>
      <c r="FE250" s="2" t="s">
        <v>324</v>
      </c>
      <c r="FF250" s="2" t="s">
        <v>324</v>
      </c>
      <c r="FG250" s="2" t="s">
        <v>324</v>
      </c>
      <c r="FH250" s="2" t="s">
        <v>324</v>
      </c>
      <c r="FI250" s="2" t="s">
        <v>324</v>
      </c>
      <c r="FJ250" s="2" t="s">
        <v>324</v>
      </c>
      <c r="FK250" s="2" t="s">
        <v>324</v>
      </c>
      <c r="FL250" s="2" t="s">
        <v>324</v>
      </c>
      <c r="FM250" s="2" t="s">
        <v>324</v>
      </c>
      <c r="FN250" s="2" t="s">
        <v>324</v>
      </c>
      <c r="FO250" s="2" t="s">
        <v>324</v>
      </c>
      <c r="FP250" s="2" t="s">
        <v>324</v>
      </c>
      <c r="FQ250" s="2" t="s">
        <v>324</v>
      </c>
    </row>
    <row r="251" spans="1:173">
      <c r="C251" s="328" t="s">
        <v>3129</v>
      </c>
      <c r="F251" s="11"/>
      <c r="L251" s="333"/>
    </row>
    <row r="252" spans="1:173">
      <c r="C252" s="329"/>
      <c r="U252" s="2" t="s">
        <v>70</v>
      </c>
      <c r="V252" s="2" t="s">
        <v>118</v>
      </c>
      <c r="Y252" s="2" t="s">
        <v>938</v>
      </c>
      <c r="AZ252" s="2" t="s">
        <v>324</v>
      </c>
      <c r="BA252" s="2" t="s">
        <v>324</v>
      </c>
      <c r="BB252" s="2" t="s">
        <v>324</v>
      </c>
      <c r="BD252" s="2" t="s">
        <v>324</v>
      </c>
      <c r="BE252" s="2" t="s">
        <v>324</v>
      </c>
      <c r="BF252" s="2" t="s">
        <v>324</v>
      </c>
      <c r="BG252" s="2" t="s">
        <v>324</v>
      </c>
      <c r="BI252" s="2" t="s">
        <v>324</v>
      </c>
      <c r="BJ252" s="2" t="s">
        <v>324</v>
      </c>
      <c r="BK252" s="2" t="s">
        <v>324</v>
      </c>
      <c r="BM252" s="2" t="s">
        <v>324</v>
      </c>
      <c r="BN252" s="2" t="s">
        <v>324</v>
      </c>
      <c r="BO252" s="2" t="s">
        <v>324</v>
      </c>
      <c r="BP252" s="2" t="s">
        <v>324</v>
      </c>
      <c r="BY252" s="2" t="s">
        <v>324</v>
      </c>
      <c r="BZ252" s="2" t="s">
        <v>324</v>
      </c>
      <c r="CA252" s="2" t="s">
        <v>324</v>
      </c>
      <c r="CC252" s="2" t="s">
        <v>324</v>
      </c>
      <c r="CD252" s="2" t="s">
        <v>324</v>
      </c>
      <c r="CE252" s="2" t="s">
        <v>324</v>
      </c>
      <c r="CF252" s="2" t="s">
        <v>324</v>
      </c>
      <c r="CG252" s="2" t="s">
        <v>324</v>
      </c>
      <c r="CH252" s="2" t="s">
        <v>324</v>
      </c>
      <c r="CI252" s="2" t="s">
        <v>324</v>
      </c>
      <c r="CK252" s="2" t="s">
        <v>324</v>
      </c>
      <c r="CL252" s="2" t="s">
        <v>324</v>
      </c>
      <c r="CM252" s="2" t="s">
        <v>324</v>
      </c>
      <c r="CN252" s="2" t="s">
        <v>324</v>
      </c>
      <c r="CO252" s="2" t="s">
        <v>324</v>
      </c>
      <c r="CP252" s="2" t="s">
        <v>324</v>
      </c>
      <c r="CQ252" s="2" t="s">
        <v>324</v>
      </c>
      <c r="CS252" s="2" t="s">
        <v>324</v>
      </c>
      <c r="CT252" s="2" t="s">
        <v>324</v>
      </c>
      <c r="CU252" s="2" t="s">
        <v>324</v>
      </c>
      <c r="CV252" s="2" t="s">
        <v>324</v>
      </c>
      <c r="CX252" s="2" t="s">
        <v>324</v>
      </c>
      <c r="CY252" s="2" t="s">
        <v>324</v>
      </c>
      <c r="CZ252" s="2" t="s">
        <v>324</v>
      </c>
      <c r="DB252" s="2" t="s">
        <v>324</v>
      </c>
      <c r="DC252" s="2" t="s">
        <v>324</v>
      </c>
      <c r="DD252" s="2" t="s">
        <v>324</v>
      </c>
      <c r="DE252" s="2" t="s">
        <v>324</v>
      </c>
      <c r="DN252" s="2" t="s">
        <v>324</v>
      </c>
      <c r="DO252" s="2" t="s">
        <v>324</v>
      </c>
      <c r="DP252" s="2" t="s">
        <v>324</v>
      </c>
      <c r="DR252" s="2" t="s">
        <v>324</v>
      </c>
      <c r="DS252" s="2" t="s">
        <v>324</v>
      </c>
      <c r="DT252" s="2" t="s">
        <v>324</v>
      </c>
      <c r="DU252" s="2" t="s">
        <v>324</v>
      </c>
      <c r="DV252" s="2" t="s">
        <v>324</v>
      </c>
      <c r="DW252" s="2" t="s">
        <v>324</v>
      </c>
      <c r="DX252" s="2" t="s">
        <v>324</v>
      </c>
      <c r="DZ252" s="2" t="s">
        <v>324</v>
      </c>
      <c r="EA252" s="2" t="s">
        <v>324</v>
      </c>
      <c r="EB252" s="2" t="s">
        <v>324</v>
      </c>
      <c r="EC252" s="2" t="s">
        <v>324</v>
      </c>
      <c r="ED252" s="2" t="s">
        <v>324</v>
      </c>
      <c r="EE252" s="2" t="s">
        <v>324</v>
      </c>
      <c r="EF252" s="2" t="s">
        <v>324</v>
      </c>
      <c r="EH252" s="2" t="s">
        <v>324</v>
      </c>
      <c r="EI252" s="2" t="s">
        <v>324</v>
      </c>
      <c r="EJ252" s="2" t="s">
        <v>324</v>
      </c>
      <c r="EK252" s="2" t="s">
        <v>324</v>
      </c>
      <c r="EL252" s="2" t="s">
        <v>324</v>
      </c>
      <c r="EM252" s="2" t="s">
        <v>324</v>
      </c>
      <c r="EN252" s="2" t="s">
        <v>324</v>
      </c>
      <c r="EP252" s="2" t="s">
        <v>324</v>
      </c>
      <c r="EQ252" s="2" t="s">
        <v>324</v>
      </c>
      <c r="ER252" s="2" t="s">
        <v>324</v>
      </c>
      <c r="ES252" s="2" t="s">
        <v>324</v>
      </c>
      <c r="FB252" s="2" t="s">
        <v>324</v>
      </c>
      <c r="FC252" s="2" t="s">
        <v>324</v>
      </c>
      <c r="FD252" s="2" t="s">
        <v>324</v>
      </c>
      <c r="FE252" s="2" t="s">
        <v>324</v>
      </c>
      <c r="FF252" s="2" t="s">
        <v>324</v>
      </c>
      <c r="FG252" s="2" t="s">
        <v>324</v>
      </c>
      <c r="FH252" s="2" t="s">
        <v>324</v>
      </c>
      <c r="FI252" s="2" t="s">
        <v>324</v>
      </c>
      <c r="FJ252" s="2" t="s">
        <v>324</v>
      </c>
      <c r="FK252" s="2" t="s">
        <v>324</v>
      </c>
      <c r="FL252" s="2" t="s">
        <v>324</v>
      </c>
      <c r="FM252" s="2" t="s">
        <v>324</v>
      </c>
      <c r="FN252" s="2" t="s">
        <v>324</v>
      </c>
      <c r="FO252" s="2" t="s">
        <v>324</v>
      </c>
      <c r="FP252" s="2" t="s">
        <v>324</v>
      </c>
      <c r="FQ252" s="2" t="s">
        <v>324</v>
      </c>
    </row>
    <row r="253" spans="1:173" s="335" customFormat="1" ht="13.95" customHeight="1">
      <c r="A253" s="335" t="s">
        <v>474</v>
      </c>
      <c r="B253" s="335" t="s">
        <v>474</v>
      </c>
      <c r="C253" s="335" t="s">
        <v>1473</v>
      </c>
      <c r="D253" s="335" t="s">
        <v>1474</v>
      </c>
      <c r="E253" s="335" t="s">
        <v>475</v>
      </c>
      <c r="F253" s="346" t="s">
        <v>785</v>
      </c>
      <c r="G253" s="335" t="s">
        <v>324</v>
      </c>
      <c r="H253" s="346">
        <v>31</v>
      </c>
      <c r="I253" s="346">
        <v>29</v>
      </c>
      <c r="J253" s="346">
        <v>28</v>
      </c>
      <c r="N253" s="346" t="s">
        <v>324</v>
      </c>
      <c r="O253" s="346" t="s">
        <v>1475</v>
      </c>
      <c r="P253" s="346" t="s">
        <v>324</v>
      </c>
      <c r="Q253" s="346" t="s">
        <v>324</v>
      </c>
      <c r="R253" s="346" t="s">
        <v>324</v>
      </c>
      <c r="S253" s="334" t="s">
        <v>1476</v>
      </c>
      <c r="T253" s="335" t="s">
        <v>1046</v>
      </c>
      <c r="U253" s="335">
        <v>56</v>
      </c>
      <c r="V253" s="335" cm="1">
        <f t="array" ref="V253">IFERROR(INDEX('Offer Statistics'!$DA$2:$DA$600,MATCH(1,(B253='Offer Statistics'!$CL$2:$CL$600)*($B$11='Offer Statistics'!$CM$2:$CM$600),0)),"/")</f>
        <v>37</v>
      </c>
      <c r="W253" s="335" cm="1">
        <f t="array" ref="W253">IFERROR(INDEX('Offer Statistics'!$CN$2:$CN$600,MATCH(1,(B253='Offer Statistics'!$CL$2:$CL$600)*($B$11='Offer Statistics'!$CM$2:$CM$600),0)),"/")</f>
        <v>102</v>
      </c>
      <c r="X253" s="335" cm="1">
        <f t="array" ref="X253">IFERROR(INDEX('Offer Statistics'!$CV$2:$CV$600,MATCH(1,(B253='Offer Statistics'!$CL$2:$CL$600)*($B$11='Offer Statistics'!$CM$2:$CM$600),0)),"/")</f>
        <v>37</v>
      </c>
      <c r="Y253" s="334">
        <f t="shared" ref="Y253:Y306" si="376">IFERROR(W253/X253,"新科目")</f>
        <v>2.7567567567567566</v>
      </c>
      <c r="Z253" s="335" t="s">
        <v>1046</v>
      </c>
      <c r="AA253" s="335" t="str">
        <f>入學要求!AF262</f>
        <v>申請人須參與 能力傾向測試(Aptitude Test)</v>
      </c>
      <c r="AB253" s="335" t="str">
        <f>入學要求!AG262</f>
        <v>詳情可細閱課程網站，受邀申請人亦會於電郵收到相應指示。</v>
      </c>
      <c r="AC253" s="426" t="s">
        <v>785</v>
      </c>
      <c r="AD253" s="337"/>
      <c r="AE253" s="337"/>
      <c r="AF253" s="346" t="s">
        <v>324</v>
      </c>
      <c r="AG253" s="346" t="s">
        <v>1475</v>
      </c>
      <c r="AH253" s="346" t="s">
        <v>324</v>
      </c>
      <c r="AI253" s="346" t="s">
        <v>324</v>
      </c>
      <c r="AJ253" s="346" t="s">
        <v>324</v>
      </c>
      <c r="AK253" s="335" t="s">
        <v>735</v>
      </c>
      <c r="AL253" s="335" t="s">
        <v>1477</v>
      </c>
      <c r="AM253" s="335" t="s">
        <v>394</v>
      </c>
      <c r="AN253" s="336" t="s">
        <v>2473</v>
      </c>
      <c r="AO253" s="335" t="s">
        <v>394</v>
      </c>
      <c r="AP253" s="335" t="s">
        <v>1478</v>
      </c>
      <c r="AQ253" s="335" t="s">
        <v>1479</v>
      </c>
      <c r="AR253" s="335" t="s">
        <v>324</v>
      </c>
      <c r="AT253" s="335" t="s">
        <v>716</v>
      </c>
      <c r="AV253" s="335" t="s">
        <v>713</v>
      </c>
      <c r="AZ253" s="335" t="s">
        <v>324</v>
      </c>
      <c r="BA253" s="335" t="s">
        <v>324</v>
      </c>
      <c r="BB253" s="335" t="s">
        <v>324</v>
      </c>
      <c r="BD253" s="335" t="s">
        <v>324</v>
      </c>
      <c r="BE253" s="335" t="s">
        <v>324</v>
      </c>
      <c r="BF253" s="335" t="s">
        <v>324</v>
      </c>
      <c r="BG253" s="335" t="s">
        <v>324</v>
      </c>
      <c r="BI253" s="335" t="s">
        <v>324</v>
      </c>
      <c r="BJ253" s="335" t="s">
        <v>324</v>
      </c>
      <c r="BK253" s="335" t="s">
        <v>324</v>
      </c>
      <c r="BM253" s="335" t="s">
        <v>324</v>
      </c>
      <c r="BN253" s="335" t="s">
        <v>324</v>
      </c>
      <c r="BO253" s="335" t="s">
        <v>324</v>
      </c>
      <c r="BP253" s="335" t="s">
        <v>324</v>
      </c>
      <c r="BQ253" s="386"/>
      <c r="BR253" s="386"/>
      <c r="BS253" s="386"/>
      <c r="BT253" s="386"/>
      <c r="BU253" s="386"/>
      <c r="BV253" s="386"/>
      <c r="BW253" s="386"/>
      <c r="BX253" s="386"/>
      <c r="BY253" s="335" t="s">
        <v>324</v>
      </c>
      <c r="BZ253" s="335" t="s">
        <v>324</v>
      </c>
      <c r="CA253" s="335" t="s">
        <v>324</v>
      </c>
      <c r="CC253" s="335" t="s">
        <v>324</v>
      </c>
      <c r="CD253" s="335" t="s">
        <v>324</v>
      </c>
      <c r="CE253" s="335" t="s">
        <v>324</v>
      </c>
      <c r="CF253" s="335" t="s">
        <v>324</v>
      </c>
      <c r="CG253" s="335" t="s">
        <v>324</v>
      </c>
      <c r="CH253" s="335" t="s">
        <v>324</v>
      </c>
      <c r="CI253" s="335" t="s">
        <v>324</v>
      </c>
      <c r="CK253" s="335" t="s">
        <v>324</v>
      </c>
      <c r="CL253" s="335" t="s">
        <v>324</v>
      </c>
      <c r="CM253" s="335" t="s">
        <v>324</v>
      </c>
      <c r="CN253" s="335" t="s">
        <v>324</v>
      </c>
      <c r="CO253" s="335" t="s">
        <v>324</v>
      </c>
      <c r="CP253" s="335" t="s">
        <v>324</v>
      </c>
      <c r="CQ253" s="335" t="s">
        <v>324</v>
      </c>
      <c r="CS253" s="335" t="s">
        <v>324</v>
      </c>
      <c r="CT253" s="335" t="s">
        <v>324</v>
      </c>
      <c r="CU253" s="335" t="s">
        <v>324</v>
      </c>
      <c r="CV253" s="335" t="s">
        <v>324</v>
      </c>
      <c r="CX253" s="335" t="s">
        <v>324</v>
      </c>
      <c r="CY253" s="335" t="s">
        <v>324</v>
      </c>
      <c r="CZ253" s="335" t="s">
        <v>324</v>
      </c>
      <c r="DB253" s="335" t="s">
        <v>324</v>
      </c>
      <c r="DC253" s="335" t="s">
        <v>324</v>
      </c>
      <c r="DD253" s="335" t="s">
        <v>324</v>
      </c>
      <c r="DE253" s="335" t="s">
        <v>324</v>
      </c>
      <c r="DF253" s="386"/>
      <c r="DG253" s="386"/>
      <c r="DH253" s="386"/>
      <c r="DI253" s="386"/>
      <c r="DJ253" s="386"/>
      <c r="DK253" s="386"/>
      <c r="DL253" s="386"/>
      <c r="DM253" s="386"/>
      <c r="DN253" s="335" t="s">
        <v>324</v>
      </c>
      <c r="DO253" s="335" t="s">
        <v>324</v>
      </c>
      <c r="DP253" s="335" t="s">
        <v>324</v>
      </c>
      <c r="DR253" s="335" t="s">
        <v>324</v>
      </c>
      <c r="DS253" s="335" t="s">
        <v>324</v>
      </c>
      <c r="DT253" s="335" t="s">
        <v>324</v>
      </c>
      <c r="DU253" s="335" t="s">
        <v>324</v>
      </c>
      <c r="DV253" s="335" t="s">
        <v>324</v>
      </c>
      <c r="DW253" s="335" t="s">
        <v>324</v>
      </c>
      <c r="DX253" s="335" t="s">
        <v>324</v>
      </c>
      <c r="DZ253" s="335" t="s">
        <v>324</v>
      </c>
      <c r="EA253" s="335" t="s">
        <v>324</v>
      </c>
      <c r="EB253" s="335" t="s">
        <v>324</v>
      </c>
      <c r="EC253" s="335" t="s">
        <v>324</v>
      </c>
      <c r="ED253" s="335" t="s">
        <v>324</v>
      </c>
      <c r="EE253" s="335" t="s">
        <v>324</v>
      </c>
      <c r="EF253" s="335" t="s">
        <v>324</v>
      </c>
      <c r="EH253" s="335" t="s">
        <v>324</v>
      </c>
      <c r="EI253" s="335" t="s">
        <v>324</v>
      </c>
      <c r="EJ253" s="335" t="s">
        <v>324</v>
      </c>
      <c r="EK253" s="335" t="s">
        <v>324</v>
      </c>
      <c r="EL253" s="335" t="s">
        <v>324</v>
      </c>
      <c r="EM253" s="335" t="s">
        <v>324</v>
      </c>
      <c r="EN253" s="335" t="s">
        <v>324</v>
      </c>
      <c r="EP253" s="335" t="s">
        <v>324</v>
      </c>
      <c r="EQ253" s="335" t="s">
        <v>324</v>
      </c>
      <c r="ER253" s="335" t="s">
        <v>324</v>
      </c>
      <c r="ES253" s="335" t="s">
        <v>324</v>
      </c>
      <c r="FB253" s="335" t="s">
        <v>324</v>
      </c>
      <c r="FC253" s="335" t="s">
        <v>324</v>
      </c>
      <c r="FD253" s="335" t="s">
        <v>324</v>
      </c>
      <c r="FE253" s="335" t="s">
        <v>324</v>
      </c>
      <c r="FF253" s="335" t="s">
        <v>324</v>
      </c>
      <c r="FG253" s="335" t="s">
        <v>324</v>
      </c>
      <c r="FH253" s="335" t="s">
        <v>324</v>
      </c>
      <c r="FI253" s="335" t="s">
        <v>324</v>
      </c>
      <c r="FJ253" s="335" t="s">
        <v>324</v>
      </c>
      <c r="FK253" s="335" t="s">
        <v>324</v>
      </c>
      <c r="FL253" s="335" t="s">
        <v>324</v>
      </c>
      <c r="FM253" s="335" t="s">
        <v>324</v>
      </c>
      <c r="FN253" s="335" t="s">
        <v>324</v>
      </c>
      <c r="FO253" s="335" t="s">
        <v>324</v>
      </c>
      <c r="FP253" s="335" t="s">
        <v>324</v>
      </c>
      <c r="FQ253" s="335" t="s">
        <v>324</v>
      </c>
    </row>
    <row r="254" spans="1:173" s="335" customFormat="1" ht="13.95" customHeight="1">
      <c r="A254" s="335" t="s">
        <v>476</v>
      </c>
      <c r="B254" s="335" t="s">
        <v>476</v>
      </c>
      <c r="C254" s="335" t="s">
        <v>1473</v>
      </c>
      <c r="D254" s="335" t="s">
        <v>1474</v>
      </c>
      <c r="E254" s="335" t="s">
        <v>477</v>
      </c>
      <c r="F254" s="346" t="s">
        <v>785</v>
      </c>
      <c r="G254" s="335" t="s">
        <v>324</v>
      </c>
      <c r="H254" s="346">
        <v>31</v>
      </c>
      <c r="I254" s="346">
        <v>29</v>
      </c>
      <c r="J254" s="346">
        <v>29</v>
      </c>
      <c r="N254" s="346" t="s">
        <v>324</v>
      </c>
      <c r="O254" s="346" t="s">
        <v>1475</v>
      </c>
      <c r="P254" s="346" t="s">
        <v>324</v>
      </c>
      <c r="Q254" s="346" t="s">
        <v>324</v>
      </c>
      <c r="R254" s="346" t="s">
        <v>324</v>
      </c>
      <c r="S254" s="334" t="s">
        <v>2118</v>
      </c>
      <c r="T254" s="335" t="s">
        <v>1046</v>
      </c>
      <c r="U254" s="335">
        <v>42</v>
      </c>
      <c r="V254" s="335" cm="1">
        <f t="array" ref="V254">IFERROR(INDEX('Offer Statistics'!$DA$2:$DA$600,MATCH(1,(B254='Offer Statistics'!$CL$2:$CL$600)*($B$11='Offer Statistics'!$CM$2:$CM$600),0)),"/")</f>
        <v>61</v>
      </c>
      <c r="W254" s="335" cm="1">
        <f t="array" ref="W254">IFERROR(INDEX('Offer Statistics'!$CN$2:$CN$600,MATCH(1,(B254='Offer Statistics'!$CL$2:$CL$600)*($B$11='Offer Statistics'!$CM$2:$CM$600),0)),"/")</f>
        <v>178</v>
      </c>
      <c r="X254" s="335" cm="1">
        <f t="array" ref="X254">IFERROR(INDEX('Offer Statistics'!$CV$2:$CV$600,MATCH(1,(B254='Offer Statistics'!$CL$2:$CL$600)*($B$11='Offer Statistics'!$CM$2:$CM$600),0)),"/")</f>
        <v>61</v>
      </c>
      <c r="Y254" s="334">
        <f t="shared" si="376"/>
        <v>2.918032786885246</v>
      </c>
      <c r="Z254" s="335" t="s">
        <v>1046</v>
      </c>
      <c r="AA254" s="335" t="str">
        <f>入學要求!AF263</f>
        <v>/</v>
      </c>
      <c r="AB254" s="335" t="str">
        <f>入學要求!AG263</f>
        <v>/</v>
      </c>
      <c r="AC254" s="426" t="s">
        <v>785</v>
      </c>
      <c r="AD254" s="337"/>
      <c r="AE254" s="337"/>
      <c r="AF254" s="346" t="s">
        <v>324</v>
      </c>
      <c r="AG254" s="346" t="s">
        <v>1475</v>
      </c>
      <c r="AH254" s="346" t="s">
        <v>324</v>
      </c>
      <c r="AI254" s="346" t="s">
        <v>324</v>
      </c>
      <c r="AJ254" s="346" t="s">
        <v>324</v>
      </c>
      <c r="AK254" s="335" t="s">
        <v>1481</v>
      </c>
      <c r="AL254" s="335" t="s">
        <v>1482</v>
      </c>
      <c r="AM254" s="335" t="s">
        <v>394</v>
      </c>
      <c r="AN254" s="335" t="s">
        <v>394</v>
      </c>
      <c r="AO254" s="335" t="s">
        <v>394</v>
      </c>
      <c r="AP254" s="335" t="s">
        <v>1478</v>
      </c>
      <c r="AQ254" s="335" t="s">
        <v>2525</v>
      </c>
      <c r="AR254" s="335" t="s">
        <v>324</v>
      </c>
      <c r="AT254" s="335" t="s">
        <v>716</v>
      </c>
      <c r="AV254" s="335" t="s">
        <v>713</v>
      </c>
      <c r="AZ254" s="335" t="s">
        <v>324</v>
      </c>
      <c r="BA254" s="335" t="s">
        <v>324</v>
      </c>
      <c r="BB254" s="335" t="s">
        <v>324</v>
      </c>
      <c r="BD254" s="335" t="s">
        <v>324</v>
      </c>
      <c r="BE254" s="335" t="s">
        <v>324</v>
      </c>
      <c r="BF254" s="335" t="s">
        <v>324</v>
      </c>
      <c r="BG254" s="335" t="s">
        <v>324</v>
      </c>
      <c r="BI254" s="335" t="s">
        <v>324</v>
      </c>
      <c r="BJ254" s="335" t="s">
        <v>324</v>
      </c>
      <c r="BK254" s="335" t="s">
        <v>324</v>
      </c>
      <c r="BM254" s="335" t="s">
        <v>324</v>
      </c>
      <c r="BN254" s="335" t="s">
        <v>324</v>
      </c>
      <c r="BO254" s="335" t="s">
        <v>324</v>
      </c>
      <c r="BP254" s="335" t="s">
        <v>324</v>
      </c>
      <c r="BQ254" s="386"/>
      <c r="BR254" s="386"/>
      <c r="BS254" s="386"/>
      <c r="BT254" s="386"/>
      <c r="BU254" s="386"/>
      <c r="BV254" s="386"/>
      <c r="BW254" s="386"/>
      <c r="BX254" s="386"/>
      <c r="BY254" s="335" t="s">
        <v>324</v>
      </c>
      <c r="BZ254" s="335" t="s">
        <v>324</v>
      </c>
      <c r="CA254" s="335" t="s">
        <v>324</v>
      </c>
      <c r="CC254" s="335" t="s">
        <v>324</v>
      </c>
      <c r="CD254" s="335" t="s">
        <v>324</v>
      </c>
      <c r="CE254" s="335" t="s">
        <v>324</v>
      </c>
      <c r="CF254" s="335" t="s">
        <v>324</v>
      </c>
      <c r="CG254" s="335" t="s">
        <v>324</v>
      </c>
      <c r="CH254" s="335" t="s">
        <v>324</v>
      </c>
      <c r="CI254" s="335" t="s">
        <v>324</v>
      </c>
      <c r="CK254" s="335" t="s">
        <v>324</v>
      </c>
      <c r="CL254" s="335" t="s">
        <v>324</v>
      </c>
      <c r="CM254" s="335" t="s">
        <v>324</v>
      </c>
      <c r="CN254" s="335" t="s">
        <v>324</v>
      </c>
      <c r="CO254" s="335" t="s">
        <v>324</v>
      </c>
      <c r="CP254" s="335" t="s">
        <v>324</v>
      </c>
      <c r="CQ254" s="335" t="s">
        <v>324</v>
      </c>
      <c r="CS254" s="335" t="s">
        <v>324</v>
      </c>
      <c r="CT254" s="335" t="s">
        <v>324</v>
      </c>
      <c r="CU254" s="335" t="s">
        <v>324</v>
      </c>
      <c r="CV254" s="335" t="s">
        <v>324</v>
      </c>
      <c r="CX254" s="335" t="s">
        <v>324</v>
      </c>
      <c r="CY254" s="335" t="s">
        <v>324</v>
      </c>
      <c r="CZ254" s="335" t="s">
        <v>324</v>
      </c>
      <c r="DB254" s="335" t="s">
        <v>324</v>
      </c>
      <c r="DC254" s="335" t="s">
        <v>324</v>
      </c>
      <c r="DD254" s="335" t="s">
        <v>324</v>
      </c>
      <c r="DE254" s="335" t="s">
        <v>324</v>
      </c>
      <c r="DF254" s="386"/>
      <c r="DG254" s="386"/>
      <c r="DH254" s="386"/>
      <c r="DI254" s="386"/>
      <c r="DJ254" s="386"/>
      <c r="DK254" s="386"/>
      <c r="DL254" s="386"/>
      <c r="DM254" s="386"/>
      <c r="DN254" s="335" t="s">
        <v>324</v>
      </c>
      <c r="DO254" s="335" t="s">
        <v>324</v>
      </c>
      <c r="DP254" s="335" t="s">
        <v>324</v>
      </c>
      <c r="DR254" s="335" t="s">
        <v>324</v>
      </c>
      <c r="DS254" s="335" t="s">
        <v>324</v>
      </c>
      <c r="DT254" s="335" t="s">
        <v>324</v>
      </c>
      <c r="DU254" s="335" t="s">
        <v>324</v>
      </c>
      <c r="DV254" s="335" t="s">
        <v>324</v>
      </c>
      <c r="DW254" s="335" t="s">
        <v>324</v>
      </c>
      <c r="DX254" s="335" t="s">
        <v>324</v>
      </c>
      <c r="DZ254" s="335" t="s">
        <v>324</v>
      </c>
      <c r="EA254" s="335" t="s">
        <v>324</v>
      </c>
      <c r="EB254" s="335" t="s">
        <v>324</v>
      </c>
      <c r="EC254" s="335" t="s">
        <v>324</v>
      </c>
      <c r="ED254" s="335" t="s">
        <v>324</v>
      </c>
      <c r="EE254" s="335" t="s">
        <v>324</v>
      </c>
      <c r="EF254" s="335" t="s">
        <v>324</v>
      </c>
      <c r="EH254" s="335" t="s">
        <v>324</v>
      </c>
      <c r="EI254" s="335" t="s">
        <v>324</v>
      </c>
      <c r="EJ254" s="335" t="s">
        <v>324</v>
      </c>
      <c r="EK254" s="335" t="s">
        <v>324</v>
      </c>
      <c r="EL254" s="335" t="s">
        <v>324</v>
      </c>
      <c r="EM254" s="335" t="s">
        <v>324</v>
      </c>
      <c r="EN254" s="335" t="s">
        <v>324</v>
      </c>
      <c r="EP254" s="335" t="s">
        <v>324</v>
      </c>
      <c r="EQ254" s="335" t="s">
        <v>324</v>
      </c>
      <c r="ER254" s="335" t="s">
        <v>324</v>
      </c>
      <c r="ES254" s="335" t="s">
        <v>324</v>
      </c>
      <c r="FB254" s="335" t="s">
        <v>324</v>
      </c>
      <c r="FC254" s="335" t="s">
        <v>324</v>
      </c>
      <c r="FD254" s="335" t="s">
        <v>324</v>
      </c>
      <c r="FE254" s="335" t="s">
        <v>324</v>
      </c>
      <c r="FF254" s="335" t="s">
        <v>324</v>
      </c>
      <c r="FG254" s="335" t="s">
        <v>324</v>
      </c>
      <c r="FH254" s="335" t="s">
        <v>324</v>
      </c>
      <c r="FI254" s="335" t="s">
        <v>324</v>
      </c>
      <c r="FJ254" s="335" t="s">
        <v>324</v>
      </c>
      <c r="FK254" s="335" t="s">
        <v>324</v>
      </c>
      <c r="FL254" s="335" t="s">
        <v>324</v>
      </c>
      <c r="FM254" s="335" t="s">
        <v>324</v>
      </c>
      <c r="FN254" s="335" t="s">
        <v>324</v>
      </c>
      <c r="FO254" s="335" t="s">
        <v>324</v>
      </c>
      <c r="FP254" s="335" t="s">
        <v>324</v>
      </c>
      <c r="FQ254" s="335" t="s">
        <v>324</v>
      </c>
    </row>
    <row r="255" spans="1:173" s="335" customFormat="1" ht="13.95" customHeight="1">
      <c r="A255" s="335" t="s">
        <v>479</v>
      </c>
      <c r="B255" s="335" t="s">
        <v>479</v>
      </c>
      <c r="C255" s="335" t="s">
        <v>1473</v>
      </c>
      <c r="D255" s="335" t="s">
        <v>1474</v>
      </c>
      <c r="E255" s="335" t="s">
        <v>480</v>
      </c>
      <c r="F255" s="346" t="s">
        <v>785</v>
      </c>
      <c r="G255" s="335" t="s">
        <v>324</v>
      </c>
      <c r="H255" s="346">
        <v>33</v>
      </c>
      <c r="I255" s="346">
        <v>32</v>
      </c>
      <c r="J255" s="346">
        <v>30</v>
      </c>
      <c r="N255" s="346" t="s">
        <v>324</v>
      </c>
      <c r="O255" s="346" t="s">
        <v>1475</v>
      </c>
      <c r="P255" s="346" t="s">
        <v>324</v>
      </c>
      <c r="Q255" s="346" t="s">
        <v>324</v>
      </c>
      <c r="R255" s="346" t="s">
        <v>324</v>
      </c>
      <c r="S255" s="334" t="s">
        <v>1958</v>
      </c>
      <c r="T255" s="335" t="s">
        <v>1046</v>
      </c>
      <c r="U255" s="335">
        <v>12</v>
      </c>
      <c r="V255" s="335" cm="1">
        <f t="array" ref="V255">IFERROR(INDEX('Offer Statistics'!$DA$2:$DA$600,MATCH(1,(B255='Offer Statistics'!$CL$2:$CL$600)*($B$11='Offer Statistics'!$CM$2:$CM$600),0)),"/")</f>
        <v>7</v>
      </c>
      <c r="W255" s="335" cm="1">
        <f t="array" ref="W255">IFERROR(INDEX('Offer Statistics'!$CN$2:$CN$600,MATCH(1,(B255='Offer Statistics'!$CL$2:$CL$600)*($B$11='Offer Statistics'!$CM$2:$CM$600),0)),"/")</f>
        <v>38</v>
      </c>
      <c r="X255" s="335" cm="1">
        <f t="array" ref="X255">IFERROR(INDEX('Offer Statistics'!$CV$2:$CV$600,MATCH(1,(B255='Offer Statistics'!$CL$2:$CL$600)*($B$11='Offer Statistics'!$CM$2:$CM$600),0)),"/")</f>
        <v>7</v>
      </c>
      <c r="Y255" s="334">
        <f t="shared" si="376"/>
        <v>5.4285714285714288</v>
      </c>
      <c r="Z255" s="335" t="s">
        <v>1046</v>
      </c>
      <c r="AA255" s="335" t="str">
        <f>入學要求!AF264</f>
        <v>申請人須參與 能力傾向測試(Aptitude Test) 及 遞交 一份 創意作品 作品集。</v>
      </c>
      <c r="AB255" s="335" t="str">
        <f>入學要求!AG264</f>
        <v>詳情可細閱課程網站，受邀申請人亦會於電郵收到相應指示。</v>
      </c>
      <c r="AC255" s="426" t="s">
        <v>785</v>
      </c>
      <c r="AD255" s="337"/>
      <c r="AE255" s="337"/>
      <c r="AF255" s="346" t="s">
        <v>324</v>
      </c>
      <c r="AG255" s="346" t="s">
        <v>1475</v>
      </c>
      <c r="AH255" s="346" t="s">
        <v>324</v>
      </c>
      <c r="AI255" s="346" t="s">
        <v>324</v>
      </c>
      <c r="AJ255" s="346" t="s">
        <v>324</v>
      </c>
      <c r="AK255" s="335" t="s">
        <v>1481</v>
      </c>
      <c r="AL255" s="335" t="s">
        <v>1484</v>
      </c>
      <c r="AM255" s="335" t="s">
        <v>394</v>
      </c>
      <c r="AN255" s="336" t="s">
        <v>1485</v>
      </c>
      <c r="AO255" s="335" t="s">
        <v>394</v>
      </c>
      <c r="AP255" s="335" t="s">
        <v>1478</v>
      </c>
      <c r="AQ255" s="335" t="s">
        <v>1479</v>
      </c>
      <c r="AR255" s="335" t="s">
        <v>324</v>
      </c>
      <c r="AT255" s="335" t="s">
        <v>716</v>
      </c>
      <c r="AV255" s="335" t="s">
        <v>713</v>
      </c>
      <c r="AZ255" s="335" t="s">
        <v>324</v>
      </c>
      <c r="BA255" s="335" t="s">
        <v>324</v>
      </c>
      <c r="BB255" s="335" t="s">
        <v>324</v>
      </c>
      <c r="BD255" s="335" t="s">
        <v>324</v>
      </c>
      <c r="BE255" s="335" t="s">
        <v>324</v>
      </c>
      <c r="BF255" s="335" t="s">
        <v>324</v>
      </c>
      <c r="BG255" s="335" t="s">
        <v>324</v>
      </c>
      <c r="BI255" s="335" t="s">
        <v>324</v>
      </c>
      <c r="BJ255" s="335" t="s">
        <v>324</v>
      </c>
      <c r="BK255" s="335" t="s">
        <v>324</v>
      </c>
      <c r="BM255" s="335" t="s">
        <v>324</v>
      </c>
      <c r="BN255" s="335" t="s">
        <v>324</v>
      </c>
      <c r="BO255" s="335" t="s">
        <v>324</v>
      </c>
      <c r="BP255" s="335" t="s">
        <v>324</v>
      </c>
      <c r="BQ255" s="386"/>
      <c r="BR255" s="386"/>
      <c r="BS255" s="386"/>
      <c r="BT255" s="386"/>
      <c r="BU255" s="386"/>
      <c r="BV255" s="386"/>
      <c r="BW255" s="386"/>
      <c r="BX255" s="386"/>
      <c r="BY255" s="335" t="s">
        <v>324</v>
      </c>
      <c r="BZ255" s="335" t="s">
        <v>324</v>
      </c>
      <c r="CA255" s="335" t="s">
        <v>324</v>
      </c>
      <c r="CC255" s="335" t="s">
        <v>324</v>
      </c>
      <c r="CD255" s="335" t="s">
        <v>324</v>
      </c>
      <c r="CE255" s="335" t="s">
        <v>324</v>
      </c>
      <c r="CF255" s="335" t="s">
        <v>324</v>
      </c>
      <c r="CG255" s="335" t="s">
        <v>324</v>
      </c>
      <c r="CH255" s="335" t="s">
        <v>324</v>
      </c>
      <c r="CI255" s="335" t="s">
        <v>324</v>
      </c>
      <c r="CK255" s="335" t="s">
        <v>324</v>
      </c>
      <c r="CL255" s="335" t="s">
        <v>324</v>
      </c>
      <c r="CM255" s="335" t="s">
        <v>324</v>
      </c>
      <c r="CN255" s="335" t="s">
        <v>324</v>
      </c>
      <c r="CO255" s="335" t="s">
        <v>324</v>
      </c>
      <c r="CP255" s="335" t="s">
        <v>324</v>
      </c>
      <c r="CQ255" s="335" t="s">
        <v>324</v>
      </c>
      <c r="CS255" s="335" t="s">
        <v>324</v>
      </c>
      <c r="CT255" s="335" t="s">
        <v>324</v>
      </c>
      <c r="CU255" s="335" t="s">
        <v>324</v>
      </c>
      <c r="CV255" s="335" t="s">
        <v>324</v>
      </c>
      <c r="CX255" s="335" t="s">
        <v>324</v>
      </c>
      <c r="CY255" s="335" t="s">
        <v>324</v>
      </c>
      <c r="CZ255" s="335" t="s">
        <v>324</v>
      </c>
      <c r="DB255" s="335" t="s">
        <v>324</v>
      </c>
      <c r="DC255" s="335" t="s">
        <v>324</v>
      </c>
      <c r="DD255" s="335" t="s">
        <v>324</v>
      </c>
      <c r="DE255" s="335" t="s">
        <v>324</v>
      </c>
      <c r="DF255" s="386"/>
      <c r="DG255" s="386"/>
      <c r="DH255" s="386"/>
      <c r="DI255" s="386"/>
      <c r="DJ255" s="386"/>
      <c r="DK255" s="386"/>
      <c r="DL255" s="386"/>
      <c r="DM255" s="386"/>
      <c r="DN255" s="335" t="s">
        <v>324</v>
      </c>
      <c r="DO255" s="335" t="s">
        <v>324</v>
      </c>
      <c r="DP255" s="335" t="s">
        <v>324</v>
      </c>
      <c r="DR255" s="335" t="s">
        <v>324</v>
      </c>
      <c r="DS255" s="335" t="s">
        <v>324</v>
      </c>
      <c r="DT255" s="335" t="s">
        <v>324</v>
      </c>
      <c r="DU255" s="335" t="s">
        <v>324</v>
      </c>
      <c r="DV255" s="335" t="s">
        <v>324</v>
      </c>
      <c r="DW255" s="335" t="s">
        <v>324</v>
      </c>
      <c r="DX255" s="335" t="s">
        <v>324</v>
      </c>
      <c r="DZ255" s="335" t="s">
        <v>324</v>
      </c>
      <c r="EA255" s="335" t="s">
        <v>324</v>
      </c>
      <c r="EB255" s="335" t="s">
        <v>324</v>
      </c>
      <c r="EC255" s="335" t="s">
        <v>324</v>
      </c>
      <c r="ED255" s="335" t="s">
        <v>324</v>
      </c>
      <c r="EE255" s="335" t="s">
        <v>324</v>
      </c>
      <c r="EF255" s="335" t="s">
        <v>324</v>
      </c>
      <c r="EH255" s="335" t="s">
        <v>324</v>
      </c>
      <c r="EI255" s="335" t="s">
        <v>324</v>
      </c>
      <c r="EJ255" s="335" t="s">
        <v>324</v>
      </c>
      <c r="EK255" s="335" t="s">
        <v>324</v>
      </c>
      <c r="EL255" s="335" t="s">
        <v>324</v>
      </c>
      <c r="EM255" s="335" t="s">
        <v>324</v>
      </c>
      <c r="EN255" s="335" t="s">
        <v>324</v>
      </c>
      <c r="EP255" s="335" t="s">
        <v>324</v>
      </c>
      <c r="EQ255" s="335" t="s">
        <v>324</v>
      </c>
      <c r="ER255" s="335" t="s">
        <v>324</v>
      </c>
      <c r="ES255" s="335" t="s">
        <v>324</v>
      </c>
      <c r="FB255" s="335" t="s">
        <v>324</v>
      </c>
      <c r="FC255" s="335" t="s">
        <v>324</v>
      </c>
      <c r="FD255" s="335" t="s">
        <v>324</v>
      </c>
      <c r="FE255" s="335" t="s">
        <v>324</v>
      </c>
      <c r="FF255" s="335" t="s">
        <v>324</v>
      </c>
      <c r="FG255" s="335" t="s">
        <v>324</v>
      </c>
      <c r="FH255" s="335" t="s">
        <v>324</v>
      </c>
      <c r="FI255" s="335" t="s">
        <v>324</v>
      </c>
      <c r="FJ255" s="335" t="s">
        <v>324</v>
      </c>
      <c r="FK255" s="335" t="s">
        <v>324</v>
      </c>
      <c r="FL255" s="335" t="s">
        <v>324</v>
      </c>
      <c r="FM255" s="335" t="s">
        <v>324</v>
      </c>
      <c r="FN255" s="335" t="s">
        <v>324</v>
      </c>
      <c r="FO255" s="335" t="s">
        <v>324</v>
      </c>
      <c r="FP255" s="335" t="s">
        <v>324</v>
      </c>
      <c r="FQ255" s="335" t="s">
        <v>324</v>
      </c>
    </row>
    <row r="256" spans="1:173" s="335" customFormat="1" ht="13.95" customHeight="1">
      <c r="A256" s="335" t="s">
        <v>482</v>
      </c>
      <c r="B256" s="335" t="s">
        <v>482</v>
      </c>
      <c r="C256" s="335" t="s">
        <v>1473</v>
      </c>
      <c r="D256" s="335" t="s">
        <v>1474</v>
      </c>
      <c r="E256" s="335" t="s">
        <v>483</v>
      </c>
      <c r="F256" s="346" t="s">
        <v>785</v>
      </c>
      <c r="G256" s="335" t="s">
        <v>324</v>
      </c>
      <c r="H256" s="346">
        <v>31</v>
      </c>
      <c r="I256" s="346">
        <v>28</v>
      </c>
      <c r="J256" s="346">
        <v>26</v>
      </c>
      <c r="N256" s="346" t="s">
        <v>324</v>
      </c>
      <c r="O256" s="346" t="s">
        <v>1475</v>
      </c>
      <c r="P256" s="346" t="s">
        <v>324</v>
      </c>
      <c r="Q256" s="346" t="s">
        <v>324</v>
      </c>
      <c r="R256" s="346" t="s">
        <v>324</v>
      </c>
      <c r="S256" s="334" t="s">
        <v>1959</v>
      </c>
      <c r="T256" s="335" t="s">
        <v>1046</v>
      </c>
      <c r="U256" s="335">
        <v>17</v>
      </c>
      <c r="V256" s="335" cm="1">
        <f t="array" ref="V256">IFERROR(INDEX('Offer Statistics'!$DA$2:$DA$600,MATCH(1,(B256='Offer Statistics'!$CL$2:$CL$600)*($B$11='Offer Statistics'!$CM$2:$CM$600),0)),"/")</f>
        <v>21</v>
      </c>
      <c r="W256" s="335" cm="1">
        <f t="array" ref="W256">IFERROR(INDEX('Offer Statistics'!$CN$2:$CN$600,MATCH(1,(B256='Offer Statistics'!$CL$2:$CL$600)*($B$11='Offer Statistics'!$CM$2:$CM$600),0)),"/")</f>
        <v>100</v>
      </c>
      <c r="X256" s="335" cm="1">
        <f t="array" ref="X256">IFERROR(INDEX('Offer Statistics'!$CV$2:$CV$600,MATCH(1,(B256='Offer Statistics'!$CL$2:$CL$600)*($B$11='Offer Statistics'!$CM$2:$CM$600),0)),"/")</f>
        <v>21</v>
      </c>
      <c r="Y256" s="334">
        <f t="shared" si="376"/>
        <v>4.7619047619047619</v>
      </c>
      <c r="Z256" s="335" t="s">
        <v>1046</v>
      </c>
      <c r="AA256" s="335" t="str">
        <f>入學要求!AF265</f>
        <v>/</v>
      </c>
      <c r="AB256" s="335" t="str">
        <f>入學要求!AG265</f>
        <v>/</v>
      </c>
      <c r="AC256" s="426" t="s">
        <v>785</v>
      </c>
      <c r="AD256" s="337"/>
      <c r="AE256" s="337"/>
      <c r="AF256" s="346" t="s">
        <v>324</v>
      </c>
      <c r="AG256" s="346" t="s">
        <v>1475</v>
      </c>
      <c r="AH256" s="346" t="s">
        <v>324</v>
      </c>
      <c r="AI256" s="346" t="s">
        <v>324</v>
      </c>
      <c r="AJ256" s="346" t="s">
        <v>324</v>
      </c>
      <c r="AK256" s="335" t="s">
        <v>735</v>
      </c>
      <c r="AL256" s="335" t="s">
        <v>394</v>
      </c>
      <c r="AM256" s="335" t="s">
        <v>394</v>
      </c>
      <c r="AN256" s="335" t="s">
        <v>394</v>
      </c>
      <c r="AO256" s="335" t="s">
        <v>394</v>
      </c>
      <c r="AP256" s="335" t="s">
        <v>1478</v>
      </c>
      <c r="AQ256" s="335" t="s">
        <v>2526</v>
      </c>
      <c r="AR256" s="335" t="s">
        <v>324</v>
      </c>
      <c r="AT256" s="335" t="s">
        <v>716</v>
      </c>
      <c r="AV256" s="335" t="s">
        <v>713</v>
      </c>
      <c r="AZ256" s="335" t="s">
        <v>324</v>
      </c>
      <c r="BA256" s="335" t="s">
        <v>324</v>
      </c>
      <c r="BB256" s="335" t="s">
        <v>324</v>
      </c>
      <c r="BD256" s="335" t="s">
        <v>324</v>
      </c>
      <c r="BE256" s="335" t="s">
        <v>324</v>
      </c>
      <c r="BF256" s="335" t="s">
        <v>324</v>
      </c>
      <c r="BG256" s="335" t="s">
        <v>324</v>
      </c>
      <c r="BI256" s="335" t="s">
        <v>324</v>
      </c>
      <c r="BJ256" s="335" t="s">
        <v>324</v>
      </c>
      <c r="BK256" s="335" t="s">
        <v>324</v>
      </c>
      <c r="BM256" s="335" t="s">
        <v>324</v>
      </c>
      <c r="BN256" s="335" t="s">
        <v>324</v>
      </c>
      <c r="BO256" s="335" t="s">
        <v>324</v>
      </c>
      <c r="BP256" s="335" t="s">
        <v>324</v>
      </c>
      <c r="BQ256" s="386"/>
      <c r="BR256" s="386"/>
      <c r="BS256" s="386"/>
      <c r="BT256" s="386"/>
      <c r="BU256" s="386"/>
      <c r="BV256" s="386"/>
      <c r="BW256" s="386"/>
      <c r="BX256" s="386"/>
      <c r="BY256" s="335" t="s">
        <v>324</v>
      </c>
      <c r="BZ256" s="335" t="s">
        <v>324</v>
      </c>
      <c r="CA256" s="335" t="s">
        <v>324</v>
      </c>
      <c r="CC256" s="335" t="s">
        <v>324</v>
      </c>
      <c r="CD256" s="335" t="s">
        <v>324</v>
      </c>
      <c r="CE256" s="335" t="s">
        <v>324</v>
      </c>
      <c r="CF256" s="335" t="s">
        <v>324</v>
      </c>
      <c r="CG256" s="335" t="s">
        <v>324</v>
      </c>
      <c r="CH256" s="335" t="s">
        <v>324</v>
      </c>
      <c r="CI256" s="335" t="s">
        <v>324</v>
      </c>
      <c r="CK256" s="335" t="s">
        <v>324</v>
      </c>
      <c r="CL256" s="335" t="s">
        <v>324</v>
      </c>
      <c r="CM256" s="335" t="s">
        <v>324</v>
      </c>
      <c r="CN256" s="335" t="s">
        <v>324</v>
      </c>
      <c r="CO256" s="335" t="s">
        <v>324</v>
      </c>
      <c r="CP256" s="335" t="s">
        <v>324</v>
      </c>
      <c r="CQ256" s="335" t="s">
        <v>324</v>
      </c>
      <c r="CS256" s="335" t="s">
        <v>324</v>
      </c>
      <c r="CT256" s="335" t="s">
        <v>324</v>
      </c>
      <c r="CU256" s="335" t="s">
        <v>324</v>
      </c>
      <c r="CV256" s="335" t="s">
        <v>324</v>
      </c>
      <c r="CX256" s="335" t="s">
        <v>324</v>
      </c>
      <c r="CY256" s="335" t="s">
        <v>324</v>
      </c>
      <c r="CZ256" s="335" t="s">
        <v>324</v>
      </c>
      <c r="DB256" s="335" t="s">
        <v>324</v>
      </c>
      <c r="DC256" s="335" t="s">
        <v>324</v>
      </c>
      <c r="DD256" s="335" t="s">
        <v>324</v>
      </c>
      <c r="DE256" s="335" t="s">
        <v>324</v>
      </c>
      <c r="DF256" s="386"/>
      <c r="DG256" s="386"/>
      <c r="DH256" s="386"/>
      <c r="DI256" s="386"/>
      <c r="DJ256" s="386"/>
      <c r="DK256" s="386"/>
      <c r="DL256" s="386"/>
      <c r="DM256" s="386"/>
      <c r="DN256" s="335" t="s">
        <v>324</v>
      </c>
      <c r="DO256" s="335" t="s">
        <v>324</v>
      </c>
      <c r="DP256" s="335" t="s">
        <v>324</v>
      </c>
      <c r="DR256" s="335" t="s">
        <v>324</v>
      </c>
      <c r="DS256" s="335" t="s">
        <v>324</v>
      </c>
      <c r="DT256" s="335" t="s">
        <v>324</v>
      </c>
      <c r="DU256" s="335" t="s">
        <v>324</v>
      </c>
      <c r="DV256" s="335" t="s">
        <v>324</v>
      </c>
      <c r="DW256" s="335" t="s">
        <v>324</v>
      </c>
      <c r="DX256" s="335" t="s">
        <v>324</v>
      </c>
      <c r="DZ256" s="335" t="s">
        <v>324</v>
      </c>
      <c r="EA256" s="335" t="s">
        <v>324</v>
      </c>
      <c r="EB256" s="335" t="s">
        <v>324</v>
      </c>
      <c r="EC256" s="335" t="s">
        <v>324</v>
      </c>
      <c r="ED256" s="335" t="s">
        <v>324</v>
      </c>
      <c r="EE256" s="335" t="s">
        <v>324</v>
      </c>
      <c r="EF256" s="335" t="s">
        <v>324</v>
      </c>
      <c r="EH256" s="335" t="s">
        <v>324</v>
      </c>
      <c r="EI256" s="335" t="s">
        <v>324</v>
      </c>
      <c r="EJ256" s="335" t="s">
        <v>324</v>
      </c>
      <c r="EK256" s="335" t="s">
        <v>324</v>
      </c>
      <c r="EL256" s="335" t="s">
        <v>324</v>
      </c>
      <c r="EM256" s="335" t="s">
        <v>324</v>
      </c>
      <c r="EN256" s="335" t="s">
        <v>324</v>
      </c>
      <c r="EP256" s="335" t="s">
        <v>324</v>
      </c>
      <c r="EQ256" s="335" t="s">
        <v>324</v>
      </c>
      <c r="ER256" s="335" t="s">
        <v>324</v>
      </c>
      <c r="ES256" s="335" t="s">
        <v>324</v>
      </c>
      <c r="FB256" s="335" t="s">
        <v>324</v>
      </c>
      <c r="FC256" s="335" t="s">
        <v>324</v>
      </c>
      <c r="FD256" s="335" t="s">
        <v>324</v>
      </c>
      <c r="FE256" s="335" t="s">
        <v>324</v>
      </c>
      <c r="FF256" s="335" t="s">
        <v>324</v>
      </c>
      <c r="FG256" s="335" t="s">
        <v>324</v>
      </c>
      <c r="FH256" s="335" t="s">
        <v>324</v>
      </c>
      <c r="FI256" s="335" t="s">
        <v>324</v>
      </c>
      <c r="FJ256" s="335" t="s">
        <v>324</v>
      </c>
      <c r="FK256" s="335" t="s">
        <v>324</v>
      </c>
      <c r="FL256" s="335" t="s">
        <v>324</v>
      </c>
      <c r="FM256" s="335" t="s">
        <v>324</v>
      </c>
      <c r="FN256" s="335" t="s">
        <v>324</v>
      </c>
      <c r="FO256" s="335" t="s">
        <v>324</v>
      </c>
      <c r="FP256" s="335" t="s">
        <v>324</v>
      </c>
      <c r="FQ256" s="335" t="s">
        <v>324</v>
      </c>
    </row>
    <row r="257" spans="1:173" s="335" customFormat="1" ht="13.95" customHeight="1">
      <c r="A257" s="335" t="s">
        <v>484</v>
      </c>
      <c r="B257" s="335" t="s">
        <v>484</v>
      </c>
      <c r="C257" s="335" t="s">
        <v>1473</v>
      </c>
      <c r="D257" s="335" t="s">
        <v>940</v>
      </c>
      <c r="E257" s="335" t="s">
        <v>485</v>
      </c>
      <c r="F257" s="431" t="s">
        <v>785</v>
      </c>
      <c r="G257" s="335" t="s">
        <v>324</v>
      </c>
      <c r="H257" s="346">
        <v>33</v>
      </c>
      <c r="I257" s="346">
        <v>31</v>
      </c>
      <c r="J257" s="346">
        <v>29</v>
      </c>
      <c r="N257" s="346" t="s">
        <v>786</v>
      </c>
      <c r="O257" s="482" t="s">
        <v>1475</v>
      </c>
      <c r="P257" s="346" t="s">
        <v>1487</v>
      </c>
      <c r="Q257" s="346" t="s">
        <v>324</v>
      </c>
      <c r="R257" s="346" t="s">
        <v>324</v>
      </c>
      <c r="S257" s="334" t="s">
        <v>942</v>
      </c>
      <c r="T257" s="335" t="s">
        <v>1046</v>
      </c>
      <c r="U257" s="335">
        <v>217</v>
      </c>
      <c r="V257" s="335" cm="1">
        <f t="array" ref="V257">IFERROR(INDEX('Offer Statistics'!$DA$2:$DA$600,MATCH(1,(B257='Offer Statistics'!$CL$2:$CL$600)*($B$11='Offer Statistics'!$CM$2:$CM$600),0)),"/")</f>
        <v>176</v>
      </c>
      <c r="W257" s="335" cm="1">
        <f t="array" ref="W257">IFERROR(INDEX('Offer Statistics'!$CN$2:$CN$600,MATCH(1,(B257='Offer Statistics'!$CL$2:$CL$600)*($B$11='Offer Statistics'!$CM$2:$CM$600),0)),"/")</f>
        <v>884</v>
      </c>
      <c r="X257" s="335" cm="1">
        <f t="array" ref="X257">IFERROR(INDEX('Offer Statistics'!$CV$2:$CV$600,MATCH(1,(B257='Offer Statistics'!$CL$2:$CL$600)*($B$11='Offer Statistics'!$CM$2:$CM$600),0)),"/")</f>
        <v>176</v>
      </c>
      <c r="Y257" s="334">
        <f t="shared" si="376"/>
        <v>5.0227272727272725</v>
      </c>
      <c r="Z257" s="335" t="s">
        <v>1046</v>
      </c>
      <c r="AA257" s="335" t="str">
        <f>入學要求!AF266</f>
        <v>/</v>
      </c>
      <c r="AB257" s="335" t="str">
        <f>入學要求!AG266</f>
        <v>/</v>
      </c>
      <c r="AC257" s="431" t="s">
        <v>11</v>
      </c>
      <c r="AD257" s="337" t="s">
        <v>3160</v>
      </c>
      <c r="AE257" s="337"/>
      <c r="AF257" s="485" t="s">
        <v>786</v>
      </c>
      <c r="AG257" s="431" t="s">
        <v>1489</v>
      </c>
      <c r="AH257" s="431" t="s">
        <v>770</v>
      </c>
      <c r="AI257" s="431" t="s">
        <v>873</v>
      </c>
      <c r="AJ257" s="346" t="s">
        <v>324</v>
      </c>
      <c r="AK257" s="335" t="s">
        <v>1490</v>
      </c>
      <c r="AL257" s="335" t="s">
        <v>1482</v>
      </c>
      <c r="AM257" s="335" t="s">
        <v>394</v>
      </c>
      <c r="AP257" s="335" t="s">
        <v>1478</v>
      </c>
      <c r="AQ257" s="335" t="s">
        <v>1479</v>
      </c>
      <c r="AR257" s="335" t="s">
        <v>324</v>
      </c>
      <c r="AT257" s="335" t="s">
        <v>716</v>
      </c>
      <c r="AV257" s="335" t="s">
        <v>713</v>
      </c>
      <c r="AZ257" s="335" t="s">
        <v>324</v>
      </c>
      <c r="BA257" s="335" t="s">
        <v>324</v>
      </c>
      <c r="BB257" s="335" t="s">
        <v>324</v>
      </c>
      <c r="BD257" s="335" t="s">
        <v>324</v>
      </c>
      <c r="BE257" s="335" t="s">
        <v>324</v>
      </c>
      <c r="BF257" s="335" t="s">
        <v>324</v>
      </c>
      <c r="BG257" s="335" t="s">
        <v>324</v>
      </c>
      <c r="BI257" s="335" t="s">
        <v>324</v>
      </c>
      <c r="BJ257" s="335" t="s">
        <v>324</v>
      </c>
      <c r="BK257" s="335" t="s">
        <v>324</v>
      </c>
      <c r="BM257" s="335" t="s">
        <v>324</v>
      </c>
      <c r="BN257" s="335" t="s">
        <v>324</v>
      </c>
      <c r="BO257" s="335" t="s">
        <v>324</v>
      </c>
      <c r="BP257" s="335" t="s">
        <v>324</v>
      </c>
      <c r="BQ257" s="386"/>
      <c r="BR257" s="386"/>
      <c r="BS257" s="386"/>
      <c r="BT257" s="386"/>
      <c r="BU257" s="386"/>
      <c r="BV257" s="386"/>
      <c r="BW257" s="386"/>
      <c r="BX257" s="386"/>
      <c r="BY257" s="335" t="s">
        <v>324</v>
      </c>
      <c r="BZ257" s="335" t="s">
        <v>324</v>
      </c>
      <c r="CA257" s="335" t="s">
        <v>324</v>
      </c>
      <c r="CC257" s="335" t="s">
        <v>324</v>
      </c>
      <c r="CD257" s="335" t="s">
        <v>324</v>
      </c>
      <c r="CE257" s="335" t="s">
        <v>324</v>
      </c>
      <c r="CF257" s="335" t="s">
        <v>324</v>
      </c>
      <c r="CG257" s="335" t="s">
        <v>324</v>
      </c>
      <c r="CH257" s="335" t="s">
        <v>324</v>
      </c>
      <c r="CI257" s="335" t="s">
        <v>324</v>
      </c>
      <c r="CK257" s="335" t="s">
        <v>324</v>
      </c>
      <c r="CL257" s="335" t="s">
        <v>324</v>
      </c>
      <c r="CM257" s="335" t="s">
        <v>324</v>
      </c>
      <c r="CN257" s="335" t="s">
        <v>324</v>
      </c>
      <c r="CO257" s="335" t="s">
        <v>324</v>
      </c>
      <c r="CP257" s="335" t="s">
        <v>324</v>
      </c>
      <c r="CQ257" s="335" t="s">
        <v>324</v>
      </c>
      <c r="CS257" s="335" t="s">
        <v>324</v>
      </c>
      <c r="CT257" s="335" t="s">
        <v>324</v>
      </c>
      <c r="CU257" s="335" t="s">
        <v>324</v>
      </c>
      <c r="CV257" s="335" t="s">
        <v>324</v>
      </c>
      <c r="CX257" s="335" t="s">
        <v>324</v>
      </c>
      <c r="CY257" s="335" t="s">
        <v>324</v>
      </c>
      <c r="CZ257" s="335" t="s">
        <v>324</v>
      </c>
      <c r="DB257" s="335" t="s">
        <v>324</v>
      </c>
      <c r="DC257" s="335" t="s">
        <v>324</v>
      </c>
      <c r="DD257" s="335" t="s">
        <v>324</v>
      </c>
      <c r="DE257" s="335" t="s">
        <v>324</v>
      </c>
      <c r="DF257" s="386"/>
      <c r="DG257" s="386"/>
      <c r="DH257" s="386"/>
      <c r="DI257" s="386"/>
      <c r="DJ257" s="386"/>
      <c r="DK257" s="386"/>
      <c r="DL257" s="386"/>
      <c r="DM257" s="386"/>
      <c r="DN257" s="335" t="s">
        <v>324</v>
      </c>
      <c r="DO257" s="335" t="s">
        <v>324</v>
      </c>
      <c r="DP257" s="335" t="s">
        <v>324</v>
      </c>
      <c r="DR257" s="335" t="s">
        <v>324</v>
      </c>
      <c r="DS257" s="335" t="s">
        <v>324</v>
      </c>
      <c r="DT257" s="335" t="s">
        <v>324</v>
      </c>
      <c r="DU257" s="335" t="s">
        <v>324</v>
      </c>
      <c r="DV257" s="335" t="s">
        <v>324</v>
      </c>
      <c r="DW257" s="335" t="s">
        <v>324</v>
      </c>
      <c r="DX257" s="335" t="s">
        <v>324</v>
      </c>
      <c r="DZ257" s="335" t="s">
        <v>324</v>
      </c>
      <c r="EA257" s="335" t="s">
        <v>324</v>
      </c>
      <c r="EB257" s="335" t="s">
        <v>324</v>
      </c>
      <c r="EC257" s="335" t="s">
        <v>324</v>
      </c>
      <c r="ED257" s="335" t="s">
        <v>324</v>
      </c>
      <c r="EE257" s="335" t="s">
        <v>324</v>
      </c>
      <c r="EF257" s="335" t="s">
        <v>324</v>
      </c>
      <c r="EH257" s="335" t="s">
        <v>324</v>
      </c>
      <c r="EI257" s="335" t="s">
        <v>324</v>
      </c>
      <c r="EJ257" s="335" t="s">
        <v>324</v>
      </c>
      <c r="EK257" s="335" t="s">
        <v>324</v>
      </c>
      <c r="EL257" s="335" t="s">
        <v>324</v>
      </c>
      <c r="EM257" s="335" t="s">
        <v>324</v>
      </c>
      <c r="EN257" s="335" t="s">
        <v>324</v>
      </c>
      <c r="EP257" s="335" t="s">
        <v>324</v>
      </c>
      <c r="EQ257" s="335" t="s">
        <v>324</v>
      </c>
      <c r="ER257" s="335" t="s">
        <v>324</v>
      </c>
      <c r="ES257" s="335" t="s">
        <v>324</v>
      </c>
      <c r="FB257" s="335" t="s">
        <v>324</v>
      </c>
      <c r="FC257" s="335" t="s">
        <v>324</v>
      </c>
      <c r="FD257" s="335" t="s">
        <v>324</v>
      </c>
      <c r="FE257" s="335" t="s">
        <v>324</v>
      </c>
      <c r="FF257" s="335" t="s">
        <v>324</v>
      </c>
      <c r="FG257" s="335" t="s">
        <v>324</v>
      </c>
      <c r="FH257" s="335" t="s">
        <v>324</v>
      </c>
      <c r="FI257" s="335" t="s">
        <v>324</v>
      </c>
      <c r="FJ257" s="335" t="s">
        <v>324</v>
      </c>
      <c r="FK257" s="335" t="s">
        <v>324</v>
      </c>
      <c r="FL257" s="335" t="s">
        <v>324</v>
      </c>
      <c r="FM257" s="335" t="s">
        <v>324</v>
      </c>
      <c r="FN257" s="335" t="s">
        <v>324</v>
      </c>
      <c r="FO257" s="335" t="s">
        <v>324</v>
      </c>
      <c r="FP257" s="335" t="s">
        <v>324</v>
      </c>
      <c r="FQ257" s="335" t="s">
        <v>324</v>
      </c>
    </row>
    <row r="258" spans="1:173" s="335" customFormat="1" ht="13.95" customHeight="1">
      <c r="A258" s="335" t="s">
        <v>2810</v>
      </c>
      <c r="B258" s="335" t="s">
        <v>2810</v>
      </c>
      <c r="C258" s="335" t="s">
        <v>1473</v>
      </c>
      <c r="D258" s="335" t="s">
        <v>940</v>
      </c>
      <c r="E258" s="335" t="s">
        <v>2812</v>
      </c>
      <c r="F258" s="431" t="s">
        <v>2940</v>
      </c>
      <c r="G258" s="335" t="s">
        <v>324</v>
      </c>
      <c r="H258" s="346" t="s">
        <v>324</v>
      </c>
      <c r="I258" s="346" t="s">
        <v>324</v>
      </c>
      <c r="J258" s="346" t="s">
        <v>324</v>
      </c>
      <c r="N258" s="346" t="s">
        <v>324</v>
      </c>
      <c r="O258" s="346" t="s">
        <v>324</v>
      </c>
      <c r="P258" s="346" t="s">
        <v>324</v>
      </c>
      <c r="Q258" s="346" t="s">
        <v>324</v>
      </c>
      <c r="R258" s="346" t="s">
        <v>324</v>
      </c>
      <c r="S258" s="334" t="s">
        <v>2811</v>
      </c>
      <c r="T258" s="335" t="s">
        <v>1046</v>
      </c>
      <c r="U258" s="335">
        <v>20</v>
      </c>
      <c r="V258" s="335" t="str" cm="1">
        <f t="array" ref="V258">IFERROR(INDEX('Offer Statistics'!$DA$2:$DA$600,MATCH(1,(B258='Offer Statistics'!$CL$2:$CL$600)*($B$11='Offer Statistics'!$CM$2:$CM$600),0)),"/")</f>
        <v>/</v>
      </c>
      <c r="W258" s="335" t="str" cm="1">
        <f t="array" ref="W258">IFERROR(INDEX('Offer Statistics'!$CN$2:$CN$600,MATCH(1,(B258='Offer Statistics'!$CL$2:$CL$600)*($B$11='Offer Statistics'!$CM$2:$CM$600),0)),"/")</f>
        <v>/</v>
      </c>
      <c r="X258" s="335" t="str" cm="1">
        <f t="array" ref="X258">IFERROR(INDEX('Offer Statistics'!$CV$2:$CV$600,MATCH(1,(B258='Offer Statistics'!$CL$2:$CL$600)*($B$11='Offer Statistics'!$CM$2:$CM$600),0)),"/")</f>
        <v>/</v>
      </c>
      <c r="Y258" s="334" t="str">
        <f t="shared" si="376"/>
        <v>新科目</v>
      </c>
      <c r="Z258" s="335" t="s">
        <v>1046</v>
      </c>
      <c r="AA258" s="335" t="str">
        <f>入學要求!AF267</f>
        <v>/</v>
      </c>
      <c r="AC258" s="484" t="s">
        <v>11</v>
      </c>
      <c r="AD258" s="337"/>
      <c r="AE258" s="337"/>
      <c r="AF258" s="485" t="s">
        <v>786</v>
      </c>
      <c r="AG258" s="359"/>
      <c r="AH258" s="346" t="s">
        <v>324</v>
      </c>
      <c r="AI258" s="346" t="s">
        <v>324</v>
      </c>
      <c r="AJ258" s="346" t="s">
        <v>324</v>
      </c>
      <c r="AT258" s="335" t="s">
        <v>716</v>
      </c>
      <c r="AV258" s="335" t="s">
        <v>713</v>
      </c>
      <c r="BQ258" s="386"/>
      <c r="BR258" s="386"/>
      <c r="BS258" s="386"/>
      <c r="BT258" s="386"/>
      <c r="BU258" s="386"/>
      <c r="BV258" s="386"/>
      <c r="BW258" s="386"/>
      <c r="BX258" s="386"/>
      <c r="DF258" s="386"/>
      <c r="DG258" s="386"/>
      <c r="DH258" s="386"/>
      <c r="DI258" s="386"/>
      <c r="DJ258" s="386"/>
      <c r="DK258" s="386"/>
      <c r="DL258" s="386"/>
      <c r="DM258" s="386"/>
    </row>
    <row r="259" spans="1:173" s="335" customFormat="1" ht="13.95" customHeight="1">
      <c r="A259" s="335" t="s">
        <v>486</v>
      </c>
      <c r="B259" s="335" t="s">
        <v>486</v>
      </c>
      <c r="C259" s="335" t="s">
        <v>1473</v>
      </c>
      <c r="D259" s="335" t="s">
        <v>940</v>
      </c>
      <c r="E259" s="335" t="s">
        <v>487</v>
      </c>
      <c r="F259" s="431" t="s">
        <v>785</v>
      </c>
      <c r="G259" s="335" t="s">
        <v>324</v>
      </c>
      <c r="H259" s="346">
        <v>34</v>
      </c>
      <c r="I259" s="346">
        <v>32</v>
      </c>
      <c r="J259" s="346">
        <v>30</v>
      </c>
      <c r="N259" s="346" t="s">
        <v>786</v>
      </c>
      <c r="O259" s="346" t="s">
        <v>1475</v>
      </c>
      <c r="P259" s="346" t="s">
        <v>1487</v>
      </c>
      <c r="Q259" s="346" t="s">
        <v>324</v>
      </c>
      <c r="R259" s="346" t="s">
        <v>324</v>
      </c>
      <c r="S259" s="334" t="s">
        <v>1491</v>
      </c>
      <c r="T259" s="335" t="s">
        <v>1046</v>
      </c>
      <c r="U259" s="335">
        <v>30</v>
      </c>
      <c r="V259" s="335" cm="1">
        <f t="array" ref="V259">IFERROR(INDEX('Offer Statistics'!$DA$2:$DA$600,MATCH(1,(B259='Offer Statistics'!$CL$2:$CL$600)*($B$11='Offer Statistics'!$CM$2:$CM$600),0)),"/")</f>
        <v>15</v>
      </c>
      <c r="W259" s="335" cm="1">
        <f t="array" ref="W259">IFERROR(INDEX('Offer Statistics'!$CN$2:$CN$600,MATCH(1,(B259='Offer Statistics'!$CL$2:$CL$600)*($B$11='Offer Statistics'!$CM$2:$CM$600),0)),"/")</f>
        <v>46</v>
      </c>
      <c r="X259" s="335" cm="1">
        <f t="array" ref="X259">IFERROR(INDEX('Offer Statistics'!$CV$2:$CV$600,MATCH(1,(B259='Offer Statistics'!$CL$2:$CL$600)*($B$11='Offer Statistics'!$CM$2:$CM$600),0)),"/")</f>
        <v>15</v>
      </c>
      <c r="Y259" s="334">
        <f t="shared" si="376"/>
        <v>3.0666666666666669</v>
      </c>
      <c r="Z259" s="335" t="s">
        <v>1046</v>
      </c>
      <c r="AA259" s="335" t="str">
        <f>入學要求!AF268</f>
        <v>/</v>
      </c>
      <c r="AB259" s="335" t="str">
        <f>入學要求!AG268</f>
        <v>/</v>
      </c>
      <c r="AC259" s="431" t="s">
        <v>11</v>
      </c>
      <c r="AD259" s="337" t="s">
        <v>3160</v>
      </c>
      <c r="AE259" s="337"/>
      <c r="AF259" s="483" t="s">
        <v>786</v>
      </c>
      <c r="AG259" s="427" t="s">
        <v>1489</v>
      </c>
      <c r="AH259" s="427" t="s">
        <v>770</v>
      </c>
      <c r="AI259" s="427" t="s">
        <v>873</v>
      </c>
      <c r="AJ259" s="346" t="s">
        <v>324</v>
      </c>
      <c r="AK259" s="335" t="s">
        <v>735</v>
      </c>
      <c r="AL259" s="335" t="s">
        <v>1490</v>
      </c>
      <c r="AM259" s="335" t="s">
        <v>1482</v>
      </c>
      <c r="AP259" s="335" t="s">
        <v>1478</v>
      </c>
      <c r="AQ259" s="335" t="s">
        <v>1479</v>
      </c>
      <c r="AR259" s="335" t="s">
        <v>324</v>
      </c>
      <c r="AT259" s="335" t="s">
        <v>716</v>
      </c>
      <c r="AV259" s="335" t="s">
        <v>713</v>
      </c>
      <c r="AZ259" s="335" t="s">
        <v>324</v>
      </c>
      <c r="BA259" s="335" t="s">
        <v>324</v>
      </c>
      <c r="BB259" s="335" t="s">
        <v>324</v>
      </c>
      <c r="BD259" s="335" t="s">
        <v>324</v>
      </c>
      <c r="BE259" s="335" t="s">
        <v>324</v>
      </c>
      <c r="BF259" s="335" t="s">
        <v>324</v>
      </c>
      <c r="BG259" s="335" t="s">
        <v>324</v>
      </c>
      <c r="BI259" s="335" t="s">
        <v>324</v>
      </c>
      <c r="BJ259" s="335" t="s">
        <v>324</v>
      </c>
      <c r="BK259" s="335" t="s">
        <v>324</v>
      </c>
      <c r="BM259" s="335" t="s">
        <v>324</v>
      </c>
      <c r="BN259" s="335" t="s">
        <v>324</v>
      </c>
      <c r="BO259" s="335" t="s">
        <v>324</v>
      </c>
      <c r="BP259" s="335" t="s">
        <v>324</v>
      </c>
      <c r="BQ259" s="386"/>
      <c r="BR259" s="386"/>
      <c r="BS259" s="386"/>
      <c r="BT259" s="386"/>
      <c r="BU259" s="386"/>
      <c r="BV259" s="386"/>
      <c r="BW259" s="386"/>
      <c r="BX259" s="386"/>
      <c r="BY259" s="335" t="s">
        <v>324</v>
      </c>
      <c r="BZ259" s="335" t="s">
        <v>324</v>
      </c>
      <c r="CA259" s="335" t="s">
        <v>324</v>
      </c>
      <c r="CC259" s="335" t="s">
        <v>324</v>
      </c>
      <c r="CD259" s="335" t="s">
        <v>324</v>
      </c>
      <c r="CE259" s="335" t="s">
        <v>324</v>
      </c>
      <c r="CF259" s="335" t="s">
        <v>324</v>
      </c>
      <c r="CG259" s="335" t="s">
        <v>324</v>
      </c>
      <c r="CH259" s="335" t="s">
        <v>324</v>
      </c>
      <c r="CI259" s="335" t="s">
        <v>324</v>
      </c>
      <c r="CK259" s="335" t="s">
        <v>324</v>
      </c>
      <c r="CL259" s="335" t="s">
        <v>324</v>
      </c>
      <c r="CM259" s="335" t="s">
        <v>324</v>
      </c>
      <c r="CN259" s="335" t="s">
        <v>324</v>
      </c>
      <c r="CO259" s="335" t="s">
        <v>324</v>
      </c>
      <c r="CP259" s="335" t="s">
        <v>324</v>
      </c>
      <c r="CQ259" s="335" t="s">
        <v>324</v>
      </c>
      <c r="CS259" s="335" t="s">
        <v>324</v>
      </c>
      <c r="CT259" s="335" t="s">
        <v>324</v>
      </c>
      <c r="CU259" s="335" t="s">
        <v>324</v>
      </c>
      <c r="CV259" s="335" t="s">
        <v>324</v>
      </c>
      <c r="CX259" s="335" t="s">
        <v>324</v>
      </c>
      <c r="CY259" s="335" t="s">
        <v>324</v>
      </c>
      <c r="CZ259" s="335" t="s">
        <v>324</v>
      </c>
      <c r="DB259" s="335" t="s">
        <v>324</v>
      </c>
      <c r="DC259" s="335" t="s">
        <v>324</v>
      </c>
      <c r="DD259" s="335" t="s">
        <v>324</v>
      </c>
      <c r="DE259" s="335" t="s">
        <v>324</v>
      </c>
      <c r="DF259" s="386"/>
      <c r="DG259" s="386"/>
      <c r="DH259" s="386"/>
      <c r="DI259" s="386"/>
      <c r="DJ259" s="386"/>
      <c r="DK259" s="386"/>
      <c r="DL259" s="386"/>
      <c r="DM259" s="386"/>
      <c r="DN259" s="335" t="s">
        <v>324</v>
      </c>
      <c r="DO259" s="335" t="s">
        <v>324</v>
      </c>
      <c r="DP259" s="335" t="s">
        <v>324</v>
      </c>
      <c r="DR259" s="335" t="s">
        <v>324</v>
      </c>
      <c r="DS259" s="335" t="s">
        <v>324</v>
      </c>
      <c r="DT259" s="335" t="s">
        <v>324</v>
      </c>
      <c r="DU259" s="335" t="s">
        <v>324</v>
      </c>
      <c r="DV259" s="335" t="s">
        <v>324</v>
      </c>
      <c r="DW259" s="335" t="s">
        <v>324</v>
      </c>
      <c r="DX259" s="335" t="s">
        <v>324</v>
      </c>
      <c r="DZ259" s="335" t="s">
        <v>324</v>
      </c>
      <c r="EA259" s="335" t="s">
        <v>324</v>
      </c>
      <c r="EB259" s="335" t="s">
        <v>324</v>
      </c>
      <c r="EC259" s="335" t="s">
        <v>324</v>
      </c>
      <c r="ED259" s="335" t="s">
        <v>324</v>
      </c>
      <c r="EE259" s="335" t="s">
        <v>324</v>
      </c>
      <c r="EF259" s="335" t="s">
        <v>324</v>
      </c>
      <c r="EH259" s="335" t="s">
        <v>324</v>
      </c>
      <c r="EI259" s="335" t="s">
        <v>324</v>
      </c>
      <c r="EJ259" s="335" t="s">
        <v>324</v>
      </c>
      <c r="EK259" s="335" t="s">
        <v>324</v>
      </c>
      <c r="EL259" s="335" t="s">
        <v>324</v>
      </c>
      <c r="EM259" s="335" t="s">
        <v>324</v>
      </c>
      <c r="EN259" s="335" t="s">
        <v>324</v>
      </c>
      <c r="EP259" s="335" t="s">
        <v>324</v>
      </c>
      <c r="EQ259" s="335" t="s">
        <v>324</v>
      </c>
      <c r="ER259" s="335" t="s">
        <v>324</v>
      </c>
      <c r="ES259" s="335" t="s">
        <v>324</v>
      </c>
      <c r="FB259" s="335" t="s">
        <v>324</v>
      </c>
      <c r="FC259" s="335" t="s">
        <v>324</v>
      </c>
      <c r="FD259" s="335" t="s">
        <v>324</v>
      </c>
      <c r="FE259" s="335" t="s">
        <v>324</v>
      </c>
      <c r="FF259" s="335" t="s">
        <v>324</v>
      </c>
      <c r="FG259" s="335" t="s">
        <v>324</v>
      </c>
      <c r="FH259" s="335" t="s">
        <v>324</v>
      </c>
      <c r="FI259" s="335" t="s">
        <v>324</v>
      </c>
      <c r="FJ259" s="335" t="s">
        <v>324</v>
      </c>
      <c r="FK259" s="335" t="s">
        <v>324</v>
      </c>
      <c r="FL259" s="335" t="s">
        <v>324</v>
      </c>
      <c r="FM259" s="335" t="s">
        <v>324</v>
      </c>
      <c r="FN259" s="335" t="s">
        <v>324</v>
      </c>
      <c r="FO259" s="335" t="s">
        <v>324</v>
      </c>
      <c r="FP259" s="335" t="s">
        <v>324</v>
      </c>
      <c r="FQ259" s="335" t="s">
        <v>324</v>
      </c>
    </row>
    <row r="260" spans="1:173" s="335" customFormat="1" ht="13.95" customHeight="1">
      <c r="A260" s="335" t="s">
        <v>2813</v>
      </c>
      <c r="B260" s="335" t="s">
        <v>2813</v>
      </c>
      <c r="C260" s="335" t="s">
        <v>1473</v>
      </c>
      <c r="D260" s="335" t="s">
        <v>940</v>
      </c>
      <c r="E260" s="335" t="s">
        <v>2815</v>
      </c>
      <c r="F260" s="431" t="s">
        <v>2940</v>
      </c>
      <c r="G260" s="335" t="s">
        <v>324</v>
      </c>
      <c r="H260" s="346" t="s">
        <v>324</v>
      </c>
      <c r="I260" s="346" t="s">
        <v>324</v>
      </c>
      <c r="J260" s="346" t="s">
        <v>324</v>
      </c>
      <c r="N260" s="346" t="s">
        <v>324</v>
      </c>
      <c r="O260" s="346" t="s">
        <v>324</v>
      </c>
      <c r="P260" s="346" t="s">
        <v>324</v>
      </c>
      <c r="Q260" s="346" t="s">
        <v>324</v>
      </c>
      <c r="R260" s="346" t="s">
        <v>324</v>
      </c>
      <c r="S260" s="334" t="s">
        <v>2814</v>
      </c>
      <c r="T260" s="335" t="s">
        <v>1046</v>
      </c>
      <c r="U260" s="335">
        <v>20</v>
      </c>
      <c r="V260" s="335" t="str" cm="1">
        <f t="array" ref="V260">IFERROR(INDEX('Offer Statistics'!$DA$2:$DA$600,MATCH(1,(B260='Offer Statistics'!$CL$2:$CL$600)*($B$11='Offer Statistics'!$CM$2:$CM$600),0)),"/")</f>
        <v>/</v>
      </c>
      <c r="W260" s="335" t="str" cm="1">
        <f t="array" ref="W260">IFERROR(INDEX('Offer Statistics'!$CN$2:$CN$600,MATCH(1,(B260='Offer Statistics'!$CL$2:$CL$600)*($B$11='Offer Statistics'!$CM$2:$CM$600),0)),"/")</f>
        <v>/</v>
      </c>
      <c r="X260" s="335" t="str" cm="1">
        <f t="array" ref="X260">IFERROR(INDEX('Offer Statistics'!$CV$2:$CV$600,MATCH(1,(B260='Offer Statistics'!$CL$2:$CL$600)*($B$11='Offer Statistics'!$CM$2:$CM$600),0)),"/")</f>
        <v>/</v>
      </c>
      <c r="Y260" s="334" t="str">
        <f t="shared" si="376"/>
        <v>新科目</v>
      </c>
      <c r="Z260" s="335" t="s">
        <v>1046</v>
      </c>
      <c r="AA260" s="335" t="str">
        <f>入學要求!AF269</f>
        <v>以下一科選修取得Lv.3︰生物、化學、物理、經濟、ICT</v>
      </c>
      <c r="AC260" s="431" t="s">
        <v>11</v>
      </c>
      <c r="AD260" s="337"/>
      <c r="AE260" s="337"/>
      <c r="AF260" s="427" t="s">
        <v>886</v>
      </c>
      <c r="AG260" s="427"/>
      <c r="AH260" s="427" t="s">
        <v>3134</v>
      </c>
      <c r="AI260" s="427" t="s">
        <v>3135</v>
      </c>
      <c r="AJ260" s="427" t="s">
        <v>3136</v>
      </c>
      <c r="AT260" s="335" t="s">
        <v>716</v>
      </c>
      <c r="AV260" s="335" t="s">
        <v>713</v>
      </c>
      <c r="BQ260" s="386"/>
      <c r="BR260" s="386"/>
      <c r="BS260" s="386"/>
      <c r="BT260" s="386"/>
      <c r="BU260" s="386"/>
      <c r="BV260" s="386"/>
      <c r="BW260" s="386"/>
      <c r="BX260" s="386"/>
      <c r="DF260" s="386"/>
      <c r="DG260" s="386"/>
      <c r="DH260" s="386"/>
      <c r="DI260" s="386"/>
      <c r="DJ260" s="386"/>
      <c r="DK260" s="386"/>
      <c r="DL260" s="386"/>
      <c r="DM260" s="386"/>
    </row>
    <row r="261" spans="1:173" s="335" customFormat="1" ht="13.95" customHeight="1">
      <c r="A261" s="335" t="s">
        <v>353</v>
      </c>
      <c r="B261" s="335" t="s">
        <v>353</v>
      </c>
      <c r="C261" s="335" t="s">
        <v>1473</v>
      </c>
      <c r="D261" s="335" t="s">
        <v>1492</v>
      </c>
      <c r="E261" s="335" t="s">
        <v>2117</v>
      </c>
      <c r="F261" s="425" t="s">
        <v>785</v>
      </c>
      <c r="G261" s="335" t="s">
        <v>324</v>
      </c>
      <c r="H261" s="346">
        <v>34</v>
      </c>
      <c r="I261" s="346">
        <v>33</v>
      </c>
      <c r="J261" s="346">
        <v>32</v>
      </c>
      <c r="N261" s="346" t="s">
        <v>886</v>
      </c>
      <c r="O261" s="346" t="s">
        <v>2474</v>
      </c>
      <c r="P261" s="346" t="s">
        <v>1377</v>
      </c>
      <c r="Q261" s="346" t="s">
        <v>2475</v>
      </c>
      <c r="R261" s="346" t="s">
        <v>324</v>
      </c>
      <c r="S261" s="334" t="s">
        <v>964</v>
      </c>
      <c r="T261" s="335" t="s">
        <v>1046</v>
      </c>
      <c r="U261" s="335" t="s">
        <v>3156</v>
      </c>
      <c r="V261" s="335" cm="1">
        <f t="array" ref="V261">IFERROR(INDEX('Offer Statistics'!$DA$2:$DA$600,MATCH(1,(B261='Offer Statistics'!$CL$2:$CL$600)*($B$11='Offer Statistics'!$CM$2:$CM$600),0)),"/")</f>
        <v>53</v>
      </c>
      <c r="W261" s="335" cm="1">
        <f t="array" ref="W261">IFERROR(INDEX('Offer Statistics'!$CN$2:$CN$600,MATCH(1,(B261='Offer Statistics'!$CL$2:$CL$600)*($B$11='Offer Statistics'!$CM$2:$CM$600),0)),"/")</f>
        <v>472</v>
      </c>
      <c r="X261" s="335" cm="1">
        <f t="array" ref="X261">IFERROR(INDEX('Offer Statistics'!$CV$2:$CV$600,MATCH(1,(B261='Offer Statistics'!$CL$2:$CL$600)*($B$11='Offer Statistics'!$CM$2:$CM$600),0)),"/")</f>
        <v>53</v>
      </c>
      <c r="Y261" s="334">
        <f t="shared" si="376"/>
        <v>8.9056603773584904</v>
      </c>
      <c r="Z261" s="335" t="s">
        <v>1046</v>
      </c>
      <c r="AA261" s="335" t="str">
        <f>入學要求!AF270</f>
        <v>/</v>
      </c>
      <c r="AB261" s="335" t="str">
        <f>入學要求!AG270</f>
        <v>/</v>
      </c>
      <c r="AC261" s="425" t="s">
        <v>785</v>
      </c>
      <c r="AD261" s="359"/>
      <c r="AE261" s="359"/>
      <c r="AF261" s="426" t="s">
        <v>886</v>
      </c>
      <c r="AG261" s="426" t="s">
        <v>2474</v>
      </c>
      <c r="AH261" s="426" t="s">
        <v>1377</v>
      </c>
      <c r="AI261" s="426" t="s">
        <v>2475</v>
      </c>
      <c r="AJ261" s="426" t="s">
        <v>324</v>
      </c>
      <c r="AK261" s="335" t="s">
        <v>735</v>
      </c>
      <c r="AL261" s="335" t="s">
        <v>1490</v>
      </c>
      <c r="AM261" s="335" t="s">
        <v>1482</v>
      </c>
      <c r="AN261" s="335" t="s">
        <v>1495</v>
      </c>
      <c r="AP261" s="335" t="s">
        <v>1478</v>
      </c>
      <c r="AQ261" s="335" t="s">
        <v>2527</v>
      </c>
      <c r="AR261" s="335" t="s">
        <v>324</v>
      </c>
      <c r="AT261" s="335" t="s">
        <v>716</v>
      </c>
      <c r="AV261" s="335" t="s">
        <v>713</v>
      </c>
      <c r="AZ261" s="335" t="s">
        <v>324</v>
      </c>
      <c r="BA261" s="335" t="s">
        <v>324</v>
      </c>
      <c r="BB261" s="335" t="s">
        <v>324</v>
      </c>
      <c r="BD261" s="335" t="s">
        <v>324</v>
      </c>
      <c r="BE261" s="335" t="s">
        <v>324</v>
      </c>
      <c r="BF261" s="335" t="s">
        <v>324</v>
      </c>
      <c r="BG261" s="335" t="s">
        <v>324</v>
      </c>
      <c r="BI261" s="335" t="s">
        <v>324</v>
      </c>
      <c r="BJ261" s="335" t="s">
        <v>324</v>
      </c>
      <c r="BK261" s="335" t="s">
        <v>324</v>
      </c>
      <c r="BM261" s="335" t="s">
        <v>324</v>
      </c>
      <c r="BN261" s="335" t="s">
        <v>324</v>
      </c>
      <c r="BO261" s="335" t="s">
        <v>324</v>
      </c>
      <c r="BP261" s="335" t="s">
        <v>324</v>
      </c>
      <c r="BQ261" s="386"/>
      <c r="BR261" s="386"/>
      <c r="BS261" s="386"/>
      <c r="BT261" s="386"/>
      <c r="BU261" s="386"/>
      <c r="BV261" s="386"/>
      <c r="BW261" s="386"/>
      <c r="BX261" s="386"/>
      <c r="BY261" s="335" t="s">
        <v>324</v>
      </c>
      <c r="BZ261" s="335" t="s">
        <v>324</v>
      </c>
      <c r="CA261" s="335" t="s">
        <v>324</v>
      </c>
      <c r="CC261" s="335" t="s">
        <v>324</v>
      </c>
      <c r="CD261" s="335" t="s">
        <v>324</v>
      </c>
      <c r="CE261" s="335" t="s">
        <v>324</v>
      </c>
      <c r="CF261" s="335" t="s">
        <v>324</v>
      </c>
      <c r="CG261" s="335" t="s">
        <v>324</v>
      </c>
      <c r="CH261" s="335" t="s">
        <v>324</v>
      </c>
      <c r="CI261" s="335" t="s">
        <v>324</v>
      </c>
      <c r="CK261" s="335" t="s">
        <v>324</v>
      </c>
      <c r="CL261" s="335" t="s">
        <v>324</v>
      </c>
      <c r="CM261" s="335" t="s">
        <v>324</v>
      </c>
      <c r="CN261" s="335" t="s">
        <v>324</v>
      </c>
      <c r="CO261" s="335" t="s">
        <v>324</v>
      </c>
      <c r="CP261" s="335" t="s">
        <v>324</v>
      </c>
      <c r="CQ261" s="335" t="s">
        <v>324</v>
      </c>
      <c r="CS261" s="335" t="s">
        <v>324</v>
      </c>
      <c r="CT261" s="335" t="s">
        <v>324</v>
      </c>
      <c r="CU261" s="335" t="s">
        <v>324</v>
      </c>
      <c r="CV261" s="335" t="s">
        <v>324</v>
      </c>
      <c r="CX261" s="335" t="s">
        <v>324</v>
      </c>
      <c r="CY261" s="335" t="s">
        <v>324</v>
      </c>
      <c r="CZ261" s="335" t="s">
        <v>324</v>
      </c>
      <c r="DB261" s="335" t="s">
        <v>324</v>
      </c>
      <c r="DC261" s="335" t="s">
        <v>324</v>
      </c>
      <c r="DD261" s="335" t="s">
        <v>324</v>
      </c>
      <c r="DE261" s="335" t="s">
        <v>324</v>
      </c>
      <c r="DF261" s="386"/>
      <c r="DG261" s="386"/>
      <c r="DH261" s="386"/>
      <c r="DI261" s="386"/>
      <c r="DJ261" s="386"/>
      <c r="DK261" s="386"/>
      <c r="DL261" s="386"/>
      <c r="DM261" s="386"/>
      <c r="DN261" s="335" t="s">
        <v>324</v>
      </c>
      <c r="DO261" s="335" t="s">
        <v>324</v>
      </c>
      <c r="DP261" s="335" t="s">
        <v>324</v>
      </c>
      <c r="DR261" s="335" t="s">
        <v>324</v>
      </c>
      <c r="DS261" s="335" t="s">
        <v>324</v>
      </c>
      <c r="DT261" s="335" t="s">
        <v>324</v>
      </c>
      <c r="DU261" s="335" t="s">
        <v>324</v>
      </c>
      <c r="DV261" s="335" t="s">
        <v>324</v>
      </c>
      <c r="DW261" s="335" t="s">
        <v>324</v>
      </c>
      <c r="DX261" s="335" t="s">
        <v>324</v>
      </c>
      <c r="DZ261" s="335" t="s">
        <v>324</v>
      </c>
      <c r="EA261" s="335" t="s">
        <v>324</v>
      </c>
      <c r="EB261" s="335" t="s">
        <v>324</v>
      </c>
      <c r="EC261" s="335" t="s">
        <v>324</v>
      </c>
      <c r="ED261" s="335" t="s">
        <v>324</v>
      </c>
      <c r="EE261" s="335" t="s">
        <v>324</v>
      </c>
      <c r="EF261" s="335" t="s">
        <v>324</v>
      </c>
      <c r="EH261" s="335" t="s">
        <v>324</v>
      </c>
      <c r="EI261" s="335" t="s">
        <v>324</v>
      </c>
      <c r="EJ261" s="335" t="s">
        <v>324</v>
      </c>
      <c r="EK261" s="335" t="s">
        <v>324</v>
      </c>
      <c r="EL261" s="335" t="s">
        <v>324</v>
      </c>
      <c r="EM261" s="335" t="s">
        <v>324</v>
      </c>
      <c r="EN261" s="335" t="s">
        <v>324</v>
      </c>
      <c r="EP261" s="335" t="s">
        <v>324</v>
      </c>
      <c r="EQ261" s="335" t="s">
        <v>324</v>
      </c>
      <c r="ER261" s="335" t="s">
        <v>324</v>
      </c>
      <c r="ES261" s="335" t="s">
        <v>324</v>
      </c>
      <c r="FB261" s="335" t="s">
        <v>324</v>
      </c>
      <c r="FC261" s="335" t="s">
        <v>324</v>
      </c>
      <c r="FD261" s="335" t="s">
        <v>324</v>
      </c>
      <c r="FE261" s="335" t="s">
        <v>324</v>
      </c>
      <c r="FF261" s="335" t="s">
        <v>324</v>
      </c>
      <c r="FG261" s="335" t="s">
        <v>324</v>
      </c>
      <c r="FH261" s="335" t="s">
        <v>324</v>
      </c>
      <c r="FI261" s="335" t="s">
        <v>324</v>
      </c>
      <c r="FJ261" s="335" t="s">
        <v>324</v>
      </c>
      <c r="FK261" s="335" t="s">
        <v>324</v>
      </c>
      <c r="FL261" s="335" t="s">
        <v>324</v>
      </c>
      <c r="FM261" s="335" t="s">
        <v>324</v>
      </c>
      <c r="FN261" s="335" t="s">
        <v>324</v>
      </c>
      <c r="FO261" s="335" t="s">
        <v>324</v>
      </c>
      <c r="FP261" s="335" t="s">
        <v>324</v>
      </c>
      <c r="FQ261" s="335" t="s">
        <v>324</v>
      </c>
    </row>
    <row r="262" spans="1:173" s="335" customFormat="1" ht="13.95" customHeight="1">
      <c r="A262" s="335" t="s">
        <v>354</v>
      </c>
      <c r="B262" s="335" t="s">
        <v>354</v>
      </c>
      <c r="C262" s="335" t="s">
        <v>1473</v>
      </c>
      <c r="D262" s="335" t="s">
        <v>1492</v>
      </c>
      <c r="E262" s="335" t="s">
        <v>488</v>
      </c>
      <c r="F262" s="425" t="s">
        <v>785</v>
      </c>
      <c r="G262" s="335" t="s">
        <v>324</v>
      </c>
      <c r="H262" s="346">
        <v>38</v>
      </c>
      <c r="I262" s="346">
        <v>36</v>
      </c>
      <c r="J262" s="346">
        <v>35</v>
      </c>
      <c r="N262" s="346" t="s">
        <v>886</v>
      </c>
      <c r="O262" s="346" t="s">
        <v>2474</v>
      </c>
      <c r="P262" s="346" t="s">
        <v>1377</v>
      </c>
      <c r="Q262" s="346" t="s">
        <v>2475</v>
      </c>
      <c r="R262" s="346" t="s">
        <v>324</v>
      </c>
      <c r="S262" s="334" t="s">
        <v>1969</v>
      </c>
      <c r="T262" s="335" t="s">
        <v>1046</v>
      </c>
      <c r="U262" s="335" t="s">
        <v>3156</v>
      </c>
      <c r="V262" s="335" cm="1">
        <f t="array" ref="V262">IFERROR(INDEX('Offer Statistics'!$DA$2:$DA$600,MATCH(1,(B262='Offer Statistics'!$CL$2:$CL$600)*($B$11='Offer Statistics'!$CM$2:$CM$600),0)),"/")</f>
        <v>56</v>
      </c>
      <c r="W262" s="335" cm="1">
        <f t="array" ref="W262">IFERROR(INDEX('Offer Statistics'!$CN$2:$CN$600,MATCH(1,(B262='Offer Statistics'!$CL$2:$CL$600)*($B$11='Offer Statistics'!$CM$2:$CM$600),0)),"/")</f>
        <v>282</v>
      </c>
      <c r="X262" s="335" cm="1">
        <f t="array" ref="X262">IFERROR(INDEX('Offer Statistics'!$CV$2:$CV$600,MATCH(1,(B262='Offer Statistics'!$CL$2:$CL$600)*($B$11='Offer Statistics'!$CM$2:$CM$600),0)),"/")</f>
        <v>56</v>
      </c>
      <c r="Y262" s="334">
        <f t="shared" si="376"/>
        <v>5.0357142857142856</v>
      </c>
      <c r="Z262" s="335" t="s">
        <v>1046</v>
      </c>
      <c r="AA262" s="335" t="str">
        <f>入學要求!AF271</f>
        <v>/</v>
      </c>
      <c r="AB262" s="335" t="str">
        <f>入學要求!AG271</f>
        <v>/</v>
      </c>
      <c r="AC262" s="425" t="s">
        <v>785</v>
      </c>
      <c r="AD262" s="359"/>
      <c r="AE262" s="359"/>
      <c r="AF262" s="426" t="s">
        <v>886</v>
      </c>
      <c r="AG262" s="426" t="s">
        <v>2474</v>
      </c>
      <c r="AH262" s="426" t="s">
        <v>1377</v>
      </c>
      <c r="AI262" s="426" t="s">
        <v>2475</v>
      </c>
      <c r="AJ262" s="426" t="s">
        <v>324</v>
      </c>
      <c r="AK262" s="335" t="s">
        <v>735</v>
      </c>
      <c r="AL262" s="335" t="s">
        <v>1490</v>
      </c>
      <c r="AM262" s="335" t="s">
        <v>1482</v>
      </c>
      <c r="AP262" s="335" t="s">
        <v>1478</v>
      </c>
      <c r="AQ262" s="335" t="s">
        <v>2527</v>
      </c>
      <c r="AR262" s="335" t="s">
        <v>324</v>
      </c>
      <c r="AT262" s="335" t="s">
        <v>716</v>
      </c>
      <c r="AV262" s="335" t="s">
        <v>713</v>
      </c>
      <c r="AZ262" s="335" t="s">
        <v>324</v>
      </c>
      <c r="BA262" s="335" t="s">
        <v>324</v>
      </c>
      <c r="BB262" s="335" t="s">
        <v>324</v>
      </c>
      <c r="BD262" s="335" t="s">
        <v>324</v>
      </c>
      <c r="BE262" s="335" t="s">
        <v>324</v>
      </c>
      <c r="BF262" s="335" t="s">
        <v>324</v>
      </c>
      <c r="BG262" s="335" t="s">
        <v>324</v>
      </c>
      <c r="BI262" s="335" t="s">
        <v>324</v>
      </c>
      <c r="BJ262" s="335" t="s">
        <v>324</v>
      </c>
      <c r="BK262" s="335" t="s">
        <v>324</v>
      </c>
      <c r="BM262" s="335" t="s">
        <v>324</v>
      </c>
      <c r="BN262" s="335" t="s">
        <v>324</v>
      </c>
      <c r="BO262" s="335" t="s">
        <v>324</v>
      </c>
      <c r="BP262" s="335" t="s">
        <v>324</v>
      </c>
      <c r="BQ262" s="386"/>
      <c r="BR262" s="386"/>
      <c r="BS262" s="386"/>
      <c r="BT262" s="386"/>
      <c r="BU262" s="386"/>
      <c r="BV262" s="386"/>
      <c r="BW262" s="386"/>
      <c r="BX262" s="386"/>
      <c r="BY262" s="335" t="s">
        <v>324</v>
      </c>
      <c r="BZ262" s="335" t="s">
        <v>324</v>
      </c>
      <c r="CA262" s="335" t="s">
        <v>324</v>
      </c>
      <c r="CC262" s="335" t="s">
        <v>324</v>
      </c>
      <c r="CD262" s="335" t="s">
        <v>324</v>
      </c>
      <c r="CE262" s="335" t="s">
        <v>324</v>
      </c>
      <c r="CF262" s="335" t="s">
        <v>324</v>
      </c>
      <c r="CG262" s="335" t="s">
        <v>324</v>
      </c>
      <c r="CH262" s="335" t="s">
        <v>324</v>
      </c>
      <c r="CI262" s="335" t="s">
        <v>324</v>
      </c>
      <c r="CK262" s="335" t="s">
        <v>324</v>
      </c>
      <c r="CL262" s="335" t="s">
        <v>324</v>
      </c>
      <c r="CM262" s="335" t="s">
        <v>324</v>
      </c>
      <c r="CN262" s="335" t="s">
        <v>324</v>
      </c>
      <c r="CO262" s="335" t="s">
        <v>324</v>
      </c>
      <c r="CP262" s="335" t="s">
        <v>324</v>
      </c>
      <c r="CQ262" s="335" t="s">
        <v>324</v>
      </c>
      <c r="CS262" s="335" t="s">
        <v>324</v>
      </c>
      <c r="CT262" s="335" t="s">
        <v>324</v>
      </c>
      <c r="CU262" s="335" t="s">
        <v>324</v>
      </c>
      <c r="CV262" s="335" t="s">
        <v>324</v>
      </c>
      <c r="CX262" s="335" t="s">
        <v>324</v>
      </c>
      <c r="CY262" s="335" t="s">
        <v>324</v>
      </c>
      <c r="CZ262" s="335" t="s">
        <v>324</v>
      </c>
      <c r="DB262" s="335" t="s">
        <v>324</v>
      </c>
      <c r="DC262" s="335" t="s">
        <v>324</v>
      </c>
      <c r="DD262" s="335" t="s">
        <v>324</v>
      </c>
      <c r="DE262" s="335" t="s">
        <v>324</v>
      </c>
      <c r="DF262" s="386"/>
      <c r="DG262" s="386"/>
      <c r="DH262" s="386"/>
      <c r="DI262" s="386"/>
      <c r="DJ262" s="386"/>
      <c r="DK262" s="386"/>
      <c r="DL262" s="386"/>
      <c r="DM262" s="386"/>
      <c r="DN262" s="335" t="s">
        <v>324</v>
      </c>
      <c r="DO262" s="335" t="s">
        <v>324</v>
      </c>
      <c r="DP262" s="335" t="s">
        <v>324</v>
      </c>
      <c r="DR262" s="335" t="s">
        <v>324</v>
      </c>
      <c r="DS262" s="335" t="s">
        <v>324</v>
      </c>
      <c r="DT262" s="335" t="s">
        <v>324</v>
      </c>
      <c r="DU262" s="335" t="s">
        <v>324</v>
      </c>
      <c r="DV262" s="335" t="s">
        <v>324</v>
      </c>
      <c r="DW262" s="335" t="s">
        <v>324</v>
      </c>
      <c r="DX262" s="335" t="s">
        <v>324</v>
      </c>
      <c r="DZ262" s="335" t="s">
        <v>324</v>
      </c>
      <c r="EA262" s="335" t="s">
        <v>324</v>
      </c>
      <c r="EB262" s="335" t="s">
        <v>324</v>
      </c>
      <c r="EC262" s="335" t="s">
        <v>324</v>
      </c>
      <c r="ED262" s="335" t="s">
        <v>324</v>
      </c>
      <c r="EE262" s="335" t="s">
        <v>324</v>
      </c>
      <c r="EF262" s="335" t="s">
        <v>324</v>
      </c>
      <c r="EH262" s="335" t="s">
        <v>324</v>
      </c>
      <c r="EI262" s="335" t="s">
        <v>324</v>
      </c>
      <c r="EJ262" s="335" t="s">
        <v>324</v>
      </c>
      <c r="EK262" s="335" t="s">
        <v>324</v>
      </c>
      <c r="EL262" s="335" t="s">
        <v>324</v>
      </c>
      <c r="EM262" s="335" t="s">
        <v>324</v>
      </c>
      <c r="EN262" s="335" t="s">
        <v>324</v>
      </c>
      <c r="EP262" s="335" t="s">
        <v>324</v>
      </c>
      <c r="EQ262" s="335" t="s">
        <v>324</v>
      </c>
      <c r="ER262" s="335" t="s">
        <v>324</v>
      </c>
      <c r="ES262" s="335" t="s">
        <v>324</v>
      </c>
      <c r="FB262" s="335" t="s">
        <v>324</v>
      </c>
      <c r="FC262" s="335" t="s">
        <v>324</v>
      </c>
      <c r="FD262" s="335" t="s">
        <v>324</v>
      </c>
      <c r="FE262" s="335" t="s">
        <v>324</v>
      </c>
      <c r="FF262" s="335" t="s">
        <v>324</v>
      </c>
      <c r="FG262" s="335" t="s">
        <v>324</v>
      </c>
      <c r="FH262" s="335" t="s">
        <v>324</v>
      </c>
      <c r="FI262" s="335" t="s">
        <v>324</v>
      </c>
      <c r="FJ262" s="335" t="s">
        <v>324</v>
      </c>
      <c r="FK262" s="335" t="s">
        <v>324</v>
      </c>
      <c r="FL262" s="335" t="s">
        <v>324</v>
      </c>
      <c r="FM262" s="335" t="s">
        <v>324</v>
      </c>
      <c r="FN262" s="335" t="s">
        <v>324</v>
      </c>
      <c r="FO262" s="335" t="s">
        <v>324</v>
      </c>
      <c r="FP262" s="335" t="s">
        <v>324</v>
      </c>
      <c r="FQ262" s="335" t="s">
        <v>324</v>
      </c>
    </row>
    <row r="263" spans="1:173" s="335" customFormat="1" ht="13.95" customHeight="1">
      <c r="A263" s="335" t="s">
        <v>355</v>
      </c>
      <c r="B263" s="335" t="s">
        <v>355</v>
      </c>
      <c r="C263" s="335" t="s">
        <v>1473</v>
      </c>
      <c r="D263" s="335" t="s">
        <v>1492</v>
      </c>
      <c r="E263" s="335" t="s">
        <v>2128</v>
      </c>
      <c r="F263" s="425" t="s">
        <v>785</v>
      </c>
      <c r="G263" s="335" t="s">
        <v>324</v>
      </c>
      <c r="H263" s="346">
        <v>35</v>
      </c>
      <c r="I263" s="346">
        <v>34</v>
      </c>
      <c r="J263" s="346">
        <v>33</v>
      </c>
      <c r="N263" s="346" t="s">
        <v>886</v>
      </c>
      <c r="O263" s="346" t="s">
        <v>2474</v>
      </c>
      <c r="P263" s="346" t="s">
        <v>1377</v>
      </c>
      <c r="Q263" s="346" t="s">
        <v>2475</v>
      </c>
      <c r="R263" s="346" t="s">
        <v>324</v>
      </c>
      <c r="S263" s="334" t="s">
        <v>2127</v>
      </c>
      <c r="T263" s="335" t="s">
        <v>1046</v>
      </c>
      <c r="U263" s="335" t="s">
        <v>3156</v>
      </c>
      <c r="V263" s="335" cm="1">
        <f t="array" ref="V263">IFERROR(INDEX('Offer Statistics'!$DA$2:$DA$600,MATCH(1,(B263='Offer Statistics'!$CL$2:$CL$600)*($B$11='Offer Statistics'!$CM$2:$CM$600),0)),"/")</f>
        <v>83</v>
      </c>
      <c r="W263" s="335" cm="1">
        <f t="array" ref="W263">IFERROR(INDEX('Offer Statistics'!$CN$2:$CN$600,MATCH(1,(B263='Offer Statistics'!$CL$2:$CL$600)*($B$11='Offer Statistics'!$CM$2:$CM$600),0)),"/")</f>
        <v>257</v>
      </c>
      <c r="X263" s="335" cm="1">
        <f t="array" ref="X263">IFERROR(INDEX('Offer Statistics'!$CV$2:$CV$600,MATCH(1,(B263='Offer Statistics'!$CL$2:$CL$600)*($B$11='Offer Statistics'!$CM$2:$CM$600),0)),"/")</f>
        <v>83</v>
      </c>
      <c r="Y263" s="334">
        <f t="shared" si="376"/>
        <v>3.0963855421686746</v>
      </c>
      <c r="Z263" s="335" t="s">
        <v>1046</v>
      </c>
      <c r="AA263" s="335" t="str">
        <f>入學要求!AF272</f>
        <v>/</v>
      </c>
      <c r="AB263" s="335" t="str">
        <f>入學要求!AG272</f>
        <v>/</v>
      </c>
      <c r="AC263" s="425" t="s">
        <v>785</v>
      </c>
      <c r="AD263" s="359"/>
      <c r="AE263" s="359"/>
      <c r="AF263" s="426" t="s">
        <v>886</v>
      </c>
      <c r="AG263" s="426" t="s">
        <v>2474</v>
      </c>
      <c r="AH263" s="426" t="s">
        <v>1377</v>
      </c>
      <c r="AI263" s="426" t="s">
        <v>2475</v>
      </c>
      <c r="AJ263" s="426" t="s">
        <v>324</v>
      </c>
      <c r="AK263" s="335" t="s">
        <v>735</v>
      </c>
      <c r="AL263" s="335" t="s">
        <v>1490</v>
      </c>
      <c r="AM263" s="335" t="s">
        <v>1482</v>
      </c>
      <c r="AP263" s="335" t="s">
        <v>1478</v>
      </c>
      <c r="AQ263" s="335" t="s">
        <v>2527</v>
      </c>
      <c r="AR263" s="335" t="s">
        <v>324</v>
      </c>
      <c r="AT263" s="335" t="s">
        <v>716</v>
      </c>
      <c r="AV263" s="335" t="s">
        <v>713</v>
      </c>
      <c r="AZ263" s="335" t="s">
        <v>324</v>
      </c>
      <c r="BA263" s="335" t="s">
        <v>324</v>
      </c>
      <c r="BB263" s="335" t="s">
        <v>324</v>
      </c>
      <c r="BD263" s="335" t="s">
        <v>324</v>
      </c>
      <c r="BE263" s="335" t="s">
        <v>324</v>
      </c>
      <c r="BF263" s="335" t="s">
        <v>324</v>
      </c>
      <c r="BG263" s="335" t="s">
        <v>324</v>
      </c>
      <c r="BI263" s="335" t="s">
        <v>324</v>
      </c>
      <c r="BJ263" s="335" t="s">
        <v>324</v>
      </c>
      <c r="BK263" s="335" t="s">
        <v>324</v>
      </c>
      <c r="BM263" s="335" t="s">
        <v>324</v>
      </c>
      <c r="BN263" s="335" t="s">
        <v>324</v>
      </c>
      <c r="BO263" s="335" t="s">
        <v>324</v>
      </c>
      <c r="BP263" s="335" t="s">
        <v>324</v>
      </c>
      <c r="BQ263" s="386"/>
      <c r="BR263" s="386"/>
      <c r="BS263" s="386"/>
      <c r="BT263" s="386"/>
      <c r="BU263" s="386"/>
      <c r="BV263" s="386"/>
      <c r="BW263" s="386"/>
      <c r="BX263" s="386"/>
      <c r="BY263" s="335" t="s">
        <v>324</v>
      </c>
      <c r="BZ263" s="335" t="s">
        <v>324</v>
      </c>
      <c r="CA263" s="335" t="s">
        <v>324</v>
      </c>
      <c r="CC263" s="335" t="s">
        <v>324</v>
      </c>
      <c r="CD263" s="335" t="s">
        <v>324</v>
      </c>
      <c r="CE263" s="335" t="s">
        <v>324</v>
      </c>
      <c r="CF263" s="335" t="s">
        <v>324</v>
      </c>
      <c r="CG263" s="335" t="s">
        <v>324</v>
      </c>
      <c r="CH263" s="335" t="s">
        <v>324</v>
      </c>
      <c r="CI263" s="335" t="s">
        <v>324</v>
      </c>
      <c r="CK263" s="335" t="s">
        <v>324</v>
      </c>
      <c r="CL263" s="335" t="s">
        <v>324</v>
      </c>
      <c r="CM263" s="335" t="s">
        <v>324</v>
      </c>
      <c r="CN263" s="335" t="s">
        <v>324</v>
      </c>
      <c r="CO263" s="335" t="s">
        <v>324</v>
      </c>
      <c r="CP263" s="335" t="s">
        <v>324</v>
      </c>
      <c r="CQ263" s="335" t="s">
        <v>324</v>
      </c>
      <c r="CS263" s="335" t="s">
        <v>324</v>
      </c>
      <c r="CT263" s="335" t="s">
        <v>324</v>
      </c>
      <c r="CU263" s="335" t="s">
        <v>324</v>
      </c>
      <c r="CV263" s="335" t="s">
        <v>324</v>
      </c>
      <c r="CX263" s="335" t="s">
        <v>324</v>
      </c>
      <c r="CY263" s="335" t="s">
        <v>324</v>
      </c>
      <c r="CZ263" s="335" t="s">
        <v>324</v>
      </c>
      <c r="DB263" s="335" t="s">
        <v>324</v>
      </c>
      <c r="DC263" s="335" t="s">
        <v>324</v>
      </c>
      <c r="DD263" s="335" t="s">
        <v>324</v>
      </c>
      <c r="DE263" s="335" t="s">
        <v>324</v>
      </c>
      <c r="DF263" s="386"/>
      <c r="DG263" s="386"/>
      <c r="DH263" s="386"/>
      <c r="DI263" s="386"/>
      <c r="DJ263" s="386"/>
      <c r="DK263" s="386"/>
      <c r="DL263" s="386"/>
      <c r="DM263" s="386"/>
      <c r="DN263" s="335" t="s">
        <v>324</v>
      </c>
      <c r="DO263" s="335" t="s">
        <v>324</v>
      </c>
      <c r="DP263" s="335" t="s">
        <v>324</v>
      </c>
      <c r="DR263" s="335" t="s">
        <v>324</v>
      </c>
      <c r="DS263" s="335" t="s">
        <v>324</v>
      </c>
      <c r="DT263" s="335" t="s">
        <v>324</v>
      </c>
      <c r="DU263" s="335" t="s">
        <v>324</v>
      </c>
      <c r="DV263" s="335" t="s">
        <v>324</v>
      </c>
      <c r="DW263" s="335" t="s">
        <v>324</v>
      </c>
      <c r="DX263" s="335" t="s">
        <v>324</v>
      </c>
      <c r="DZ263" s="335" t="s">
        <v>324</v>
      </c>
      <c r="EA263" s="335" t="s">
        <v>324</v>
      </c>
      <c r="EB263" s="335" t="s">
        <v>324</v>
      </c>
      <c r="EC263" s="335" t="s">
        <v>324</v>
      </c>
      <c r="ED263" s="335" t="s">
        <v>324</v>
      </c>
      <c r="EE263" s="335" t="s">
        <v>324</v>
      </c>
      <c r="EF263" s="335" t="s">
        <v>324</v>
      </c>
      <c r="EH263" s="335" t="s">
        <v>324</v>
      </c>
      <c r="EI263" s="335" t="s">
        <v>324</v>
      </c>
      <c r="EJ263" s="335" t="s">
        <v>324</v>
      </c>
      <c r="EK263" s="335" t="s">
        <v>324</v>
      </c>
      <c r="EL263" s="335" t="s">
        <v>324</v>
      </c>
      <c r="EM263" s="335" t="s">
        <v>324</v>
      </c>
      <c r="EN263" s="335" t="s">
        <v>324</v>
      </c>
      <c r="EP263" s="335" t="s">
        <v>324</v>
      </c>
      <c r="EQ263" s="335" t="s">
        <v>324</v>
      </c>
      <c r="ER263" s="335" t="s">
        <v>324</v>
      </c>
      <c r="ES263" s="335" t="s">
        <v>324</v>
      </c>
      <c r="FB263" s="335" t="s">
        <v>324</v>
      </c>
      <c r="FC263" s="335" t="s">
        <v>324</v>
      </c>
      <c r="FD263" s="335" t="s">
        <v>324</v>
      </c>
      <c r="FE263" s="335" t="s">
        <v>324</v>
      </c>
      <c r="FF263" s="335" t="s">
        <v>324</v>
      </c>
      <c r="FG263" s="335" t="s">
        <v>324</v>
      </c>
      <c r="FH263" s="335" t="s">
        <v>324</v>
      </c>
      <c r="FI263" s="335" t="s">
        <v>324</v>
      </c>
      <c r="FJ263" s="335" t="s">
        <v>324</v>
      </c>
      <c r="FK263" s="335" t="s">
        <v>324</v>
      </c>
      <c r="FL263" s="335" t="s">
        <v>324</v>
      </c>
      <c r="FM263" s="335" t="s">
        <v>324</v>
      </c>
      <c r="FN263" s="335" t="s">
        <v>324</v>
      </c>
      <c r="FO263" s="335" t="s">
        <v>324</v>
      </c>
      <c r="FP263" s="335" t="s">
        <v>324</v>
      </c>
      <c r="FQ263" s="335" t="s">
        <v>324</v>
      </c>
    </row>
    <row r="264" spans="1:173" s="364" customFormat="1" ht="13.95" customHeight="1">
      <c r="A264" s="335" t="s">
        <v>356</v>
      </c>
      <c r="B264" s="364" t="s">
        <v>356</v>
      </c>
      <c r="C264" s="335" t="s">
        <v>1473</v>
      </c>
      <c r="D264" s="364" t="s">
        <v>1492</v>
      </c>
      <c r="E264" s="364" t="s">
        <v>493</v>
      </c>
      <c r="F264" s="425" t="s">
        <v>724</v>
      </c>
      <c r="G264" s="335" t="s">
        <v>324</v>
      </c>
      <c r="H264" s="346">
        <v>48</v>
      </c>
      <c r="I264" s="346">
        <v>47</v>
      </c>
      <c r="J264" s="346">
        <v>47</v>
      </c>
      <c r="N264" s="346" t="s">
        <v>725</v>
      </c>
      <c r="O264" s="346" t="s">
        <v>1493</v>
      </c>
      <c r="P264" s="346" t="s">
        <v>1377</v>
      </c>
      <c r="Q264" s="346" t="s">
        <v>2464</v>
      </c>
      <c r="R264" s="346" t="s">
        <v>324</v>
      </c>
      <c r="S264" s="364" t="s">
        <v>1974</v>
      </c>
      <c r="T264" s="335" t="s">
        <v>1046</v>
      </c>
      <c r="U264" s="364">
        <v>30</v>
      </c>
      <c r="V264" s="335" cm="1">
        <f t="array" ref="V264">IFERROR(INDEX('Offer Statistics'!$DA$2:$DA$600,MATCH(1,(B264='Offer Statistics'!$CL$2:$CL$600)*($B$11='Offer Statistics'!$CM$2:$CM$600),0)),"/")</f>
        <v>17</v>
      </c>
      <c r="W264" s="335" cm="1">
        <f t="array" ref="W264">IFERROR(INDEX('Offer Statistics'!$CN$2:$CN$600,MATCH(1,(B264='Offer Statistics'!$CL$2:$CL$600)*($B$11='Offer Statistics'!$CM$2:$CM$600),0)),"/")</f>
        <v>104</v>
      </c>
      <c r="X264" s="335" cm="1">
        <f t="array" ref="X264">IFERROR(INDEX('Offer Statistics'!$CV$2:$CV$600,MATCH(1,(B264='Offer Statistics'!$CL$2:$CL$600)*($B$11='Offer Statistics'!$CM$2:$CM$600),0)),"/")</f>
        <v>17</v>
      </c>
      <c r="Y264" s="334">
        <f t="shared" si="376"/>
        <v>6.117647058823529</v>
      </c>
      <c r="Z264" s="335" t="s">
        <v>1046</v>
      </c>
      <c r="AA264" s="335" t="str">
        <f>入學要求!AF273</f>
        <v>/</v>
      </c>
      <c r="AB264" s="364" t="str">
        <f>入學要求!AG273</f>
        <v>/</v>
      </c>
      <c r="AC264" s="425" t="s">
        <v>724</v>
      </c>
      <c r="AD264" s="365"/>
      <c r="AF264" s="426" t="s">
        <v>725</v>
      </c>
      <c r="AG264" s="426" t="s">
        <v>1493</v>
      </c>
      <c r="AH264" s="426" t="s">
        <v>1377</v>
      </c>
      <c r="AI264" s="426" t="s">
        <v>2464</v>
      </c>
      <c r="AJ264" s="426" t="s">
        <v>324</v>
      </c>
      <c r="AK264" s="364" t="s">
        <v>735</v>
      </c>
      <c r="AL264" s="364" t="s">
        <v>1490</v>
      </c>
      <c r="AM264" s="364" t="s">
        <v>1482</v>
      </c>
      <c r="AP264" s="364" t="s">
        <v>1478</v>
      </c>
      <c r="AQ264" s="335" t="s">
        <v>2527</v>
      </c>
      <c r="AR264" s="364" t="s">
        <v>324</v>
      </c>
      <c r="AT264" s="335" t="s">
        <v>716</v>
      </c>
      <c r="AU264" s="335"/>
      <c r="AV264" s="335" t="s">
        <v>713</v>
      </c>
      <c r="AZ264" s="364" t="s">
        <v>324</v>
      </c>
      <c r="BA264" s="364" t="s">
        <v>324</v>
      </c>
      <c r="BB264" s="364" t="s">
        <v>324</v>
      </c>
      <c r="BD264" s="364" t="s">
        <v>324</v>
      </c>
      <c r="BE264" s="364" t="s">
        <v>324</v>
      </c>
      <c r="BF264" s="364" t="s">
        <v>324</v>
      </c>
      <c r="BG264" s="364" t="s">
        <v>324</v>
      </c>
      <c r="BI264" s="364" t="s">
        <v>324</v>
      </c>
      <c r="BJ264" s="364" t="s">
        <v>324</v>
      </c>
      <c r="BK264" s="364" t="s">
        <v>324</v>
      </c>
      <c r="BM264" s="364" t="s">
        <v>324</v>
      </c>
      <c r="BN264" s="364" t="s">
        <v>324</v>
      </c>
      <c r="BO264" s="364" t="s">
        <v>324</v>
      </c>
      <c r="BP264" s="364" t="s">
        <v>324</v>
      </c>
      <c r="BY264" s="364" t="s">
        <v>324</v>
      </c>
      <c r="BZ264" s="364" t="s">
        <v>324</v>
      </c>
      <c r="CA264" s="364" t="s">
        <v>324</v>
      </c>
      <c r="CC264" s="364" t="s">
        <v>324</v>
      </c>
      <c r="CD264" s="364" t="s">
        <v>324</v>
      </c>
      <c r="CE264" s="364" t="s">
        <v>324</v>
      </c>
      <c r="CF264" s="364" t="s">
        <v>324</v>
      </c>
      <c r="CG264" s="364" t="s">
        <v>324</v>
      </c>
      <c r="CH264" s="364" t="s">
        <v>324</v>
      </c>
      <c r="CI264" s="364" t="s">
        <v>324</v>
      </c>
      <c r="CK264" s="364" t="s">
        <v>324</v>
      </c>
      <c r="CL264" s="364" t="s">
        <v>324</v>
      </c>
      <c r="CM264" s="364" t="s">
        <v>324</v>
      </c>
      <c r="CN264" s="364" t="s">
        <v>324</v>
      </c>
      <c r="CO264" s="364" t="s">
        <v>324</v>
      </c>
      <c r="CP264" s="364" t="s">
        <v>324</v>
      </c>
      <c r="CQ264" s="364" t="s">
        <v>324</v>
      </c>
      <c r="CS264" s="364" t="s">
        <v>324</v>
      </c>
      <c r="CT264" s="364" t="s">
        <v>324</v>
      </c>
      <c r="CU264" s="364" t="s">
        <v>324</v>
      </c>
      <c r="CV264" s="364" t="s">
        <v>324</v>
      </c>
      <c r="CX264" s="364" t="s">
        <v>324</v>
      </c>
      <c r="CY264" s="364" t="s">
        <v>324</v>
      </c>
      <c r="CZ264" s="364" t="s">
        <v>324</v>
      </c>
      <c r="DB264" s="364" t="s">
        <v>324</v>
      </c>
      <c r="DC264" s="364" t="s">
        <v>324</v>
      </c>
      <c r="DD264" s="364" t="s">
        <v>324</v>
      </c>
      <c r="DE264" s="364" t="s">
        <v>324</v>
      </c>
      <c r="DN264" s="364" t="s">
        <v>324</v>
      </c>
      <c r="DO264" s="364" t="s">
        <v>324</v>
      </c>
      <c r="DP264" s="364" t="s">
        <v>324</v>
      </c>
      <c r="DR264" s="364" t="s">
        <v>324</v>
      </c>
      <c r="DS264" s="364" t="s">
        <v>324</v>
      </c>
      <c r="DT264" s="364" t="s">
        <v>324</v>
      </c>
      <c r="DU264" s="364" t="s">
        <v>324</v>
      </c>
      <c r="DV264" s="364" t="s">
        <v>324</v>
      </c>
      <c r="DW264" s="364" t="s">
        <v>324</v>
      </c>
      <c r="DX264" s="364" t="s">
        <v>324</v>
      </c>
      <c r="DZ264" s="364" t="s">
        <v>324</v>
      </c>
      <c r="EA264" s="364" t="s">
        <v>324</v>
      </c>
      <c r="EB264" s="364" t="s">
        <v>324</v>
      </c>
      <c r="EC264" s="364" t="s">
        <v>324</v>
      </c>
      <c r="ED264" s="364" t="s">
        <v>324</v>
      </c>
      <c r="EE264" s="364" t="s">
        <v>324</v>
      </c>
      <c r="EF264" s="364" t="s">
        <v>324</v>
      </c>
      <c r="EH264" s="364" t="s">
        <v>324</v>
      </c>
      <c r="EI264" s="364" t="s">
        <v>324</v>
      </c>
      <c r="EJ264" s="364" t="s">
        <v>324</v>
      </c>
      <c r="EK264" s="364" t="s">
        <v>324</v>
      </c>
      <c r="EL264" s="364" t="s">
        <v>324</v>
      </c>
      <c r="EM264" s="364" t="s">
        <v>324</v>
      </c>
      <c r="EN264" s="364" t="s">
        <v>324</v>
      </c>
      <c r="EP264" s="364" t="s">
        <v>324</v>
      </c>
      <c r="EQ264" s="364" t="s">
        <v>324</v>
      </c>
      <c r="ER264" s="364" t="s">
        <v>324</v>
      </c>
      <c r="ES264" s="364" t="s">
        <v>324</v>
      </c>
      <c r="FB264" s="364" t="s">
        <v>324</v>
      </c>
      <c r="FC264" s="364" t="s">
        <v>324</v>
      </c>
      <c r="FD264" s="364" t="s">
        <v>324</v>
      </c>
      <c r="FE264" s="364" t="s">
        <v>324</v>
      </c>
      <c r="FF264" s="364" t="s">
        <v>324</v>
      </c>
      <c r="FG264" s="364" t="s">
        <v>324</v>
      </c>
      <c r="FH264" s="364" t="s">
        <v>324</v>
      </c>
      <c r="FI264" s="364" t="s">
        <v>324</v>
      </c>
      <c r="FJ264" s="364" t="s">
        <v>324</v>
      </c>
      <c r="FK264" s="364" t="s">
        <v>324</v>
      </c>
      <c r="FL264" s="364" t="s">
        <v>324</v>
      </c>
      <c r="FM264" s="364" t="s">
        <v>324</v>
      </c>
      <c r="FN264" s="364" t="s">
        <v>324</v>
      </c>
      <c r="FO264" s="364" t="s">
        <v>324</v>
      </c>
      <c r="FP264" s="364" t="s">
        <v>324</v>
      </c>
      <c r="FQ264" s="364" t="s">
        <v>324</v>
      </c>
    </row>
    <row r="265" spans="1:173" s="335" customFormat="1" ht="13.95" customHeight="1">
      <c r="A265" s="335" t="s">
        <v>358</v>
      </c>
      <c r="B265" s="335" t="s">
        <v>358</v>
      </c>
      <c r="C265" s="335" t="s">
        <v>1473</v>
      </c>
      <c r="D265" s="335" t="s">
        <v>1492</v>
      </c>
      <c r="E265" s="335" t="s">
        <v>1971</v>
      </c>
      <c r="F265" s="425" t="s">
        <v>785</v>
      </c>
      <c r="G265" s="335" t="s">
        <v>324</v>
      </c>
      <c r="H265" s="346">
        <v>34</v>
      </c>
      <c r="I265" s="346">
        <v>32</v>
      </c>
      <c r="J265" s="346">
        <v>31</v>
      </c>
      <c r="N265" s="346" t="s">
        <v>886</v>
      </c>
      <c r="O265" s="346" t="s">
        <v>2474</v>
      </c>
      <c r="P265" s="346" t="s">
        <v>1377</v>
      </c>
      <c r="Q265" s="346" t="s">
        <v>2475</v>
      </c>
      <c r="R265" s="346" t="s">
        <v>324</v>
      </c>
      <c r="S265" s="334" t="s">
        <v>1970</v>
      </c>
      <c r="T265" s="335" t="s">
        <v>1046</v>
      </c>
      <c r="U265" s="335">
        <v>15</v>
      </c>
      <c r="V265" s="335" cm="1">
        <f t="array" ref="V265">IFERROR(INDEX('Offer Statistics'!$DA$2:$DA$600,MATCH(1,(B265='Offer Statistics'!$CL$2:$CL$600)*($B$11='Offer Statistics'!$CM$2:$CM$600),0)),"/")</f>
        <v>23</v>
      </c>
      <c r="W265" s="335" cm="1">
        <f t="array" ref="W265">IFERROR(INDEX('Offer Statistics'!$CN$2:$CN$600,MATCH(1,(B265='Offer Statistics'!$CL$2:$CL$600)*($B$11='Offer Statistics'!$CM$2:$CM$600),0)),"/")</f>
        <v>81</v>
      </c>
      <c r="X265" s="335" cm="1">
        <f t="array" ref="X265">IFERROR(INDEX('Offer Statistics'!$CV$2:$CV$600,MATCH(1,(B265='Offer Statistics'!$CL$2:$CL$600)*($B$11='Offer Statistics'!$CM$2:$CM$600),0)),"/")</f>
        <v>23</v>
      </c>
      <c r="Y265" s="334">
        <f t="shared" si="376"/>
        <v>3.5217391304347827</v>
      </c>
      <c r="Z265" s="335" t="s">
        <v>1046</v>
      </c>
      <c r="AA265" s="335" t="str">
        <f>入學要求!AF274</f>
        <v>以下一科選修取得Lv.3︰生物、化學、組合科學、物理、ICT、綜合科學</v>
      </c>
      <c r="AB265" s="335" t="str">
        <f>入學要求!AG274</f>
        <v>優先考慮 M1/2 考獲Lv. 3 或以上 者</v>
      </c>
      <c r="AC265" s="425" t="s">
        <v>785</v>
      </c>
      <c r="AD265" s="359"/>
      <c r="AE265" s="359"/>
      <c r="AF265" s="426" t="s">
        <v>886</v>
      </c>
      <c r="AG265" s="426" t="s">
        <v>2474</v>
      </c>
      <c r="AH265" s="426" t="s">
        <v>1377</v>
      </c>
      <c r="AI265" s="426" t="s">
        <v>2475</v>
      </c>
      <c r="AJ265" s="426" t="s">
        <v>324</v>
      </c>
      <c r="AK265" s="335" t="s">
        <v>735</v>
      </c>
      <c r="AL265" s="335" t="s">
        <v>1490</v>
      </c>
      <c r="AM265" s="335" t="s">
        <v>1482</v>
      </c>
      <c r="AP265" s="335" t="s">
        <v>1478</v>
      </c>
      <c r="AQ265" s="335" t="s">
        <v>2527</v>
      </c>
      <c r="AR265" s="335" t="s">
        <v>324</v>
      </c>
      <c r="AT265" s="335" t="s">
        <v>716</v>
      </c>
      <c r="AV265" s="335" t="s">
        <v>713</v>
      </c>
      <c r="AZ265" s="335" t="s">
        <v>324</v>
      </c>
      <c r="BA265" s="335" t="s">
        <v>324</v>
      </c>
      <c r="BB265" s="335" t="s">
        <v>324</v>
      </c>
      <c r="BD265" s="335" t="s">
        <v>324</v>
      </c>
      <c r="BE265" s="335" t="s">
        <v>324</v>
      </c>
      <c r="BF265" s="335" t="s">
        <v>324</v>
      </c>
      <c r="BG265" s="335" t="s">
        <v>324</v>
      </c>
      <c r="BI265" s="335" t="s">
        <v>324</v>
      </c>
      <c r="BJ265" s="335" t="s">
        <v>324</v>
      </c>
      <c r="BK265" s="335" t="s">
        <v>324</v>
      </c>
      <c r="BM265" s="335" t="s">
        <v>324</v>
      </c>
      <c r="BN265" s="335" t="s">
        <v>324</v>
      </c>
      <c r="BO265" s="335" t="s">
        <v>324</v>
      </c>
      <c r="BP265" s="335" t="s">
        <v>324</v>
      </c>
      <c r="BQ265" s="386"/>
      <c r="BR265" s="386"/>
      <c r="BS265" s="386"/>
      <c r="BT265" s="386"/>
      <c r="BU265" s="386"/>
      <c r="BV265" s="386"/>
      <c r="BW265" s="386"/>
      <c r="BX265" s="386"/>
      <c r="BY265" s="335" t="s">
        <v>324</v>
      </c>
      <c r="BZ265" s="335" t="s">
        <v>324</v>
      </c>
      <c r="CA265" s="335" t="s">
        <v>324</v>
      </c>
      <c r="CC265" s="335" t="s">
        <v>324</v>
      </c>
      <c r="CD265" s="335" t="s">
        <v>324</v>
      </c>
      <c r="CE265" s="335" t="s">
        <v>324</v>
      </c>
      <c r="CF265" s="335" t="s">
        <v>324</v>
      </c>
      <c r="CG265" s="335" t="s">
        <v>324</v>
      </c>
      <c r="CH265" s="335" t="s">
        <v>324</v>
      </c>
      <c r="CI265" s="335" t="s">
        <v>324</v>
      </c>
      <c r="CK265" s="335" t="s">
        <v>324</v>
      </c>
      <c r="CL265" s="335" t="s">
        <v>324</v>
      </c>
      <c r="CM265" s="335" t="s">
        <v>324</v>
      </c>
      <c r="CN265" s="335" t="s">
        <v>324</v>
      </c>
      <c r="CO265" s="335" t="s">
        <v>324</v>
      </c>
      <c r="CP265" s="335" t="s">
        <v>324</v>
      </c>
      <c r="CQ265" s="335" t="s">
        <v>324</v>
      </c>
      <c r="CS265" s="335" t="s">
        <v>324</v>
      </c>
      <c r="CT265" s="335" t="s">
        <v>324</v>
      </c>
      <c r="CU265" s="335" t="s">
        <v>324</v>
      </c>
      <c r="CV265" s="335" t="s">
        <v>324</v>
      </c>
      <c r="CX265" s="335" t="s">
        <v>324</v>
      </c>
      <c r="CY265" s="335" t="s">
        <v>324</v>
      </c>
      <c r="CZ265" s="335" t="s">
        <v>324</v>
      </c>
      <c r="DB265" s="335" t="s">
        <v>324</v>
      </c>
      <c r="DC265" s="335" t="s">
        <v>324</v>
      </c>
      <c r="DD265" s="335" t="s">
        <v>324</v>
      </c>
      <c r="DE265" s="335" t="s">
        <v>324</v>
      </c>
      <c r="DF265" s="386"/>
      <c r="DG265" s="386"/>
      <c r="DH265" s="386"/>
      <c r="DI265" s="386"/>
      <c r="DJ265" s="386"/>
      <c r="DK265" s="386"/>
      <c r="DL265" s="386"/>
      <c r="DM265" s="386"/>
      <c r="DN265" s="335" t="s">
        <v>324</v>
      </c>
      <c r="DO265" s="335" t="s">
        <v>324</v>
      </c>
      <c r="DP265" s="335" t="s">
        <v>324</v>
      </c>
      <c r="DR265" s="335" t="s">
        <v>324</v>
      </c>
      <c r="DS265" s="335" t="s">
        <v>324</v>
      </c>
      <c r="DT265" s="335" t="s">
        <v>324</v>
      </c>
      <c r="DU265" s="335" t="s">
        <v>324</v>
      </c>
      <c r="DV265" s="335" t="s">
        <v>324</v>
      </c>
      <c r="DW265" s="335" t="s">
        <v>324</v>
      </c>
      <c r="DX265" s="335" t="s">
        <v>324</v>
      </c>
      <c r="DZ265" s="335" t="s">
        <v>324</v>
      </c>
      <c r="EA265" s="335" t="s">
        <v>324</v>
      </c>
      <c r="EB265" s="335" t="s">
        <v>324</v>
      </c>
      <c r="EC265" s="335" t="s">
        <v>324</v>
      </c>
      <c r="ED265" s="335" t="s">
        <v>324</v>
      </c>
      <c r="EE265" s="335" t="s">
        <v>324</v>
      </c>
      <c r="EF265" s="335" t="s">
        <v>324</v>
      </c>
      <c r="EH265" s="335" t="s">
        <v>324</v>
      </c>
      <c r="EI265" s="335" t="s">
        <v>324</v>
      </c>
      <c r="EJ265" s="335" t="s">
        <v>324</v>
      </c>
      <c r="EK265" s="335" t="s">
        <v>324</v>
      </c>
      <c r="EL265" s="335" t="s">
        <v>324</v>
      </c>
      <c r="EM265" s="335" t="s">
        <v>324</v>
      </c>
      <c r="EN265" s="335" t="s">
        <v>324</v>
      </c>
      <c r="EP265" s="335" t="s">
        <v>324</v>
      </c>
      <c r="EQ265" s="335" t="s">
        <v>324</v>
      </c>
      <c r="ER265" s="335" t="s">
        <v>324</v>
      </c>
      <c r="ES265" s="335" t="s">
        <v>324</v>
      </c>
      <c r="FB265" s="335" t="s">
        <v>324</v>
      </c>
      <c r="FC265" s="335" t="s">
        <v>324</v>
      </c>
      <c r="FD265" s="335" t="s">
        <v>324</v>
      </c>
      <c r="FE265" s="335" t="s">
        <v>324</v>
      </c>
      <c r="FF265" s="335" t="s">
        <v>324</v>
      </c>
      <c r="FG265" s="335" t="s">
        <v>324</v>
      </c>
      <c r="FH265" s="335" t="s">
        <v>324</v>
      </c>
      <c r="FI265" s="335" t="s">
        <v>324</v>
      </c>
      <c r="FJ265" s="335" t="s">
        <v>324</v>
      </c>
      <c r="FK265" s="335" t="s">
        <v>324</v>
      </c>
      <c r="FL265" s="335" t="s">
        <v>324</v>
      </c>
      <c r="FM265" s="335" t="s">
        <v>324</v>
      </c>
      <c r="FN265" s="335" t="s">
        <v>324</v>
      </c>
      <c r="FO265" s="335" t="s">
        <v>324</v>
      </c>
      <c r="FP265" s="335" t="s">
        <v>324</v>
      </c>
      <c r="FQ265" s="335" t="s">
        <v>324</v>
      </c>
    </row>
    <row r="266" spans="1:173" s="364" customFormat="1" ht="13.95" customHeight="1">
      <c r="A266" s="335" t="s">
        <v>357</v>
      </c>
      <c r="B266" s="364" t="s">
        <v>357</v>
      </c>
      <c r="C266" s="335" t="s">
        <v>1473</v>
      </c>
      <c r="D266" s="364" t="s">
        <v>1492</v>
      </c>
      <c r="E266" s="364" t="s">
        <v>2840</v>
      </c>
      <c r="F266" s="425" t="s">
        <v>724</v>
      </c>
      <c r="G266" s="335" t="s">
        <v>324</v>
      </c>
      <c r="H266" s="346">
        <v>48</v>
      </c>
      <c r="I266" s="346">
        <v>46</v>
      </c>
      <c r="J266" s="346">
        <v>45</v>
      </c>
      <c r="N266" s="346" t="s">
        <v>725</v>
      </c>
      <c r="O266" s="346" t="s">
        <v>1493</v>
      </c>
      <c r="P266" s="346" t="s">
        <v>1377</v>
      </c>
      <c r="Q266" s="346" t="s">
        <v>2464</v>
      </c>
      <c r="R266" s="346" t="s">
        <v>324</v>
      </c>
      <c r="S266" s="364" t="s">
        <v>1972</v>
      </c>
      <c r="T266" s="335" t="s">
        <v>1046</v>
      </c>
      <c r="U266" s="364">
        <v>80</v>
      </c>
      <c r="V266" s="335" cm="1">
        <f t="array" ref="V266">IFERROR(INDEX('Offer Statistics'!$DA$2:$DA$600,MATCH(1,(B266='Offer Statistics'!$CL$2:$CL$600)*($B$11='Offer Statistics'!$CM$2:$CM$600),0)),"/")</f>
        <v>40</v>
      </c>
      <c r="W266" s="335" cm="1">
        <f t="array" ref="W266">IFERROR(INDEX('Offer Statistics'!$CN$2:$CN$600,MATCH(1,(B266='Offer Statistics'!$CL$2:$CL$600)*($B$11='Offer Statistics'!$CM$2:$CM$600),0)),"/")</f>
        <v>100</v>
      </c>
      <c r="X266" s="335" cm="1">
        <f t="array" ref="X266">IFERROR(INDEX('Offer Statistics'!$CV$2:$CV$600,MATCH(1,(B266='Offer Statistics'!$CL$2:$CL$600)*($B$11='Offer Statistics'!$CM$2:$CM$600),0)),"/")</f>
        <v>40</v>
      </c>
      <c r="Y266" s="334">
        <f t="shared" si="376"/>
        <v>2.5</v>
      </c>
      <c r="Z266" s="335" t="s">
        <v>1046</v>
      </c>
      <c r="AA266" s="335" t="str">
        <f>入學要求!AF275</f>
        <v>/</v>
      </c>
      <c r="AB266" s="364" t="str">
        <f>入學要求!AG275</f>
        <v>/</v>
      </c>
      <c r="AC266" s="425" t="s">
        <v>724</v>
      </c>
      <c r="AD266" s="365"/>
      <c r="AF266" s="426" t="s">
        <v>725</v>
      </c>
      <c r="AG266" s="426" t="s">
        <v>1493</v>
      </c>
      <c r="AH266" s="426" t="s">
        <v>1377</v>
      </c>
      <c r="AI266" s="426" t="s">
        <v>2464</v>
      </c>
      <c r="AJ266" s="426" t="s">
        <v>324</v>
      </c>
      <c r="AK266" s="364" t="s">
        <v>735</v>
      </c>
      <c r="AL266" s="364" t="s">
        <v>1490</v>
      </c>
      <c r="AM266" s="364" t="s">
        <v>1482</v>
      </c>
      <c r="AP266" s="364" t="s">
        <v>1478</v>
      </c>
      <c r="AQ266" s="335" t="s">
        <v>2527</v>
      </c>
      <c r="AR266" s="364" t="s">
        <v>324</v>
      </c>
      <c r="AT266" s="335" t="s">
        <v>716</v>
      </c>
      <c r="AU266" s="335"/>
      <c r="AV266" s="335" t="s">
        <v>713</v>
      </c>
      <c r="AZ266" s="364" t="s">
        <v>324</v>
      </c>
      <c r="BA266" s="364" t="s">
        <v>324</v>
      </c>
      <c r="BB266" s="364" t="s">
        <v>324</v>
      </c>
      <c r="BD266" s="364" t="s">
        <v>324</v>
      </c>
      <c r="BE266" s="364" t="s">
        <v>324</v>
      </c>
      <c r="BF266" s="364" t="s">
        <v>324</v>
      </c>
      <c r="BG266" s="364" t="s">
        <v>324</v>
      </c>
      <c r="BI266" s="364" t="s">
        <v>324</v>
      </c>
      <c r="BJ266" s="364" t="s">
        <v>324</v>
      </c>
      <c r="BK266" s="364" t="s">
        <v>324</v>
      </c>
      <c r="BM266" s="364" t="s">
        <v>324</v>
      </c>
      <c r="BN266" s="364" t="s">
        <v>324</v>
      </c>
      <c r="BO266" s="364" t="s">
        <v>324</v>
      </c>
      <c r="BP266" s="364" t="s">
        <v>324</v>
      </c>
      <c r="BY266" s="364" t="s">
        <v>324</v>
      </c>
      <c r="BZ266" s="364" t="s">
        <v>324</v>
      </c>
      <c r="CA266" s="364" t="s">
        <v>324</v>
      </c>
      <c r="CC266" s="364" t="s">
        <v>324</v>
      </c>
      <c r="CD266" s="364" t="s">
        <v>324</v>
      </c>
      <c r="CE266" s="364" t="s">
        <v>324</v>
      </c>
      <c r="CF266" s="364" t="s">
        <v>324</v>
      </c>
      <c r="CG266" s="364" t="s">
        <v>324</v>
      </c>
      <c r="CH266" s="364" t="s">
        <v>324</v>
      </c>
      <c r="CI266" s="364" t="s">
        <v>324</v>
      </c>
      <c r="CK266" s="364" t="s">
        <v>324</v>
      </c>
      <c r="CL266" s="364" t="s">
        <v>324</v>
      </c>
      <c r="CM266" s="364" t="s">
        <v>324</v>
      </c>
      <c r="CN266" s="364" t="s">
        <v>324</v>
      </c>
      <c r="CO266" s="364" t="s">
        <v>324</v>
      </c>
      <c r="CP266" s="364" t="s">
        <v>324</v>
      </c>
      <c r="CQ266" s="364" t="s">
        <v>324</v>
      </c>
      <c r="CS266" s="364" t="s">
        <v>324</v>
      </c>
      <c r="CT266" s="364" t="s">
        <v>324</v>
      </c>
      <c r="CU266" s="364" t="s">
        <v>324</v>
      </c>
      <c r="CV266" s="364" t="s">
        <v>324</v>
      </c>
      <c r="CX266" s="364" t="s">
        <v>324</v>
      </c>
      <c r="CY266" s="364" t="s">
        <v>324</v>
      </c>
      <c r="CZ266" s="364" t="s">
        <v>324</v>
      </c>
      <c r="DB266" s="364" t="s">
        <v>324</v>
      </c>
      <c r="DC266" s="364" t="s">
        <v>324</v>
      </c>
      <c r="DD266" s="364" t="s">
        <v>324</v>
      </c>
      <c r="DE266" s="364" t="s">
        <v>324</v>
      </c>
      <c r="DN266" s="364" t="s">
        <v>324</v>
      </c>
      <c r="DO266" s="364" t="s">
        <v>324</v>
      </c>
      <c r="DP266" s="364" t="s">
        <v>324</v>
      </c>
      <c r="DR266" s="364" t="s">
        <v>324</v>
      </c>
      <c r="DS266" s="364" t="s">
        <v>324</v>
      </c>
      <c r="DT266" s="364" t="s">
        <v>324</v>
      </c>
      <c r="DU266" s="364" t="s">
        <v>324</v>
      </c>
      <c r="DV266" s="364" t="s">
        <v>324</v>
      </c>
      <c r="DW266" s="364" t="s">
        <v>324</v>
      </c>
      <c r="DX266" s="364" t="s">
        <v>324</v>
      </c>
      <c r="DZ266" s="364" t="s">
        <v>324</v>
      </c>
      <c r="EA266" s="364" t="s">
        <v>324</v>
      </c>
      <c r="EB266" s="364" t="s">
        <v>324</v>
      </c>
      <c r="EC266" s="364" t="s">
        <v>324</v>
      </c>
      <c r="ED266" s="364" t="s">
        <v>324</v>
      </c>
      <c r="EE266" s="364" t="s">
        <v>324</v>
      </c>
      <c r="EF266" s="364" t="s">
        <v>324</v>
      </c>
      <c r="EH266" s="364" t="s">
        <v>324</v>
      </c>
      <c r="EI266" s="364" t="s">
        <v>324</v>
      </c>
      <c r="EJ266" s="364" t="s">
        <v>324</v>
      </c>
      <c r="EK266" s="364" t="s">
        <v>324</v>
      </c>
      <c r="EL266" s="364" t="s">
        <v>324</v>
      </c>
      <c r="EM266" s="364" t="s">
        <v>324</v>
      </c>
      <c r="EN266" s="364" t="s">
        <v>324</v>
      </c>
      <c r="EP266" s="364" t="s">
        <v>324</v>
      </c>
      <c r="EQ266" s="364" t="s">
        <v>324</v>
      </c>
      <c r="ER266" s="364" t="s">
        <v>324</v>
      </c>
      <c r="ES266" s="364" t="s">
        <v>324</v>
      </c>
      <c r="FB266" s="364" t="s">
        <v>324</v>
      </c>
      <c r="FC266" s="364" t="s">
        <v>324</v>
      </c>
      <c r="FD266" s="364" t="s">
        <v>324</v>
      </c>
      <c r="FE266" s="364" t="s">
        <v>324</v>
      </c>
      <c r="FF266" s="364" t="s">
        <v>324</v>
      </c>
      <c r="FG266" s="364" t="s">
        <v>324</v>
      </c>
      <c r="FH266" s="364" t="s">
        <v>324</v>
      </c>
      <c r="FI266" s="364" t="s">
        <v>324</v>
      </c>
      <c r="FJ266" s="364" t="s">
        <v>324</v>
      </c>
      <c r="FK266" s="364" t="s">
        <v>324</v>
      </c>
      <c r="FL266" s="364" t="s">
        <v>324</v>
      </c>
      <c r="FM266" s="364" t="s">
        <v>324</v>
      </c>
      <c r="FN266" s="364" t="s">
        <v>324</v>
      </c>
      <c r="FO266" s="364" t="s">
        <v>324</v>
      </c>
      <c r="FP266" s="364" t="s">
        <v>324</v>
      </c>
      <c r="FQ266" s="364" t="s">
        <v>324</v>
      </c>
    </row>
    <row r="267" spans="1:173" s="335" customFormat="1" ht="13.95" customHeight="1">
      <c r="A267" s="335" t="s">
        <v>360</v>
      </c>
      <c r="B267" s="335" t="s">
        <v>360</v>
      </c>
      <c r="C267" s="335" t="s">
        <v>1473</v>
      </c>
      <c r="D267" s="335" t="s">
        <v>1492</v>
      </c>
      <c r="E267" s="335" t="s">
        <v>500</v>
      </c>
      <c r="F267" s="425" t="s">
        <v>785</v>
      </c>
      <c r="G267" s="335" t="s">
        <v>324</v>
      </c>
      <c r="H267" s="346">
        <v>33</v>
      </c>
      <c r="I267" s="346">
        <v>32</v>
      </c>
      <c r="J267" s="346">
        <v>31</v>
      </c>
      <c r="N267" s="346" t="s">
        <v>886</v>
      </c>
      <c r="O267" s="346" t="s">
        <v>2474</v>
      </c>
      <c r="P267" s="346" t="s">
        <v>1377</v>
      </c>
      <c r="Q267" s="346" t="s">
        <v>2475</v>
      </c>
      <c r="R267" s="346" t="s">
        <v>324</v>
      </c>
      <c r="S267" s="334" t="s">
        <v>1504</v>
      </c>
      <c r="T267" s="335" t="s">
        <v>1046</v>
      </c>
      <c r="U267" s="335">
        <v>25</v>
      </c>
      <c r="V267" s="335" cm="1">
        <f t="array" ref="V267">IFERROR(INDEX('Offer Statistics'!$DA$2:$DA$600,MATCH(1,(B267='Offer Statistics'!$CL$2:$CL$600)*($B$11='Offer Statistics'!$CM$2:$CM$600),0)),"/")</f>
        <v>21</v>
      </c>
      <c r="W267" s="335" cm="1">
        <f t="array" ref="W267">IFERROR(INDEX('Offer Statistics'!$CN$2:$CN$600,MATCH(1,(B267='Offer Statistics'!$CL$2:$CL$600)*($B$11='Offer Statistics'!$CM$2:$CM$600),0)),"/")</f>
        <v>87</v>
      </c>
      <c r="X267" s="335" cm="1">
        <f t="array" ref="X267">IFERROR(INDEX('Offer Statistics'!$CV$2:$CV$600,MATCH(1,(B267='Offer Statistics'!$CL$2:$CL$600)*($B$11='Offer Statistics'!$CM$2:$CM$600),0)),"/")</f>
        <v>21</v>
      </c>
      <c r="Y267" s="334">
        <f t="shared" si="376"/>
        <v>4.1428571428571432</v>
      </c>
      <c r="Z267" s="335" t="s">
        <v>1046</v>
      </c>
      <c r="AA267" s="335" t="str">
        <f>入學要求!AF276</f>
        <v>以下一科選修取得Lv.3︰生物、化學、組合科學、物理、ICT、綜合科學、經濟、BAFS</v>
      </c>
      <c r="AB267" s="335" t="str">
        <f>入學要求!AG276</f>
        <v>優先考慮 M1/2 考獲Lv. 3 或以上 者</v>
      </c>
      <c r="AC267" s="425" t="s">
        <v>785</v>
      </c>
      <c r="AD267" s="359"/>
      <c r="AE267" s="359"/>
      <c r="AF267" s="426" t="s">
        <v>886</v>
      </c>
      <c r="AG267" s="426" t="s">
        <v>2474</v>
      </c>
      <c r="AH267" s="426" t="s">
        <v>1377</v>
      </c>
      <c r="AI267" s="426" t="s">
        <v>2475</v>
      </c>
      <c r="AJ267" s="426" t="s">
        <v>324</v>
      </c>
      <c r="AK267" s="335" t="s">
        <v>735</v>
      </c>
      <c r="AL267" s="335" t="s">
        <v>1490</v>
      </c>
      <c r="AM267" s="335" t="s">
        <v>1482</v>
      </c>
      <c r="AP267" s="335" t="s">
        <v>1478</v>
      </c>
      <c r="AQ267" s="335" t="s">
        <v>2527</v>
      </c>
      <c r="AR267" s="335" t="s">
        <v>324</v>
      </c>
      <c r="AT267" s="335" t="s">
        <v>716</v>
      </c>
      <c r="AV267" s="335" t="s">
        <v>713</v>
      </c>
      <c r="AZ267" s="335" t="s">
        <v>324</v>
      </c>
      <c r="BA267" s="335" t="s">
        <v>324</v>
      </c>
      <c r="BB267" s="335" t="s">
        <v>324</v>
      </c>
      <c r="BD267" s="335" t="s">
        <v>324</v>
      </c>
      <c r="BE267" s="335" t="s">
        <v>324</v>
      </c>
      <c r="BF267" s="335" t="s">
        <v>324</v>
      </c>
      <c r="BG267" s="335" t="s">
        <v>324</v>
      </c>
      <c r="BI267" s="335" t="s">
        <v>324</v>
      </c>
      <c r="BJ267" s="335" t="s">
        <v>324</v>
      </c>
      <c r="BK267" s="335" t="s">
        <v>324</v>
      </c>
      <c r="BM267" s="335" t="s">
        <v>324</v>
      </c>
      <c r="BN267" s="335" t="s">
        <v>324</v>
      </c>
      <c r="BO267" s="335" t="s">
        <v>324</v>
      </c>
      <c r="BP267" s="335" t="s">
        <v>324</v>
      </c>
      <c r="BQ267" s="386"/>
      <c r="BR267" s="386"/>
      <c r="BS267" s="386"/>
      <c r="BT267" s="386"/>
      <c r="BU267" s="386"/>
      <c r="BV267" s="386"/>
      <c r="BW267" s="386"/>
      <c r="BX267" s="386"/>
      <c r="BY267" s="335" t="s">
        <v>324</v>
      </c>
      <c r="BZ267" s="335" t="s">
        <v>324</v>
      </c>
      <c r="CA267" s="335" t="s">
        <v>324</v>
      </c>
      <c r="CC267" s="335" t="s">
        <v>324</v>
      </c>
      <c r="CD267" s="335" t="s">
        <v>324</v>
      </c>
      <c r="CE267" s="335" t="s">
        <v>324</v>
      </c>
      <c r="CF267" s="335" t="s">
        <v>324</v>
      </c>
      <c r="CG267" s="335" t="s">
        <v>324</v>
      </c>
      <c r="CH267" s="335" t="s">
        <v>324</v>
      </c>
      <c r="CI267" s="335" t="s">
        <v>324</v>
      </c>
      <c r="CK267" s="335" t="s">
        <v>324</v>
      </c>
      <c r="CL267" s="335" t="s">
        <v>324</v>
      </c>
      <c r="CM267" s="335" t="s">
        <v>324</v>
      </c>
      <c r="CN267" s="335" t="s">
        <v>324</v>
      </c>
      <c r="CO267" s="335" t="s">
        <v>324</v>
      </c>
      <c r="CP267" s="335" t="s">
        <v>324</v>
      </c>
      <c r="CQ267" s="335" t="s">
        <v>324</v>
      </c>
      <c r="CS267" s="335" t="s">
        <v>324</v>
      </c>
      <c r="CT267" s="335" t="s">
        <v>324</v>
      </c>
      <c r="CU267" s="335" t="s">
        <v>324</v>
      </c>
      <c r="CV267" s="335" t="s">
        <v>324</v>
      </c>
      <c r="CX267" s="335" t="s">
        <v>324</v>
      </c>
      <c r="CY267" s="335" t="s">
        <v>324</v>
      </c>
      <c r="CZ267" s="335" t="s">
        <v>324</v>
      </c>
      <c r="DB267" s="335" t="s">
        <v>324</v>
      </c>
      <c r="DC267" s="335" t="s">
        <v>324</v>
      </c>
      <c r="DD267" s="335" t="s">
        <v>324</v>
      </c>
      <c r="DE267" s="335" t="s">
        <v>324</v>
      </c>
      <c r="DF267" s="386"/>
      <c r="DG267" s="386"/>
      <c r="DH267" s="386"/>
      <c r="DI267" s="386"/>
      <c r="DJ267" s="386"/>
      <c r="DK267" s="386"/>
      <c r="DL267" s="386"/>
      <c r="DM267" s="386"/>
      <c r="DN267" s="335" t="s">
        <v>324</v>
      </c>
      <c r="DO267" s="335" t="s">
        <v>324</v>
      </c>
      <c r="DP267" s="335" t="s">
        <v>324</v>
      </c>
      <c r="DR267" s="335" t="s">
        <v>324</v>
      </c>
      <c r="DS267" s="335" t="s">
        <v>324</v>
      </c>
      <c r="DT267" s="335" t="s">
        <v>324</v>
      </c>
      <c r="DU267" s="335" t="s">
        <v>324</v>
      </c>
      <c r="DV267" s="335" t="s">
        <v>324</v>
      </c>
      <c r="DW267" s="335" t="s">
        <v>324</v>
      </c>
      <c r="DX267" s="335" t="s">
        <v>324</v>
      </c>
      <c r="DZ267" s="335" t="s">
        <v>324</v>
      </c>
      <c r="EA267" s="335" t="s">
        <v>324</v>
      </c>
      <c r="EB267" s="335" t="s">
        <v>324</v>
      </c>
      <c r="EC267" s="335" t="s">
        <v>324</v>
      </c>
      <c r="ED267" s="335" t="s">
        <v>324</v>
      </c>
      <c r="EE267" s="335" t="s">
        <v>324</v>
      </c>
      <c r="EF267" s="335" t="s">
        <v>324</v>
      </c>
      <c r="EH267" s="335" t="s">
        <v>324</v>
      </c>
      <c r="EI267" s="335" t="s">
        <v>324</v>
      </c>
      <c r="EJ267" s="335" t="s">
        <v>324</v>
      </c>
      <c r="EK267" s="335" t="s">
        <v>324</v>
      </c>
      <c r="EL267" s="335" t="s">
        <v>324</v>
      </c>
      <c r="EM267" s="335" t="s">
        <v>324</v>
      </c>
      <c r="EN267" s="335" t="s">
        <v>324</v>
      </c>
      <c r="EP267" s="335" t="s">
        <v>324</v>
      </c>
      <c r="EQ267" s="335" t="s">
        <v>324</v>
      </c>
      <c r="ER267" s="335" t="s">
        <v>324</v>
      </c>
      <c r="ES267" s="335" t="s">
        <v>324</v>
      </c>
      <c r="FB267" s="335" t="s">
        <v>324</v>
      </c>
      <c r="FC267" s="335" t="s">
        <v>324</v>
      </c>
      <c r="FD267" s="335" t="s">
        <v>324</v>
      </c>
      <c r="FE267" s="335" t="s">
        <v>324</v>
      </c>
      <c r="FF267" s="335" t="s">
        <v>324</v>
      </c>
      <c r="FG267" s="335" t="s">
        <v>324</v>
      </c>
      <c r="FH267" s="335" t="s">
        <v>324</v>
      </c>
      <c r="FI267" s="335" t="s">
        <v>324</v>
      </c>
      <c r="FJ267" s="335" t="s">
        <v>324</v>
      </c>
      <c r="FK267" s="335" t="s">
        <v>324</v>
      </c>
      <c r="FL267" s="335" t="s">
        <v>324</v>
      </c>
      <c r="FM267" s="335" t="s">
        <v>324</v>
      </c>
      <c r="FN267" s="335" t="s">
        <v>324</v>
      </c>
      <c r="FO267" s="335" t="s">
        <v>324</v>
      </c>
      <c r="FP267" s="335" t="s">
        <v>324</v>
      </c>
      <c r="FQ267" s="335" t="s">
        <v>324</v>
      </c>
    </row>
    <row r="268" spans="1:173" s="364" customFormat="1" ht="13.95" customHeight="1">
      <c r="A268" s="335" t="s">
        <v>361</v>
      </c>
      <c r="B268" s="364" t="s">
        <v>361</v>
      </c>
      <c r="C268" s="335" t="s">
        <v>1473</v>
      </c>
      <c r="D268" s="364" t="s">
        <v>1492</v>
      </c>
      <c r="E268" s="364" t="s">
        <v>503</v>
      </c>
      <c r="F268" s="425" t="s">
        <v>724</v>
      </c>
      <c r="G268" s="335" t="s">
        <v>324</v>
      </c>
      <c r="H268" s="346">
        <v>51</v>
      </c>
      <c r="I268" s="346">
        <v>49</v>
      </c>
      <c r="J268" s="346">
        <v>48</v>
      </c>
      <c r="N268" s="346" t="s">
        <v>1502</v>
      </c>
      <c r="O268" s="346" t="s">
        <v>1493</v>
      </c>
      <c r="P268" s="346" t="s">
        <v>734</v>
      </c>
      <c r="Q268" s="346" t="s">
        <v>1503</v>
      </c>
      <c r="R268" s="346" t="s">
        <v>2464</v>
      </c>
      <c r="S268" s="364" t="s">
        <v>1975</v>
      </c>
      <c r="T268" s="335" t="s">
        <v>1046</v>
      </c>
      <c r="U268" s="364">
        <v>25</v>
      </c>
      <c r="V268" s="335" cm="1">
        <f t="array" ref="V268">IFERROR(INDEX('Offer Statistics'!$DA$2:$DA$600,MATCH(1,(B268='Offer Statistics'!$CL$2:$CL$600)*($B$11='Offer Statistics'!$CM$2:$CM$600),0)),"/")</f>
        <v>24</v>
      </c>
      <c r="W268" s="335" cm="1">
        <f t="array" ref="W268">IFERROR(INDEX('Offer Statistics'!$CN$2:$CN$600,MATCH(1,(B268='Offer Statistics'!$CL$2:$CL$600)*($B$11='Offer Statistics'!$CM$2:$CM$600),0)),"/")</f>
        <v>123</v>
      </c>
      <c r="X268" s="335" cm="1">
        <f t="array" ref="X268">IFERROR(INDEX('Offer Statistics'!$CV$2:$CV$600,MATCH(1,(B268='Offer Statistics'!$CL$2:$CL$600)*($B$11='Offer Statistics'!$CM$2:$CM$600),0)),"/")</f>
        <v>24</v>
      </c>
      <c r="Y268" s="334">
        <f t="shared" si="376"/>
        <v>5.125</v>
      </c>
      <c r="Z268" s="335" t="s">
        <v>1046</v>
      </c>
      <c r="AA268" s="335" t="str">
        <f>入學要求!AF277</f>
        <v>M1/2 需考獲Lv. 3 或以上</v>
      </c>
      <c r="AB268" s="364" t="str">
        <f>入學要求!AG277</f>
        <v>/</v>
      </c>
      <c r="AC268" s="425" t="s">
        <v>724</v>
      </c>
      <c r="AD268" s="365"/>
      <c r="AF268" s="426" t="s">
        <v>1502</v>
      </c>
      <c r="AG268" s="426" t="s">
        <v>1496</v>
      </c>
      <c r="AH268" s="426" t="s">
        <v>734</v>
      </c>
      <c r="AI268" s="426" t="s">
        <v>1503</v>
      </c>
      <c r="AJ268" s="426" t="s">
        <v>1494</v>
      </c>
      <c r="AK268" s="364" t="s">
        <v>735</v>
      </c>
      <c r="AL268" s="364" t="s">
        <v>1490</v>
      </c>
      <c r="AM268" s="364" t="s">
        <v>1482</v>
      </c>
      <c r="AP268" s="364" t="s">
        <v>1478</v>
      </c>
      <c r="AQ268" s="335" t="s">
        <v>2527</v>
      </c>
      <c r="AR268" s="364" t="s">
        <v>324</v>
      </c>
      <c r="AT268" s="335" t="s">
        <v>716</v>
      </c>
      <c r="AU268" s="335"/>
      <c r="AV268" s="335" t="s">
        <v>713</v>
      </c>
      <c r="AZ268" s="364" t="s">
        <v>324</v>
      </c>
      <c r="BA268" s="364" t="s">
        <v>324</v>
      </c>
      <c r="BB268" s="364" t="s">
        <v>324</v>
      </c>
      <c r="BD268" s="364" t="s">
        <v>324</v>
      </c>
      <c r="BE268" s="364" t="s">
        <v>324</v>
      </c>
      <c r="BF268" s="364" t="s">
        <v>324</v>
      </c>
      <c r="BG268" s="364" t="s">
        <v>324</v>
      </c>
      <c r="BI268" s="364" t="s">
        <v>324</v>
      </c>
      <c r="BJ268" s="364" t="s">
        <v>324</v>
      </c>
      <c r="BK268" s="364" t="s">
        <v>324</v>
      </c>
      <c r="BM268" s="364" t="s">
        <v>324</v>
      </c>
      <c r="BN268" s="364" t="s">
        <v>324</v>
      </c>
      <c r="BO268" s="364" t="s">
        <v>324</v>
      </c>
      <c r="BP268" s="364" t="s">
        <v>324</v>
      </c>
      <c r="BY268" s="364" t="s">
        <v>324</v>
      </c>
      <c r="BZ268" s="364" t="s">
        <v>324</v>
      </c>
      <c r="CA268" s="364" t="s">
        <v>324</v>
      </c>
      <c r="CC268" s="364" t="s">
        <v>324</v>
      </c>
      <c r="CD268" s="364" t="s">
        <v>324</v>
      </c>
      <c r="CE268" s="364" t="s">
        <v>324</v>
      </c>
      <c r="CF268" s="364" t="s">
        <v>324</v>
      </c>
      <c r="CG268" s="364" t="s">
        <v>324</v>
      </c>
      <c r="CH268" s="364" t="s">
        <v>324</v>
      </c>
      <c r="CI268" s="364" t="s">
        <v>324</v>
      </c>
      <c r="CK268" s="364" t="s">
        <v>324</v>
      </c>
      <c r="CL268" s="364" t="s">
        <v>324</v>
      </c>
      <c r="CM268" s="364" t="s">
        <v>324</v>
      </c>
      <c r="CN268" s="364" t="s">
        <v>324</v>
      </c>
      <c r="CO268" s="364" t="s">
        <v>324</v>
      </c>
      <c r="CP268" s="364" t="s">
        <v>324</v>
      </c>
      <c r="CQ268" s="364" t="s">
        <v>324</v>
      </c>
      <c r="CS268" s="364" t="s">
        <v>324</v>
      </c>
      <c r="CT268" s="364" t="s">
        <v>324</v>
      </c>
      <c r="CU268" s="364" t="s">
        <v>324</v>
      </c>
      <c r="CV268" s="364" t="s">
        <v>324</v>
      </c>
      <c r="CX268" s="364" t="s">
        <v>324</v>
      </c>
      <c r="CY268" s="364" t="s">
        <v>324</v>
      </c>
      <c r="CZ268" s="364" t="s">
        <v>324</v>
      </c>
      <c r="DB268" s="364" t="s">
        <v>324</v>
      </c>
      <c r="DC268" s="364" t="s">
        <v>324</v>
      </c>
      <c r="DD268" s="364" t="s">
        <v>324</v>
      </c>
      <c r="DE268" s="364" t="s">
        <v>324</v>
      </c>
      <c r="DN268" s="364" t="s">
        <v>324</v>
      </c>
      <c r="DO268" s="364" t="s">
        <v>324</v>
      </c>
      <c r="DP268" s="364" t="s">
        <v>324</v>
      </c>
      <c r="DR268" s="364" t="s">
        <v>324</v>
      </c>
      <c r="DS268" s="364" t="s">
        <v>324</v>
      </c>
      <c r="DT268" s="364" t="s">
        <v>324</v>
      </c>
      <c r="DU268" s="364" t="s">
        <v>324</v>
      </c>
      <c r="DV268" s="364" t="s">
        <v>324</v>
      </c>
      <c r="DW268" s="364" t="s">
        <v>324</v>
      </c>
      <c r="DX268" s="364" t="s">
        <v>324</v>
      </c>
      <c r="DZ268" s="364" t="s">
        <v>324</v>
      </c>
      <c r="EA268" s="364" t="s">
        <v>324</v>
      </c>
      <c r="EB268" s="364" t="s">
        <v>324</v>
      </c>
      <c r="EC268" s="364" t="s">
        <v>324</v>
      </c>
      <c r="ED268" s="364" t="s">
        <v>324</v>
      </c>
      <c r="EE268" s="364" t="s">
        <v>324</v>
      </c>
      <c r="EF268" s="364" t="s">
        <v>324</v>
      </c>
      <c r="EH268" s="364" t="s">
        <v>324</v>
      </c>
      <c r="EI268" s="364" t="s">
        <v>324</v>
      </c>
      <c r="EJ268" s="364" t="s">
        <v>324</v>
      </c>
      <c r="EK268" s="364" t="s">
        <v>324</v>
      </c>
      <c r="EL268" s="364" t="s">
        <v>324</v>
      </c>
      <c r="EM268" s="364" t="s">
        <v>324</v>
      </c>
      <c r="EN268" s="364" t="s">
        <v>324</v>
      </c>
      <c r="EP268" s="364" t="s">
        <v>324</v>
      </c>
      <c r="EQ268" s="364" t="s">
        <v>324</v>
      </c>
      <c r="ER268" s="364" t="s">
        <v>324</v>
      </c>
      <c r="ES268" s="364" t="s">
        <v>324</v>
      </c>
      <c r="FB268" s="364" t="s">
        <v>324</v>
      </c>
      <c r="FC268" s="364" t="s">
        <v>324</v>
      </c>
      <c r="FD268" s="364" t="s">
        <v>324</v>
      </c>
      <c r="FE268" s="364" t="s">
        <v>324</v>
      </c>
      <c r="FF268" s="364" t="s">
        <v>324</v>
      </c>
      <c r="FG268" s="364" t="s">
        <v>324</v>
      </c>
      <c r="FH268" s="364" t="s">
        <v>324</v>
      </c>
      <c r="FI268" s="364" t="s">
        <v>324</v>
      </c>
      <c r="FJ268" s="364" t="s">
        <v>324</v>
      </c>
      <c r="FK268" s="364" t="s">
        <v>324</v>
      </c>
      <c r="FL268" s="364" t="s">
        <v>324</v>
      </c>
      <c r="FM268" s="364" t="s">
        <v>324</v>
      </c>
      <c r="FN268" s="364" t="s">
        <v>324</v>
      </c>
      <c r="FO268" s="364" t="s">
        <v>324</v>
      </c>
      <c r="FP268" s="364" t="s">
        <v>324</v>
      </c>
      <c r="FQ268" s="364" t="s">
        <v>324</v>
      </c>
    </row>
    <row r="269" spans="1:173" s="364" customFormat="1" ht="13.8" customHeight="1">
      <c r="A269" s="335" t="s">
        <v>359</v>
      </c>
      <c r="B269" s="364" t="s">
        <v>359</v>
      </c>
      <c r="C269" s="335" t="s">
        <v>1473</v>
      </c>
      <c r="D269" s="364" t="s">
        <v>1492</v>
      </c>
      <c r="E269" s="364" t="s">
        <v>505</v>
      </c>
      <c r="F269" s="425" t="s">
        <v>724</v>
      </c>
      <c r="G269" s="335" t="s">
        <v>324</v>
      </c>
      <c r="H269" s="346">
        <v>52</v>
      </c>
      <c r="I269" s="346">
        <v>51</v>
      </c>
      <c r="J269" s="346">
        <v>49</v>
      </c>
      <c r="N269" s="346" t="s">
        <v>725</v>
      </c>
      <c r="O269" s="346" t="s">
        <v>1493</v>
      </c>
      <c r="P269" s="346" t="s">
        <v>1377</v>
      </c>
      <c r="Q269" s="346" t="s">
        <v>2464</v>
      </c>
      <c r="R269" s="346" t="s">
        <v>324</v>
      </c>
      <c r="S269" s="364" t="s">
        <v>1506</v>
      </c>
      <c r="T269" s="335" t="s">
        <v>1046</v>
      </c>
      <c r="U269" s="364">
        <v>25</v>
      </c>
      <c r="V269" s="335" cm="1">
        <f t="array" ref="V269">IFERROR(INDEX('Offer Statistics'!$DA$2:$DA$600,MATCH(1,(B269='Offer Statistics'!$CL$2:$CL$600)*($B$11='Offer Statistics'!$CM$2:$CM$600),0)),"/")</f>
        <v>18</v>
      </c>
      <c r="W269" s="335" cm="1">
        <f t="array" ref="W269">IFERROR(INDEX('Offer Statistics'!$CN$2:$CN$600,MATCH(1,(B269='Offer Statistics'!$CL$2:$CL$600)*($B$11='Offer Statistics'!$CM$2:$CM$600),0)),"/")</f>
        <v>52</v>
      </c>
      <c r="X269" s="335" cm="1">
        <f t="array" ref="X269">IFERROR(INDEX('Offer Statistics'!$CV$2:$CV$600,MATCH(1,(B269='Offer Statistics'!$CL$2:$CL$600)*($B$11='Offer Statistics'!$CM$2:$CM$600),0)),"/")</f>
        <v>18</v>
      </c>
      <c r="Y269" s="334">
        <f t="shared" si="376"/>
        <v>2.8888888888888888</v>
      </c>
      <c r="Z269" s="335" t="s">
        <v>1046</v>
      </c>
      <c r="AA269" s="335" t="str">
        <f>入學要求!AF278</f>
        <v>/</v>
      </c>
      <c r="AB269" s="364" t="str">
        <f>入學要求!AG278</f>
        <v>/</v>
      </c>
      <c r="AC269" s="425" t="s">
        <v>724</v>
      </c>
      <c r="AD269" s="365"/>
      <c r="AF269" s="426" t="s">
        <v>725</v>
      </c>
      <c r="AG269" s="426" t="s">
        <v>1496</v>
      </c>
      <c r="AH269" s="426" t="s">
        <v>1377</v>
      </c>
      <c r="AI269" s="426" t="s">
        <v>1494</v>
      </c>
      <c r="AJ269" s="426" t="s">
        <v>324</v>
      </c>
      <c r="AK269" s="364" t="s">
        <v>735</v>
      </c>
      <c r="AL269" s="364" t="s">
        <v>1490</v>
      </c>
      <c r="AM269" s="364" t="s">
        <v>1482</v>
      </c>
      <c r="AP269" s="364" t="s">
        <v>1478</v>
      </c>
      <c r="AQ269" s="335" t="s">
        <v>2527</v>
      </c>
      <c r="AR269" s="364" t="s">
        <v>324</v>
      </c>
      <c r="AT269" s="335" t="s">
        <v>716</v>
      </c>
      <c r="AU269" s="335"/>
      <c r="AV269" s="335" t="s">
        <v>713</v>
      </c>
      <c r="AZ269" s="364" t="s">
        <v>324</v>
      </c>
      <c r="BA269" s="364" t="s">
        <v>324</v>
      </c>
      <c r="BB269" s="364" t="s">
        <v>324</v>
      </c>
      <c r="BD269" s="364" t="s">
        <v>324</v>
      </c>
      <c r="BE269" s="364" t="s">
        <v>324</v>
      </c>
      <c r="BF269" s="364" t="s">
        <v>324</v>
      </c>
      <c r="BG269" s="364" t="s">
        <v>324</v>
      </c>
      <c r="BI269" s="364" t="s">
        <v>324</v>
      </c>
      <c r="BJ269" s="364" t="s">
        <v>324</v>
      </c>
      <c r="BK269" s="364" t="s">
        <v>324</v>
      </c>
      <c r="BM269" s="364" t="s">
        <v>324</v>
      </c>
      <c r="BN269" s="364" t="s">
        <v>324</v>
      </c>
      <c r="BO269" s="364" t="s">
        <v>324</v>
      </c>
      <c r="BP269" s="364" t="s">
        <v>324</v>
      </c>
      <c r="BY269" s="364" t="s">
        <v>324</v>
      </c>
      <c r="BZ269" s="364" t="s">
        <v>324</v>
      </c>
      <c r="CA269" s="364" t="s">
        <v>324</v>
      </c>
      <c r="CC269" s="364" t="s">
        <v>324</v>
      </c>
      <c r="CD269" s="364" t="s">
        <v>324</v>
      </c>
      <c r="CE269" s="364" t="s">
        <v>324</v>
      </c>
      <c r="CF269" s="364" t="s">
        <v>324</v>
      </c>
      <c r="CG269" s="364" t="s">
        <v>324</v>
      </c>
      <c r="CH269" s="364" t="s">
        <v>324</v>
      </c>
      <c r="CI269" s="364" t="s">
        <v>324</v>
      </c>
      <c r="CK269" s="364" t="s">
        <v>324</v>
      </c>
      <c r="CL269" s="364" t="s">
        <v>324</v>
      </c>
      <c r="CM269" s="364" t="s">
        <v>324</v>
      </c>
      <c r="CN269" s="364" t="s">
        <v>324</v>
      </c>
      <c r="CO269" s="364" t="s">
        <v>324</v>
      </c>
      <c r="CP269" s="364" t="s">
        <v>324</v>
      </c>
      <c r="CQ269" s="364" t="s">
        <v>324</v>
      </c>
      <c r="CS269" s="364" t="s">
        <v>324</v>
      </c>
      <c r="CT269" s="364" t="s">
        <v>324</v>
      </c>
      <c r="CU269" s="364" t="s">
        <v>324</v>
      </c>
      <c r="CV269" s="364" t="s">
        <v>324</v>
      </c>
      <c r="CX269" s="364" t="s">
        <v>324</v>
      </c>
      <c r="CY269" s="364" t="s">
        <v>324</v>
      </c>
      <c r="CZ269" s="364" t="s">
        <v>324</v>
      </c>
      <c r="DB269" s="364" t="s">
        <v>324</v>
      </c>
      <c r="DC269" s="364" t="s">
        <v>324</v>
      </c>
      <c r="DD269" s="364" t="s">
        <v>324</v>
      </c>
      <c r="DE269" s="364" t="s">
        <v>324</v>
      </c>
      <c r="DN269" s="364" t="s">
        <v>324</v>
      </c>
      <c r="DO269" s="364" t="s">
        <v>324</v>
      </c>
      <c r="DP269" s="364" t="s">
        <v>324</v>
      </c>
      <c r="DR269" s="364" t="s">
        <v>324</v>
      </c>
      <c r="DS269" s="364" t="s">
        <v>324</v>
      </c>
      <c r="DT269" s="364" t="s">
        <v>324</v>
      </c>
      <c r="DU269" s="364" t="s">
        <v>324</v>
      </c>
      <c r="DV269" s="364" t="s">
        <v>324</v>
      </c>
      <c r="DW269" s="364" t="s">
        <v>324</v>
      </c>
      <c r="DX269" s="364" t="s">
        <v>324</v>
      </c>
      <c r="DZ269" s="364" t="s">
        <v>324</v>
      </c>
      <c r="EA269" s="364" t="s">
        <v>324</v>
      </c>
      <c r="EB269" s="364" t="s">
        <v>324</v>
      </c>
      <c r="EC269" s="364" t="s">
        <v>324</v>
      </c>
      <c r="ED269" s="364" t="s">
        <v>324</v>
      </c>
      <c r="EE269" s="364" t="s">
        <v>324</v>
      </c>
      <c r="EF269" s="364" t="s">
        <v>324</v>
      </c>
      <c r="EH269" s="364" t="s">
        <v>324</v>
      </c>
      <c r="EI269" s="364" t="s">
        <v>324</v>
      </c>
      <c r="EJ269" s="364" t="s">
        <v>324</v>
      </c>
      <c r="EK269" s="364" t="s">
        <v>324</v>
      </c>
      <c r="EL269" s="364" t="s">
        <v>324</v>
      </c>
      <c r="EM269" s="364" t="s">
        <v>324</v>
      </c>
      <c r="EN269" s="364" t="s">
        <v>324</v>
      </c>
      <c r="EP269" s="364" t="s">
        <v>324</v>
      </c>
      <c r="EQ269" s="364" t="s">
        <v>324</v>
      </c>
      <c r="ER269" s="364" t="s">
        <v>324</v>
      </c>
      <c r="ES269" s="364" t="s">
        <v>324</v>
      </c>
      <c r="FB269" s="364" t="s">
        <v>324</v>
      </c>
      <c r="FC269" s="364" t="s">
        <v>324</v>
      </c>
      <c r="FD269" s="364" t="s">
        <v>324</v>
      </c>
      <c r="FE269" s="364" t="s">
        <v>324</v>
      </c>
      <c r="FF269" s="364" t="s">
        <v>324</v>
      </c>
      <c r="FG269" s="364" t="s">
        <v>324</v>
      </c>
      <c r="FH269" s="364" t="s">
        <v>324</v>
      </c>
      <c r="FI269" s="364" t="s">
        <v>324</v>
      </c>
      <c r="FJ269" s="364" t="s">
        <v>324</v>
      </c>
      <c r="FK269" s="364" t="s">
        <v>324</v>
      </c>
      <c r="FL269" s="364" t="s">
        <v>324</v>
      </c>
      <c r="FM269" s="364" t="s">
        <v>324</v>
      </c>
      <c r="FN269" s="364" t="s">
        <v>324</v>
      </c>
      <c r="FO269" s="364" t="s">
        <v>324</v>
      </c>
      <c r="FP269" s="364" t="s">
        <v>324</v>
      </c>
      <c r="FQ269" s="364" t="s">
        <v>324</v>
      </c>
    </row>
    <row r="270" spans="1:173" s="364" customFormat="1" ht="13.95" customHeight="1">
      <c r="A270" s="335" t="s">
        <v>507</v>
      </c>
      <c r="B270" s="368" t="s">
        <v>507</v>
      </c>
      <c r="C270" s="335" t="s">
        <v>1473</v>
      </c>
      <c r="D270" s="364" t="s">
        <v>1507</v>
      </c>
      <c r="E270" s="364" t="s">
        <v>508</v>
      </c>
      <c r="F270" s="425" t="s">
        <v>724</v>
      </c>
      <c r="G270" s="335" t="s">
        <v>324</v>
      </c>
      <c r="H270" s="346">
        <v>49</v>
      </c>
      <c r="I270" s="346">
        <v>46</v>
      </c>
      <c r="J270" s="346">
        <v>45</v>
      </c>
      <c r="N270" s="346" t="s">
        <v>2465</v>
      </c>
      <c r="O270" s="346" t="s">
        <v>2476</v>
      </c>
      <c r="P270" s="346" t="s">
        <v>2477</v>
      </c>
      <c r="Q270" s="346" t="s">
        <v>324</v>
      </c>
      <c r="R270" s="346" t="s">
        <v>324</v>
      </c>
      <c r="S270" s="364" t="s">
        <v>1509</v>
      </c>
      <c r="T270" s="335" t="s">
        <v>1046</v>
      </c>
      <c r="U270" s="364">
        <v>90</v>
      </c>
      <c r="V270" s="335" cm="1">
        <f t="array" ref="V270">IFERROR(INDEX('Offer Statistics'!$DA$2:$DA$600,MATCH(1,(B270='Offer Statistics'!$CL$2:$CL$600)*($B$11='Offer Statistics'!$CM$2:$CM$600),0)),"/")</f>
        <v>55</v>
      </c>
      <c r="W270" s="335" cm="1">
        <f t="array" ref="W270">IFERROR(INDEX('Offer Statistics'!$CN$2:$CN$600,MATCH(1,(B270='Offer Statistics'!$CL$2:$CL$600)*($B$11='Offer Statistics'!$CM$2:$CM$600),0)),"/")</f>
        <v>203</v>
      </c>
      <c r="X270" s="335" cm="1">
        <f t="array" ref="X270">IFERROR(INDEX('Offer Statistics'!$CV$2:$CV$600,MATCH(1,(B270='Offer Statistics'!$CL$2:$CL$600)*($B$11='Offer Statistics'!$CM$2:$CM$600),0)),"/")</f>
        <v>55</v>
      </c>
      <c r="Y270" s="334">
        <f t="shared" si="376"/>
        <v>3.6909090909090909</v>
      </c>
      <c r="Z270" s="335" t="s">
        <v>1046</v>
      </c>
      <c r="AA270" s="335" t="str">
        <f>入學要求!AF279</f>
        <v>以下一科選修取得Lv.3︰生物、化學</v>
      </c>
      <c r="AB270" s="364" t="str">
        <f>入學要求!AG279</f>
        <v>/</v>
      </c>
      <c r="AC270" s="425" t="s">
        <v>724</v>
      </c>
      <c r="AD270" s="365"/>
      <c r="AF270" s="426" t="s">
        <v>1508</v>
      </c>
      <c r="AG270" s="426" t="s">
        <v>2476</v>
      </c>
      <c r="AH270" s="426" t="s">
        <v>2477</v>
      </c>
      <c r="AI270" s="426" t="s">
        <v>324</v>
      </c>
      <c r="AJ270" s="426" t="s">
        <v>324</v>
      </c>
      <c r="AK270" s="364" t="s">
        <v>735</v>
      </c>
      <c r="AL270" s="364" t="s">
        <v>1490</v>
      </c>
      <c r="AM270" s="364" t="s">
        <v>1482</v>
      </c>
      <c r="AN270" s="363" t="s">
        <v>2478</v>
      </c>
      <c r="AP270" s="364" t="s">
        <v>1478</v>
      </c>
      <c r="AQ270" s="364" t="s">
        <v>2525</v>
      </c>
      <c r="AR270" s="364" t="s">
        <v>324</v>
      </c>
      <c r="AT270" s="364" t="s">
        <v>716</v>
      </c>
      <c r="AV270" s="387" t="s">
        <v>1510</v>
      </c>
      <c r="AZ270" s="364" t="s">
        <v>324</v>
      </c>
      <c r="BA270" s="364" t="s">
        <v>324</v>
      </c>
      <c r="BB270" s="364" t="s">
        <v>324</v>
      </c>
      <c r="BD270" s="364" t="s">
        <v>324</v>
      </c>
      <c r="BE270" s="364" t="s">
        <v>324</v>
      </c>
      <c r="BF270" s="364" t="s">
        <v>324</v>
      </c>
      <c r="BG270" s="364" t="s">
        <v>324</v>
      </c>
      <c r="BI270" s="364" t="s">
        <v>324</v>
      </c>
      <c r="BJ270" s="364" t="s">
        <v>324</v>
      </c>
      <c r="BK270" s="364" t="s">
        <v>324</v>
      </c>
      <c r="BM270" s="364" t="s">
        <v>324</v>
      </c>
      <c r="BN270" s="364" t="s">
        <v>324</v>
      </c>
      <c r="BO270" s="364" t="s">
        <v>324</v>
      </c>
      <c r="BP270" s="364" t="s">
        <v>324</v>
      </c>
      <c r="BY270" s="364" t="s">
        <v>324</v>
      </c>
      <c r="BZ270" s="364" t="s">
        <v>324</v>
      </c>
      <c r="CA270" s="364" t="s">
        <v>324</v>
      </c>
      <c r="CC270" s="364" t="s">
        <v>324</v>
      </c>
      <c r="CD270" s="364" t="s">
        <v>324</v>
      </c>
      <c r="CE270" s="364" t="s">
        <v>324</v>
      </c>
      <c r="CF270" s="364" t="s">
        <v>324</v>
      </c>
      <c r="CG270" s="364" t="s">
        <v>324</v>
      </c>
      <c r="CH270" s="364" t="s">
        <v>324</v>
      </c>
      <c r="CI270" s="364" t="s">
        <v>324</v>
      </c>
      <c r="CK270" s="364" t="s">
        <v>324</v>
      </c>
      <c r="CL270" s="364" t="s">
        <v>324</v>
      </c>
      <c r="CM270" s="364" t="s">
        <v>324</v>
      </c>
      <c r="CN270" s="364" t="s">
        <v>324</v>
      </c>
      <c r="CO270" s="364" t="s">
        <v>324</v>
      </c>
      <c r="CP270" s="364" t="s">
        <v>324</v>
      </c>
      <c r="CQ270" s="364" t="s">
        <v>324</v>
      </c>
      <c r="CS270" s="364" t="s">
        <v>324</v>
      </c>
      <c r="CT270" s="364" t="s">
        <v>324</v>
      </c>
      <c r="CU270" s="364" t="s">
        <v>324</v>
      </c>
      <c r="CV270" s="364" t="s">
        <v>324</v>
      </c>
      <c r="CX270" s="364" t="s">
        <v>324</v>
      </c>
      <c r="CY270" s="364" t="s">
        <v>324</v>
      </c>
      <c r="CZ270" s="364" t="s">
        <v>324</v>
      </c>
      <c r="DB270" s="364" t="s">
        <v>324</v>
      </c>
      <c r="DC270" s="364" t="s">
        <v>324</v>
      </c>
      <c r="DD270" s="364" t="s">
        <v>324</v>
      </c>
      <c r="DE270" s="364" t="s">
        <v>324</v>
      </c>
      <c r="DN270" s="364" t="s">
        <v>324</v>
      </c>
      <c r="DO270" s="364" t="s">
        <v>324</v>
      </c>
      <c r="DP270" s="364" t="s">
        <v>324</v>
      </c>
      <c r="DR270" s="364" t="s">
        <v>324</v>
      </c>
      <c r="DS270" s="364" t="s">
        <v>324</v>
      </c>
      <c r="DT270" s="364" t="s">
        <v>324</v>
      </c>
      <c r="DU270" s="364" t="s">
        <v>324</v>
      </c>
      <c r="DV270" s="364" t="s">
        <v>324</v>
      </c>
      <c r="DW270" s="364" t="s">
        <v>324</v>
      </c>
      <c r="DX270" s="364" t="s">
        <v>324</v>
      </c>
      <c r="DZ270" s="364" t="s">
        <v>324</v>
      </c>
      <c r="EA270" s="364" t="s">
        <v>324</v>
      </c>
      <c r="EB270" s="364" t="s">
        <v>324</v>
      </c>
      <c r="EC270" s="364" t="s">
        <v>324</v>
      </c>
      <c r="ED270" s="364" t="s">
        <v>324</v>
      </c>
      <c r="EE270" s="364" t="s">
        <v>324</v>
      </c>
      <c r="EF270" s="364" t="s">
        <v>324</v>
      </c>
      <c r="EH270" s="364" t="s">
        <v>324</v>
      </c>
      <c r="EI270" s="364" t="s">
        <v>324</v>
      </c>
      <c r="EJ270" s="364" t="s">
        <v>324</v>
      </c>
      <c r="EK270" s="364" t="s">
        <v>324</v>
      </c>
      <c r="EL270" s="364" t="s">
        <v>324</v>
      </c>
      <c r="EM270" s="364" t="s">
        <v>324</v>
      </c>
      <c r="EN270" s="364" t="s">
        <v>324</v>
      </c>
      <c r="EP270" s="364" t="s">
        <v>324</v>
      </c>
      <c r="EQ270" s="364" t="s">
        <v>324</v>
      </c>
      <c r="ER270" s="364" t="s">
        <v>324</v>
      </c>
      <c r="ES270" s="364" t="s">
        <v>324</v>
      </c>
      <c r="FB270" s="364" t="s">
        <v>324</v>
      </c>
      <c r="FC270" s="364" t="s">
        <v>324</v>
      </c>
      <c r="FD270" s="364" t="s">
        <v>324</v>
      </c>
      <c r="FE270" s="364" t="s">
        <v>324</v>
      </c>
      <c r="FF270" s="364" t="s">
        <v>324</v>
      </c>
      <c r="FG270" s="364" t="s">
        <v>324</v>
      </c>
      <c r="FH270" s="364" t="s">
        <v>324</v>
      </c>
      <c r="FI270" s="364" t="s">
        <v>324</v>
      </c>
      <c r="FJ270" s="364" t="s">
        <v>324</v>
      </c>
      <c r="FK270" s="364" t="s">
        <v>324</v>
      </c>
      <c r="FL270" s="364" t="s">
        <v>324</v>
      </c>
      <c r="FM270" s="364" t="s">
        <v>324</v>
      </c>
      <c r="FN270" s="364" t="s">
        <v>324</v>
      </c>
      <c r="FO270" s="364" t="s">
        <v>324</v>
      </c>
      <c r="FP270" s="364" t="s">
        <v>324</v>
      </c>
      <c r="FQ270" s="364" t="s">
        <v>324</v>
      </c>
    </row>
    <row r="271" spans="1:173" s="364" customFormat="1" ht="13.95" customHeight="1">
      <c r="A271" s="335" t="s">
        <v>511</v>
      </c>
      <c r="B271" s="364" t="s">
        <v>511</v>
      </c>
      <c r="C271" s="335" t="s">
        <v>1473</v>
      </c>
      <c r="D271" s="364" t="s">
        <v>1234</v>
      </c>
      <c r="E271" s="364" t="s">
        <v>2806</v>
      </c>
      <c r="F271" s="425" t="s">
        <v>785</v>
      </c>
      <c r="G271" s="335" t="s">
        <v>324</v>
      </c>
      <c r="H271" s="346">
        <v>39</v>
      </c>
      <c r="I271" s="346">
        <v>36</v>
      </c>
      <c r="J271" s="346">
        <v>32</v>
      </c>
      <c r="N271" s="482" t="s">
        <v>786</v>
      </c>
      <c r="O271" s="346" t="s">
        <v>324</v>
      </c>
      <c r="P271" s="346" t="s">
        <v>734</v>
      </c>
      <c r="Q271" s="346" t="s">
        <v>324</v>
      </c>
      <c r="R271" s="346" t="s">
        <v>324</v>
      </c>
      <c r="S271" s="364" t="s">
        <v>2119</v>
      </c>
      <c r="T271" s="335" t="s">
        <v>1046</v>
      </c>
      <c r="U271" s="364">
        <v>17</v>
      </c>
      <c r="V271" s="335" cm="1">
        <f t="array" ref="V271">IFERROR(INDEX('Offer Statistics'!$DA$2:$DA$600,MATCH(1,(B271='Offer Statistics'!$CL$2:$CL$600)*($B$11='Offer Statistics'!$CM$2:$CM$600),0)),"/")</f>
        <v>17</v>
      </c>
      <c r="W271" s="335" cm="1">
        <f t="array" ref="W271">IFERROR(INDEX('Offer Statistics'!$CN$2:$CN$600,MATCH(1,(B271='Offer Statistics'!$CL$2:$CL$600)*($B$11='Offer Statistics'!$CM$2:$CM$600),0)),"/")</f>
        <v>138</v>
      </c>
      <c r="X271" s="335" cm="1">
        <f t="array" ref="X271">IFERROR(INDEX('Offer Statistics'!$CV$2:$CV$600,MATCH(1,(B271='Offer Statistics'!$CL$2:$CL$600)*($B$11='Offer Statistics'!$CM$2:$CM$600),0)),"/")</f>
        <v>17</v>
      </c>
      <c r="Y271" s="334">
        <f t="shared" si="376"/>
        <v>8.117647058823529</v>
      </c>
      <c r="Z271" s="335" t="s">
        <v>1046</v>
      </c>
      <c r="AA271" s="335" t="str">
        <f>入學要求!AF280</f>
        <v>Candidates are strongly advised to include their personal statement in English in the
"Additional Information" of their JUPAS application.</v>
      </c>
      <c r="AB271" s="364" t="str">
        <f>入學要求!AG280</f>
        <v>Candidates are encouraged to enter details about their other learning experiences or
extra curricular activities.</v>
      </c>
      <c r="AC271" s="425" t="s">
        <v>11</v>
      </c>
      <c r="AD271" s="363"/>
      <c r="AF271" s="487" t="s">
        <v>786</v>
      </c>
      <c r="AG271" s="487" t="s">
        <v>324</v>
      </c>
      <c r="AH271" s="426" t="s">
        <v>734</v>
      </c>
      <c r="AI271" s="426" t="s">
        <v>324</v>
      </c>
      <c r="AJ271" s="426" t="s">
        <v>324</v>
      </c>
      <c r="AK271" s="364" t="s">
        <v>1512</v>
      </c>
      <c r="AL271" s="364" t="s">
        <v>1513</v>
      </c>
      <c r="AM271" s="364" t="s">
        <v>1514</v>
      </c>
      <c r="AP271" s="364" t="s">
        <v>1478</v>
      </c>
      <c r="AQ271" s="364" t="s">
        <v>1479</v>
      </c>
      <c r="AR271" s="364" t="s">
        <v>324</v>
      </c>
      <c r="AT271" s="364" t="s">
        <v>716</v>
      </c>
      <c r="AV271" s="364" t="s">
        <v>713</v>
      </c>
      <c r="AZ271" s="364" t="s">
        <v>324</v>
      </c>
      <c r="BA271" s="364" t="s">
        <v>324</v>
      </c>
      <c r="BB271" s="364" t="s">
        <v>324</v>
      </c>
      <c r="BD271" s="364" t="s">
        <v>324</v>
      </c>
      <c r="BE271" s="364" t="s">
        <v>324</v>
      </c>
      <c r="BF271" s="364" t="s">
        <v>324</v>
      </c>
      <c r="BG271" s="364" t="s">
        <v>324</v>
      </c>
      <c r="BI271" s="364" t="s">
        <v>324</v>
      </c>
      <c r="BJ271" s="364" t="s">
        <v>324</v>
      </c>
      <c r="BK271" s="364" t="s">
        <v>324</v>
      </c>
      <c r="BM271" s="364" t="s">
        <v>324</v>
      </c>
      <c r="BN271" s="364" t="s">
        <v>324</v>
      </c>
      <c r="BO271" s="364" t="s">
        <v>324</v>
      </c>
      <c r="BP271" s="364" t="s">
        <v>324</v>
      </c>
      <c r="BY271" s="364" t="s">
        <v>324</v>
      </c>
      <c r="BZ271" s="364" t="s">
        <v>324</v>
      </c>
      <c r="CA271" s="364" t="s">
        <v>324</v>
      </c>
      <c r="CC271" s="364" t="s">
        <v>324</v>
      </c>
      <c r="CD271" s="364" t="s">
        <v>324</v>
      </c>
      <c r="CE271" s="364" t="s">
        <v>324</v>
      </c>
      <c r="CF271" s="364" t="s">
        <v>324</v>
      </c>
      <c r="CG271" s="364" t="s">
        <v>324</v>
      </c>
      <c r="CH271" s="364" t="s">
        <v>324</v>
      </c>
      <c r="CI271" s="364" t="s">
        <v>324</v>
      </c>
      <c r="CK271" s="364" t="s">
        <v>324</v>
      </c>
      <c r="CL271" s="364" t="s">
        <v>324</v>
      </c>
      <c r="CM271" s="364" t="s">
        <v>324</v>
      </c>
      <c r="CN271" s="364" t="s">
        <v>324</v>
      </c>
      <c r="CO271" s="364" t="s">
        <v>324</v>
      </c>
      <c r="CP271" s="364" t="s">
        <v>324</v>
      </c>
      <c r="CQ271" s="364" t="s">
        <v>324</v>
      </c>
      <c r="CS271" s="364" t="s">
        <v>324</v>
      </c>
      <c r="CT271" s="364" t="s">
        <v>324</v>
      </c>
      <c r="CU271" s="364" t="s">
        <v>324</v>
      </c>
      <c r="CV271" s="364" t="s">
        <v>324</v>
      </c>
      <c r="CX271" s="364" t="s">
        <v>324</v>
      </c>
      <c r="CY271" s="364" t="s">
        <v>324</v>
      </c>
      <c r="CZ271" s="364" t="s">
        <v>324</v>
      </c>
      <c r="DB271" s="364" t="s">
        <v>324</v>
      </c>
      <c r="DC271" s="364" t="s">
        <v>324</v>
      </c>
      <c r="DD271" s="364" t="s">
        <v>324</v>
      </c>
      <c r="DE271" s="364" t="s">
        <v>324</v>
      </c>
      <c r="DN271" s="364" t="s">
        <v>324</v>
      </c>
      <c r="DO271" s="364" t="s">
        <v>324</v>
      </c>
      <c r="DP271" s="364" t="s">
        <v>324</v>
      </c>
      <c r="DR271" s="364" t="s">
        <v>324</v>
      </c>
      <c r="DS271" s="364" t="s">
        <v>324</v>
      </c>
      <c r="DT271" s="364" t="s">
        <v>324</v>
      </c>
      <c r="DU271" s="364" t="s">
        <v>324</v>
      </c>
      <c r="DV271" s="364" t="s">
        <v>324</v>
      </c>
      <c r="DW271" s="364" t="s">
        <v>324</v>
      </c>
      <c r="DX271" s="364" t="s">
        <v>324</v>
      </c>
      <c r="DZ271" s="364" t="s">
        <v>324</v>
      </c>
      <c r="EA271" s="364" t="s">
        <v>324</v>
      </c>
      <c r="EB271" s="364" t="s">
        <v>324</v>
      </c>
      <c r="EC271" s="364" t="s">
        <v>324</v>
      </c>
      <c r="ED271" s="364" t="s">
        <v>324</v>
      </c>
      <c r="EE271" s="364" t="s">
        <v>324</v>
      </c>
      <c r="EF271" s="364" t="s">
        <v>324</v>
      </c>
      <c r="EH271" s="364" t="s">
        <v>324</v>
      </c>
      <c r="EI271" s="364" t="s">
        <v>324</v>
      </c>
      <c r="EJ271" s="364" t="s">
        <v>324</v>
      </c>
      <c r="EK271" s="364" t="s">
        <v>324</v>
      </c>
      <c r="EL271" s="364" t="s">
        <v>324</v>
      </c>
      <c r="EM271" s="364" t="s">
        <v>324</v>
      </c>
      <c r="EN271" s="364" t="s">
        <v>324</v>
      </c>
      <c r="EP271" s="364" t="s">
        <v>324</v>
      </c>
      <c r="EQ271" s="364" t="s">
        <v>324</v>
      </c>
      <c r="ER271" s="364" t="s">
        <v>324</v>
      </c>
      <c r="ES271" s="364" t="s">
        <v>324</v>
      </c>
      <c r="FB271" s="364" t="s">
        <v>324</v>
      </c>
      <c r="FC271" s="364" t="s">
        <v>324</v>
      </c>
      <c r="FD271" s="364" t="s">
        <v>324</v>
      </c>
      <c r="FE271" s="364" t="s">
        <v>324</v>
      </c>
      <c r="FF271" s="364" t="s">
        <v>324</v>
      </c>
      <c r="FG271" s="364" t="s">
        <v>324</v>
      </c>
      <c r="FH271" s="364" t="s">
        <v>324</v>
      </c>
      <c r="FI271" s="364" t="s">
        <v>324</v>
      </c>
      <c r="FJ271" s="364" t="s">
        <v>324</v>
      </c>
      <c r="FK271" s="364" t="s">
        <v>324</v>
      </c>
      <c r="FL271" s="364" t="s">
        <v>324</v>
      </c>
      <c r="FM271" s="364" t="s">
        <v>324</v>
      </c>
      <c r="FN271" s="364" t="s">
        <v>324</v>
      </c>
      <c r="FO271" s="364" t="s">
        <v>324</v>
      </c>
      <c r="FP271" s="364" t="s">
        <v>324</v>
      </c>
      <c r="FQ271" s="364" t="s">
        <v>324</v>
      </c>
    </row>
    <row r="272" spans="1:173" s="364" customFormat="1">
      <c r="A272" s="335" t="s">
        <v>513</v>
      </c>
      <c r="B272" s="364" t="s">
        <v>513</v>
      </c>
      <c r="C272" s="335" t="s">
        <v>1473</v>
      </c>
      <c r="D272" s="364" t="s">
        <v>1234</v>
      </c>
      <c r="E272" s="364" t="s">
        <v>2808</v>
      </c>
      <c r="F272" s="425" t="s">
        <v>785</v>
      </c>
      <c r="G272" s="335" t="s">
        <v>324</v>
      </c>
      <c r="H272" s="346">
        <v>36</v>
      </c>
      <c r="I272" s="346">
        <v>35</v>
      </c>
      <c r="J272" s="346">
        <v>34</v>
      </c>
      <c r="N272" s="346" t="s">
        <v>2402</v>
      </c>
      <c r="O272" s="346" t="s">
        <v>324</v>
      </c>
      <c r="P272" s="346" t="s">
        <v>873</v>
      </c>
      <c r="Q272" s="346" t="s">
        <v>324</v>
      </c>
      <c r="R272" s="346" t="s">
        <v>324</v>
      </c>
      <c r="S272" s="364" t="s">
        <v>2120</v>
      </c>
      <c r="T272" s="335" t="s">
        <v>1046</v>
      </c>
      <c r="U272" s="364">
        <v>17</v>
      </c>
      <c r="V272" s="335" cm="1">
        <f t="array" ref="V272">IFERROR(INDEX('Offer Statistics'!$DA$2:$DA$600,MATCH(1,(B272='Offer Statistics'!$CL$2:$CL$600)*($B$11='Offer Statistics'!$CM$2:$CM$600),0)),"/")</f>
        <v>17</v>
      </c>
      <c r="W272" s="335" cm="1">
        <f t="array" ref="W272">IFERROR(INDEX('Offer Statistics'!$CN$2:$CN$600,MATCH(1,(B272='Offer Statistics'!$CL$2:$CL$600)*($B$11='Offer Statistics'!$CM$2:$CM$600),0)),"/")</f>
        <v>102</v>
      </c>
      <c r="X272" s="335" cm="1">
        <f t="array" ref="X272">IFERROR(INDEX('Offer Statistics'!$CV$2:$CV$600,MATCH(1,(B272='Offer Statistics'!$CL$2:$CL$600)*($B$11='Offer Statistics'!$CM$2:$CM$600),0)),"/")</f>
        <v>17</v>
      </c>
      <c r="Y272" s="334">
        <f t="shared" si="376"/>
        <v>6</v>
      </c>
      <c r="Z272" s="335" t="s">
        <v>1046</v>
      </c>
      <c r="AA272" s="335" t="str">
        <f>入學要求!AF281</f>
        <v>/</v>
      </c>
      <c r="AB272" s="364" t="str">
        <f>入學要求!AG281</f>
        <v>/</v>
      </c>
      <c r="AC272" s="425" t="s">
        <v>11</v>
      </c>
      <c r="AD272" s="363"/>
      <c r="AF272" s="426" t="s">
        <v>2402</v>
      </c>
      <c r="AG272" s="487" t="s">
        <v>324</v>
      </c>
      <c r="AH272" s="426" t="s">
        <v>873</v>
      </c>
      <c r="AI272" s="426" t="s">
        <v>324</v>
      </c>
      <c r="AJ272" s="426" t="s">
        <v>324</v>
      </c>
      <c r="AK272" s="364" t="s">
        <v>735</v>
      </c>
      <c r="AL272" s="364" t="s">
        <v>324</v>
      </c>
      <c r="AM272" s="364" t="s">
        <v>324</v>
      </c>
      <c r="AP272" s="364" t="s">
        <v>1478</v>
      </c>
      <c r="AQ272" s="364" t="s">
        <v>1479</v>
      </c>
      <c r="AR272" s="364" t="s">
        <v>324</v>
      </c>
      <c r="AT272" s="364" t="s">
        <v>716</v>
      </c>
      <c r="AV272" s="364" t="s">
        <v>713</v>
      </c>
      <c r="AZ272" s="364" t="s">
        <v>324</v>
      </c>
      <c r="BA272" s="364" t="s">
        <v>324</v>
      </c>
      <c r="BB272" s="364" t="s">
        <v>324</v>
      </c>
      <c r="BD272" s="364" t="s">
        <v>324</v>
      </c>
      <c r="BE272" s="364" t="s">
        <v>324</v>
      </c>
      <c r="BF272" s="364" t="s">
        <v>324</v>
      </c>
      <c r="BG272" s="364" t="s">
        <v>324</v>
      </c>
      <c r="BI272" s="364" t="s">
        <v>324</v>
      </c>
      <c r="BJ272" s="364" t="s">
        <v>324</v>
      </c>
      <c r="BK272" s="364" t="s">
        <v>324</v>
      </c>
      <c r="BM272" s="364" t="s">
        <v>324</v>
      </c>
      <c r="BN272" s="364" t="s">
        <v>324</v>
      </c>
      <c r="BO272" s="364" t="s">
        <v>324</v>
      </c>
      <c r="BP272" s="364" t="s">
        <v>324</v>
      </c>
      <c r="BY272" s="364" t="s">
        <v>324</v>
      </c>
      <c r="BZ272" s="364" t="s">
        <v>324</v>
      </c>
      <c r="CA272" s="364" t="s">
        <v>324</v>
      </c>
      <c r="CC272" s="364" t="s">
        <v>324</v>
      </c>
      <c r="CD272" s="364" t="s">
        <v>324</v>
      </c>
      <c r="CE272" s="364" t="s">
        <v>324</v>
      </c>
      <c r="CF272" s="364" t="s">
        <v>324</v>
      </c>
      <c r="CG272" s="364" t="s">
        <v>324</v>
      </c>
      <c r="CH272" s="364" t="s">
        <v>324</v>
      </c>
      <c r="CI272" s="364" t="s">
        <v>324</v>
      </c>
      <c r="CK272" s="364" t="s">
        <v>324</v>
      </c>
      <c r="CL272" s="364" t="s">
        <v>324</v>
      </c>
      <c r="CM272" s="364" t="s">
        <v>324</v>
      </c>
      <c r="CN272" s="364" t="s">
        <v>324</v>
      </c>
      <c r="CO272" s="364" t="s">
        <v>324</v>
      </c>
      <c r="CP272" s="364" t="s">
        <v>324</v>
      </c>
      <c r="CQ272" s="364" t="s">
        <v>324</v>
      </c>
      <c r="CS272" s="364" t="s">
        <v>324</v>
      </c>
      <c r="CT272" s="364" t="s">
        <v>324</v>
      </c>
      <c r="CU272" s="364" t="s">
        <v>324</v>
      </c>
      <c r="CV272" s="364" t="s">
        <v>324</v>
      </c>
      <c r="CX272" s="364" t="s">
        <v>324</v>
      </c>
      <c r="CY272" s="364" t="s">
        <v>324</v>
      </c>
      <c r="CZ272" s="364" t="s">
        <v>324</v>
      </c>
      <c r="DB272" s="364" t="s">
        <v>324</v>
      </c>
      <c r="DC272" s="364" t="s">
        <v>324</v>
      </c>
      <c r="DD272" s="364" t="s">
        <v>324</v>
      </c>
      <c r="DE272" s="364" t="s">
        <v>324</v>
      </c>
      <c r="DN272" s="364" t="s">
        <v>324</v>
      </c>
      <c r="DO272" s="364" t="s">
        <v>324</v>
      </c>
      <c r="DP272" s="364" t="s">
        <v>324</v>
      </c>
      <c r="DR272" s="364" t="s">
        <v>324</v>
      </c>
      <c r="DS272" s="364" t="s">
        <v>324</v>
      </c>
      <c r="DT272" s="364" t="s">
        <v>324</v>
      </c>
      <c r="DU272" s="364" t="s">
        <v>324</v>
      </c>
      <c r="DV272" s="364" t="s">
        <v>324</v>
      </c>
      <c r="DW272" s="364" t="s">
        <v>324</v>
      </c>
      <c r="DX272" s="364" t="s">
        <v>324</v>
      </c>
      <c r="DZ272" s="364" t="s">
        <v>324</v>
      </c>
      <c r="EA272" s="364" t="s">
        <v>324</v>
      </c>
      <c r="EB272" s="364" t="s">
        <v>324</v>
      </c>
      <c r="EC272" s="364" t="s">
        <v>324</v>
      </c>
      <c r="ED272" s="364" t="s">
        <v>324</v>
      </c>
      <c r="EE272" s="364" t="s">
        <v>324</v>
      </c>
      <c r="EF272" s="364" t="s">
        <v>324</v>
      </c>
      <c r="EH272" s="364" t="s">
        <v>324</v>
      </c>
      <c r="EI272" s="364" t="s">
        <v>324</v>
      </c>
      <c r="EJ272" s="364" t="s">
        <v>324</v>
      </c>
      <c r="EK272" s="364" t="s">
        <v>324</v>
      </c>
      <c r="EL272" s="364" t="s">
        <v>324</v>
      </c>
      <c r="EM272" s="364" t="s">
        <v>324</v>
      </c>
      <c r="EN272" s="364" t="s">
        <v>324</v>
      </c>
      <c r="EP272" s="364" t="s">
        <v>324</v>
      </c>
      <c r="EQ272" s="364" t="s">
        <v>324</v>
      </c>
      <c r="ER272" s="364" t="s">
        <v>324</v>
      </c>
      <c r="ES272" s="364" t="s">
        <v>324</v>
      </c>
      <c r="FB272" s="364" t="s">
        <v>324</v>
      </c>
      <c r="FC272" s="364" t="s">
        <v>324</v>
      </c>
      <c r="FD272" s="364" t="s">
        <v>324</v>
      </c>
      <c r="FE272" s="364" t="s">
        <v>324</v>
      </c>
      <c r="FF272" s="364" t="s">
        <v>324</v>
      </c>
      <c r="FG272" s="364" t="s">
        <v>324</v>
      </c>
      <c r="FH272" s="364" t="s">
        <v>324</v>
      </c>
      <c r="FI272" s="364" t="s">
        <v>324</v>
      </c>
      <c r="FJ272" s="364" t="s">
        <v>324</v>
      </c>
      <c r="FK272" s="364" t="s">
        <v>324</v>
      </c>
      <c r="FL272" s="364" t="s">
        <v>324</v>
      </c>
      <c r="FM272" s="364" t="s">
        <v>324</v>
      </c>
      <c r="FN272" s="364" t="s">
        <v>324</v>
      </c>
      <c r="FO272" s="364" t="s">
        <v>324</v>
      </c>
      <c r="FP272" s="364" t="s">
        <v>324</v>
      </c>
      <c r="FQ272" s="364" t="s">
        <v>324</v>
      </c>
    </row>
    <row r="273" spans="1:173" s="335" customFormat="1">
      <c r="A273" s="335" t="s">
        <v>515</v>
      </c>
      <c r="B273" s="335" t="s">
        <v>515</v>
      </c>
      <c r="C273" s="335" t="s">
        <v>1473</v>
      </c>
      <c r="D273" s="335" t="s">
        <v>1234</v>
      </c>
      <c r="E273" s="335" t="s">
        <v>516</v>
      </c>
      <c r="F273" s="431" t="s">
        <v>785</v>
      </c>
      <c r="G273" s="335" t="s">
        <v>324</v>
      </c>
      <c r="H273" s="346">
        <v>28</v>
      </c>
      <c r="I273" s="346">
        <v>27</v>
      </c>
      <c r="J273" s="346">
        <v>26</v>
      </c>
      <c r="N273" s="346" t="s">
        <v>2467</v>
      </c>
      <c r="O273" s="346" t="s">
        <v>324</v>
      </c>
      <c r="P273" s="346" t="s">
        <v>734</v>
      </c>
      <c r="Q273" s="346" t="s">
        <v>1157</v>
      </c>
      <c r="R273" s="346" t="s">
        <v>324</v>
      </c>
      <c r="S273" s="334" t="s">
        <v>2121</v>
      </c>
      <c r="T273" s="335" t="s">
        <v>1046</v>
      </c>
      <c r="U273" s="335">
        <v>16</v>
      </c>
      <c r="V273" s="335" cm="1">
        <f t="array" ref="V273">IFERROR(INDEX('Offer Statistics'!$DA$2:$DA$600,MATCH(1,(B273='Offer Statistics'!$CL$2:$CL$600)*($B$11='Offer Statistics'!$CM$2:$CM$600),0)),"/")</f>
        <v>13</v>
      </c>
      <c r="W273" s="335" cm="1">
        <f t="array" ref="W273">IFERROR(INDEX('Offer Statistics'!$CN$2:$CN$600,MATCH(1,(B273='Offer Statistics'!$CL$2:$CL$600)*($B$11='Offer Statistics'!$CM$2:$CM$600),0)),"/")</f>
        <v>178</v>
      </c>
      <c r="X273" s="335" cm="1">
        <f t="array" ref="X273">IFERROR(INDEX('Offer Statistics'!$CV$2:$CV$600,MATCH(1,(B273='Offer Statistics'!$CL$2:$CL$600)*($B$11='Offer Statistics'!$CM$2:$CM$600),0)),"/")</f>
        <v>13</v>
      </c>
      <c r="Y273" s="334">
        <f t="shared" si="376"/>
        <v>13.692307692307692</v>
      </c>
      <c r="Z273" s="335" t="s">
        <v>1046</v>
      </c>
      <c r="AA273" s="335" t="str">
        <f>入學要求!AF282</f>
        <v>/</v>
      </c>
      <c r="AB273" s="335" t="str">
        <f>入學要求!AG282</f>
        <v>/</v>
      </c>
      <c r="AC273" s="431" t="s">
        <v>11</v>
      </c>
      <c r="AD273" s="337"/>
      <c r="AE273" s="337"/>
      <c r="AF273" s="431" t="s">
        <v>786</v>
      </c>
      <c r="AG273" s="485" t="s">
        <v>324</v>
      </c>
      <c r="AH273" s="431" t="s">
        <v>734</v>
      </c>
      <c r="AI273" s="431" t="s">
        <v>324</v>
      </c>
      <c r="AJ273" s="431" t="s">
        <v>324</v>
      </c>
      <c r="AK273" s="335" t="s">
        <v>735</v>
      </c>
      <c r="AL273" s="335" t="s">
        <v>1481</v>
      </c>
      <c r="AM273" s="335" t="s">
        <v>324</v>
      </c>
      <c r="AP273" s="335" t="s">
        <v>1478</v>
      </c>
      <c r="AQ273" s="335" t="s">
        <v>1479</v>
      </c>
      <c r="AR273" s="335" t="s">
        <v>324</v>
      </c>
      <c r="AT273" s="335" t="s">
        <v>716</v>
      </c>
      <c r="AV273" s="335" t="s">
        <v>713</v>
      </c>
      <c r="AZ273" s="335" t="s">
        <v>324</v>
      </c>
      <c r="BA273" s="335" t="s">
        <v>324</v>
      </c>
      <c r="BB273" s="335" t="s">
        <v>324</v>
      </c>
      <c r="BD273" s="335" t="s">
        <v>324</v>
      </c>
      <c r="BE273" s="335" t="s">
        <v>324</v>
      </c>
      <c r="BF273" s="335" t="s">
        <v>324</v>
      </c>
      <c r="BG273" s="335" t="s">
        <v>324</v>
      </c>
      <c r="BI273" s="335" t="s">
        <v>324</v>
      </c>
      <c r="BJ273" s="335" t="s">
        <v>324</v>
      </c>
      <c r="BK273" s="335" t="s">
        <v>324</v>
      </c>
      <c r="BM273" s="335" t="s">
        <v>324</v>
      </c>
      <c r="BN273" s="335" t="s">
        <v>324</v>
      </c>
      <c r="BO273" s="335" t="s">
        <v>324</v>
      </c>
      <c r="BP273" s="335" t="s">
        <v>324</v>
      </c>
      <c r="BQ273" s="386"/>
      <c r="BR273" s="386"/>
      <c r="BS273" s="386"/>
      <c r="BT273" s="386"/>
      <c r="BU273" s="386"/>
      <c r="BV273" s="386"/>
      <c r="BW273" s="386"/>
      <c r="BX273" s="386"/>
      <c r="BY273" s="335" t="s">
        <v>324</v>
      </c>
      <c r="BZ273" s="335" t="s">
        <v>324</v>
      </c>
      <c r="CA273" s="335" t="s">
        <v>324</v>
      </c>
      <c r="CC273" s="335" t="s">
        <v>324</v>
      </c>
      <c r="CD273" s="335" t="s">
        <v>324</v>
      </c>
      <c r="CE273" s="335" t="s">
        <v>324</v>
      </c>
      <c r="CF273" s="335" t="s">
        <v>324</v>
      </c>
      <c r="CG273" s="335" t="s">
        <v>324</v>
      </c>
      <c r="CH273" s="335" t="s">
        <v>324</v>
      </c>
      <c r="CI273" s="335" t="s">
        <v>324</v>
      </c>
      <c r="CK273" s="335" t="s">
        <v>324</v>
      </c>
      <c r="CL273" s="335" t="s">
        <v>324</v>
      </c>
      <c r="CM273" s="335" t="s">
        <v>324</v>
      </c>
      <c r="CN273" s="335" t="s">
        <v>324</v>
      </c>
      <c r="CO273" s="335" t="s">
        <v>324</v>
      </c>
      <c r="CP273" s="335" t="s">
        <v>324</v>
      </c>
      <c r="CQ273" s="335" t="s">
        <v>324</v>
      </c>
      <c r="CS273" s="335" t="s">
        <v>324</v>
      </c>
      <c r="CT273" s="335" t="s">
        <v>324</v>
      </c>
      <c r="CU273" s="335" t="s">
        <v>324</v>
      </c>
      <c r="CV273" s="335" t="s">
        <v>324</v>
      </c>
      <c r="CX273" s="335" t="s">
        <v>324</v>
      </c>
      <c r="CY273" s="335" t="s">
        <v>324</v>
      </c>
      <c r="CZ273" s="335" t="s">
        <v>324</v>
      </c>
      <c r="DB273" s="335" t="s">
        <v>324</v>
      </c>
      <c r="DC273" s="335" t="s">
        <v>324</v>
      </c>
      <c r="DD273" s="335" t="s">
        <v>324</v>
      </c>
      <c r="DE273" s="335" t="s">
        <v>324</v>
      </c>
      <c r="DF273" s="386"/>
      <c r="DG273" s="386"/>
      <c r="DH273" s="386"/>
      <c r="DI273" s="386"/>
      <c r="DJ273" s="386"/>
      <c r="DK273" s="386"/>
      <c r="DL273" s="386"/>
      <c r="DM273" s="386"/>
      <c r="DN273" s="335" t="s">
        <v>324</v>
      </c>
      <c r="DO273" s="335" t="s">
        <v>324</v>
      </c>
      <c r="DP273" s="335" t="s">
        <v>324</v>
      </c>
      <c r="DR273" s="335" t="s">
        <v>324</v>
      </c>
      <c r="DS273" s="335" t="s">
        <v>324</v>
      </c>
      <c r="DT273" s="335" t="s">
        <v>324</v>
      </c>
      <c r="DU273" s="335" t="s">
        <v>324</v>
      </c>
      <c r="DV273" s="335" t="s">
        <v>324</v>
      </c>
      <c r="DW273" s="335" t="s">
        <v>324</v>
      </c>
      <c r="DX273" s="335" t="s">
        <v>324</v>
      </c>
      <c r="DZ273" s="335" t="s">
        <v>324</v>
      </c>
      <c r="EA273" s="335" t="s">
        <v>324</v>
      </c>
      <c r="EB273" s="335" t="s">
        <v>324</v>
      </c>
      <c r="EC273" s="335" t="s">
        <v>324</v>
      </c>
      <c r="ED273" s="335" t="s">
        <v>324</v>
      </c>
      <c r="EE273" s="335" t="s">
        <v>324</v>
      </c>
      <c r="EF273" s="335" t="s">
        <v>324</v>
      </c>
      <c r="EH273" s="335" t="s">
        <v>324</v>
      </c>
      <c r="EI273" s="335" t="s">
        <v>324</v>
      </c>
      <c r="EJ273" s="335" t="s">
        <v>324</v>
      </c>
      <c r="EK273" s="335" t="s">
        <v>324</v>
      </c>
      <c r="EL273" s="335" t="s">
        <v>324</v>
      </c>
      <c r="EM273" s="335" t="s">
        <v>324</v>
      </c>
      <c r="EN273" s="335" t="s">
        <v>324</v>
      </c>
      <c r="EP273" s="335" t="s">
        <v>324</v>
      </c>
      <c r="EQ273" s="335" t="s">
        <v>324</v>
      </c>
      <c r="ER273" s="335" t="s">
        <v>324</v>
      </c>
      <c r="ES273" s="335" t="s">
        <v>324</v>
      </c>
      <c r="FB273" s="335" t="s">
        <v>324</v>
      </c>
      <c r="FC273" s="335" t="s">
        <v>324</v>
      </c>
      <c r="FD273" s="335" t="s">
        <v>324</v>
      </c>
      <c r="FE273" s="335" t="s">
        <v>324</v>
      </c>
      <c r="FF273" s="335" t="s">
        <v>324</v>
      </c>
      <c r="FG273" s="335" t="s">
        <v>324</v>
      </c>
      <c r="FH273" s="335" t="s">
        <v>324</v>
      </c>
      <c r="FI273" s="335" t="s">
        <v>324</v>
      </c>
      <c r="FJ273" s="335" t="s">
        <v>324</v>
      </c>
      <c r="FK273" s="335" t="s">
        <v>324</v>
      </c>
      <c r="FL273" s="335" t="s">
        <v>324</v>
      </c>
      <c r="FM273" s="335" t="s">
        <v>324</v>
      </c>
      <c r="FN273" s="335" t="s">
        <v>324</v>
      </c>
      <c r="FO273" s="335" t="s">
        <v>324</v>
      </c>
      <c r="FP273" s="335" t="s">
        <v>324</v>
      </c>
      <c r="FQ273" s="335" t="s">
        <v>324</v>
      </c>
    </row>
    <row r="274" spans="1:173" s="364" customFormat="1">
      <c r="A274" s="335" t="s">
        <v>519</v>
      </c>
      <c r="B274" s="364" t="s">
        <v>519</v>
      </c>
      <c r="C274" s="335" t="s">
        <v>1473</v>
      </c>
      <c r="D274" s="364" t="s">
        <v>1234</v>
      </c>
      <c r="E274" s="364" t="s">
        <v>2809</v>
      </c>
      <c r="F274" s="431" t="s">
        <v>785</v>
      </c>
      <c r="G274" s="335" t="s">
        <v>324</v>
      </c>
      <c r="H274" s="346">
        <v>44</v>
      </c>
      <c r="I274" s="346">
        <v>42</v>
      </c>
      <c r="J274" s="346">
        <v>40</v>
      </c>
      <c r="N274" s="346" t="s">
        <v>2468</v>
      </c>
      <c r="O274" s="346" t="s">
        <v>2466</v>
      </c>
      <c r="P274" s="346" t="s">
        <v>780</v>
      </c>
      <c r="Q274" s="346" t="s">
        <v>2479</v>
      </c>
      <c r="R274" s="346" t="s">
        <v>324</v>
      </c>
      <c r="S274" s="364" t="s">
        <v>2122</v>
      </c>
      <c r="T274" s="335" t="s">
        <v>1046</v>
      </c>
      <c r="U274" s="364">
        <v>16</v>
      </c>
      <c r="V274" s="335" cm="1">
        <f t="array" ref="V274">IFERROR(INDEX('Offer Statistics'!$DA$2:$DA$600,MATCH(1,(B274='Offer Statistics'!$CL$2:$CL$600)*($B$11='Offer Statistics'!$CM$2:$CM$600),0)),"/")</f>
        <v>13</v>
      </c>
      <c r="W274" s="335" cm="1">
        <f t="array" ref="W274">IFERROR(INDEX('Offer Statistics'!$CN$2:$CN$600,MATCH(1,(B274='Offer Statistics'!$CL$2:$CL$600)*($B$11='Offer Statistics'!$CM$2:$CM$600),0)),"/")</f>
        <v>143</v>
      </c>
      <c r="X274" s="335" cm="1">
        <f t="array" ref="X274">IFERROR(INDEX('Offer Statistics'!$CV$2:$CV$600,MATCH(1,(B274='Offer Statistics'!$CL$2:$CL$600)*($B$11='Offer Statistics'!$CM$2:$CM$600),0)),"/")</f>
        <v>13</v>
      </c>
      <c r="Y274" s="334">
        <f t="shared" si="376"/>
        <v>11</v>
      </c>
      <c r="Z274" s="335" t="s">
        <v>1046</v>
      </c>
      <c r="AA274" s="335" t="str">
        <f>入學要求!AF283</f>
        <v>以下一科選修取得Lv.3︰生物、化學、物理</v>
      </c>
      <c r="AB274" s="364" t="str">
        <f>入學要求!AG283</f>
        <v>/</v>
      </c>
      <c r="AC274" s="484" t="s">
        <v>11</v>
      </c>
      <c r="AD274" s="431" t="s">
        <v>3141</v>
      </c>
      <c r="AE274" s="363"/>
      <c r="AF274" s="431" t="s">
        <v>1517</v>
      </c>
      <c r="AG274" s="431" t="s">
        <v>3144</v>
      </c>
      <c r="AH274" s="431" t="s">
        <v>780</v>
      </c>
      <c r="AI274" s="431" t="s">
        <v>3145</v>
      </c>
      <c r="AJ274" s="426" t="s">
        <v>324</v>
      </c>
      <c r="AK274" s="364" t="s">
        <v>1482</v>
      </c>
      <c r="AL274" s="364" t="s">
        <v>324</v>
      </c>
      <c r="AM274" s="364" t="s">
        <v>324</v>
      </c>
      <c r="AP274" s="364" t="s">
        <v>1478</v>
      </c>
      <c r="AQ274" s="335" t="s">
        <v>2525</v>
      </c>
      <c r="AR274" s="364" t="s">
        <v>324</v>
      </c>
      <c r="AT274" s="364" t="s">
        <v>716</v>
      </c>
      <c r="AV274" s="364" t="s">
        <v>713</v>
      </c>
      <c r="AZ274" s="364" t="s">
        <v>324</v>
      </c>
      <c r="BA274" s="364" t="s">
        <v>324</v>
      </c>
      <c r="BB274" s="364" t="s">
        <v>324</v>
      </c>
      <c r="BD274" s="364" t="s">
        <v>324</v>
      </c>
      <c r="BE274" s="364" t="s">
        <v>324</v>
      </c>
      <c r="BF274" s="364" t="s">
        <v>324</v>
      </c>
      <c r="BG274" s="364" t="s">
        <v>324</v>
      </c>
      <c r="BI274" s="364" t="s">
        <v>324</v>
      </c>
      <c r="BJ274" s="364" t="s">
        <v>324</v>
      </c>
      <c r="BK274" s="364" t="s">
        <v>324</v>
      </c>
      <c r="BM274" s="364" t="s">
        <v>324</v>
      </c>
      <c r="BN274" s="364" t="s">
        <v>324</v>
      </c>
      <c r="BO274" s="364" t="s">
        <v>324</v>
      </c>
      <c r="BP274" s="364" t="s">
        <v>324</v>
      </c>
      <c r="BY274" s="364" t="s">
        <v>324</v>
      </c>
      <c r="BZ274" s="364" t="s">
        <v>324</v>
      </c>
      <c r="CA274" s="364" t="s">
        <v>324</v>
      </c>
      <c r="CC274" s="364" t="s">
        <v>324</v>
      </c>
      <c r="CD274" s="364" t="s">
        <v>324</v>
      </c>
      <c r="CE274" s="364" t="s">
        <v>324</v>
      </c>
      <c r="CF274" s="364" t="s">
        <v>324</v>
      </c>
      <c r="CG274" s="364" t="s">
        <v>324</v>
      </c>
      <c r="CH274" s="364" t="s">
        <v>324</v>
      </c>
      <c r="CI274" s="364" t="s">
        <v>324</v>
      </c>
      <c r="CK274" s="364" t="s">
        <v>324</v>
      </c>
      <c r="CL274" s="364" t="s">
        <v>324</v>
      </c>
      <c r="CM274" s="364" t="s">
        <v>324</v>
      </c>
      <c r="CN274" s="364" t="s">
        <v>324</v>
      </c>
      <c r="CO274" s="364" t="s">
        <v>324</v>
      </c>
      <c r="CP274" s="364" t="s">
        <v>324</v>
      </c>
      <c r="CQ274" s="364" t="s">
        <v>324</v>
      </c>
      <c r="CS274" s="364" t="s">
        <v>324</v>
      </c>
      <c r="CT274" s="364" t="s">
        <v>324</v>
      </c>
      <c r="CU274" s="364" t="s">
        <v>324</v>
      </c>
      <c r="CV274" s="364" t="s">
        <v>324</v>
      </c>
      <c r="CX274" s="364" t="s">
        <v>324</v>
      </c>
      <c r="CY274" s="364" t="s">
        <v>324</v>
      </c>
      <c r="CZ274" s="364" t="s">
        <v>324</v>
      </c>
      <c r="DB274" s="364" t="s">
        <v>324</v>
      </c>
      <c r="DC274" s="364" t="s">
        <v>324</v>
      </c>
      <c r="DD274" s="364" t="s">
        <v>324</v>
      </c>
      <c r="DE274" s="364" t="s">
        <v>324</v>
      </c>
      <c r="DN274" s="364" t="s">
        <v>324</v>
      </c>
      <c r="DO274" s="364" t="s">
        <v>324</v>
      </c>
      <c r="DP274" s="364" t="s">
        <v>324</v>
      </c>
      <c r="DR274" s="364" t="s">
        <v>324</v>
      </c>
      <c r="DS274" s="364" t="s">
        <v>324</v>
      </c>
      <c r="DT274" s="364" t="s">
        <v>324</v>
      </c>
      <c r="DU274" s="364" t="s">
        <v>324</v>
      </c>
      <c r="DV274" s="364" t="s">
        <v>324</v>
      </c>
      <c r="DW274" s="364" t="s">
        <v>324</v>
      </c>
      <c r="DX274" s="364" t="s">
        <v>324</v>
      </c>
      <c r="DZ274" s="364" t="s">
        <v>324</v>
      </c>
      <c r="EA274" s="364" t="s">
        <v>324</v>
      </c>
      <c r="EB274" s="364" t="s">
        <v>324</v>
      </c>
      <c r="EC274" s="364" t="s">
        <v>324</v>
      </c>
      <c r="ED274" s="364" t="s">
        <v>324</v>
      </c>
      <c r="EE274" s="364" t="s">
        <v>324</v>
      </c>
      <c r="EF274" s="364" t="s">
        <v>324</v>
      </c>
      <c r="EH274" s="364" t="s">
        <v>324</v>
      </c>
      <c r="EI274" s="364" t="s">
        <v>324</v>
      </c>
      <c r="EJ274" s="364" t="s">
        <v>324</v>
      </c>
      <c r="EK274" s="364" t="s">
        <v>324</v>
      </c>
      <c r="EL274" s="364" t="s">
        <v>324</v>
      </c>
      <c r="EM274" s="364" t="s">
        <v>324</v>
      </c>
      <c r="EN274" s="364" t="s">
        <v>324</v>
      </c>
      <c r="EP274" s="364" t="s">
        <v>324</v>
      </c>
      <c r="EQ274" s="364" t="s">
        <v>324</v>
      </c>
      <c r="ER274" s="364" t="s">
        <v>324</v>
      </c>
      <c r="ES274" s="364" t="s">
        <v>324</v>
      </c>
      <c r="FB274" s="364" t="s">
        <v>324</v>
      </c>
      <c r="FC274" s="364" t="s">
        <v>324</v>
      </c>
      <c r="FD274" s="364" t="s">
        <v>324</v>
      </c>
      <c r="FE274" s="364" t="s">
        <v>324</v>
      </c>
      <c r="FF274" s="364" t="s">
        <v>324</v>
      </c>
      <c r="FG274" s="364" t="s">
        <v>324</v>
      </c>
      <c r="FH274" s="364" t="s">
        <v>324</v>
      </c>
      <c r="FI274" s="364" t="s">
        <v>324</v>
      </c>
      <c r="FJ274" s="364" t="s">
        <v>324</v>
      </c>
      <c r="FK274" s="364" t="s">
        <v>324</v>
      </c>
      <c r="FL274" s="364" t="s">
        <v>324</v>
      </c>
      <c r="FM274" s="364" t="s">
        <v>324</v>
      </c>
      <c r="FN274" s="364" t="s">
        <v>324</v>
      </c>
      <c r="FO274" s="364" t="s">
        <v>324</v>
      </c>
      <c r="FP274" s="364" t="s">
        <v>324</v>
      </c>
      <c r="FQ274" s="364" t="s">
        <v>324</v>
      </c>
    </row>
    <row r="275" spans="1:173" s="335" customFormat="1">
      <c r="A275" s="335" t="s">
        <v>522</v>
      </c>
      <c r="B275" s="335" t="s">
        <v>522</v>
      </c>
      <c r="C275" s="335" t="s">
        <v>1473</v>
      </c>
      <c r="D275" s="335" t="s">
        <v>1234</v>
      </c>
      <c r="E275" s="335" t="s">
        <v>2124</v>
      </c>
      <c r="F275" s="346" t="s">
        <v>785</v>
      </c>
      <c r="G275" s="335" t="s">
        <v>324</v>
      </c>
      <c r="H275" s="346">
        <v>34</v>
      </c>
      <c r="I275" s="346">
        <v>32</v>
      </c>
      <c r="J275" s="346">
        <v>32</v>
      </c>
      <c r="N275" s="346" t="s">
        <v>324</v>
      </c>
      <c r="O275" s="346" t="s">
        <v>324</v>
      </c>
      <c r="P275" s="346" t="s">
        <v>324</v>
      </c>
      <c r="Q275" s="346" t="s">
        <v>324</v>
      </c>
      <c r="R275" s="346" t="s">
        <v>324</v>
      </c>
      <c r="S275" s="334" t="s">
        <v>2123</v>
      </c>
      <c r="T275" s="335" t="s">
        <v>1046</v>
      </c>
      <c r="U275" s="335">
        <v>48</v>
      </c>
      <c r="V275" s="335" cm="1">
        <f t="array" ref="V275">IFERROR(INDEX('Offer Statistics'!$DA$2:$DA$600,MATCH(1,(B275='Offer Statistics'!$CL$2:$CL$600)*($B$11='Offer Statistics'!$CM$2:$CM$600),0)),"/")</f>
        <v>49</v>
      </c>
      <c r="W275" s="335" cm="1">
        <f t="array" ref="W275">IFERROR(INDEX('Offer Statistics'!$CN$2:$CN$600,MATCH(1,(B275='Offer Statistics'!$CL$2:$CL$600)*($B$11='Offer Statistics'!$CM$2:$CM$600),0)),"/")</f>
        <v>223</v>
      </c>
      <c r="X275" s="335" cm="1">
        <f t="array" ref="X275">IFERROR(INDEX('Offer Statistics'!$CV$2:$CV$600,MATCH(1,(B275='Offer Statistics'!$CL$2:$CL$600)*($B$11='Offer Statistics'!$CM$2:$CM$600),0)),"/")</f>
        <v>49</v>
      </c>
      <c r="Y275" s="334">
        <f t="shared" si="376"/>
        <v>4.5510204081632653</v>
      </c>
      <c r="Z275" s="335" t="s">
        <v>1046</v>
      </c>
      <c r="AA275" s="335" t="str">
        <f>入學要求!AF284</f>
        <v>申請人必須掌握流利廣東話及英語。</v>
      </c>
      <c r="AB275" s="335" t="str">
        <f>入學要求!AG284</f>
        <v>/</v>
      </c>
      <c r="AC275" s="426" t="s">
        <v>785</v>
      </c>
      <c r="AD275" s="359"/>
      <c r="AE275" s="337"/>
      <c r="AF275" s="426" t="s">
        <v>324</v>
      </c>
      <c r="AG275" s="426" t="s">
        <v>324</v>
      </c>
      <c r="AH275" s="426" t="s">
        <v>324</v>
      </c>
      <c r="AI275" s="426" t="s">
        <v>324</v>
      </c>
      <c r="AJ275" s="426" t="s">
        <v>324</v>
      </c>
      <c r="AK275" s="335" t="s">
        <v>735</v>
      </c>
      <c r="AL275" s="335" t="s">
        <v>1520</v>
      </c>
      <c r="AM275" s="335" t="s">
        <v>324</v>
      </c>
      <c r="AP275" s="335" t="s">
        <v>1478</v>
      </c>
      <c r="AQ275" s="335" t="s">
        <v>1479</v>
      </c>
      <c r="AR275" s="335" t="s">
        <v>324</v>
      </c>
      <c r="AT275" s="335" t="s">
        <v>716</v>
      </c>
      <c r="AV275" s="335" t="s">
        <v>713</v>
      </c>
      <c r="AZ275" s="335" t="s">
        <v>324</v>
      </c>
      <c r="BA275" s="335" t="s">
        <v>324</v>
      </c>
      <c r="BB275" s="335" t="s">
        <v>324</v>
      </c>
      <c r="BD275" s="335" t="s">
        <v>324</v>
      </c>
      <c r="BE275" s="335" t="s">
        <v>324</v>
      </c>
      <c r="BF275" s="335" t="s">
        <v>324</v>
      </c>
      <c r="BG275" s="335" t="s">
        <v>324</v>
      </c>
      <c r="BI275" s="335" t="s">
        <v>324</v>
      </c>
      <c r="BJ275" s="335" t="s">
        <v>324</v>
      </c>
      <c r="BK275" s="335" t="s">
        <v>324</v>
      </c>
      <c r="BM275" s="335" t="s">
        <v>324</v>
      </c>
      <c r="BN275" s="335" t="s">
        <v>324</v>
      </c>
      <c r="BO275" s="335" t="s">
        <v>324</v>
      </c>
      <c r="BP275" s="335" t="s">
        <v>324</v>
      </c>
      <c r="BQ275" s="386"/>
      <c r="BR275" s="386"/>
      <c r="BS275" s="386"/>
      <c r="BT275" s="386"/>
      <c r="BU275" s="386"/>
      <c r="BV275" s="386"/>
      <c r="BW275" s="386"/>
      <c r="BX275" s="386"/>
      <c r="BY275" s="335" t="s">
        <v>324</v>
      </c>
      <c r="BZ275" s="335" t="s">
        <v>324</v>
      </c>
      <c r="CA275" s="335" t="s">
        <v>324</v>
      </c>
      <c r="CC275" s="335" t="s">
        <v>324</v>
      </c>
      <c r="CD275" s="335" t="s">
        <v>324</v>
      </c>
      <c r="CE275" s="335" t="s">
        <v>324</v>
      </c>
      <c r="CF275" s="335" t="s">
        <v>324</v>
      </c>
      <c r="CG275" s="335" t="s">
        <v>324</v>
      </c>
      <c r="CH275" s="335" t="s">
        <v>324</v>
      </c>
      <c r="CI275" s="335" t="s">
        <v>324</v>
      </c>
      <c r="CK275" s="335" t="s">
        <v>324</v>
      </c>
      <c r="CL275" s="335" t="s">
        <v>324</v>
      </c>
      <c r="CM275" s="335" t="s">
        <v>324</v>
      </c>
      <c r="CN275" s="335" t="s">
        <v>324</v>
      </c>
      <c r="CO275" s="335" t="s">
        <v>324</v>
      </c>
      <c r="CP275" s="335" t="s">
        <v>324</v>
      </c>
      <c r="CQ275" s="335" t="s">
        <v>324</v>
      </c>
      <c r="CS275" s="335" t="s">
        <v>324</v>
      </c>
      <c r="CT275" s="335" t="s">
        <v>324</v>
      </c>
      <c r="CU275" s="335" t="s">
        <v>324</v>
      </c>
      <c r="CV275" s="335" t="s">
        <v>324</v>
      </c>
      <c r="CX275" s="335" t="s">
        <v>324</v>
      </c>
      <c r="CY275" s="335" t="s">
        <v>324</v>
      </c>
      <c r="CZ275" s="335" t="s">
        <v>324</v>
      </c>
      <c r="DB275" s="335" t="s">
        <v>324</v>
      </c>
      <c r="DC275" s="335" t="s">
        <v>324</v>
      </c>
      <c r="DD275" s="335" t="s">
        <v>324</v>
      </c>
      <c r="DE275" s="335" t="s">
        <v>324</v>
      </c>
      <c r="DF275" s="386"/>
      <c r="DG275" s="386"/>
      <c r="DH275" s="386"/>
      <c r="DI275" s="386"/>
      <c r="DJ275" s="386"/>
      <c r="DK275" s="386"/>
      <c r="DL275" s="386"/>
      <c r="DM275" s="386"/>
      <c r="DN275" s="335" t="s">
        <v>324</v>
      </c>
      <c r="DO275" s="335" t="s">
        <v>324</v>
      </c>
      <c r="DP275" s="335" t="s">
        <v>324</v>
      </c>
      <c r="DR275" s="335" t="s">
        <v>324</v>
      </c>
      <c r="DS275" s="335" t="s">
        <v>324</v>
      </c>
      <c r="DT275" s="335" t="s">
        <v>324</v>
      </c>
      <c r="DU275" s="335" t="s">
        <v>324</v>
      </c>
      <c r="DV275" s="335" t="s">
        <v>324</v>
      </c>
      <c r="DW275" s="335" t="s">
        <v>324</v>
      </c>
      <c r="DX275" s="335" t="s">
        <v>324</v>
      </c>
      <c r="DZ275" s="335" t="s">
        <v>324</v>
      </c>
      <c r="EA275" s="335" t="s">
        <v>324</v>
      </c>
      <c r="EB275" s="335" t="s">
        <v>324</v>
      </c>
      <c r="EC275" s="335" t="s">
        <v>324</v>
      </c>
      <c r="ED275" s="335" t="s">
        <v>324</v>
      </c>
      <c r="EE275" s="335" t="s">
        <v>324</v>
      </c>
      <c r="EF275" s="335" t="s">
        <v>324</v>
      </c>
      <c r="EH275" s="335" t="s">
        <v>324</v>
      </c>
      <c r="EI275" s="335" t="s">
        <v>324</v>
      </c>
      <c r="EJ275" s="335" t="s">
        <v>324</v>
      </c>
      <c r="EK275" s="335" t="s">
        <v>324</v>
      </c>
      <c r="EL275" s="335" t="s">
        <v>324</v>
      </c>
      <c r="EM275" s="335" t="s">
        <v>324</v>
      </c>
      <c r="EN275" s="335" t="s">
        <v>324</v>
      </c>
      <c r="EP275" s="335" t="s">
        <v>324</v>
      </c>
      <c r="EQ275" s="335" t="s">
        <v>324</v>
      </c>
      <c r="ER275" s="335" t="s">
        <v>324</v>
      </c>
      <c r="ES275" s="335" t="s">
        <v>324</v>
      </c>
      <c r="FB275" s="335" t="s">
        <v>324</v>
      </c>
      <c r="FC275" s="335" t="s">
        <v>324</v>
      </c>
      <c r="FD275" s="335" t="s">
        <v>324</v>
      </c>
      <c r="FE275" s="335" t="s">
        <v>324</v>
      </c>
      <c r="FF275" s="335" t="s">
        <v>324</v>
      </c>
      <c r="FG275" s="335" t="s">
        <v>324</v>
      </c>
      <c r="FH275" s="335" t="s">
        <v>324</v>
      </c>
      <c r="FI275" s="335" t="s">
        <v>324</v>
      </c>
      <c r="FJ275" s="335" t="s">
        <v>324</v>
      </c>
      <c r="FK275" s="335" t="s">
        <v>324</v>
      </c>
      <c r="FL275" s="335" t="s">
        <v>324</v>
      </c>
      <c r="FM275" s="335" t="s">
        <v>324</v>
      </c>
      <c r="FN275" s="335" t="s">
        <v>324</v>
      </c>
      <c r="FO275" s="335" t="s">
        <v>324</v>
      </c>
      <c r="FP275" s="335" t="s">
        <v>324</v>
      </c>
      <c r="FQ275" s="335" t="s">
        <v>324</v>
      </c>
    </row>
    <row r="276" spans="1:173" s="335" customFormat="1">
      <c r="A276" s="335" t="s">
        <v>2816</v>
      </c>
      <c r="B276" s="335" t="s">
        <v>2816</v>
      </c>
      <c r="C276" s="335" t="s">
        <v>1473</v>
      </c>
      <c r="D276" s="335" t="s">
        <v>1081</v>
      </c>
      <c r="E276" s="335" t="s">
        <v>2818</v>
      </c>
      <c r="F276" s="346" t="s">
        <v>2940</v>
      </c>
      <c r="G276" s="335" t="s">
        <v>324</v>
      </c>
      <c r="H276" s="346" t="s">
        <v>324</v>
      </c>
      <c r="I276" s="346" t="s">
        <v>324</v>
      </c>
      <c r="J276" s="346" t="s">
        <v>324</v>
      </c>
      <c r="N276" s="346" t="s">
        <v>324</v>
      </c>
      <c r="O276" s="346" t="s">
        <v>324</v>
      </c>
      <c r="P276" s="346" t="s">
        <v>324</v>
      </c>
      <c r="Q276" s="346" t="s">
        <v>324</v>
      </c>
      <c r="R276" s="346" t="s">
        <v>324</v>
      </c>
      <c r="S276" s="334" t="s">
        <v>2817</v>
      </c>
      <c r="T276" s="335" t="s">
        <v>1046</v>
      </c>
      <c r="U276" s="335" t="s">
        <v>3157</v>
      </c>
      <c r="V276" s="335" t="str" cm="1">
        <f t="array" ref="V276">IFERROR(INDEX('Offer Statistics'!$DA$2:$DA$600,MATCH(1,(B276='Offer Statistics'!$CL$2:$CL$600)*($B$11='Offer Statistics'!$CM$2:$CM$600),0)),"/")</f>
        <v>/</v>
      </c>
      <c r="W276" s="335" t="str" cm="1">
        <f t="array" ref="W276">IFERROR(INDEX('Offer Statistics'!$CN$2:$CN$600,MATCH(1,(B276='Offer Statistics'!$CL$2:$CL$600)*($B$11='Offer Statistics'!$CM$2:$CM$600),0)),"/")</f>
        <v>/</v>
      </c>
      <c r="X276" s="335" t="str" cm="1">
        <f t="array" ref="X276">IFERROR(INDEX('Offer Statistics'!$CV$2:$CV$600,MATCH(1,(B276='Offer Statistics'!$CL$2:$CL$600)*($B$11='Offer Statistics'!$CM$2:$CM$600),0)),"/")</f>
        <v>/</v>
      </c>
      <c r="Y276" s="334" t="str">
        <f t="shared" si="376"/>
        <v>新科目</v>
      </c>
      <c r="Z276" s="335" t="s">
        <v>1046</v>
      </c>
      <c r="AA276" s="335" t="str">
        <f>入學要求!AF285</f>
        <v>以下一科選修取得Lv.3︰生物、化學、物理、組合科學</v>
      </c>
      <c r="AC276" s="426" t="s">
        <v>785</v>
      </c>
      <c r="AD276" s="337"/>
      <c r="AE276" s="337"/>
      <c r="AF276" s="346" t="s">
        <v>886</v>
      </c>
      <c r="AG276" s="426" t="s">
        <v>1524</v>
      </c>
      <c r="AH276" s="426" t="s">
        <v>324</v>
      </c>
      <c r="AI276" s="426" t="s">
        <v>324</v>
      </c>
      <c r="AJ276" s="426" t="s">
        <v>324</v>
      </c>
      <c r="AK276" s="335" t="s">
        <v>735</v>
      </c>
      <c r="AL276" s="335" t="s">
        <v>324</v>
      </c>
      <c r="AM276" s="335" t="s">
        <v>324</v>
      </c>
      <c r="AT276" s="364" t="s">
        <v>716</v>
      </c>
      <c r="AU276" s="364"/>
      <c r="AV276" s="364" t="s">
        <v>713</v>
      </c>
      <c r="BQ276" s="386"/>
      <c r="BR276" s="386"/>
      <c r="BS276" s="386"/>
      <c r="BT276" s="386"/>
      <c r="BU276" s="386"/>
      <c r="BV276" s="386"/>
      <c r="BW276" s="386"/>
      <c r="BX276" s="386"/>
      <c r="DF276" s="386"/>
      <c r="DG276" s="386"/>
      <c r="DH276" s="386"/>
      <c r="DI276" s="386"/>
      <c r="DJ276" s="386"/>
      <c r="DK276" s="386"/>
      <c r="DL276" s="386"/>
      <c r="DM276" s="386"/>
    </row>
    <row r="277" spans="1:173" s="335" customFormat="1">
      <c r="A277" s="335" t="s">
        <v>2819</v>
      </c>
      <c r="B277" s="335" t="s">
        <v>2819</v>
      </c>
      <c r="C277" s="335" t="s">
        <v>1473</v>
      </c>
      <c r="D277" s="335" t="s">
        <v>1081</v>
      </c>
      <c r="E277" s="335" t="s">
        <v>2821</v>
      </c>
      <c r="F277" s="346" t="s">
        <v>2940</v>
      </c>
      <c r="G277" s="335" t="s">
        <v>324</v>
      </c>
      <c r="H277" s="346" t="s">
        <v>324</v>
      </c>
      <c r="I277" s="346" t="s">
        <v>324</v>
      </c>
      <c r="J277" s="346" t="s">
        <v>324</v>
      </c>
      <c r="N277" s="346" t="s">
        <v>324</v>
      </c>
      <c r="O277" s="346" t="s">
        <v>324</v>
      </c>
      <c r="P277" s="346" t="s">
        <v>324</v>
      </c>
      <c r="Q277" s="346" t="s">
        <v>324</v>
      </c>
      <c r="R277" s="346" t="s">
        <v>324</v>
      </c>
      <c r="S277" s="334" t="s">
        <v>2820</v>
      </c>
      <c r="T277" s="335" t="s">
        <v>1046</v>
      </c>
      <c r="U277" s="335" t="s">
        <v>3157</v>
      </c>
      <c r="V277" s="335" t="str" cm="1">
        <f t="array" ref="V277">IFERROR(INDEX('Offer Statistics'!$DA$2:$DA$600,MATCH(1,(B277='Offer Statistics'!$CL$2:$CL$600)*($B$11='Offer Statistics'!$CM$2:$CM$600),0)),"/")</f>
        <v>/</v>
      </c>
      <c r="W277" s="335" t="str" cm="1">
        <f t="array" ref="W277">IFERROR(INDEX('Offer Statistics'!$CN$2:$CN$600,MATCH(1,(B277='Offer Statistics'!$CL$2:$CL$600)*($B$11='Offer Statistics'!$CM$2:$CM$600),0)),"/")</f>
        <v>/</v>
      </c>
      <c r="X277" s="335" t="str" cm="1">
        <f t="array" ref="X277">IFERROR(INDEX('Offer Statistics'!$CV$2:$CV$600,MATCH(1,(B277='Offer Statistics'!$CL$2:$CL$600)*($B$11='Offer Statistics'!$CM$2:$CM$600),0)),"/")</f>
        <v>/</v>
      </c>
      <c r="Y277" s="334" t="str">
        <f t="shared" si="376"/>
        <v>新科目</v>
      </c>
      <c r="Z277" s="335" t="s">
        <v>1046</v>
      </c>
      <c r="AA277" s="335" t="str">
        <f>入學要求!AF286</f>
        <v>以下一科選修取得Lv.3︰生物、化學、物理、組合科學</v>
      </c>
      <c r="AC277" s="426" t="s">
        <v>785</v>
      </c>
      <c r="AD277" s="337"/>
      <c r="AE277" s="337"/>
      <c r="AF277" s="346" t="s">
        <v>886</v>
      </c>
      <c r="AG277" s="426" t="s">
        <v>1524</v>
      </c>
      <c r="AH277" s="426" t="s">
        <v>324</v>
      </c>
      <c r="AI277" s="426" t="s">
        <v>324</v>
      </c>
      <c r="AJ277" s="426" t="s">
        <v>324</v>
      </c>
      <c r="AK277" s="335" t="s">
        <v>735</v>
      </c>
      <c r="AL277" s="335" t="s">
        <v>324</v>
      </c>
      <c r="AM277" s="335" t="s">
        <v>324</v>
      </c>
      <c r="AT277" s="364" t="s">
        <v>716</v>
      </c>
      <c r="AU277" s="364"/>
      <c r="AV277" s="364" t="s">
        <v>713</v>
      </c>
      <c r="BQ277" s="386"/>
      <c r="BR277" s="386"/>
      <c r="BS277" s="386"/>
      <c r="BT277" s="386"/>
      <c r="BU277" s="386"/>
      <c r="BV277" s="386"/>
      <c r="BW277" s="386"/>
      <c r="BX277" s="386"/>
      <c r="DF277" s="386"/>
      <c r="DG277" s="386"/>
      <c r="DH277" s="386"/>
      <c r="DI277" s="386"/>
      <c r="DJ277" s="386"/>
      <c r="DK277" s="386"/>
      <c r="DL277" s="386"/>
      <c r="DM277" s="386"/>
    </row>
    <row r="278" spans="1:173" s="335" customFormat="1">
      <c r="A278" s="335" t="s">
        <v>2822</v>
      </c>
      <c r="B278" s="335" t="s">
        <v>2822</v>
      </c>
      <c r="C278" s="335" t="s">
        <v>1473</v>
      </c>
      <c r="D278" s="335" t="s">
        <v>1081</v>
      </c>
      <c r="E278" s="335" t="s">
        <v>2824</v>
      </c>
      <c r="F278" s="346" t="s">
        <v>2940</v>
      </c>
      <c r="G278" s="335" t="s">
        <v>324</v>
      </c>
      <c r="H278" s="346" t="s">
        <v>324</v>
      </c>
      <c r="I278" s="346" t="s">
        <v>324</v>
      </c>
      <c r="J278" s="346" t="s">
        <v>324</v>
      </c>
      <c r="N278" s="346" t="s">
        <v>324</v>
      </c>
      <c r="O278" s="346" t="s">
        <v>324</v>
      </c>
      <c r="P278" s="346" t="s">
        <v>324</v>
      </c>
      <c r="Q278" s="346" t="s">
        <v>324</v>
      </c>
      <c r="R278" s="346" t="s">
        <v>324</v>
      </c>
      <c r="S278" s="334" t="s">
        <v>2823</v>
      </c>
      <c r="T278" s="335" t="s">
        <v>1046</v>
      </c>
      <c r="U278" s="335" t="s">
        <v>3157</v>
      </c>
      <c r="V278" s="335" t="str" cm="1">
        <f t="array" ref="V278">IFERROR(INDEX('Offer Statistics'!$DA$2:$DA$600,MATCH(1,(B278='Offer Statistics'!$CL$2:$CL$600)*($B$11='Offer Statistics'!$CM$2:$CM$600),0)),"/")</f>
        <v>/</v>
      </c>
      <c r="W278" s="335" t="str" cm="1">
        <f t="array" ref="W278">IFERROR(INDEX('Offer Statistics'!$CN$2:$CN$600,MATCH(1,(B278='Offer Statistics'!$CL$2:$CL$600)*($B$11='Offer Statistics'!$CM$2:$CM$600),0)),"/")</f>
        <v>/</v>
      </c>
      <c r="X278" s="335" t="str" cm="1">
        <f t="array" ref="X278">IFERROR(INDEX('Offer Statistics'!$CV$2:$CV$600,MATCH(1,(B278='Offer Statistics'!$CL$2:$CL$600)*($B$11='Offer Statistics'!$CM$2:$CM$600),0)),"/")</f>
        <v>/</v>
      </c>
      <c r="Y278" s="334" t="str">
        <f t="shared" si="376"/>
        <v>新科目</v>
      </c>
      <c r="Z278" s="335" t="s">
        <v>1046</v>
      </c>
      <c r="AA278" s="335" t="str">
        <f>入學要求!AF287</f>
        <v>以下一科選修取得Lv.3︰生物、化學、物理、組合科學</v>
      </c>
      <c r="AC278" s="426" t="s">
        <v>785</v>
      </c>
      <c r="AD278" s="337"/>
      <c r="AE278" s="337"/>
      <c r="AF278" s="346" t="s">
        <v>886</v>
      </c>
      <c r="AG278" s="426" t="s">
        <v>1524</v>
      </c>
      <c r="AH278" s="426" t="s">
        <v>324</v>
      </c>
      <c r="AI278" s="426" t="s">
        <v>324</v>
      </c>
      <c r="AJ278" s="426" t="s">
        <v>324</v>
      </c>
      <c r="AK278" s="335" t="s">
        <v>735</v>
      </c>
      <c r="AL278" s="335" t="s">
        <v>324</v>
      </c>
      <c r="AM278" s="335" t="s">
        <v>324</v>
      </c>
      <c r="AT278" s="335" t="s">
        <v>716</v>
      </c>
      <c r="AV278" s="335" t="s">
        <v>713</v>
      </c>
      <c r="BQ278" s="386"/>
      <c r="BR278" s="386"/>
      <c r="BS278" s="386"/>
      <c r="BT278" s="386"/>
      <c r="BU278" s="386"/>
      <c r="BV278" s="386"/>
      <c r="BW278" s="386"/>
      <c r="BX278" s="386"/>
      <c r="DF278" s="386"/>
      <c r="DG278" s="386"/>
      <c r="DH278" s="386"/>
      <c r="DI278" s="386"/>
      <c r="DJ278" s="386"/>
      <c r="DK278" s="386"/>
      <c r="DL278" s="386"/>
      <c r="DM278" s="386"/>
    </row>
    <row r="279" spans="1:173" s="335" customFormat="1">
      <c r="A279" s="335" t="s">
        <v>2825</v>
      </c>
      <c r="B279" s="335" t="s">
        <v>2825</v>
      </c>
      <c r="C279" s="335" t="s">
        <v>1473</v>
      </c>
      <c r="D279" s="335" t="s">
        <v>1081</v>
      </c>
      <c r="E279" s="335" t="s">
        <v>2827</v>
      </c>
      <c r="F279" s="346" t="s">
        <v>2940</v>
      </c>
      <c r="G279" s="335" t="s">
        <v>324</v>
      </c>
      <c r="H279" s="346" t="s">
        <v>324</v>
      </c>
      <c r="I279" s="346" t="s">
        <v>324</v>
      </c>
      <c r="J279" s="346" t="s">
        <v>324</v>
      </c>
      <c r="N279" s="346" t="s">
        <v>324</v>
      </c>
      <c r="O279" s="346" t="s">
        <v>324</v>
      </c>
      <c r="P279" s="346" t="s">
        <v>324</v>
      </c>
      <c r="Q279" s="346" t="s">
        <v>324</v>
      </c>
      <c r="R279" s="346" t="s">
        <v>324</v>
      </c>
      <c r="S279" s="334" t="s">
        <v>2826</v>
      </c>
      <c r="T279" s="335" t="s">
        <v>1046</v>
      </c>
      <c r="U279" s="335" t="s">
        <v>3157</v>
      </c>
      <c r="V279" s="335" t="str" cm="1">
        <f t="array" ref="V279">IFERROR(INDEX('Offer Statistics'!$DA$2:$DA$600,MATCH(1,(B279='Offer Statistics'!$CL$2:$CL$600)*($B$11='Offer Statistics'!$CM$2:$CM$600),0)),"/")</f>
        <v>/</v>
      </c>
      <c r="W279" s="335" t="str" cm="1">
        <f t="array" ref="W279">IFERROR(INDEX('Offer Statistics'!$CN$2:$CN$600,MATCH(1,(B279='Offer Statistics'!$CL$2:$CL$600)*($B$11='Offer Statistics'!$CM$2:$CM$600),0)),"/")</f>
        <v>/</v>
      </c>
      <c r="X279" s="335" t="str" cm="1">
        <f t="array" ref="X279">IFERROR(INDEX('Offer Statistics'!$CV$2:$CV$600,MATCH(1,(B279='Offer Statistics'!$CL$2:$CL$600)*($B$11='Offer Statistics'!$CM$2:$CM$600),0)),"/")</f>
        <v>/</v>
      </c>
      <c r="Y279" s="334" t="str">
        <f t="shared" si="376"/>
        <v>新科目</v>
      </c>
      <c r="Z279" s="335" t="s">
        <v>1046</v>
      </c>
      <c r="AA279" s="335" t="str">
        <f>入學要求!AF288</f>
        <v>以下一科選修取得Lv.3︰生物、化學、物理、組合科學</v>
      </c>
      <c r="AC279" s="426" t="s">
        <v>785</v>
      </c>
      <c r="AD279" s="337"/>
      <c r="AE279" s="337"/>
      <c r="AF279" s="346" t="s">
        <v>886</v>
      </c>
      <c r="AG279" s="426" t="s">
        <v>1524</v>
      </c>
      <c r="AH279" s="426" t="s">
        <v>324</v>
      </c>
      <c r="AI279" s="426" t="s">
        <v>324</v>
      </c>
      <c r="AJ279" s="426" t="s">
        <v>324</v>
      </c>
      <c r="AK279" s="335" t="s">
        <v>735</v>
      </c>
      <c r="AL279" s="335" t="s">
        <v>324</v>
      </c>
      <c r="AM279" s="335" t="s">
        <v>324</v>
      </c>
      <c r="AT279" s="364" t="s">
        <v>716</v>
      </c>
      <c r="AU279" s="364"/>
      <c r="AV279" s="364" t="s">
        <v>713</v>
      </c>
      <c r="BQ279" s="386"/>
      <c r="BR279" s="386"/>
      <c r="BS279" s="386"/>
      <c r="BT279" s="386"/>
      <c r="BU279" s="386"/>
      <c r="BV279" s="386"/>
      <c r="BW279" s="386"/>
      <c r="BX279" s="386"/>
      <c r="DF279" s="386"/>
      <c r="DG279" s="386"/>
      <c r="DH279" s="386"/>
      <c r="DI279" s="386"/>
      <c r="DJ279" s="386"/>
      <c r="DK279" s="386"/>
      <c r="DL279" s="386"/>
      <c r="DM279" s="386"/>
    </row>
    <row r="280" spans="1:173" s="335" customFormat="1">
      <c r="A280" s="335" t="s">
        <v>2828</v>
      </c>
      <c r="B280" s="335" t="s">
        <v>2828</v>
      </c>
      <c r="C280" s="335" t="s">
        <v>1473</v>
      </c>
      <c r="D280" s="335" t="s">
        <v>1081</v>
      </c>
      <c r="E280" s="335" t="s">
        <v>2830</v>
      </c>
      <c r="F280" s="346" t="s">
        <v>2940</v>
      </c>
      <c r="G280" s="335" t="s">
        <v>324</v>
      </c>
      <c r="H280" s="346" t="s">
        <v>324</v>
      </c>
      <c r="I280" s="346" t="s">
        <v>324</v>
      </c>
      <c r="J280" s="346" t="s">
        <v>324</v>
      </c>
      <c r="N280" s="346" t="s">
        <v>324</v>
      </c>
      <c r="O280" s="346" t="s">
        <v>324</v>
      </c>
      <c r="P280" s="346" t="s">
        <v>324</v>
      </c>
      <c r="Q280" s="346" t="s">
        <v>324</v>
      </c>
      <c r="R280" s="346" t="s">
        <v>324</v>
      </c>
      <c r="S280" s="334" t="s">
        <v>2829</v>
      </c>
      <c r="T280" s="335" t="s">
        <v>1046</v>
      </c>
      <c r="U280" s="335" t="s">
        <v>3157</v>
      </c>
      <c r="V280" s="335" t="str" cm="1">
        <f t="array" ref="V280">IFERROR(INDEX('Offer Statistics'!$DA$2:$DA$600,MATCH(1,(B280='Offer Statistics'!$CL$2:$CL$600)*($B$11='Offer Statistics'!$CM$2:$CM$600),0)),"/")</f>
        <v>/</v>
      </c>
      <c r="W280" s="335" t="str" cm="1">
        <f t="array" ref="W280">IFERROR(INDEX('Offer Statistics'!$CN$2:$CN$600,MATCH(1,(B280='Offer Statistics'!$CL$2:$CL$600)*($B$11='Offer Statistics'!$CM$2:$CM$600),0)),"/")</f>
        <v>/</v>
      </c>
      <c r="X280" s="335" t="str" cm="1">
        <f t="array" ref="X280">IFERROR(INDEX('Offer Statistics'!$CV$2:$CV$600,MATCH(1,(B280='Offer Statistics'!$CL$2:$CL$600)*($B$11='Offer Statistics'!$CM$2:$CM$600),0)),"/")</f>
        <v>/</v>
      </c>
      <c r="Y280" s="334" t="str">
        <f t="shared" si="376"/>
        <v>新科目</v>
      </c>
      <c r="Z280" s="335" t="s">
        <v>1046</v>
      </c>
      <c r="AA280" s="335" t="str">
        <f>入學要求!AF289</f>
        <v>以下一科選修取得Lv.3︰生物、化學、物理、組合科學</v>
      </c>
      <c r="AC280" s="426" t="s">
        <v>785</v>
      </c>
      <c r="AD280" s="337"/>
      <c r="AE280" s="337"/>
      <c r="AF280" s="346" t="s">
        <v>886</v>
      </c>
      <c r="AG280" s="426" t="s">
        <v>1524</v>
      </c>
      <c r="AH280" s="426" t="s">
        <v>324</v>
      </c>
      <c r="AI280" s="426" t="s">
        <v>324</v>
      </c>
      <c r="AJ280" s="426" t="s">
        <v>324</v>
      </c>
      <c r="AK280" s="335" t="s">
        <v>735</v>
      </c>
      <c r="AL280" s="335" t="s">
        <v>324</v>
      </c>
      <c r="AM280" s="335" t="s">
        <v>324</v>
      </c>
      <c r="AT280" s="335" t="s">
        <v>716</v>
      </c>
      <c r="AV280" s="335" t="s">
        <v>713</v>
      </c>
      <c r="BQ280" s="386"/>
      <c r="BR280" s="386"/>
      <c r="BS280" s="386"/>
      <c r="BT280" s="386"/>
      <c r="BU280" s="386"/>
      <c r="BV280" s="386"/>
      <c r="BW280" s="386"/>
      <c r="BX280" s="386"/>
      <c r="DF280" s="386"/>
      <c r="DG280" s="386"/>
      <c r="DH280" s="386"/>
      <c r="DI280" s="386"/>
      <c r="DJ280" s="386"/>
      <c r="DK280" s="386"/>
      <c r="DL280" s="386"/>
      <c r="DM280" s="386"/>
    </row>
    <row r="281" spans="1:173" s="335" customFormat="1">
      <c r="A281" s="335" t="s">
        <v>497</v>
      </c>
      <c r="B281" s="335" t="s">
        <v>497</v>
      </c>
      <c r="C281" s="335" t="s">
        <v>1473</v>
      </c>
      <c r="D281" s="335" t="s">
        <v>1081</v>
      </c>
      <c r="E281" s="335" t="s">
        <v>524</v>
      </c>
      <c r="F281" s="346" t="s">
        <v>785</v>
      </c>
      <c r="G281" s="335" t="s">
        <v>324</v>
      </c>
      <c r="H281" s="346">
        <v>32</v>
      </c>
      <c r="I281" s="346">
        <v>29</v>
      </c>
      <c r="J281" s="346">
        <v>28</v>
      </c>
      <c r="N281" s="346" t="s">
        <v>886</v>
      </c>
      <c r="O281" s="346" t="s">
        <v>1521</v>
      </c>
      <c r="P281" s="346" t="s">
        <v>324</v>
      </c>
      <c r="Q281" s="346" t="s">
        <v>324</v>
      </c>
      <c r="R281" s="346" t="s">
        <v>324</v>
      </c>
      <c r="S281" s="334" t="s">
        <v>2843</v>
      </c>
      <c r="T281" s="335" t="s">
        <v>1046</v>
      </c>
      <c r="U281" s="335">
        <v>75</v>
      </c>
      <c r="V281" s="335" cm="1">
        <f t="array" ref="V281">IFERROR(INDEX('Offer Statistics'!$DA$2:$DA$600,MATCH(1,(B281='Offer Statistics'!$CL$2:$CL$600)*($B$11='Offer Statistics'!$CM$2:$CM$600),0)),"/")</f>
        <v>24</v>
      </c>
      <c r="W281" s="335" cm="1">
        <f t="array" ref="W281">IFERROR(INDEX('Offer Statistics'!$CN$2:$CN$600,MATCH(1,(B281='Offer Statistics'!$CL$2:$CL$600)*($B$11='Offer Statistics'!$CM$2:$CM$600),0)),"/")</f>
        <v>119</v>
      </c>
      <c r="X281" s="335" cm="1">
        <f t="array" ref="X281">IFERROR(INDEX('Offer Statistics'!$CV$2:$CV$600,MATCH(1,(B281='Offer Statistics'!$CL$2:$CL$600)*($B$11='Offer Statistics'!$CM$2:$CM$600),0)),"/")</f>
        <v>24</v>
      </c>
      <c r="Y281" s="334">
        <f t="shared" si="376"/>
        <v>4.958333333333333</v>
      </c>
      <c r="Z281" s="335" t="s">
        <v>1046</v>
      </c>
      <c r="AA281" s="335" t="str">
        <f>入學要求!AF290</f>
        <v>以下一科選修取得Lv.3︰生物、化學、物理、組合科學</v>
      </c>
      <c r="AB281" s="335" t="str">
        <f>入學要求!AG290</f>
        <v>優先考慮 M1/2 考獲Lv. 3 或以上 者</v>
      </c>
      <c r="AC281" s="426" t="s">
        <v>11</v>
      </c>
      <c r="AD281" s="359"/>
      <c r="AE281" s="359"/>
      <c r="AF281" s="346" t="s">
        <v>884</v>
      </c>
      <c r="AG281" s="346" t="s">
        <v>1524</v>
      </c>
      <c r="AH281" s="426" t="s">
        <v>324</v>
      </c>
      <c r="AI281" s="346" t="s">
        <v>324</v>
      </c>
      <c r="AJ281" s="346" t="s">
        <v>324</v>
      </c>
      <c r="AK281" s="335" t="s">
        <v>735</v>
      </c>
      <c r="AL281" s="335" t="s">
        <v>324</v>
      </c>
      <c r="AM281" s="335" t="s">
        <v>324</v>
      </c>
      <c r="AP281" s="335" t="s">
        <v>1478</v>
      </c>
      <c r="AQ281" s="335" t="s">
        <v>1522</v>
      </c>
      <c r="AR281" s="335" t="s">
        <v>324</v>
      </c>
      <c r="AT281" s="364" t="s">
        <v>716</v>
      </c>
      <c r="AU281" s="364"/>
      <c r="AV281" s="364" t="s">
        <v>713</v>
      </c>
      <c r="AZ281" s="335" t="s">
        <v>324</v>
      </c>
      <c r="BA281" s="335" t="s">
        <v>324</v>
      </c>
      <c r="BB281" s="335" t="s">
        <v>324</v>
      </c>
      <c r="BD281" s="335" t="s">
        <v>324</v>
      </c>
      <c r="BE281" s="335" t="s">
        <v>324</v>
      </c>
      <c r="BF281" s="335" t="s">
        <v>324</v>
      </c>
      <c r="BG281" s="335" t="s">
        <v>324</v>
      </c>
      <c r="BI281" s="335" t="s">
        <v>324</v>
      </c>
      <c r="BJ281" s="335" t="s">
        <v>324</v>
      </c>
      <c r="BK281" s="335" t="s">
        <v>324</v>
      </c>
      <c r="BM281" s="335" t="s">
        <v>324</v>
      </c>
      <c r="BN281" s="335" t="s">
        <v>324</v>
      </c>
      <c r="BO281" s="335" t="s">
        <v>324</v>
      </c>
      <c r="BP281" s="335" t="s">
        <v>324</v>
      </c>
      <c r="BQ281" s="386"/>
      <c r="BR281" s="386"/>
      <c r="BS281" s="386"/>
      <c r="BT281" s="386"/>
      <c r="BU281" s="386"/>
      <c r="BV281" s="386"/>
      <c r="BW281" s="386"/>
      <c r="BX281" s="386"/>
      <c r="BY281" s="335" t="s">
        <v>324</v>
      </c>
      <c r="BZ281" s="335" t="s">
        <v>324</v>
      </c>
      <c r="CA281" s="335" t="s">
        <v>324</v>
      </c>
      <c r="CC281" s="335" t="s">
        <v>324</v>
      </c>
      <c r="CD281" s="335" t="s">
        <v>324</v>
      </c>
      <c r="CE281" s="335" t="s">
        <v>324</v>
      </c>
      <c r="CF281" s="335" t="s">
        <v>324</v>
      </c>
      <c r="CG281" s="335" t="s">
        <v>324</v>
      </c>
      <c r="CH281" s="335" t="s">
        <v>324</v>
      </c>
      <c r="CI281" s="335" t="s">
        <v>324</v>
      </c>
      <c r="CK281" s="335" t="s">
        <v>324</v>
      </c>
      <c r="CL281" s="335" t="s">
        <v>324</v>
      </c>
      <c r="CM281" s="335" t="s">
        <v>324</v>
      </c>
      <c r="CN281" s="335" t="s">
        <v>324</v>
      </c>
      <c r="CO281" s="335" t="s">
        <v>324</v>
      </c>
      <c r="CP281" s="335" t="s">
        <v>324</v>
      </c>
      <c r="CQ281" s="335" t="s">
        <v>324</v>
      </c>
      <c r="CS281" s="335" t="s">
        <v>324</v>
      </c>
      <c r="CT281" s="335" t="s">
        <v>324</v>
      </c>
      <c r="CU281" s="335" t="s">
        <v>324</v>
      </c>
      <c r="CV281" s="335" t="s">
        <v>324</v>
      </c>
      <c r="CX281" s="335" t="s">
        <v>324</v>
      </c>
      <c r="CY281" s="335" t="s">
        <v>324</v>
      </c>
      <c r="CZ281" s="335" t="s">
        <v>324</v>
      </c>
      <c r="DB281" s="335" t="s">
        <v>324</v>
      </c>
      <c r="DC281" s="335" t="s">
        <v>324</v>
      </c>
      <c r="DD281" s="335" t="s">
        <v>324</v>
      </c>
      <c r="DE281" s="335" t="s">
        <v>324</v>
      </c>
      <c r="DF281" s="386"/>
      <c r="DG281" s="386"/>
      <c r="DH281" s="386"/>
      <c r="DI281" s="386"/>
      <c r="DJ281" s="386"/>
      <c r="DK281" s="386"/>
      <c r="DL281" s="386"/>
      <c r="DM281" s="386"/>
      <c r="DN281" s="335" t="s">
        <v>324</v>
      </c>
      <c r="DO281" s="335" t="s">
        <v>324</v>
      </c>
      <c r="DP281" s="335" t="s">
        <v>324</v>
      </c>
      <c r="DR281" s="335" t="s">
        <v>324</v>
      </c>
      <c r="DS281" s="335" t="s">
        <v>324</v>
      </c>
      <c r="DT281" s="335" t="s">
        <v>324</v>
      </c>
      <c r="DU281" s="335" t="s">
        <v>324</v>
      </c>
      <c r="DV281" s="335" t="s">
        <v>324</v>
      </c>
      <c r="DW281" s="335" t="s">
        <v>324</v>
      </c>
      <c r="DX281" s="335" t="s">
        <v>324</v>
      </c>
      <c r="DZ281" s="335" t="s">
        <v>324</v>
      </c>
      <c r="EA281" s="335" t="s">
        <v>324</v>
      </c>
      <c r="EB281" s="335" t="s">
        <v>324</v>
      </c>
      <c r="EC281" s="335" t="s">
        <v>324</v>
      </c>
      <c r="ED281" s="335" t="s">
        <v>324</v>
      </c>
      <c r="EE281" s="335" t="s">
        <v>324</v>
      </c>
      <c r="EF281" s="335" t="s">
        <v>324</v>
      </c>
      <c r="EH281" s="335" t="s">
        <v>324</v>
      </c>
      <c r="EI281" s="335" t="s">
        <v>324</v>
      </c>
      <c r="EJ281" s="335" t="s">
        <v>324</v>
      </c>
      <c r="EK281" s="335" t="s">
        <v>324</v>
      </c>
      <c r="EL281" s="335" t="s">
        <v>324</v>
      </c>
      <c r="EM281" s="335" t="s">
        <v>324</v>
      </c>
      <c r="EN281" s="335" t="s">
        <v>324</v>
      </c>
      <c r="EP281" s="335" t="s">
        <v>324</v>
      </c>
      <c r="EQ281" s="335" t="s">
        <v>324</v>
      </c>
      <c r="ER281" s="335" t="s">
        <v>324</v>
      </c>
      <c r="ES281" s="335" t="s">
        <v>324</v>
      </c>
      <c r="FB281" s="335" t="s">
        <v>324</v>
      </c>
      <c r="FC281" s="335" t="s">
        <v>324</v>
      </c>
      <c r="FD281" s="335" t="s">
        <v>324</v>
      </c>
      <c r="FE281" s="335" t="s">
        <v>324</v>
      </c>
      <c r="FF281" s="335" t="s">
        <v>324</v>
      </c>
      <c r="FG281" s="335" t="s">
        <v>324</v>
      </c>
      <c r="FH281" s="335" t="s">
        <v>324</v>
      </c>
      <c r="FI281" s="335" t="s">
        <v>324</v>
      </c>
      <c r="FJ281" s="335" t="s">
        <v>324</v>
      </c>
      <c r="FK281" s="335" t="s">
        <v>324</v>
      </c>
      <c r="FL281" s="335" t="s">
        <v>324</v>
      </c>
      <c r="FM281" s="335" t="s">
        <v>324</v>
      </c>
      <c r="FN281" s="335" t="s">
        <v>324</v>
      </c>
      <c r="FO281" s="335" t="s">
        <v>324</v>
      </c>
      <c r="FP281" s="335" t="s">
        <v>324</v>
      </c>
      <c r="FQ281" s="335" t="s">
        <v>324</v>
      </c>
    </row>
    <row r="282" spans="1:173" s="335" customFormat="1">
      <c r="A282" s="335" t="s">
        <v>525</v>
      </c>
      <c r="B282" s="335" t="s">
        <v>525</v>
      </c>
      <c r="C282" s="335" t="s">
        <v>1473</v>
      </c>
      <c r="D282" s="335" t="s">
        <v>1081</v>
      </c>
      <c r="E282" s="335" t="s">
        <v>526</v>
      </c>
      <c r="F282" s="346" t="s">
        <v>785</v>
      </c>
      <c r="G282" s="335" t="s">
        <v>324</v>
      </c>
      <c r="H282" s="346">
        <v>34</v>
      </c>
      <c r="I282" s="346">
        <v>32</v>
      </c>
      <c r="J282" s="346">
        <v>31</v>
      </c>
      <c r="N282" s="346" t="s">
        <v>886</v>
      </c>
      <c r="O282" s="346" t="s">
        <v>1521</v>
      </c>
      <c r="P282" s="346" t="s">
        <v>324</v>
      </c>
      <c r="Q282" s="346" t="s">
        <v>324</v>
      </c>
      <c r="R282" s="346" t="s">
        <v>324</v>
      </c>
      <c r="S282" s="334" t="s">
        <v>1525</v>
      </c>
      <c r="T282" s="335" t="s">
        <v>1046</v>
      </c>
      <c r="U282" s="335" t="s">
        <v>3157</v>
      </c>
      <c r="V282" s="335" cm="1">
        <f t="array" ref="V282">IFERROR(INDEX('Offer Statistics'!$DA$2:$DA$600,MATCH(1,(B282='Offer Statistics'!$CL$2:$CL$600)*($B$11='Offer Statistics'!$CM$2:$CM$600),0)),"/")</f>
        <v>26</v>
      </c>
      <c r="W282" s="335" cm="1">
        <f t="array" ref="W282">IFERROR(INDEX('Offer Statistics'!$CN$2:$CN$600,MATCH(1,(B282='Offer Statistics'!$CL$2:$CL$600)*($B$11='Offer Statistics'!$CM$2:$CM$600),0)),"/")</f>
        <v>96</v>
      </c>
      <c r="X282" s="335" cm="1">
        <f t="array" ref="X282">IFERROR(INDEX('Offer Statistics'!$CV$2:$CV$600,MATCH(1,(B282='Offer Statistics'!$CL$2:$CL$600)*($B$11='Offer Statistics'!$CM$2:$CM$600),0)),"/")</f>
        <v>26</v>
      </c>
      <c r="Y282" s="334">
        <f t="shared" si="376"/>
        <v>3.6923076923076925</v>
      </c>
      <c r="Z282" s="335" t="s">
        <v>1046</v>
      </c>
      <c r="AA282" s="335" t="str">
        <f>入學要求!AF291</f>
        <v>以下一科選修取得Lv.3︰生物、化學、物理</v>
      </c>
      <c r="AB282" s="335" t="str">
        <f>入學要求!AG291</f>
        <v>優先考慮 M1/2 考獲Lv. 3 或以上 者</v>
      </c>
      <c r="AC282" s="426" t="s">
        <v>11</v>
      </c>
      <c r="AD282" s="359"/>
      <c r="AE282" s="359"/>
      <c r="AF282" s="346" t="s">
        <v>884</v>
      </c>
      <c r="AG282" s="346" t="s">
        <v>1524</v>
      </c>
      <c r="AH282" s="426" t="s">
        <v>324</v>
      </c>
      <c r="AI282" s="346" t="s">
        <v>324</v>
      </c>
      <c r="AJ282" s="346" t="s">
        <v>324</v>
      </c>
      <c r="AK282" s="335" t="s">
        <v>735</v>
      </c>
      <c r="AL282" s="335" t="s">
        <v>324</v>
      </c>
      <c r="AM282" s="335" t="s">
        <v>324</v>
      </c>
      <c r="AP282" s="335" t="s">
        <v>1478</v>
      </c>
      <c r="AQ282" s="335" t="s">
        <v>2525</v>
      </c>
      <c r="AR282" s="335" t="s">
        <v>324</v>
      </c>
      <c r="AT282" s="364" t="s">
        <v>716</v>
      </c>
      <c r="AU282" s="364"/>
      <c r="AV282" s="364" t="s">
        <v>713</v>
      </c>
      <c r="AZ282" s="335" t="s">
        <v>324</v>
      </c>
      <c r="BA282" s="335" t="s">
        <v>324</v>
      </c>
      <c r="BB282" s="335" t="s">
        <v>324</v>
      </c>
      <c r="BD282" s="335" t="s">
        <v>324</v>
      </c>
      <c r="BE282" s="335" t="s">
        <v>324</v>
      </c>
      <c r="BF282" s="335" t="s">
        <v>324</v>
      </c>
      <c r="BG282" s="335" t="s">
        <v>324</v>
      </c>
      <c r="BI282" s="335" t="s">
        <v>324</v>
      </c>
      <c r="BJ282" s="335" t="s">
        <v>324</v>
      </c>
      <c r="BK282" s="335" t="s">
        <v>324</v>
      </c>
      <c r="BM282" s="335" t="s">
        <v>324</v>
      </c>
      <c r="BN282" s="335" t="s">
        <v>324</v>
      </c>
      <c r="BO282" s="335" t="s">
        <v>324</v>
      </c>
      <c r="BP282" s="335" t="s">
        <v>324</v>
      </c>
      <c r="BQ282" s="386"/>
      <c r="BR282" s="386"/>
      <c r="BS282" s="386"/>
      <c r="BT282" s="386"/>
      <c r="BU282" s="386"/>
      <c r="BV282" s="386"/>
      <c r="BW282" s="386"/>
      <c r="BX282" s="386"/>
      <c r="BY282" s="335" t="s">
        <v>324</v>
      </c>
      <c r="BZ282" s="335" t="s">
        <v>324</v>
      </c>
      <c r="CA282" s="335" t="s">
        <v>324</v>
      </c>
      <c r="CC282" s="335" t="s">
        <v>324</v>
      </c>
      <c r="CD282" s="335" t="s">
        <v>324</v>
      </c>
      <c r="CE282" s="335" t="s">
        <v>324</v>
      </c>
      <c r="CF282" s="335" t="s">
        <v>324</v>
      </c>
      <c r="CG282" s="335" t="s">
        <v>324</v>
      </c>
      <c r="CH282" s="335" t="s">
        <v>324</v>
      </c>
      <c r="CI282" s="335" t="s">
        <v>324</v>
      </c>
      <c r="CK282" s="335" t="s">
        <v>324</v>
      </c>
      <c r="CL282" s="335" t="s">
        <v>324</v>
      </c>
      <c r="CM282" s="335" t="s">
        <v>324</v>
      </c>
      <c r="CN282" s="335" t="s">
        <v>324</v>
      </c>
      <c r="CO282" s="335" t="s">
        <v>324</v>
      </c>
      <c r="CP282" s="335" t="s">
        <v>324</v>
      </c>
      <c r="CQ282" s="335" t="s">
        <v>324</v>
      </c>
      <c r="CS282" s="335" t="s">
        <v>324</v>
      </c>
      <c r="CT282" s="335" t="s">
        <v>324</v>
      </c>
      <c r="CU282" s="335" t="s">
        <v>324</v>
      </c>
      <c r="CV282" s="335" t="s">
        <v>324</v>
      </c>
      <c r="CX282" s="335" t="s">
        <v>324</v>
      </c>
      <c r="CY282" s="335" t="s">
        <v>324</v>
      </c>
      <c r="CZ282" s="335" t="s">
        <v>324</v>
      </c>
      <c r="DB282" s="335" t="s">
        <v>324</v>
      </c>
      <c r="DC282" s="335" t="s">
        <v>324</v>
      </c>
      <c r="DD282" s="335" t="s">
        <v>324</v>
      </c>
      <c r="DE282" s="335" t="s">
        <v>324</v>
      </c>
      <c r="DF282" s="386"/>
      <c r="DG282" s="386"/>
      <c r="DH282" s="386"/>
      <c r="DI282" s="386"/>
      <c r="DJ282" s="386"/>
      <c r="DK282" s="386"/>
      <c r="DL282" s="386"/>
      <c r="DM282" s="386"/>
      <c r="DN282" s="335" t="s">
        <v>324</v>
      </c>
      <c r="DO282" s="335" t="s">
        <v>324</v>
      </c>
      <c r="DP282" s="335" t="s">
        <v>324</v>
      </c>
      <c r="DR282" s="335" t="s">
        <v>324</v>
      </c>
      <c r="DS282" s="335" t="s">
        <v>324</v>
      </c>
      <c r="DT282" s="335" t="s">
        <v>324</v>
      </c>
      <c r="DU282" s="335" t="s">
        <v>324</v>
      </c>
      <c r="DV282" s="335" t="s">
        <v>324</v>
      </c>
      <c r="DW282" s="335" t="s">
        <v>324</v>
      </c>
      <c r="DX282" s="335" t="s">
        <v>324</v>
      </c>
      <c r="DZ282" s="335" t="s">
        <v>324</v>
      </c>
      <c r="EA282" s="335" t="s">
        <v>324</v>
      </c>
      <c r="EB282" s="335" t="s">
        <v>324</v>
      </c>
      <c r="EC282" s="335" t="s">
        <v>324</v>
      </c>
      <c r="ED282" s="335" t="s">
        <v>324</v>
      </c>
      <c r="EE282" s="335" t="s">
        <v>324</v>
      </c>
      <c r="EF282" s="335" t="s">
        <v>324</v>
      </c>
      <c r="EH282" s="335" t="s">
        <v>324</v>
      </c>
      <c r="EI282" s="335" t="s">
        <v>324</v>
      </c>
      <c r="EJ282" s="335" t="s">
        <v>324</v>
      </c>
      <c r="EK282" s="335" t="s">
        <v>324</v>
      </c>
      <c r="EL282" s="335" t="s">
        <v>324</v>
      </c>
      <c r="EM282" s="335" t="s">
        <v>324</v>
      </c>
      <c r="EN282" s="335" t="s">
        <v>324</v>
      </c>
      <c r="EP282" s="335" t="s">
        <v>324</v>
      </c>
      <c r="EQ282" s="335" t="s">
        <v>324</v>
      </c>
      <c r="ER282" s="335" t="s">
        <v>324</v>
      </c>
      <c r="ES282" s="335" t="s">
        <v>324</v>
      </c>
      <c r="FB282" s="335" t="s">
        <v>324</v>
      </c>
      <c r="FC282" s="335" t="s">
        <v>324</v>
      </c>
      <c r="FD282" s="335" t="s">
        <v>324</v>
      </c>
      <c r="FE282" s="335" t="s">
        <v>324</v>
      </c>
      <c r="FF282" s="335" t="s">
        <v>324</v>
      </c>
      <c r="FG282" s="335" t="s">
        <v>324</v>
      </c>
      <c r="FH282" s="335" t="s">
        <v>324</v>
      </c>
      <c r="FI282" s="335" t="s">
        <v>324</v>
      </c>
      <c r="FJ282" s="335" t="s">
        <v>324</v>
      </c>
      <c r="FK282" s="335" t="s">
        <v>324</v>
      </c>
      <c r="FL282" s="335" t="s">
        <v>324</v>
      </c>
      <c r="FM282" s="335" t="s">
        <v>324</v>
      </c>
      <c r="FN282" s="335" t="s">
        <v>324</v>
      </c>
      <c r="FO282" s="335" t="s">
        <v>324</v>
      </c>
      <c r="FP282" s="335" t="s">
        <v>324</v>
      </c>
      <c r="FQ282" s="335" t="s">
        <v>324</v>
      </c>
    </row>
    <row r="283" spans="1:173" s="335" customFormat="1">
      <c r="A283" s="335" t="s">
        <v>2844</v>
      </c>
      <c r="B283" s="335" t="s">
        <v>2844</v>
      </c>
      <c r="C283" s="335" t="s">
        <v>1473</v>
      </c>
      <c r="D283" s="335" t="s">
        <v>1081</v>
      </c>
      <c r="E283" s="335" t="s">
        <v>2846</v>
      </c>
      <c r="F283" s="346" t="s">
        <v>2940</v>
      </c>
      <c r="G283" s="335" t="s">
        <v>324</v>
      </c>
      <c r="H283" s="346" t="s">
        <v>324</v>
      </c>
      <c r="I283" s="346" t="s">
        <v>324</v>
      </c>
      <c r="J283" s="346" t="s">
        <v>324</v>
      </c>
      <c r="N283" s="346" t="s">
        <v>324</v>
      </c>
      <c r="O283" s="346" t="s">
        <v>324</v>
      </c>
      <c r="P283" s="346" t="s">
        <v>324</v>
      </c>
      <c r="Q283" s="346" t="s">
        <v>324</v>
      </c>
      <c r="R283" s="346" t="s">
        <v>324</v>
      </c>
      <c r="S283" s="334" t="s">
        <v>2845</v>
      </c>
      <c r="T283" s="335" t="s">
        <v>1046</v>
      </c>
      <c r="U283" s="335" t="s">
        <v>3157</v>
      </c>
      <c r="V283" s="335" t="str" cm="1">
        <f t="array" ref="V283">IFERROR(INDEX('Offer Statistics'!$DA$2:$DA$600,MATCH(1,(B283='Offer Statistics'!$CL$2:$CL$600)*($B$11='Offer Statistics'!$CM$2:$CM$600),0)),"/")</f>
        <v>/</v>
      </c>
      <c r="W283" s="335" t="str" cm="1">
        <f t="array" ref="W283">IFERROR(INDEX('Offer Statistics'!$CN$2:$CN$600,MATCH(1,(B283='Offer Statistics'!$CL$2:$CL$600)*($B$11='Offer Statistics'!$CM$2:$CM$600),0)),"/")</f>
        <v>/</v>
      </c>
      <c r="X283" s="335" t="str" cm="1">
        <f t="array" ref="X283">IFERROR(INDEX('Offer Statistics'!$CV$2:$CV$600,MATCH(1,(B283='Offer Statistics'!$CL$2:$CL$600)*($B$11='Offer Statistics'!$CM$2:$CM$600),0)),"/")</f>
        <v>/</v>
      </c>
      <c r="Y283" s="334" t="str">
        <f t="shared" si="376"/>
        <v>新科目</v>
      </c>
      <c r="Z283" s="335" t="s">
        <v>1046</v>
      </c>
      <c r="AA283" s="335" t="str">
        <f>入學要求!AF292</f>
        <v>以下一科選修取得Lv.3︰生物、化學、物理、組合科學</v>
      </c>
      <c r="AC283" s="426" t="s">
        <v>785</v>
      </c>
      <c r="AD283" s="359"/>
      <c r="AE283" s="359"/>
      <c r="AF283" s="346" t="s">
        <v>886</v>
      </c>
      <c r="AG283" s="346" t="s">
        <v>1524</v>
      </c>
      <c r="AH283" s="426" t="s">
        <v>324</v>
      </c>
      <c r="AI283" s="346" t="s">
        <v>324</v>
      </c>
      <c r="AJ283" s="346" t="s">
        <v>324</v>
      </c>
      <c r="AK283" s="335" t="s">
        <v>735</v>
      </c>
      <c r="AL283" s="335" t="s">
        <v>324</v>
      </c>
      <c r="AM283" s="335" t="s">
        <v>324</v>
      </c>
      <c r="AT283" s="335" t="s">
        <v>716</v>
      </c>
      <c r="AV283" s="335" t="s">
        <v>713</v>
      </c>
      <c r="BQ283" s="386"/>
      <c r="BR283" s="386"/>
      <c r="BS283" s="386"/>
      <c r="BT283" s="386"/>
      <c r="BU283" s="386"/>
      <c r="BV283" s="386"/>
      <c r="BW283" s="386"/>
      <c r="BX283" s="386"/>
      <c r="DF283" s="386"/>
      <c r="DG283" s="386"/>
      <c r="DH283" s="386"/>
      <c r="DI283" s="386"/>
      <c r="DJ283" s="386"/>
      <c r="DK283" s="386"/>
      <c r="DL283" s="386"/>
      <c r="DM283" s="386"/>
    </row>
    <row r="284" spans="1:173" s="364" customFormat="1">
      <c r="A284" s="335" t="s">
        <v>531</v>
      </c>
      <c r="B284" s="364" t="s">
        <v>531</v>
      </c>
      <c r="C284" s="335" t="s">
        <v>1473</v>
      </c>
      <c r="D284" s="364" t="s">
        <v>796</v>
      </c>
      <c r="E284" s="364" t="s">
        <v>2807</v>
      </c>
      <c r="F284" s="346" t="s">
        <v>724</v>
      </c>
      <c r="G284" s="335" t="s">
        <v>324</v>
      </c>
      <c r="H284" s="346">
        <v>41</v>
      </c>
      <c r="I284" s="346">
        <v>38</v>
      </c>
      <c r="J284" s="346">
        <v>38</v>
      </c>
      <c r="N284" s="346" t="s">
        <v>799</v>
      </c>
      <c r="O284" s="346" t="s">
        <v>324</v>
      </c>
      <c r="P284" s="346" t="s">
        <v>324</v>
      </c>
      <c r="Q284" s="346" t="s">
        <v>324</v>
      </c>
      <c r="R284" s="346" t="s">
        <v>324</v>
      </c>
      <c r="S284" s="364" t="s">
        <v>1960</v>
      </c>
      <c r="T284" s="335" t="s">
        <v>1046</v>
      </c>
      <c r="U284" s="364">
        <v>20</v>
      </c>
      <c r="V284" s="335" cm="1">
        <f t="array" ref="V284">IFERROR(INDEX('Offer Statistics'!$DA$2:$DA$600,MATCH(1,(B284='Offer Statistics'!$CL$2:$CL$600)*($B$11='Offer Statistics'!$CM$2:$CM$600),0)),"/")</f>
        <v>21</v>
      </c>
      <c r="W284" s="335" cm="1">
        <f t="array" ref="W284">IFERROR(INDEX('Offer Statistics'!$CN$2:$CN$600,MATCH(1,(B284='Offer Statistics'!$CL$2:$CL$600)*($B$11='Offer Statistics'!$CM$2:$CM$600),0)),"/")</f>
        <v>42</v>
      </c>
      <c r="X284" s="335" cm="1">
        <f t="array" ref="X284">IFERROR(INDEX('Offer Statistics'!$CV$2:$CV$600,MATCH(1,(B284='Offer Statistics'!$CL$2:$CL$600)*($B$11='Offer Statistics'!$CM$2:$CM$600),0)),"/")</f>
        <v>21</v>
      </c>
      <c r="Y284" s="334">
        <f t="shared" si="376"/>
        <v>2</v>
      </c>
      <c r="Z284" s="335" t="s">
        <v>1046</v>
      </c>
      <c r="AA284" s="335" t="str">
        <f>入學要求!AF293</f>
        <v>/</v>
      </c>
      <c r="AB284" s="364" t="str">
        <f>入學要求!AG293</f>
        <v>/</v>
      </c>
      <c r="AC284" s="426" t="s">
        <v>724</v>
      </c>
      <c r="AD284" s="365"/>
      <c r="AF284" s="346"/>
      <c r="AG284" s="346" t="s">
        <v>324</v>
      </c>
      <c r="AH284" s="346" t="s">
        <v>324</v>
      </c>
      <c r="AI284" s="346" t="s">
        <v>324</v>
      </c>
      <c r="AJ284" s="346" t="s">
        <v>324</v>
      </c>
      <c r="AK284" s="364" t="s">
        <v>735</v>
      </c>
      <c r="AL284" s="364" t="s">
        <v>1520</v>
      </c>
      <c r="AM284" s="364" t="s">
        <v>1482</v>
      </c>
      <c r="AP284" s="364" t="s">
        <v>1478</v>
      </c>
      <c r="AQ284" s="335" t="s">
        <v>2525</v>
      </c>
      <c r="AR284" s="364" t="s">
        <v>324</v>
      </c>
      <c r="AT284" s="364" t="s">
        <v>716</v>
      </c>
      <c r="AV284" s="364" t="s">
        <v>713</v>
      </c>
      <c r="AZ284" s="364" t="s">
        <v>324</v>
      </c>
      <c r="BA284" s="364" t="s">
        <v>324</v>
      </c>
      <c r="BB284" s="364" t="s">
        <v>324</v>
      </c>
      <c r="BD284" s="364" t="s">
        <v>324</v>
      </c>
      <c r="BE284" s="364" t="s">
        <v>324</v>
      </c>
      <c r="BF284" s="364" t="s">
        <v>324</v>
      </c>
      <c r="BG284" s="364" t="s">
        <v>324</v>
      </c>
      <c r="BI284" s="364" t="s">
        <v>324</v>
      </c>
      <c r="BJ284" s="364" t="s">
        <v>324</v>
      </c>
      <c r="BK284" s="364" t="s">
        <v>324</v>
      </c>
      <c r="BM284" s="364" t="s">
        <v>324</v>
      </c>
      <c r="BN284" s="364" t="s">
        <v>324</v>
      </c>
      <c r="BO284" s="364" t="s">
        <v>324</v>
      </c>
      <c r="BP284" s="364" t="s">
        <v>324</v>
      </c>
      <c r="BY284" s="364" t="s">
        <v>324</v>
      </c>
      <c r="BZ284" s="364" t="s">
        <v>324</v>
      </c>
      <c r="CA284" s="364" t="s">
        <v>324</v>
      </c>
      <c r="CC284" s="364" t="s">
        <v>324</v>
      </c>
      <c r="CD284" s="364" t="s">
        <v>324</v>
      </c>
      <c r="CE284" s="364" t="s">
        <v>324</v>
      </c>
      <c r="CF284" s="364" t="s">
        <v>324</v>
      </c>
      <c r="CG284" s="364" t="s">
        <v>324</v>
      </c>
      <c r="CH284" s="364" t="s">
        <v>324</v>
      </c>
      <c r="CI284" s="364" t="s">
        <v>324</v>
      </c>
      <c r="CK284" s="364" t="s">
        <v>324</v>
      </c>
      <c r="CL284" s="364" t="s">
        <v>324</v>
      </c>
      <c r="CM284" s="364" t="s">
        <v>324</v>
      </c>
      <c r="CN284" s="364" t="s">
        <v>324</v>
      </c>
      <c r="CO284" s="364" t="s">
        <v>324</v>
      </c>
      <c r="CP284" s="364" t="s">
        <v>324</v>
      </c>
      <c r="CQ284" s="364" t="s">
        <v>324</v>
      </c>
      <c r="CS284" s="364" t="s">
        <v>324</v>
      </c>
      <c r="CT284" s="364" t="s">
        <v>324</v>
      </c>
      <c r="CU284" s="364" t="s">
        <v>324</v>
      </c>
      <c r="CV284" s="364" t="s">
        <v>324</v>
      </c>
      <c r="CX284" s="364" t="s">
        <v>324</v>
      </c>
      <c r="CY284" s="364" t="s">
        <v>324</v>
      </c>
      <c r="CZ284" s="364" t="s">
        <v>324</v>
      </c>
      <c r="DB284" s="364" t="s">
        <v>324</v>
      </c>
      <c r="DC284" s="364" t="s">
        <v>324</v>
      </c>
      <c r="DD284" s="364" t="s">
        <v>324</v>
      </c>
      <c r="DE284" s="364" t="s">
        <v>324</v>
      </c>
      <c r="DN284" s="364" t="s">
        <v>324</v>
      </c>
      <c r="DO284" s="364" t="s">
        <v>324</v>
      </c>
      <c r="DP284" s="364" t="s">
        <v>324</v>
      </c>
      <c r="DR284" s="364" t="s">
        <v>324</v>
      </c>
      <c r="DS284" s="364" t="s">
        <v>324</v>
      </c>
      <c r="DT284" s="364" t="s">
        <v>324</v>
      </c>
      <c r="DU284" s="364" t="s">
        <v>324</v>
      </c>
      <c r="DV284" s="364" t="s">
        <v>324</v>
      </c>
      <c r="DW284" s="364" t="s">
        <v>324</v>
      </c>
      <c r="DX284" s="364" t="s">
        <v>324</v>
      </c>
      <c r="DZ284" s="364" t="s">
        <v>324</v>
      </c>
      <c r="EA284" s="364" t="s">
        <v>324</v>
      </c>
      <c r="EB284" s="364" t="s">
        <v>324</v>
      </c>
      <c r="EC284" s="364" t="s">
        <v>324</v>
      </c>
      <c r="ED284" s="364" t="s">
        <v>324</v>
      </c>
      <c r="EE284" s="364" t="s">
        <v>324</v>
      </c>
      <c r="EF284" s="364" t="s">
        <v>324</v>
      </c>
      <c r="EH284" s="364" t="s">
        <v>324</v>
      </c>
      <c r="EI284" s="364" t="s">
        <v>324</v>
      </c>
      <c r="EJ284" s="364" t="s">
        <v>324</v>
      </c>
      <c r="EK284" s="364" t="s">
        <v>324</v>
      </c>
      <c r="EL284" s="364" t="s">
        <v>324</v>
      </c>
      <c r="EM284" s="364" t="s">
        <v>324</v>
      </c>
      <c r="EN284" s="364" t="s">
        <v>324</v>
      </c>
      <c r="EP284" s="364" t="s">
        <v>324</v>
      </c>
      <c r="EQ284" s="364" t="s">
        <v>324</v>
      </c>
      <c r="ER284" s="364" t="s">
        <v>324</v>
      </c>
      <c r="ES284" s="364" t="s">
        <v>324</v>
      </c>
      <c r="FB284" s="364" t="s">
        <v>324</v>
      </c>
      <c r="FC284" s="364" t="s">
        <v>324</v>
      </c>
      <c r="FD284" s="364" t="s">
        <v>324</v>
      </c>
      <c r="FE284" s="364" t="s">
        <v>324</v>
      </c>
      <c r="FF284" s="364" t="s">
        <v>324</v>
      </c>
      <c r="FG284" s="364" t="s">
        <v>324</v>
      </c>
      <c r="FH284" s="364" t="s">
        <v>324</v>
      </c>
      <c r="FI284" s="364" t="s">
        <v>324</v>
      </c>
      <c r="FJ284" s="364" t="s">
        <v>324</v>
      </c>
      <c r="FK284" s="364" t="s">
        <v>324</v>
      </c>
      <c r="FL284" s="364" t="s">
        <v>324</v>
      </c>
      <c r="FM284" s="364" t="s">
        <v>324</v>
      </c>
      <c r="FN284" s="364" t="s">
        <v>324</v>
      </c>
      <c r="FO284" s="364" t="s">
        <v>324</v>
      </c>
      <c r="FP284" s="364" t="s">
        <v>324</v>
      </c>
      <c r="FQ284" s="364" t="s">
        <v>324</v>
      </c>
    </row>
    <row r="285" spans="1:173" s="364" customFormat="1">
      <c r="A285" s="335" t="s">
        <v>534</v>
      </c>
      <c r="B285" s="364" t="s">
        <v>534</v>
      </c>
      <c r="C285" s="335" t="s">
        <v>1473</v>
      </c>
      <c r="D285" s="364" t="s">
        <v>796</v>
      </c>
      <c r="E285" s="364" t="s">
        <v>535</v>
      </c>
      <c r="F285" s="346" t="s">
        <v>724</v>
      </c>
      <c r="G285" s="335" t="s">
        <v>324</v>
      </c>
      <c r="H285" s="346">
        <v>36</v>
      </c>
      <c r="I285" s="346">
        <v>35</v>
      </c>
      <c r="J285" s="346">
        <v>33</v>
      </c>
      <c r="N285" s="346" t="s">
        <v>799</v>
      </c>
      <c r="O285" s="346" t="s">
        <v>324</v>
      </c>
      <c r="P285" s="346" t="s">
        <v>324</v>
      </c>
      <c r="Q285" s="346" t="s">
        <v>324</v>
      </c>
      <c r="R285" s="346" t="s">
        <v>324</v>
      </c>
      <c r="S285" s="364" t="s">
        <v>798</v>
      </c>
      <c r="T285" s="335" t="s">
        <v>1046</v>
      </c>
      <c r="U285" s="364">
        <v>92</v>
      </c>
      <c r="V285" s="335" cm="1">
        <f t="array" ref="V285">IFERROR(INDEX('Offer Statistics'!$DA$2:$DA$600,MATCH(1,(B285='Offer Statistics'!$CL$2:$CL$600)*($B$11='Offer Statistics'!$CM$2:$CM$600),0)),"/")</f>
        <v>62</v>
      </c>
      <c r="W285" s="335" cm="1">
        <f t="array" ref="W285">IFERROR(INDEX('Offer Statistics'!$CN$2:$CN$600,MATCH(1,(B285='Offer Statistics'!$CL$2:$CL$600)*($B$11='Offer Statistics'!$CM$2:$CM$600),0)),"/")</f>
        <v>237</v>
      </c>
      <c r="X285" s="335" cm="1">
        <f t="array" ref="X285">IFERROR(INDEX('Offer Statistics'!$CV$2:$CV$600,MATCH(1,(B285='Offer Statistics'!$CL$2:$CL$600)*($B$11='Offer Statistics'!$CM$2:$CM$600),0)),"/")</f>
        <v>61</v>
      </c>
      <c r="Y285" s="334">
        <f t="shared" si="376"/>
        <v>3.8852459016393444</v>
      </c>
      <c r="Z285" s="335" t="s">
        <v>1046</v>
      </c>
      <c r="AA285" s="335" t="str">
        <f>入學要求!AF294</f>
        <v>/</v>
      </c>
      <c r="AB285" s="364" t="str">
        <f>入學要求!AG294</f>
        <v>/</v>
      </c>
      <c r="AC285" s="426" t="s">
        <v>724</v>
      </c>
      <c r="AD285" s="365"/>
      <c r="AF285" s="346"/>
      <c r="AG285" s="346" t="s">
        <v>324</v>
      </c>
      <c r="AH285" s="346" t="s">
        <v>324</v>
      </c>
      <c r="AI285" s="346" t="s">
        <v>324</v>
      </c>
      <c r="AJ285" s="346" t="s">
        <v>324</v>
      </c>
      <c r="AK285" s="364" t="s">
        <v>735</v>
      </c>
      <c r="AL285" s="364" t="s">
        <v>1520</v>
      </c>
      <c r="AM285" s="364" t="s">
        <v>1482</v>
      </c>
      <c r="AP285" s="364" t="s">
        <v>1478</v>
      </c>
      <c r="AQ285" s="335" t="s">
        <v>2525</v>
      </c>
      <c r="AR285" s="364" t="s">
        <v>324</v>
      </c>
      <c r="AT285" s="335" t="s">
        <v>716</v>
      </c>
      <c r="AU285" s="335"/>
      <c r="AV285" s="335" t="s">
        <v>713</v>
      </c>
      <c r="AZ285" s="364" t="s">
        <v>324</v>
      </c>
      <c r="BA285" s="364" t="s">
        <v>324</v>
      </c>
      <c r="BB285" s="364" t="s">
        <v>324</v>
      </c>
      <c r="BD285" s="364" t="s">
        <v>324</v>
      </c>
      <c r="BE285" s="364" t="s">
        <v>324</v>
      </c>
      <c r="BF285" s="364" t="s">
        <v>324</v>
      </c>
      <c r="BG285" s="364" t="s">
        <v>324</v>
      </c>
      <c r="BI285" s="364" t="s">
        <v>324</v>
      </c>
      <c r="BJ285" s="364" t="s">
        <v>324</v>
      </c>
      <c r="BK285" s="364" t="s">
        <v>324</v>
      </c>
      <c r="BM285" s="364" t="s">
        <v>324</v>
      </c>
      <c r="BN285" s="364" t="s">
        <v>324</v>
      </c>
      <c r="BO285" s="364" t="s">
        <v>324</v>
      </c>
      <c r="BP285" s="364" t="s">
        <v>324</v>
      </c>
      <c r="BY285" s="364" t="s">
        <v>324</v>
      </c>
      <c r="BZ285" s="364" t="s">
        <v>324</v>
      </c>
      <c r="CA285" s="364" t="s">
        <v>324</v>
      </c>
      <c r="CC285" s="364" t="s">
        <v>324</v>
      </c>
      <c r="CD285" s="364" t="s">
        <v>324</v>
      </c>
      <c r="CE285" s="364" t="s">
        <v>324</v>
      </c>
      <c r="CF285" s="364" t="s">
        <v>324</v>
      </c>
      <c r="CG285" s="364" t="s">
        <v>324</v>
      </c>
      <c r="CH285" s="364" t="s">
        <v>324</v>
      </c>
      <c r="CI285" s="364" t="s">
        <v>324</v>
      </c>
      <c r="CK285" s="364" t="s">
        <v>324</v>
      </c>
      <c r="CL285" s="364" t="s">
        <v>324</v>
      </c>
      <c r="CM285" s="364" t="s">
        <v>324</v>
      </c>
      <c r="CN285" s="364" t="s">
        <v>324</v>
      </c>
      <c r="CO285" s="364" t="s">
        <v>324</v>
      </c>
      <c r="CP285" s="364" t="s">
        <v>324</v>
      </c>
      <c r="CQ285" s="364" t="s">
        <v>324</v>
      </c>
      <c r="CS285" s="364" t="s">
        <v>324</v>
      </c>
      <c r="CT285" s="364" t="s">
        <v>324</v>
      </c>
      <c r="CU285" s="364" t="s">
        <v>324</v>
      </c>
      <c r="CV285" s="364" t="s">
        <v>324</v>
      </c>
      <c r="CX285" s="364" t="s">
        <v>324</v>
      </c>
      <c r="CY285" s="364" t="s">
        <v>324</v>
      </c>
      <c r="CZ285" s="364" t="s">
        <v>324</v>
      </c>
      <c r="DB285" s="364" t="s">
        <v>324</v>
      </c>
      <c r="DC285" s="364" t="s">
        <v>324</v>
      </c>
      <c r="DD285" s="364" t="s">
        <v>324</v>
      </c>
      <c r="DE285" s="364" t="s">
        <v>324</v>
      </c>
      <c r="DN285" s="364" t="s">
        <v>324</v>
      </c>
      <c r="DO285" s="364" t="s">
        <v>324</v>
      </c>
      <c r="DP285" s="364" t="s">
        <v>324</v>
      </c>
      <c r="DR285" s="364" t="s">
        <v>324</v>
      </c>
      <c r="DS285" s="364" t="s">
        <v>324</v>
      </c>
      <c r="DT285" s="364" t="s">
        <v>324</v>
      </c>
      <c r="DU285" s="364" t="s">
        <v>324</v>
      </c>
      <c r="DV285" s="364" t="s">
        <v>324</v>
      </c>
      <c r="DW285" s="364" t="s">
        <v>324</v>
      </c>
      <c r="DX285" s="364" t="s">
        <v>324</v>
      </c>
      <c r="DZ285" s="364" t="s">
        <v>324</v>
      </c>
      <c r="EA285" s="364" t="s">
        <v>324</v>
      </c>
      <c r="EB285" s="364" t="s">
        <v>324</v>
      </c>
      <c r="EC285" s="364" t="s">
        <v>324</v>
      </c>
      <c r="ED285" s="364" t="s">
        <v>324</v>
      </c>
      <c r="EE285" s="364" t="s">
        <v>324</v>
      </c>
      <c r="EF285" s="364" t="s">
        <v>324</v>
      </c>
      <c r="EH285" s="364" t="s">
        <v>324</v>
      </c>
      <c r="EI285" s="364" t="s">
        <v>324</v>
      </c>
      <c r="EJ285" s="364" t="s">
        <v>324</v>
      </c>
      <c r="EK285" s="364" t="s">
        <v>324</v>
      </c>
      <c r="EL285" s="364" t="s">
        <v>324</v>
      </c>
      <c r="EM285" s="364" t="s">
        <v>324</v>
      </c>
      <c r="EN285" s="364" t="s">
        <v>324</v>
      </c>
      <c r="EP285" s="364" t="s">
        <v>324</v>
      </c>
      <c r="EQ285" s="364" t="s">
        <v>324</v>
      </c>
      <c r="ER285" s="364" t="s">
        <v>324</v>
      </c>
      <c r="ES285" s="364" t="s">
        <v>324</v>
      </c>
      <c r="FB285" s="364" t="s">
        <v>324</v>
      </c>
      <c r="FC285" s="364" t="s">
        <v>324</v>
      </c>
      <c r="FD285" s="364" t="s">
        <v>324</v>
      </c>
      <c r="FE285" s="364" t="s">
        <v>324</v>
      </c>
      <c r="FF285" s="364" t="s">
        <v>324</v>
      </c>
      <c r="FG285" s="364" t="s">
        <v>324</v>
      </c>
      <c r="FH285" s="364" t="s">
        <v>324</v>
      </c>
      <c r="FI285" s="364" t="s">
        <v>324</v>
      </c>
      <c r="FJ285" s="364" t="s">
        <v>324</v>
      </c>
      <c r="FK285" s="364" t="s">
        <v>324</v>
      </c>
      <c r="FL285" s="364" t="s">
        <v>324</v>
      </c>
      <c r="FM285" s="364" t="s">
        <v>324</v>
      </c>
      <c r="FN285" s="364" t="s">
        <v>324</v>
      </c>
      <c r="FO285" s="364" t="s">
        <v>324</v>
      </c>
      <c r="FP285" s="364" t="s">
        <v>324</v>
      </c>
      <c r="FQ285" s="364" t="s">
        <v>324</v>
      </c>
    </row>
    <row r="286" spans="1:173" s="335" customFormat="1">
      <c r="A286" s="335" t="s">
        <v>367</v>
      </c>
      <c r="B286" s="335" t="s">
        <v>367</v>
      </c>
      <c r="C286" s="335" t="s">
        <v>1473</v>
      </c>
      <c r="D286" s="335" t="s">
        <v>1293</v>
      </c>
      <c r="E286" s="335" t="s">
        <v>537</v>
      </c>
      <c r="F286" s="346" t="s">
        <v>785</v>
      </c>
      <c r="G286" s="335" t="s">
        <v>324</v>
      </c>
      <c r="H286" s="346">
        <v>36</v>
      </c>
      <c r="I286" s="346">
        <v>35</v>
      </c>
      <c r="J286" s="346">
        <v>34</v>
      </c>
      <c r="N286" s="346" t="s">
        <v>1530</v>
      </c>
      <c r="O286" s="346" t="s">
        <v>1475</v>
      </c>
      <c r="P286" s="346" t="s">
        <v>2469</v>
      </c>
      <c r="Q286" s="346" t="s">
        <v>324</v>
      </c>
      <c r="R286" s="346" t="s">
        <v>324</v>
      </c>
      <c r="S286" s="334" t="s">
        <v>2125</v>
      </c>
      <c r="T286" s="335" t="s">
        <v>1046</v>
      </c>
      <c r="U286" s="335" t="s">
        <v>2535</v>
      </c>
      <c r="V286" s="335" cm="1">
        <f t="array" ref="V286">IFERROR(INDEX('Offer Statistics'!$DA$2:$DA$600,MATCH(1,(B286='Offer Statistics'!$CL$2:$CL$600)*($B$11='Offer Statistics'!$CM$2:$CM$600),0)),"/")</f>
        <v>4</v>
      </c>
      <c r="W286" s="335" cm="1">
        <f t="array" ref="W286">IFERROR(INDEX('Offer Statistics'!$CN$2:$CN$600,MATCH(1,(B286='Offer Statistics'!$CL$2:$CL$600)*($B$11='Offer Statistics'!$CM$2:$CM$600),0)),"/")</f>
        <v>63</v>
      </c>
      <c r="X286" s="335" cm="1">
        <f t="array" ref="X286">IFERROR(INDEX('Offer Statistics'!$CV$2:$CV$600,MATCH(1,(B286='Offer Statistics'!$CL$2:$CL$600)*($B$11='Offer Statistics'!$CM$2:$CM$600),0)),"/")</f>
        <v>4</v>
      </c>
      <c r="Y286" s="334">
        <f t="shared" si="376"/>
        <v>15.75</v>
      </c>
      <c r="Z286" s="335" t="s">
        <v>1046</v>
      </c>
      <c r="AA286" s="335" t="str">
        <f>入學要求!AF295</f>
        <v>如欲升讀至MBBS，申請人必須有修讀化學 或 組合科學(化學)。</v>
      </c>
      <c r="AB286" s="335" t="str">
        <f>入學要求!AG295</f>
        <v>/</v>
      </c>
      <c r="AC286" s="426" t="s">
        <v>11</v>
      </c>
      <c r="AD286" s="337"/>
      <c r="AE286" s="337"/>
      <c r="AF286" s="346" t="s">
        <v>1533</v>
      </c>
      <c r="AG286" s="346" t="s">
        <v>1475</v>
      </c>
      <c r="AH286" s="346" t="s">
        <v>1531</v>
      </c>
      <c r="AI286" s="346" t="s">
        <v>324</v>
      </c>
      <c r="AJ286" s="346" t="s">
        <v>324</v>
      </c>
      <c r="AK286" s="335" t="s">
        <v>735</v>
      </c>
      <c r="AL286" s="335" t="s">
        <v>1520</v>
      </c>
      <c r="AM286" s="335" t="s">
        <v>1481</v>
      </c>
      <c r="AP286" s="335" t="s">
        <v>1478</v>
      </c>
      <c r="AQ286" s="335" t="s">
        <v>2528</v>
      </c>
      <c r="AR286" s="335" t="s">
        <v>324</v>
      </c>
      <c r="AT286" s="364" t="s">
        <v>716</v>
      </c>
      <c r="AU286" s="364"/>
      <c r="AV286" s="364" t="s">
        <v>713</v>
      </c>
      <c r="AZ286" s="335" t="s">
        <v>324</v>
      </c>
      <c r="BA286" s="335" t="s">
        <v>324</v>
      </c>
      <c r="BB286" s="335" t="s">
        <v>324</v>
      </c>
      <c r="BD286" s="335" t="s">
        <v>324</v>
      </c>
      <c r="BE286" s="335" t="s">
        <v>324</v>
      </c>
      <c r="BF286" s="335" t="s">
        <v>324</v>
      </c>
      <c r="BG286" s="335" t="s">
        <v>324</v>
      </c>
      <c r="BI286" s="335" t="s">
        <v>324</v>
      </c>
      <c r="BJ286" s="335" t="s">
        <v>324</v>
      </c>
      <c r="BK286" s="335" t="s">
        <v>324</v>
      </c>
      <c r="BM286" s="335" t="s">
        <v>324</v>
      </c>
      <c r="BN286" s="335" t="s">
        <v>324</v>
      </c>
      <c r="BO286" s="335" t="s">
        <v>324</v>
      </c>
      <c r="BP286" s="335" t="s">
        <v>324</v>
      </c>
      <c r="BQ286" s="386"/>
      <c r="BR286" s="386"/>
      <c r="BS286" s="386"/>
      <c r="BT286" s="386"/>
      <c r="BU286" s="386"/>
      <c r="BV286" s="386"/>
      <c r="BW286" s="386"/>
      <c r="BX286" s="386"/>
      <c r="BY286" s="335" t="s">
        <v>324</v>
      </c>
      <c r="BZ286" s="335" t="s">
        <v>324</v>
      </c>
      <c r="CA286" s="335" t="s">
        <v>324</v>
      </c>
      <c r="CC286" s="335" t="s">
        <v>324</v>
      </c>
      <c r="CD286" s="335" t="s">
        <v>324</v>
      </c>
      <c r="CE286" s="335" t="s">
        <v>324</v>
      </c>
      <c r="CF286" s="335" t="s">
        <v>324</v>
      </c>
      <c r="CG286" s="335" t="s">
        <v>324</v>
      </c>
      <c r="CH286" s="335" t="s">
        <v>324</v>
      </c>
      <c r="CI286" s="335" t="s">
        <v>324</v>
      </c>
      <c r="CK286" s="335" t="s">
        <v>324</v>
      </c>
      <c r="CL286" s="335" t="s">
        <v>324</v>
      </c>
      <c r="CM286" s="335" t="s">
        <v>324</v>
      </c>
      <c r="CN286" s="335" t="s">
        <v>324</v>
      </c>
      <c r="CO286" s="335" t="s">
        <v>324</v>
      </c>
      <c r="CP286" s="335" t="s">
        <v>324</v>
      </c>
      <c r="CQ286" s="335" t="s">
        <v>324</v>
      </c>
      <c r="CS286" s="335" t="s">
        <v>324</v>
      </c>
      <c r="CT286" s="335" t="s">
        <v>324</v>
      </c>
      <c r="CU286" s="335" t="s">
        <v>324</v>
      </c>
      <c r="CV286" s="335" t="s">
        <v>324</v>
      </c>
      <c r="CX286" s="335" t="s">
        <v>324</v>
      </c>
      <c r="CY286" s="335" t="s">
        <v>324</v>
      </c>
      <c r="CZ286" s="335" t="s">
        <v>324</v>
      </c>
      <c r="DB286" s="335" t="s">
        <v>324</v>
      </c>
      <c r="DC286" s="335" t="s">
        <v>324</v>
      </c>
      <c r="DD286" s="335" t="s">
        <v>324</v>
      </c>
      <c r="DE286" s="335" t="s">
        <v>324</v>
      </c>
      <c r="DF286" s="386"/>
      <c r="DG286" s="386"/>
      <c r="DH286" s="386"/>
      <c r="DI286" s="386"/>
      <c r="DJ286" s="386"/>
      <c r="DK286" s="386"/>
      <c r="DL286" s="386"/>
      <c r="DM286" s="386"/>
      <c r="DN286" s="335" t="s">
        <v>324</v>
      </c>
      <c r="DO286" s="335" t="s">
        <v>324</v>
      </c>
      <c r="DP286" s="335" t="s">
        <v>324</v>
      </c>
      <c r="DR286" s="335" t="s">
        <v>324</v>
      </c>
      <c r="DS286" s="335" t="s">
        <v>324</v>
      </c>
      <c r="DT286" s="335" t="s">
        <v>324</v>
      </c>
      <c r="DU286" s="335" t="s">
        <v>324</v>
      </c>
      <c r="DV286" s="335" t="s">
        <v>324</v>
      </c>
      <c r="DW286" s="335" t="s">
        <v>324</v>
      </c>
      <c r="DX286" s="335" t="s">
        <v>324</v>
      </c>
      <c r="DZ286" s="335" t="s">
        <v>324</v>
      </c>
      <c r="EA286" s="335" t="s">
        <v>324</v>
      </c>
      <c r="EB286" s="335" t="s">
        <v>324</v>
      </c>
      <c r="EC286" s="335" t="s">
        <v>324</v>
      </c>
      <c r="ED286" s="335" t="s">
        <v>324</v>
      </c>
      <c r="EE286" s="335" t="s">
        <v>324</v>
      </c>
      <c r="EF286" s="335" t="s">
        <v>324</v>
      </c>
      <c r="EH286" s="335" t="s">
        <v>324</v>
      </c>
      <c r="EI286" s="335" t="s">
        <v>324</v>
      </c>
      <c r="EJ286" s="335" t="s">
        <v>324</v>
      </c>
      <c r="EK286" s="335" t="s">
        <v>324</v>
      </c>
      <c r="EL286" s="335" t="s">
        <v>324</v>
      </c>
      <c r="EM286" s="335" t="s">
        <v>324</v>
      </c>
      <c r="EN286" s="335" t="s">
        <v>324</v>
      </c>
      <c r="EP286" s="335" t="s">
        <v>324</v>
      </c>
      <c r="EQ286" s="335" t="s">
        <v>324</v>
      </c>
      <c r="ER286" s="335" t="s">
        <v>324</v>
      </c>
      <c r="ES286" s="335" t="s">
        <v>324</v>
      </c>
      <c r="FB286" s="335" t="s">
        <v>324</v>
      </c>
      <c r="FC286" s="335" t="s">
        <v>324</v>
      </c>
      <c r="FD286" s="335" t="s">
        <v>324</v>
      </c>
      <c r="FE286" s="335" t="s">
        <v>324</v>
      </c>
      <c r="FF286" s="335" t="s">
        <v>324</v>
      </c>
      <c r="FG286" s="335" t="s">
        <v>324</v>
      </c>
      <c r="FH286" s="335" t="s">
        <v>324</v>
      </c>
      <c r="FI286" s="335" t="s">
        <v>324</v>
      </c>
      <c r="FJ286" s="335" t="s">
        <v>324</v>
      </c>
      <c r="FK286" s="335" t="s">
        <v>324</v>
      </c>
      <c r="FL286" s="335" t="s">
        <v>324</v>
      </c>
      <c r="FM286" s="335" t="s">
        <v>324</v>
      </c>
      <c r="FN286" s="335" t="s">
        <v>324</v>
      </c>
      <c r="FO286" s="335" t="s">
        <v>324</v>
      </c>
      <c r="FP286" s="335" t="s">
        <v>324</v>
      </c>
      <c r="FQ286" s="335" t="s">
        <v>324</v>
      </c>
    </row>
    <row r="287" spans="1:173" s="364" customFormat="1">
      <c r="A287" s="335" t="s">
        <v>506</v>
      </c>
      <c r="B287" s="364" t="s">
        <v>506</v>
      </c>
      <c r="C287" s="335" t="s">
        <v>1473</v>
      </c>
      <c r="D287" s="364" t="s">
        <v>1293</v>
      </c>
      <c r="E287" s="364" t="s">
        <v>539</v>
      </c>
      <c r="F287" s="346" t="s">
        <v>724</v>
      </c>
      <c r="G287" s="335" t="s">
        <v>324</v>
      </c>
      <c r="H287" s="346">
        <v>45</v>
      </c>
      <c r="I287" s="346">
        <v>44</v>
      </c>
      <c r="J287" s="346">
        <v>42</v>
      </c>
      <c r="N287" s="346" t="s">
        <v>324</v>
      </c>
      <c r="O287" s="346" t="s">
        <v>324</v>
      </c>
      <c r="P287" s="346" t="s">
        <v>324</v>
      </c>
      <c r="Q287" s="346" t="s">
        <v>324</v>
      </c>
      <c r="R287" s="346" t="s">
        <v>324</v>
      </c>
      <c r="S287" s="364" t="s">
        <v>1968</v>
      </c>
      <c r="T287" s="335" t="s">
        <v>1046</v>
      </c>
      <c r="U287" s="364">
        <v>300</v>
      </c>
      <c r="V287" s="335" cm="1">
        <f t="array" ref="V287">IFERROR(INDEX('Offer Statistics'!$DA$2:$DA$600,MATCH(1,(B287='Offer Statistics'!$CL$2:$CL$600)*($B$11='Offer Statistics'!$CM$2:$CM$600),0)),"/")</f>
        <v>155</v>
      </c>
      <c r="W287" s="335" cm="1">
        <f t="array" ref="W287">IFERROR(INDEX('Offer Statistics'!$CN$2:$CN$600,MATCH(1,(B287='Offer Statistics'!$CL$2:$CL$600)*($B$11='Offer Statistics'!$CM$2:$CM$600),0)),"/")</f>
        <v>482</v>
      </c>
      <c r="X287" s="335" cm="1">
        <f t="array" ref="X287">IFERROR(INDEX('Offer Statistics'!$CV$2:$CV$600,MATCH(1,(B287='Offer Statistics'!$CL$2:$CL$600)*($B$11='Offer Statistics'!$CM$2:$CM$600),0)),"/")</f>
        <v>155</v>
      </c>
      <c r="Y287" s="334">
        <f t="shared" si="376"/>
        <v>3.1096774193548389</v>
      </c>
      <c r="Z287" s="335" t="s">
        <v>1046</v>
      </c>
      <c r="AA287" s="335" t="str">
        <f>入學要求!AF296</f>
        <v>以下一科選修取得Lv.3︰化學、組合科學(化學)</v>
      </c>
      <c r="AB287" s="364" t="str">
        <f>入學要求!AG296</f>
        <v>/</v>
      </c>
      <c r="AC287" s="426" t="s">
        <v>724</v>
      </c>
      <c r="AD287" s="365"/>
      <c r="AF287" s="346" t="s">
        <v>324</v>
      </c>
      <c r="AG287" s="346" t="s">
        <v>324</v>
      </c>
      <c r="AH287" s="346" t="s">
        <v>324</v>
      </c>
      <c r="AI287" s="346" t="s">
        <v>324</v>
      </c>
      <c r="AJ287" s="346" t="s">
        <v>324</v>
      </c>
      <c r="AK287" s="364" t="s">
        <v>735</v>
      </c>
      <c r="AL287" s="364" t="s">
        <v>1482</v>
      </c>
      <c r="AM287" s="364" t="s">
        <v>1481</v>
      </c>
      <c r="AP287" s="364" t="s">
        <v>1478</v>
      </c>
      <c r="AQ287" s="364" t="s">
        <v>2529</v>
      </c>
      <c r="AR287" s="364" t="s">
        <v>324</v>
      </c>
      <c r="AT287" s="364" t="s">
        <v>716</v>
      </c>
      <c r="AV287" s="387" t="s">
        <v>1510</v>
      </c>
      <c r="AZ287" s="364" t="s">
        <v>324</v>
      </c>
      <c r="BA287" s="364" t="s">
        <v>324</v>
      </c>
      <c r="BB287" s="364" t="s">
        <v>324</v>
      </c>
      <c r="BD287" s="364" t="s">
        <v>324</v>
      </c>
      <c r="BE287" s="364" t="s">
        <v>324</v>
      </c>
      <c r="BF287" s="364" t="s">
        <v>324</v>
      </c>
      <c r="BG287" s="364" t="s">
        <v>324</v>
      </c>
      <c r="BI287" s="364" t="s">
        <v>324</v>
      </c>
      <c r="BJ287" s="364" t="s">
        <v>324</v>
      </c>
      <c r="BK287" s="364" t="s">
        <v>324</v>
      </c>
      <c r="BM287" s="364" t="s">
        <v>324</v>
      </c>
      <c r="BN287" s="364" t="s">
        <v>324</v>
      </c>
      <c r="BO287" s="364" t="s">
        <v>324</v>
      </c>
      <c r="BP287" s="364" t="s">
        <v>324</v>
      </c>
      <c r="BY287" s="364" t="s">
        <v>324</v>
      </c>
      <c r="BZ287" s="364" t="s">
        <v>324</v>
      </c>
      <c r="CA287" s="364" t="s">
        <v>324</v>
      </c>
      <c r="CC287" s="364" t="s">
        <v>324</v>
      </c>
      <c r="CD287" s="364" t="s">
        <v>324</v>
      </c>
      <c r="CE287" s="364" t="s">
        <v>324</v>
      </c>
      <c r="CF287" s="364" t="s">
        <v>324</v>
      </c>
      <c r="CG287" s="364" t="s">
        <v>324</v>
      </c>
      <c r="CH287" s="364" t="s">
        <v>324</v>
      </c>
      <c r="CI287" s="364" t="s">
        <v>324</v>
      </c>
      <c r="CK287" s="364" t="s">
        <v>324</v>
      </c>
      <c r="CL287" s="364" t="s">
        <v>324</v>
      </c>
      <c r="CM287" s="364" t="s">
        <v>324</v>
      </c>
      <c r="CN287" s="364" t="s">
        <v>324</v>
      </c>
      <c r="CO287" s="364" t="s">
        <v>324</v>
      </c>
      <c r="CP287" s="364" t="s">
        <v>324</v>
      </c>
      <c r="CQ287" s="364" t="s">
        <v>324</v>
      </c>
      <c r="CS287" s="364" t="s">
        <v>324</v>
      </c>
      <c r="CT287" s="364" t="s">
        <v>324</v>
      </c>
      <c r="CU287" s="364" t="s">
        <v>324</v>
      </c>
      <c r="CV287" s="364" t="s">
        <v>324</v>
      </c>
      <c r="CX287" s="364" t="s">
        <v>324</v>
      </c>
      <c r="CY287" s="364" t="s">
        <v>324</v>
      </c>
      <c r="CZ287" s="364" t="s">
        <v>324</v>
      </c>
      <c r="DB287" s="364" t="s">
        <v>324</v>
      </c>
      <c r="DC287" s="364" t="s">
        <v>324</v>
      </c>
      <c r="DD287" s="364" t="s">
        <v>324</v>
      </c>
      <c r="DE287" s="364" t="s">
        <v>324</v>
      </c>
      <c r="DN287" s="364" t="s">
        <v>324</v>
      </c>
      <c r="DO287" s="364" t="s">
        <v>324</v>
      </c>
      <c r="DP287" s="364" t="s">
        <v>324</v>
      </c>
      <c r="DR287" s="364" t="s">
        <v>324</v>
      </c>
      <c r="DS287" s="364" t="s">
        <v>324</v>
      </c>
      <c r="DT287" s="364" t="s">
        <v>324</v>
      </c>
      <c r="DU287" s="364" t="s">
        <v>324</v>
      </c>
      <c r="DV287" s="364" t="s">
        <v>324</v>
      </c>
      <c r="DW287" s="364" t="s">
        <v>324</v>
      </c>
      <c r="DX287" s="364" t="s">
        <v>324</v>
      </c>
      <c r="DZ287" s="364" t="s">
        <v>324</v>
      </c>
      <c r="EA287" s="364" t="s">
        <v>324</v>
      </c>
      <c r="EB287" s="364" t="s">
        <v>324</v>
      </c>
      <c r="EC287" s="364" t="s">
        <v>324</v>
      </c>
      <c r="ED287" s="364" t="s">
        <v>324</v>
      </c>
      <c r="EE287" s="364" t="s">
        <v>324</v>
      </c>
      <c r="EF287" s="364" t="s">
        <v>324</v>
      </c>
      <c r="EH287" s="364" t="s">
        <v>324</v>
      </c>
      <c r="EI287" s="364" t="s">
        <v>324</v>
      </c>
      <c r="EJ287" s="364" t="s">
        <v>324</v>
      </c>
      <c r="EK287" s="364" t="s">
        <v>324</v>
      </c>
      <c r="EL287" s="364" t="s">
        <v>324</v>
      </c>
      <c r="EM287" s="364" t="s">
        <v>324</v>
      </c>
      <c r="EN287" s="364" t="s">
        <v>324</v>
      </c>
      <c r="EP287" s="364" t="s">
        <v>324</v>
      </c>
      <c r="EQ287" s="364" t="s">
        <v>324</v>
      </c>
      <c r="ER287" s="364" t="s">
        <v>324</v>
      </c>
      <c r="ES287" s="364" t="s">
        <v>324</v>
      </c>
      <c r="FB287" s="364" t="s">
        <v>324</v>
      </c>
      <c r="FC287" s="364" t="s">
        <v>324</v>
      </c>
      <c r="FD287" s="364" t="s">
        <v>324</v>
      </c>
      <c r="FE287" s="364" t="s">
        <v>324</v>
      </c>
      <c r="FF287" s="364" t="s">
        <v>324</v>
      </c>
      <c r="FG287" s="364" t="s">
        <v>324</v>
      </c>
      <c r="FH287" s="364" t="s">
        <v>324</v>
      </c>
      <c r="FI287" s="364" t="s">
        <v>324</v>
      </c>
      <c r="FJ287" s="364" t="s">
        <v>324</v>
      </c>
      <c r="FK287" s="364" t="s">
        <v>324</v>
      </c>
      <c r="FL287" s="364" t="s">
        <v>324</v>
      </c>
      <c r="FM287" s="364" t="s">
        <v>324</v>
      </c>
      <c r="FN287" s="364" t="s">
        <v>324</v>
      </c>
      <c r="FO287" s="364" t="s">
        <v>324</v>
      </c>
      <c r="FP287" s="364" t="s">
        <v>324</v>
      </c>
      <c r="FQ287" s="364" t="s">
        <v>324</v>
      </c>
    </row>
    <row r="288" spans="1:173" s="335" customFormat="1">
      <c r="A288" s="335" t="s">
        <v>368</v>
      </c>
      <c r="B288" s="335" t="s">
        <v>368</v>
      </c>
      <c r="C288" s="335" t="s">
        <v>1473</v>
      </c>
      <c r="D288" s="335" t="s">
        <v>1293</v>
      </c>
      <c r="E288" s="335" t="s">
        <v>542</v>
      </c>
      <c r="F288" s="346" t="s">
        <v>785</v>
      </c>
      <c r="G288" s="335" t="s">
        <v>324</v>
      </c>
      <c r="H288" s="346">
        <v>27</v>
      </c>
      <c r="I288" s="346">
        <v>26</v>
      </c>
      <c r="J288" s="346">
        <v>25</v>
      </c>
      <c r="N288" s="346" t="s">
        <v>1530</v>
      </c>
      <c r="O288" s="346" t="s">
        <v>1475</v>
      </c>
      <c r="P288" s="346" t="s">
        <v>2469</v>
      </c>
      <c r="Q288" s="346" t="s">
        <v>324</v>
      </c>
      <c r="R288" s="346" t="s">
        <v>324</v>
      </c>
      <c r="S288" s="334" t="s">
        <v>2126</v>
      </c>
      <c r="T288" s="335" t="s">
        <v>1046</v>
      </c>
      <c r="U288" s="335" t="s">
        <v>2535</v>
      </c>
      <c r="V288" s="335" cm="1">
        <f t="array" ref="V288">IFERROR(INDEX('Offer Statistics'!$DA$2:$DA$600,MATCH(1,(B288='Offer Statistics'!$CL$2:$CL$600)*($B$11='Offer Statistics'!$CM$2:$CM$600),0)),"/")</f>
        <v>189</v>
      </c>
      <c r="W288" s="335" cm="1">
        <f t="array" ref="W288">IFERROR(INDEX('Offer Statistics'!$CN$2:$CN$600,MATCH(1,(B288='Offer Statistics'!$CL$2:$CL$600)*($B$11='Offer Statistics'!$CM$2:$CM$600),0)),"/")</f>
        <v>769</v>
      </c>
      <c r="X288" s="335" cm="1">
        <f t="array" ref="X288">IFERROR(INDEX('Offer Statistics'!$CV$2:$CV$600,MATCH(1,(B288='Offer Statistics'!$CL$2:$CL$600)*($B$11='Offer Statistics'!$CM$2:$CM$600),0)),"/")</f>
        <v>189</v>
      </c>
      <c r="Y288" s="334">
        <f t="shared" si="376"/>
        <v>4.0687830687830688</v>
      </c>
      <c r="Z288" s="335" t="s">
        <v>1046</v>
      </c>
      <c r="AA288" s="335" t="str">
        <f>入學要求!AF297</f>
        <v>/</v>
      </c>
      <c r="AB288" s="335" t="str">
        <f>入學要求!AG297</f>
        <v>/</v>
      </c>
      <c r="AC288" s="426" t="s">
        <v>11</v>
      </c>
      <c r="AD288" s="337"/>
      <c r="AE288" s="337"/>
      <c r="AF288" s="346" t="s">
        <v>1533</v>
      </c>
      <c r="AG288" s="346" t="s">
        <v>1475</v>
      </c>
      <c r="AH288" s="346" t="s">
        <v>1531</v>
      </c>
      <c r="AI288" s="346" t="s">
        <v>324</v>
      </c>
      <c r="AJ288" s="346" t="s">
        <v>324</v>
      </c>
      <c r="AK288" s="335" t="s">
        <v>735</v>
      </c>
      <c r="AL288" s="335" t="s">
        <v>1520</v>
      </c>
      <c r="AM288" s="335" t="s">
        <v>1481</v>
      </c>
      <c r="AP288" s="335" t="s">
        <v>1478</v>
      </c>
      <c r="AQ288" s="335" t="s">
        <v>2528</v>
      </c>
      <c r="AR288" s="335" t="s">
        <v>324</v>
      </c>
      <c r="AT288" s="335" t="s">
        <v>716</v>
      </c>
      <c r="AV288" s="335" t="s">
        <v>713</v>
      </c>
      <c r="AZ288" s="335" t="s">
        <v>324</v>
      </c>
      <c r="BA288" s="335" t="s">
        <v>324</v>
      </c>
      <c r="BB288" s="335" t="s">
        <v>324</v>
      </c>
      <c r="BD288" s="335" t="s">
        <v>324</v>
      </c>
      <c r="BE288" s="335" t="s">
        <v>324</v>
      </c>
      <c r="BF288" s="335" t="s">
        <v>324</v>
      </c>
      <c r="BG288" s="335" t="s">
        <v>324</v>
      </c>
      <c r="BI288" s="335" t="s">
        <v>324</v>
      </c>
      <c r="BJ288" s="335" t="s">
        <v>324</v>
      </c>
      <c r="BK288" s="335" t="s">
        <v>324</v>
      </c>
      <c r="BM288" s="335" t="s">
        <v>324</v>
      </c>
      <c r="BN288" s="335" t="s">
        <v>324</v>
      </c>
      <c r="BO288" s="335" t="s">
        <v>324</v>
      </c>
      <c r="BP288" s="335" t="s">
        <v>324</v>
      </c>
      <c r="BQ288" s="386"/>
      <c r="BR288" s="386"/>
      <c r="BS288" s="386"/>
      <c r="BT288" s="386"/>
      <c r="BU288" s="386"/>
      <c r="BV288" s="386"/>
      <c r="BW288" s="386"/>
      <c r="BX288" s="386"/>
      <c r="BY288" s="335" t="s">
        <v>324</v>
      </c>
      <c r="BZ288" s="335" t="s">
        <v>324</v>
      </c>
      <c r="CA288" s="335" t="s">
        <v>324</v>
      </c>
      <c r="CC288" s="335" t="s">
        <v>324</v>
      </c>
      <c r="CD288" s="335" t="s">
        <v>324</v>
      </c>
      <c r="CE288" s="335" t="s">
        <v>324</v>
      </c>
      <c r="CF288" s="335" t="s">
        <v>324</v>
      </c>
      <c r="CG288" s="335" t="s">
        <v>324</v>
      </c>
      <c r="CH288" s="335" t="s">
        <v>324</v>
      </c>
      <c r="CI288" s="335" t="s">
        <v>324</v>
      </c>
      <c r="CK288" s="335" t="s">
        <v>324</v>
      </c>
      <c r="CL288" s="335" t="s">
        <v>324</v>
      </c>
      <c r="CM288" s="335" t="s">
        <v>324</v>
      </c>
      <c r="CN288" s="335" t="s">
        <v>324</v>
      </c>
      <c r="CO288" s="335" t="s">
        <v>324</v>
      </c>
      <c r="CP288" s="335" t="s">
        <v>324</v>
      </c>
      <c r="CQ288" s="335" t="s">
        <v>324</v>
      </c>
      <c r="CS288" s="335" t="s">
        <v>324</v>
      </c>
      <c r="CT288" s="335" t="s">
        <v>324</v>
      </c>
      <c r="CU288" s="335" t="s">
        <v>324</v>
      </c>
      <c r="CV288" s="335" t="s">
        <v>324</v>
      </c>
      <c r="CX288" s="335" t="s">
        <v>324</v>
      </c>
      <c r="CY288" s="335" t="s">
        <v>324</v>
      </c>
      <c r="CZ288" s="335" t="s">
        <v>324</v>
      </c>
      <c r="DB288" s="335" t="s">
        <v>324</v>
      </c>
      <c r="DC288" s="335" t="s">
        <v>324</v>
      </c>
      <c r="DD288" s="335" t="s">
        <v>324</v>
      </c>
      <c r="DE288" s="335" t="s">
        <v>324</v>
      </c>
      <c r="DF288" s="386"/>
      <c r="DG288" s="386"/>
      <c r="DH288" s="386"/>
      <c r="DI288" s="386"/>
      <c r="DJ288" s="386"/>
      <c r="DK288" s="386"/>
      <c r="DL288" s="386"/>
      <c r="DM288" s="386"/>
      <c r="DN288" s="335" t="s">
        <v>324</v>
      </c>
      <c r="DO288" s="335" t="s">
        <v>324</v>
      </c>
      <c r="DP288" s="335" t="s">
        <v>324</v>
      </c>
      <c r="DR288" s="335" t="s">
        <v>324</v>
      </c>
      <c r="DS288" s="335" t="s">
        <v>324</v>
      </c>
      <c r="DT288" s="335" t="s">
        <v>324</v>
      </c>
      <c r="DU288" s="335" t="s">
        <v>324</v>
      </c>
      <c r="DV288" s="335" t="s">
        <v>324</v>
      </c>
      <c r="DW288" s="335" t="s">
        <v>324</v>
      </c>
      <c r="DX288" s="335" t="s">
        <v>324</v>
      </c>
      <c r="DZ288" s="335" t="s">
        <v>324</v>
      </c>
      <c r="EA288" s="335" t="s">
        <v>324</v>
      </c>
      <c r="EB288" s="335" t="s">
        <v>324</v>
      </c>
      <c r="EC288" s="335" t="s">
        <v>324</v>
      </c>
      <c r="ED288" s="335" t="s">
        <v>324</v>
      </c>
      <c r="EE288" s="335" t="s">
        <v>324</v>
      </c>
      <c r="EF288" s="335" t="s">
        <v>324</v>
      </c>
      <c r="EH288" s="335" t="s">
        <v>324</v>
      </c>
      <c r="EI288" s="335" t="s">
        <v>324</v>
      </c>
      <c r="EJ288" s="335" t="s">
        <v>324</v>
      </c>
      <c r="EK288" s="335" t="s">
        <v>324</v>
      </c>
      <c r="EL288" s="335" t="s">
        <v>324</v>
      </c>
      <c r="EM288" s="335" t="s">
        <v>324</v>
      </c>
      <c r="EN288" s="335" t="s">
        <v>324</v>
      </c>
      <c r="EP288" s="335" t="s">
        <v>324</v>
      </c>
      <c r="EQ288" s="335" t="s">
        <v>324</v>
      </c>
      <c r="ER288" s="335" t="s">
        <v>324</v>
      </c>
      <c r="ES288" s="335" t="s">
        <v>324</v>
      </c>
      <c r="FB288" s="335" t="s">
        <v>324</v>
      </c>
      <c r="FC288" s="335" t="s">
        <v>324</v>
      </c>
      <c r="FD288" s="335" t="s">
        <v>324</v>
      </c>
      <c r="FE288" s="335" t="s">
        <v>324</v>
      </c>
      <c r="FF288" s="335" t="s">
        <v>324</v>
      </c>
      <c r="FG288" s="335" t="s">
        <v>324</v>
      </c>
      <c r="FH288" s="335" t="s">
        <v>324</v>
      </c>
      <c r="FI288" s="335" t="s">
        <v>324</v>
      </c>
      <c r="FJ288" s="335" t="s">
        <v>324</v>
      </c>
      <c r="FK288" s="335" t="s">
        <v>324</v>
      </c>
      <c r="FL288" s="335" t="s">
        <v>324</v>
      </c>
      <c r="FM288" s="335" t="s">
        <v>324</v>
      </c>
      <c r="FN288" s="335" t="s">
        <v>324</v>
      </c>
      <c r="FO288" s="335" t="s">
        <v>324</v>
      </c>
      <c r="FP288" s="335" t="s">
        <v>324</v>
      </c>
      <c r="FQ288" s="335" t="s">
        <v>324</v>
      </c>
    </row>
    <row r="289" spans="1:173" s="335" customFormat="1">
      <c r="A289" s="335" t="s">
        <v>369</v>
      </c>
      <c r="B289" s="335" t="s">
        <v>369</v>
      </c>
      <c r="C289" s="335" t="s">
        <v>1473</v>
      </c>
      <c r="D289" s="335" t="s">
        <v>1293</v>
      </c>
      <c r="E289" s="335" t="s">
        <v>543</v>
      </c>
      <c r="F289" s="346" t="s">
        <v>785</v>
      </c>
      <c r="G289" s="335" t="s">
        <v>324</v>
      </c>
      <c r="H289" s="346">
        <v>33</v>
      </c>
      <c r="I289" s="346">
        <v>32</v>
      </c>
      <c r="J289" s="346">
        <v>31</v>
      </c>
      <c r="N289" s="346" t="s">
        <v>1530</v>
      </c>
      <c r="O289" s="346" t="s">
        <v>1475</v>
      </c>
      <c r="P289" s="346" t="s">
        <v>2469</v>
      </c>
      <c r="Q289" s="346" t="s">
        <v>324</v>
      </c>
      <c r="R289" s="346" t="s">
        <v>324</v>
      </c>
      <c r="S289" s="334" t="s">
        <v>1539</v>
      </c>
      <c r="T289" s="335" t="s">
        <v>1046</v>
      </c>
      <c r="U289" s="335">
        <v>25</v>
      </c>
      <c r="V289" s="335" cm="1">
        <f t="array" ref="V289">IFERROR(INDEX('Offer Statistics'!$DA$2:$DA$600,MATCH(1,(B289='Offer Statistics'!$CL$2:$CL$600)*($B$11='Offer Statistics'!$CM$2:$CM$600),0)),"/")</f>
        <v>22</v>
      </c>
      <c r="W289" s="335" cm="1">
        <f t="array" ref="W289">IFERROR(INDEX('Offer Statistics'!$CN$2:$CN$600,MATCH(1,(B289='Offer Statistics'!$CL$2:$CL$600)*($B$11='Offer Statistics'!$CM$2:$CM$600),0)),"/")</f>
        <v>166</v>
      </c>
      <c r="X289" s="335" cm="1">
        <f t="array" ref="X289">IFERROR(INDEX('Offer Statistics'!$CV$2:$CV$600,MATCH(1,(B289='Offer Statistics'!$CL$2:$CL$600)*($B$11='Offer Statistics'!$CM$2:$CM$600),0)),"/")</f>
        <v>22</v>
      </c>
      <c r="Y289" s="334">
        <f t="shared" si="376"/>
        <v>7.5454545454545459</v>
      </c>
      <c r="Z289" s="335" t="s">
        <v>1046</v>
      </c>
      <c r="AA289" s="335" t="str">
        <f>入學要求!AF298</f>
        <v>以下一科選修取得Lv.3︰生物、化學、組合科學、物理、綜合科學</v>
      </c>
      <c r="AB289" s="335" t="str">
        <f>入學要求!AG298</f>
        <v>/</v>
      </c>
      <c r="AC289" s="426" t="s">
        <v>11</v>
      </c>
      <c r="AD289" s="337"/>
      <c r="AE289" s="337"/>
      <c r="AF289" s="346" t="s">
        <v>1533</v>
      </c>
      <c r="AG289" s="346" t="s">
        <v>1475</v>
      </c>
      <c r="AH289" s="346" t="s">
        <v>1531</v>
      </c>
      <c r="AI289" s="346" t="s">
        <v>324</v>
      </c>
      <c r="AJ289" s="346" t="s">
        <v>324</v>
      </c>
      <c r="AK289" s="335" t="s">
        <v>735</v>
      </c>
      <c r="AL289" s="335" t="s">
        <v>1520</v>
      </c>
      <c r="AM289" s="335" t="s">
        <v>1481</v>
      </c>
      <c r="AP289" s="335" t="s">
        <v>1478</v>
      </c>
      <c r="AQ289" s="335" t="s">
        <v>2528</v>
      </c>
      <c r="AR289" s="335" t="s">
        <v>324</v>
      </c>
      <c r="AT289" s="335" t="s">
        <v>716</v>
      </c>
      <c r="AV289" s="335" t="s">
        <v>713</v>
      </c>
      <c r="AZ289" s="335" t="s">
        <v>324</v>
      </c>
      <c r="BA289" s="335" t="s">
        <v>324</v>
      </c>
      <c r="BB289" s="335" t="s">
        <v>324</v>
      </c>
      <c r="BD289" s="335" t="s">
        <v>324</v>
      </c>
      <c r="BE289" s="335" t="s">
        <v>324</v>
      </c>
      <c r="BF289" s="335" t="s">
        <v>324</v>
      </c>
      <c r="BG289" s="335" t="s">
        <v>324</v>
      </c>
      <c r="BI289" s="335" t="s">
        <v>324</v>
      </c>
      <c r="BJ289" s="335" t="s">
        <v>324</v>
      </c>
      <c r="BK289" s="335" t="s">
        <v>324</v>
      </c>
      <c r="BM289" s="335" t="s">
        <v>324</v>
      </c>
      <c r="BN289" s="335" t="s">
        <v>324</v>
      </c>
      <c r="BO289" s="335" t="s">
        <v>324</v>
      </c>
      <c r="BP289" s="335" t="s">
        <v>324</v>
      </c>
      <c r="BQ289" s="386"/>
      <c r="BR289" s="386"/>
      <c r="BS289" s="386"/>
      <c r="BT289" s="386"/>
      <c r="BU289" s="386"/>
      <c r="BV289" s="386"/>
      <c r="BW289" s="386"/>
      <c r="BX289" s="386"/>
      <c r="BY289" s="335" t="s">
        <v>324</v>
      </c>
      <c r="BZ289" s="335" t="s">
        <v>324</v>
      </c>
      <c r="CA289" s="335" t="s">
        <v>324</v>
      </c>
      <c r="CC289" s="335" t="s">
        <v>324</v>
      </c>
      <c r="CD289" s="335" t="s">
        <v>324</v>
      </c>
      <c r="CE289" s="335" t="s">
        <v>324</v>
      </c>
      <c r="CF289" s="335" t="s">
        <v>324</v>
      </c>
      <c r="CG289" s="335" t="s">
        <v>324</v>
      </c>
      <c r="CH289" s="335" t="s">
        <v>324</v>
      </c>
      <c r="CI289" s="335" t="s">
        <v>324</v>
      </c>
      <c r="CK289" s="335" t="s">
        <v>324</v>
      </c>
      <c r="CL289" s="335" t="s">
        <v>324</v>
      </c>
      <c r="CM289" s="335" t="s">
        <v>324</v>
      </c>
      <c r="CN289" s="335" t="s">
        <v>324</v>
      </c>
      <c r="CO289" s="335" t="s">
        <v>324</v>
      </c>
      <c r="CP289" s="335" t="s">
        <v>324</v>
      </c>
      <c r="CQ289" s="335" t="s">
        <v>324</v>
      </c>
      <c r="CS289" s="335" t="s">
        <v>324</v>
      </c>
      <c r="CT289" s="335" t="s">
        <v>324</v>
      </c>
      <c r="CU289" s="335" t="s">
        <v>324</v>
      </c>
      <c r="CV289" s="335" t="s">
        <v>324</v>
      </c>
      <c r="CX289" s="335" t="s">
        <v>324</v>
      </c>
      <c r="CY289" s="335" t="s">
        <v>324</v>
      </c>
      <c r="CZ289" s="335" t="s">
        <v>324</v>
      </c>
      <c r="DB289" s="335" t="s">
        <v>324</v>
      </c>
      <c r="DC289" s="335" t="s">
        <v>324</v>
      </c>
      <c r="DD289" s="335" t="s">
        <v>324</v>
      </c>
      <c r="DE289" s="335" t="s">
        <v>324</v>
      </c>
      <c r="DF289" s="386"/>
      <c r="DG289" s="386"/>
      <c r="DH289" s="386"/>
      <c r="DI289" s="386"/>
      <c r="DJ289" s="386"/>
      <c r="DK289" s="386"/>
      <c r="DL289" s="386"/>
      <c r="DM289" s="386"/>
      <c r="DN289" s="335" t="s">
        <v>324</v>
      </c>
      <c r="DO289" s="335" t="s">
        <v>324</v>
      </c>
      <c r="DP289" s="335" t="s">
        <v>324</v>
      </c>
      <c r="DR289" s="335" t="s">
        <v>324</v>
      </c>
      <c r="DS289" s="335" t="s">
        <v>324</v>
      </c>
      <c r="DT289" s="335" t="s">
        <v>324</v>
      </c>
      <c r="DU289" s="335" t="s">
        <v>324</v>
      </c>
      <c r="DV289" s="335" t="s">
        <v>324</v>
      </c>
      <c r="DW289" s="335" t="s">
        <v>324</v>
      </c>
      <c r="DX289" s="335" t="s">
        <v>324</v>
      </c>
      <c r="DZ289" s="335" t="s">
        <v>324</v>
      </c>
      <c r="EA289" s="335" t="s">
        <v>324</v>
      </c>
      <c r="EB289" s="335" t="s">
        <v>324</v>
      </c>
      <c r="EC289" s="335" t="s">
        <v>324</v>
      </c>
      <c r="ED289" s="335" t="s">
        <v>324</v>
      </c>
      <c r="EE289" s="335" t="s">
        <v>324</v>
      </c>
      <c r="EF289" s="335" t="s">
        <v>324</v>
      </c>
      <c r="EH289" s="335" t="s">
        <v>324</v>
      </c>
      <c r="EI289" s="335" t="s">
        <v>324</v>
      </c>
      <c r="EJ289" s="335" t="s">
        <v>324</v>
      </c>
      <c r="EK289" s="335" t="s">
        <v>324</v>
      </c>
      <c r="EL289" s="335" t="s">
        <v>324</v>
      </c>
      <c r="EM289" s="335" t="s">
        <v>324</v>
      </c>
      <c r="EN289" s="335" t="s">
        <v>324</v>
      </c>
      <c r="EP289" s="335" t="s">
        <v>324</v>
      </c>
      <c r="EQ289" s="335" t="s">
        <v>324</v>
      </c>
      <c r="ER289" s="335" t="s">
        <v>324</v>
      </c>
      <c r="ES289" s="335" t="s">
        <v>324</v>
      </c>
      <c r="FB289" s="335" t="s">
        <v>324</v>
      </c>
      <c r="FC289" s="335" t="s">
        <v>324</v>
      </c>
      <c r="FD289" s="335" t="s">
        <v>324</v>
      </c>
      <c r="FE289" s="335" t="s">
        <v>324</v>
      </c>
      <c r="FF289" s="335" t="s">
        <v>324</v>
      </c>
      <c r="FG289" s="335" t="s">
        <v>324</v>
      </c>
      <c r="FH289" s="335" t="s">
        <v>324</v>
      </c>
      <c r="FI289" s="335" t="s">
        <v>324</v>
      </c>
      <c r="FJ289" s="335" t="s">
        <v>324</v>
      </c>
      <c r="FK289" s="335" t="s">
        <v>324</v>
      </c>
      <c r="FL289" s="335" t="s">
        <v>324</v>
      </c>
      <c r="FM289" s="335" t="s">
        <v>324</v>
      </c>
      <c r="FN289" s="335" t="s">
        <v>324</v>
      </c>
      <c r="FO289" s="335" t="s">
        <v>324</v>
      </c>
      <c r="FP289" s="335" t="s">
        <v>324</v>
      </c>
      <c r="FQ289" s="335" t="s">
        <v>324</v>
      </c>
    </row>
    <row r="290" spans="1:173" s="364" customFormat="1">
      <c r="A290" s="335" t="s">
        <v>540</v>
      </c>
      <c r="B290" s="364" t="s">
        <v>540</v>
      </c>
      <c r="C290" s="335" t="s">
        <v>1473</v>
      </c>
      <c r="D290" s="364" t="s">
        <v>1293</v>
      </c>
      <c r="E290" s="364" t="s">
        <v>541</v>
      </c>
      <c r="F290" s="346" t="s">
        <v>724</v>
      </c>
      <c r="G290" s="335" t="s">
        <v>324</v>
      </c>
      <c r="H290" s="346">
        <v>39</v>
      </c>
      <c r="I290" s="346">
        <v>39</v>
      </c>
      <c r="J290" s="346">
        <v>37</v>
      </c>
      <c r="N290" s="346" t="s">
        <v>324</v>
      </c>
      <c r="O290" s="346" t="s">
        <v>324</v>
      </c>
      <c r="P290" s="346" t="s">
        <v>324</v>
      </c>
      <c r="Q290" s="346" t="s">
        <v>324</v>
      </c>
      <c r="R290" s="346" t="s">
        <v>324</v>
      </c>
      <c r="S290" s="364" t="s">
        <v>1003</v>
      </c>
      <c r="T290" s="335" t="s">
        <v>1046</v>
      </c>
      <c r="U290" s="364">
        <v>35</v>
      </c>
      <c r="V290" s="335" cm="1">
        <f t="array" ref="V290">IFERROR(INDEX('Offer Statistics'!$DA$2:$DA$600,MATCH(1,(B290='Offer Statistics'!$CL$2:$CL$600)*($B$11='Offer Statistics'!$CM$2:$CM$600),0)),"/")</f>
        <v>30</v>
      </c>
      <c r="W290" s="335" cm="1">
        <f t="array" ref="W290">IFERROR(INDEX('Offer Statistics'!$CN$2:$CN$600,MATCH(1,(B290='Offer Statistics'!$CL$2:$CL$600)*($B$11='Offer Statistics'!$CM$2:$CM$600),0)),"/")</f>
        <v>121</v>
      </c>
      <c r="X290" s="335" cm="1">
        <f t="array" ref="X290">IFERROR(INDEX('Offer Statistics'!$CV$2:$CV$600,MATCH(1,(B290='Offer Statistics'!$CL$2:$CL$600)*($B$11='Offer Statistics'!$CM$2:$CM$600),0)),"/")</f>
        <v>30</v>
      </c>
      <c r="Y290" s="334">
        <f t="shared" si="376"/>
        <v>4.0333333333333332</v>
      </c>
      <c r="Z290" s="335" t="s">
        <v>1046</v>
      </c>
      <c r="AA290" s="335" t="str">
        <f>入學要求!AF299</f>
        <v>以下一科選修取得Lv.3︰化學、組合科學(化學)</v>
      </c>
      <c r="AB290" s="364" t="str">
        <f>入學要求!AG299</f>
        <v>/</v>
      </c>
      <c r="AC290" s="426" t="s">
        <v>724</v>
      </c>
      <c r="AD290" s="429"/>
      <c r="AF290" s="346" t="s">
        <v>324</v>
      </c>
      <c r="AG290" s="346" t="s">
        <v>324</v>
      </c>
      <c r="AH290" s="346" t="s">
        <v>324</v>
      </c>
      <c r="AI290" s="346" t="s">
        <v>324</v>
      </c>
      <c r="AJ290" s="346" t="s">
        <v>324</v>
      </c>
      <c r="AK290" s="364" t="s">
        <v>735</v>
      </c>
      <c r="AL290" s="364" t="s">
        <v>1482</v>
      </c>
      <c r="AM290" s="364" t="s">
        <v>1481</v>
      </c>
      <c r="AP290" s="364" t="s">
        <v>1478</v>
      </c>
      <c r="AQ290" s="364" t="s">
        <v>2529</v>
      </c>
      <c r="AR290" s="364" t="s">
        <v>324</v>
      </c>
      <c r="AT290" s="364" t="s">
        <v>716</v>
      </c>
      <c r="AV290" s="387" t="s">
        <v>1510</v>
      </c>
      <c r="AZ290" s="364" t="s">
        <v>324</v>
      </c>
      <c r="BA290" s="364" t="s">
        <v>324</v>
      </c>
      <c r="BB290" s="364" t="s">
        <v>324</v>
      </c>
      <c r="BD290" s="364" t="s">
        <v>324</v>
      </c>
      <c r="BE290" s="364" t="s">
        <v>324</v>
      </c>
      <c r="BF290" s="364" t="s">
        <v>324</v>
      </c>
      <c r="BG290" s="364" t="s">
        <v>324</v>
      </c>
      <c r="BI290" s="364" t="s">
        <v>324</v>
      </c>
      <c r="BJ290" s="364" t="s">
        <v>324</v>
      </c>
      <c r="BK290" s="364" t="s">
        <v>324</v>
      </c>
      <c r="BM290" s="364" t="s">
        <v>324</v>
      </c>
      <c r="BN290" s="364" t="s">
        <v>324</v>
      </c>
      <c r="BO290" s="364" t="s">
        <v>324</v>
      </c>
      <c r="BP290" s="364" t="s">
        <v>324</v>
      </c>
      <c r="BY290" s="364" t="s">
        <v>324</v>
      </c>
      <c r="BZ290" s="364" t="s">
        <v>324</v>
      </c>
      <c r="CA290" s="364" t="s">
        <v>324</v>
      </c>
      <c r="CC290" s="364" t="s">
        <v>324</v>
      </c>
      <c r="CD290" s="364" t="s">
        <v>324</v>
      </c>
      <c r="CE290" s="364" t="s">
        <v>324</v>
      </c>
      <c r="CF290" s="364" t="s">
        <v>324</v>
      </c>
      <c r="CG290" s="364" t="s">
        <v>324</v>
      </c>
      <c r="CH290" s="364" t="s">
        <v>324</v>
      </c>
      <c r="CI290" s="364" t="s">
        <v>324</v>
      </c>
      <c r="CK290" s="364" t="s">
        <v>324</v>
      </c>
      <c r="CL290" s="364" t="s">
        <v>324</v>
      </c>
      <c r="CM290" s="364" t="s">
        <v>324</v>
      </c>
      <c r="CN290" s="364" t="s">
        <v>324</v>
      </c>
      <c r="CO290" s="364" t="s">
        <v>324</v>
      </c>
      <c r="CP290" s="364" t="s">
        <v>324</v>
      </c>
      <c r="CQ290" s="364" t="s">
        <v>324</v>
      </c>
      <c r="CS290" s="364" t="s">
        <v>324</v>
      </c>
      <c r="CT290" s="364" t="s">
        <v>324</v>
      </c>
      <c r="CU290" s="364" t="s">
        <v>324</v>
      </c>
      <c r="CV290" s="364" t="s">
        <v>324</v>
      </c>
      <c r="CX290" s="364" t="s">
        <v>324</v>
      </c>
      <c r="CY290" s="364" t="s">
        <v>324</v>
      </c>
      <c r="CZ290" s="364" t="s">
        <v>324</v>
      </c>
      <c r="DB290" s="364" t="s">
        <v>324</v>
      </c>
      <c r="DC290" s="364" t="s">
        <v>324</v>
      </c>
      <c r="DD290" s="364" t="s">
        <v>324</v>
      </c>
      <c r="DE290" s="364" t="s">
        <v>324</v>
      </c>
      <c r="DN290" s="364" t="s">
        <v>324</v>
      </c>
      <c r="DO290" s="364" t="s">
        <v>324</v>
      </c>
      <c r="DP290" s="364" t="s">
        <v>324</v>
      </c>
      <c r="DR290" s="364" t="s">
        <v>324</v>
      </c>
      <c r="DS290" s="364" t="s">
        <v>324</v>
      </c>
      <c r="DT290" s="364" t="s">
        <v>324</v>
      </c>
      <c r="DU290" s="364" t="s">
        <v>324</v>
      </c>
      <c r="DV290" s="364" t="s">
        <v>324</v>
      </c>
      <c r="DW290" s="364" t="s">
        <v>324</v>
      </c>
      <c r="DX290" s="364" t="s">
        <v>324</v>
      </c>
      <c r="DZ290" s="364" t="s">
        <v>324</v>
      </c>
      <c r="EA290" s="364" t="s">
        <v>324</v>
      </c>
      <c r="EB290" s="364" t="s">
        <v>324</v>
      </c>
      <c r="EC290" s="364" t="s">
        <v>324</v>
      </c>
      <c r="ED290" s="364" t="s">
        <v>324</v>
      </c>
      <c r="EE290" s="364" t="s">
        <v>324</v>
      </c>
      <c r="EF290" s="364" t="s">
        <v>324</v>
      </c>
      <c r="EH290" s="364" t="s">
        <v>324</v>
      </c>
      <c r="EI290" s="364" t="s">
        <v>324</v>
      </c>
      <c r="EJ290" s="364" t="s">
        <v>324</v>
      </c>
      <c r="EK290" s="364" t="s">
        <v>324</v>
      </c>
      <c r="EL290" s="364" t="s">
        <v>324</v>
      </c>
      <c r="EM290" s="364" t="s">
        <v>324</v>
      </c>
      <c r="EN290" s="364" t="s">
        <v>324</v>
      </c>
      <c r="EP290" s="364" t="s">
        <v>324</v>
      </c>
      <c r="EQ290" s="364" t="s">
        <v>324</v>
      </c>
      <c r="ER290" s="364" t="s">
        <v>324</v>
      </c>
      <c r="ES290" s="364" t="s">
        <v>324</v>
      </c>
      <c r="FB290" s="364" t="s">
        <v>324</v>
      </c>
      <c r="FC290" s="364" t="s">
        <v>324</v>
      </c>
      <c r="FD290" s="364" t="s">
        <v>324</v>
      </c>
      <c r="FE290" s="364" t="s">
        <v>324</v>
      </c>
      <c r="FF290" s="364" t="s">
        <v>324</v>
      </c>
      <c r="FG290" s="364" t="s">
        <v>324</v>
      </c>
      <c r="FH290" s="364" t="s">
        <v>324</v>
      </c>
      <c r="FI290" s="364" t="s">
        <v>324</v>
      </c>
      <c r="FJ290" s="364" t="s">
        <v>324</v>
      </c>
      <c r="FK290" s="364" t="s">
        <v>324</v>
      </c>
      <c r="FL290" s="364" t="s">
        <v>324</v>
      </c>
      <c r="FM290" s="364" t="s">
        <v>324</v>
      </c>
      <c r="FN290" s="364" t="s">
        <v>324</v>
      </c>
      <c r="FO290" s="364" t="s">
        <v>324</v>
      </c>
      <c r="FP290" s="364" t="s">
        <v>324</v>
      </c>
      <c r="FQ290" s="364" t="s">
        <v>324</v>
      </c>
    </row>
    <row r="291" spans="1:173" s="364" customFormat="1">
      <c r="A291" s="335" t="s">
        <v>546</v>
      </c>
      <c r="B291" s="364" t="s">
        <v>546</v>
      </c>
      <c r="C291" s="335" t="s">
        <v>1473</v>
      </c>
      <c r="D291" s="364" t="s">
        <v>1293</v>
      </c>
      <c r="E291" s="364" t="s">
        <v>547</v>
      </c>
      <c r="F291" s="346" t="s">
        <v>724</v>
      </c>
      <c r="G291" s="335" t="s">
        <v>324</v>
      </c>
      <c r="H291" s="346">
        <v>41</v>
      </c>
      <c r="I291" s="346">
        <v>39</v>
      </c>
      <c r="J291" s="346">
        <v>39</v>
      </c>
      <c r="N291" s="346" t="s">
        <v>324</v>
      </c>
      <c r="O291" s="346" t="s">
        <v>324</v>
      </c>
      <c r="P291" s="346" t="s">
        <v>324</v>
      </c>
      <c r="Q291" s="346" t="s">
        <v>324</v>
      </c>
      <c r="R291" s="346" t="s">
        <v>324</v>
      </c>
      <c r="S291" s="364" t="s">
        <v>1976</v>
      </c>
      <c r="T291" s="335" t="s">
        <v>1046</v>
      </c>
      <c r="U291" s="364">
        <v>53</v>
      </c>
      <c r="V291" s="335" cm="1">
        <f t="array" ref="V291">IFERROR(INDEX('Offer Statistics'!$DA$2:$DA$600,MATCH(1,(B291='Offer Statistics'!$CL$2:$CL$600)*($B$11='Offer Statistics'!$CM$2:$CM$600),0)),"/")</f>
        <v>30</v>
      </c>
      <c r="W291" s="335" cm="1">
        <f t="array" ref="W291">IFERROR(INDEX('Offer Statistics'!$CN$2:$CN$600,MATCH(1,(B291='Offer Statistics'!$CL$2:$CL$600)*($B$11='Offer Statistics'!$CM$2:$CM$600),0)),"/")</f>
        <v>122</v>
      </c>
      <c r="X291" s="335" cm="1">
        <f t="array" ref="X291">IFERROR(INDEX('Offer Statistics'!$CV$2:$CV$600,MATCH(1,(B291='Offer Statistics'!$CL$2:$CL$600)*($B$11='Offer Statistics'!$CM$2:$CM$600),0)),"/")</f>
        <v>30</v>
      </c>
      <c r="Y291" s="334">
        <f t="shared" si="376"/>
        <v>4.0666666666666664</v>
      </c>
      <c r="Z291" s="335" t="s">
        <v>1046</v>
      </c>
      <c r="AA291" s="335" t="str">
        <f>入學要求!AF300</f>
        <v>以下一科選修取得Lv.3︰生物、化學、組合科學</v>
      </c>
      <c r="AB291" s="364" t="str">
        <f>入學要求!AG300</f>
        <v>/</v>
      </c>
      <c r="AC291" s="426" t="s">
        <v>724</v>
      </c>
      <c r="AD291" s="429"/>
      <c r="AF291" s="346" t="s">
        <v>324</v>
      </c>
      <c r="AG291" s="346" t="s">
        <v>324</v>
      </c>
      <c r="AH291" s="346" t="s">
        <v>324</v>
      </c>
      <c r="AI291" s="346" t="s">
        <v>324</v>
      </c>
      <c r="AJ291" s="346" t="s">
        <v>324</v>
      </c>
      <c r="AK291" s="364" t="s">
        <v>1537</v>
      </c>
      <c r="AL291" s="364" t="s">
        <v>1538</v>
      </c>
      <c r="AM291" s="364" t="s">
        <v>324</v>
      </c>
      <c r="AP291" s="364" t="s">
        <v>1478</v>
      </c>
      <c r="AQ291" s="364" t="s">
        <v>2529</v>
      </c>
      <c r="AR291" s="364" t="s">
        <v>324</v>
      </c>
      <c r="AT291" s="364" t="s">
        <v>716</v>
      </c>
      <c r="AV291" s="387" t="s">
        <v>1510</v>
      </c>
      <c r="AZ291" s="364" t="s">
        <v>324</v>
      </c>
      <c r="BA291" s="364" t="s">
        <v>324</v>
      </c>
      <c r="BB291" s="364" t="s">
        <v>324</v>
      </c>
      <c r="BD291" s="364" t="s">
        <v>324</v>
      </c>
      <c r="BE291" s="364" t="s">
        <v>324</v>
      </c>
      <c r="BF291" s="364" t="s">
        <v>324</v>
      </c>
      <c r="BG291" s="364" t="s">
        <v>324</v>
      </c>
      <c r="BI291" s="364" t="s">
        <v>324</v>
      </c>
      <c r="BJ291" s="364" t="s">
        <v>324</v>
      </c>
      <c r="BK291" s="364" t="s">
        <v>324</v>
      </c>
      <c r="BM291" s="364" t="s">
        <v>324</v>
      </c>
      <c r="BN291" s="364" t="s">
        <v>324</v>
      </c>
      <c r="BO291" s="364" t="s">
        <v>324</v>
      </c>
      <c r="BP291" s="364" t="s">
        <v>324</v>
      </c>
      <c r="BY291" s="364" t="s">
        <v>324</v>
      </c>
      <c r="BZ291" s="364" t="s">
        <v>324</v>
      </c>
      <c r="CA291" s="364" t="s">
        <v>324</v>
      </c>
      <c r="CC291" s="364" t="s">
        <v>324</v>
      </c>
      <c r="CD291" s="364" t="s">
        <v>324</v>
      </c>
      <c r="CE291" s="364" t="s">
        <v>324</v>
      </c>
      <c r="CF291" s="364" t="s">
        <v>324</v>
      </c>
      <c r="CG291" s="364" t="s">
        <v>324</v>
      </c>
      <c r="CH291" s="364" t="s">
        <v>324</v>
      </c>
      <c r="CI291" s="364" t="s">
        <v>324</v>
      </c>
      <c r="CK291" s="364" t="s">
        <v>324</v>
      </c>
      <c r="CL291" s="364" t="s">
        <v>324</v>
      </c>
      <c r="CM291" s="364" t="s">
        <v>324</v>
      </c>
      <c r="CN291" s="364" t="s">
        <v>324</v>
      </c>
      <c r="CO291" s="364" t="s">
        <v>324</v>
      </c>
      <c r="CP291" s="364" t="s">
        <v>324</v>
      </c>
      <c r="CQ291" s="364" t="s">
        <v>324</v>
      </c>
      <c r="CS291" s="364" t="s">
        <v>324</v>
      </c>
      <c r="CT291" s="364" t="s">
        <v>324</v>
      </c>
      <c r="CU291" s="364" t="s">
        <v>324</v>
      </c>
      <c r="CV291" s="364" t="s">
        <v>324</v>
      </c>
      <c r="CX291" s="364" t="s">
        <v>324</v>
      </c>
      <c r="CY291" s="364" t="s">
        <v>324</v>
      </c>
      <c r="CZ291" s="364" t="s">
        <v>324</v>
      </c>
      <c r="DB291" s="364" t="s">
        <v>324</v>
      </c>
      <c r="DC291" s="364" t="s">
        <v>324</v>
      </c>
      <c r="DD291" s="364" t="s">
        <v>324</v>
      </c>
      <c r="DE291" s="364" t="s">
        <v>324</v>
      </c>
      <c r="DN291" s="364" t="s">
        <v>324</v>
      </c>
      <c r="DO291" s="364" t="s">
        <v>324</v>
      </c>
      <c r="DP291" s="364" t="s">
        <v>324</v>
      </c>
      <c r="DR291" s="364" t="s">
        <v>324</v>
      </c>
      <c r="DS291" s="364" t="s">
        <v>324</v>
      </c>
      <c r="DT291" s="364" t="s">
        <v>324</v>
      </c>
      <c r="DU291" s="364" t="s">
        <v>324</v>
      </c>
      <c r="DV291" s="364" t="s">
        <v>324</v>
      </c>
      <c r="DW291" s="364" t="s">
        <v>324</v>
      </c>
      <c r="DX291" s="364" t="s">
        <v>324</v>
      </c>
      <c r="DZ291" s="364" t="s">
        <v>324</v>
      </c>
      <c r="EA291" s="364" t="s">
        <v>324</v>
      </c>
      <c r="EB291" s="364" t="s">
        <v>324</v>
      </c>
      <c r="EC291" s="364" t="s">
        <v>324</v>
      </c>
      <c r="ED291" s="364" t="s">
        <v>324</v>
      </c>
      <c r="EE291" s="364" t="s">
        <v>324</v>
      </c>
      <c r="EF291" s="364" t="s">
        <v>324</v>
      </c>
      <c r="EH291" s="364" t="s">
        <v>324</v>
      </c>
      <c r="EI291" s="364" t="s">
        <v>324</v>
      </c>
      <c r="EJ291" s="364" t="s">
        <v>324</v>
      </c>
      <c r="EK291" s="364" t="s">
        <v>324</v>
      </c>
      <c r="EL291" s="364" t="s">
        <v>324</v>
      </c>
      <c r="EM291" s="364" t="s">
        <v>324</v>
      </c>
      <c r="EN291" s="364" t="s">
        <v>324</v>
      </c>
      <c r="EP291" s="364" t="s">
        <v>324</v>
      </c>
      <c r="EQ291" s="364" t="s">
        <v>324</v>
      </c>
      <c r="ER291" s="364" t="s">
        <v>324</v>
      </c>
      <c r="ES291" s="364" t="s">
        <v>324</v>
      </c>
      <c r="FB291" s="364" t="s">
        <v>324</v>
      </c>
      <c r="FC291" s="364" t="s">
        <v>324</v>
      </c>
      <c r="FD291" s="364" t="s">
        <v>324</v>
      </c>
      <c r="FE291" s="364" t="s">
        <v>324</v>
      </c>
      <c r="FF291" s="364" t="s">
        <v>324</v>
      </c>
      <c r="FG291" s="364" t="s">
        <v>324</v>
      </c>
      <c r="FH291" s="364" t="s">
        <v>324</v>
      </c>
      <c r="FI291" s="364" t="s">
        <v>324</v>
      </c>
      <c r="FJ291" s="364" t="s">
        <v>324</v>
      </c>
      <c r="FK291" s="364" t="s">
        <v>324</v>
      </c>
      <c r="FL291" s="364" t="s">
        <v>324</v>
      </c>
      <c r="FM291" s="364" t="s">
        <v>324</v>
      </c>
      <c r="FN291" s="364" t="s">
        <v>324</v>
      </c>
      <c r="FO291" s="364" t="s">
        <v>324</v>
      </c>
      <c r="FP291" s="364" t="s">
        <v>324</v>
      </c>
      <c r="FQ291" s="364" t="s">
        <v>324</v>
      </c>
    </row>
    <row r="292" spans="1:173" s="335" customFormat="1">
      <c r="A292" s="335" t="s">
        <v>549</v>
      </c>
      <c r="B292" s="335" t="s">
        <v>549</v>
      </c>
      <c r="C292" s="335" t="s">
        <v>1473</v>
      </c>
      <c r="D292" s="335" t="s">
        <v>865</v>
      </c>
      <c r="E292" s="335" t="s">
        <v>2834</v>
      </c>
      <c r="F292" s="431" t="s">
        <v>785</v>
      </c>
      <c r="G292" s="335" t="s">
        <v>324</v>
      </c>
      <c r="H292" s="346">
        <v>38</v>
      </c>
      <c r="I292" s="346">
        <v>35</v>
      </c>
      <c r="J292" s="346">
        <v>33</v>
      </c>
      <c r="N292" s="346" t="s">
        <v>1542</v>
      </c>
      <c r="O292" s="346" t="s">
        <v>1543</v>
      </c>
      <c r="P292" s="346" t="s">
        <v>3143</v>
      </c>
      <c r="Q292" s="346" t="s">
        <v>324</v>
      </c>
      <c r="R292" s="346" t="s">
        <v>324</v>
      </c>
      <c r="S292" s="334" t="s">
        <v>1541</v>
      </c>
      <c r="T292" s="335" t="s">
        <v>1046</v>
      </c>
      <c r="U292" s="335">
        <v>26</v>
      </c>
      <c r="V292" s="335" cm="1">
        <f t="array" ref="V292">IFERROR(INDEX('Offer Statistics'!$DA$2:$DA$600,MATCH(1,(B292='Offer Statistics'!$CL$2:$CL$600)*($B$11='Offer Statistics'!$CM$2:$CM$600),0)),"/")</f>
        <v>25</v>
      </c>
      <c r="W292" s="335" cm="1">
        <f t="array" ref="W292">IFERROR(INDEX('Offer Statistics'!$CN$2:$CN$600,MATCH(1,(B292='Offer Statistics'!$CL$2:$CL$600)*($B$11='Offer Statistics'!$CM$2:$CM$600),0)),"/")</f>
        <v>105</v>
      </c>
      <c r="X292" s="335" cm="1">
        <f t="array" ref="X292">IFERROR(INDEX('Offer Statistics'!$CV$2:$CV$600,MATCH(1,(B292='Offer Statistics'!$CL$2:$CL$600)*($B$11='Offer Statistics'!$CM$2:$CM$600),0)),"/")</f>
        <v>25</v>
      </c>
      <c r="Y292" s="334">
        <f t="shared" si="376"/>
        <v>4.2</v>
      </c>
      <c r="Z292" s="335" t="s">
        <v>1046</v>
      </c>
      <c r="AA292" s="335" t="str">
        <f>入學要求!AF301</f>
        <v>以下兩科選修取得Lv.3︰生物、化學、物理、M1/2</v>
      </c>
      <c r="AB292" s="335" t="str">
        <f>入學要求!AG301</f>
        <v>/</v>
      </c>
      <c r="AC292" s="431" t="s">
        <v>11</v>
      </c>
      <c r="AD292" s="431" t="s">
        <v>3140</v>
      </c>
      <c r="AE292" s="486"/>
      <c r="AF292" s="431" t="s">
        <v>1542</v>
      </c>
      <c r="AG292" s="431" t="s">
        <v>1543</v>
      </c>
      <c r="AH292" s="431" t="s">
        <v>3142</v>
      </c>
      <c r="AI292" s="346" t="s">
        <v>324</v>
      </c>
      <c r="AJ292" s="346" t="s">
        <v>324</v>
      </c>
      <c r="AK292" s="335" t="s">
        <v>735</v>
      </c>
      <c r="AL292" s="335" t="s">
        <v>1482</v>
      </c>
      <c r="AM292" s="335" t="s">
        <v>324</v>
      </c>
      <c r="AP292" s="335" t="s">
        <v>1478</v>
      </c>
      <c r="AQ292" s="335" t="s">
        <v>2525</v>
      </c>
      <c r="AR292" s="335" t="s">
        <v>324</v>
      </c>
      <c r="AT292" s="335" t="s">
        <v>716</v>
      </c>
      <c r="AV292" s="335" t="s">
        <v>713</v>
      </c>
      <c r="AZ292" s="335" t="s">
        <v>324</v>
      </c>
      <c r="BA292" s="335" t="s">
        <v>324</v>
      </c>
      <c r="BB292" s="335" t="s">
        <v>324</v>
      </c>
      <c r="BD292" s="335" t="s">
        <v>324</v>
      </c>
      <c r="BE292" s="335" t="s">
        <v>324</v>
      </c>
      <c r="BF292" s="335" t="s">
        <v>324</v>
      </c>
      <c r="BG292" s="335" t="s">
        <v>324</v>
      </c>
      <c r="BI292" s="335" t="s">
        <v>324</v>
      </c>
      <c r="BJ292" s="335" t="s">
        <v>324</v>
      </c>
      <c r="BK292" s="335" t="s">
        <v>324</v>
      </c>
      <c r="BM292" s="335" t="s">
        <v>324</v>
      </c>
      <c r="BN292" s="335" t="s">
        <v>324</v>
      </c>
      <c r="BO292" s="335" t="s">
        <v>324</v>
      </c>
      <c r="BP292" s="335" t="s">
        <v>324</v>
      </c>
      <c r="BQ292" s="386"/>
      <c r="BR292" s="386"/>
      <c r="BS292" s="386"/>
      <c r="BT292" s="386"/>
      <c r="BU292" s="386"/>
      <c r="BV292" s="386"/>
      <c r="BW292" s="386"/>
      <c r="BX292" s="386"/>
      <c r="BY292" s="335" t="s">
        <v>324</v>
      </c>
      <c r="BZ292" s="335" t="s">
        <v>324</v>
      </c>
      <c r="CA292" s="335" t="s">
        <v>324</v>
      </c>
      <c r="CC292" s="335" t="s">
        <v>324</v>
      </c>
      <c r="CD292" s="335" t="s">
        <v>324</v>
      </c>
      <c r="CE292" s="335" t="s">
        <v>324</v>
      </c>
      <c r="CF292" s="335" t="s">
        <v>324</v>
      </c>
      <c r="CG292" s="335" t="s">
        <v>324</v>
      </c>
      <c r="CH292" s="335" t="s">
        <v>324</v>
      </c>
      <c r="CI292" s="335" t="s">
        <v>324</v>
      </c>
      <c r="CK292" s="335" t="s">
        <v>324</v>
      </c>
      <c r="CL292" s="335" t="s">
        <v>324</v>
      </c>
      <c r="CM292" s="335" t="s">
        <v>324</v>
      </c>
      <c r="CN292" s="335" t="s">
        <v>324</v>
      </c>
      <c r="CO292" s="335" t="s">
        <v>324</v>
      </c>
      <c r="CP292" s="335" t="s">
        <v>324</v>
      </c>
      <c r="CQ292" s="335" t="s">
        <v>324</v>
      </c>
      <c r="CS292" s="335" t="s">
        <v>324</v>
      </c>
      <c r="CT292" s="335" t="s">
        <v>324</v>
      </c>
      <c r="CU292" s="335" t="s">
        <v>324</v>
      </c>
      <c r="CV292" s="335" t="s">
        <v>324</v>
      </c>
      <c r="CX292" s="335" t="s">
        <v>324</v>
      </c>
      <c r="CY292" s="335" t="s">
        <v>324</v>
      </c>
      <c r="CZ292" s="335" t="s">
        <v>324</v>
      </c>
      <c r="DB292" s="335" t="s">
        <v>324</v>
      </c>
      <c r="DC292" s="335" t="s">
        <v>324</v>
      </c>
      <c r="DD292" s="335" t="s">
        <v>324</v>
      </c>
      <c r="DE292" s="335" t="s">
        <v>324</v>
      </c>
      <c r="DF292" s="386"/>
      <c r="DG292" s="386"/>
      <c r="DH292" s="386"/>
      <c r="DI292" s="386"/>
      <c r="DJ292" s="386"/>
      <c r="DK292" s="386"/>
      <c r="DL292" s="386"/>
      <c r="DM292" s="386"/>
      <c r="DN292" s="335" t="s">
        <v>324</v>
      </c>
      <c r="DO292" s="335" t="s">
        <v>324</v>
      </c>
      <c r="DP292" s="335" t="s">
        <v>324</v>
      </c>
      <c r="DR292" s="335" t="s">
        <v>324</v>
      </c>
      <c r="DS292" s="335" t="s">
        <v>324</v>
      </c>
      <c r="DT292" s="335" t="s">
        <v>324</v>
      </c>
      <c r="DU292" s="335" t="s">
        <v>324</v>
      </c>
      <c r="DV292" s="335" t="s">
        <v>324</v>
      </c>
      <c r="DW292" s="335" t="s">
        <v>324</v>
      </c>
      <c r="DX292" s="335" t="s">
        <v>324</v>
      </c>
      <c r="DZ292" s="335" t="s">
        <v>324</v>
      </c>
      <c r="EA292" s="335" t="s">
        <v>324</v>
      </c>
      <c r="EB292" s="335" t="s">
        <v>324</v>
      </c>
      <c r="EC292" s="335" t="s">
        <v>324</v>
      </c>
      <c r="ED292" s="335" t="s">
        <v>324</v>
      </c>
      <c r="EE292" s="335" t="s">
        <v>324</v>
      </c>
      <c r="EF292" s="335" t="s">
        <v>324</v>
      </c>
      <c r="EH292" s="335" t="s">
        <v>324</v>
      </c>
      <c r="EI292" s="335" t="s">
        <v>324</v>
      </c>
      <c r="EJ292" s="335" t="s">
        <v>324</v>
      </c>
      <c r="EK292" s="335" t="s">
        <v>324</v>
      </c>
      <c r="EL292" s="335" t="s">
        <v>324</v>
      </c>
      <c r="EM292" s="335" t="s">
        <v>324</v>
      </c>
      <c r="EN292" s="335" t="s">
        <v>324</v>
      </c>
      <c r="EP292" s="335" t="s">
        <v>324</v>
      </c>
      <c r="EQ292" s="335" t="s">
        <v>324</v>
      </c>
      <c r="ER292" s="335" t="s">
        <v>324</v>
      </c>
      <c r="ES292" s="335" t="s">
        <v>324</v>
      </c>
      <c r="FB292" s="335" t="s">
        <v>324</v>
      </c>
      <c r="FC292" s="335" t="s">
        <v>324</v>
      </c>
      <c r="FD292" s="335" t="s">
        <v>324</v>
      </c>
      <c r="FE292" s="335" t="s">
        <v>324</v>
      </c>
      <c r="FF292" s="335" t="s">
        <v>324</v>
      </c>
      <c r="FG292" s="335" t="s">
        <v>324</v>
      </c>
      <c r="FH292" s="335" t="s">
        <v>324</v>
      </c>
      <c r="FI292" s="335" t="s">
        <v>324</v>
      </c>
      <c r="FJ292" s="335" t="s">
        <v>324</v>
      </c>
      <c r="FK292" s="335" t="s">
        <v>324</v>
      </c>
      <c r="FL292" s="335" t="s">
        <v>324</v>
      </c>
      <c r="FM292" s="335" t="s">
        <v>324</v>
      </c>
      <c r="FN292" s="335" t="s">
        <v>324</v>
      </c>
      <c r="FO292" s="335" t="s">
        <v>324</v>
      </c>
      <c r="FP292" s="335" t="s">
        <v>324</v>
      </c>
      <c r="FQ292" s="335" t="s">
        <v>324</v>
      </c>
    </row>
    <row r="293" spans="1:173" s="335" customFormat="1">
      <c r="A293" s="335" t="s">
        <v>551</v>
      </c>
      <c r="B293" s="335" t="s">
        <v>551</v>
      </c>
      <c r="C293" s="335" t="s">
        <v>1473</v>
      </c>
      <c r="D293" s="335" t="s">
        <v>2927</v>
      </c>
      <c r="E293" s="335" t="s">
        <v>552</v>
      </c>
      <c r="F293" s="425" t="s">
        <v>785</v>
      </c>
      <c r="G293" s="335" t="s">
        <v>324</v>
      </c>
      <c r="H293" s="346">
        <v>34</v>
      </c>
      <c r="I293" s="346">
        <v>33</v>
      </c>
      <c r="J293" s="346">
        <v>31</v>
      </c>
      <c r="N293" s="346" t="s">
        <v>1544</v>
      </c>
      <c r="O293" s="346" t="s">
        <v>324</v>
      </c>
      <c r="P293" s="346" t="s">
        <v>1545</v>
      </c>
      <c r="Q293" s="346" t="s">
        <v>324</v>
      </c>
      <c r="R293" s="346" t="s">
        <v>324</v>
      </c>
      <c r="S293" s="334" t="s">
        <v>2836</v>
      </c>
      <c r="T293" s="335" t="s">
        <v>1046</v>
      </c>
      <c r="U293" s="335">
        <v>50</v>
      </c>
      <c r="V293" s="335" cm="1">
        <f t="array" ref="V293">IFERROR(INDEX('Offer Statistics'!$DA$2:$DA$600,MATCH(1,(B293='Offer Statistics'!$CL$2:$CL$600)*($B$11='Offer Statistics'!$CM$2:$CM$600),0)),"/")</f>
        <v>54</v>
      </c>
      <c r="W293" s="335" cm="1">
        <f t="array" ref="W293">IFERROR(INDEX('Offer Statistics'!$CN$2:$CN$600,MATCH(1,(B293='Offer Statistics'!$CL$2:$CL$600)*($B$11='Offer Statistics'!$CM$2:$CM$600),0)),"/")</f>
        <v>239</v>
      </c>
      <c r="X293" s="335" cm="1">
        <f t="array" ref="X293">IFERROR(INDEX('Offer Statistics'!$CV$2:$CV$600,MATCH(1,(B293='Offer Statistics'!$CL$2:$CL$600)*($B$11='Offer Statistics'!$CM$2:$CM$600),0)),"/")</f>
        <v>54</v>
      </c>
      <c r="Y293" s="334">
        <f t="shared" si="376"/>
        <v>4.4259259259259256</v>
      </c>
      <c r="Z293" s="335" t="s">
        <v>1046</v>
      </c>
      <c r="AA293" s="335" t="str">
        <f>入學要求!AF302</f>
        <v>M1/2 需考獲Lv. 4 或以上</v>
      </c>
      <c r="AB293" s="335" t="str">
        <f>入學要求!AG302</f>
        <v>/</v>
      </c>
      <c r="AC293" s="424" t="s">
        <v>11</v>
      </c>
      <c r="AD293" s="346"/>
      <c r="AE293" s="346"/>
      <c r="AF293" s="346" t="s">
        <v>1544</v>
      </c>
      <c r="AG293" s="346" t="s">
        <v>324</v>
      </c>
      <c r="AH293" s="346" t="s">
        <v>1545</v>
      </c>
      <c r="AI293" s="346" t="s">
        <v>324</v>
      </c>
      <c r="AJ293" s="346" t="s">
        <v>324</v>
      </c>
      <c r="AK293" s="335" t="s">
        <v>735</v>
      </c>
      <c r="AL293" s="335" t="s">
        <v>1482</v>
      </c>
      <c r="AM293" s="335" t="s">
        <v>324</v>
      </c>
      <c r="AP293" s="335" t="s">
        <v>1478</v>
      </c>
      <c r="AQ293" s="335" t="s">
        <v>2525</v>
      </c>
      <c r="AR293" s="335" t="s">
        <v>324</v>
      </c>
      <c r="AT293" s="335" t="s">
        <v>716</v>
      </c>
      <c r="AV293" s="335" t="s">
        <v>713</v>
      </c>
      <c r="AZ293" s="335" t="s">
        <v>324</v>
      </c>
      <c r="BA293" s="335" t="s">
        <v>324</v>
      </c>
      <c r="BB293" s="335" t="s">
        <v>324</v>
      </c>
      <c r="BD293" s="335" t="s">
        <v>324</v>
      </c>
      <c r="BE293" s="335" t="s">
        <v>324</v>
      </c>
      <c r="BF293" s="335" t="s">
        <v>324</v>
      </c>
      <c r="BG293" s="335" t="s">
        <v>324</v>
      </c>
      <c r="BI293" s="335" t="s">
        <v>324</v>
      </c>
      <c r="BJ293" s="335" t="s">
        <v>324</v>
      </c>
      <c r="BK293" s="335" t="s">
        <v>324</v>
      </c>
      <c r="BM293" s="335" t="s">
        <v>324</v>
      </c>
      <c r="BN293" s="335" t="s">
        <v>324</v>
      </c>
      <c r="BO293" s="335" t="s">
        <v>324</v>
      </c>
      <c r="BP293" s="335" t="s">
        <v>324</v>
      </c>
      <c r="BQ293" s="386"/>
      <c r="BR293" s="386"/>
      <c r="BS293" s="386"/>
      <c r="BT293" s="386"/>
      <c r="BU293" s="386"/>
      <c r="BV293" s="386"/>
      <c r="BW293" s="386"/>
      <c r="BX293" s="386"/>
      <c r="BY293" s="335" t="s">
        <v>324</v>
      </c>
      <c r="BZ293" s="335" t="s">
        <v>324</v>
      </c>
      <c r="CA293" s="335" t="s">
        <v>324</v>
      </c>
      <c r="CC293" s="335" t="s">
        <v>324</v>
      </c>
      <c r="CD293" s="335" t="s">
        <v>324</v>
      </c>
      <c r="CE293" s="335" t="s">
        <v>324</v>
      </c>
      <c r="CF293" s="335" t="s">
        <v>324</v>
      </c>
      <c r="CG293" s="335" t="s">
        <v>324</v>
      </c>
      <c r="CH293" s="335" t="s">
        <v>324</v>
      </c>
      <c r="CI293" s="335" t="s">
        <v>324</v>
      </c>
      <c r="CK293" s="335" t="s">
        <v>324</v>
      </c>
      <c r="CL293" s="335" t="s">
        <v>324</v>
      </c>
      <c r="CM293" s="335" t="s">
        <v>324</v>
      </c>
      <c r="CN293" s="335" t="s">
        <v>324</v>
      </c>
      <c r="CO293" s="335" t="s">
        <v>324</v>
      </c>
      <c r="CP293" s="335" t="s">
        <v>324</v>
      </c>
      <c r="CQ293" s="335" t="s">
        <v>324</v>
      </c>
      <c r="CS293" s="335" t="s">
        <v>324</v>
      </c>
      <c r="CT293" s="335" t="s">
        <v>324</v>
      </c>
      <c r="CU293" s="335" t="s">
        <v>324</v>
      </c>
      <c r="CV293" s="335" t="s">
        <v>324</v>
      </c>
      <c r="CX293" s="335" t="s">
        <v>324</v>
      </c>
      <c r="CY293" s="335" t="s">
        <v>324</v>
      </c>
      <c r="CZ293" s="335" t="s">
        <v>324</v>
      </c>
      <c r="DB293" s="335" t="s">
        <v>324</v>
      </c>
      <c r="DC293" s="335" t="s">
        <v>324</v>
      </c>
      <c r="DD293" s="335" t="s">
        <v>324</v>
      </c>
      <c r="DE293" s="335" t="s">
        <v>324</v>
      </c>
      <c r="DF293" s="386"/>
      <c r="DG293" s="386"/>
      <c r="DH293" s="386"/>
      <c r="DI293" s="386"/>
      <c r="DJ293" s="386"/>
      <c r="DK293" s="386"/>
      <c r="DL293" s="386"/>
      <c r="DM293" s="386"/>
      <c r="DN293" s="335" t="s">
        <v>324</v>
      </c>
      <c r="DO293" s="335" t="s">
        <v>324</v>
      </c>
      <c r="DP293" s="335" t="s">
        <v>324</v>
      </c>
      <c r="DR293" s="335" t="s">
        <v>324</v>
      </c>
      <c r="DS293" s="335" t="s">
        <v>324</v>
      </c>
      <c r="DT293" s="335" t="s">
        <v>324</v>
      </c>
      <c r="DU293" s="335" t="s">
        <v>324</v>
      </c>
      <c r="DV293" s="335" t="s">
        <v>324</v>
      </c>
      <c r="DW293" s="335" t="s">
        <v>324</v>
      </c>
      <c r="DX293" s="335" t="s">
        <v>324</v>
      </c>
      <c r="DZ293" s="335" t="s">
        <v>324</v>
      </c>
      <c r="EA293" s="335" t="s">
        <v>324</v>
      </c>
      <c r="EB293" s="335" t="s">
        <v>324</v>
      </c>
      <c r="EC293" s="335" t="s">
        <v>324</v>
      </c>
      <c r="ED293" s="335" t="s">
        <v>324</v>
      </c>
      <c r="EE293" s="335" t="s">
        <v>324</v>
      </c>
      <c r="EF293" s="335" t="s">
        <v>324</v>
      </c>
      <c r="EH293" s="335" t="s">
        <v>324</v>
      </c>
      <c r="EI293" s="335" t="s">
        <v>324</v>
      </c>
      <c r="EJ293" s="335" t="s">
        <v>324</v>
      </c>
      <c r="EK293" s="335" t="s">
        <v>324</v>
      </c>
      <c r="EL293" s="335" t="s">
        <v>324</v>
      </c>
      <c r="EM293" s="335" t="s">
        <v>324</v>
      </c>
      <c r="EN293" s="335" t="s">
        <v>324</v>
      </c>
      <c r="EP293" s="335" t="s">
        <v>324</v>
      </c>
      <c r="EQ293" s="335" t="s">
        <v>324</v>
      </c>
      <c r="ER293" s="335" t="s">
        <v>324</v>
      </c>
      <c r="ES293" s="335" t="s">
        <v>324</v>
      </c>
      <c r="FB293" s="335" t="s">
        <v>324</v>
      </c>
      <c r="FC293" s="335" t="s">
        <v>324</v>
      </c>
      <c r="FD293" s="335" t="s">
        <v>324</v>
      </c>
      <c r="FE293" s="335" t="s">
        <v>324</v>
      </c>
      <c r="FF293" s="335" t="s">
        <v>324</v>
      </c>
      <c r="FG293" s="335" t="s">
        <v>324</v>
      </c>
      <c r="FH293" s="335" t="s">
        <v>324</v>
      </c>
      <c r="FI293" s="335" t="s">
        <v>324</v>
      </c>
      <c r="FJ293" s="335" t="s">
        <v>324</v>
      </c>
      <c r="FK293" s="335" t="s">
        <v>324</v>
      </c>
      <c r="FL293" s="335" t="s">
        <v>324</v>
      </c>
      <c r="FM293" s="335" t="s">
        <v>324</v>
      </c>
      <c r="FN293" s="335" t="s">
        <v>324</v>
      </c>
      <c r="FO293" s="335" t="s">
        <v>324</v>
      </c>
      <c r="FP293" s="335" t="s">
        <v>324</v>
      </c>
      <c r="FQ293" s="335" t="s">
        <v>324</v>
      </c>
    </row>
    <row r="294" spans="1:173" s="335" customFormat="1">
      <c r="A294" s="335" t="s">
        <v>492</v>
      </c>
      <c r="B294" s="335" t="s">
        <v>492</v>
      </c>
      <c r="C294" s="335" t="s">
        <v>1473</v>
      </c>
      <c r="D294" s="335" t="s">
        <v>865</v>
      </c>
      <c r="E294" s="335" t="s">
        <v>502</v>
      </c>
      <c r="F294" s="431" t="s">
        <v>724</v>
      </c>
      <c r="G294" s="335" t="s">
        <v>324</v>
      </c>
      <c r="H294" s="346">
        <v>57</v>
      </c>
      <c r="I294" s="346">
        <v>54</v>
      </c>
      <c r="J294" s="346">
        <v>53</v>
      </c>
      <c r="N294" s="346" t="s">
        <v>2470</v>
      </c>
      <c r="O294" s="346" t="s">
        <v>2466</v>
      </c>
      <c r="P294" s="346" t="s">
        <v>2471</v>
      </c>
      <c r="Q294" s="346" t="s">
        <v>324</v>
      </c>
      <c r="R294" s="346" t="s">
        <v>324</v>
      </c>
      <c r="S294" s="334" t="s">
        <v>1549</v>
      </c>
      <c r="T294" s="335" t="s">
        <v>1046</v>
      </c>
      <c r="U294" s="335">
        <v>20</v>
      </c>
      <c r="V294" s="335" cm="1">
        <f t="array" ref="V294">IFERROR(INDEX('Offer Statistics'!$DA$2:$DA$600,MATCH(1,(B294='Offer Statistics'!$CL$2:$CL$600)*($B$11='Offer Statistics'!$CM$2:$CM$600),0)),"/")</f>
        <v>24</v>
      </c>
      <c r="W294" s="335" cm="1">
        <f t="array" ref="W294">IFERROR(INDEX('Offer Statistics'!$CN$2:$CN$600,MATCH(1,(B294='Offer Statistics'!$CL$2:$CL$600)*($B$11='Offer Statistics'!$CM$2:$CM$600),0)),"/")</f>
        <v>51</v>
      </c>
      <c r="X294" s="335" cm="1">
        <f t="array" ref="X294">IFERROR(INDEX('Offer Statistics'!$CV$2:$CV$600,MATCH(1,(B294='Offer Statistics'!$CL$2:$CL$600)*($B$11='Offer Statistics'!$CM$2:$CM$600),0)),"/")</f>
        <v>24</v>
      </c>
      <c r="Y294" s="334">
        <f t="shared" si="376"/>
        <v>2.125</v>
      </c>
      <c r="Z294" s="335" t="s">
        <v>1046</v>
      </c>
      <c r="AA294" s="335" t="str">
        <f>入學要求!AF303</f>
        <v>以下一科選修取得Lv.3︰生物、化學、物理</v>
      </c>
      <c r="AB294" s="335" t="str">
        <f>入學要求!AG303</f>
        <v>/</v>
      </c>
      <c r="AC294" s="431" t="s">
        <v>13</v>
      </c>
      <c r="AD294" s="431" t="s">
        <v>3141</v>
      </c>
      <c r="AE294" s="488"/>
      <c r="AF294" s="431" t="s">
        <v>1547</v>
      </c>
      <c r="AG294" s="431" t="s">
        <v>3144</v>
      </c>
      <c r="AH294" s="431" t="s">
        <v>1548</v>
      </c>
      <c r="AI294" s="427" t="s">
        <v>324</v>
      </c>
      <c r="AJ294" s="346" t="s">
        <v>324</v>
      </c>
      <c r="AK294" s="335" t="s">
        <v>1537</v>
      </c>
      <c r="AL294" s="335" t="s">
        <v>1520</v>
      </c>
      <c r="AM294" s="335" t="s">
        <v>1550</v>
      </c>
      <c r="AP294" s="335" t="s">
        <v>1478</v>
      </c>
      <c r="AQ294" s="335" t="s">
        <v>2525</v>
      </c>
      <c r="AR294" s="335" t="s">
        <v>324</v>
      </c>
      <c r="AT294" s="335" t="s">
        <v>716</v>
      </c>
      <c r="AV294" s="335" t="s">
        <v>713</v>
      </c>
      <c r="AZ294" s="335" t="s">
        <v>324</v>
      </c>
      <c r="BA294" s="335" t="s">
        <v>324</v>
      </c>
      <c r="BB294" s="335" t="s">
        <v>324</v>
      </c>
      <c r="BD294" s="335" t="s">
        <v>324</v>
      </c>
      <c r="BE294" s="335" t="s">
        <v>324</v>
      </c>
      <c r="BF294" s="335" t="s">
        <v>324</v>
      </c>
      <c r="BG294" s="335" t="s">
        <v>324</v>
      </c>
      <c r="BI294" s="335" t="s">
        <v>324</v>
      </c>
      <c r="BJ294" s="335" t="s">
        <v>324</v>
      </c>
      <c r="BK294" s="335" t="s">
        <v>324</v>
      </c>
      <c r="BM294" s="335" t="s">
        <v>324</v>
      </c>
      <c r="BN294" s="335" t="s">
        <v>324</v>
      </c>
      <c r="BO294" s="335" t="s">
        <v>324</v>
      </c>
      <c r="BP294" s="335" t="s">
        <v>324</v>
      </c>
      <c r="BQ294" s="386"/>
      <c r="BR294" s="386"/>
      <c r="BS294" s="386"/>
      <c r="BT294" s="386"/>
      <c r="BU294" s="386"/>
      <c r="BV294" s="386"/>
      <c r="BW294" s="386"/>
      <c r="BX294" s="386"/>
      <c r="BY294" s="335" t="s">
        <v>324</v>
      </c>
      <c r="BZ294" s="335" t="s">
        <v>324</v>
      </c>
      <c r="CA294" s="335" t="s">
        <v>324</v>
      </c>
      <c r="CC294" s="335" t="s">
        <v>324</v>
      </c>
      <c r="CD294" s="335" t="s">
        <v>324</v>
      </c>
      <c r="CE294" s="335" t="s">
        <v>324</v>
      </c>
      <c r="CF294" s="335" t="s">
        <v>324</v>
      </c>
      <c r="CG294" s="335" t="s">
        <v>324</v>
      </c>
      <c r="CH294" s="335" t="s">
        <v>324</v>
      </c>
      <c r="CI294" s="335" t="s">
        <v>324</v>
      </c>
      <c r="CK294" s="335" t="s">
        <v>324</v>
      </c>
      <c r="CL294" s="335" t="s">
        <v>324</v>
      </c>
      <c r="CM294" s="335" t="s">
        <v>324</v>
      </c>
      <c r="CN294" s="335" t="s">
        <v>324</v>
      </c>
      <c r="CO294" s="335" t="s">
        <v>324</v>
      </c>
      <c r="CP294" s="335" t="s">
        <v>324</v>
      </c>
      <c r="CQ294" s="335" t="s">
        <v>324</v>
      </c>
      <c r="CS294" s="335" t="s">
        <v>324</v>
      </c>
      <c r="CT294" s="335" t="s">
        <v>324</v>
      </c>
      <c r="CU294" s="335" t="s">
        <v>324</v>
      </c>
      <c r="CV294" s="335" t="s">
        <v>324</v>
      </c>
      <c r="CX294" s="335" t="s">
        <v>324</v>
      </c>
      <c r="CY294" s="335" t="s">
        <v>324</v>
      </c>
      <c r="CZ294" s="335" t="s">
        <v>324</v>
      </c>
      <c r="DB294" s="335" t="s">
        <v>324</v>
      </c>
      <c r="DC294" s="335" t="s">
        <v>324</v>
      </c>
      <c r="DD294" s="335" t="s">
        <v>324</v>
      </c>
      <c r="DE294" s="335" t="s">
        <v>324</v>
      </c>
      <c r="DF294" s="386"/>
      <c r="DG294" s="386"/>
      <c r="DH294" s="386"/>
      <c r="DI294" s="386"/>
      <c r="DJ294" s="386"/>
      <c r="DK294" s="386"/>
      <c r="DL294" s="386"/>
      <c r="DM294" s="386"/>
      <c r="DN294" s="335" t="s">
        <v>324</v>
      </c>
      <c r="DO294" s="335" t="s">
        <v>324</v>
      </c>
      <c r="DP294" s="335" t="s">
        <v>324</v>
      </c>
      <c r="DR294" s="335" t="s">
        <v>324</v>
      </c>
      <c r="DS294" s="335" t="s">
        <v>324</v>
      </c>
      <c r="DT294" s="335" t="s">
        <v>324</v>
      </c>
      <c r="DU294" s="335" t="s">
        <v>324</v>
      </c>
      <c r="DV294" s="335" t="s">
        <v>324</v>
      </c>
      <c r="DW294" s="335" t="s">
        <v>324</v>
      </c>
      <c r="DX294" s="335" t="s">
        <v>324</v>
      </c>
      <c r="DZ294" s="335" t="s">
        <v>324</v>
      </c>
      <c r="EA294" s="335" t="s">
        <v>324</v>
      </c>
      <c r="EB294" s="335" t="s">
        <v>324</v>
      </c>
      <c r="EC294" s="335" t="s">
        <v>324</v>
      </c>
      <c r="ED294" s="335" t="s">
        <v>324</v>
      </c>
      <c r="EE294" s="335" t="s">
        <v>324</v>
      </c>
      <c r="EF294" s="335" t="s">
        <v>324</v>
      </c>
      <c r="EH294" s="335" t="s">
        <v>324</v>
      </c>
      <c r="EI294" s="335" t="s">
        <v>324</v>
      </c>
      <c r="EJ294" s="335" t="s">
        <v>324</v>
      </c>
      <c r="EK294" s="335" t="s">
        <v>324</v>
      </c>
      <c r="EL294" s="335" t="s">
        <v>324</v>
      </c>
      <c r="EM294" s="335" t="s">
        <v>324</v>
      </c>
      <c r="EN294" s="335" t="s">
        <v>324</v>
      </c>
      <c r="EP294" s="335" t="s">
        <v>324</v>
      </c>
      <c r="EQ294" s="335" t="s">
        <v>324</v>
      </c>
      <c r="ER294" s="335" t="s">
        <v>324</v>
      </c>
      <c r="ES294" s="335" t="s">
        <v>324</v>
      </c>
      <c r="FB294" s="335" t="s">
        <v>324</v>
      </c>
      <c r="FC294" s="335" t="s">
        <v>324</v>
      </c>
      <c r="FD294" s="335" t="s">
        <v>324</v>
      </c>
      <c r="FE294" s="335" t="s">
        <v>324</v>
      </c>
      <c r="FF294" s="335" t="s">
        <v>324</v>
      </c>
      <c r="FG294" s="335" t="s">
        <v>324</v>
      </c>
      <c r="FH294" s="335" t="s">
        <v>324</v>
      </c>
      <c r="FI294" s="335" t="s">
        <v>324</v>
      </c>
      <c r="FJ294" s="335" t="s">
        <v>324</v>
      </c>
      <c r="FK294" s="335" t="s">
        <v>324</v>
      </c>
      <c r="FL294" s="335" t="s">
        <v>324</v>
      </c>
      <c r="FM294" s="335" t="s">
        <v>324</v>
      </c>
      <c r="FN294" s="335" t="s">
        <v>324</v>
      </c>
      <c r="FO294" s="335" t="s">
        <v>324</v>
      </c>
      <c r="FP294" s="335" t="s">
        <v>324</v>
      </c>
      <c r="FQ294" s="335" t="s">
        <v>324</v>
      </c>
    </row>
    <row r="295" spans="1:173" s="334" customFormat="1">
      <c r="A295" s="335" t="s">
        <v>553</v>
      </c>
      <c r="B295" s="334" t="s">
        <v>553</v>
      </c>
      <c r="C295" s="335" t="s">
        <v>1473</v>
      </c>
      <c r="D295" s="334" t="s">
        <v>865</v>
      </c>
      <c r="E295" s="334" t="s">
        <v>554</v>
      </c>
      <c r="F295" s="431" t="s">
        <v>785</v>
      </c>
      <c r="G295" s="335" t="s">
        <v>324</v>
      </c>
      <c r="H295" s="346">
        <v>37</v>
      </c>
      <c r="I295" s="346">
        <v>34</v>
      </c>
      <c r="J295" s="346">
        <v>33</v>
      </c>
      <c r="K295" s="337"/>
      <c r="L295" s="337"/>
      <c r="M295" s="337"/>
      <c r="N295" s="346" t="s">
        <v>2468</v>
      </c>
      <c r="O295" s="346" t="s">
        <v>2466</v>
      </c>
      <c r="P295" s="346" t="s">
        <v>780</v>
      </c>
      <c r="Q295" s="346" t="s">
        <v>2479</v>
      </c>
      <c r="R295" s="346" t="s">
        <v>324</v>
      </c>
      <c r="S295" s="334" t="s">
        <v>1006</v>
      </c>
      <c r="T295" s="335" t="s">
        <v>1046</v>
      </c>
      <c r="U295" s="334">
        <v>253</v>
      </c>
      <c r="V295" s="335" cm="1">
        <f t="array" ref="V295">IFERROR(INDEX('Offer Statistics'!$DA$2:$DA$600,MATCH(1,(B295='Offer Statistics'!$CL$2:$CL$600)*($B$11='Offer Statistics'!$CM$2:$CM$600),0)),"/")</f>
        <v>211</v>
      </c>
      <c r="W295" s="335" cm="1">
        <f t="array" ref="W295">IFERROR(INDEX('Offer Statistics'!$CN$2:$CN$600,MATCH(1,(B295='Offer Statistics'!$CL$2:$CL$600)*($B$11='Offer Statistics'!$CM$2:$CM$600),0)),"/")</f>
        <v>1473</v>
      </c>
      <c r="X295" s="335" cm="1">
        <f t="array" ref="X295">IFERROR(INDEX('Offer Statistics'!$CV$2:$CV$600,MATCH(1,(B295='Offer Statistics'!$CL$2:$CL$600)*($B$11='Offer Statistics'!$CM$2:$CM$600),0)),"/")</f>
        <v>211</v>
      </c>
      <c r="Y295" s="334">
        <f t="shared" si="376"/>
        <v>6.9810426540284363</v>
      </c>
      <c r="Z295" s="335" t="s">
        <v>1046</v>
      </c>
      <c r="AA295" s="335" t="str">
        <f>入學要求!AF304</f>
        <v>以下一科選修取得Lv.3︰生物、化學、物理</v>
      </c>
      <c r="AB295" s="334" t="str">
        <f>入學要求!AG304</f>
        <v>/</v>
      </c>
      <c r="AC295" s="431" t="s">
        <v>11</v>
      </c>
      <c r="AD295" s="431" t="s">
        <v>3141</v>
      </c>
      <c r="AE295" s="488"/>
      <c r="AF295" s="431" t="s">
        <v>1517</v>
      </c>
      <c r="AG295" s="431" t="s">
        <v>3144</v>
      </c>
      <c r="AH295" s="431" t="s">
        <v>780</v>
      </c>
      <c r="AI295" s="427" t="s">
        <v>3145</v>
      </c>
      <c r="AJ295" s="346" t="s">
        <v>324</v>
      </c>
      <c r="AK295" s="334" t="s">
        <v>1482</v>
      </c>
      <c r="AL295" s="334" t="s">
        <v>1552</v>
      </c>
      <c r="AP295" s="334" t="s">
        <v>1478</v>
      </c>
      <c r="AQ295" s="335" t="s">
        <v>2525</v>
      </c>
      <c r="AR295" s="334" t="s">
        <v>324</v>
      </c>
      <c r="AT295" s="334" t="s">
        <v>716</v>
      </c>
      <c r="AV295" s="334" t="s">
        <v>713</v>
      </c>
      <c r="AZ295" s="334" t="s">
        <v>324</v>
      </c>
      <c r="BA295" s="334" t="s">
        <v>324</v>
      </c>
      <c r="BB295" s="334" t="s">
        <v>324</v>
      </c>
      <c r="BD295" s="334" t="s">
        <v>324</v>
      </c>
      <c r="BE295" s="334" t="s">
        <v>324</v>
      </c>
      <c r="BF295" s="334" t="s">
        <v>324</v>
      </c>
      <c r="BG295" s="334" t="s">
        <v>324</v>
      </c>
      <c r="BI295" s="334" t="s">
        <v>324</v>
      </c>
      <c r="BJ295" s="334" t="s">
        <v>324</v>
      </c>
      <c r="BK295" s="334" t="s">
        <v>324</v>
      </c>
      <c r="BM295" s="334" t="s">
        <v>324</v>
      </c>
      <c r="BN295" s="334" t="s">
        <v>324</v>
      </c>
      <c r="BO295" s="334" t="s">
        <v>324</v>
      </c>
      <c r="BP295" s="334" t="s">
        <v>324</v>
      </c>
      <c r="BY295" s="334" t="s">
        <v>324</v>
      </c>
      <c r="BZ295" s="334" t="s">
        <v>324</v>
      </c>
      <c r="CA295" s="334" t="s">
        <v>324</v>
      </c>
      <c r="CC295" s="334" t="s">
        <v>324</v>
      </c>
      <c r="CD295" s="334" t="s">
        <v>324</v>
      </c>
      <c r="CE295" s="334" t="s">
        <v>324</v>
      </c>
      <c r="CF295" s="334" t="s">
        <v>324</v>
      </c>
      <c r="CG295" s="334" t="s">
        <v>324</v>
      </c>
      <c r="CH295" s="334" t="s">
        <v>324</v>
      </c>
      <c r="CI295" s="334" t="s">
        <v>324</v>
      </c>
      <c r="CK295" s="334" t="s">
        <v>324</v>
      </c>
      <c r="CL295" s="334" t="s">
        <v>324</v>
      </c>
      <c r="CM295" s="334" t="s">
        <v>324</v>
      </c>
      <c r="CN295" s="334" t="s">
        <v>324</v>
      </c>
      <c r="CO295" s="334" t="s">
        <v>324</v>
      </c>
      <c r="CP295" s="334" t="s">
        <v>324</v>
      </c>
      <c r="CQ295" s="334" t="s">
        <v>324</v>
      </c>
      <c r="CS295" s="334" t="s">
        <v>324</v>
      </c>
      <c r="CT295" s="334" t="s">
        <v>324</v>
      </c>
      <c r="CU295" s="334" t="s">
        <v>324</v>
      </c>
      <c r="CV295" s="334" t="s">
        <v>324</v>
      </c>
      <c r="CX295" s="334" t="s">
        <v>324</v>
      </c>
      <c r="CY295" s="334" t="s">
        <v>324</v>
      </c>
      <c r="CZ295" s="334" t="s">
        <v>324</v>
      </c>
      <c r="DB295" s="334" t="s">
        <v>324</v>
      </c>
      <c r="DC295" s="334" t="s">
        <v>324</v>
      </c>
      <c r="DD295" s="334" t="s">
        <v>324</v>
      </c>
      <c r="DE295" s="334" t="s">
        <v>324</v>
      </c>
      <c r="DN295" s="334" t="s">
        <v>324</v>
      </c>
      <c r="DO295" s="334" t="s">
        <v>324</v>
      </c>
      <c r="DP295" s="334" t="s">
        <v>324</v>
      </c>
      <c r="DR295" s="334" t="s">
        <v>324</v>
      </c>
      <c r="DS295" s="334" t="s">
        <v>324</v>
      </c>
      <c r="DT295" s="334" t="s">
        <v>324</v>
      </c>
      <c r="DU295" s="334" t="s">
        <v>324</v>
      </c>
      <c r="DV295" s="334" t="s">
        <v>324</v>
      </c>
      <c r="DW295" s="334" t="s">
        <v>324</v>
      </c>
      <c r="DX295" s="334" t="s">
        <v>324</v>
      </c>
      <c r="DZ295" s="334" t="s">
        <v>324</v>
      </c>
      <c r="EA295" s="334" t="s">
        <v>324</v>
      </c>
      <c r="EB295" s="334" t="s">
        <v>324</v>
      </c>
      <c r="EC295" s="334" t="s">
        <v>324</v>
      </c>
      <c r="ED295" s="334" t="s">
        <v>324</v>
      </c>
      <c r="EE295" s="334" t="s">
        <v>324</v>
      </c>
      <c r="EF295" s="334" t="s">
        <v>324</v>
      </c>
      <c r="EH295" s="334" t="s">
        <v>324</v>
      </c>
      <c r="EI295" s="334" t="s">
        <v>324</v>
      </c>
      <c r="EJ295" s="334" t="s">
        <v>324</v>
      </c>
      <c r="EK295" s="334" t="s">
        <v>324</v>
      </c>
      <c r="EL295" s="334" t="s">
        <v>324</v>
      </c>
      <c r="EM295" s="334" t="s">
        <v>324</v>
      </c>
      <c r="EN295" s="334" t="s">
        <v>324</v>
      </c>
      <c r="EP295" s="334" t="s">
        <v>324</v>
      </c>
      <c r="EQ295" s="334" t="s">
        <v>324</v>
      </c>
      <c r="ER295" s="334" t="s">
        <v>324</v>
      </c>
      <c r="ES295" s="334" t="s">
        <v>324</v>
      </c>
      <c r="FB295" s="334" t="s">
        <v>324</v>
      </c>
      <c r="FC295" s="334" t="s">
        <v>324</v>
      </c>
      <c r="FD295" s="334" t="s">
        <v>324</v>
      </c>
      <c r="FE295" s="334" t="s">
        <v>324</v>
      </c>
      <c r="FF295" s="334" t="s">
        <v>324</v>
      </c>
      <c r="FG295" s="334" t="s">
        <v>324</v>
      </c>
      <c r="FH295" s="334" t="s">
        <v>324</v>
      </c>
      <c r="FI295" s="334" t="s">
        <v>324</v>
      </c>
      <c r="FJ295" s="334" t="s">
        <v>324</v>
      </c>
      <c r="FK295" s="334" t="s">
        <v>324</v>
      </c>
      <c r="FL295" s="334" t="s">
        <v>324</v>
      </c>
      <c r="FM295" s="334" t="s">
        <v>324</v>
      </c>
      <c r="FN295" s="334" t="s">
        <v>324</v>
      </c>
      <c r="FO295" s="334" t="s">
        <v>324</v>
      </c>
      <c r="FP295" s="334" t="s">
        <v>324</v>
      </c>
      <c r="FQ295" s="334" t="s">
        <v>324</v>
      </c>
    </row>
    <row r="296" spans="1:173" s="335" customFormat="1">
      <c r="A296" s="335" t="s">
        <v>1553</v>
      </c>
      <c r="B296" s="335" t="s">
        <v>1553</v>
      </c>
      <c r="C296" s="335" t="s">
        <v>1473</v>
      </c>
      <c r="D296" s="335" t="s">
        <v>1010</v>
      </c>
      <c r="E296" s="335" t="s">
        <v>1554</v>
      </c>
      <c r="F296" s="346" t="s">
        <v>785</v>
      </c>
      <c r="G296" s="335" t="s">
        <v>324</v>
      </c>
      <c r="H296" s="346">
        <v>32</v>
      </c>
      <c r="I296" s="346">
        <v>29</v>
      </c>
      <c r="J296" s="346">
        <v>28</v>
      </c>
      <c r="N296" s="346" t="s">
        <v>1475</v>
      </c>
      <c r="O296" s="346" t="s">
        <v>324</v>
      </c>
      <c r="P296" s="346" t="s">
        <v>324</v>
      </c>
      <c r="Q296" s="346" t="s">
        <v>324</v>
      </c>
      <c r="R296" s="346" t="s">
        <v>324</v>
      </c>
      <c r="S296" s="334" t="s">
        <v>1555</v>
      </c>
      <c r="T296" s="335" t="s">
        <v>1046</v>
      </c>
      <c r="U296" s="335">
        <v>74</v>
      </c>
      <c r="V296" s="335" cm="1">
        <f t="array" ref="V296">IFERROR(INDEX('Offer Statistics'!$DA$2:$DA$600,MATCH(1,(B296='Offer Statistics'!$CL$2:$CL$600)*($B$11='Offer Statistics'!$CM$2:$CM$600),0)),"/")</f>
        <v>35</v>
      </c>
      <c r="W296" s="335" cm="1">
        <f t="array" ref="W296">IFERROR(INDEX('Offer Statistics'!$CN$2:$CN$600,MATCH(1,(B296='Offer Statistics'!$CL$2:$CL$600)*($B$11='Offer Statistics'!$CM$2:$CM$600),0)),"/")</f>
        <v>247</v>
      </c>
      <c r="X296" s="335" cm="1">
        <f t="array" ref="X296">IFERROR(INDEX('Offer Statistics'!$CV$2:$CV$600,MATCH(1,(B296='Offer Statistics'!$CL$2:$CL$600)*($B$11='Offer Statistics'!$CM$2:$CM$600),0)),"/")</f>
        <v>34</v>
      </c>
      <c r="Y296" s="334">
        <f t="shared" si="376"/>
        <v>7.2647058823529411</v>
      </c>
      <c r="Z296" s="335" t="s">
        <v>1046</v>
      </c>
      <c r="AA296" s="335" t="str">
        <f>入學要求!AF305</f>
        <v>/</v>
      </c>
      <c r="AB296" s="335" t="str">
        <f>入學要求!AG305</f>
        <v>/</v>
      </c>
      <c r="AC296" s="426" t="s">
        <v>785</v>
      </c>
      <c r="AD296" s="346"/>
      <c r="AE296" s="337"/>
      <c r="AF296" s="346" t="s">
        <v>1475</v>
      </c>
      <c r="AG296" s="346" t="s">
        <v>324</v>
      </c>
      <c r="AH296" s="346" t="s">
        <v>324</v>
      </c>
      <c r="AI296" s="346" t="s">
        <v>324</v>
      </c>
      <c r="AJ296" s="346" t="s">
        <v>324</v>
      </c>
      <c r="AK296" s="335" t="s">
        <v>1520</v>
      </c>
      <c r="AL296" s="335" t="s">
        <v>324</v>
      </c>
      <c r="AM296" s="335" t="s">
        <v>324</v>
      </c>
      <c r="AP296" s="335" t="s">
        <v>1478</v>
      </c>
      <c r="AQ296" s="335" t="s">
        <v>2525</v>
      </c>
      <c r="AR296" s="335" t="s">
        <v>324</v>
      </c>
      <c r="AT296" s="335" t="s">
        <v>716</v>
      </c>
      <c r="AV296" s="335" t="s">
        <v>713</v>
      </c>
      <c r="AZ296" s="335" t="s">
        <v>324</v>
      </c>
      <c r="BA296" s="335" t="s">
        <v>324</v>
      </c>
      <c r="BB296" s="335" t="s">
        <v>324</v>
      </c>
      <c r="BD296" s="335" t="s">
        <v>324</v>
      </c>
      <c r="BE296" s="335" t="s">
        <v>324</v>
      </c>
      <c r="BF296" s="335" t="s">
        <v>324</v>
      </c>
      <c r="BG296" s="335" t="s">
        <v>324</v>
      </c>
      <c r="BI296" s="335" t="s">
        <v>324</v>
      </c>
      <c r="BJ296" s="335" t="s">
        <v>324</v>
      </c>
      <c r="BK296" s="335" t="s">
        <v>324</v>
      </c>
      <c r="BM296" s="335" t="s">
        <v>324</v>
      </c>
      <c r="BN296" s="335" t="s">
        <v>324</v>
      </c>
      <c r="BO296" s="335" t="s">
        <v>324</v>
      </c>
      <c r="BP296" s="335" t="s">
        <v>324</v>
      </c>
      <c r="BQ296" s="386"/>
      <c r="BR296" s="386"/>
      <c r="BS296" s="386"/>
      <c r="BT296" s="386"/>
      <c r="BU296" s="386"/>
      <c r="BV296" s="386"/>
      <c r="BW296" s="386"/>
      <c r="BX296" s="386"/>
      <c r="BY296" s="335" t="s">
        <v>324</v>
      </c>
      <c r="BZ296" s="335" t="s">
        <v>324</v>
      </c>
      <c r="CA296" s="335" t="s">
        <v>324</v>
      </c>
      <c r="CC296" s="335" t="s">
        <v>324</v>
      </c>
      <c r="CD296" s="335" t="s">
        <v>324</v>
      </c>
      <c r="CE296" s="335" t="s">
        <v>324</v>
      </c>
      <c r="CF296" s="335" t="s">
        <v>324</v>
      </c>
      <c r="CG296" s="335" t="s">
        <v>324</v>
      </c>
      <c r="CH296" s="335" t="s">
        <v>324</v>
      </c>
      <c r="CI296" s="335" t="s">
        <v>324</v>
      </c>
      <c r="CK296" s="335" t="s">
        <v>324</v>
      </c>
      <c r="CL296" s="335" t="s">
        <v>324</v>
      </c>
      <c r="CM296" s="335" t="s">
        <v>324</v>
      </c>
      <c r="CN296" s="335" t="s">
        <v>324</v>
      </c>
      <c r="CO296" s="335" t="s">
        <v>324</v>
      </c>
      <c r="CP296" s="335" t="s">
        <v>324</v>
      </c>
      <c r="CQ296" s="335" t="s">
        <v>324</v>
      </c>
      <c r="CS296" s="335" t="s">
        <v>324</v>
      </c>
      <c r="CT296" s="335" t="s">
        <v>324</v>
      </c>
      <c r="CU296" s="335" t="s">
        <v>324</v>
      </c>
      <c r="CV296" s="335" t="s">
        <v>324</v>
      </c>
      <c r="CX296" s="335" t="s">
        <v>324</v>
      </c>
      <c r="CY296" s="335" t="s">
        <v>324</v>
      </c>
      <c r="CZ296" s="335" t="s">
        <v>324</v>
      </c>
      <c r="DB296" s="335" t="s">
        <v>324</v>
      </c>
      <c r="DC296" s="335" t="s">
        <v>324</v>
      </c>
      <c r="DD296" s="335" t="s">
        <v>324</v>
      </c>
      <c r="DE296" s="335" t="s">
        <v>324</v>
      </c>
      <c r="DF296" s="386"/>
      <c r="DG296" s="386"/>
      <c r="DH296" s="386"/>
      <c r="DI296" s="386"/>
      <c r="DJ296" s="386"/>
      <c r="DK296" s="386"/>
      <c r="DL296" s="386"/>
      <c r="DM296" s="386"/>
      <c r="DN296" s="335" t="s">
        <v>324</v>
      </c>
      <c r="DO296" s="335" t="s">
        <v>324</v>
      </c>
      <c r="DP296" s="335" t="s">
        <v>324</v>
      </c>
      <c r="DR296" s="335" t="s">
        <v>324</v>
      </c>
      <c r="DS296" s="335" t="s">
        <v>324</v>
      </c>
      <c r="DT296" s="335" t="s">
        <v>324</v>
      </c>
      <c r="DU296" s="335" t="s">
        <v>324</v>
      </c>
      <c r="DV296" s="335" t="s">
        <v>324</v>
      </c>
      <c r="DW296" s="335" t="s">
        <v>324</v>
      </c>
      <c r="DX296" s="335" t="s">
        <v>324</v>
      </c>
      <c r="DZ296" s="335" t="s">
        <v>324</v>
      </c>
      <c r="EA296" s="335" t="s">
        <v>324</v>
      </c>
      <c r="EB296" s="335" t="s">
        <v>324</v>
      </c>
      <c r="EC296" s="335" t="s">
        <v>324</v>
      </c>
      <c r="ED296" s="335" t="s">
        <v>324</v>
      </c>
      <c r="EE296" s="335" t="s">
        <v>324</v>
      </c>
      <c r="EF296" s="335" t="s">
        <v>324</v>
      </c>
      <c r="EH296" s="335" t="s">
        <v>324</v>
      </c>
      <c r="EI296" s="335" t="s">
        <v>324</v>
      </c>
      <c r="EJ296" s="335" t="s">
        <v>324</v>
      </c>
      <c r="EK296" s="335" t="s">
        <v>324</v>
      </c>
      <c r="EL296" s="335" t="s">
        <v>324</v>
      </c>
      <c r="EM296" s="335" t="s">
        <v>324</v>
      </c>
      <c r="EN296" s="335" t="s">
        <v>324</v>
      </c>
      <c r="EP296" s="335" t="s">
        <v>324</v>
      </c>
      <c r="EQ296" s="335" t="s">
        <v>324</v>
      </c>
      <c r="ER296" s="335" t="s">
        <v>324</v>
      </c>
      <c r="ES296" s="335" t="s">
        <v>324</v>
      </c>
      <c r="FB296" s="335" t="s">
        <v>324</v>
      </c>
      <c r="FC296" s="335" t="s">
        <v>324</v>
      </c>
      <c r="FD296" s="335" t="s">
        <v>324</v>
      </c>
      <c r="FE296" s="335" t="s">
        <v>324</v>
      </c>
      <c r="FF296" s="335" t="s">
        <v>324</v>
      </c>
      <c r="FG296" s="335" t="s">
        <v>324</v>
      </c>
      <c r="FH296" s="335" t="s">
        <v>324</v>
      </c>
      <c r="FI296" s="335" t="s">
        <v>324</v>
      </c>
      <c r="FJ296" s="335" t="s">
        <v>324</v>
      </c>
      <c r="FK296" s="335" t="s">
        <v>324</v>
      </c>
      <c r="FL296" s="335" t="s">
        <v>324</v>
      </c>
      <c r="FM296" s="335" t="s">
        <v>324</v>
      </c>
      <c r="FN296" s="335" t="s">
        <v>324</v>
      </c>
      <c r="FO296" s="335" t="s">
        <v>324</v>
      </c>
      <c r="FP296" s="335" t="s">
        <v>324</v>
      </c>
      <c r="FQ296" s="335" t="s">
        <v>324</v>
      </c>
    </row>
    <row r="297" spans="1:173" s="335" customFormat="1">
      <c r="A297" s="335" t="s">
        <v>555</v>
      </c>
      <c r="B297" s="335" t="s">
        <v>555</v>
      </c>
      <c r="C297" s="335" t="s">
        <v>1473</v>
      </c>
      <c r="D297" s="335" t="s">
        <v>1010</v>
      </c>
      <c r="E297" s="335" t="s">
        <v>556</v>
      </c>
      <c r="F297" s="346" t="s">
        <v>785</v>
      </c>
      <c r="G297" s="335" t="s">
        <v>324</v>
      </c>
      <c r="H297" s="346">
        <v>27</v>
      </c>
      <c r="I297" s="346">
        <v>26</v>
      </c>
      <c r="J297" s="346">
        <v>25</v>
      </c>
      <c r="N297" s="346" t="s">
        <v>1475</v>
      </c>
      <c r="O297" s="346" t="s">
        <v>324</v>
      </c>
      <c r="P297" s="346" t="s">
        <v>324</v>
      </c>
      <c r="Q297" s="346" t="s">
        <v>324</v>
      </c>
      <c r="R297" s="346" t="s">
        <v>324</v>
      </c>
      <c r="S297" s="334" t="s">
        <v>2835</v>
      </c>
      <c r="T297" s="335" t="s">
        <v>1046</v>
      </c>
      <c r="U297" s="335">
        <v>72</v>
      </c>
      <c r="V297" s="335" cm="1">
        <f t="array" ref="V297">IFERROR(INDEX('Offer Statistics'!$DA$2:$DA$600,MATCH(1,(B297='Offer Statistics'!$CL$2:$CL$600)*($B$11='Offer Statistics'!$CM$2:$CM$600),0)),"/")</f>
        <v>81</v>
      </c>
      <c r="W297" s="335" cm="1">
        <f t="array" ref="W297">IFERROR(INDEX('Offer Statistics'!$CN$2:$CN$600,MATCH(1,(B297='Offer Statistics'!$CL$2:$CL$600)*($B$11='Offer Statistics'!$CM$2:$CM$600),0)),"/")</f>
        <v>359</v>
      </c>
      <c r="X297" s="335" cm="1">
        <f t="array" ref="X297">IFERROR(INDEX('Offer Statistics'!$CV$2:$CV$600,MATCH(1,(B297='Offer Statistics'!$CL$2:$CL$600)*($B$11='Offer Statistics'!$CM$2:$CM$600),0)),"/")</f>
        <v>81</v>
      </c>
      <c r="Y297" s="334">
        <f t="shared" si="376"/>
        <v>4.4320987654320989</v>
      </c>
      <c r="Z297" s="335" t="s">
        <v>1046</v>
      </c>
      <c r="AA297" s="335" t="str">
        <f>入學要求!AF306</f>
        <v>/</v>
      </c>
      <c r="AB297" s="335" t="str">
        <f>入學要求!AG306</f>
        <v>/</v>
      </c>
      <c r="AC297" s="426" t="s">
        <v>785</v>
      </c>
      <c r="AD297" s="346"/>
      <c r="AE297" s="337"/>
      <c r="AF297" s="346" t="s">
        <v>1475</v>
      </c>
      <c r="AG297" s="346" t="s">
        <v>324</v>
      </c>
      <c r="AH297" s="346" t="s">
        <v>324</v>
      </c>
      <c r="AI297" s="346" t="s">
        <v>324</v>
      </c>
      <c r="AJ297" s="346" t="s">
        <v>324</v>
      </c>
      <c r="AK297" s="335" t="s">
        <v>1520</v>
      </c>
      <c r="AL297" s="335" t="s">
        <v>324</v>
      </c>
      <c r="AM297" s="335" t="s">
        <v>324</v>
      </c>
      <c r="AP297" s="335" t="s">
        <v>1478</v>
      </c>
      <c r="AQ297" s="335" t="s">
        <v>2525</v>
      </c>
      <c r="AR297" s="335" t="s">
        <v>324</v>
      </c>
      <c r="AT297" s="335" t="s">
        <v>716</v>
      </c>
      <c r="AV297" s="335" t="s">
        <v>713</v>
      </c>
      <c r="AZ297" s="335" t="s">
        <v>324</v>
      </c>
      <c r="BA297" s="335" t="s">
        <v>324</v>
      </c>
      <c r="BB297" s="335" t="s">
        <v>324</v>
      </c>
      <c r="BD297" s="335" t="s">
        <v>324</v>
      </c>
      <c r="BE297" s="335" t="s">
        <v>324</v>
      </c>
      <c r="BF297" s="335" t="s">
        <v>324</v>
      </c>
      <c r="BG297" s="335" t="s">
        <v>324</v>
      </c>
      <c r="BI297" s="335" t="s">
        <v>324</v>
      </c>
      <c r="BJ297" s="335" t="s">
        <v>324</v>
      </c>
      <c r="BK297" s="335" t="s">
        <v>324</v>
      </c>
      <c r="BM297" s="335" t="s">
        <v>324</v>
      </c>
      <c r="BN297" s="335" t="s">
        <v>324</v>
      </c>
      <c r="BO297" s="335" t="s">
        <v>324</v>
      </c>
      <c r="BP297" s="335" t="s">
        <v>324</v>
      </c>
      <c r="BQ297" s="386"/>
      <c r="BR297" s="386"/>
      <c r="BS297" s="386"/>
      <c r="BT297" s="386"/>
      <c r="BU297" s="386"/>
      <c r="BV297" s="386"/>
      <c r="BW297" s="386"/>
      <c r="BX297" s="386"/>
      <c r="BY297" s="335" t="s">
        <v>324</v>
      </c>
      <c r="BZ297" s="335" t="s">
        <v>324</v>
      </c>
      <c r="CA297" s="335" t="s">
        <v>324</v>
      </c>
      <c r="CC297" s="335" t="s">
        <v>324</v>
      </c>
      <c r="CD297" s="335" t="s">
        <v>324</v>
      </c>
      <c r="CE297" s="335" t="s">
        <v>324</v>
      </c>
      <c r="CF297" s="335" t="s">
        <v>324</v>
      </c>
      <c r="CG297" s="335" t="s">
        <v>324</v>
      </c>
      <c r="CH297" s="335" t="s">
        <v>324</v>
      </c>
      <c r="CI297" s="335" t="s">
        <v>324</v>
      </c>
      <c r="CK297" s="335" t="s">
        <v>324</v>
      </c>
      <c r="CL297" s="335" t="s">
        <v>324</v>
      </c>
      <c r="CM297" s="335" t="s">
        <v>324</v>
      </c>
      <c r="CN297" s="335" t="s">
        <v>324</v>
      </c>
      <c r="CO297" s="335" t="s">
        <v>324</v>
      </c>
      <c r="CP297" s="335" t="s">
        <v>324</v>
      </c>
      <c r="CQ297" s="335" t="s">
        <v>324</v>
      </c>
      <c r="CS297" s="335" t="s">
        <v>324</v>
      </c>
      <c r="CT297" s="335" t="s">
        <v>324</v>
      </c>
      <c r="CU297" s="335" t="s">
        <v>324</v>
      </c>
      <c r="CV297" s="335" t="s">
        <v>324</v>
      </c>
      <c r="CX297" s="335" t="s">
        <v>324</v>
      </c>
      <c r="CY297" s="335" t="s">
        <v>324</v>
      </c>
      <c r="CZ297" s="335" t="s">
        <v>324</v>
      </c>
      <c r="DB297" s="335" t="s">
        <v>324</v>
      </c>
      <c r="DC297" s="335" t="s">
        <v>324</v>
      </c>
      <c r="DD297" s="335" t="s">
        <v>324</v>
      </c>
      <c r="DE297" s="335" t="s">
        <v>324</v>
      </c>
      <c r="DF297" s="386"/>
      <c r="DG297" s="386"/>
      <c r="DH297" s="386"/>
      <c r="DI297" s="386"/>
      <c r="DJ297" s="386"/>
      <c r="DK297" s="386"/>
      <c r="DL297" s="386"/>
      <c r="DM297" s="386"/>
      <c r="DN297" s="335" t="s">
        <v>324</v>
      </c>
      <c r="DO297" s="335" t="s">
        <v>324</v>
      </c>
      <c r="DP297" s="335" t="s">
        <v>324</v>
      </c>
      <c r="DR297" s="335" t="s">
        <v>324</v>
      </c>
      <c r="DS297" s="335" t="s">
        <v>324</v>
      </c>
      <c r="DT297" s="335" t="s">
        <v>324</v>
      </c>
      <c r="DU297" s="335" t="s">
        <v>324</v>
      </c>
      <c r="DV297" s="335" t="s">
        <v>324</v>
      </c>
      <c r="DW297" s="335" t="s">
        <v>324</v>
      </c>
      <c r="DX297" s="335" t="s">
        <v>324</v>
      </c>
      <c r="DZ297" s="335" t="s">
        <v>324</v>
      </c>
      <c r="EA297" s="335" t="s">
        <v>324</v>
      </c>
      <c r="EB297" s="335" t="s">
        <v>324</v>
      </c>
      <c r="EC297" s="335" t="s">
        <v>324</v>
      </c>
      <c r="ED297" s="335" t="s">
        <v>324</v>
      </c>
      <c r="EE297" s="335" t="s">
        <v>324</v>
      </c>
      <c r="EF297" s="335" t="s">
        <v>324</v>
      </c>
      <c r="EH297" s="335" t="s">
        <v>324</v>
      </c>
      <c r="EI297" s="335" t="s">
        <v>324</v>
      </c>
      <c r="EJ297" s="335" t="s">
        <v>324</v>
      </c>
      <c r="EK297" s="335" t="s">
        <v>324</v>
      </c>
      <c r="EL297" s="335" t="s">
        <v>324</v>
      </c>
      <c r="EM297" s="335" t="s">
        <v>324</v>
      </c>
      <c r="EN297" s="335" t="s">
        <v>324</v>
      </c>
      <c r="EP297" s="335" t="s">
        <v>324</v>
      </c>
      <c r="EQ297" s="335" t="s">
        <v>324</v>
      </c>
      <c r="ER297" s="335" t="s">
        <v>324</v>
      </c>
      <c r="ES297" s="335" t="s">
        <v>324</v>
      </c>
      <c r="FB297" s="335" t="s">
        <v>324</v>
      </c>
      <c r="FC297" s="335" t="s">
        <v>324</v>
      </c>
      <c r="FD297" s="335" t="s">
        <v>324</v>
      </c>
      <c r="FE297" s="335" t="s">
        <v>324</v>
      </c>
      <c r="FF297" s="335" t="s">
        <v>324</v>
      </c>
      <c r="FG297" s="335" t="s">
        <v>324</v>
      </c>
      <c r="FH297" s="335" t="s">
        <v>324</v>
      </c>
      <c r="FI297" s="335" t="s">
        <v>324</v>
      </c>
      <c r="FJ297" s="335" t="s">
        <v>324</v>
      </c>
      <c r="FK297" s="335" t="s">
        <v>324</v>
      </c>
      <c r="FL297" s="335" t="s">
        <v>324</v>
      </c>
      <c r="FM297" s="335" t="s">
        <v>324</v>
      </c>
      <c r="FN297" s="335" t="s">
        <v>324</v>
      </c>
      <c r="FO297" s="335" t="s">
        <v>324</v>
      </c>
      <c r="FP297" s="335" t="s">
        <v>324</v>
      </c>
      <c r="FQ297" s="335" t="s">
        <v>324</v>
      </c>
    </row>
    <row r="298" spans="1:173" s="335" customFormat="1">
      <c r="A298" s="335" t="s">
        <v>557</v>
      </c>
      <c r="B298" s="335" t="s">
        <v>557</v>
      </c>
      <c r="C298" s="335" t="s">
        <v>1473</v>
      </c>
      <c r="D298" s="335" t="s">
        <v>1010</v>
      </c>
      <c r="E298" s="335" t="s">
        <v>558</v>
      </c>
      <c r="F298" s="346" t="s">
        <v>785</v>
      </c>
      <c r="G298" s="335" t="s">
        <v>324</v>
      </c>
      <c r="H298" s="346">
        <v>29</v>
      </c>
      <c r="I298" s="346">
        <v>27</v>
      </c>
      <c r="J298" s="346">
        <v>26</v>
      </c>
      <c r="N298" s="346" t="s">
        <v>1475</v>
      </c>
      <c r="O298" s="346" t="s">
        <v>324</v>
      </c>
      <c r="P298" s="346" t="s">
        <v>324</v>
      </c>
      <c r="Q298" s="346" t="s">
        <v>324</v>
      </c>
      <c r="R298" s="346" t="s">
        <v>324</v>
      </c>
      <c r="S298" s="334" t="s">
        <v>1019</v>
      </c>
      <c r="T298" s="335" t="s">
        <v>1046</v>
      </c>
      <c r="U298" s="335">
        <v>35</v>
      </c>
      <c r="V298" s="335" cm="1">
        <f t="array" ref="V298">IFERROR(INDEX('Offer Statistics'!$DA$2:$DA$600,MATCH(1,(B298='Offer Statistics'!$CL$2:$CL$600)*($B$11='Offer Statistics'!$CM$2:$CM$600),0)),"/")</f>
        <v>23</v>
      </c>
      <c r="W298" s="335" cm="1">
        <f t="array" ref="W298">IFERROR(INDEX('Offer Statistics'!$CN$2:$CN$600,MATCH(1,(B298='Offer Statistics'!$CL$2:$CL$600)*($B$11='Offer Statistics'!$CM$2:$CM$600),0)),"/")</f>
        <v>202</v>
      </c>
      <c r="X298" s="335" cm="1">
        <f t="array" ref="X298">IFERROR(INDEX('Offer Statistics'!$CV$2:$CV$600,MATCH(1,(B298='Offer Statistics'!$CL$2:$CL$600)*($B$11='Offer Statistics'!$CM$2:$CM$600),0)),"/")</f>
        <v>23</v>
      </c>
      <c r="Y298" s="334">
        <f t="shared" si="376"/>
        <v>8.7826086956521738</v>
      </c>
      <c r="Z298" s="335" t="s">
        <v>1046</v>
      </c>
      <c r="AA298" s="335" t="str">
        <f>入學要求!AF307</f>
        <v>/</v>
      </c>
      <c r="AB298" s="335" t="str">
        <f>入學要求!AG307</f>
        <v>/</v>
      </c>
      <c r="AC298" s="426" t="s">
        <v>785</v>
      </c>
      <c r="AD298" s="346"/>
      <c r="AE298" s="337"/>
      <c r="AF298" s="346" t="s">
        <v>1475</v>
      </c>
      <c r="AG298" s="346" t="s">
        <v>324</v>
      </c>
      <c r="AH298" s="346" t="s">
        <v>324</v>
      </c>
      <c r="AI298" s="346" t="s">
        <v>324</v>
      </c>
      <c r="AJ298" s="346" t="s">
        <v>324</v>
      </c>
      <c r="AK298" s="335" t="s">
        <v>1537</v>
      </c>
      <c r="AL298" s="335" t="s">
        <v>1520</v>
      </c>
      <c r="AM298" s="335" t="s">
        <v>324</v>
      </c>
      <c r="AP298" s="335" t="s">
        <v>1478</v>
      </c>
      <c r="AQ298" s="335" t="s">
        <v>2525</v>
      </c>
      <c r="AR298" s="335" t="s">
        <v>324</v>
      </c>
      <c r="AT298" s="335" t="s">
        <v>716</v>
      </c>
      <c r="AV298" s="335" t="s">
        <v>713</v>
      </c>
      <c r="AZ298" s="335" t="s">
        <v>324</v>
      </c>
      <c r="BA298" s="335" t="s">
        <v>324</v>
      </c>
      <c r="BB298" s="335" t="s">
        <v>324</v>
      </c>
      <c r="BD298" s="335" t="s">
        <v>324</v>
      </c>
      <c r="BE298" s="335" t="s">
        <v>324</v>
      </c>
      <c r="BF298" s="335" t="s">
        <v>324</v>
      </c>
      <c r="BG298" s="335" t="s">
        <v>324</v>
      </c>
      <c r="BI298" s="335" t="s">
        <v>324</v>
      </c>
      <c r="BJ298" s="335" t="s">
        <v>324</v>
      </c>
      <c r="BK298" s="335" t="s">
        <v>324</v>
      </c>
      <c r="BM298" s="335" t="s">
        <v>324</v>
      </c>
      <c r="BN298" s="335" t="s">
        <v>324</v>
      </c>
      <c r="BO298" s="335" t="s">
        <v>324</v>
      </c>
      <c r="BP298" s="335" t="s">
        <v>324</v>
      </c>
      <c r="BQ298" s="386"/>
      <c r="BR298" s="386"/>
      <c r="BS298" s="386"/>
      <c r="BT298" s="386"/>
      <c r="BU298" s="386"/>
      <c r="BV298" s="386"/>
      <c r="BW298" s="386"/>
      <c r="BX298" s="386"/>
      <c r="BY298" s="335" t="s">
        <v>324</v>
      </c>
      <c r="BZ298" s="335" t="s">
        <v>324</v>
      </c>
      <c r="CA298" s="335" t="s">
        <v>324</v>
      </c>
      <c r="CC298" s="335" t="s">
        <v>324</v>
      </c>
      <c r="CD298" s="335" t="s">
        <v>324</v>
      </c>
      <c r="CE298" s="335" t="s">
        <v>324</v>
      </c>
      <c r="CF298" s="335" t="s">
        <v>324</v>
      </c>
      <c r="CG298" s="335" t="s">
        <v>324</v>
      </c>
      <c r="CH298" s="335" t="s">
        <v>324</v>
      </c>
      <c r="CI298" s="335" t="s">
        <v>324</v>
      </c>
      <c r="CK298" s="335" t="s">
        <v>324</v>
      </c>
      <c r="CL298" s="335" t="s">
        <v>324</v>
      </c>
      <c r="CM298" s="335" t="s">
        <v>324</v>
      </c>
      <c r="CN298" s="335" t="s">
        <v>324</v>
      </c>
      <c r="CO298" s="335" t="s">
        <v>324</v>
      </c>
      <c r="CP298" s="335" t="s">
        <v>324</v>
      </c>
      <c r="CQ298" s="335" t="s">
        <v>324</v>
      </c>
      <c r="CS298" s="335" t="s">
        <v>324</v>
      </c>
      <c r="CT298" s="335" t="s">
        <v>324</v>
      </c>
      <c r="CU298" s="335" t="s">
        <v>324</v>
      </c>
      <c r="CV298" s="335" t="s">
        <v>324</v>
      </c>
      <c r="CX298" s="335" t="s">
        <v>324</v>
      </c>
      <c r="CY298" s="335" t="s">
        <v>324</v>
      </c>
      <c r="CZ298" s="335" t="s">
        <v>324</v>
      </c>
      <c r="DB298" s="335" t="s">
        <v>324</v>
      </c>
      <c r="DC298" s="335" t="s">
        <v>324</v>
      </c>
      <c r="DD298" s="335" t="s">
        <v>324</v>
      </c>
      <c r="DE298" s="335" t="s">
        <v>324</v>
      </c>
      <c r="DF298" s="386"/>
      <c r="DG298" s="386"/>
      <c r="DH298" s="386"/>
      <c r="DI298" s="386"/>
      <c r="DJ298" s="386"/>
      <c r="DK298" s="386"/>
      <c r="DL298" s="386"/>
      <c r="DM298" s="386"/>
      <c r="DN298" s="335" t="s">
        <v>324</v>
      </c>
      <c r="DO298" s="335" t="s">
        <v>324</v>
      </c>
      <c r="DP298" s="335" t="s">
        <v>324</v>
      </c>
      <c r="DR298" s="335" t="s">
        <v>324</v>
      </c>
      <c r="DS298" s="335" t="s">
        <v>324</v>
      </c>
      <c r="DT298" s="335" t="s">
        <v>324</v>
      </c>
      <c r="DU298" s="335" t="s">
        <v>324</v>
      </c>
      <c r="DV298" s="335" t="s">
        <v>324</v>
      </c>
      <c r="DW298" s="335" t="s">
        <v>324</v>
      </c>
      <c r="DX298" s="335" t="s">
        <v>324</v>
      </c>
      <c r="DZ298" s="335" t="s">
        <v>324</v>
      </c>
      <c r="EA298" s="335" t="s">
        <v>324</v>
      </c>
      <c r="EB298" s="335" t="s">
        <v>324</v>
      </c>
      <c r="EC298" s="335" t="s">
        <v>324</v>
      </c>
      <c r="ED298" s="335" t="s">
        <v>324</v>
      </c>
      <c r="EE298" s="335" t="s">
        <v>324</v>
      </c>
      <c r="EF298" s="335" t="s">
        <v>324</v>
      </c>
      <c r="EH298" s="335" t="s">
        <v>324</v>
      </c>
      <c r="EI298" s="335" t="s">
        <v>324</v>
      </c>
      <c r="EJ298" s="335" t="s">
        <v>324</v>
      </c>
      <c r="EK298" s="335" t="s">
        <v>324</v>
      </c>
      <c r="EL298" s="335" t="s">
        <v>324</v>
      </c>
      <c r="EM298" s="335" t="s">
        <v>324</v>
      </c>
      <c r="EN298" s="335" t="s">
        <v>324</v>
      </c>
      <c r="EP298" s="335" t="s">
        <v>324</v>
      </c>
      <c r="EQ298" s="335" t="s">
        <v>324</v>
      </c>
      <c r="ER298" s="335" t="s">
        <v>324</v>
      </c>
      <c r="ES298" s="335" t="s">
        <v>324</v>
      </c>
      <c r="FB298" s="335" t="s">
        <v>324</v>
      </c>
      <c r="FC298" s="335" t="s">
        <v>324</v>
      </c>
      <c r="FD298" s="335" t="s">
        <v>324</v>
      </c>
      <c r="FE298" s="335" t="s">
        <v>324</v>
      </c>
      <c r="FF298" s="335" t="s">
        <v>324</v>
      </c>
      <c r="FG298" s="335" t="s">
        <v>324</v>
      </c>
      <c r="FH298" s="335" t="s">
        <v>324</v>
      </c>
      <c r="FI298" s="335" t="s">
        <v>324</v>
      </c>
      <c r="FJ298" s="335" t="s">
        <v>324</v>
      </c>
      <c r="FK298" s="335" t="s">
        <v>324</v>
      </c>
      <c r="FL298" s="335" t="s">
        <v>324</v>
      </c>
      <c r="FM298" s="335" t="s">
        <v>324</v>
      </c>
      <c r="FN298" s="335" t="s">
        <v>324</v>
      </c>
      <c r="FO298" s="335" t="s">
        <v>324</v>
      </c>
      <c r="FP298" s="335" t="s">
        <v>324</v>
      </c>
      <c r="FQ298" s="335" t="s">
        <v>324</v>
      </c>
    </row>
    <row r="299" spans="1:173" s="364" customFormat="1">
      <c r="A299" s="335" t="s">
        <v>559</v>
      </c>
      <c r="B299" s="364" t="s">
        <v>559</v>
      </c>
      <c r="C299" s="335" t="s">
        <v>1473</v>
      </c>
      <c r="D299" s="364" t="s">
        <v>1010</v>
      </c>
      <c r="E299" s="364" t="s">
        <v>2842</v>
      </c>
      <c r="F299" s="346" t="s">
        <v>724</v>
      </c>
      <c r="G299" s="335" t="s">
        <v>324</v>
      </c>
      <c r="H299" s="346">
        <v>39</v>
      </c>
      <c r="I299" s="346">
        <v>38</v>
      </c>
      <c r="J299" s="346">
        <v>36</v>
      </c>
      <c r="N299" s="346" t="s">
        <v>324</v>
      </c>
      <c r="O299" s="346" t="s">
        <v>324</v>
      </c>
      <c r="P299" s="346" t="s">
        <v>324</v>
      </c>
      <c r="Q299" s="346" t="s">
        <v>324</v>
      </c>
      <c r="R299" s="346" t="s">
        <v>324</v>
      </c>
      <c r="S299" s="364" t="s">
        <v>2841</v>
      </c>
      <c r="T299" s="335" t="s">
        <v>1046</v>
      </c>
      <c r="U299" s="364">
        <v>40</v>
      </c>
      <c r="V299" s="335" cm="1">
        <f t="array" ref="V299">IFERROR(INDEX('Offer Statistics'!$DA$2:$DA$600,MATCH(1,(B299='Offer Statistics'!$CL$2:$CL$600)*($B$11='Offer Statistics'!$CM$2:$CM$600),0)),"/")</f>
        <v>35</v>
      </c>
      <c r="W299" s="335" cm="1">
        <f t="array" ref="W299">IFERROR(INDEX('Offer Statistics'!$CN$2:$CN$600,MATCH(1,(B299='Offer Statistics'!$CL$2:$CL$600)*($B$11='Offer Statistics'!$CM$2:$CM$600),0)),"/")</f>
        <v>64</v>
      </c>
      <c r="X299" s="335" cm="1">
        <f t="array" ref="X299">IFERROR(INDEX('Offer Statistics'!$CV$2:$CV$600,MATCH(1,(B299='Offer Statistics'!$CL$2:$CL$600)*($B$11='Offer Statistics'!$CM$2:$CM$600),0)),"/")</f>
        <v>35</v>
      </c>
      <c r="Y299" s="334">
        <f t="shared" si="376"/>
        <v>1.8285714285714285</v>
      </c>
      <c r="Z299" s="335" t="s">
        <v>1046</v>
      </c>
      <c r="AA299" s="335" t="str">
        <f>入學要求!AF308</f>
        <v>/</v>
      </c>
      <c r="AB299" s="364" t="str">
        <f>入學要求!AG308</f>
        <v>/</v>
      </c>
      <c r="AC299" s="426" t="s">
        <v>724</v>
      </c>
      <c r="AD299" s="429"/>
      <c r="AE299" s="346"/>
      <c r="AF299" s="346" t="s">
        <v>324</v>
      </c>
      <c r="AG299" s="346" t="s">
        <v>324</v>
      </c>
      <c r="AH299" s="346" t="s">
        <v>324</v>
      </c>
      <c r="AI299" s="346" t="s">
        <v>324</v>
      </c>
      <c r="AJ299" s="346" t="s">
        <v>324</v>
      </c>
      <c r="AK299" s="364" t="s">
        <v>1520</v>
      </c>
      <c r="AL299" s="364" t="s">
        <v>324</v>
      </c>
      <c r="AM299" s="364" t="s">
        <v>324</v>
      </c>
      <c r="AP299" s="364" t="s">
        <v>1478</v>
      </c>
      <c r="AQ299" s="335" t="s">
        <v>2525</v>
      </c>
      <c r="AR299" s="364" t="s">
        <v>324</v>
      </c>
      <c r="AT299" s="364" t="s">
        <v>716</v>
      </c>
      <c r="AV299" s="364" t="s">
        <v>713</v>
      </c>
      <c r="AZ299" s="364" t="s">
        <v>324</v>
      </c>
      <c r="BA299" s="364" t="s">
        <v>324</v>
      </c>
      <c r="BB299" s="364" t="s">
        <v>324</v>
      </c>
      <c r="BD299" s="364" t="s">
        <v>324</v>
      </c>
      <c r="BE299" s="364" t="s">
        <v>324</v>
      </c>
      <c r="BF299" s="364" t="s">
        <v>324</v>
      </c>
      <c r="BG299" s="364" t="s">
        <v>324</v>
      </c>
      <c r="BI299" s="364" t="s">
        <v>324</v>
      </c>
      <c r="BJ299" s="364" t="s">
        <v>324</v>
      </c>
      <c r="BK299" s="364" t="s">
        <v>324</v>
      </c>
      <c r="BM299" s="364" t="s">
        <v>324</v>
      </c>
      <c r="BN299" s="364" t="s">
        <v>324</v>
      </c>
      <c r="BO299" s="364" t="s">
        <v>324</v>
      </c>
      <c r="BP299" s="364" t="s">
        <v>324</v>
      </c>
      <c r="BY299" s="364" t="s">
        <v>324</v>
      </c>
      <c r="BZ299" s="364" t="s">
        <v>324</v>
      </c>
      <c r="CA299" s="364" t="s">
        <v>324</v>
      </c>
      <c r="CC299" s="364" t="s">
        <v>324</v>
      </c>
      <c r="CD299" s="364" t="s">
        <v>324</v>
      </c>
      <c r="CE299" s="364" t="s">
        <v>324</v>
      </c>
      <c r="CF299" s="364" t="s">
        <v>324</v>
      </c>
      <c r="CG299" s="364" t="s">
        <v>324</v>
      </c>
      <c r="CH299" s="364" t="s">
        <v>324</v>
      </c>
      <c r="CI299" s="364" t="s">
        <v>324</v>
      </c>
      <c r="CK299" s="364" t="s">
        <v>324</v>
      </c>
      <c r="CL299" s="364" t="s">
        <v>324</v>
      </c>
      <c r="CM299" s="364" t="s">
        <v>324</v>
      </c>
      <c r="CN299" s="364" t="s">
        <v>324</v>
      </c>
      <c r="CO299" s="364" t="s">
        <v>324</v>
      </c>
      <c r="CP299" s="364" t="s">
        <v>324</v>
      </c>
      <c r="CQ299" s="364" t="s">
        <v>324</v>
      </c>
      <c r="CS299" s="364" t="s">
        <v>324</v>
      </c>
      <c r="CT299" s="364" t="s">
        <v>324</v>
      </c>
      <c r="CU299" s="364" t="s">
        <v>324</v>
      </c>
      <c r="CV299" s="364" t="s">
        <v>324</v>
      </c>
      <c r="CX299" s="364" t="s">
        <v>324</v>
      </c>
      <c r="CY299" s="364" t="s">
        <v>324</v>
      </c>
      <c r="CZ299" s="364" t="s">
        <v>324</v>
      </c>
      <c r="DB299" s="364" t="s">
        <v>324</v>
      </c>
      <c r="DC299" s="364" t="s">
        <v>324</v>
      </c>
      <c r="DD299" s="364" t="s">
        <v>324</v>
      </c>
      <c r="DE299" s="364" t="s">
        <v>324</v>
      </c>
      <c r="DN299" s="364" t="s">
        <v>324</v>
      </c>
      <c r="DO299" s="364" t="s">
        <v>324</v>
      </c>
      <c r="DP299" s="364" t="s">
        <v>324</v>
      </c>
      <c r="DR299" s="364" t="s">
        <v>324</v>
      </c>
      <c r="DS299" s="364" t="s">
        <v>324</v>
      </c>
      <c r="DT299" s="364" t="s">
        <v>324</v>
      </c>
      <c r="DU299" s="364" t="s">
        <v>324</v>
      </c>
      <c r="DV299" s="364" t="s">
        <v>324</v>
      </c>
      <c r="DW299" s="364" t="s">
        <v>324</v>
      </c>
      <c r="DX299" s="364" t="s">
        <v>324</v>
      </c>
      <c r="DZ299" s="364" t="s">
        <v>324</v>
      </c>
      <c r="EA299" s="364" t="s">
        <v>324</v>
      </c>
      <c r="EB299" s="364" t="s">
        <v>324</v>
      </c>
      <c r="EC299" s="364" t="s">
        <v>324</v>
      </c>
      <c r="ED299" s="364" t="s">
        <v>324</v>
      </c>
      <c r="EE299" s="364" t="s">
        <v>324</v>
      </c>
      <c r="EF299" s="364" t="s">
        <v>324</v>
      </c>
      <c r="EH299" s="364" t="s">
        <v>324</v>
      </c>
      <c r="EI299" s="364" t="s">
        <v>324</v>
      </c>
      <c r="EJ299" s="364" t="s">
        <v>324</v>
      </c>
      <c r="EK299" s="364" t="s">
        <v>324</v>
      </c>
      <c r="EL299" s="364" t="s">
        <v>324</v>
      </c>
      <c r="EM299" s="364" t="s">
        <v>324</v>
      </c>
      <c r="EN299" s="364" t="s">
        <v>324</v>
      </c>
      <c r="EP299" s="364" t="s">
        <v>324</v>
      </c>
      <c r="EQ299" s="364" t="s">
        <v>324</v>
      </c>
      <c r="ER299" s="364" t="s">
        <v>324</v>
      </c>
      <c r="ES299" s="364" t="s">
        <v>324</v>
      </c>
      <c r="FB299" s="364" t="s">
        <v>324</v>
      </c>
      <c r="FC299" s="364" t="s">
        <v>324</v>
      </c>
      <c r="FD299" s="364" t="s">
        <v>324</v>
      </c>
      <c r="FE299" s="364" t="s">
        <v>324</v>
      </c>
      <c r="FF299" s="364" t="s">
        <v>324</v>
      </c>
      <c r="FG299" s="364" t="s">
        <v>324</v>
      </c>
      <c r="FH299" s="364" t="s">
        <v>324</v>
      </c>
      <c r="FI299" s="364" t="s">
        <v>324</v>
      </c>
      <c r="FJ299" s="364" t="s">
        <v>324</v>
      </c>
      <c r="FK299" s="364" t="s">
        <v>324</v>
      </c>
      <c r="FL299" s="364" t="s">
        <v>324</v>
      </c>
      <c r="FM299" s="364" t="s">
        <v>324</v>
      </c>
      <c r="FN299" s="364" t="s">
        <v>324</v>
      </c>
      <c r="FO299" s="364" t="s">
        <v>324</v>
      </c>
      <c r="FP299" s="364" t="s">
        <v>324</v>
      </c>
      <c r="FQ299" s="364" t="s">
        <v>324</v>
      </c>
    </row>
    <row r="300" spans="1:173" s="335" customFormat="1">
      <c r="A300" s="335" t="s">
        <v>561</v>
      </c>
      <c r="B300" s="335" t="s">
        <v>561</v>
      </c>
      <c r="C300" s="335" t="s">
        <v>1473</v>
      </c>
      <c r="D300" s="335" t="s">
        <v>1010</v>
      </c>
      <c r="E300" s="335" t="s">
        <v>562</v>
      </c>
      <c r="F300" s="484" t="s">
        <v>785</v>
      </c>
      <c r="G300" s="335" t="s">
        <v>324</v>
      </c>
      <c r="H300" s="346">
        <v>29</v>
      </c>
      <c r="I300" s="346">
        <v>26</v>
      </c>
      <c r="J300" s="346">
        <v>26</v>
      </c>
      <c r="N300" s="346" t="s">
        <v>1475</v>
      </c>
      <c r="O300" s="346" t="s">
        <v>324</v>
      </c>
      <c r="P300" s="346" t="s">
        <v>324</v>
      </c>
      <c r="Q300" s="346" t="s">
        <v>324</v>
      </c>
      <c r="R300" s="346" t="s">
        <v>324</v>
      </c>
      <c r="S300" s="334" t="s">
        <v>1973</v>
      </c>
      <c r="T300" s="335" t="s">
        <v>1046</v>
      </c>
      <c r="U300" s="335">
        <v>19</v>
      </c>
      <c r="V300" s="335" cm="1">
        <f t="array" ref="V300">IFERROR(INDEX('Offer Statistics'!$DA$2:$DA$600,MATCH(1,(B300='Offer Statistics'!$CL$2:$CL$600)*($B$11='Offer Statistics'!$CM$2:$CM$600),0)),"/")</f>
        <v>10</v>
      </c>
      <c r="W300" s="335" cm="1">
        <f t="array" ref="W300">IFERROR(INDEX('Offer Statistics'!$CN$2:$CN$600,MATCH(1,(B300='Offer Statistics'!$CL$2:$CL$600)*($B$11='Offer Statistics'!$CM$2:$CM$600),0)),"/")</f>
        <v>99</v>
      </c>
      <c r="X300" s="335" cm="1">
        <f t="array" ref="X300">IFERROR(INDEX('Offer Statistics'!$CV$2:$CV$600,MATCH(1,(B300='Offer Statistics'!$CL$2:$CL$600)*($B$11='Offer Statistics'!$CM$2:$CM$600),0)),"/")</f>
        <v>10</v>
      </c>
      <c r="Y300" s="334">
        <f t="shared" si="376"/>
        <v>9.9</v>
      </c>
      <c r="Z300" s="335" t="s">
        <v>1046</v>
      </c>
      <c r="AA300" s="335" t="str">
        <f>入學要求!AF309</f>
        <v>/</v>
      </c>
      <c r="AB300" s="335" t="str">
        <f>入學要求!AG309</f>
        <v>/</v>
      </c>
      <c r="AC300" s="431" t="s">
        <v>785</v>
      </c>
      <c r="AD300" s="427" t="s">
        <v>3146</v>
      </c>
      <c r="AE300" s="427"/>
      <c r="AF300" s="431" t="s">
        <v>786</v>
      </c>
      <c r="AG300" s="431" t="s">
        <v>1475</v>
      </c>
      <c r="AH300" s="431" t="s">
        <v>734</v>
      </c>
      <c r="AI300" s="427" t="s">
        <v>324</v>
      </c>
      <c r="AJ300" s="346" t="s">
        <v>324</v>
      </c>
      <c r="AK300" s="335" t="s">
        <v>1537</v>
      </c>
      <c r="AL300" s="335" t="s">
        <v>1550</v>
      </c>
      <c r="AM300" s="335" t="s">
        <v>324</v>
      </c>
      <c r="AP300" s="335" t="s">
        <v>1478</v>
      </c>
      <c r="AQ300" s="335" t="s">
        <v>2525</v>
      </c>
      <c r="AR300" s="335" t="s">
        <v>324</v>
      </c>
      <c r="AT300" s="335" t="s">
        <v>716</v>
      </c>
      <c r="AV300" s="335" t="s">
        <v>713</v>
      </c>
      <c r="AZ300" s="335" t="s">
        <v>324</v>
      </c>
      <c r="BA300" s="335" t="s">
        <v>324</v>
      </c>
      <c r="BB300" s="335" t="s">
        <v>324</v>
      </c>
      <c r="BD300" s="335" t="s">
        <v>324</v>
      </c>
      <c r="BE300" s="335" t="s">
        <v>324</v>
      </c>
      <c r="BF300" s="335" t="s">
        <v>324</v>
      </c>
      <c r="BG300" s="335" t="s">
        <v>324</v>
      </c>
      <c r="BI300" s="335" t="s">
        <v>324</v>
      </c>
      <c r="BJ300" s="335" t="s">
        <v>324</v>
      </c>
      <c r="BK300" s="335" t="s">
        <v>324</v>
      </c>
      <c r="BM300" s="335" t="s">
        <v>324</v>
      </c>
      <c r="BN300" s="335" t="s">
        <v>324</v>
      </c>
      <c r="BO300" s="335" t="s">
        <v>324</v>
      </c>
      <c r="BP300" s="335" t="s">
        <v>324</v>
      </c>
      <c r="BQ300" s="386"/>
      <c r="BR300" s="386"/>
      <c r="BS300" s="386"/>
      <c r="BT300" s="386"/>
      <c r="BU300" s="386"/>
      <c r="BV300" s="386"/>
      <c r="BW300" s="386"/>
      <c r="BX300" s="386"/>
      <c r="BY300" s="335" t="s">
        <v>324</v>
      </c>
      <c r="BZ300" s="335" t="s">
        <v>324</v>
      </c>
      <c r="CA300" s="335" t="s">
        <v>324</v>
      </c>
      <c r="CC300" s="335" t="s">
        <v>324</v>
      </c>
      <c r="CD300" s="335" t="s">
        <v>324</v>
      </c>
      <c r="CE300" s="335" t="s">
        <v>324</v>
      </c>
      <c r="CF300" s="335" t="s">
        <v>324</v>
      </c>
      <c r="CG300" s="335" t="s">
        <v>324</v>
      </c>
      <c r="CH300" s="335" t="s">
        <v>324</v>
      </c>
      <c r="CI300" s="335" t="s">
        <v>324</v>
      </c>
      <c r="CK300" s="335" t="s">
        <v>324</v>
      </c>
      <c r="CL300" s="335" t="s">
        <v>324</v>
      </c>
      <c r="CM300" s="335" t="s">
        <v>324</v>
      </c>
      <c r="CN300" s="335" t="s">
        <v>324</v>
      </c>
      <c r="CO300" s="335" t="s">
        <v>324</v>
      </c>
      <c r="CP300" s="335" t="s">
        <v>324</v>
      </c>
      <c r="CQ300" s="335" t="s">
        <v>324</v>
      </c>
      <c r="CS300" s="335" t="s">
        <v>324</v>
      </c>
      <c r="CT300" s="335" t="s">
        <v>324</v>
      </c>
      <c r="CU300" s="335" t="s">
        <v>324</v>
      </c>
      <c r="CV300" s="335" t="s">
        <v>324</v>
      </c>
      <c r="CX300" s="335" t="s">
        <v>324</v>
      </c>
      <c r="CY300" s="335" t="s">
        <v>324</v>
      </c>
      <c r="CZ300" s="335" t="s">
        <v>324</v>
      </c>
      <c r="DB300" s="335" t="s">
        <v>324</v>
      </c>
      <c r="DC300" s="335" t="s">
        <v>324</v>
      </c>
      <c r="DD300" s="335" t="s">
        <v>324</v>
      </c>
      <c r="DE300" s="335" t="s">
        <v>324</v>
      </c>
      <c r="DF300" s="386"/>
      <c r="DG300" s="386"/>
      <c r="DH300" s="386"/>
      <c r="DI300" s="386"/>
      <c r="DJ300" s="386"/>
      <c r="DK300" s="386"/>
      <c r="DL300" s="386"/>
      <c r="DM300" s="386"/>
      <c r="DN300" s="335" t="s">
        <v>324</v>
      </c>
      <c r="DO300" s="335" t="s">
        <v>324</v>
      </c>
      <c r="DP300" s="335" t="s">
        <v>324</v>
      </c>
      <c r="DR300" s="335" t="s">
        <v>324</v>
      </c>
      <c r="DS300" s="335" t="s">
        <v>324</v>
      </c>
      <c r="DT300" s="335" t="s">
        <v>324</v>
      </c>
      <c r="DU300" s="335" t="s">
        <v>324</v>
      </c>
      <c r="DV300" s="335" t="s">
        <v>324</v>
      </c>
      <c r="DW300" s="335" t="s">
        <v>324</v>
      </c>
      <c r="DX300" s="335" t="s">
        <v>324</v>
      </c>
      <c r="DZ300" s="335" t="s">
        <v>324</v>
      </c>
      <c r="EA300" s="335" t="s">
        <v>324</v>
      </c>
      <c r="EB300" s="335" t="s">
        <v>324</v>
      </c>
      <c r="EC300" s="335" t="s">
        <v>324</v>
      </c>
      <c r="ED300" s="335" t="s">
        <v>324</v>
      </c>
      <c r="EE300" s="335" t="s">
        <v>324</v>
      </c>
      <c r="EF300" s="335" t="s">
        <v>324</v>
      </c>
      <c r="EH300" s="335" t="s">
        <v>324</v>
      </c>
      <c r="EI300" s="335" t="s">
        <v>324</v>
      </c>
      <c r="EJ300" s="335" t="s">
        <v>324</v>
      </c>
      <c r="EK300" s="335" t="s">
        <v>324</v>
      </c>
      <c r="EL300" s="335" t="s">
        <v>324</v>
      </c>
      <c r="EM300" s="335" t="s">
        <v>324</v>
      </c>
      <c r="EN300" s="335" t="s">
        <v>324</v>
      </c>
      <c r="EP300" s="335" t="s">
        <v>324</v>
      </c>
      <c r="EQ300" s="335" t="s">
        <v>324</v>
      </c>
      <c r="ER300" s="335" t="s">
        <v>324</v>
      </c>
      <c r="ES300" s="335" t="s">
        <v>324</v>
      </c>
      <c r="FB300" s="335" t="s">
        <v>324</v>
      </c>
      <c r="FC300" s="335" t="s">
        <v>324</v>
      </c>
      <c r="FD300" s="335" t="s">
        <v>324</v>
      </c>
      <c r="FE300" s="335" t="s">
        <v>324</v>
      </c>
      <c r="FF300" s="335" t="s">
        <v>324</v>
      </c>
      <c r="FG300" s="335" t="s">
        <v>324</v>
      </c>
      <c r="FH300" s="335" t="s">
        <v>324</v>
      </c>
      <c r="FI300" s="335" t="s">
        <v>324</v>
      </c>
      <c r="FJ300" s="335" t="s">
        <v>324</v>
      </c>
      <c r="FK300" s="335" t="s">
        <v>324</v>
      </c>
      <c r="FL300" s="335" t="s">
        <v>324</v>
      </c>
      <c r="FM300" s="335" t="s">
        <v>324</v>
      </c>
      <c r="FN300" s="335" t="s">
        <v>324</v>
      </c>
      <c r="FO300" s="335" t="s">
        <v>324</v>
      </c>
      <c r="FP300" s="335" t="s">
        <v>324</v>
      </c>
      <c r="FQ300" s="335" t="s">
        <v>324</v>
      </c>
    </row>
    <row r="301" spans="1:173" s="335" customFormat="1">
      <c r="A301" s="335" t="s">
        <v>2837</v>
      </c>
      <c r="B301" s="335" t="s">
        <v>2837</v>
      </c>
      <c r="C301" s="335" t="s">
        <v>1473</v>
      </c>
      <c r="D301" s="335" t="s">
        <v>2927</v>
      </c>
      <c r="E301" s="335" t="s">
        <v>2839</v>
      </c>
      <c r="F301" s="484" t="s">
        <v>2940</v>
      </c>
      <c r="G301" s="335" t="s">
        <v>324</v>
      </c>
      <c r="H301" s="346" t="s">
        <v>324</v>
      </c>
      <c r="I301" s="346" t="s">
        <v>324</v>
      </c>
      <c r="J301" s="346" t="s">
        <v>324</v>
      </c>
      <c r="N301" s="346" t="s">
        <v>324</v>
      </c>
      <c r="O301" s="346" t="s">
        <v>324</v>
      </c>
      <c r="P301" s="346" t="s">
        <v>324</v>
      </c>
      <c r="Q301" s="346" t="s">
        <v>324</v>
      </c>
      <c r="R301" s="346" t="s">
        <v>324</v>
      </c>
      <c r="S301" s="334" t="s">
        <v>2838</v>
      </c>
      <c r="T301" s="335" t="s">
        <v>1046</v>
      </c>
      <c r="U301" s="335">
        <v>30</v>
      </c>
      <c r="V301" s="335" t="str" cm="1">
        <f t="array" ref="V301">IFERROR(INDEX('Offer Statistics'!$DA$2:$DA$600,MATCH(1,(B301='Offer Statistics'!$CL$2:$CL$600)*($B$11='Offer Statistics'!$CM$2:$CM$600),0)),"/")</f>
        <v>/</v>
      </c>
      <c r="W301" s="335" t="str" cm="1">
        <f t="array" ref="W301">IFERROR(INDEX('Offer Statistics'!$CN$2:$CN$600,MATCH(1,(B301='Offer Statistics'!$CL$2:$CL$600)*($B$11='Offer Statistics'!$CM$2:$CM$600),0)),"/")</f>
        <v>/</v>
      </c>
      <c r="X301" s="335" t="str" cm="1">
        <f t="array" ref="X301">IFERROR(INDEX('Offer Statistics'!$CV$2:$CV$600,MATCH(1,(B301='Offer Statistics'!$CL$2:$CL$600)*($B$11='Offer Statistics'!$CM$2:$CM$600),0)),"/")</f>
        <v>/</v>
      </c>
      <c r="Y301" s="334" t="str">
        <f t="shared" si="376"/>
        <v>新科目</v>
      </c>
      <c r="Z301" s="335" t="s">
        <v>1046</v>
      </c>
      <c r="AA301" s="335">
        <f>入學要求!AF310</f>
        <v>0</v>
      </c>
      <c r="AC301" s="431" t="s">
        <v>785</v>
      </c>
      <c r="AD301" s="431"/>
      <c r="AE301" s="431"/>
      <c r="AF301" s="431" t="s">
        <v>891</v>
      </c>
      <c r="AG301" s="431"/>
      <c r="AH301" s="431" t="s">
        <v>3147</v>
      </c>
      <c r="AI301" s="424" t="s">
        <v>324</v>
      </c>
      <c r="AJ301" s="346" t="s">
        <v>324</v>
      </c>
      <c r="AT301" s="335" t="s">
        <v>716</v>
      </c>
      <c r="AV301" s="335" t="s">
        <v>713</v>
      </c>
      <c r="BQ301" s="386"/>
      <c r="BR301" s="386"/>
      <c r="BS301" s="386"/>
      <c r="BT301" s="386"/>
      <c r="BU301" s="386"/>
      <c r="BV301" s="386"/>
      <c r="BW301" s="386"/>
      <c r="BX301" s="386"/>
      <c r="DF301" s="386"/>
      <c r="DG301" s="386"/>
      <c r="DH301" s="386"/>
      <c r="DI301" s="386"/>
      <c r="DJ301" s="386"/>
      <c r="DK301" s="386"/>
      <c r="DL301" s="386"/>
      <c r="DM301" s="386"/>
    </row>
    <row r="302" spans="1:173" s="335" customFormat="1">
      <c r="A302" s="335" t="s">
        <v>2847</v>
      </c>
      <c r="B302" s="335" t="s">
        <v>2847</v>
      </c>
      <c r="C302" s="335" t="s">
        <v>1473</v>
      </c>
      <c r="D302" s="335" t="s">
        <v>2927</v>
      </c>
      <c r="E302" s="335" t="s">
        <v>2849</v>
      </c>
      <c r="F302" s="484" t="s">
        <v>2940</v>
      </c>
      <c r="G302" s="335" t="s">
        <v>324</v>
      </c>
      <c r="H302" s="346" t="s">
        <v>324</v>
      </c>
      <c r="I302" s="346" t="s">
        <v>324</v>
      </c>
      <c r="J302" s="346" t="s">
        <v>324</v>
      </c>
      <c r="N302" s="346" t="s">
        <v>324</v>
      </c>
      <c r="O302" s="346" t="s">
        <v>324</v>
      </c>
      <c r="P302" s="346" t="s">
        <v>324</v>
      </c>
      <c r="Q302" s="346" t="s">
        <v>324</v>
      </c>
      <c r="R302" s="346" t="s">
        <v>324</v>
      </c>
      <c r="S302" s="334" t="s">
        <v>2848</v>
      </c>
      <c r="T302" s="335" t="s">
        <v>1046</v>
      </c>
      <c r="U302" s="335">
        <v>91</v>
      </c>
      <c r="V302" s="335" t="str" cm="1">
        <f t="array" ref="V302">IFERROR(INDEX('Offer Statistics'!$DA$2:$DA$600,MATCH(1,(B302='Offer Statistics'!$CL$2:$CL$600)*($B$11='Offer Statistics'!$CM$2:$CM$600),0)),"/")</f>
        <v>/</v>
      </c>
      <c r="W302" s="335" t="str" cm="1">
        <f t="array" ref="W302">IFERROR(INDEX('Offer Statistics'!$CN$2:$CN$600,MATCH(1,(B302='Offer Statistics'!$CL$2:$CL$600)*($B$11='Offer Statistics'!$CM$2:$CM$600),0)),"/")</f>
        <v>/</v>
      </c>
      <c r="X302" s="335" t="str" cm="1">
        <f t="array" ref="X302">IFERROR(INDEX('Offer Statistics'!$CV$2:$CV$600,MATCH(1,(B302='Offer Statistics'!$CL$2:$CL$600)*($B$11='Offer Statistics'!$CM$2:$CM$600),0)),"/")</f>
        <v>/</v>
      </c>
      <c r="Y302" s="334" t="str">
        <f t="shared" si="376"/>
        <v>新科目</v>
      </c>
      <c r="Z302" s="335" t="s">
        <v>1046</v>
      </c>
      <c r="AA302" s="335" t="str">
        <f>入學要求!AF311</f>
        <v>以下一科選修取得Lv.3︰生物、化學、物理、經濟、ICT</v>
      </c>
      <c r="AC302" s="431" t="s">
        <v>785</v>
      </c>
      <c r="AD302" s="346"/>
      <c r="AE302" s="346"/>
      <c r="AF302" s="427" t="s">
        <v>886</v>
      </c>
      <c r="AG302" s="427"/>
      <c r="AH302" s="427" t="s">
        <v>780</v>
      </c>
      <c r="AI302" s="427" t="s">
        <v>3135</v>
      </c>
      <c r="AJ302" s="427" t="s">
        <v>3136</v>
      </c>
      <c r="AT302" s="335" t="s">
        <v>716</v>
      </c>
      <c r="AV302" s="335" t="s">
        <v>713</v>
      </c>
      <c r="BQ302" s="386"/>
      <c r="BR302" s="386"/>
      <c r="BS302" s="386"/>
      <c r="BT302" s="386"/>
      <c r="BU302" s="386"/>
      <c r="BV302" s="386"/>
      <c r="BW302" s="386"/>
      <c r="BX302" s="386"/>
      <c r="DF302" s="386"/>
      <c r="DG302" s="386"/>
      <c r="DH302" s="386"/>
      <c r="DI302" s="386"/>
      <c r="DJ302" s="386"/>
      <c r="DK302" s="386"/>
      <c r="DL302" s="386"/>
      <c r="DM302" s="386"/>
    </row>
    <row r="303" spans="1:173" s="335" customFormat="1">
      <c r="A303" s="335" t="s">
        <v>565</v>
      </c>
      <c r="B303" s="335" t="s">
        <v>565</v>
      </c>
      <c r="C303" s="335" t="s">
        <v>1473</v>
      </c>
      <c r="D303" s="335" t="s">
        <v>1559</v>
      </c>
      <c r="E303" s="335" t="s">
        <v>566</v>
      </c>
      <c r="F303" s="431" t="s">
        <v>785</v>
      </c>
      <c r="G303" s="335" t="s">
        <v>324</v>
      </c>
      <c r="H303" s="346">
        <v>57</v>
      </c>
      <c r="I303" s="346">
        <v>55</v>
      </c>
      <c r="J303" s="346">
        <v>52</v>
      </c>
      <c r="N303" s="346" t="s">
        <v>1544</v>
      </c>
      <c r="O303" s="346" t="s">
        <v>324</v>
      </c>
      <c r="P303" s="346" t="s">
        <v>1562</v>
      </c>
      <c r="Q303" s="346" t="s">
        <v>2472</v>
      </c>
      <c r="R303" s="346" t="s">
        <v>324</v>
      </c>
      <c r="S303" s="334" t="s">
        <v>1563</v>
      </c>
      <c r="T303" s="335" t="s">
        <v>1046</v>
      </c>
      <c r="U303" s="335">
        <v>37</v>
      </c>
      <c r="V303" s="335" cm="1">
        <f t="array" ref="V303">IFERROR(INDEX('Offer Statistics'!$DA$2:$DA$600,MATCH(1,(B303='Offer Statistics'!$CL$2:$CL$600)*($B$11='Offer Statistics'!$CM$2:$CM$600),0)),"/")</f>
        <v>30</v>
      </c>
      <c r="W303" s="335" cm="1">
        <f t="array" ref="W303">IFERROR(INDEX('Offer Statistics'!$CN$2:$CN$600,MATCH(1,(B303='Offer Statistics'!$CL$2:$CL$600)*($B$11='Offer Statistics'!$CM$2:$CM$600),0)),"/")</f>
        <v>92</v>
      </c>
      <c r="X303" s="335" cm="1">
        <f t="array" ref="X303">IFERROR(INDEX('Offer Statistics'!$CV$2:$CV$600,MATCH(1,(B303='Offer Statistics'!$CL$2:$CL$600)*($B$11='Offer Statistics'!$CM$2:$CM$600),0)),"/")</f>
        <v>30</v>
      </c>
      <c r="Y303" s="334">
        <f t="shared" si="376"/>
        <v>3.0666666666666669</v>
      </c>
      <c r="Z303" s="335" t="s">
        <v>1046</v>
      </c>
      <c r="AA303" s="335" t="str">
        <f>入學要求!AF312</f>
        <v>M1/2 需考獲Lv. 4 或以上</v>
      </c>
      <c r="AB303" s="335" t="str">
        <f>入學要求!AG312</f>
        <v>/</v>
      </c>
      <c r="AC303" s="431" t="s">
        <v>11</v>
      </c>
      <c r="AD303" s="431" t="s">
        <v>3141</v>
      </c>
      <c r="AE303" s="431"/>
      <c r="AF303" s="427" t="s">
        <v>1561</v>
      </c>
      <c r="AG303" s="427" t="s">
        <v>324</v>
      </c>
      <c r="AH303" s="427" t="s">
        <v>1562</v>
      </c>
      <c r="AI303" s="427" t="s">
        <v>2392</v>
      </c>
      <c r="AJ303" s="346" t="s">
        <v>324</v>
      </c>
      <c r="AK303" s="335" t="s">
        <v>1537</v>
      </c>
      <c r="AL303" s="335" t="s">
        <v>324</v>
      </c>
      <c r="AM303" s="335" t="s">
        <v>324</v>
      </c>
      <c r="AP303" s="335" t="s">
        <v>1478</v>
      </c>
      <c r="AQ303" s="335" t="s">
        <v>2525</v>
      </c>
      <c r="AR303" s="335" t="s">
        <v>324</v>
      </c>
      <c r="AT303" s="335" t="s">
        <v>716</v>
      </c>
      <c r="AV303" s="335" t="s">
        <v>713</v>
      </c>
      <c r="AZ303" s="335" t="s">
        <v>324</v>
      </c>
      <c r="BA303" s="335" t="s">
        <v>324</v>
      </c>
      <c r="BB303" s="335" t="s">
        <v>324</v>
      </c>
      <c r="BD303" s="335" t="s">
        <v>324</v>
      </c>
      <c r="BE303" s="335" t="s">
        <v>324</v>
      </c>
      <c r="BF303" s="335" t="s">
        <v>324</v>
      </c>
      <c r="BG303" s="335" t="s">
        <v>324</v>
      </c>
      <c r="BI303" s="335" t="s">
        <v>324</v>
      </c>
      <c r="BJ303" s="335" t="s">
        <v>324</v>
      </c>
      <c r="BK303" s="335" t="s">
        <v>324</v>
      </c>
      <c r="BM303" s="335" t="s">
        <v>324</v>
      </c>
      <c r="BN303" s="335" t="s">
        <v>324</v>
      </c>
      <c r="BO303" s="335" t="s">
        <v>324</v>
      </c>
      <c r="BP303" s="335" t="s">
        <v>324</v>
      </c>
      <c r="BQ303" s="386"/>
      <c r="BR303" s="386"/>
      <c r="BS303" s="386"/>
      <c r="BT303" s="386"/>
      <c r="BU303" s="386"/>
      <c r="BV303" s="386"/>
      <c r="BW303" s="386"/>
      <c r="BX303" s="386"/>
      <c r="BY303" s="335" t="s">
        <v>324</v>
      </c>
      <c r="BZ303" s="335" t="s">
        <v>324</v>
      </c>
      <c r="CA303" s="335" t="s">
        <v>324</v>
      </c>
      <c r="CC303" s="335" t="s">
        <v>324</v>
      </c>
      <c r="CD303" s="335" t="s">
        <v>324</v>
      </c>
      <c r="CE303" s="335" t="s">
        <v>324</v>
      </c>
      <c r="CF303" s="335" t="s">
        <v>324</v>
      </c>
      <c r="CG303" s="335" t="s">
        <v>324</v>
      </c>
      <c r="CH303" s="335" t="s">
        <v>324</v>
      </c>
      <c r="CI303" s="335" t="s">
        <v>324</v>
      </c>
      <c r="CK303" s="335" t="s">
        <v>324</v>
      </c>
      <c r="CL303" s="335" t="s">
        <v>324</v>
      </c>
      <c r="CM303" s="335" t="s">
        <v>324</v>
      </c>
      <c r="CN303" s="335" t="s">
        <v>324</v>
      </c>
      <c r="CO303" s="335" t="s">
        <v>324</v>
      </c>
      <c r="CP303" s="335" t="s">
        <v>324</v>
      </c>
      <c r="CQ303" s="335" t="s">
        <v>324</v>
      </c>
      <c r="CS303" s="335" t="s">
        <v>324</v>
      </c>
      <c r="CT303" s="335" t="s">
        <v>324</v>
      </c>
      <c r="CU303" s="335" t="s">
        <v>324</v>
      </c>
      <c r="CV303" s="335" t="s">
        <v>324</v>
      </c>
      <c r="CX303" s="335" t="s">
        <v>324</v>
      </c>
      <c r="CY303" s="335" t="s">
        <v>324</v>
      </c>
      <c r="CZ303" s="335" t="s">
        <v>324</v>
      </c>
      <c r="DB303" s="335" t="s">
        <v>324</v>
      </c>
      <c r="DC303" s="335" t="s">
        <v>324</v>
      </c>
      <c r="DD303" s="335" t="s">
        <v>324</v>
      </c>
      <c r="DE303" s="335" t="s">
        <v>324</v>
      </c>
      <c r="DF303" s="386"/>
      <c r="DG303" s="386"/>
      <c r="DH303" s="386"/>
      <c r="DI303" s="386"/>
      <c r="DJ303" s="386"/>
      <c r="DK303" s="386"/>
      <c r="DL303" s="386"/>
      <c r="DM303" s="386"/>
      <c r="DN303" s="335" t="s">
        <v>324</v>
      </c>
      <c r="DO303" s="335" t="s">
        <v>324</v>
      </c>
      <c r="DP303" s="335" t="s">
        <v>324</v>
      </c>
      <c r="DR303" s="335" t="s">
        <v>324</v>
      </c>
      <c r="DS303" s="335" t="s">
        <v>324</v>
      </c>
      <c r="DT303" s="335" t="s">
        <v>324</v>
      </c>
      <c r="DU303" s="335" t="s">
        <v>324</v>
      </c>
      <c r="DV303" s="335" t="s">
        <v>324</v>
      </c>
      <c r="DW303" s="335" t="s">
        <v>324</v>
      </c>
      <c r="DX303" s="335" t="s">
        <v>324</v>
      </c>
      <c r="DZ303" s="335" t="s">
        <v>324</v>
      </c>
      <c r="EA303" s="335" t="s">
        <v>324</v>
      </c>
      <c r="EB303" s="335" t="s">
        <v>324</v>
      </c>
      <c r="EC303" s="335" t="s">
        <v>324</v>
      </c>
      <c r="ED303" s="335" t="s">
        <v>324</v>
      </c>
      <c r="EE303" s="335" t="s">
        <v>324</v>
      </c>
      <c r="EF303" s="335" t="s">
        <v>324</v>
      </c>
      <c r="EH303" s="335" t="s">
        <v>324</v>
      </c>
      <c r="EI303" s="335" t="s">
        <v>324</v>
      </c>
      <c r="EJ303" s="335" t="s">
        <v>324</v>
      </c>
      <c r="EK303" s="335" t="s">
        <v>324</v>
      </c>
      <c r="EL303" s="335" t="s">
        <v>324</v>
      </c>
      <c r="EM303" s="335" t="s">
        <v>324</v>
      </c>
      <c r="EN303" s="335" t="s">
        <v>324</v>
      </c>
      <c r="EP303" s="335" t="s">
        <v>324</v>
      </c>
      <c r="EQ303" s="335" t="s">
        <v>324</v>
      </c>
      <c r="ER303" s="335" t="s">
        <v>324</v>
      </c>
      <c r="ES303" s="335" t="s">
        <v>324</v>
      </c>
      <c r="FB303" s="335" t="s">
        <v>324</v>
      </c>
      <c r="FC303" s="335" t="s">
        <v>324</v>
      </c>
      <c r="FD303" s="335" t="s">
        <v>324</v>
      </c>
      <c r="FE303" s="335" t="s">
        <v>324</v>
      </c>
      <c r="FF303" s="335" t="s">
        <v>324</v>
      </c>
      <c r="FG303" s="335" t="s">
        <v>324</v>
      </c>
      <c r="FH303" s="335" t="s">
        <v>324</v>
      </c>
      <c r="FI303" s="335" t="s">
        <v>324</v>
      </c>
      <c r="FJ303" s="335" t="s">
        <v>324</v>
      </c>
      <c r="FK303" s="335" t="s">
        <v>324</v>
      </c>
      <c r="FL303" s="335" t="s">
        <v>324</v>
      </c>
      <c r="FM303" s="335" t="s">
        <v>324</v>
      </c>
      <c r="FN303" s="335" t="s">
        <v>324</v>
      </c>
      <c r="FO303" s="335" t="s">
        <v>324</v>
      </c>
      <c r="FP303" s="335" t="s">
        <v>324</v>
      </c>
      <c r="FQ303" s="335" t="s">
        <v>324</v>
      </c>
    </row>
    <row r="304" spans="1:173" s="334" customFormat="1">
      <c r="A304" s="335" t="s">
        <v>569</v>
      </c>
      <c r="B304" s="334" t="s">
        <v>569</v>
      </c>
      <c r="C304" s="335" t="s">
        <v>1473</v>
      </c>
      <c r="D304" s="334" t="s">
        <v>1559</v>
      </c>
      <c r="E304" s="334" t="s">
        <v>570</v>
      </c>
      <c r="F304" s="346" t="s">
        <v>785</v>
      </c>
      <c r="G304" s="335" t="s">
        <v>324</v>
      </c>
      <c r="H304" s="346" t="s">
        <v>324</v>
      </c>
      <c r="I304" s="346" t="s">
        <v>324</v>
      </c>
      <c r="J304" s="346" t="s">
        <v>324</v>
      </c>
      <c r="N304" s="346" t="s">
        <v>1475</v>
      </c>
      <c r="O304" s="346" t="s">
        <v>324</v>
      </c>
      <c r="P304" s="346" t="s">
        <v>324</v>
      </c>
      <c r="Q304" s="346" t="s">
        <v>324</v>
      </c>
      <c r="R304" s="346" t="s">
        <v>324</v>
      </c>
      <c r="S304" s="334" t="s">
        <v>1962</v>
      </c>
      <c r="T304" s="335" t="s">
        <v>1046</v>
      </c>
      <c r="U304" s="334">
        <v>20</v>
      </c>
      <c r="V304" s="335" cm="1">
        <f t="array" ref="V304">IFERROR(INDEX('Offer Statistics'!$DA$2:$DA$600,MATCH(1,(B304='Offer Statistics'!$CL$2:$CL$600)*($B$11='Offer Statistics'!$CM$2:$CM$600),0)),"/")</f>
        <v>1</v>
      </c>
      <c r="W304" s="335" cm="1">
        <f t="array" ref="W304">IFERROR(INDEX('Offer Statistics'!$CN$2:$CN$600,MATCH(1,(B304='Offer Statistics'!$CL$2:$CL$600)*($B$11='Offer Statistics'!$CM$2:$CM$600),0)),"/")</f>
        <v>35</v>
      </c>
      <c r="X304" s="335" cm="1">
        <f t="array" ref="X304">IFERROR(INDEX('Offer Statistics'!$CV$2:$CV$600,MATCH(1,(B304='Offer Statistics'!$CL$2:$CL$600)*($B$11='Offer Statistics'!$CM$2:$CM$600),0)),"/")</f>
        <v>1</v>
      </c>
      <c r="Y304" s="334">
        <f t="shared" si="376"/>
        <v>35</v>
      </c>
      <c r="Z304" s="335" t="s">
        <v>1046</v>
      </c>
      <c r="AA304" s="335" t="str">
        <f>入學要求!AF313</f>
        <v>申請人須遞交 一份 創意作品 作品集。</v>
      </c>
      <c r="AB304" s="335" t="str">
        <f>入學要求!AG313</f>
        <v>詳情可細閱課程網站。</v>
      </c>
      <c r="AC304" s="426" t="s">
        <v>785</v>
      </c>
      <c r="AD304" s="337"/>
      <c r="AE304" s="337"/>
      <c r="AF304" s="346" t="s">
        <v>1475</v>
      </c>
      <c r="AG304" s="346" t="s">
        <v>324</v>
      </c>
      <c r="AH304" s="346" t="s">
        <v>324</v>
      </c>
      <c r="AI304" s="346" t="s">
        <v>324</v>
      </c>
      <c r="AJ304" s="346" t="s">
        <v>324</v>
      </c>
      <c r="AK304" s="334" t="s">
        <v>735</v>
      </c>
      <c r="AL304" s="334" t="s">
        <v>1484</v>
      </c>
      <c r="AM304" s="334" t="s">
        <v>324</v>
      </c>
      <c r="AP304" s="334" t="s">
        <v>1478</v>
      </c>
      <c r="AQ304" s="334" t="s">
        <v>1479</v>
      </c>
      <c r="AR304" s="334" t="s">
        <v>324</v>
      </c>
      <c r="AT304" s="335" t="s">
        <v>716</v>
      </c>
      <c r="AV304" s="334" t="s">
        <v>713</v>
      </c>
      <c r="AZ304" s="334" t="s">
        <v>324</v>
      </c>
      <c r="BA304" s="334" t="s">
        <v>324</v>
      </c>
      <c r="BB304" s="334" t="s">
        <v>324</v>
      </c>
      <c r="BD304" s="334" t="s">
        <v>324</v>
      </c>
      <c r="BE304" s="334" t="s">
        <v>324</v>
      </c>
      <c r="BF304" s="334" t="s">
        <v>324</v>
      </c>
      <c r="BG304" s="334" t="s">
        <v>324</v>
      </c>
      <c r="BI304" s="334" t="s">
        <v>324</v>
      </c>
      <c r="BJ304" s="334" t="s">
        <v>324</v>
      </c>
      <c r="BK304" s="334" t="s">
        <v>324</v>
      </c>
      <c r="BM304" s="334" t="s">
        <v>324</v>
      </c>
      <c r="BN304" s="334" t="s">
        <v>324</v>
      </c>
      <c r="BO304" s="334" t="s">
        <v>324</v>
      </c>
      <c r="BP304" s="334" t="s">
        <v>324</v>
      </c>
      <c r="BY304" s="334" t="s">
        <v>324</v>
      </c>
      <c r="BZ304" s="334" t="s">
        <v>324</v>
      </c>
      <c r="CA304" s="334" t="s">
        <v>324</v>
      </c>
      <c r="CC304" s="334" t="s">
        <v>324</v>
      </c>
      <c r="CD304" s="334" t="s">
        <v>324</v>
      </c>
      <c r="CE304" s="334" t="s">
        <v>324</v>
      </c>
      <c r="CF304" s="334" t="s">
        <v>324</v>
      </c>
      <c r="CG304" s="334" t="s">
        <v>324</v>
      </c>
      <c r="CH304" s="334" t="s">
        <v>324</v>
      </c>
      <c r="CI304" s="334" t="s">
        <v>324</v>
      </c>
      <c r="CK304" s="334" t="s">
        <v>324</v>
      </c>
      <c r="CL304" s="334" t="s">
        <v>324</v>
      </c>
      <c r="CM304" s="334" t="s">
        <v>324</v>
      </c>
      <c r="CN304" s="334" t="s">
        <v>324</v>
      </c>
      <c r="CO304" s="334" t="s">
        <v>324</v>
      </c>
      <c r="CP304" s="334" t="s">
        <v>324</v>
      </c>
      <c r="CQ304" s="334" t="s">
        <v>324</v>
      </c>
      <c r="CS304" s="334" t="s">
        <v>324</v>
      </c>
      <c r="CT304" s="334" t="s">
        <v>324</v>
      </c>
      <c r="CU304" s="334" t="s">
        <v>324</v>
      </c>
      <c r="CV304" s="334" t="s">
        <v>324</v>
      </c>
      <c r="CX304" s="334" t="s">
        <v>324</v>
      </c>
      <c r="CY304" s="334" t="s">
        <v>324</v>
      </c>
      <c r="CZ304" s="334" t="s">
        <v>324</v>
      </c>
      <c r="DB304" s="334" t="s">
        <v>324</v>
      </c>
      <c r="DC304" s="334" t="s">
        <v>324</v>
      </c>
      <c r="DD304" s="334" t="s">
        <v>324</v>
      </c>
      <c r="DE304" s="334" t="s">
        <v>324</v>
      </c>
      <c r="DN304" s="334" t="s">
        <v>324</v>
      </c>
      <c r="DO304" s="334" t="s">
        <v>324</v>
      </c>
      <c r="DP304" s="334" t="s">
        <v>324</v>
      </c>
      <c r="DR304" s="334" t="s">
        <v>324</v>
      </c>
      <c r="DS304" s="334" t="s">
        <v>324</v>
      </c>
      <c r="DT304" s="334" t="s">
        <v>324</v>
      </c>
      <c r="DU304" s="334" t="s">
        <v>324</v>
      </c>
      <c r="DV304" s="334" t="s">
        <v>324</v>
      </c>
      <c r="DW304" s="334" t="s">
        <v>324</v>
      </c>
      <c r="DX304" s="334" t="s">
        <v>324</v>
      </c>
      <c r="DZ304" s="334" t="s">
        <v>324</v>
      </c>
      <c r="EA304" s="334" t="s">
        <v>324</v>
      </c>
      <c r="EB304" s="334" t="s">
        <v>324</v>
      </c>
      <c r="EC304" s="334" t="s">
        <v>324</v>
      </c>
      <c r="ED304" s="334" t="s">
        <v>324</v>
      </c>
      <c r="EE304" s="334" t="s">
        <v>324</v>
      </c>
      <c r="EF304" s="334" t="s">
        <v>324</v>
      </c>
      <c r="EH304" s="334" t="s">
        <v>324</v>
      </c>
      <c r="EI304" s="334" t="s">
        <v>324</v>
      </c>
      <c r="EJ304" s="334" t="s">
        <v>324</v>
      </c>
      <c r="EK304" s="334" t="s">
        <v>324</v>
      </c>
      <c r="EL304" s="334" t="s">
        <v>324</v>
      </c>
      <c r="EM304" s="334" t="s">
        <v>324</v>
      </c>
      <c r="EN304" s="334" t="s">
        <v>324</v>
      </c>
      <c r="EP304" s="334" t="s">
        <v>324</v>
      </c>
      <c r="EQ304" s="334" t="s">
        <v>324</v>
      </c>
      <c r="ER304" s="334" t="s">
        <v>324</v>
      </c>
      <c r="ES304" s="334" t="s">
        <v>324</v>
      </c>
      <c r="FB304" s="334" t="s">
        <v>324</v>
      </c>
      <c r="FC304" s="334" t="s">
        <v>324</v>
      </c>
      <c r="FD304" s="334" t="s">
        <v>324</v>
      </c>
      <c r="FE304" s="334" t="s">
        <v>324</v>
      </c>
      <c r="FF304" s="334" t="s">
        <v>324</v>
      </c>
      <c r="FG304" s="334" t="s">
        <v>324</v>
      </c>
      <c r="FH304" s="334" t="s">
        <v>324</v>
      </c>
      <c r="FI304" s="334" t="s">
        <v>324</v>
      </c>
      <c r="FJ304" s="334" t="s">
        <v>324</v>
      </c>
      <c r="FK304" s="334" t="s">
        <v>324</v>
      </c>
      <c r="FL304" s="334" t="s">
        <v>324</v>
      </c>
      <c r="FM304" s="334" t="s">
        <v>324</v>
      </c>
      <c r="FN304" s="334" t="s">
        <v>324</v>
      </c>
      <c r="FO304" s="334" t="s">
        <v>324</v>
      </c>
      <c r="FP304" s="334" t="s">
        <v>324</v>
      </c>
      <c r="FQ304" s="334" t="s">
        <v>324</v>
      </c>
    </row>
    <row r="305" spans="1:173" s="334" customFormat="1">
      <c r="A305" s="335" t="s">
        <v>571</v>
      </c>
      <c r="B305" s="334" t="s">
        <v>571</v>
      </c>
      <c r="C305" s="335" t="s">
        <v>1473</v>
      </c>
      <c r="D305" s="334" t="s">
        <v>1559</v>
      </c>
      <c r="E305" s="334" t="s">
        <v>572</v>
      </c>
      <c r="F305" s="346" t="s">
        <v>785</v>
      </c>
      <c r="G305" s="335" t="s">
        <v>324</v>
      </c>
      <c r="H305" s="346">
        <v>32</v>
      </c>
      <c r="I305" s="346">
        <v>31</v>
      </c>
      <c r="J305" s="346">
        <v>29</v>
      </c>
      <c r="N305" s="346" t="s">
        <v>886</v>
      </c>
      <c r="O305" s="346" t="s">
        <v>1521</v>
      </c>
      <c r="P305" s="346" t="s">
        <v>324</v>
      </c>
      <c r="Q305" s="346" t="s">
        <v>324</v>
      </c>
      <c r="R305" s="346" t="s">
        <v>324</v>
      </c>
      <c r="S305" s="334" t="s">
        <v>1963</v>
      </c>
      <c r="T305" s="335" t="s">
        <v>1046</v>
      </c>
      <c r="U305" s="334">
        <v>24</v>
      </c>
      <c r="V305" s="335" cm="1">
        <f t="array" ref="V305">IFERROR(INDEX('Offer Statistics'!$DA$2:$DA$600,MATCH(1,(B305='Offer Statistics'!$CL$2:$CL$600)*($B$11='Offer Statistics'!$CM$2:$CM$600),0)),"/")</f>
        <v>26</v>
      </c>
      <c r="W305" s="335" cm="1">
        <f t="array" ref="W305">IFERROR(INDEX('Offer Statistics'!$CN$2:$CN$600,MATCH(1,(B305='Offer Statistics'!$CL$2:$CL$600)*($B$11='Offer Statistics'!$CM$2:$CM$600),0)),"/")</f>
        <v>85</v>
      </c>
      <c r="X305" s="335" cm="1">
        <f t="array" ref="X305">IFERROR(INDEX('Offer Statistics'!$CV$2:$CV$600,MATCH(1,(B305='Offer Statistics'!$CL$2:$CL$600)*($B$11='Offer Statistics'!$CM$2:$CM$600),0)),"/")</f>
        <v>26</v>
      </c>
      <c r="Y305" s="334">
        <f t="shared" si="376"/>
        <v>3.2692307692307692</v>
      </c>
      <c r="Z305" s="335" t="s">
        <v>1046</v>
      </c>
      <c r="AA305" s="335" t="str">
        <f>入學要求!AF314</f>
        <v>/</v>
      </c>
      <c r="AB305" s="334" t="str">
        <f>入學要求!AG314</f>
        <v>/</v>
      </c>
      <c r="AC305" s="426" t="s">
        <v>785</v>
      </c>
      <c r="AD305" s="429"/>
      <c r="AE305" s="346"/>
      <c r="AF305" s="346" t="s">
        <v>886</v>
      </c>
      <c r="AG305" s="346" t="s">
        <v>1521</v>
      </c>
      <c r="AH305" s="346" t="s">
        <v>324</v>
      </c>
      <c r="AI305" s="346" t="s">
        <v>324</v>
      </c>
      <c r="AJ305" s="346" t="s">
        <v>324</v>
      </c>
      <c r="AK305" s="334" t="s">
        <v>735</v>
      </c>
      <c r="AL305" s="334" t="s">
        <v>324</v>
      </c>
      <c r="AM305" s="334" t="s">
        <v>324</v>
      </c>
      <c r="AP305" s="334" t="s">
        <v>1478</v>
      </c>
      <c r="AQ305" s="335" t="s">
        <v>2525</v>
      </c>
      <c r="AR305" s="334" t="s">
        <v>324</v>
      </c>
      <c r="AT305" s="334" t="s">
        <v>716</v>
      </c>
      <c r="AV305" s="334" t="s">
        <v>713</v>
      </c>
      <c r="AZ305" s="334" t="s">
        <v>324</v>
      </c>
      <c r="BA305" s="334" t="s">
        <v>324</v>
      </c>
      <c r="BB305" s="334" t="s">
        <v>324</v>
      </c>
      <c r="BD305" s="334" t="s">
        <v>324</v>
      </c>
      <c r="BE305" s="334" t="s">
        <v>324</v>
      </c>
      <c r="BF305" s="334" t="s">
        <v>324</v>
      </c>
      <c r="BG305" s="334" t="s">
        <v>324</v>
      </c>
      <c r="BI305" s="334" t="s">
        <v>324</v>
      </c>
      <c r="BJ305" s="334" t="s">
        <v>324</v>
      </c>
      <c r="BK305" s="334" t="s">
        <v>324</v>
      </c>
      <c r="BM305" s="334" t="s">
        <v>324</v>
      </c>
      <c r="BN305" s="334" t="s">
        <v>324</v>
      </c>
      <c r="BO305" s="334" t="s">
        <v>324</v>
      </c>
      <c r="BP305" s="334" t="s">
        <v>324</v>
      </c>
      <c r="BY305" s="334" t="s">
        <v>324</v>
      </c>
      <c r="BZ305" s="334" t="s">
        <v>324</v>
      </c>
      <c r="CA305" s="334" t="s">
        <v>324</v>
      </c>
      <c r="CC305" s="334" t="s">
        <v>324</v>
      </c>
      <c r="CD305" s="334" t="s">
        <v>324</v>
      </c>
      <c r="CE305" s="334" t="s">
        <v>324</v>
      </c>
      <c r="CF305" s="334" t="s">
        <v>324</v>
      </c>
      <c r="CG305" s="334" t="s">
        <v>324</v>
      </c>
      <c r="CH305" s="334" t="s">
        <v>324</v>
      </c>
      <c r="CI305" s="334" t="s">
        <v>324</v>
      </c>
      <c r="CK305" s="334" t="s">
        <v>324</v>
      </c>
      <c r="CL305" s="334" t="s">
        <v>324</v>
      </c>
      <c r="CM305" s="334" t="s">
        <v>324</v>
      </c>
      <c r="CN305" s="334" t="s">
        <v>324</v>
      </c>
      <c r="CO305" s="334" t="s">
        <v>324</v>
      </c>
      <c r="CP305" s="334" t="s">
        <v>324</v>
      </c>
      <c r="CQ305" s="334" t="s">
        <v>324</v>
      </c>
      <c r="CS305" s="334" t="s">
        <v>324</v>
      </c>
      <c r="CT305" s="334" t="s">
        <v>324</v>
      </c>
      <c r="CU305" s="334" t="s">
        <v>324</v>
      </c>
      <c r="CV305" s="334" t="s">
        <v>324</v>
      </c>
      <c r="CX305" s="334" t="s">
        <v>324</v>
      </c>
      <c r="CY305" s="334" t="s">
        <v>324</v>
      </c>
      <c r="CZ305" s="334" t="s">
        <v>324</v>
      </c>
      <c r="DB305" s="334" t="s">
        <v>324</v>
      </c>
      <c r="DC305" s="334" t="s">
        <v>324</v>
      </c>
      <c r="DD305" s="334" t="s">
        <v>324</v>
      </c>
      <c r="DE305" s="334" t="s">
        <v>324</v>
      </c>
      <c r="DN305" s="334" t="s">
        <v>324</v>
      </c>
      <c r="DO305" s="334" t="s">
        <v>324</v>
      </c>
      <c r="DP305" s="334" t="s">
        <v>324</v>
      </c>
      <c r="DR305" s="334" t="s">
        <v>324</v>
      </c>
      <c r="DS305" s="334" t="s">
        <v>324</v>
      </c>
      <c r="DT305" s="334" t="s">
        <v>324</v>
      </c>
      <c r="DU305" s="334" t="s">
        <v>324</v>
      </c>
      <c r="DV305" s="334" t="s">
        <v>324</v>
      </c>
      <c r="DW305" s="334" t="s">
        <v>324</v>
      </c>
      <c r="DX305" s="334" t="s">
        <v>324</v>
      </c>
      <c r="DZ305" s="334" t="s">
        <v>324</v>
      </c>
      <c r="EA305" s="334" t="s">
        <v>324</v>
      </c>
      <c r="EB305" s="334" t="s">
        <v>324</v>
      </c>
      <c r="EC305" s="334" t="s">
        <v>324</v>
      </c>
      <c r="ED305" s="334" t="s">
        <v>324</v>
      </c>
      <c r="EE305" s="334" t="s">
        <v>324</v>
      </c>
      <c r="EF305" s="334" t="s">
        <v>324</v>
      </c>
      <c r="EH305" s="334" t="s">
        <v>324</v>
      </c>
      <c r="EI305" s="334" t="s">
        <v>324</v>
      </c>
      <c r="EJ305" s="334" t="s">
        <v>324</v>
      </c>
      <c r="EK305" s="334" t="s">
        <v>324</v>
      </c>
      <c r="EL305" s="334" t="s">
        <v>324</v>
      </c>
      <c r="EM305" s="334" t="s">
        <v>324</v>
      </c>
      <c r="EN305" s="334" t="s">
        <v>324</v>
      </c>
      <c r="EP305" s="334" t="s">
        <v>324</v>
      </c>
      <c r="EQ305" s="334" t="s">
        <v>324</v>
      </c>
      <c r="ER305" s="334" t="s">
        <v>324</v>
      </c>
      <c r="ES305" s="334" t="s">
        <v>324</v>
      </c>
      <c r="FB305" s="334" t="s">
        <v>324</v>
      </c>
      <c r="FC305" s="334" t="s">
        <v>324</v>
      </c>
      <c r="FD305" s="334" t="s">
        <v>324</v>
      </c>
      <c r="FE305" s="334" t="s">
        <v>324</v>
      </c>
      <c r="FF305" s="334" t="s">
        <v>324</v>
      </c>
      <c r="FG305" s="334" t="s">
        <v>324</v>
      </c>
      <c r="FH305" s="334" t="s">
        <v>324</v>
      </c>
      <c r="FI305" s="334" t="s">
        <v>324</v>
      </c>
      <c r="FJ305" s="334" t="s">
        <v>324</v>
      </c>
      <c r="FK305" s="334" t="s">
        <v>324</v>
      </c>
      <c r="FL305" s="334" t="s">
        <v>324</v>
      </c>
      <c r="FM305" s="334" t="s">
        <v>324</v>
      </c>
      <c r="FN305" s="334" t="s">
        <v>324</v>
      </c>
      <c r="FO305" s="334" t="s">
        <v>324</v>
      </c>
      <c r="FP305" s="334" t="s">
        <v>324</v>
      </c>
      <c r="FQ305" s="334" t="s">
        <v>324</v>
      </c>
    </row>
    <row r="306" spans="1:173" s="335" customFormat="1">
      <c r="A306" s="335" t="s">
        <v>573</v>
      </c>
      <c r="B306" s="335" t="s">
        <v>573</v>
      </c>
      <c r="C306" s="335" t="s">
        <v>1473</v>
      </c>
      <c r="D306" s="335" t="s">
        <v>1559</v>
      </c>
      <c r="E306" s="335" t="s">
        <v>574</v>
      </c>
      <c r="F306" s="346" t="s">
        <v>785</v>
      </c>
      <c r="G306" s="335" t="s">
        <v>324</v>
      </c>
      <c r="H306" s="346">
        <v>34</v>
      </c>
      <c r="I306" s="346">
        <v>28</v>
      </c>
      <c r="J306" s="346">
        <v>26</v>
      </c>
      <c r="N306" s="346" t="s">
        <v>1475</v>
      </c>
      <c r="O306" s="346" t="s">
        <v>324</v>
      </c>
      <c r="P306" s="346" t="s">
        <v>324</v>
      </c>
      <c r="Q306" s="346" t="s">
        <v>324</v>
      </c>
      <c r="R306" s="346" t="s">
        <v>324</v>
      </c>
      <c r="S306" s="334" t="s">
        <v>1964</v>
      </c>
      <c r="T306" s="335" t="s">
        <v>1046</v>
      </c>
      <c r="U306" s="335">
        <v>18</v>
      </c>
      <c r="V306" s="335" cm="1">
        <f t="array" ref="V306">IFERROR(INDEX('Offer Statistics'!$DA$2:$DA$600,MATCH(1,(B306='Offer Statistics'!$CL$2:$CL$600)*($B$11='Offer Statistics'!$CM$2:$CM$600),0)),"/")</f>
        <v>9</v>
      </c>
      <c r="W306" s="335" cm="1">
        <f t="array" ref="W306">IFERROR(INDEX('Offer Statistics'!$CN$2:$CN$600,MATCH(1,(B306='Offer Statistics'!$CL$2:$CL$600)*($B$11='Offer Statistics'!$CM$2:$CM$600),0)),"/")</f>
        <v>24</v>
      </c>
      <c r="X306" s="335" cm="1">
        <f t="array" ref="X306">IFERROR(INDEX('Offer Statistics'!$CV$2:$CV$600,MATCH(1,(B306='Offer Statistics'!$CL$2:$CL$600)*($B$11='Offer Statistics'!$CM$2:$CM$600),0)),"/")</f>
        <v>9</v>
      </c>
      <c r="Y306" s="334">
        <f t="shared" si="376"/>
        <v>2.6666666666666665</v>
      </c>
      <c r="Z306" s="335" t="s">
        <v>1046</v>
      </c>
      <c r="AA306" s="335" t="str">
        <f>入學要求!AF315</f>
        <v>/</v>
      </c>
      <c r="AB306" s="335" t="str">
        <f>入學要求!AG315</f>
        <v>/</v>
      </c>
      <c r="AC306" s="426" t="s">
        <v>785</v>
      </c>
      <c r="AD306" s="337"/>
      <c r="AE306" s="337"/>
      <c r="AF306" s="346" t="s">
        <v>1475</v>
      </c>
      <c r="AG306" s="346" t="s">
        <v>324</v>
      </c>
      <c r="AH306" s="346" t="s">
        <v>324</v>
      </c>
      <c r="AI306" s="346" t="s">
        <v>324</v>
      </c>
      <c r="AJ306" s="346" t="s">
        <v>324</v>
      </c>
      <c r="AK306" s="335" t="s">
        <v>1537</v>
      </c>
      <c r="AL306" s="335" t="s">
        <v>1538</v>
      </c>
      <c r="AM306" s="335" t="s">
        <v>324</v>
      </c>
      <c r="AP306" s="335" t="s">
        <v>1478</v>
      </c>
      <c r="AQ306" s="335" t="s">
        <v>2526</v>
      </c>
      <c r="AR306" s="335" t="s">
        <v>324</v>
      </c>
      <c r="AT306" s="335" t="s">
        <v>716</v>
      </c>
      <c r="AV306" s="335" t="s">
        <v>713</v>
      </c>
      <c r="AZ306" s="335" t="s">
        <v>324</v>
      </c>
      <c r="BA306" s="335" t="s">
        <v>324</v>
      </c>
      <c r="BB306" s="335" t="s">
        <v>324</v>
      </c>
      <c r="BD306" s="335" t="s">
        <v>324</v>
      </c>
      <c r="BE306" s="335" t="s">
        <v>324</v>
      </c>
      <c r="BF306" s="335" t="s">
        <v>324</v>
      </c>
      <c r="BG306" s="335" t="s">
        <v>324</v>
      </c>
      <c r="BI306" s="335" t="s">
        <v>324</v>
      </c>
      <c r="BJ306" s="335" t="s">
        <v>324</v>
      </c>
      <c r="BK306" s="335" t="s">
        <v>324</v>
      </c>
      <c r="BM306" s="335" t="s">
        <v>324</v>
      </c>
      <c r="BN306" s="335" t="s">
        <v>324</v>
      </c>
      <c r="BO306" s="335" t="s">
        <v>324</v>
      </c>
      <c r="BP306" s="335" t="s">
        <v>324</v>
      </c>
      <c r="BQ306" s="386"/>
      <c r="BR306" s="386"/>
      <c r="BS306" s="386"/>
      <c r="BT306" s="386"/>
      <c r="BU306" s="386"/>
      <c r="BV306" s="386"/>
      <c r="BW306" s="386"/>
      <c r="BX306" s="386"/>
      <c r="BY306" s="335" t="s">
        <v>324</v>
      </c>
      <c r="BZ306" s="335" t="s">
        <v>324</v>
      </c>
      <c r="CA306" s="335" t="s">
        <v>324</v>
      </c>
      <c r="CC306" s="335" t="s">
        <v>324</v>
      </c>
      <c r="CD306" s="335" t="s">
        <v>324</v>
      </c>
      <c r="CE306" s="335" t="s">
        <v>324</v>
      </c>
      <c r="CF306" s="335" t="s">
        <v>324</v>
      </c>
      <c r="CG306" s="335" t="s">
        <v>324</v>
      </c>
      <c r="CH306" s="335" t="s">
        <v>324</v>
      </c>
      <c r="CI306" s="335" t="s">
        <v>324</v>
      </c>
      <c r="CK306" s="335" t="s">
        <v>324</v>
      </c>
      <c r="CL306" s="335" t="s">
        <v>324</v>
      </c>
      <c r="CM306" s="335" t="s">
        <v>324</v>
      </c>
      <c r="CN306" s="335" t="s">
        <v>324</v>
      </c>
      <c r="CO306" s="335" t="s">
        <v>324</v>
      </c>
      <c r="CP306" s="335" t="s">
        <v>324</v>
      </c>
      <c r="CQ306" s="335" t="s">
        <v>324</v>
      </c>
      <c r="CS306" s="335" t="s">
        <v>324</v>
      </c>
      <c r="CT306" s="335" t="s">
        <v>324</v>
      </c>
      <c r="CU306" s="335" t="s">
        <v>324</v>
      </c>
      <c r="CV306" s="335" t="s">
        <v>324</v>
      </c>
      <c r="CX306" s="335" t="s">
        <v>324</v>
      </c>
      <c r="CY306" s="335" t="s">
        <v>324</v>
      </c>
      <c r="CZ306" s="335" t="s">
        <v>324</v>
      </c>
      <c r="DB306" s="335" t="s">
        <v>324</v>
      </c>
      <c r="DC306" s="335" t="s">
        <v>324</v>
      </c>
      <c r="DD306" s="335" t="s">
        <v>324</v>
      </c>
      <c r="DE306" s="335" t="s">
        <v>324</v>
      </c>
      <c r="DF306" s="386"/>
      <c r="DG306" s="386"/>
      <c r="DH306" s="386"/>
      <c r="DI306" s="386"/>
      <c r="DJ306" s="386"/>
      <c r="DK306" s="386"/>
      <c r="DL306" s="386"/>
      <c r="DM306" s="386"/>
      <c r="DN306" s="335" t="s">
        <v>324</v>
      </c>
      <c r="DO306" s="335" t="s">
        <v>324</v>
      </c>
      <c r="DP306" s="335" t="s">
        <v>324</v>
      </c>
      <c r="DR306" s="335" t="s">
        <v>324</v>
      </c>
      <c r="DS306" s="335" t="s">
        <v>324</v>
      </c>
      <c r="DT306" s="335" t="s">
        <v>324</v>
      </c>
      <c r="DU306" s="335" t="s">
        <v>324</v>
      </c>
      <c r="DV306" s="335" t="s">
        <v>324</v>
      </c>
      <c r="DW306" s="335" t="s">
        <v>324</v>
      </c>
      <c r="DX306" s="335" t="s">
        <v>324</v>
      </c>
      <c r="DZ306" s="335" t="s">
        <v>324</v>
      </c>
      <c r="EA306" s="335" t="s">
        <v>324</v>
      </c>
      <c r="EB306" s="335" t="s">
        <v>324</v>
      </c>
      <c r="EC306" s="335" t="s">
        <v>324</v>
      </c>
      <c r="ED306" s="335" t="s">
        <v>324</v>
      </c>
      <c r="EE306" s="335" t="s">
        <v>324</v>
      </c>
      <c r="EF306" s="335" t="s">
        <v>324</v>
      </c>
      <c r="EH306" s="335" t="s">
        <v>324</v>
      </c>
      <c r="EI306" s="335" t="s">
        <v>324</v>
      </c>
      <c r="EJ306" s="335" t="s">
        <v>324</v>
      </c>
      <c r="EK306" s="335" t="s">
        <v>324</v>
      </c>
      <c r="EL306" s="335" t="s">
        <v>324</v>
      </c>
      <c r="EM306" s="335" t="s">
        <v>324</v>
      </c>
      <c r="EN306" s="335" t="s">
        <v>324</v>
      </c>
      <c r="EP306" s="335" t="s">
        <v>324</v>
      </c>
      <c r="EQ306" s="335" t="s">
        <v>324</v>
      </c>
      <c r="ER306" s="335" t="s">
        <v>324</v>
      </c>
      <c r="ES306" s="335" t="s">
        <v>324</v>
      </c>
      <c r="FB306" s="335" t="s">
        <v>324</v>
      </c>
      <c r="FC306" s="335" t="s">
        <v>324</v>
      </c>
      <c r="FD306" s="335" t="s">
        <v>324</v>
      </c>
      <c r="FE306" s="335" t="s">
        <v>324</v>
      </c>
      <c r="FF306" s="335" t="s">
        <v>324</v>
      </c>
      <c r="FG306" s="335" t="s">
        <v>324</v>
      </c>
      <c r="FH306" s="335" t="s">
        <v>324</v>
      </c>
      <c r="FI306" s="335" t="s">
        <v>324</v>
      </c>
      <c r="FJ306" s="335" t="s">
        <v>324</v>
      </c>
      <c r="FK306" s="335" t="s">
        <v>324</v>
      </c>
      <c r="FL306" s="335" t="s">
        <v>324</v>
      </c>
      <c r="FM306" s="335" t="s">
        <v>324</v>
      </c>
      <c r="FN306" s="335" t="s">
        <v>324</v>
      </c>
      <c r="FO306" s="335" t="s">
        <v>324</v>
      </c>
      <c r="FP306" s="335" t="s">
        <v>324</v>
      </c>
      <c r="FQ306" s="335" t="s">
        <v>324</v>
      </c>
    </row>
    <row r="307" spans="1:173" s="334" customFormat="1">
      <c r="A307" s="335" t="s">
        <v>2831</v>
      </c>
      <c r="B307" s="334" t="s">
        <v>2831</v>
      </c>
      <c r="C307" s="335" t="s">
        <v>1473</v>
      </c>
      <c r="D307" s="334" t="s">
        <v>1559</v>
      </c>
      <c r="E307" s="334" t="s">
        <v>2833</v>
      </c>
      <c r="F307" s="484" t="s">
        <v>2940</v>
      </c>
      <c r="G307" s="335" t="s">
        <v>324</v>
      </c>
      <c r="H307" s="346" t="s">
        <v>324</v>
      </c>
      <c r="I307" s="346" t="s">
        <v>324</v>
      </c>
      <c r="J307" s="346" t="s">
        <v>324</v>
      </c>
      <c r="N307" s="346" t="s">
        <v>324</v>
      </c>
      <c r="O307" s="346" t="s">
        <v>324</v>
      </c>
      <c r="P307" s="346" t="s">
        <v>324</v>
      </c>
      <c r="Q307" s="346" t="s">
        <v>324</v>
      </c>
      <c r="R307" s="346" t="s">
        <v>324</v>
      </c>
      <c r="S307" s="334" t="s">
        <v>2832</v>
      </c>
      <c r="T307" s="335" t="s">
        <v>1046</v>
      </c>
      <c r="U307" s="334">
        <v>25</v>
      </c>
      <c r="V307" s="335" t="str" cm="1">
        <f t="array" ref="V307">IFERROR(INDEX('Offer Statistics'!$DA$2:$DA$600,MATCH(1,(B307='Offer Statistics'!$CL$2:$CL$600)*($B$11='Offer Statistics'!$CM$2:$CM$600),0)),"/")</f>
        <v>/</v>
      </c>
      <c r="W307" s="335" t="str" cm="1">
        <f t="array" ref="W307">IFERROR(INDEX('Offer Statistics'!$CN$2:$CN$600,MATCH(1,(B307='Offer Statistics'!$CL$2:$CL$600)*($B$11='Offer Statistics'!$CM$2:$CM$600),0)),"/")</f>
        <v>/</v>
      </c>
      <c r="X307" s="335" t="str" cm="1">
        <f t="array" ref="X307">IFERROR(INDEX('Offer Statistics'!$CV$2:$CV$600,MATCH(1,(B307='Offer Statistics'!$CL$2:$CL$600)*($B$11='Offer Statistics'!$CM$2:$CM$600),0)),"/")</f>
        <v>/</v>
      </c>
      <c r="Y307" s="334" t="str">
        <f>IFERROR(W307/X307,"新科目")</f>
        <v>新科目</v>
      </c>
      <c r="Z307" s="335" t="s">
        <v>1046</v>
      </c>
      <c r="AA307" s="335">
        <f>入學要求!AF316</f>
        <v>0</v>
      </c>
      <c r="AC307" s="431" t="s">
        <v>724</v>
      </c>
      <c r="AD307" s="488"/>
      <c r="AE307" s="431"/>
      <c r="AF307" s="431" t="s">
        <v>725</v>
      </c>
      <c r="AG307" s="431"/>
      <c r="AH307" s="431" t="s">
        <v>810</v>
      </c>
      <c r="AI307" s="427" t="s">
        <v>3151</v>
      </c>
      <c r="AJ307" s="346" t="s">
        <v>324</v>
      </c>
      <c r="AQ307" s="335"/>
    </row>
    <row r="308" spans="1:173">
      <c r="C308" s="328" t="s">
        <v>3154</v>
      </c>
      <c r="F308" s="11"/>
      <c r="N308" s="169"/>
    </row>
    <row r="309" spans="1:173">
      <c r="C309" s="329"/>
      <c r="N309" s="169"/>
    </row>
    <row r="310" spans="1:173" s="93" customFormat="1">
      <c r="A310" s="335" t="s">
        <v>371</v>
      </c>
      <c r="B310" s="335" t="s">
        <v>371</v>
      </c>
      <c r="C310" s="93" t="s">
        <v>370</v>
      </c>
      <c r="D310" s="435" t="s">
        <v>940</v>
      </c>
      <c r="E310" s="435" t="s">
        <v>1978</v>
      </c>
      <c r="F310" s="501" t="s">
        <v>11</v>
      </c>
      <c r="G310" s="93" t="s">
        <v>324</v>
      </c>
      <c r="H310" s="93" t="s">
        <v>394</v>
      </c>
      <c r="I310" s="435">
        <v>25</v>
      </c>
      <c r="J310" s="497">
        <v>24.5</v>
      </c>
      <c r="K310" s="203"/>
      <c r="L310" s="203"/>
      <c r="M310" s="203"/>
      <c r="P310" s="435" t="s">
        <v>1567</v>
      </c>
      <c r="Q310" s="435" t="s">
        <v>324</v>
      </c>
      <c r="R310" s="435" t="s">
        <v>324</v>
      </c>
      <c r="S310" s="93" t="s">
        <v>1568</v>
      </c>
      <c r="T310" s="93" t="s">
        <v>713</v>
      </c>
      <c r="U310" s="435">
        <v>39</v>
      </c>
      <c r="V310" s="93" cm="1">
        <f t="array" ref="V310">IFERROR(INDEX('Offer Statistics'!$DS$2:$DS$350,MATCH(1,($B310='Offer Statistics'!$DD$2:$DD$350)*($B$11='Offer Statistics'!$DE$2:$DE$350),0)),"/")</f>
        <v>45</v>
      </c>
      <c r="W310" s="93" cm="1">
        <f t="array" ref="W310">IFERROR(INDEX('Offer Statistics'!$DF$2:$DF$350,MATCH(1,(B310='Offer Statistics'!$DD$2:$DD$350)*($B$11='Offer Statistics'!$DE$2:$DE$350),0)),"/")</f>
        <v>506</v>
      </c>
      <c r="X310" s="93" cm="1">
        <f t="array" ref="X310">IFERROR(INDEX('Offer Statistics'!$DN$2:$DN$350,MATCH(1,(B310='Offer Statistics'!$DD$2:$DD$350)*($B$11='Offer Statistics'!$DE$2:$DE$350),0)),"/")</f>
        <v>42</v>
      </c>
      <c r="Y310" s="93">
        <f t="shared" ref="Y310" si="377">IFERROR(W310/X310,"新科目")</f>
        <v>12.047619047619047</v>
      </c>
      <c r="Z310" s="93" t="s">
        <v>713</v>
      </c>
      <c r="AA310" s="93">
        <f>入學要求!AF319</f>
        <v>0</v>
      </c>
      <c r="AB310" s="93" t="str">
        <f>入學要求!AG319</f>
        <v>/</v>
      </c>
      <c r="AC310" s="424" t="s">
        <v>11</v>
      </c>
      <c r="AF310" s="333" t="s">
        <v>324</v>
      </c>
      <c r="AG310" s="333" t="s">
        <v>324</v>
      </c>
      <c r="AH310" s="346" t="s">
        <v>1567</v>
      </c>
      <c r="AI310" s="346" t="s">
        <v>324</v>
      </c>
      <c r="AJ310" s="346" t="s">
        <v>324</v>
      </c>
      <c r="AK310" s="346" t="s">
        <v>324</v>
      </c>
      <c r="AL310" s="93" t="s">
        <v>324</v>
      </c>
      <c r="AM310" s="93" t="s">
        <v>324</v>
      </c>
      <c r="AN310" s="93" t="s">
        <v>324</v>
      </c>
      <c r="AO310" s="93" t="s">
        <v>324</v>
      </c>
      <c r="AP310" s="93" t="s">
        <v>324</v>
      </c>
      <c r="AQ310" s="93" t="s">
        <v>324</v>
      </c>
      <c r="AR310" s="93" t="s">
        <v>324</v>
      </c>
      <c r="AS310" s="93" t="s">
        <v>324</v>
      </c>
      <c r="AT310" s="93" t="s">
        <v>716</v>
      </c>
      <c r="AU310" s="93" t="s">
        <v>324</v>
      </c>
      <c r="AV310" s="93" t="s">
        <v>713</v>
      </c>
      <c r="AZ310" s="93" t="s">
        <v>324</v>
      </c>
      <c r="BA310" s="93" t="s">
        <v>324</v>
      </c>
      <c r="BB310" s="93" t="s">
        <v>324</v>
      </c>
      <c r="BC310" s="93" t="s">
        <v>324</v>
      </c>
      <c r="BD310" s="93" t="s">
        <v>324</v>
      </c>
      <c r="BE310" s="93" t="s">
        <v>324</v>
      </c>
      <c r="BF310" s="93" t="s">
        <v>324</v>
      </c>
      <c r="BG310" s="93" t="s">
        <v>324</v>
      </c>
      <c r="BH310" s="93" t="s">
        <v>324</v>
      </c>
      <c r="BI310" s="93" t="s">
        <v>324</v>
      </c>
      <c r="BJ310" s="93" t="s">
        <v>324</v>
      </c>
      <c r="BK310" s="93" t="s">
        <v>324</v>
      </c>
      <c r="BL310" s="93" t="s">
        <v>324</v>
      </c>
      <c r="BM310" s="93" t="s">
        <v>324</v>
      </c>
      <c r="BN310" s="93" t="s">
        <v>324</v>
      </c>
      <c r="BO310" s="93" t="s">
        <v>324</v>
      </c>
      <c r="BP310" s="93" t="s">
        <v>324</v>
      </c>
      <c r="BQ310" s="93" t="s">
        <v>324</v>
      </c>
      <c r="BR310" s="93" t="s">
        <v>324</v>
      </c>
      <c r="BS310" s="93" t="s">
        <v>324</v>
      </c>
      <c r="BT310" s="93" t="s">
        <v>324</v>
      </c>
      <c r="BU310" s="93" t="s">
        <v>324</v>
      </c>
      <c r="BV310" s="93" t="s">
        <v>324</v>
      </c>
      <c r="BW310" s="93" t="s">
        <v>324</v>
      </c>
      <c r="BX310" s="93" t="s">
        <v>324</v>
      </c>
      <c r="BY310" s="93" t="s">
        <v>324</v>
      </c>
      <c r="BZ310" s="93" t="s">
        <v>324</v>
      </c>
      <c r="CA310" s="93" t="s">
        <v>324</v>
      </c>
      <c r="CB310" s="93" t="s">
        <v>324</v>
      </c>
      <c r="CC310" s="93" t="s">
        <v>324</v>
      </c>
      <c r="CD310" s="93" t="s">
        <v>324</v>
      </c>
      <c r="CE310" s="93" t="s">
        <v>324</v>
      </c>
      <c r="CF310" s="93" t="s">
        <v>324</v>
      </c>
      <c r="CG310" s="93" t="s">
        <v>324</v>
      </c>
      <c r="CH310" s="93" t="s">
        <v>324</v>
      </c>
      <c r="CI310" s="93" t="s">
        <v>324</v>
      </c>
      <c r="CJ310" s="93" t="s">
        <v>324</v>
      </c>
      <c r="CK310" s="93" t="s">
        <v>324</v>
      </c>
      <c r="CL310" s="93" t="s">
        <v>324</v>
      </c>
      <c r="CM310" s="93" t="s">
        <v>324</v>
      </c>
      <c r="CN310" s="93" t="s">
        <v>324</v>
      </c>
      <c r="CO310" s="93" t="s">
        <v>324</v>
      </c>
      <c r="CP310" s="93" t="s">
        <v>324</v>
      </c>
      <c r="CQ310" s="93" t="s">
        <v>324</v>
      </c>
      <c r="CR310" s="93" t="s">
        <v>324</v>
      </c>
      <c r="CS310" s="93" t="s">
        <v>324</v>
      </c>
      <c r="CT310" s="93" t="s">
        <v>324</v>
      </c>
      <c r="CU310" s="93" t="s">
        <v>324</v>
      </c>
      <c r="CV310" s="93" t="s">
        <v>324</v>
      </c>
      <c r="CW310" s="93" t="s">
        <v>324</v>
      </c>
      <c r="CX310" s="93" t="s">
        <v>324</v>
      </c>
      <c r="CY310" s="93" t="s">
        <v>324</v>
      </c>
      <c r="CZ310" s="93" t="s">
        <v>324</v>
      </c>
      <c r="DA310" s="93" t="s">
        <v>324</v>
      </c>
      <c r="DB310" s="93" t="s">
        <v>324</v>
      </c>
      <c r="DC310" s="93" t="s">
        <v>324</v>
      </c>
      <c r="DD310" s="93" t="s">
        <v>324</v>
      </c>
      <c r="DE310" s="93" t="s">
        <v>324</v>
      </c>
      <c r="DF310" s="93" t="s">
        <v>324</v>
      </c>
      <c r="DG310" s="93" t="s">
        <v>324</v>
      </c>
      <c r="DH310" s="93" t="s">
        <v>324</v>
      </c>
      <c r="DI310" s="93" t="s">
        <v>324</v>
      </c>
      <c r="DJ310" s="93" t="s">
        <v>324</v>
      </c>
      <c r="DK310" s="93" t="s">
        <v>324</v>
      </c>
      <c r="DL310" s="93" t="s">
        <v>324</v>
      </c>
      <c r="DM310" s="93" t="s">
        <v>324</v>
      </c>
      <c r="DN310" s="93" t="s">
        <v>324</v>
      </c>
      <c r="DO310" s="93" t="s">
        <v>324</v>
      </c>
      <c r="DP310" s="93" t="s">
        <v>324</v>
      </c>
      <c r="DQ310" s="93" t="s">
        <v>324</v>
      </c>
      <c r="DR310" s="93" t="s">
        <v>324</v>
      </c>
      <c r="DS310" s="93" t="s">
        <v>324</v>
      </c>
      <c r="DT310" s="93" t="s">
        <v>324</v>
      </c>
      <c r="DU310" s="93" t="s">
        <v>324</v>
      </c>
      <c r="DV310" s="93" t="s">
        <v>324</v>
      </c>
      <c r="DW310" s="93" t="s">
        <v>324</v>
      </c>
      <c r="DX310" s="93" t="s">
        <v>324</v>
      </c>
      <c r="DY310" s="93" t="s">
        <v>324</v>
      </c>
      <c r="DZ310" s="93" t="s">
        <v>324</v>
      </c>
      <c r="EA310" s="93" t="s">
        <v>324</v>
      </c>
      <c r="EB310" s="93" t="s">
        <v>324</v>
      </c>
      <c r="EC310" s="93" t="s">
        <v>324</v>
      </c>
    </row>
    <row r="311" spans="1:173" s="379" customFormat="1">
      <c r="A311" s="335" t="s">
        <v>1569</v>
      </c>
      <c r="B311" s="335" t="s">
        <v>1569</v>
      </c>
      <c r="C311" s="93" t="s">
        <v>370</v>
      </c>
      <c r="D311" s="435" t="s">
        <v>1570</v>
      </c>
      <c r="E311" s="435" t="s">
        <v>1571</v>
      </c>
      <c r="F311" s="501" t="s">
        <v>11</v>
      </c>
      <c r="G311" s="93" t="s">
        <v>324</v>
      </c>
      <c r="H311" s="93" t="s">
        <v>394</v>
      </c>
      <c r="I311" s="435">
        <v>25</v>
      </c>
      <c r="J311" s="497">
        <v>23.75</v>
      </c>
      <c r="K311" s="406"/>
      <c r="L311" s="406"/>
      <c r="M311" s="406"/>
      <c r="P311" s="435" t="s">
        <v>770</v>
      </c>
      <c r="Q311" s="435" t="s">
        <v>2407</v>
      </c>
      <c r="R311" s="435" t="s">
        <v>3164</v>
      </c>
      <c r="S311" s="379" t="s">
        <v>1572</v>
      </c>
      <c r="T311" s="93" t="s">
        <v>713</v>
      </c>
      <c r="U311" s="435">
        <v>20</v>
      </c>
      <c r="V311" s="93" cm="1">
        <f t="array" ref="V311">IFERROR(INDEX('Offer Statistics'!$DS$2:$DS$350,MATCH(1,($B311='Offer Statistics'!$DD$2:$DD$350)*($B$11='Offer Statistics'!$DE$2:$DE$350),0)),"/")</f>
        <v>15</v>
      </c>
      <c r="W311" s="93" cm="1">
        <f t="array" ref="W311">IFERROR(INDEX('Offer Statistics'!$DF$2:$DF$350,MATCH(1,(B311='Offer Statistics'!$DD$2:$DD$350)*($B$11='Offer Statistics'!$DE$2:$DE$350),0)),"/")</f>
        <v>313</v>
      </c>
      <c r="X311" s="93" cm="1">
        <f t="array" ref="X311">IFERROR(INDEX('Offer Statistics'!$DN$2:$DN$350,MATCH(1,(B311='Offer Statistics'!$DD$2:$DD$350)*($B$11='Offer Statistics'!$DE$2:$DE$350),0)),"/")</f>
        <v>15</v>
      </c>
      <c r="Y311" s="93">
        <f t="shared" ref="Y311:Y332" si="378">IFERROR(W311/X311,"新科目")</f>
        <v>20.866666666666667</v>
      </c>
      <c r="Z311" s="93" t="s">
        <v>713</v>
      </c>
      <c r="AA311" s="93">
        <f>入學要求!AF320</f>
        <v>0</v>
      </c>
      <c r="AB311" s="93" t="str">
        <f>入學要求!AG320</f>
        <v>/</v>
      </c>
      <c r="AC311" s="427" t="s">
        <v>11</v>
      </c>
      <c r="AD311" s="431" t="s">
        <v>3160</v>
      </c>
      <c r="AE311" s="346"/>
      <c r="AF311" s="346" t="s">
        <v>324</v>
      </c>
      <c r="AG311" s="346" t="s">
        <v>324</v>
      </c>
      <c r="AH311" s="346" t="s">
        <v>770</v>
      </c>
      <c r="AI311" s="427" t="s">
        <v>3162</v>
      </c>
      <c r="AJ311" s="427" t="s">
        <v>2481</v>
      </c>
      <c r="AK311" s="93" t="s">
        <v>324</v>
      </c>
      <c r="AL311" s="93" t="s">
        <v>324</v>
      </c>
      <c r="AM311" s="93" t="s">
        <v>324</v>
      </c>
      <c r="AN311" s="93" t="s">
        <v>324</v>
      </c>
      <c r="AO311" s="93" t="s">
        <v>324</v>
      </c>
      <c r="AP311" s="93" t="s">
        <v>324</v>
      </c>
      <c r="AQ311" s="93" t="s">
        <v>324</v>
      </c>
      <c r="AR311" s="93" t="s">
        <v>324</v>
      </c>
      <c r="AS311" s="93" t="s">
        <v>324</v>
      </c>
      <c r="AT311" s="93" t="s">
        <v>716</v>
      </c>
      <c r="AU311" s="93" t="s">
        <v>324</v>
      </c>
      <c r="AV311" s="93" t="s">
        <v>713</v>
      </c>
      <c r="AZ311" s="93" t="s">
        <v>324</v>
      </c>
      <c r="BA311" s="93" t="s">
        <v>324</v>
      </c>
      <c r="BB311" s="93" t="s">
        <v>324</v>
      </c>
      <c r="BC311" s="93" t="s">
        <v>324</v>
      </c>
      <c r="BD311" s="93" t="s">
        <v>324</v>
      </c>
      <c r="BE311" s="93" t="s">
        <v>324</v>
      </c>
      <c r="BF311" s="93" t="s">
        <v>324</v>
      </c>
      <c r="BG311" s="93" t="s">
        <v>324</v>
      </c>
      <c r="BH311" s="93" t="s">
        <v>324</v>
      </c>
      <c r="BI311" s="93" t="s">
        <v>324</v>
      </c>
      <c r="BJ311" s="93" t="s">
        <v>324</v>
      </c>
      <c r="BK311" s="93" t="s">
        <v>324</v>
      </c>
      <c r="BL311" s="93" t="s">
        <v>324</v>
      </c>
      <c r="BM311" s="93" t="s">
        <v>324</v>
      </c>
      <c r="BN311" s="93" t="s">
        <v>324</v>
      </c>
      <c r="BO311" s="93" t="s">
        <v>324</v>
      </c>
      <c r="BP311" s="93" t="s">
        <v>324</v>
      </c>
      <c r="BQ311" s="93" t="s">
        <v>324</v>
      </c>
      <c r="BR311" s="93" t="s">
        <v>324</v>
      </c>
      <c r="BS311" s="93" t="s">
        <v>324</v>
      </c>
      <c r="BT311" s="93" t="s">
        <v>324</v>
      </c>
      <c r="BU311" s="93" t="s">
        <v>324</v>
      </c>
      <c r="BV311" s="93" t="s">
        <v>324</v>
      </c>
      <c r="BW311" s="93" t="s">
        <v>324</v>
      </c>
      <c r="BX311" s="93" t="s">
        <v>324</v>
      </c>
      <c r="BY311" s="93" t="s">
        <v>324</v>
      </c>
      <c r="BZ311" s="93" t="s">
        <v>324</v>
      </c>
      <c r="CA311" s="93" t="s">
        <v>324</v>
      </c>
      <c r="CB311" s="93" t="s">
        <v>324</v>
      </c>
      <c r="CC311" s="93" t="s">
        <v>324</v>
      </c>
      <c r="CD311" s="93" t="s">
        <v>324</v>
      </c>
      <c r="CE311" s="93" t="s">
        <v>324</v>
      </c>
      <c r="CF311" s="93" t="s">
        <v>324</v>
      </c>
      <c r="CG311" s="93" t="s">
        <v>324</v>
      </c>
      <c r="CH311" s="93" t="s">
        <v>324</v>
      </c>
      <c r="CI311" s="93" t="s">
        <v>324</v>
      </c>
      <c r="CJ311" s="93" t="s">
        <v>324</v>
      </c>
      <c r="CK311" s="93" t="s">
        <v>324</v>
      </c>
      <c r="CL311" s="93" t="s">
        <v>324</v>
      </c>
      <c r="CM311" s="93" t="s">
        <v>324</v>
      </c>
      <c r="CN311" s="93" t="s">
        <v>324</v>
      </c>
      <c r="CO311" s="93" t="s">
        <v>324</v>
      </c>
      <c r="CP311" s="93" t="s">
        <v>324</v>
      </c>
      <c r="CQ311" s="93" t="s">
        <v>324</v>
      </c>
      <c r="CR311" s="93" t="s">
        <v>324</v>
      </c>
      <c r="CS311" s="93" t="s">
        <v>324</v>
      </c>
      <c r="CT311" s="93" t="s">
        <v>324</v>
      </c>
      <c r="CU311" s="93" t="s">
        <v>324</v>
      </c>
      <c r="CV311" s="93" t="s">
        <v>324</v>
      </c>
      <c r="CW311" s="93" t="s">
        <v>324</v>
      </c>
      <c r="CX311" s="93" t="s">
        <v>324</v>
      </c>
      <c r="CY311" s="93" t="s">
        <v>324</v>
      </c>
      <c r="CZ311" s="93" t="s">
        <v>324</v>
      </c>
      <c r="DA311" s="93" t="s">
        <v>324</v>
      </c>
      <c r="DB311" s="93" t="s">
        <v>324</v>
      </c>
      <c r="DC311" s="93" t="s">
        <v>324</v>
      </c>
      <c r="DD311" s="93" t="s">
        <v>324</v>
      </c>
      <c r="DE311" s="93" t="s">
        <v>324</v>
      </c>
      <c r="DF311" s="93" t="s">
        <v>324</v>
      </c>
      <c r="DG311" s="93" t="s">
        <v>324</v>
      </c>
      <c r="DH311" s="93" t="s">
        <v>324</v>
      </c>
      <c r="DI311" s="93" t="s">
        <v>324</v>
      </c>
      <c r="DJ311" s="93" t="s">
        <v>324</v>
      </c>
      <c r="DK311" s="93" t="s">
        <v>324</v>
      </c>
      <c r="DL311" s="93" t="s">
        <v>324</v>
      </c>
      <c r="DM311" s="93" t="s">
        <v>324</v>
      </c>
      <c r="DN311" s="93" t="s">
        <v>324</v>
      </c>
      <c r="DO311" s="93" t="s">
        <v>324</v>
      </c>
      <c r="DP311" s="93" t="s">
        <v>324</v>
      </c>
      <c r="DQ311" s="93" t="s">
        <v>324</v>
      </c>
      <c r="DR311" s="93" t="s">
        <v>324</v>
      </c>
      <c r="DS311" s="93" t="s">
        <v>324</v>
      </c>
      <c r="DT311" s="93" t="s">
        <v>324</v>
      </c>
      <c r="DU311" s="93" t="s">
        <v>324</v>
      </c>
      <c r="DV311" s="93" t="s">
        <v>324</v>
      </c>
      <c r="DW311" s="93" t="s">
        <v>324</v>
      </c>
      <c r="DX311" s="93" t="s">
        <v>324</v>
      </c>
      <c r="DY311" s="93" t="s">
        <v>324</v>
      </c>
      <c r="DZ311" s="93" t="s">
        <v>324</v>
      </c>
      <c r="EA311" s="93" t="s">
        <v>324</v>
      </c>
      <c r="EB311" s="93" t="s">
        <v>324</v>
      </c>
      <c r="EC311" s="93" t="s">
        <v>324</v>
      </c>
    </row>
    <row r="312" spans="1:173" s="93" customFormat="1">
      <c r="A312" s="335" t="s">
        <v>1573</v>
      </c>
      <c r="B312" s="335" t="s">
        <v>1573</v>
      </c>
      <c r="C312" s="93" t="s">
        <v>370</v>
      </c>
      <c r="D312" s="435" t="s">
        <v>940</v>
      </c>
      <c r="E312" s="435" t="s">
        <v>1574</v>
      </c>
      <c r="F312" s="501" t="s">
        <v>785</v>
      </c>
      <c r="G312" s="93" t="s">
        <v>324</v>
      </c>
      <c r="H312" s="93" t="s">
        <v>394</v>
      </c>
      <c r="I312" s="435">
        <v>23</v>
      </c>
      <c r="J312" s="497">
        <v>22.5</v>
      </c>
      <c r="K312" s="203"/>
      <c r="L312" s="203"/>
      <c r="M312" s="203"/>
      <c r="P312" s="435" t="s">
        <v>1577</v>
      </c>
      <c r="Q312" s="435" t="s">
        <v>324</v>
      </c>
      <c r="R312" s="435" t="s">
        <v>324</v>
      </c>
      <c r="S312" s="93" t="s">
        <v>1576</v>
      </c>
      <c r="T312" s="93" t="s">
        <v>713</v>
      </c>
      <c r="U312" s="435">
        <v>20</v>
      </c>
      <c r="V312" s="93" cm="1">
        <f t="array" ref="V312">IFERROR(INDEX('Offer Statistics'!$DS$2:$DS$350,MATCH(1,($B312='Offer Statistics'!$DD$2:$DD$350)*($B$11='Offer Statistics'!$DE$2:$DE$350),0)),"/")</f>
        <v>10</v>
      </c>
      <c r="W312" s="93" cm="1">
        <f t="array" ref="W312">IFERROR(INDEX('Offer Statistics'!$DF$2:$DF$350,MATCH(1,(B312='Offer Statistics'!$DD$2:$DD$350)*($B$11='Offer Statistics'!$DE$2:$DE$350),0)),"/")</f>
        <v>441</v>
      </c>
      <c r="X312" s="93" cm="1">
        <f t="array" ref="X312">IFERROR(INDEX('Offer Statistics'!$DN$2:$DN$350,MATCH(1,(B312='Offer Statistics'!$DD$2:$DD$350)*($B$11='Offer Statistics'!$DE$2:$DE$350),0)),"/")</f>
        <v>10</v>
      </c>
      <c r="Y312" s="93">
        <f t="shared" si="378"/>
        <v>44.1</v>
      </c>
      <c r="Z312" s="93" t="s">
        <v>713</v>
      </c>
      <c r="AA312" s="93">
        <f>入學要求!AF321</f>
        <v>0</v>
      </c>
      <c r="AB312" s="93" t="str">
        <f>入學要求!AG321</f>
        <v>/</v>
      </c>
      <c r="AC312" s="424" t="s">
        <v>785</v>
      </c>
      <c r="AD312" s="333"/>
      <c r="AE312" s="333"/>
      <c r="AF312" s="333" t="s">
        <v>324</v>
      </c>
      <c r="AG312" s="333" t="s">
        <v>324</v>
      </c>
      <c r="AH312" s="346" t="s">
        <v>1577</v>
      </c>
      <c r="AI312" s="346" t="s">
        <v>324</v>
      </c>
      <c r="AJ312" s="346" t="s">
        <v>324</v>
      </c>
      <c r="AK312" s="346" t="s">
        <v>324</v>
      </c>
      <c r="AL312" s="93" t="s">
        <v>324</v>
      </c>
      <c r="AM312" s="93" t="s">
        <v>324</v>
      </c>
      <c r="AN312" s="93" t="s">
        <v>324</v>
      </c>
      <c r="AO312" s="93" t="s">
        <v>324</v>
      </c>
      <c r="AP312" s="93" t="s">
        <v>324</v>
      </c>
      <c r="AQ312" s="93" t="s">
        <v>324</v>
      </c>
      <c r="AR312" s="93" t="s">
        <v>324</v>
      </c>
      <c r="AS312" s="93" t="s">
        <v>324</v>
      </c>
      <c r="AT312" s="93" t="s">
        <v>716</v>
      </c>
      <c r="AU312" s="93" t="s">
        <v>324</v>
      </c>
      <c r="AV312" s="93" t="s">
        <v>713</v>
      </c>
      <c r="AZ312" s="93" t="s">
        <v>324</v>
      </c>
      <c r="BA312" s="93" t="s">
        <v>324</v>
      </c>
      <c r="BB312" s="93" t="s">
        <v>324</v>
      </c>
      <c r="BC312" s="93" t="s">
        <v>324</v>
      </c>
      <c r="BD312" s="93" t="s">
        <v>324</v>
      </c>
      <c r="BE312" s="93" t="s">
        <v>324</v>
      </c>
      <c r="BF312" s="93" t="s">
        <v>324</v>
      </c>
      <c r="BG312" s="93" t="s">
        <v>324</v>
      </c>
      <c r="BH312" s="93" t="s">
        <v>324</v>
      </c>
      <c r="BI312" s="93" t="s">
        <v>324</v>
      </c>
      <c r="BJ312" s="93" t="s">
        <v>324</v>
      </c>
      <c r="BK312" s="93" t="s">
        <v>324</v>
      </c>
      <c r="BL312" s="93" t="s">
        <v>324</v>
      </c>
      <c r="BM312" s="93" t="s">
        <v>324</v>
      </c>
      <c r="BN312" s="93" t="s">
        <v>324</v>
      </c>
      <c r="BO312" s="93" t="s">
        <v>324</v>
      </c>
      <c r="BP312" s="93" t="s">
        <v>324</v>
      </c>
      <c r="BQ312" s="93" t="s">
        <v>324</v>
      </c>
      <c r="BR312" s="93" t="s">
        <v>324</v>
      </c>
      <c r="BS312" s="93" t="s">
        <v>324</v>
      </c>
      <c r="BT312" s="93" t="s">
        <v>324</v>
      </c>
      <c r="BU312" s="93" t="s">
        <v>324</v>
      </c>
      <c r="BV312" s="93" t="s">
        <v>324</v>
      </c>
      <c r="BW312" s="93" t="s">
        <v>324</v>
      </c>
      <c r="BX312" s="93" t="s">
        <v>324</v>
      </c>
      <c r="BY312" s="93" t="s">
        <v>324</v>
      </c>
      <c r="BZ312" s="93" t="s">
        <v>324</v>
      </c>
      <c r="CA312" s="93" t="s">
        <v>324</v>
      </c>
      <c r="CB312" s="93" t="s">
        <v>324</v>
      </c>
      <c r="CC312" s="93" t="s">
        <v>324</v>
      </c>
      <c r="CD312" s="93" t="s">
        <v>324</v>
      </c>
      <c r="CE312" s="93" t="s">
        <v>324</v>
      </c>
      <c r="CF312" s="93" t="s">
        <v>324</v>
      </c>
      <c r="CG312" s="93" t="s">
        <v>324</v>
      </c>
      <c r="CH312" s="93" t="s">
        <v>324</v>
      </c>
      <c r="CI312" s="93" t="s">
        <v>324</v>
      </c>
      <c r="CJ312" s="93" t="s">
        <v>324</v>
      </c>
      <c r="CK312" s="93" t="s">
        <v>324</v>
      </c>
      <c r="CL312" s="93" t="s">
        <v>324</v>
      </c>
      <c r="CM312" s="93" t="s">
        <v>324</v>
      </c>
      <c r="CN312" s="93" t="s">
        <v>324</v>
      </c>
      <c r="CO312" s="93" t="s">
        <v>324</v>
      </c>
      <c r="CP312" s="93" t="s">
        <v>324</v>
      </c>
      <c r="CQ312" s="93" t="s">
        <v>324</v>
      </c>
      <c r="CR312" s="93" t="s">
        <v>324</v>
      </c>
      <c r="CS312" s="93" t="s">
        <v>324</v>
      </c>
      <c r="CT312" s="93" t="s">
        <v>324</v>
      </c>
      <c r="CU312" s="93" t="s">
        <v>324</v>
      </c>
      <c r="CV312" s="93" t="s">
        <v>324</v>
      </c>
      <c r="CW312" s="93" t="s">
        <v>324</v>
      </c>
      <c r="CX312" s="93" t="s">
        <v>324</v>
      </c>
      <c r="CY312" s="93" t="s">
        <v>324</v>
      </c>
      <c r="CZ312" s="93" t="s">
        <v>324</v>
      </c>
      <c r="DA312" s="93" t="s">
        <v>324</v>
      </c>
      <c r="DB312" s="93" t="s">
        <v>324</v>
      </c>
      <c r="DC312" s="93" t="s">
        <v>324</v>
      </c>
      <c r="DD312" s="93" t="s">
        <v>324</v>
      </c>
      <c r="DE312" s="93" t="s">
        <v>324</v>
      </c>
      <c r="DF312" s="93" t="s">
        <v>324</v>
      </c>
      <c r="DG312" s="93" t="s">
        <v>324</v>
      </c>
      <c r="DH312" s="93" t="s">
        <v>324</v>
      </c>
      <c r="DI312" s="93" t="s">
        <v>324</v>
      </c>
      <c r="DJ312" s="93" t="s">
        <v>324</v>
      </c>
      <c r="DK312" s="93" t="s">
        <v>324</v>
      </c>
      <c r="DL312" s="93" t="s">
        <v>324</v>
      </c>
      <c r="DM312" s="93" t="s">
        <v>324</v>
      </c>
      <c r="DN312" s="93" t="s">
        <v>324</v>
      </c>
      <c r="DO312" s="93" t="s">
        <v>324</v>
      </c>
      <c r="DP312" s="93" t="s">
        <v>324</v>
      </c>
      <c r="DQ312" s="93" t="s">
        <v>324</v>
      </c>
      <c r="DR312" s="93" t="s">
        <v>324</v>
      </c>
      <c r="DS312" s="93" t="s">
        <v>324</v>
      </c>
      <c r="DT312" s="93" t="s">
        <v>324</v>
      </c>
      <c r="DU312" s="93" t="s">
        <v>324</v>
      </c>
      <c r="DV312" s="93" t="s">
        <v>324</v>
      </c>
      <c r="DW312" s="93" t="s">
        <v>324</v>
      </c>
      <c r="DX312" s="93" t="s">
        <v>324</v>
      </c>
      <c r="DY312" s="93" t="s">
        <v>324</v>
      </c>
      <c r="DZ312" s="93" t="s">
        <v>324</v>
      </c>
      <c r="EA312" s="93" t="s">
        <v>324</v>
      </c>
      <c r="EB312" s="93" t="s">
        <v>324</v>
      </c>
      <c r="EC312" s="93" t="s">
        <v>324</v>
      </c>
    </row>
    <row r="313" spans="1:173" s="93" customFormat="1">
      <c r="A313" s="335" t="s">
        <v>1581</v>
      </c>
      <c r="B313" s="335" t="s">
        <v>1581</v>
      </c>
      <c r="C313" s="93" t="s">
        <v>370</v>
      </c>
      <c r="D313" s="435" t="s">
        <v>940</v>
      </c>
      <c r="E313" s="435" t="s">
        <v>2624</v>
      </c>
      <c r="F313" s="501" t="s">
        <v>785</v>
      </c>
      <c r="G313" s="93" t="s">
        <v>324</v>
      </c>
      <c r="H313" s="93" t="s">
        <v>394</v>
      </c>
      <c r="I313" s="435">
        <v>24.5</v>
      </c>
      <c r="J313" s="497">
        <v>24</v>
      </c>
      <c r="K313" s="203"/>
      <c r="L313" s="203"/>
      <c r="M313" s="203"/>
      <c r="P313" s="435" t="s">
        <v>770</v>
      </c>
      <c r="Q313" s="435" t="s">
        <v>1584</v>
      </c>
      <c r="R313" s="435" t="s">
        <v>324</v>
      </c>
      <c r="S313" s="93" t="s">
        <v>2623</v>
      </c>
      <c r="T313" s="93" t="s">
        <v>713</v>
      </c>
      <c r="U313" s="435">
        <v>34</v>
      </c>
      <c r="V313" s="93" cm="1">
        <f t="array" ref="V313">IFERROR(INDEX('Offer Statistics'!$DS$2:$DS$350,MATCH(1,($B313='Offer Statistics'!$DD$2:$DD$350)*($B$11='Offer Statistics'!$DE$2:$DE$350),0)),"/")</f>
        <v>44</v>
      </c>
      <c r="W313" s="93" cm="1">
        <f t="array" ref="W313">IFERROR(INDEX('Offer Statistics'!$DF$2:$DF$350,MATCH(1,(B313='Offer Statistics'!$DD$2:$DD$350)*($B$11='Offer Statistics'!$DE$2:$DE$350),0)),"/")</f>
        <v>237</v>
      </c>
      <c r="X313" s="93" cm="1">
        <f t="array" ref="X313">IFERROR(INDEX('Offer Statistics'!$DN$2:$DN$350,MATCH(1,(B313='Offer Statistics'!$DD$2:$DD$350)*($B$11='Offer Statistics'!$DE$2:$DE$350),0)),"/")</f>
        <v>27</v>
      </c>
      <c r="Y313" s="93">
        <f t="shared" si="378"/>
        <v>8.7777777777777786</v>
      </c>
      <c r="Z313" s="93" t="s">
        <v>713</v>
      </c>
      <c r="AA313" s="93">
        <f>入學要求!AF322</f>
        <v>0</v>
      </c>
      <c r="AB313" s="93" t="str">
        <f>入學要求!AG322</f>
        <v>/</v>
      </c>
      <c r="AC313" s="347" t="s">
        <v>785</v>
      </c>
      <c r="AD313" s="51"/>
      <c r="AE313" s="333"/>
      <c r="AF313" s="333" t="s">
        <v>324</v>
      </c>
      <c r="AG313" s="333" t="s">
        <v>324</v>
      </c>
      <c r="AH313" s="346" t="s">
        <v>770</v>
      </c>
      <c r="AI313" s="346" t="s">
        <v>1584</v>
      </c>
      <c r="AJ313" s="346" t="s">
        <v>324</v>
      </c>
      <c r="AK313" s="346" t="s">
        <v>324</v>
      </c>
      <c r="AL313" s="93" t="s">
        <v>324</v>
      </c>
      <c r="AM313" s="93" t="s">
        <v>324</v>
      </c>
      <c r="AN313" s="93" t="s">
        <v>324</v>
      </c>
      <c r="AO313" s="93" t="s">
        <v>324</v>
      </c>
      <c r="AP313" s="93" t="s">
        <v>324</v>
      </c>
      <c r="AQ313" s="93" t="s">
        <v>324</v>
      </c>
      <c r="AR313" s="93" t="s">
        <v>324</v>
      </c>
      <c r="AS313" s="93" t="s">
        <v>324</v>
      </c>
      <c r="AT313" s="93" t="s">
        <v>716</v>
      </c>
      <c r="AU313" s="93" t="s">
        <v>324</v>
      </c>
      <c r="AV313" s="93" t="s">
        <v>713</v>
      </c>
      <c r="AZ313" s="93" t="s">
        <v>324</v>
      </c>
      <c r="BA313" s="93" t="s">
        <v>324</v>
      </c>
      <c r="BB313" s="93" t="s">
        <v>324</v>
      </c>
      <c r="BC313" s="93" t="s">
        <v>324</v>
      </c>
      <c r="BD313" s="93" t="s">
        <v>324</v>
      </c>
      <c r="BE313" s="93" t="s">
        <v>324</v>
      </c>
      <c r="BF313" s="93" t="s">
        <v>324</v>
      </c>
      <c r="BG313" s="93" t="s">
        <v>324</v>
      </c>
      <c r="BH313" s="93" t="s">
        <v>324</v>
      </c>
      <c r="BI313" s="93" t="s">
        <v>324</v>
      </c>
      <c r="BJ313" s="93" t="s">
        <v>324</v>
      </c>
      <c r="BK313" s="93" t="s">
        <v>324</v>
      </c>
      <c r="BL313" s="93" t="s">
        <v>324</v>
      </c>
      <c r="BM313" s="93" t="s">
        <v>324</v>
      </c>
      <c r="BN313" s="93" t="s">
        <v>324</v>
      </c>
      <c r="BO313" s="93" t="s">
        <v>324</v>
      </c>
      <c r="BP313" s="93" t="s">
        <v>324</v>
      </c>
      <c r="BQ313" s="93" t="s">
        <v>324</v>
      </c>
      <c r="BR313" s="93" t="s">
        <v>324</v>
      </c>
      <c r="BS313" s="93" t="s">
        <v>324</v>
      </c>
      <c r="BT313" s="93" t="s">
        <v>324</v>
      </c>
      <c r="BU313" s="93" t="s">
        <v>324</v>
      </c>
      <c r="BV313" s="93" t="s">
        <v>324</v>
      </c>
      <c r="BW313" s="93" t="s">
        <v>324</v>
      </c>
      <c r="BX313" s="93" t="s">
        <v>324</v>
      </c>
      <c r="BY313" s="93" t="s">
        <v>324</v>
      </c>
      <c r="BZ313" s="93" t="s">
        <v>324</v>
      </c>
      <c r="CA313" s="93" t="s">
        <v>324</v>
      </c>
      <c r="CB313" s="93" t="s">
        <v>324</v>
      </c>
      <c r="CC313" s="93" t="s">
        <v>324</v>
      </c>
      <c r="CD313" s="93" t="s">
        <v>324</v>
      </c>
      <c r="CE313" s="93" t="s">
        <v>324</v>
      </c>
      <c r="CF313" s="93" t="s">
        <v>324</v>
      </c>
      <c r="CG313" s="93" t="s">
        <v>324</v>
      </c>
      <c r="CH313" s="93" t="s">
        <v>324</v>
      </c>
      <c r="CI313" s="93" t="s">
        <v>324</v>
      </c>
      <c r="CJ313" s="93" t="s">
        <v>324</v>
      </c>
      <c r="CK313" s="93" t="s">
        <v>324</v>
      </c>
      <c r="CL313" s="93" t="s">
        <v>324</v>
      </c>
      <c r="CM313" s="93" t="s">
        <v>324</v>
      </c>
      <c r="CN313" s="93" t="s">
        <v>324</v>
      </c>
      <c r="CO313" s="93" t="s">
        <v>324</v>
      </c>
      <c r="CP313" s="93" t="s">
        <v>324</v>
      </c>
      <c r="CQ313" s="93" t="s">
        <v>324</v>
      </c>
      <c r="CR313" s="93" t="s">
        <v>324</v>
      </c>
      <c r="CS313" s="93" t="s">
        <v>324</v>
      </c>
      <c r="CT313" s="93" t="s">
        <v>324</v>
      </c>
      <c r="CU313" s="93" t="s">
        <v>324</v>
      </c>
      <c r="CV313" s="93" t="s">
        <v>324</v>
      </c>
      <c r="CW313" s="93" t="s">
        <v>324</v>
      </c>
      <c r="CX313" s="93" t="s">
        <v>324</v>
      </c>
      <c r="CY313" s="93" t="s">
        <v>324</v>
      </c>
      <c r="CZ313" s="93" t="s">
        <v>324</v>
      </c>
      <c r="DA313" s="93" t="s">
        <v>324</v>
      </c>
      <c r="DB313" s="93" t="s">
        <v>324</v>
      </c>
      <c r="DC313" s="93" t="s">
        <v>324</v>
      </c>
      <c r="DD313" s="93" t="s">
        <v>324</v>
      </c>
      <c r="DE313" s="93" t="s">
        <v>324</v>
      </c>
      <c r="DF313" s="93" t="s">
        <v>324</v>
      </c>
      <c r="DG313" s="93" t="s">
        <v>324</v>
      </c>
      <c r="DH313" s="93" t="s">
        <v>324</v>
      </c>
      <c r="DI313" s="93" t="s">
        <v>324</v>
      </c>
      <c r="DJ313" s="93" t="s">
        <v>324</v>
      </c>
      <c r="DK313" s="93" t="s">
        <v>324</v>
      </c>
      <c r="DL313" s="93" t="s">
        <v>324</v>
      </c>
      <c r="DM313" s="93" t="s">
        <v>324</v>
      </c>
      <c r="DN313" s="93" t="s">
        <v>324</v>
      </c>
      <c r="DO313" s="93" t="s">
        <v>324</v>
      </c>
      <c r="DP313" s="93" t="s">
        <v>324</v>
      </c>
      <c r="DQ313" s="93" t="s">
        <v>324</v>
      </c>
      <c r="DR313" s="93" t="s">
        <v>324</v>
      </c>
      <c r="DS313" s="93" t="s">
        <v>324</v>
      </c>
      <c r="DT313" s="93" t="s">
        <v>324</v>
      </c>
      <c r="DU313" s="93" t="s">
        <v>324</v>
      </c>
      <c r="DV313" s="93" t="s">
        <v>324</v>
      </c>
      <c r="DW313" s="93" t="s">
        <v>324</v>
      </c>
      <c r="DX313" s="93" t="s">
        <v>324</v>
      </c>
      <c r="DY313" s="93" t="s">
        <v>324</v>
      </c>
      <c r="DZ313" s="93" t="s">
        <v>324</v>
      </c>
      <c r="EA313" s="93" t="s">
        <v>324</v>
      </c>
      <c r="EB313" s="93" t="s">
        <v>324</v>
      </c>
      <c r="EC313" s="93" t="s">
        <v>324</v>
      </c>
    </row>
    <row r="314" spans="1:173" s="93" customFormat="1">
      <c r="A314" s="335" t="s">
        <v>2625</v>
      </c>
      <c r="B314" s="335" t="s">
        <v>2625</v>
      </c>
      <c r="C314" s="93" t="s">
        <v>370</v>
      </c>
      <c r="D314" s="435" t="s">
        <v>710</v>
      </c>
      <c r="E314" s="435" t="s">
        <v>2627</v>
      </c>
      <c r="F314" s="443" t="s">
        <v>2940</v>
      </c>
      <c r="G314" s="93" t="s">
        <v>324</v>
      </c>
      <c r="H314" s="93" t="s">
        <v>394</v>
      </c>
      <c r="I314" s="499">
        <v>23.5</v>
      </c>
      <c r="J314" s="500">
        <v>23</v>
      </c>
      <c r="K314" s="203"/>
      <c r="L314" s="203"/>
      <c r="M314" s="203"/>
      <c r="P314" s="435" t="s">
        <v>324</v>
      </c>
      <c r="Q314" s="435" t="s">
        <v>324</v>
      </c>
      <c r="R314" s="435" t="s">
        <v>324</v>
      </c>
      <c r="S314" s="93" t="s">
        <v>2626</v>
      </c>
      <c r="T314" s="93" t="s">
        <v>713</v>
      </c>
      <c r="U314" s="435">
        <v>42</v>
      </c>
      <c r="V314" s="93" t="str" cm="1">
        <f t="array" ref="V314">IFERROR(INDEX('Offer Statistics'!$DS$2:$DS$350,MATCH(1,($B314='Offer Statistics'!$DD$2:$DD$350)*($B$11='Offer Statistics'!$DE$2:$DE$350),0)),"/")</f>
        <v>/</v>
      </c>
      <c r="W314" s="93" t="str" cm="1">
        <f t="array" ref="W314">IFERROR(INDEX('Offer Statistics'!$DF$2:$DF$350,MATCH(1,(B314='Offer Statistics'!$DD$2:$DD$350)*($B$11='Offer Statistics'!$DE$2:$DE$350),0)),"/")</f>
        <v>/</v>
      </c>
      <c r="X314" s="93" t="str" cm="1">
        <f t="array" ref="X314">IFERROR(INDEX('Offer Statistics'!$DN$2:$DN$350,MATCH(1,(B314='Offer Statistics'!$DD$2:$DD$350)*($B$11='Offer Statistics'!$DE$2:$DE$350),0)),"/")</f>
        <v>/</v>
      </c>
      <c r="Y314" s="93" t="str">
        <f t="shared" si="378"/>
        <v>新科目</v>
      </c>
      <c r="Z314" s="93" t="s">
        <v>713</v>
      </c>
      <c r="AA314" s="93">
        <f>入學要求!AF323</f>
        <v>0</v>
      </c>
      <c r="AB314" s="93" t="str">
        <f>入學要求!AG323</f>
        <v>/</v>
      </c>
      <c r="AC314" s="424" t="s">
        <v>785</v>
      </c>
      <c r="AD314" s="51"/>
      <c r="AE314" s="333"/>
      <c r="AF314" s="333"/>
      <c r="AG314" s="333"/>
      <c r="AH314" s="346" t="s">
        <v>810</v>
      </c>
      <c r="AI314" s="346" t="s">
        <v>3165</v>
      </c>
      <c r="AJ314" s="346" t="s">
        <v>324</v>
      </c>
      <c r="AM314" s="93" t="s">
        <v>324</v>
      </c>
      <c r="AN314" s="93" t="s">
        <v>324</v>
      </c>
      <c r="AO314" s="93" t="s">
        <v>324</v>
      </c>
      <c r="AP314" s="93" t="s">
        <v>324</v>
      </c>
      <c r="AQ314" s="93" t="s">
        <v>324</v>
      </c>
      <c r="AR314" s="93" t="s">
        <v>324</v>
      </c>
      <c r="AS314" s="93" t="s">
        <v>324</v>
      </c>
      <c r="AT314" s="93" t="s">
        <v>716</v>
      </c>
      <c r="AU314" s="93" t="s">
        <v>324</v>
      </c>
      <c r="AV314" s="93" t="s">
        <v>713</v>
      </c>
      <c r="AZ314" s="93" t="s">
        <v>324</v>
      </c>
      <c r="BA314" s="93" t="s">
        <v>324</v>
      </c>
      <c r="BB314" s="93" t="s">
        <v>324</v>
      </c>
      <c r="BC314" s="93" t="s">
        <v>324</v>
      </c>
      <c r="BD314" s="93" t="s">
        <v>324</v>
      </c>
      <c r="BE314" s="93" t="s">
        <v>324</v>
      </c>
      <c r="BF314" s="93" t="s">
        <v>324</v>
      </c>
      <c r="BG314" s="93" t="s">
        <v>324</v>
      </c>
      <c r="BH314" s="93" t="s">
        <v>324</v>
      </c>
      <c r="BI314" s="93" t="s">
        <v>324</v>
      </c>
      <c r="BJ314" s="93" t="s">
        <v>324</v>
      </c>
      <c r="BK314" s="93" t="s">
        <v>324</v>
      </c>
      <c r="BL314" s="93" t="s">
        <v>324</v>
      </c>
      <c r="BM314" s="93" t="s">
        <v>324</v>
      </c>
      <c r="BN314" s="93" t="s">
        <v>324</v>
      </c>
      <c r="BO314" s="93" t="s">
        <v>324</v>
      </c>
      <c r="BP314" s="93" t="s">
        <v>324</v>
      </c>
      <c r="BQ314" s="93" t="s">
        <v>324</v>
      </c>
      <c r="BR314" s="93" t="s">
        <v>324</v>
      </c>
      <c r="BS314" s="93" t="s">
        <v>324</v>
      </c>
      <c r="BT314" s="93" t="s">
        <v>324</v>
      </c>
      <c r="BU314" s="93" t="s">
        <v>324</v>
      </c>
      <c r="BV314" s="93" t="s">
        <v>324</v>
      </c>
      <c r="BW314" s="93" t="s">
        <v>324</v>
      </c>
      <c r="BX314" s="93" t="s">
        <v>324</v>
      </c>
      <c r="BY314" s="93" t="s">
        <v>324</v>
      </c>
      <c r="BZ314" s="93" t="s">
        <v>324</v>
      </c>
      <c r="CA314" s="93" t="s">
        <v>324</v>
      </c>
      <c r="CB314" s="93" t="s">
        <v>324</v>
      </c>
      <c r="CC314" s="93" t="s">
        <v>324</v>
      </c>
      <c r="CD314" s="93" t="s">
        <v>324</v>
      </c>
      <c r="CE314" s="93" t="s">
        <v>324</v>
      </c>
      <c r="CF314" s="93" t="s">
        <v>324</v>
      </c>
      <c r="CG314" s="93" t="s">
        <v>324</v>
      </c>
      <c r="CH314" s="93" t="s">
        <v>324</v>
      </c>
      <c r="CI314" s="93" t="s">
        <v>324</v>
      </c>
      <c r="CJ314" s="93" t="s">
        <v>324</v>
      </c>
      <c r="CK314" s="93" t="s">
        <v>324</v>
      </c>
      <c r="CL314" s="93" t="s">
        <v>324</v>
      </c>
      <c r="CM314" s="93" t="s">
        <v>324</v>
      </c>
      <c r="CN314" s="93" t="s">
        <v>324</v>
      </c>
      <c r="CO314" s="93" t="s">
        <v>324</v>
      </c>
      <c r="CP314" s="93" t="s">
        <v>324</v>
      </c>
      <c r="CQ314" s="93" t="s">
        <v>324</v>
      </c>
      <c r="CR314" s="93" t="s">
        <v>324</v>
      </c>
      <c r="CS314" s="93" t="s">
        <v>324</v>
      </c>
      <c r="CT314" s="93" t="s">
        <v>324</v>
      </c>
      <c r="CU314" s="93" t="s">
        <v>324</v>
      </c>
      <c r="CV314" s="93" t="s">
        <v>324</v>
      </c>
      <c r="CW314" s="93" t="s">
        <v>324</v>
      </c>
      <c r="CX314" s="93" t="s">
        <v>324</v>
      </c>
      <c r="CY314" s="93" t="s">
        <v>324</v>
      </c>
      <c r="CZ314" s="93" t="s">
        <v>324</v>
      </c>
      <c r="DA314" s="93" t="s">
        <v>324</v>
      </c>
      <c r="DB314" s="93" t="s">
        <v>324</v>
      </c>
      <c r="DC314" s="93" t="s">
        <v>324</v>
      </c>
      <c r="DD314" s="93" t="s">
        <v>324</v>
      </c>
      <c r="DE314" s="93" t="s">
        <v>324</v>
      </c>
      <c r="DF314" s="93" t="s">
        <v>324</v>
      </c>
      <c r="DG314" s="93" t="s">
        <v>324</v>
      </c>
      <c r="DH314" s="93" t="s">
        <v>324</v>
      </c>
      <c r="DI314" s="93" t="s">
        <v>324</v>
      </c>
      <c r="DJ314" s="93" t="s">
        <v>324</v>
      </c>
      <c r="DK314" s="93" t="s">
        <v>324</v>
      </c>
      <c r="DL314" s="93" t="s">
        <v>324</v>
      </c>
      <c r="DM314" s="93" t="s">
        <v>324</v>
      </c>
      <c r="DN314" s="93" t="s">
        <v>324</v>
      </c>
      <c r="DO314" s="93" t="s">
        <v>324</v>
      </c>
      <c r="DP314" s="93" t="s">
        <v>324</v>
      </c>
      <c r="DQ314" s="93" t="s">
        <v>324</v>
      </c>
      <c r="DR314" s="93" t="s">
        <v>324</v>
      </c>
      <c r="DS314" s="93" t="s">
        <v>324</v>
      </c>
      <c r="DT314" s="93" t="s">
        <v>324</v>
      </c>
      <c r="DU314" s="93" t="s">
        <v>324</v>
      </c>
      <c r="DV314" s="93" t="s">
        <v>324</v>
      </c>
      <c r="DW314" s="93" t="s">
        <v>324</v>
      </c>
      <c r="DX314" s="93" t="s">
        <v>324</v>
      </c>
      <c r="DY314" s="93" t="s">
        <v>324</v>
      </c>
      <c r="DZ314" s="93" t="s">
        <v>324</v>
      </c>
      <c r="EA314" s="93" t="s">
        <v>324</v>
      </c>
      <c r="EB314" s="93" t="s">
        <v>324</v>
      </c>
      <c r="EC314" s="93" t="s">
        <v>324</v>
      </c>
    </row>
    <row r="315" spans="1:173" s="93" customFormat="1">
      <c r="A315" s="335" t="s">
        <v>2628</v>
      </c>
      <c r="B315" s="335" t="s">
        <v>2628</v>
      </c>
      <c r="C315" s="93" t="s">
        <v>370</v>
      </c>
      <c r="D315" s="435" t="s">
        <v>710</v>
      </c>
      <c r="E315" s="435" t="s">
        <v>2630</v>
      </c>
      <c r="F315" s="443" t="s">
        <v>2940</v>
      </c>
      <c r="G315" s="93" t="s">
        <v>324</v>
      </c>
      <c r="H315" s="93" t="s">
        <v>394</v>
      </c>
      <c r="I315" s="499">
        <v>23.5</v>
      </c>
      <c r="J315" s="500">
        <v>23</v>
      </c>
      <c r="K315" s="203"/>
      <c r="L315" s="203"/>
      <c r="M315" s="203"/>
      <c r="P315" s="435" t="s">
        <v>324</v>
      </c>
      <c r="Q315" s="435" t="s">
        <v>324</v>
      </c>
      <c r="R315" s="435" t="s">
        <v>324</v>
      </c>
      <c r="S315" s="93" t="s">
        <v>2629</v>
      </c>
      <c r="T315" s="93" t="s">
        <v>713</v>
      </c>
      <c r="U315" s="435">
        <v>7</v>
      </c>
      <c r="V315" s="93" t="str" cm="1">
        <f t="array" ref="V315">IFERROR(INDEX('Offer Statistics'!$DS$2:$DS$350,MATCH(1,($B315='Offer Statistics'!$DD$2:$DD$350)*($B$11='Offer Statistics'!$DE$2:$DE$350),0)),"/")</f>
        <v>/</v>
      </c>
      <c r="W315" s="93" t="str" cm="1">
        <f t="array" ref="W315">IFERROR(INDEX('Offer Statistics'!$DF$2:$DF$350,MATCH(1,(B315='Offer Statistics'!$DD$2:$DD$350)*($B$11='Offer Statistics'!$DE$2:$DE$350),0)),"/")</f>
        <v>/</v>
      </c>
      <c r="X315" s="93" t="str" cm="1">
        <f t="array" ref="X315">IFERROR(INDEX('Offer Statistics'!$DN$2:$DN$350,MATCH(1,(B315='Offer Statistics'!$DD$2:$DD$350)*($B$11='Offer Statistics'!$DE$2:$DE$350),0)),"/")</f>
        <v>/</v>
      </c>
      <c r="Y315" s="93" t="str">
        <f t="shared" si="378"/>
        <v>新科目</v>
      </c>
      <c r="Z315" s="93" t="s">
        <v>713</v>
      </c>
      <c r="AA315" s="93">
        <f>入學要求!AF324</f>
        <v>0</v>
      </c>
      <c r="AB315" s="93" t="str">
        <f>入學要求!AG324</f>
        <v>/</v>
      </c>
      <c r="AC315" s="424" t="s">
        <v>785</v>
      </c>
      <c r="AD315" s="51"/>
      <c r="AE315" s="333"/>
      <c r="AF315" s="333"/>
      <c r="AG315" s="333"/>
      <c r="AH315" s="346" t="s">
        <v>810</v>
      </c>
      <c r="AI315" s="346" t="s">
        <v>3158</v>
      </c>
      <c r="AJ315" s="346" t="s">
        <v>324</v>
      </c>
      <c r="AK315" s="93" t="s">
        <v>324</v>
      </c>
      <c r="AL315" s="93" t="s">
        <v>324</v>
      </c>
      <c r="AM315" s="93" t="s">
        <v>324</v>
      </c>
      <c r="AN315" s="93" t="s">
        <v>324</v>
      </c>
      <c r="AO315" s="93" t="s">
        <v>324</v>
      </c>
      <c r="AP315" s="93" t="s">
        <v>324</v>
      </c>
      <c r="AQ315" s="93" t="s">
        <v>324</v>
      </c>
      <c r="AR315" s="93" t="s">
        <v>324</v>
      </c>
      <c r="AS315" s="93" t="s">
        <v>324</v>
      </c>
      <c r="AT315" s="93" t="s">
        <v>716</v>
      </c>
      <c r="AU315" s="93" t="s">
        <v>324</v>
      </c>
      <c r="AV315" s="93" t="s">
        <v>713</v>
      </c>
      <c r="AZ315" s="93" t="s">
        <v>324</v>
      </c>
      <c r="BA315" s="93" t="s">
        <v>324</v>
      </c>
      <c r="BB315" s="93" t="s">
        <v>324</v>
      </c>
      <c r="BC315" s="93" t="s">
        <v>324</v>
      </c>
      <c r="BD315" s="93" t="s">
        <v>324</v>
      </c>
      <c r="BE315" s="93" t="s">
        <v>324</v>
      </c>
      <c r="BF315" s="93" t="s">
        <v>324</v>
      </c>
      <c r="BG315" s="93" t="s">
        <v>324</v>
      </c>
      <c r="BH315" s="93" t="s">
        <v>324</v>
      </c>
      <c r="BI315" s="93" t="s">
        <v>324</v>
      </c>
      <c r="BJ315" s="93" t="s">
        <v>324</v>
      </c>
      <c r="BK315" s="93" t="s">
        <v>324</v>
      </c>
      <c r="BL315" s="93" t="s">
        <v>324</v>
      </c>
      <c r="BM315" s="93" t="s">
        <v>324</v>
      </c>
      <c r="BN315" s="93" t="s">
        <v>324</v>
      </c>
      <c r="BO315" s="93" t="s">
        <v>324</v>
      </c>
      <c r="BP315" s="93" t="s">
        <v>324</v>
      </c>
      <c r="BQ315" s="93" t="s">
        <v>324</v>
      </c>
      <c r="BR315" s="93" t="s">
        <v>324</v>
      </c>
      <c r="BS315" s="93" t="s">
        <v>324</v>
      </c>
      <c r="BT315" s="93" t="s">
        <v>324</v>
      </c>
      <c r="BU315" s="93" t="s">
        <v>324</v>
      </c>
      <c r="BV315" s="93" t="s">
        <v>324</v>
      </c>
      <c r="BW315" s="93" t="s">
        <v>324</v>
      </c>
      <c r="BX315" s="93" t="s">
        <v>324</v>
      </c>
      <c r="BY315" s="93" t="s">
        <v>324</v>
      </c>
      <c r="BZ315" s="93" t="s">
        <v>324</v>
      </c>
      <c r="CA315" s="93" t="s">
        <v>324</v>
      </c>
      <c r="CB315" s="93" t="s">
        <v>324</v>
      </c>
      <c r="CC315" s="93" t="s">
        <v>324</v>
      </c>
      <c r="CD315" s="93" t="s">
        <v>324</v>
      </c>
      <c r="CE315" s="93" t="s">
        <v>324</v>
      </c>
      <c r="CF315" s="93" t="s">
        <v>324</v>
      </c>
      <c r="CG315" s="93" t="s">
        <v>324</v>
      </c>
      <c r="CH315" s="93" t="s">
        <v>324</v>
      </c>
      <c r="CI315" s="93" t="s">
        <v>324</v>
      </c>
      <c r="CJ315" s="93" t="s">
        <v>324</v>
      </c>
      <c r="CK315" s="93" t="s">
        <v>324</v>
      </c>
      <c r="CL315" s="93" t="s">
        <v>324</v>
      </c>
      <c r="CM315" s="93" t="s">
        <v>324</v>
      </c>
      <c r="CN315" s="93" t="s">
        <v>324</v>
      </c>
      <c r="CO315" s="93" t="s">
        <v>324</v>
      </c>
      <c r="CP315" s="93" t="s">
        <v>324</v>
      </c>
      <c r="CQ315" s="93" t="s">
        <v>324</v>
      </c>
      <c r="CR315" s="93" t="s">
        <v>324</v>
      </c>
      <c r="CS315" s="93" t="s">
        <v>324</v>
      </c>
      <c r="CT315" s="93" t="s">
        <v>324</v>
      </c>
      <c r="CU315" s="93" t="s">
        <v>324</v>
      </c>
      <c r="CV315" s="93" t="s">
        <v>324</v>
      </c>
      <c r="CW315" s="93" t="s">
        <v>324</v>
      </c>
      <c r="CX315" s="93" t="s">
        <v>324</v>
      </c>
      <c r="CY315" s="93" t="s">
        <v>324</v>
      </c>
      <c r="CZ315" s="93" t="s">
        <v>324</v>
      </c>
      <c r="DA315" s="93" t="s">
        <v>324</v>
      </c>
      <c r="DB315" s="93" t="s">
        <v>324</v>
      </c>
      <c r="DC315" s="93" t="s">
        <v>324</v>
      </c>
      <c r="DD315" s="93" t="s">
        <v>324</v>
      </c>
      <c r="DE315" s="93" t="s">
        <v>324</v>
      </c>
      <c r="DF315" s="93" t="s">
        <v>324</v>
      </c>
      <c r="DG315" s="93" t="s">
        <v>324</v>
      </c>
      <c r="DH315" s="93" t="s">
        <v>324</v>
      </c>
      <c r="DI315" s="93" t="s">
        <v>324</v>
      </c>
      <c r="DJ315" s="93" t="s">
        <v>324</v>
      </c>
      <c r="DK315" s="93" t="s">
        <v>324</v>
      </c>
      <c r="DL315" s="93" t="s">
        <v>324</v>
      </c>
      <c r="DM315" s="93" t="s">
        <v>324</v>
      </c>
      <c r="DN315" s="93" t="s">
        <v>324</v>
      </c>
      <c r="DO315" s="93" t="s">
        <v>324</v>
      </c>
      <c r="DP315" s="93" t="s">
        <v>324</v>
      </c>
      <c r="DQ315" s="93" t="s">
        <v>324</v>
      </c>
      <c r="DR315" s="93" t="s">
        <v>324</v>
      </c>
      <c r="DS315" s="93" t="s">
        <v>324</v>
      </c>
      <c r="DT315" s="93" t="s">
        <v>324</v>
      </c>
      <c r="DU315" s="93" t="s">
        <v>324</v>
      </c>
      <c r="DV315" s="93" t="s">
        <v>324</v>
      </c>
      <c r="DW315" s="93" t="s">
        <v>324</v>
      </c>
      <c r="DX315" s="93" t="s">
        <v>324</v>
      </c>
      <c r="DY315" s="93" t="s">
        <v>324</v>
      </c>
      <c r="DZ315" s="93" t="s">
        <v>324</v>
      </c>
      <c r="EA315" s="93" t="s">
        <v>324</v>
      </c>
      <c r="EB315" s="93" t="s">
        <v>324</v>
      </c>
      <c r="EC315" s="93" t="s">
        <v>324</v>
      </c>
    </row>
    <row r="316" spans="1:173" s="93" customFormat="1">
      <c r="A316" s="335" t="s">
        <v>2631</v>
      </c>
      <c r="B316" s="335" t="s">
        <v>2631</v>
      </c>
      <c r="C316" s="93" t="s">
        <v>370</v>
      </c>
      <c r="D316" s="435" t="s">
        <v>710</v>
      </c>
      <c r="E316" s="435" t="s">
        <v>2633</v>
      </c>
      <c r="F316" s="443" t="s">
        <v>2940</v>
      </c>
      <c r="G316" s="93" t="s">
        <v>324</v>
      </c>
      <c r="H316" s="93" t="s">
        <v>394</v>
      </c>
      <c r="I316" s="499">
        <v>23.5</v>
      </c>
      <c r="J316" s="500">
        <v>23</v>
      </c>
      <c r="K316" s="203"/>
      <c r="L316" s="203"/>
      <c r="M316" s="203"/>
      <c r="P316" s="435" t="s">
        <v>324</v>
      </c>
      <c r="Q316" s="435" t="s">
        <v>324</v>
      </c>
      <c r="R316" s="435" t="s">
        <v>324</v>
      </c>
      <c r="S316" s="93" t="s">
        <v>2632</v>
      </c>
      <c r="T316" s="93" t="s">
        <v>713</v>
      </c>
      <c r="U316" s="435">
        <v>25</v>
      </c>
      <c r="V316" s="93" t="str" cm="1">
        <f t="array" ref="V316">IFERROR(INDEX('Offer Statistics'!$DS$2:$DS$350,MATCH(1,($B316='Offer Statistics'!$DD$2:$DD$350)*($B$11='Offer Statistics'!$DE$2:$DE$350),0)),"/")</f>
        <v>/</v>
      </c>
      <c r="W316" s="93" t="str" cm="1">
        <f t="array" ref="W316">IFERROR(INDEX('Offer Statistics'!$DF$2:$DF$350,MATCH(1,(B316='Offer Statistics'!$DD$2:$DD$350)*($B$11='Offer Statistics'!$DE$2:$DE$350),0)),"/")</f>
        <v>/</v>
      </c>
      <c r="X316" s="93" t="str" cm="1">
        <f t="array" ref="X316">IFERROR(INDEX('Offer Statistics'!$DN$2:$DN$350,MATCH(1,(B316='Offer Statistics'!$DD$2:$DD$350)*($B$11='Offer Statistics'!$DE$2:$DE$350),0)),"/")</f>
        <v>/</v>
      </c>
      <c r="Y316" s="93" t="str">
        <f t="shared" si="378"/>
        <v>新科目</v>
      </c>
      <c r="Z316" s="93" t="s">
        <v>713</v>
      </c>
      <c r="AA316" s="93">
        <f>入學要求!AF325</f>
        <v>0</v>
      </c>
      <c r="AB316" s="93" t="str">
        <f>入學要求!AG325</f>
        <v>/</v>
      </c>
      <c r="AC316" s="424" t="s">
        <v>785</v>
      </c>
      <c r="AD316" s="51"/>
      <c r="AE316" s="333"/>
      <c r="AF316" s="333"/>
      <c r="AG316" s="333"/>
      <c r="AH316" s="346" t="s">
        <v>810</v>
      </c>
      <c r="AI316" s="346" t="s">
        <v>3159</v>
      </c>
      <c r="AJ316" s="346" t="s">
        <v>324</v>
      </c>
      <c r="AK316" s="93" t="s">
        <v>324</v>
      </c>
      <c r="AL316" s="93" t="s">
        <v>324</v>
      </c>
      <c r="AM316" s="93" t="s">
        <v>324</v>
      </c>
      <c r="AN316" s="93" t="s">
        <v>324</v>
      </c>
      <c r="AO316" s="93" t="s">
        <v>324</v>
      </c>
      <c r="AP316" s="93" t="s">
        <v>324</v>
      </c>
      <c r="AQ316" s="93" t="s">
        <v>324</v>
      </c>
      <c r="AR316" s="93" t="s">
        <v>324</v>
      </c>
      <c r="AS316" s="93" t="s">
        <v>324</v>
      </c>
      <c r="AT316" s="93" t="s">
        <v>716</v>
      </c>
      <c r="AU316" s="93" t="s">
        <v>324</v>
      </c>
      <c r="AV316" s="93" t="s">
        <v>713</v>
      </c>
      <c r="AZ316" s="93" t="s">
        <v>324</v>
      </c>
      <c r="BA316" s="93" t="s">
        <v>324</v>
      </c>
      <c r="BB316" s="93" t="s">
        <v>324</v>
      </c>
      <c r="BC316" s="93" t="s">
        <v>324</v>
      </c>
      <c r="BD316" s="93" t="s">
        <v>324</v>
      </c>
      <c r="BE316" s="93" t="s">
        <v>324</v>
      </c>
      <c r="BF316" s="93" t="s">
        <v>324</v>
      </c>
      <c r="BG316" s="93" t="s">
        <v>324</v>
      </c>
      <c r="BH316" s="93" t="s">
        <v>324</v>
      </c>
      <c r="BI316" s="93" t="s">
        <v>324</v>
      </c>
      <c r="BJ316" s="93" t="s">
        <v>324</v>
      </c>
      <c r="BK316" s="93" t="s">
        <v>324</v>
      </c>
      <c r="BL316" s="93" t="s">
        <v>324</v>
      </c>
      <c r="BM316" s="93" t="s">
        <v>324</v>
      </c>
      <c r="BN316" s="93" t="s">
        <v>324</v>
      </c>
      <c r="BO316" s="93" t="s">
        <v>324</v>
      </c>
      <c r="BP316" s="93" t="s">
        <v>324</v>
      </c>
      <c r="BQ316" s="93" t="s">
        <v>324</v>
      </c>
      <c r="BR316" s="93" t="s">
        <v>324</v>
      </c>
      <c r="BS316" s="93" t="s">
        <v>324</v>
      </c>
      <c r="BT316" s="93" t="s">
        <v>324</v>
      </c>
      <c r="BU316" s="93" t="s">
        <v>324</v>
      </c>
      <c r="BV316" s="93" t="s">
        <v>324</v>
      </c>
      <c r="BW316" s="93" t="s">
        <v>324</v>
      </c>
      <c r="BX316" s="93" t="s">
        <v>324</v>
      </c>
      <c r="BY316" s="93" t="s">
        <v>324</v>
      </c>
      <c r="BZ316" s="93" t="s">
        <v>324</v>
      </c>
      <c r="CA316" s="93" t="s">
        <v>324</v>
      </c>
      <c r="CB316" s="93" t="s">
        <v>324</v>
      </c>
      <c r="CC316" s="93" t="s">
        <v>324</v>
      </c>
      <c r="CD316" s="93" t="s">
        <v>324</v>
      </c>
      <c r="CE316" s="93" t="s">
        <v>324</v>
      </c>
      <c r="CF316" s="93" t="s">
        <v>324</v>
      </c>
      <c r="CG316" s="93" t="s">
        <v>324</v>
      </c>
      <c r="CH316" s="93" t="s">
        <v>324</v>
      </c>
      <c r="CI316" s="93" t="s">
        <v>324</v>
      </c>
      <c r="CJ316" s="93" t="s">
        <v>324</v>
      </c>
      <c r="CK316" s="93" t="s">
        <v>324</v>
      </c>
      <c r="CL316" s="93" t="s">
        <v>324</v>
      </c>
      <c r="CM316" s="93" t="s">
        <v>324</v>
      </c>
      <c r="CN316" s="93" t="s">
        <v>324</v>
      </c>
      <c r="CO316" s="93" t="s">
        <v>324</v>
      </c>
      <c r="CP316" s="93" t="s">
        <v>324</v>
      </c>
      <c r="CQ316" s="93" t="s">
        <v>324</v>
      </c>
      <c r="CR316" s="93" t="s">
        <v>324</v>
      </c>
      <c r="CS316" s="93" t="s">
        <v>324</v>
      </c>
      <c r="CT316" s="93" t="s">
        <v>324</v>
      </c>
      <c r="CU316" s="93" t="s">
        <v>324</v>
      </c>
      <c r="CV316" s="93" t="s">
        <v>324</v>
      </c>
      <c r="CW316" s="93" t="s">
        <v>324</v>
      </c>
      <c r="CX316" s="93" t="s">
        <v>324</v>
      </c>
      <c r="CY316" s="93" t="s">
        <v>324</v>
      </c>
      <c r="CZ316" s="93" t="s">
        <v>324</v>
      </c>
      <c r="DA316" s="93" t="s">
        <v>324</v>
      </c>
      <c r="DB316" s="93" t="s">
        <v>324</v>
      </c>
      <c r="DC316" s="93" t="s">
        <v>324</v>
      </c>
      <c r="DD316" s="93" t="s">
        <v>324</v>
      </c>
      <c r="DE316" s="93" t="s">
        <v>324</v>
      </c>
      <c r="DF316" s="93" t="s">
        <v>324</v>
      </c>
      <c r="DG316" s="93" t="s">
        <v>324</v>
      </c>
      <c r="DH316" s="93" t="s">
        <v>324</v>
      </c>
      <c r="DI316" s="93" t="s">
        <v>324</v>
      </c>
      <c r="DJ316" s="93" t="s">
        <v>324</v>
      </c>
      <c r="DK316" s="93" t="s">
        <v>324</v>
      </c>
      <c r="DL316" s="93" t="s">
        <v>324</v>
      </c>
      <c r="DM316" s="93" t="s">
        <v>324</v>
      </c>
      <c r="DN316" s="93" t="s">
        <v>324</v>
      </c>
      <c r="DO316" s="93" t="s">
        <v>324</v>
      </c>
      <c r="DP316" s="93" t="s">
        <v>324</v>
      </c>
      <c r="DQ316" s="93" t="s">
        <v>324</v>
      </c>
      <c r="DR316" s="93" t="s">
        <v>324</v>
      </c>
      <c r="DS316" s="93" t="s">
        <v>324</v>
      </c>
      <c r="DT316" s="93" t="s">
        <v>324</v>
      </c>
      <c r="DU316" s="93" t="s">
        <v>324</v>
      </c>
      <c r="DV316" s="93" t="s">
        <v>324</v>
      </c>
      <c r="DW316" s="93" t="s">
        <v>324</v>
      </c>
      <c r="DX316" s="93" t="s">
        <v>324</v>
      </c>
      <c r="DY316" s="93" t="s">
        <v>324</v>
      </c>
      <c r="DZ316" s="93" t="s">
        <v>324</v>
      </c>
      <c r="EA316" s="93" t="s">
        <v>324</v>
      </c>
      <c r="EB316" s="93" t="s">
        <v>324</v>
      </c>
      <c r="EC316" s="93" t="s">
        <v>324</v>
      </c>
    </row>
    <row r="317" spans="1:173" s="93" customFormat="1">
      <c r="A317" s="335" t="s">
        <v>2634</v>
      </c>
      <c r="B317" s="335" t="s">
        <v>2634</v>
      </c>
      <c r="C317" s="93" t="s">
        <v>370</v>
      </c>
      <c r="D317" s="435" t="s">
        <v>710</v>
      </c>
      <c r="E317" s="435" t="s">
        <v>2636</v>
      </c>
      <c r="F317" s="443" t="s">
        <v>2940</v>
      </c>
      <c r="G317" s="93" t="s">
        <v>324</v>
      </c>
      <c r="H317" s="93" t="s">
        <v>394</v>
      </c>
      <c r="I317" s="499">
        <v>23.5</v>
      </c>
      <c r="J317" s="500">
        <v>23</v>
      </c>
      <c r="K317" s="203"/>
      <c r="L317" s="203"/>
      <c r="M317" s="203"/>
      <c r="P317" s="435" t="s">
        <v>324</v>
      </c>
      <c r="Q317" s="435" t="s">
        <v>324</v>
      </c>
      <c r="R317" s="435" t="s">
        <v>324</v>
      </c>
      <c r="S317" s="93" t="s">
        <v>2635</v>
      </c>
      <c r="T317" s="93" t="s">
        <v>713</v>
      </c>
      <c r="U317" s="435">
        <v>17</v>
      </c>
      <c r="V317" s="93" t="str" cm="1">
        <f t="array" ref="V317">IFERROR(INDEX('Offer Statistics'!$DS$2:$DS$350,MATCH(1,($B317='Offer Statistics'!$DD$2:$DD$350)*($B$11='Offer Statistics'!$DE$2:$DE$350),0)),"/")</f>
        <v>/</v>
      </c>
      <c r="W317" s="93" t="str" cm="1">
        <f t="array" ref="W317">IFERROR(INDEX('Offer Statistics'!$DF$2:$DF$350,MATCH(1,(B317='Offer Statistics'!$DD$2:$DD$350)*($B$11='Offer Statistics'!$DE$2:$DE$350),0)),"/")</f>
        <v>/</v>
      </c>
      <c r="X317" s="93" t="str" cm="1">
        <f t="array" ref="X317">IFERROR(INDEX('Offer Statistics'!$DN$2:$DN$350,MATCH(1,(B317='Offer Statistics'!$DD$2:$DD$350)*($B$11='Offer Statistics'!$DE$2:$DE$350),0)),"/")</f>
        <v>/</v>
      </c>
      <c r="Y317" s="93" t="str">
        <f t="shared" si="378"/>
        <v>新科目</v>
      </c>
      <c r="Z317" s="93" t="s">
        <v>713</v>
      </c>
      <c r="AA317" s="93">
        <f>入學要求!AF326</f>
        <v>0</v>
      </c>
      <c r="AB317" s="93" t="str">
        <f>入學要求!AG326</f>
        <v>/</v>
      </c>
      <c r="AC317" s="424" t="s">
        <v>785</v>
      </c>
      <c r="AD317" s="51"/>
      <c r="AE317" s="333"/>
      <c r="AF317" s="333"/>
      <c r="AG317" s="333"/>
      <c r="AH317" s="346" t="s">
        <v>810</v>
      </c>
      <c r="AI317" s="346" t="s">
        <v>3159</v>
      </c>
      <c r="AJ317" s="346" t="s">
        <v>324</v>
      </c>
      <c r="AK317" s="93" t="s">
        <v>324</v>
      </c>
      <c r="AL317" s="93" t="s">
        <v>324</v>
      </c>
      <c r="AM317" s="93" t="s">
        <v>324</v>
      </c>
      <c r="AN317" s="93" t="s">
        <v>324</v>
      </c>
      <c r="AO317" s="93" t="s">
        <v>324</v>
      </c>
      <c r="AP317" s="93" t="s">
        <v>324</v>
      </c>
      <c r="AQ317" s="93" t="s">
        <v>324</v>
      </c>
      <c r="AR317" s="93" t="s">
        <v>324</v>
      </c>
      <c r="AS317" s="93" t="s">
        <v>324</v>
      </c>
      <c r="AT317" s="93" t="s">
        <v>716</v>
      </c>
      <c r="AU317" s="93" t="s">
        <v>324</v>
      </c>
      <c r="AV317" s="93" t="s">
        <v>713</v>
      </c>
      <c r="AZ317" s="93" t="s">
        <v>324</v>
      </c>
      <c r="BA317" s="93" t="s">
        <v>324</v>
      </c>
      <c r="BB317" s="93" t="s">
        <v>324</v>
      </c>
      <c r="BC317" s="93" t="s">
        <v>324</v>
      </c>
      <c r="BD317" s="93" t="s">
        <v>324</v>
      </c>
      <c r="BE317" s="93" t="s">
        <v>324</v>
      </c>
      <c r="BF317" s="93" t="s">
        <v>324</v>
      </c>
      <c r="BG317" s="93" t="s">
        <v>324</v>
      </c>
      <c r="BH317" s="93" t="s">
        <v>324</v>
      </c>
      <c r="BI317" s="93" t="s">
        <v>324</v>
      </c>
      <c r="BJ317" s="93" t="s">
        <v>324</v>
      </c>
      <c r="BK317" s="93" t="s">
        <v>324</v>
      </c>
      <c r="BL317" s="93" t="s">
        <v>324</v>
      </c>
      <c r="BM317" s="93" t="s">
        <v>324</v>
      </c>
      <c r="BN317" s="93" t="s">
        <v>324</v>
      </c>
      <c r="BO317" s="93" t="s">
        <v>324</v>
      </c>
      <c r="BP317" s="93" t="s">
        <v>324</v>
      </c>
      <c r="BQ317" s="93" t="s">
        <v>324</v>
      </c>
      <c r="BR317" s="93" t="s">
        <v>324</v>
      </c>
      <c r="BS317" s="93" t="s">
        <v>324</v>
      </c>
      <c r="BT317" s="93" t="s">
        <v>324</v>
      </c>
      <c r="BU317" s="93" t="s">
        <v>324</v>
      </c>
      <c r="BV317" s="93" t="s">
        <v>324</v>
      </c>
      <c r="BW317" s="93" t="s">
        <v>324</v>
      </c>
      <c r="BX317" s="93" t="s">
        <v>324</v>
      </c>
      <c r="BY317" s="93" t="s">
        <v>324</v>
      </c>
      <c r="BZ317" s="93" t="s">
        <v>324</v>
      </c>
      <c r="CA317" s="93" t="s">
        <v>324</v>
      </c>
      <c r="CB317" s="93" t="s">
        <v>324</v>
      </c>
      <c r="CC317" s="93" t="s">
        <v>324</v>
      </c>
      <c r="CD317" s="93" t="s">
        <v>324</v>
      </c>
      <c r="CE317" s="93" t="s">
        <v>324</v>
      </c>
      <c r="CF317" s="93" t="s">
        <v>324</v>
      </c>
      <c r="CG317" s="93" t="s">
        <v>324</v>
      </c>
      <c r="CH317" s="93" t="s">
        <v>324</v>
      </c>
      <c r="CI317" s="93" t="s">
        <v>324</v>
      </c>
      <c r="CJ317" s="93" t="s">
        <v>324</v>
      </c>
      <c r="CK317" s="93" t="s">
        <v>324</v>
      </c>
      <c r="CL317" s="93" t="s">
        <v>324</v>
      </c>
      <c r="CM317" s="93" t="s">
        <v>324</v>
      </c>
      <c r="CN317" s="93" t="s">
        <v>324</v>
      </c>
      <c r="CO317" s="93" t="s">
        <v>324</v>
      </c>
      <c r="CP317" s="93" t="s">
        <v>324</v>
      </c>
      <c r="CQ317" s="93" t="s">
        <v>324</v>
      </c>
      <c r="CR317" s="93" t="s">
        <v>324</v>
      </c>
      <c r="CS317" s="93" t="s">
        <v>324</v>
      </c>
      <c r="CT317" s="93" t="s">
        <v>324</v>
      </c>
      <c r="CU317" s="93" t="s">
        <v>324</v>
      </c>
      <c r="CV317" s="93" t="s">
        <v>324</v>
      </c>
      <c r="CW317" s="93" t="s">
        <v>324</v>
      </c>
      <c r="CX317" s="93" t="s">
        <v>324</v>
      </c>
      <c r="CY317" s="93" t="s">
        <v>324</v>
      </c>
      <c r="CZ317" s="93" t="s">
        <v>324</v>
      </c>
      <c r="DA317" s="93" t="s">
        <v>324</v>
      </c>
      <c r="DB317" s="93" t="s">
        <v>324</v>
      </c>
      <c r="DC317" s="93" t="s">
        <v>324</v>
      </c>
      <c r="DD317" s="93" t="s">
        <v>324</v>
      </c>
      <c r="DE317" s="93" t="s">
        <v>324</v>
      </c>
      <c r="DF317" s="93" t="s">
        <v>324</v>
      </c>
      <c r="DG317" s="93" t="s">
        <v>324</v>
      </c>
      <c r="DH317" s="93" t="s">
        <v>324</v>
      </c>
      <c r="DI317" s="93" t="s">
        <v>324</v>
      </c>
      <c r="DJ317" s="93" t="s">
        <v>324</v>
      </c>
      <c r="DK317" s="93" t="s">
        <v>324</v>
      </c>
      <c r="DL317" s="93" t="s">
        <v>324</v>
      </c>
      <c r="DM317" s="93" t="s">
        <v>324</v>
      </c>
      <c r="DN317" s="93" t="s">
        <v>324</v>
      </c>
      <c r="DO317" s="93" t="s">
        <v>324</v>
      </c>
      <c r="DP317" s="93" t="s">
        <v>324</v>
      </c>
      <c r="DQ317" s="93" t="s">
        <v>324</v>
      </c>
      <c r="DR317" s="93" t="s">
        <v>324</v>
      </c>
      <c r="DS317" s="93" t="s">
        <v>324</v>
      </c>
      <c r="DT317" s="93" t="s">
        <v>324</v>
      </c>
      <c r="DU317" s="93" t="s">
        <v>324</v>
      </c>
      <c r="DV317" s="93" t="s">
        <v>324</v>
      </c>
      <c r="DW317" s="93" t="s">
        <v>324</v>
      </c>
      <c r="DX317" s="93" t="s">
        <v>324</v>
      </c>
      <c r="DY317" s="93" t="s">
        <v>324</v>
      </c>
      <c r="DZ317" s="93" t="s">
        <v>324</v>
      </c>
      <c r="EA317" s="93" t="s">
        <v>324</v>
      </c>
      <c r="EB317" s="93" t="s">
        <v>324</v>
      </c>
      <c r="EC317" s="93" t="s">
        <v>324</v>
      </c>
    </row>
    <row r="318" spans="1:173" s="93" customFormat="1">
      <c r="A318" s="335" t="s">
        <v>2637</v>
      </c>
      <c r="B318" s="335" t="s">
        <v>2637</v>
      </c>
      <c r="C318" s="93" t="s">
        <v>370</v>
      </c>
      <c r="D318" s="435" t="s">
        <v>710</v>
      </c>
      <c r="E318" s="435" t="s">
        <v>2639</v>
      </c>
      <c r="F318" s="443" t="s">
        <v>2940</v>
      </c>
      <c r="G318" s="93" t="s">
        <v>324</v>
      </c>
      <c r="H318" s="93" t="s">
        <v>394</v>
      </c>
      <c r="I318" s="499">
        <v>23.5</v>
      </c>
      <c r="J318" s="500">
        <v>23</v>
      </c>
      <c r="K318" s="203"/>
      <c r="L318" s="203"/>
      <c r="M318" s="203"/>
      <c r="P318" s="435" t="s">
        <v>324</v>
      </c>
      <c r="Q318" s="435" t="s">
        <v>324</v>
      </c>
      <c r="R318" s="435" t="s">
        <v>324</v>
      </c>
      <c r="S318" s="93" t="s">
        <v>2638</v>
      </c>
      <c r="T318" s="93" t="s">
        <v>713</v>
      </c>
      <c r="U318" s="435">
        <v>36</v>
      </c>
      <c r="V318" s="93" t="str" cm="1">
        <f t="array" ref="V318">IFERROR(INDEX('Offer Statistics'!$DS$2:$DS$350,MATCH(1,($B318='Offer Statistics'!$DD$2:$DD$350)*($B$11='Offer Statistics'!$DE$2:$DE$350),0)),"/")</f>
        <v>/</v>
      </c>
      <c r="W318" s="93" t="str" cm="1">
        <f t="array" ref="W318">IFERROR(INDEX('Offer Statistics'!$DF$2:$DF$350,MATCH(1,(B318='Offer Statistics'!$DD$2:$DD$350)*($B$11='Offer Statistics'!$DE$2:$DE$350),0)),"/")</f>
        <v>/</v>
      </c>
      <c r="X318" s="93" t="str" cm="1">
        <f t="array" ref="X318">IFERROR(INDEX('Offer Statistics'!$DN$2:$DN$350,MATCH(1,(B318='Offer Statistics'!$DD$2:$DD$350)*($B$11='Offer Statistics'!$DE$2:$DE$350),0)),"/")</f>
        <v>/</v>
      </c>
      <c r="Y318" s="93" t="str">
        <f t="shared" si="378"/>
        <v>新科目</v>
      </c>
      <c r="Z318" s="93" t="s">
        <v>713</v>
      </c>
      <c r="AA318" s="93">
        <f>入學要求!AF327</f>
        <v>0</v>
      </c>
      <c r="AB318" s="93" t="str">
        <f>入學要求!AG327</f>
        <v>/</v>
      </c>
      <c r="AC318" s="424" t="s">
        <v>785</v>
      </c>
      <c r="AD318" s="51"/>
      <c r="AE318" s="333"/>
      <c r="AF318" s="333"/>
      <c r="AG318" s="333"/>
      <c r="AH318" s="346" t="s">
        <v>810</v>
      </c>
      <c r="AI318" s="346" t="s">
        <v>3159</v>
      </c>
      <c r="AJ318" s="346" t="s">
        <v>324</v>
      </c>
      <c r="AK318" s="93" t="s">
        <v>324</v>
      </c>
      <c r="AL318" s="93" t="s">
        <v>324</v>
      </c>
      <c r="AM318" s="93" t="s">
        <v>324</v>
      </c>
      <c r="AN318" s="93" t="s">
        <v>324</v>
      </c>
      <c r="AO318" s="93" t="s">
        <v>324</v>
      </c>
      <c r="AP318" s="93" t="s">
        <v>324</v>
      </c>
      <c r="AQ318" s="93" t="s">
        <v>324</v>
      </c>
      <c r="AR318" s="93" t="s">
        <v>324</v>
      </c>
      <c r="AS318" s="93" t="s">
        <v>324</v>
      </c>
      <c r="AT318" s="93" t="s">
        <v>716</v>
      </c>
      <c r="AU318" s="93" t="s">
        <v>324</v>
      </c>
      <c r="AV318" s="93" t="s">
        <v>713</v>
      </c>
      <c r="AZ318" s="93" t="s">
        <v>324</v>
      </c>
      <c r="BA318" s="93" t="s">
        <v>324</v>
      </c>
      <c r="BB318" s="93" t="s">
        <v>324</v>
      </c>
      <c r="BC318" s="93" t="s">
        <v>324</v>
      </c>
      <c r="BD318" s="93" t="s">
        <v>324</v>
      </c>
      <c r="BE318" s="93" t="s">
        <v>324</v>
      </c>
      <c r="BF318" s="93" t="s">
        <v>324</v>
      </c>
      <c r="BG318" s="93" t="s">
        <v>324</v>
      </c>
      <c r="BH318" s="93" t="s">
        <v>324</v>
      </c>
      <c r="BI318" s="93" t="s">
        <v>324</v>
      </c>
      <c r="BJ318" s="93" t="s">
        <v>324</v>
      </c>
      <c r="BK318" s="93" t="s">
        <v>324</v>
      </c>
      <c r="BL318" s="93" t="s">
        <v>324</v>
      </c>
      <c r="BM318" s="93" t="s">
        <v>324</v>
      </c>
      <c r="BN318" s="93" t="s">
        <v>324</v>
      </c>
      <c r="BO318" s="93" t="s">
        <v>324</v>
      </c>
      <c r="BP318" s="93" t="s">
        <v>324</v>
      </c>
      <c r="BQ318" s="93" t="s">
        <v>324</v>
      </c>
      <c r="BR318" s="93" t="s">
        <v>324</v>
      </c>
      <c r="BS318" s="93" t="s">
        <v>324</v>
      </c>
      <c r="BT318" s="93" t="s">
        <v>324</v>
      </c>
      <c r="BU318" s="93" t="s">
        <v>324</v>
      </c>
      <c r="BV318" s="93" t="s">
        <v>324</v>
      </c>
      <c r="BW318" s="93" t="s">
        <v>324</v>
      </c>
      <c r="BX318" s="93" t="s">
        <v>324</v>
      </c>
      <c r="BY318" s="93" t="s">
        <v>324</v>
      </c>
      <c r="BZ318" s="93" t="s">
        <v>324</v>
      </c>
      <c r="CA318" s="93" t="s">
        <v>324</v>
      </c>
      <c r="CB318" s="93" t="s">
        <v>324</v>
      </c>
      <c r="CC318" s="93" t="s">
        <v>324</v>
      </c>
      <c r="CD318" s="93" t="s">
        <v>324</v>
      </c>
      <c r="CE318" s="93" t="s">
        <v>324</v>
      </c>
      <c r="CF318" s="93" t="s">
        <v>324</v>
      </c>
      <c r="CG318" s="93" t="s">
        <v>324</v>
      </c>
      <c r="CH318" s="93" t="s">
        <v>324</v>
      </c>
      <c r="CI318" s="93" t="s">
        <v>324</v>
      </c>
      <c r="CJ318" s="93" t="s">
        <v>324</v>
      </c>
      <c r="CK318" s="93" t="s">
        <v>324</v>
      </c>
      <c r="CL318" s="93" t="s">
        <v>324</v>
      </c>
      <c r="CM318" s="93" t="s">
        <v>324</v>
      </c>
      <c r="CN318" s="93" t="s">
        <v>324</v>
      </c>
      <c r="CO318" s="93" t="s">
        <v>324</v>
      </c>
      <c r="CP318" s="93" t="s">
        <v>324</v>
      </c>
      <c r="CQ318" s="93" t="s">
        <v>324</v>
      </c>
      <c r="CR318" s="93" t="s">
        <v>324</v>
      </c>
      <c r="CS318" s="93" t="s">
        <v>324</v>
      </c>
      <c r="CT318" s="93" t="s">
        <v>324</v>
      </c>
      <c r="CU318" s="93" t="s">
        <v>324</v>
      </c>
      <c r="CV318" s="93" t="s">
        <v>324</v>
      </c>
      <c r="CW318" s="93" t="s">
        <v>324</v>
      </c>
      <c r="CX318" s="93" t="s">
        <v>324</v>
      </c>
      <c r="CY318" s="93" t="s">
        <v>324</v>
      </c>
      <c r="CZ318" s="93" t="s">
        <v>324</v>
      </c>
      <c r="DA318" s="93" t="s">
        <v>324</v>
      </c>
      <c r="DB318" s="93" t="s">
        <v>324</v>
      </c>
      <c r="DC318" s="93" t="s">
        <v>324</v>
      </c>
      <c r="DD318" s="93" t="s">
        <v>324</v>
      </c>
      <c r="DE318" s="93" t="s">
        <v>324</v>
      </c>
      <c r="DF318" s="93" t="s">
        <v>324</v>
      </c>
      <c r="DG318" s="93" t="s">
        <v>324</v>
      </c>
      <c r="DH318" s="93" t="s">
        <v>324</v>
      </c>
      <c r="DI318" s="93" t="s">
        <v>324</v>
      </c>
      <c r="DJ318" s="93" t="s">
        <v>324</v>
      </c>
      <c r="DK318" s="93" t="s">
        <v>324</v>
      </c>
      <c r="DL318" s="93" t="s">
        <v>324</v>
      </c>
      <c r="DM318" s="93" t="s">
        <v>324</v>
      </c>
      <c r="DN318" s="93" t="s">
        <v>324</v>
      </c>
      <c r="DO318" s="93" t="s">
        <v>324</v>
      </c>
      <c r="DP318" s="93" t="s">
        <v>324</v>
      </c>
      <c r="DQ318" s="93" t="s">
        <v>324</v>
      </c>
      <c r="DR318" s="93" t="s">
        <v>324</v>
      </c>
      <c r="DS318" s="93" t="s">
        <v>324</v>
      </c>
      <c r="DT318" s="93" t="s">
        <v>324</v>
      </c>
      <c r="DU318" s="93" t="s">
        <v>324</v>
      </c>
      <c r="DV318" s="93" t="s">
        <v>324</v>
      </c>
      <c r="DW318" s="93" t="s">
        <v>324</v>
      </c>
      <c r="DX318" s="93" t="s">
        <v>324</v>
      </c>
      <c r="DY318" s="93" t="s">
        <v>324</v>
      </c>
      <c r="DZ318" s="93" t="s">
        <v>324</v>
      </c>
      <c r="EA318" s="93" t="s">
        <v>324</v>
      </c>
      <c r="EB318" s="93" t="s">
        <v>324</v>
      </c>
      <c r="EC318" s="93" t="s">
        <v>324</v>
      </c>
    </row>
    <row r="319" spans="1:173" s="93" customFormat="1">
      <c r="A319" s="335" t="s">
        <v>1585</v>
      </c>
      <c r="B319" s="335" t="s">
        <v>1585</v>
      </c>
      <c r="C319" s="93" t="s">
        <v>370</v>
      </c>
      <c r="D319" s="435" t="s">
        <v>710</v>
      </c>
      <c r="E319" s="435" t="s">
        <v>1586</v>
      </c>
      <c r="F319" s="501" t="s">
        <v>785</v>
      </c>
      <c r="G319" s="93" t="s">
        <v>324</v>
      </c>
      <c r="H319" s="93" t="s">
        <v>394</v>
      </c>
      <c r="I319" s="435">
        <v>23.5</v>
      </c>
      <c r="J319" s="497">
        <v>23</v>
      </c>
      <c r="K319" s="203"/>
      <c r="L319" s="203"/>
      <c r="M319" s="203"/>
      <c r="P319" s="435" t="s">
        <v>770</v>
      </c>
      <c r="Q319" s="435" t="s">
        <v>780</v>
      </c>
      <c r="R319" s="435" t="s">
        <v>324</v>
      </c>
      <c r="S319" s="93" t="s">
        <v>2640</v>
      </c>
      <c r="T319" s="93" t="s">
        <v>713</v>
      </c>
      <c r="U319" s="435">
        <v>30</v>
      </c>
      <c r="V319" s="93" cm="1">
        <f t="array" ref="V319">IFERROR(INDEX('Offer Statistics'!$DS$2:$DS$350,MATCH(1,($B319='Offer Statistics'!$DD$2:$DD$350)*($B$11='Offer Statistics'!$DE$2:$DE$350),0)),"/")</f>
        <v>37</v>
      </c>
      <c r="W319" s="93" cm="1">
        <f t="array" ref="W319">IFERROR(INDEX('Offer Statistics'!$DF$2:$DF$350,MATCH(1,(B319='Offer Statistics'!$DD$2:$DD$350)*($B$11='Offer Statistics'!$DE$2:$DE$350),0)),"/")</f>
        <v>252</v>
      </c>
      <c r="X319" s="93" cm="1">
        <f t="array" ref="X319">IFERROR(INDEX('Offer Statistics'!$DN$2:$DN$350,MATCH(1,(B319='Offer Statistics'!$DD$2:$DD$350)*($B$11='Offer Statistics'!$DE$2:$DE$350),0)),"/")</f>
        <v>11</v>
      </c>
      <c r="Y319" s="93">
        <f t="shared" si="378"/>
        <v>22.90909090909091</v>
      </c>
      <c r="Z319" s="93" t="s">
        <v>713</v>
      </c>
      <c r="AA319" s="93">
        <f>入學要求!AF328</f>
        <v>0</v>
      </c>
      <c r="AB319" s="93" t="str">
        <f>入學要求!AG328</f>
        <v>/</v>
      </c>
      <c r="AC319" s="431" t="s">
        <v>785</v>
      </c>
      <c r="AD319" s="431" t="s">
        <v>3160</v>
      </c>
      <c r="AE319" s="333"/>
      <c r="AF319" s="333" t="s">
        <v>324</v>
      </c>
      <c r="AG319" s="333" t="s">
        <v>324</v>
      </c>
      <c r="AH319" s="431" t="s">
        <v>810</v>
      </c>
      <c r="AI319" s="431" t="s">
        <v>3159</v>
      </c>
      <c r="AJ319" s="431" t="s">
        <v>324</v>
      </c>
      <c r="AK319" s="93" t="s">
        <v>324</v>
      </c>
      <c r="AL319" s="93" t="s">
        <v>324</v>
      </c>
      <c r="AM319" s="93" t="s">
        <v>324</v>
      </c>
      <c r="AN319" s="93" t="s">
        <v>324</v>
      </c>
      <c r="AO319" s="93" t="s">
        <v>324</v>
      </c>
      <c r="AP319" s="93" t="s">
        <v>324</v>
      </c>
      <c r="AQ319" s="93" t="s">
        <v>324</v>
      </c>
      <c r="AR319" s="93" t="s">
        <v>324</v>
      </c>
      <c r="AS319" s="93" t="s">
        <v>324</v>
      </c>
      <c r="AT319" s="93" t="s">
        <v>716</v>
      </c>
      <c r="AU319" s="93" t="s">
        <v>324</v>
      </c>
      <c r="AV319" s="93" t="s">
        <v>713</v>
      </c>
      <c r="AZ319" s="93" t="s">
        <v>324</v>
      </c>
      <c r="BA319" s="93" t="s">
        <v>324</v>
      </c>
      <c r="BB319" s="93" t="s">
        <v>324</v>
      </c>
      <c r="BC319" s="93" t="s">
        <v>324</v>
      </c>
      <c r="BD319" s="93" t="s">
        <v>324</v>
      </c>
      <c r="BE319" s="93" t="s">
        <v>324</v>
      </c>
      <c r="BF319" s="93" t="s">
        <v>324</v>
      </c>
      <c r="BG319" s="93" t="s">
        <v>324</v>
      </c>
      <c r="BH319" s="93" t="s">
        <v>324</v>
      </c>
      <c r="BI319" s="93" t="s">
        <v>324</v>
      </c>
      <c r="BJ319" s="93" t="s">
        <v>324</v>
      </c>
      <c r="BK319" s="93" t="s">
        <v>324</v>
      </c>
      <c r="BL319" s="93" t="s">
        <v>324</v>
      </c>
      <c r="BM319" s="93" t="s">
        <v>324</v>
      </c>
      <c r="BN319" s="93" t="s">
        <v>324</v>
      </c>
      <c r="BO319" s="93" t="s">
        <v>324</v>
      </c>
      <c r="BP319" s="93" t="s">
        <v>324</v>
      </c>
      <c r="BQ319" s="93" t="s">
        <v>324</v>
      </c>
      <c r="BR319" s="93" t="s">
        <v>324</v>
      </c>
      <c r="BS319" s="93" t="s">
        <v>324</v>
      </c>
      <c r="BT319" s="93" t="s">
        <v>324</v>
      </c>
      <c r="BU319" s="93" t="s">
        <v>324</v>
      </c>
      <c r="BV319" s="93" t="s">
        <v>324</v>
      </c>
      <c r="BW319" s="93" t="s">
        <v>324</v>
      </c>
      <c r="BX319" s="93" t="s">
        <v>324</v>
      </c>
      <c r="BY319" s="93" t="s">
        <v>324</v>
      </c>
      <c r="BZ319" s="93" t="s">
        <v>324</v>
      </c>
      <c r="CA319" s="93" t="s">
        <v>324</v>
      </c>
      <c r="CB319" s="93" t="s">
        <v>324</v>
      </c>
      <c r="CC319" s="93" t="s">
        <v>324</v>
      </c>
      <c r="CD319" s="93" t="s">
        <v>324</v>
      </c>
      <c r="CE319" s="93" t="s">
        <v>324</v>
      </c>
      <c r="CF319" s="93" t="s">
        <v>324</v>
      </c>
      <c r="CG319" s="93" t="s">
        <v>324</v>
      </c>
      <c r="CH319" s="93" t="s">
        <v>324</v>
      </c>
      <c r="CI319" s="93" t="s">
        <v>324</v>
      </c>
      <c r="CJ319" s="93" t="s">
        <v>324</v>
      </c>
      <c r="CK319" s="93" t="s">
        <v>324</v>
      </c>
      <c r="CL319" s="93" t="s">
        <v>324</v>
      </c>
      <c r="CM319" s="93" t="s">
        <v>324</v>
      </c>
      <c r="CN319" s="93" t="s">
        <v>324</v>
      </c>
      <c r="CO319" s="93" t="s">
        <v>324</v>
      </c>
      <c r="CP319" s="93" t="s">
        <v>324</v>
      </c>
      <c r="CQ319" s="93" t="s">
        <v>324</v>
      </c>
      <c r="CR319" s="93" t="s">
        <v>324</v>
      </c>
      <c r="CS319" s="93" t="s">
        <v>324</v>
      </c>
      <c r="CT319" s="93" t="s">
        <v>324</v>
      </c>
      <c r="CU319" s="93" t="s">
        <v>324</v>
      </c>
      <c r="CV319" s="93" t="s">
        <v>324</v>
      </c>
      <c r="CW319" s="93" t="s">
        <v>324</v>
      </c>
      <c r="CX319" s="93" t="s">
        <v>324</v>
      </c>
      <c r="CY319" s="93" t="s">
        <v>324</v>
      </c>
      <c r="CZ319" s="93" t="s">
        <v>324</v>
      </c>
      <c r="DA319" s="93" t="s">
        <v>324</v>
      </c>
      <c r="DB319" s="93" t="s">
        <v>324</v>
      </c>
      <c r="DC319" s="93" t="s">
        <v>324</v>
      </c>
      <c r="DD319" s="93" t="s">
        <v>324</v>
      </c>
      <c r="DE319" s="93" t="s">
        <v>324</v>
      </c>
      <c r="DF319" s="93" t="s">
        <v>324</v>
      </c>
      <c r="DG319" s="93" t="s">
        <v>324</v>
      </c>
      <c r="DH319" s="93" t="s">
        <v>324</v>
      </c>
      <c r="DI319" s="93" t="s">
        <v>324</v>
      </c>
      <c r="DJ319" s="93" t="s">
        <v>324</v>
      </c>
      <c r="DK319" s="93" t="s">
        <v>324</v>
      </c>
      <c r="DL319" s="93" t="s">
        <v>324</v>
      </c>
      <c r="DM319" s="93" t="s">
        <v>324</v>
      </c>
      <c r="DN319" s="93" t="s">
        <v>324</v>
      </c>
      <c r="DO319" s="93" t="s">
        <v>324</v>
      </c>
      <c r="DP319" s="93" t="s">
        <v>324</v>
      </c>
      <c r="DQ319" s="93" t="s">
        <v>324</v>
      </c>
      <c r="DR319" s="93" t="s">
        <v>324</v>
      </c>
      <c r="DS319" s="93" t="s">
        <v>324</v>
      </c>
      <c r="DT319" s="93" t="s">
        <v>324</v>
      </c>
      <c r="DU319" s="93" t="s">
        <v>324</v>
      </c>
      <c r="DV319" s="93" t="s">
        <v>324</v>
      </c>
      <c r="DW319" s="93" t="s">
        <v>324</v>
      </c>
      <c r="DX319" s="93" t="s">
        <v>324</v>
      </c>
      <c r="DY319" s="93" t="s">
        <v>324</v>
      </c>
      <c r="DZ319" s="93" t="s">
        <v>324</v>
      </c>
      <c r="EA319" s="93" t="s">
        <v>324</v>
      </c>
      <c r="EB319" s="93" t="s">
        <v>324</v>
      </c>
      <c r="EC319" s="93" t="s">
        <v>324</v>
      </c>
    </row>
    <row r="320" spans="1:173" s="379" customFormat="1">
      <c r="A320" s="335" t="s">
        <v>1588</v>
      </c>
      <c r="B320" s="335" t="s">
        <v>1588</v>
      </c>
      <c r="C320" s="93" t="s">
        <v>370</v>
      </c>
      <c r="D320" s="435" t="s">
        <v>710</v>
      </c>
      <c r="E320" s="435" t="s">
        <v>1589</v>
      </c>
      <c r="F320" s="501" t="s">
        <v>785</v>
      </c>
      <c r="G320" s="93" t="s">
        <v>324</v>
      </c>
      <c r="H320" s="93" t="s">
        <v>394</v>
      </c>
      <c r="I320" s="435">
        <v>29.75</v>
      </c>
      <c r="J320" s="497">
        <v>28.88</v>
      </c>
      <c r="K320" s="406"/>
      <c r="L320" s="406"/>
      <c r="M320" s="406"/>
      <c r="N320" s="93"/>
      <c r="O320" s="93"/>
      <c r="P320" s="435" t="s">
        <v>2483</v>
      </c>
      <c r="Q320" s="435" t="s">
        <v>2482</v>
      </c>
      <c r="R320" s="435"/>
      <c r="S320" s="379" t="s">
        <v>1590</v>
      </c>
      <c r="T320" s="93" t="s">
        <v>713</v>
      </c>
      <c r="U320" s="435">
        <v>25</v>
      </c>
      <c r="V320" s="93" cm="1">
        <f t="array" ref="V320">IFERROR(INDEX('Offer Statistics'!$DS$2:$DS$350,MATCH(1,($B320='Offer Statistics'!$DD$2:$DD$350)*($B$11='Offer Statistics'!$DE$2:$DE$350),0)),"/")</f>
        <v>40</v>
      </c>
      <c r="W320" s="93" cm="1">
        <f t="array" ref="W320">IFERROR(INDEX('Offer Statistics'!$DF$2:$DF$350,MATCH(1,(B320='Offer Statistics'!$DD$2:$DD$350)*($B$11='Offer Statistics'!$DE$2:$DE$350),0)),"/")</f>
        <v>234</v>
      </c>
      <c r="X320" s="93" cm="1">
        <f t="array" ref="X320">IFERROR(INDEX('Offer Statistics'!$DN$2:$DN$350,MATCH(1,(B320='Offer Statistics'!$DD$2:$DD$350)*($B$11='Offer Statistics'!$DE$2:$DE$350),0)),"/")</f>
        <v>17</v>
      </c>
      <c r="Y320" s="93">
        <f t="shared" si="378"/>
        <v>13.764705882352942</v>
      </c>
      <c r="Z320" s="93" t="s">
        <v>713</v>
      </c>
      <c r="AA320" s="93">
        <f>入學要求!AF329</f>
        <v>0</v>
      </c>
      <c r="AB320" s="93" t="str">
        <f>入學要求!AG329</f>
        <v>/</v>
      </c>
      <c r="AC320" s="425" t="s">
        <v>785</v>
      </c>
      <c r="AF320" s="379" t="s">
        <v>324</v>
      </c>
      <c r="AG320" s="379" t="s">
        <v>324</v>
      </c>
      <c r="AH320" s="426" t="s">
        <v>2483</v>
      </c>
      <c r="AI320" s="426" t="s">
        <v>2482</v>
      </c>
      <c r="AJ320" s="426"/>
      <c r="AK320" s="93"/>
      <c r="AL320" s="93"/>
      <c r="AM320" s="93" t="s">
        <v>324</v>
      </c>
      <c r="AN320" s="93" t="s">
        <v>324</v>
      </c>
      <c r="AO320" s="93" t="s">
        <v>324</v>
      </c>
      <c r="AP320" s="93" t="s">
        <v>324</v>
      </c>
      <c r="AQ320" s="93" t="s">
        <v>324</v>
      </c>
      <c r="AR320" s="93" t="s">
        <v>324</v>
      </c>
      <c r="AS320" s="93" t="s">
        <v>324</v>
      </c>
      <c r="AT320" s="93" t="s">
        <v>716</v>
      </c>
      <c r="AU320" s="93" t="s">
        <v>324</v>
      </c>
      <c r="AV320" s="93" t="s">
        <v>713</v>
      </c>
      <c r="AZ320" s="93" t="s">
        <v>324</v>
      </c>
      <c r="BA320" s="93" t="s">
        <v>324</v>
      </c>
      <c r="BB320" s="93" t="s">
        <v>324</v>
      </c>
      <c r="BC320" s="93" t="s">
        <v>324</v>
      </c>
      <c r="BD320" s="93" t="s">
        <v>324</v>
      </c>
      <c r="BE320" s="93" t="s">
        <v>324</v>
      </c>
      <c r="BF320" s="93" t="s">
        <v>324</v>
      </c>
      <c r="BG320" s="93" t="s">
        <v>324</v>
      </c>
      <c r="BH320" s="93" t="s">
        <v>324</v>
      </c>
      <c r="BI320" s="93" t="s">
        <v>324</v>
      </c>
      <c r="BJ320" s="93" t="s">
        <v>324</v>
      </c>
      <c r="BK320" s="93" t="s">
        <v>324</v>
      </c>
      <c r="BL320" s="93" t="s">
        <v>324</v>
      </c>
      <c r="BM320" s="93" t="s">
        <v>324</v>
      </c>
      <c r="BN320" s="93" t="s">
        <v>324</v>
      </c>
      <c r="BO320" s="93" t="s">
        <v>324</v>
      </c>
      <c r="BP320" s="93" t="s">
        <v>324</v>
      </c>
      <c r="BQ320" s="93" t="s">
        <v>324</v>
      </c>
      <c r="BR320" s="93" t="s">
        <v>324</v>
      </c>
      <c r="BS320" s="93" t="s">
        <v>324</v>
      </c>
      <c r="BT320" s="93" t="s">
        <v>324</v>
      </c>
      <c r="BU320" s="93" t="s">
        <v>324</v>
      </c>
      <c r="BV320" s="93" t="s">
        <v>324</v>
      </c>
      <c r="BW320" s="93" t="s">
        <v>324</v>
      </c>
      <c r="BX320" s="93" t="s">
        <v>324</v>
      </c>
      <c r="BY320" s="93" t="s">
        <v>324</v>
      </c>
      <c r="BZ320" s="93" t="s">
        <v>324</v>
      </c>
      <c r="CA320" s="93" t="s">
        <v>324</v>
      </c>
      <c r="CB320" s="93" t="s">
        <v>324</v>
      </c>
      <c r="CC320" s="93" t="s">
        <v>324</v>
      </c>
      <c r="CD320" s="93" t="s">
        <v>324</v>
      </c>
      <c r="CE320" s="93" t="s">
        <v>324</v>
      </c>
      <c r="CF320" s="93" t="s">
        <v>324</v>
      </c>
      <c r="CG320" s="93" t="s">
        <v>324</v>
      </c>
      <c r="CH320" s="93" t="s">
        <v>324</v>
      </c>
      <c r="CI320" s="93" t="s">
        <v>324</v>
      </c>
      <c r="CJ320" s="93" t="s">
        <v>324</v>
      </c>
      <c r="CK320" s="93" t="s">
        <v>324</v>
      </c>
      <c r="CL320" s="93" t="s">
        <v>324</v>
      </c>
      <c r="CM320" s="93" t="s">
        <v>324</v>
      </c>
      <c r="CN320" s="93" t="s">
        <v>324</v>
      </c>
      <c r="CO320" s="93" t="s">
        <v>324</v>
      </c>
      <c r="CP320" s="93" t="s">
        <v>324</v>
      </c>
      <c r="CQ320" s="93" t="s">
        <v>324</v>
      </c>
      <c r="CR320" s="93" t="s">
        <v>324</v>
      </c>
      <c r="CS320" s="93" t="s">
        <v>324</v>
      </c>
      <c r="CT320" s="93" t="s">
        <v>324</v>
      </c>
      <c r="CU320" s="93" t="s">
        <v>324</v>
      </c>
      <c r="CV320" s="93" t="s">
        <v>324</v>
      </c>
      <c r="CW320" s="93" t="s">
        <v>324</v>
      </c>
      <c r="CX320" s="93" t="s">
        <v>324</v>
      </c>
      <c r="CY320" s="93" t="s">
        <v>324</v>
      </c>
      <c r="CZ320" s="93" t="s">
        <v>324</v>
      </c>
      <c r="DA320" s="93" t="s">
        <v>324</v>
      </c>
      <c r="DB320" s="93" t="s">
        <v>324</v>
      </c>
      <c r="DC320" s="93" t="s">
        <v>324</v>
      </c>
      <c r="DD320" s="93" t="s">
        <v>324</v>
      </c>
      <c r="DE320" s="93" t="s">
        <v>324</v>
      </c>
      <c r="DF320" s="93" t="s">
        <v>324</v>
      </c>
      <c r="DG320" s="93" t="s">
        <v>324</v>
      </c>
      <c r="DH320" s="93" t="s">
        <v>324</v>
      </c>
      <c r="DI320" s="93" t="s">
        <v>324</v>
      </c>
      <c r="DJ320" s="93" t="s">
        <v>324</v>
      </c>
      <c r="DK320" s="93" t="s">
        <v>324</v>
      </c>
      <c r="DL320" s="93" t="s">
        <v>324</v>
      </c>
      <c r="DM320" s="93" t="s">
        <v>324</v>
      </c>
      <c r="DN320" s="93" t="s">
        <v>324</v>
      </c>
      <c r="DO320" s="93" t="s">
        <v>324</v>
      </c>
      <c r="DP320" s="93" t="s">
        <v>324</v>
      </c>
      <c r="DQ320" s="93" t="s">
        <v>324</v>
      </c>
      <c r="DR320" s="93" t="s">
        <v>324</v>
      </c>
      <c r="DS320" s="93" t="s">
        <v>324</v>
      </c>
      <c r="DT320" s="93" t="s">
        <v>324</v>
      </c>
      <c r="DU320" s="93" t="s">
        <v>324</v>
      </c>
      <c r="DV320" s="93" t="s">
        <v>324</v>
      </c>
      <c r="DW320" s="93" t="s">
        <v>324</v>
      </c>
      <c r="DX320" s="93" t="s">
        <v>324</v>
      </c>
      <c r="DY320" s="93" t="s">
        <v>324</v>
      </c>
      <c r="DZ320" s="93" t="s">
        <v>324</v>
      </c>
      <c r="EA320" s="93" t="s">
        <v>324</v>
      </c>
      <c r="EB320" s="93" t="s">
        <v>324</v>
      </c>
      <c r="EC320" s="93" t="s">
        <v>324</v>
      </c>
    </row>
    <row r="321" spans="1:133" s="379" customFormat="1">
      <c r="A321" s="335" t="s">
        <v>1591</v>
      </c>
      <c r="B321" s="335" t="s">
        <v>1591</v>
      </c>
      <c r="C321" s="93" t="s">
        <v>370</v>
      </c>
      <c r="D321" s="435" t="s">
        <v>1010</v>
      </c>
      <c r="E321" s="435" t="s">
        <v>1592</v>
      </c>
      <c r="F321" s="501" t="s">
        <v>785</v>
      </c>
      <c r="G321" s="93" t="s">
        <v>324</v>
      </c>
      <c r="H321" s="93" t="s">
        <v>394</v>
      </c>
      <c r="I321" s="435">
        <v>26</v>
      </c>
      <c r="J321" s="497">
        <v>25</v>
      </c>
      <c r="K321" s="406"/>
      <c r="L321" s="406"/>
      <c r="M321" s="406"/>
      <c r="N321" s="93"/>
      <c r="O321" s="93"/>
      <c r="P321" s="435" t="s">
        <v>770</v>
      </c>
      <c r="Q321" s="435" t="s">
        <v>2486</v>
      </c>
      <c r="R321" s="435"/>
      <c r="S321" s="379" t="s">
        <v>1593</v>
      </c>
      <c r="T321" s="93" t="s">
        <v>713</v>
      </c>
      <c r="U321" s="435">
        <v>14</v>
      </c>
      <c r="V321" s="93" cm="1">
        <f t="array" ref="V321">IFERROR(INDEX('Offer Statistics'!$DS$2:$DS$350,MATCH(1,($B321='Offer Statistics'!$DD$2:$DD$350)*($B$11='Offer Statistics'!$DE$2:$DE$350),0)),"/")</f>
        <v>15</v>
      </c>
      <c r="W321" s="93" cm="1">
        <f t="array" ref="W321">IFERROR(INDEX('Offer Statistics'!$DF$2:$DF$350,MATCH(1,(B321='Offer Statistics'!$DD$2:$DD$350)*($B$11='Offer Statistics'!$DE$2:$DE$350),0)),"/")</f>
        <v>156</v>
      </c>
      <c r="X321" s="93" cm="1">
        <f t="array" ref="X321">IFERROR(INDEX('Offer Statistics'!$DN$2:$DN$350,MATCH(1,(B321='Offer Statistics'!$DD$2:$DD$350)*($B$11='Offer Statistics'!$DE$2:$DE$350),0)),"/")</f>
        <v>12</v>
      </c>
      <c r="Y321" s="93">
        <f t="shared" si="378"/>
        <v>13</v>
      </c>
      <c r="Z321" s="93" t="s">
        <v>713</v>
      </c>
      <c r="AA321" s="93">
        <f>入學要求!AF330</f>
        <v>0</v>
      </c>
      <c r="AB321" s="93" t="str">
        <f>入學要求!AG330</f>
        <v>/</v>
      </c>
      <c r="AC321" s="431" t="s">
        <v>785</v>
      </c>
      <c r="AD321" s="431" t="s">
        <v>3160</v>
      </c>
      <c r="AE321" s="431"/>
      <c r="AF321" s="431" t="s">
        <v>324</v>
      </c>
      <c r="AG321" s="431" t="s">
        <v>324</v>
      </c>
      <c r="AH321" s="431" t="s">
        <v>770</v>
      </c>
      <c r="AI321" s="431" t="s">
        <v>3161</v>
      </c>
      <c r="AJ321" s="431"/>
      <c r="AK321" s="93" t="s">
        <v>324</v>
      </c>
      <c r="AL321" s="93" t="s">
        <v>324</v>
      </c>
      <c r="AM321" s="93" t="s">
        <v>324</v>
      </c>
      <c r="AN321" s="93" t="s">
        <v>324</v>
      </c>
      <c r="AO321" s="93" t="s">
        <v>324</v>
      </c>
      <c r="AP321" s="93" t="s">
        <v>324</v>
      </c>
      <c r="AQ321" s="93" t="s">
        <v>324</v>
      </c>
      <c r="AR321" s="93" t="s">
        <v>324</v>
      </c>
      <c r="AS321" s="93" t="s">
        <v>324</v>
      </c>
      <c r="AT321" s="93" t="s">
        <v>716</v>
      </c>
      <c r="AU321" s="93" t="s">
        <v>324</v>
      </c>
      <c r="AV321" s="93" t="s">
        <v>713</v>
      </c>
      <c r="AZ321" s="93" t="s">
        <v>324</v>
      </c>
      <c r="BA321" s="93" t="s">
        <v>324</v>
      </c>
      <c r="BB321" s="93" t="s">
        <v>324</v>
      </c>
      <c r="BC321" s="93" t="s">
        <v>324</v>
      </c>
      <c r="BD321" s="93" t="s">
        <v>324</v>
      </c>
      <c r="BE321" s="93" t="s">
        <v>324</v>
      </c>
      <c r="BF321" s="93" t="s">
        <v>324</v>
      </c>
      <c r="BG321" s="93" t="s">
        <v>324</v>
      </c>
      <c r="BH321" s="93" t="s">
        <v>324</v>
      </c>
      <c r="BI321" s="93" t="s">
        <v>324</v>
      </c>
      <c r="BJ321" s="93" t="s">
        <v>324</v>
      </c>
      <c r="BK321" s="93" t="s">
        <v>324</v>
      </c>
      <c r="BL321" s="93" t="s">
        <v>324</v>
      </c>
      <c r="BM321" s="93" t="s">
        <v>324</v>
      </c>
      <c r="BN321" s="93" t="s">
        <v>324</v>
      </c>
      <c r="BO321" s="93" t="s">
        <v>324</v>
      </c>
      <c r="BP321" s="93" t="s">
        <v>324</v>
      </c>
      <c r="BQ321" s="93" t="s">
        <v>324</v>
      </c>
      <c r="BR321" s="93" t="s">
        <v>324</v>
      </c>
      <c r="BS321" s="93" t="s">
        <v>324</v>
      </c>
      <c r="BT321" s="93" t="s">
        <v>324</v>
      </c>
      <c r="BU321" s="93" t="s">
        <v>324</v>
      </c>
      <c r="BV321" s="93" t="s">
        <v>324</v>
      </c>
      <c r="BW321" s="93" t="s">
        <v>324</v>
      </c>
      <c r="BX321" s="93" t="s">
        <v>324</v>
      </c>
      <c r="BY321" s="93" t="s">
        <v>324</v>
      </c>
      <c r="BZ321" s="93" t="s">
        <v>324</v>
      </c>
      <c r="CA321" s="93" t="s">
        <v>324</v>
      </c>
      <c r="CB321" s="93" t="s">
        <v>324</v>
      </c>
      <c r="CC321" s="93" t="s">
        <v>324</v>
      </c>
      <c r="CD321" s="93" t="s">
        <v>324</v>
      </c>
      <c r="CE321" s="93" t="s">
        <v>324</v>
      </c>
      <c r="CF321" s="93" t="s">
        <v>324</v>
      </c>
      <c r="CG321" s="93" t="s">
        <v>324</v>
      </c>
      <c r="CH321" s="93" t="s">
        <v>324</v>
      </c>
      <c r="CI321" s="93" t="s">
        <v>324</v>
      </c>
      <c r="CJ321" s="93" t="s">
        <v>324</v>
      </c>
      <c r="CK321" s="93" t="s">
        <v>324</v>
      </c>
      <c r="CL321" s="93" t="s">
        <v>324</v>
      </c>
      <c r="CM321" s="93" t="s">
        <v>324</v>
      </c>
      <c r="CN321" s="93" t="s">
        <v>324</v>
      </c>
      <c r="CO321" s="93" t="s">
        <v>324</v>
      </c>
      <c r="CP321" s="93" t="s">
        <v>324</v>
      </c>
      <c r="CQ321" s="93" t="s">
        <v>324</v>
      </c>
      <c r="CR321" s="93" t="s">
        <v>324</v>
      </c>
      <c r="CS321" s="93" t="s">
        <v>324</v>
      </c>
      <c r="CT321" s="93" t="s">
        <v>324</v>
      </c>
      <c r="CU321" s="93" t="s">
        <v>324</v>
      </c>
      <c r="CV321" s="93" t="s">
        <v>324</v>
      </c>
      <c r="CW321" s="93" t="s">
        <v>324</v>
      </c>
      <c r="CX321" s="93" t="s">
        <v>324</v>
      </c>
      <c r="CY321" s="93" t="s">
        <v>324</v>
      </c>
      <c r="CZ321" s="93" t="s">
        <v>324</v>
      </c>
      <c r="DA321" s="93" t="s">
        <v>324</v>
      </c>
      <c r="DB321" s="93" t="s">
        <v>324</v>
      </c>
      <c r="DC321" s="93" t="s">
        <v>324</v>
      </c>
      <c r="DD321" s="93" t="s">
        <v>324</v>
      </c>
      <c r="DE321" s="93" t="s">
        <v>324</v>
      </c>
      <c r="DF321" s="93" t="s">
        <v>324</v>
      </c>
      <c r="DG321" s="93" t="s">
        <v>324</v>
      </c>
      <c r="DH321" s="93" t="s">
        <v>324</v>
      </c>
      <c r="DI321" s="93" t="s">
        <v>324</v>
      </c>
      <c r="DJ321" s="93" t="s">
        <v>324</v>
      </c>
      <c r="DK321" s="93" t="s">
        <v>324</v>
      </c>
      <c r="DL321" s="93" t="s">
        <v>324</v>
      </c>
      <c r="DM321" s="93" t="s">
        <v>324</v>
      </c>
      <c r="DN321" s="93" t="s">
        <v>324</v>
      </c>
      <c r="DO321" s="93" t="s">
        <v>324</v>
      </c>
      <c r="DP321" s="93" t="s">
        <v>324</v>
      </c>
      <c r="DQ321" s="93" t="s">
        <v>324</v>
      </c>
      <c r="DR321" s="93" t="s">
        <v>324</v>
      </c>
      <c r="DS321" s="93" t="s">
        <v>324</v>
      </c>
      <c r="DT321" s="93" t="s">
        <v>324</v>
      </c>
      <c r="DU321" s="93" t="s">
        <v>324</v>
      </c>
      <c r="DV321" s="93" t="s">
        <v>324</v>
      </c>
      <c r="DW321" s="93" t="s">
        <v>324</v>
      </c>
      <c r="DX321" s="93" t="s">
        <v>324</v>
      </c>
      <c r="DY321" s="93" t="s">
        <v>324</v>
      </c>
      <c r="DZ321" s="93" t="s">
        <v>324</v>
      </c>
      <c r="EA321" s="93" t="s">
        <v>324</v>
      </c>
      <c r="EB321" s="93" t="s">
        <v>324</v>
      </c>
      <c r="EC321" s="93" t="s">
        <v>324</v>
      </c>
    </row>
    <row r="322" spans="1:133" s="379" customFormat="1">
      <c r="A322" s="335" t="s">
        <v>1594</v>
      </c>
      <c r="B322" s="335" t="s">
        <v>1594</v>
      </c>
      <c r="C322" s="93" t="s">
        <v>370</v>
      </c>
      <c r="D322" s="435" t="s">
        <v>1010</v>
      </c>
      <c r="E322" s="435" t="s">
        <v>1595</v>
      </c>
      <c r="F322" s="501" t="s">
        <v>785</v>
      </c>
      <c r="G322" s="93" t="s">
        <v>324</v>
      </c>
      <c r="H322" s="93" t="s">
        <v>394</v>
      </c>
      <c r="I322" s="435">
        <v>25</v>
      </c>
      <c r="J322" s="497">
        <v>23.5</v>
      </c>
      <c r="K322" s="406"/>
      <c r="L322" s="406"/>
      <c r="M322" s="406"/>
      <c r="N322" s="93"/>
      <c r="O322" s="93"/>
      <c r="P322" s="435" t="s">
        <v>770</v>
      </c>
      <c r="Q322" s="435" t="s">
        <v>2484</v>
      </c>
      <c r="R322" s="435"/>
      <c r="S322" s="379" t="s">
        <v>1596</v>
      </c>
      <c r="T322" s="93" t="s">
        <v>713</v>
      </c>
      <c r="U322" s="435">
        <v>14</v>
      </c>
      <c r="V322" s="93" cm="1">
        <f t="array" ref="V322">IFERROR(INDEX('Offer Statistics'!$DS$2:$DS$350,MATCH(1,($B322='Offer Statistics'!$DD$2:$DD$350)*($B$11='Offer Statistics'!$DE$2:$DE$350),0)),"/")</f>
        <v>25</v>
      </c>
      <c r="W322" s="93" cm="1">
        <f t="array" ref="W322">IFERROR(INDEX('Offer Statistics'!$DF$2:$DF$350,MATCH(1,(B322='Offer Statistics'!$DD$2:$DD$350)*($B$11='Offer Statistics'!$DE$2:$DE$350),0)),"/")</f>
        <v>142</v>
      </c>
      <c r="X322" s="93" cm="1">
        <f t="array" ref="X322">IFERROR(INDEX('Offer Statistics'!$DN$2:$DN$350,MATCH(1,(B322='Offer Statistics'!$DD$2:$DD$350)*($B$11='Offer Statistics'!$DE$2:$DE$350),0)),"/")</f>
        <v>8</v>
      </c>
      <c r="Y322" s="93">
        <f t="shared" si="378"/>
        <v>17.75</v>
      </c>
      <c r="Z322" s="93" t="s">
        <v>713</v>
      </c>
      <c r="AA322" s="93">
        <f>入學要求!AF331</f>
        <v>0</v>
      </c>
      <c r="AB322" s="93" t="str">
        <f>入學要求!AG331</f>
        <v>/</v>
      </c>
      <c r="AC322" s="425" t="s">
        <v>785</v>
      </c>
      <c r="AD322" s="425"/>
      <c r="AE322" s="425"/>
      <c r="AF322" s="425" t="s">
        <v>324</v>
      </c>
      <c r="AG322" s="425" t="s">
        <v>324</v>
      </c>
      <c r="AH322" s="426" t="s">
        <v>770</v>
      </c>
      <c r="AI322" s="426" t="s">
        <v>2484</v>
      </c>
      <c r="AJ322" s="425"/>
      <c r="AK322" s="93" t="s">
        <v>324</v>
      </c>
      <c r="AL322" s="93" t="s">
        <v>324</v>
      </c>
      <c r="AM322" s="93" t="s">
        <v>324</v>
      </c>
      <c r="AN322" s="93" t="s">
        <v>324</v>
      </c>
      <c r="AO322" s="93" t="s">
        <v>324</v>
      </c>
      <c r="AP322" s="93" t="s">
        <v>324</v>
      </c>
      <c r="AQ322" s="93" t="s">
        <v>324</v>
      </c>
      <c r="AR322" s="93" t="s">
        <v>324</v>
      </c>
      <c r="AS322" s="93" t="s">
        <v>324</v>
      </c>
      <c r="AT322" s="93" t="s">
        <v>716</v>
      </c>
      <c r="AU322" s="93" t="s">
        <v>324</v>
      </c>
      <c r="AV322" s="93" t="s">
        <v>713</v>
      </c>
      <c r="AZ322" s="93" t="s">
        <v>324</v>
      </c>
      <c r="BA322" s="93" t="s">
        <v>324</v>
      </c>
      <c r="BB322" s="93" t="s">
        <v>324</v>
      </c>
      <c r="BC322" s="93" t="s">
        <v>324</v>
      </c>
      <c r="BD322" s="93" t="s">
        <v>324</v>
      </c>
      <c r="BE322" s="93" t="s">
        <v>324</v>
      </c>
      <c r="BF322" s="93" t="s">
        <v>324</v>
      </c>
      <c r="BG322" s="93" t="s">
        <v>324</v>
      </c>
      <c r="BH322" s="93" t="s">
        <v>324</v>
      </c>
      <c r="BI322" s="93" t="s">
        <v>324</v>
      </c>
      <c r="BJ322" s="93" t="s">
        <v>324</v>
      </c>
      <c r="BK322" s="93" t="s">
        <v>324</v>
      </c>
      <c r="BL322" s="93" t="s">
        <v>324</v>
      </c>
      <c r="BM322" s="93" t="s">
        <v>324</v>
      </c>
      <c r="BN322" s="93" t="s">
        <v>324</v>
      </c>
      <c r="BO322" s="93" t="s">
        <v>324</v>
      </c>
      <c r="BP322" s="93" t="s">
        <v>324</v>
      </c>
      <c r="BQ322" s="93" t="s">
        <v>324</v>
      </c>
      <c r="BR322" s="93" t="s">
        <v>324</v>
      </c>
      <c r="BS322" s="93" t="s">
        <v>324</v>
      </c>
      <c r="BT322" s="93" t="s">
        <v>324</v>
      </c>
      <c r="BU322" s="93" t="s">
        <v>324</v>
      </c>
      <c r="BV322" s="93" t="s">
        <v>324</v>
      </c>
      <c r="BW322" s="93" t="s">
        <v>324</v>
      </c>
      <c r="BX322" s="93" t="s">
        <v>324</v>
      </c>
      <c r="BY322" s="93" t="s">
        <v>324</v>
      </c>
      <c r="BZ322" s="93" t="s">
        <v>324</v>
      </c>
      <c r="CA322" s="93" t="s">
        <v>324</v>
      </c>
      <c r="CB322" s="93" t="s">
        <v>324</v>
      </c>
      <c r="CC322" s="93" t="s">
        <v>324</v>
      </c>
      <c r="CD322" s="93" t="s">
        <v>324</v>
      </c>
      <c r="CE322" s="93" t="s">
        <v>324</v>
      </c>
      <c r="CF322" s="93" t="s">
        <v>324</v>
      </c>
      <c r="CG322" s="93" t="s">
        <v>324</v>
      </c>
      <c r="CH322" s="93" t="s">
        <v>324</v>
      </c>
      <c r="CI322" s="93" t="s">
        <v>324</v>
      </c>
      <c r="CJ322" s="93" t="s">
        <v>324</v>
      </c>
      <c r="CK322" s="93" t="s">
        <v>324</v>
      </c>
      <c r="CL322" s="93" t="s">
        <v>324</v>
      </c>
      <c r="CM322" s="93" t="s">
        <v>324</v>
      </c>
      <c r="CN322" s="93" t="s">
        <v>324</v>
      </c>
      <c r="CO322" s="93" t="s">
        <v>324</v>
      </c>
      <c r="CP322" s="93" t="s">
        <v>324</v>
      </c>
      <c r="CQ322" s="93" t="s">
        <v>324</v>
      </c>
      <c r="CR322" s="93" t="s">
        <v>324</v>
      </c>
      <c r="CS322" s="93" t="s">
        <v>324</v>
      </c>
      <c r="CT322" s="93" t="s">
        <v>324</v>
      </c>
      <c r="CU322" s="93" t="s">
        <v>324</v>
      </c>
      <c r="CV322" s="93" t="s">
        <v>324</v>
      </c>
      <c r="CW322" s="93" t="s">
        <v>324</v>
      </c>
      <c r="CX322" s="93" t="s">
        <v>324</v>
      </c>
      <c r="CY322" s="93" t="s">
        <v>324</v>
      </c>
      <c r="CZ322" s="93" t="s">
        <v>324</v>
      </c>
      <c r="DA322" s="93" t="s">
        <v>324</v>
      </c>
      <c r="DB322" s="93" t="s">
        <v>324</v>
      </c>
      <c r="DC322" s="93" t="s">
        <v>324</v>
      </c>
      <c r="DD322" s="93" t="s">
        <v>324</v>
      </c>
      <c r="DE322" s="93" t="s">
        <v>324</v>
      </c>
      <c r="DF322" s="93" t="s">
        <v>324</v>
      </c>
      <c r="DG322" s="93" t="s">
        <v>324</v>
      </c>
      <c r="DH322" s="93" t="s">
        <v>324</v>
      </c>
      <c r="DI322" s="93" t="s">
        <v>324</v>
      </c>
      <c r="DJ322" s="93" t="s">
        <v>324</v>
      </c>
      <c r="DK322" s="93" t="s">
        <v>324</v>
      </c>
      <c r="DL322" s="93" t="s">
        <v>324</v>
      </c>
      <c r="DM322" s="93" t="s">
        <v>324</v>
      </c>
      <c r="DN322" s="93" t="s">
        <v>324</v>
      </c>
      <c r="DO322" s="93" t="s">
        <v>324</v>
      </c>
      <c r="DP322" s="93" t="s">
        <v>324</v>
      </c>
      <c r="DQ322" s="93" t="s">
        <v>324</v>
      </c>
      <c r="DR322" s="93" t="s">
        <v>324</v>
      </c>
      <c r="DS322" s="93" t="s">
        <v>324</v>
      </c>
      <c r="DT322" s="93" t="s">
        <v>324</v>
      </c>
      <c r="DU322" s="93" t="s">
        <v>324</v>
      </c>
      <c r="DV322" s="93" t="s">
        <v>324</v>
      </c>
      <c r="DW322" s="93" t="s">
        <v>324</v>
      </c>
      <c r="DX322" s="93" t="s">
        <v>324</v>
      </c>
      <c r="DY322" s="93" t="s">
        <v>324</v>
      </c>
      <c r="DZ322" s="93" t="s">
        <v>324</v>
      </c>
      <c r="EA322" s="93" t="s">
        <v>324</v>
      </c>
      <c r="EB322" s="93" t="s">
        <v>324</v>
      </c>
      <c r="EC322" s="93" t="s">
        <v>324</v>
      </c>
    </row>
    <row r="323" spans="1:133" s="93" customFormat="1">
      <c r="A323" s="335" t="s">
        <v>1597</v>
      </c>
      <c r="B323" s="335" t="s">
        <v>1597</v>
      </c>
      <c r="C323" s="93" t="s">
        <v>370</v>
      </c>
      <c r="D323" s="435" t="s">
        <v>1010</v>
      </c>
      <c r="E323" s="435" t="s">
        <v>1598</v>
      </c>
      <c r="F323" s="501" t="s">
        <v>785</v>
      </c>
      <c r="G323" s="93" t="s">
        <v>324</v>
      </c>
      <c r="H323" s="93" t="s">
        <v>394</v>
      </c>
      <c r="I323" s="435">
        <v>24</v>
      </c>
      <c r="J323" s="497">
        <v>23.25</v>
      </c>
      <c r="K323" s="203"/>
      <c r="L323" s="203"/>
      <c r="M323" s="203"/>
      <c r="P323" s="435" t="s">
        <v>770</v>
      </c>
      <c r="Q323" s="435" t="s">
        <v>780</v>
      </c>
      <c r="R323" s="435"/>
      <c r="S323" s="93" t="s">
        <v>1599</v>
      </c>
      <c r="T323" s="93" t="s">
        <v>713</v>
      </c>
      <c r="U323" s="435">
        <v>20</v>
      </c>
      <c r="V323" s="93" cm="1">
        <f t="array" ref="V323">IFERROR(INDEX('Offer Statistics'!$DS$2:$DS$350,MATCH(1,($B323='Offer Statistics'!$DD$2:$DD$350)*($B$11='Offer Statistics'!$DE$2:$DE$350),0)),"/")</f>
        <v>31</v>
      </c>
      <c r="W323" s="93" cm="1">
        <f t="array" ref="W323">IFERROR(INDEX('Offer Statistics'!$DF$2:$DF$350,MATCH(1,(B323='Offer Statistics'!$DD$2:$DD$350)*($B$11='Offer Statistics'!$DE$2:$DE$350),0)),"/")</f>
        <v>330</v>
      </c>
      <c r="X323" s="93" cm="1">
        <f t="array" ref="X323">IFERROR(INDEX('Offer Statistics'!$DN$2:$DN$350,MATCH(1,(B323='Offer Statistics'!$DD$2:$DD$350)*($B$11='Offer Statistics'!$DE$2:$DE$350),0)),"/")</f>
        <v>23</v>
      </c>
      <c r="Y323" s="93">
        <f t="shared" si="378"/>
        <v>14.347826086956522</v>
      </c>
      <c r="Z323" s="93" t="s">
        <v>713</v>
      </c>
      <c r="AA323" s="93">
        <f>入學要求!AF332</f>
        <v>0</v>
      </c>
      <c r="AB323" s="93" t="str">
        <f>入學要求!AG332</f>
        <v>/</v>
      </c>
      <c r="AC323" s="425" t="s">
        <v>785</v>
      </c>
      <c r="AD323" s="425"/>
      <c r="AE323" s="425"/>
      <c r="AF323" s="425" t="s">
        <v>324</v>
      </c>
      <c r="AG323" s="425" t="s">
        <v>324</v>
      </c>
      <c r="AH323" s="426" t="s">
        <v>770</v>
      </c>
      <c r="AI323" s="426" t="s">
        <v>780</v>
      </c>
      <c r="AJ323" s="425"/>
      <c r="AK323" s="93" t="s">
        <v>324</v>
      </c>
      <c r="AL323" s="93" t="s">
        <v>324</v>
      </c>
      <c r="AM323" s="93" t="s">
        <v>324</v>
      </c>
      <c r="AN323" s="93" t="s">
        <v>324</v>
      </c>
      <c r="AO323" s="93" t="s">
        <v>324</v>
      </c>
      <c r="AP323" s="93" t="s">
        <v>324</v>
      </c>
      <c r="AQ323" s="93" t="s">
        <v>324</v>
      </c>
      <c r="AR323" s="93" t="s">
        <v>324</v>
      </c>
      <c r="AS323" s="93" t="s">
        <v>324</v>
      </c>
      <c r="AT323" s="93" t="s">
        <v>716</v>
      </c>
      <c r="AU323" s="93" t="s">
        <v>324</v>
      </c>
      <c r="AV323" s="93" t="s">
        <v>713</v>
      </c>
      <c r="AZ323" s="93" t="s">
        <v>324</v>
      </c>
      <c r="BA323" s="93" t="s">
        <v>324</v>
      </c>
      <c r="BB323" s="93" t="s">
        <v>324</v>
      </c>
      <c r="BC323" s="93" t="s">
        <v>324</v>
      </c>
      <c r="BD323" s="93" t="s">
        <v>324</v>
      </c>
      <c r="BE323" s="93" t="s">
        <v>324</v>
      </c>
      <c r="BF323" s="93" t="s">
        <v>324</v>
      </c>
      <c r="BG323" s="93" t="s">
        <v>324</v>
      </c>
      <c r="BH323" s="93" t="s">
        <v>324</v>
      </c>
      <c r="BI323" s="93" t="s">
        <v>324</v>
      </c>
      <c r="BJ323" s="93" t="s">
        <v>324</v>
      </c>
      <c r="BK323" s="93" t="s">
        <v>324</v>
      </c>
      <c r="BL323" s="93" t="s">
        <v>324</v>
      </c>
      <c r="BM323" s="93" t="s">
        <v>324</v>
      </c>
      <c r="BN323" s="93" t="s">
        <v>324</v>
      </c>
      <c r="BO323" s="93" t="s">
        <v>324</v>
      </c>
      <c r="BP323" s="93" t="s">
        <v>324</v>
      </c>
      <c r="BQ323" s="93" t="s">
        <v>324</v>
      </c>
      <c r="BR323" s="93" t="s">
        <v>324</v>
      </c>
      <c r="BS323" s="93" t="s">
        <v>324</v>
      </c>
      <c r="BT323" s="93" t="s">
        <v>324</v>
      </c>
      <c r="BU323" s="93" t="s">
        <v>324</v>
      </c>
      <c r="BV323" s="93" t="s">
        <v>324</v>
      </c>
      <c r="BW323" s="93" t="s">
        <v>324</v>
      </c>
      <c r="BX323" s="93" t="s">
        <v>324</v>
      </c>
      <c r="BY323" s="93" t="s">
        <v>324</v>
      </c>
      <c r="BZ323" s="93" t="s">
        <v>324</v>
      </c>
      <c r="CA323" s="93" t="s">
        <v>324</v>
      </c>
      <c r="CB323" s="93" t="s">
        <v>324</v>
      </c>
      <c r="CC323" s="93" t="s">
        <v>324</v>
      </c>
      <c r="CD323" s="93" t="s">
        <v>324</v>
      </c>
      <c r="CE323" s="93" t="s">
        <v>324</v>
      </c>
      <c r="CF323" s="93" t="s">
        <v>324</v>
      </c>
      <c r="CG323" s="93" t="s">
        <v>324</v>
      </c>
      <c r="CH323" s="93" t="s">
        <v>324</v>
      </c>
      <c r="CI323" s="93" t="s">
        <v>324</v>
      </c>
      <c r="CJ323" s="93" t="s">
        <v>324</v>
      </c>
      <c r="CK323" s="93" t="s">
        <v>324</v>
      </c>
      <c r="CL323" s="93" t="s">
        <v>324</v>
      </c>
      <c r="CM323" s="93" t="s">
        <v>324</v>
      </c>
      <c r="CN323" s="93" t="s">
        <v>324</v>
      </c>
      <c r="CO323" s="93" t="s">
        <v>324</v>
      </c>
      <c r="CP323" s="93" t="s">
        <v>324</v>
      </c>
      <c r="CQ323" s="93" t="s">
        <v>324</v>
      </c>
      <c r="CR323" s="93" t="s">
        <v>324</v>
      </c>
      <c r="CS323" s="93" t="s">
        <v>324</v>
      </c>
      <c r="CT323" s="93" t="s">
        <v>324</v>
      </c>
      <c r="CU323" s="93" t="s">
        <v>324</v>
      </c>
      <c r="CV323" s="93" t="s">
        <v>324</v>
      </c>
      <c r="CW323" s="93" t="s">
        <v>324</v>
      </c>
      <c r="CX323" s="93" t="s">
        <v>324</v>
      </c>
      <c r="CY323" s="93" t="s">
        <v>324</v>
      </c>
      <c r="CZ323" s="93" t="s">
        <v>324</v>
      </c>
      <c r="DA323" s="93" t="s">
        <v>324</v>
      </c>
      <c r="DB323" s="93" t="s">
        <v>324</v>
      </c>
      <c r="DC323" s="93" t="s">
        <v>324</v>
      </c>
      <c r="DD323" s="93" t="s">
        <v>324</v>
      </c>
      <c r="DE323" s="93" t="s">
        <v>324</v>
      </c>
      <c r="DF323" s="93" t="s">
        <v>324</v>
      </c>
      <c r="DG323" s="93" t="s">
        <v>324</v>
      </c>
      <c r="DH323" s="93" t="s">
        <v>324</v>
      </c>
      <c r="DI323" s="93" t="s">
        <v>324</v>
      </c>
      <c r="DJ323" s="93" t="s">
        <v>324</v>
      </c>
      <c r="DK323" s="93" t="s">
        <v>324</v>
      </c>
      <c r="DL323" s="93" t="s">
        <v>324</v>
      </c>
      <c r="DM323" s="93" t="s">
        <v>324</v>
      </c>
      <c r="DN323" s="93" t="s">
        <v>324</v>
      </c>
      <c r="DO323" s="93" t="s">
        <v>324</v>
      </c>
      <c r="DP323" s="93" t="s">
        <v>324</v>
      </c>
      <c r="DQ323" s="93" t="s">
        <v>324</v>
      </c>
      <c r="DR323" s="93" t="s">
        <v>324</v>
      </c>
      <c r="DS323" s="93" t="s">
        <v>324</v>
      </c>
      <c r="DT323" s="93" t="s">
        <v>324</v>
      </c>
      <c r="DU323" s="93" t="s">
        <v>324</v>
      </c>
      <c r="DV323" s="93" t="s">
        <v>324</v>
      </c>
      <c r="DW323" s="93" t="s">
        <v>324</v>
      </c>
      <c r="DX323" s="93" t="s">
        <v>324</v>
      </c>
      <c r="DY323" s="93" t="s">
        <v>324</v>
      </c>
      <c r="DZ323" s="93" t="s">
        <v>324</v>
      </c>
      <c r="EA323" s="93" t="s">
        <v>324</v>
      </c>
      <c r="EB323" s="93" t="s">
        <v>324</v>
      </c>
      <c r="EC323" s="93" t="s">
        <v>324</v>
      </c>
    </row>
    <row r="324" spans="1:133" s="93" customFormat="1">
      <c r="A324" s="335" t="s">
        <v>1600</v>
      </c>
      <c r="B324" s="335" t="s">
        <v>1600</v>
      </c>
      <c r="C324" s="93" t="s">
        <v>370</v>
      </c>
      <c r="D324" s="435" t="s">
        <v>1010</v>
      </c>
      <c r="E324" s="435" t="s">
        <v>1601</v>
      </c>
      <c r="F324" s="501" t="s">
        <v>785</v>
      </c>
      <c r="G324" s="93" t="s">
        <v>324</v>
      </c>
      <c r="H324" s="93" t="s">
        <v>394</v>
      </c>
      <c r="I324" s="435">
        <v>23.5</v>
      </c>
      <c r="J324" s="497">
        <v>23</v>
      </c>
      <c r="K324" s="203"/>
      <c r="L324" s="203"/>
      <c r="M324" s="203"/>
      <c r="P324" s="435" t="s">
        <v>770</v>
      </c>
      <c r="Q324" s="435" t="s">
        <v>780</v>
      </c>
      <c r="R324" s="435"/>
      <c r="S324" s="93" t="s">
        <v>1602</v>
      </c>
      <c r="T324" s="93" t="s">
        <v>713</v>
      </c>
      <c r="U324" s="435">
        <v>18</v>
      </c>
      <c r="V324" s="93" cm="1">
        <f t="array" ref="V324">IFERROR(INDEX('Offer Statistics'!$DS$2:$DS$350,MATCH(1,($B324='Offer Statistics'!$DD$2:$DD$350)*($B$11='Offer Statistics'!$DE$2:$DE$350),0)),"/")</f>
        <v>21</v>
      </c>
      <c r="W324" s="93" cm="1">
        <f t="array" ref="W324">IFERROR(INDEX('Offer Statistics'!$DF$2:$DF$350,MATCH(1,(B324='Offer Statistics'!$DD$2:$DD$350)*($B$11='Offer Statistics'!$DE$2:$DE$350),0)),"/")</f>
        <v>262</v>
      </c>
      <c r="X324" s="93" cm="1">
        <f t="array" ref="X324">IFERROR(INDEX('Offer Statistics'!$DN$2:$DN$350,MATCH(1,(B324='Offer Statistics'!$DD$2:$DD$350)*($B$11='Offer Statistics'!$DE$2:$DE$350),0)),"/")</f>
        <v>17</v>
      </c>
      <c r="Y324" s="93">
        <f t="shared" si="378"/>
        <v>15.411764705882353</v>
      </c>
      <c r="Z324" s="93" t="s">
        <v>713</v>
      </c>
      <c r="AA324" s="93">
        <f>入學要求!AF333</f>
        <v>0</v>
      </c>
      <c r="AB324" s="93" t="str">
        <f>入學要求!AG333</f>
        <v>/</v>
      </c>
      <c r="AC324" s="425" t="s">
        <v>785</v>
      </c>
      <c r="AD324" s="346"/>
      <c r="AE324" s="346"/>
      <c r="AF324" s="346" t="s">
        <v>324</v>
      </c>
      <c r="AG324" s="346" t="s">
        <v>324</v>
      </c>
      <c r="AH324" s="346" t="s">
        <v>770</v>
      </c>
      <c r="AI324" s="346" t="s">
        <v>780</v>
      </c>
      <c r="AJ324" s="346"/>
      <c r="AK324" s="93" t="s">
        <v>324</v>
      </c>
      <c r="AL324" s="93" t="s">
        <v>324</v>
      </c>
      <c r="AM324" s="93" t="s">
        <v>324</v>
      </c>
      <c r="AN324" s="93" t="s">
        <v>324</v>
      </c>
      <c r="AO324" s="93" t="s">
        <v>324</v>
      </c>
      <c r="AP324" s="93" t="s">
        <v>324</v>
      </c>
      <c r="AQ324" s="93" t="s">
        <v>324</v>
      </c>
      <c r="AR324" s="93" t="s">
        <v>324</v>
      </c>
      <c r="AS324" s="93" t="s">
        <v>324</v>
      </c>
      <c r="AT324" s="93" t="s">
        <v>716</v>
      </c>
      <c r="AU324" s="93" t="s">
        <v>324</v>
      </c>
      <c r="AV324" s="93" t="s">
        <v>713</v>
      </c>
      <c r="AZ324" s="93" t="s">
        <v>324</v>
      </c>
      <c r="BA324" s="93" t="s">
        <v>324</v>
      </c>
      <c r="BB324" s="93" t="s">
        <v>324</v>
      </c>
      <c r="BC324" s="93" t="s">
        <v>324</v>
      </c>
      <c r="BD324" s="93" t="s">
        <v>324</v>
      </c>
      <c r="BE324" s="93" t="s">
        <v>324</v>
      </c>
      <c r="BF324" s="93" t="s">
        <v>324</v>
      </c>
      <c r="BG324" s="93" t="s">
        <v>324</v>
      </c>
      <c r="BH324" s="93" t="s">
        <v>324</v>
      </c>
      <c r="BI324" s="93" t="s">
        <v>324</v>
      </c>
      <c r="BJ324" s="93" t="s">
        <v>324</v>
      </c>
      <c r="BK324" s="93" t="s">
        <v>324</v>
      </c>
      <c r="BL324" s="93" t="s">
        <v>324</v>
      </c>
      <c r="BM324" s="93" t="s">
        <v>324</v>
      </c>
      <c r="BN324" s="93" t="s">
        <v>324</v>
      </c>
      <c r="BO324" s="93" t="s">
        <v>324</v>
      </c>
      <c r="BP324" s="93" t="s">
        <v>324</v>
      </c>
      <c r="BQ324" s="93" t="s">
        <v>324</v>
      </c>
      <c r="BR324" s="93" t="s">
        <v>324</v>
      </c>
      <c r="BS324" s="93" t="s">
        <v>324</v>
      </c>
      <c r="BT324" s="93" t="s">
        <v>324</v>
      </c>
      <c r="BU324" s="93" t="s">
        <v>324</v>
      </c>
      <c r="BV324" s="93" t="s">
        <v>324</v>
      </c>
      <c r="BW324" s="93" t="s">
        <v>324</v>
      </c>
      <c r="BX324" s="93" t="s">
        <v>324</v>
      </c>
      <c r="BY324" s="93" t="s">
        <v>324</v>
      </c>
      <c r="BZ324" s="93" t="s">
        <v>324</v>
      </c>
      <c r="CA324" s="93" t="s">
        <v>324</v>
      </c>
      <c r="CB324" s="93" t="s">
        <v>324</v>
      </c>
      <c r="CC324" s="93" t="s">
        <v>324</v>
      </c>
      <c r="CD324" s="93" t="s">
        <v>324</v>
      </c>
      <c r="CE324" s="93" t="s">
        <v>324</v>
      </c>
      <c r="CF324" s="93" t="s">
        <v>324</v>
      </c>
      <c r="CG324" s="93" t="s">
        <v>324</v>
      </c>
      <c r="CH324" s="93" t="s">
        <v>324</v>
      </c>
      <c r="CI324" s="93" t="s">
        <v>324</v>
      </c>
      <c r="CJ324" s="93" t="s">
        <v>324</v>
      </c>
      <c r="CK324" s="93" t="s">
        <v>324</v>
      </c>
      <c r="CL324" s="93" t="s">
        <v>324</v>
      </c>
      <c r="CM324" s="93" t="s">
        <v>324</v>
      </c>
      <c r="CN324" s="93" t="s">
        <v>324</v>
      </c>
      <c r="CO324" s="93" t="s">
        <v>324</v>
      </c>
      <c r="CP324" s="93" t="s">
        <v>324</v>
      </c>
      <c r="CQ324" s="93" t="s">
        <v>324</v>
      </c>
      <c r="CR324" s="93" t="s">
        <v>324</v>
      </c>
      <c r="CS324" s="93" t="s">
        <v>324</v>
      </c>
      <c r="CT324" s="93" t="s">
        <v>324</v>
      </c>
      <c r="CU324" s="93" t="s">
        <v>324</v>
      </c>
      <c r="CV324" s="93" t="s">
        <v>324</v>
      </c>
      <c r="CW324" s="93" t="s">
        <v>324</v>
      </c>
      <c r="CX324" s="93" t="s">
        <v>324</v>
      </c>
      <c r="CY324" s="93" t="s">
        <v>324</v>
      </c>
      <c r="CZ324" s="93" t="s">
        <v>324</v>
      </c>
      <c r="DA324" s="93" t="s">
        <v>324</v>
      </c>
      <c r="DB324" s="93" t="s">
        <v>324</v>
      </c>
      <c r="DC324" s="93" t="s">
        <v>324</v>
      </c>
      <c r="DD324" s="93" t="s">
        <v>324</v>
      </c>
      <c r="DE324" s="93" t="s">
        <v>324</v>
      </c>
      <c r="DF324" s="93" t="s">
        <v>324</v>
      </c>
      <c r="DG324" s="93" t="s">
        <v>324</v>
      </c>
      <c r="DH324" s="93" t="s">
        <v>324</v>
      </c>
      <c r="DI324" s="93" t="s">
        <v>324</v>
      </c>
      <c r="DJ324" s="93" t="s">
        <v>324</v>
      </c>
      <c r="DK324" s="93" t="s">
        <v>324</v>
      </c>
      <c r="DL324" s="93" t="s">
        <v>324</v>
      </c>
      <c r="DM324" s="93" t="s">
        <v>324</v>
      </c>
      <c r="DN324" s="93" t="s">
        <v>324</v>
      </c>
      <c r="DO324" s="93" t="s">
        <v>324</v>
      </c>
      <c r="DP324" s="93" t="s">
        <v>324</v>
      </c>
      <c r="DQ324" s="93" t="s">
        <v>324</v>
      </c>
      <c r="DR324" s="93" t="s">
        <v>324</v>
      </c>
      <c r="DS324" s="93" t="s">
        <v>324</v>
      </c>
      <c r="DT324" s="93" t="s">
        <v>324</v>
      </c>
      <c r="DU324" s="93" t="s">
        <v>324</v>
      </c>
      <c r="DV324" s="93" t="s">
        <v>324</v>
      </c>
      <c r="DW324" s="93" t="s">
        <v>324</v>
      </c>
      <c r="DX324" s="93" t="s">
        <v>324</v>
      </c>
      <c r="DY324" s="93" t="s">
        <v>324</v>
      </c>
      <c r="DZ324" s="93" t="s">
        <v>324</v>
      </c>
      <c r="EA324" s="93" t="s">
        <v>324</v>
      </c>
      <c r="EB324" s="93" t="s">
        <v>324</v>
      </c>
      <c r="EC324" s="93" t="s">
        <v>324</v>
      </c>
    </row>
    <row r="325" spans="1:133" s="379" customFormat="1">
      <c r="A325" s="335" t="s">
        <v>1603</v>
      </c>
      <c r="B325" s="335" t="s">
        <v>1603</v>
      </c>
      <c r="C325" s="93" t="s">
        <v>370</v>
      </c>
      <c r="D325" s="435" t="s">
        <v>1010</v>
      </c>
      <c r="E325" s="435" t="s">
        <v>1604</v>
      </c>
      <c r="F325" s="501" t="s">
        <v>785</v>
      </c>
      <c r="G325" s="93" t="s">
        <v>324</v>
      </c>
      <c r="H325" s="93" t="s">
        <v>394</v>
      </c>
      <c r="I325" s="435">
        <v>19.75</v>
      </c>
      <c r="J325" s="497">
        <v>19.5</v>
      </c>
      <c r="K325" s="406"/>
      <c r="L325" s="406"/>
      <c r="M325" s="406"/>
      <c r="P325" s="435" t="s">
        <v>2485</v>
      </c>
      <c r="Q325" s="435" t="s">
        <v>324</v>
      </c>
      <c r="R325" s="435"/>
      <c r="S325" s="379" t="s">
        <v>1605</v>
      </c>
      <c r="T325" s="93" t="s">
        <v>713</v>
      </c>
      <c r="U325" s="435">
        <v>8</v>
      </c>
      <c r="V325" s="93" cm="1">
        <f t="array" ref="V325">IFERROR(INDEX('Offer Statistics'!$DS$2:$DS$350,MATCH(1,($B325='Offer Statistics'!$DD$2:$DD$350)*($B$11='Offer Statistics'!$DE$2:$DE$350),0)),"/")</f>
        <v>16</v>
      </c>
      <c r="W325" s="93" cm="1">
        <f t="array" ref="W325">IFERROR(INDEX('Offer Statistics'!$DF$2:$DF$350,MATCH(1,(B325='Offer Statistics'!$DD$2:$DD$350)*($B$11='Offer Statistics'!$DE$2:$DE$350),0)),"/")</f>
        <v>191</v>
      </c>
      <c r="X325" s="93" cm="1">
        <f t="array" ref="X325">IFERROR(INDEX('Offer Statistics'!$DN$2:$DN$350,MATCH(1,(B325='Offer Statistics'!$DD$2:$DD$350)*($B$11='Offer Statistics'!$DE$2:$DE$350),0)),"/")</f>
        <v>8</v>
      </c>
      <c r="Y325" s="93">
        <f t="shared" si="378"/>
        <v>23.875</v>
      </c>
      <c r="Z325" s="93" t="s">
        <v>713</v>
      </c>
      <c r="AA325" s="93">
        <f>入學要求!AF334</f>
        <v>0</v>
      </c>
      <c r="AB325" s="93" t="str">
        <f>入學要求!AG334</f>
        <v>/</v>
      </c>
      <c r="AC325" s="425" t="s">
        <v>785</v>
      </c>
      <c r="AD325" s="346"/>
      <c r="AE325" s="346"/>
      <c r="AF325" s="346" t="s">
        <v>324</v>
      </c>
      <c r="AG325" s="346" t="s">
        <v>324</v>
      </c>
      <c r="AH325" s="346" t="s">
        <v>2485</v>
      </c>
      <c r="AI325" s="346" t="s">
        <v>324</v>
      </c>
      <c r="AJ325" s="346"/>
      <c r="AK325" s="93" t="s">
        <v>324</v>
      </c>
      <c r="AL325" s="93" t="s">
        <v>324</v>
      </c>
      <c r="AM325" s="93" t="s">
        <v>324</v>
      </c>
      <c r="AN325" s="93" t="s">
        <v>324</v>
      </c>
      <c r="AO325" s="93" t="s">
        <v>324</v>
      </c>
      <c r="AP325" s="93" t="s">
        <v>324</v>
      </c>
      <c r="AQ325" s="93" t="s">
        <v>324</v>
      </c>
      <c r="AR325" s="93" t="s">
        <v>324</v>
      </c>
      <c r="AS325" s="93" t="s">
        <v>324</v>
      </c>
      <c r="AT325" s="93" t="s">
        <v>716</v>
      </c>
      <c r="AU325" s="93" t="s">
        <v>324</v>
      </c>
      <c r="AV325" s="93" t="s">
        <v>713</v>
      </c>
      <c r="AZ325" s="93" t="s">
        <v>324</v>
      </c>
      <c r="BA325" s="93" t="s">
        <v>324</v>
      </c>
      <c r="BB325" s="93" t="s">
        <v>324</v>
      </c>
      <c r="BC325" s="93" t="s">
        <v>324</v>
      </c>
      <c r="BD325" s="93" t="s">
        <v>324</v>
      </c>
      <c r="BE325" s="93" t="s">
        <v>324</v>
      </c>
      <c r="BF325" s="93" t="s">
        <v>324</v>
      </c>
      <c r="BG325" s="93" t="s">
        <v>324</v>
      </c>
      <c r="BH325" s="93" t="s">
        <v>324</v>
      </c>
      <c r="BI325" s="93" t="s">
        <v>324</v>
      </c>
      <c r="BJ325" s="93" t="s">
        <v>324</v>
      </c>
      <c r="BK325" s="93" t="s">
        <v>324</v>
      </c>
      <c r="BL325" s="93" t="s">
        <v>324</v>
      </c>
      <c r="BM325" s="93" t="s">
        <v>324</v>
      </c>
      <c r="BN325" s="93" t="s">
        <v>324</v>
      </c>
      <c r="BO325" s="93" t="s">
        <v>324</v>
      </c>
      <c r="BP325" s="93" t="s">
        <v>324</v>
      </c>
      <c r="BQ325" s="93" t="s">
        <v>324</v>
      </c>
      <c r="BR325" s="93" t="s">
        <v>324</v>
      </c>
      <c r="BS325" s="93" t="s">
        <v>324</v>
      </c>
      <c r="BT325" s="93" t="s">
        <v>324</v>
      </c>
      <c r="BU325" s="93" t="s">
        <v>324</v>
      </c>
      <c r="BV325" s="93" t="s">
        <v>324</v>
      </c>
      <c r="BW325" s="93" t="s">
        <v>324</v>
      </c>
      <c r="BX325" s="93" t="s">
        <v>324</v>
      </c>
      <c r="BY325" s="93" t="s">
        <v>324</v>
      </c>
      <c r="BZ325" s="93" t="s">
        <v>324</v>
      </c>
      <c r="CA325" s="93" t="s">
        <v>324</v>
      </c>
      <c r="CB325" s="93" t="s">
        <v>324</v>
      </c>
      <c r="CC325" s="93" t="s">
        <v>324</v>
      </c>
      <c r="CD325" s="93" t="s">
        <v>324</v>
      </c>
      <c r="CE325" s="93" t="s">
        <v>324</v>
      </c>
      <c r="CF325" s="93" t="s">
        <v>324</v>
      </c>
      <c r="CG325" s="93" t="s">
        <v>324</v>
      </c>
      <c r="CH325" s="93" t="s">
        <v>324</v>
      </c>
      <c r="CI325" s="93" t="s">
        <v>324</v>
      </c>
      <c r="CJ325" s="93" t="s">
        <v>324</v>
      </c>
      <c r="CK325" s="93" t="s">
        <v>324</v>
      </c>
      <c r="CL325" s="93" t="s">
        <v>324</v>
      </c>
      <c r="CM325" s="93" t="s">
        <v>324</v>
      </c>
      <c r="CN325" s="93" t="s">
        <v>324</v>
      </c>
      <c r="CO325" s="93" t="s">
        <v>324</v>
      </c>
      <c r="CP325" s="93" t="s">
        <v>324</v>
      </c>
      <c r="CQ325" s="93" t="s">
        <v>324</v>
      </c>
      <c r="CR325" s="93" t="s">
        <v>324</v>
      </c>
      <c r="CS325" s="93" t="s">
        <v>324</v>
      </c>
      <c r="CT325" s="93" t="s">
        <v>324</v>
      </c>
      <c r="CU325" s="93" t="s">
        <v>324</v>
      </c>
      <c r="CV325" s="93" t="s">
        <v>324</v>
      </c>
      <c r="CW325" s="93" t="s">
        <v>324</v>
      </c>
      <c r="CX325" s="93" t="s">
        <v>324</v>
      </c>
      <c r="CY325" s="93" t="s">
        <v>324</v>
      </c>
      <c r="CZ325" s="93" t="s">
        <v>324</v>
      </c>
      <c r="DA325" s="93" t="s">
        <v>324</v>
      </c>
      <c r="DB325" s="93" t="s">
        <v>324</v>
      </c>
      <c r="DC325" s="93" t="s">
        <v>324</v>
      </c>
      <c r="DD325" s="93" t="s">
        <v>324</v>
      </c>
      <c r="DE325" s="93" t="s">
        <v>324</v>
      </c>
      <c r="DF325" s="93" t="s">
        <v>324</v>
      </c>
      <c r="DG325" s="93" t="s">
        <v>324</v>
      </c>
      <c r="DH325" s="93" t="s">
        <v>324</v>
      </c>
      <c r="DI325" s="93" t="s">
        <v>324</v>
      </c>
      <c r="DJ325" s="93" t="s">
        <v>324</v>
      </c>
      <c r="DK325" s="93" t="s">
        <v>324</v>
      </c>
      <c r="DL325" s="93" t="s">
        <v>324</v>
      </c>
      <c r="DM325" s="93" t="s">
        <v>324</v>
      </c>
      <c r="DN325" s="93" t="s">
        <v>324</v>
      </c>
      <c r="DO325" s="93" t="s">
        <v>324</v>
      </c>
      <c r="DP325" s="93" t="s">
        <v>324</v>
      </c>
      <c r="DQ325" s="93" t="s">
        <v>324</v>
      </c>
      <c r="DR325" s="93" t="s">
        <v>324</v>
      </c>
      <c r="DS325" s="93" t="s">
        <v>324</v>
      </c>
      <c r="DT325" s="93" t="s">
        <v>324</v>
      </c>
      <c r="DU325" s="93" t="s">
        <v>324</v>
      </c>
      <c r="DV325" s="93" t="s">
        <v>324</v>
      </c>
      <c r="DW325" s="93" t="s">
        <v>324</v>
      </c>
      <c r="DX325" s="93" t="s">
        <v>324</v>
      </c>
      <c r="DY325" s="93" t="s">
        <v>324</v>
      </c>
      <c r="DZ325" s="93" t="s">
        <v>324</v>
      </c>
      <c r="EA325" s="93" t="s">
        <v>324</v>
      </c>
      <c r="EB325" s="93" t="s">
        <v>324</v>
      </c>
      <c r="EC325" s="93" t="s">
        <v>324</v>
      </c>
    </row>
    <row r="326" spans="1:133" s="379" customFormat="1">
      <c r="A326" s="335" t="s">
        <v>1606</v>
      </c>
      <c r="B326" s="335" t="s">
        <v>1606</v>
      </c>
      <c r="C326" s="93" t="s">
        <v>370</v>
      </c>
      <c r="D326" s="435" t="s">
        <v>1010</v>
      </c>
      <c r="E326" s="435" t="s">
        <v>1607</v>
      </c>
      <c r="F326" s="501" t="s">
        <v>785</v>
      </c>
      <c r="G326" s="93" t="s">
        <v>324</v>
      </c>
      <c r="H326" s="93" t="s">
        <v>394</v>
      </c>
      <c r="I326" s="435">
        <v>23</v>
      </c>
      <c r="J326" s="497">
        <v>22.5</v>
      </c>
      <c r="K326" s="406"/>
      <c r="L326" s="406"/>
      <c r="M326" s="406"/>
      <c r="P326" s="435" t="s">
        <v>770</v>
      </c>
      <c r="Q326" s="435" t="s">
        <v>1330</v>
      </c>
      <c r="R326" s="435"/>
      <c r="S326" s="379" t="s">
        <v>1608</v>
      </c>
      <c r="T326" s="93" t="s">
        <v>713</v>
      </c>
      <c r="U326" s="435">
        <v>16</v>
      </c>
      <c r="V326" s="93" cm="1">
        <f t="array" ref="V326">IFERROR(INDEX('Offer Statistics'!$DS$2:$DS$350,MATCH(1,($B326='Offer Statistics'!$DD$2:$DD$350)*($B$11='Offer Statistics'!$DE$2:$DE$350),0)),"/")</f>
        <v>22</v>
      </c>
      <c r="W326" s="93" cm="1">
        <f t="array" ref="W326">IFERROR(INDEX('Offer Statistics'!$DF$2:$DF$350,MATCH(1,(B326='Offer Statistics'!$DD$2:$DD$350)*($B$11='Offer Statistics'!$DE$2:$DE$350),0)),"/")</f>
        <v>143</v>
      </c>
      <c r="X326" s="93" cm="1">
        <f t="array" ref="X326">IFERROR(INDEX('Offer Statistics'!$DN$2:$DN$350,MATCH(1,(B326='Offer Statistics'!$DD$2:$DD$350)*($B$11='Offer Statistics'!$DE$2:$DE$350),0)),"/")</f>
        <v>8</v>
      </c>
      <c r="Y326" s="93">
        <f t="shared" si="378"/>
        <v>17.875</v>
      </c>
      <c r="Z326" s="93" t="s">
        <v>713</v>
      </c>
      <c r="AA326" s="93">
        <f>入學要求!AF335</f>
        <v>0</v>
      </c>
      <c r="AB326" s="93" t="str">
        <f>入學要求!AG335</f>
        <v>/</v>
      </c>
      <c r="AC326" s="425" t="s">
        <v>785</v>
      </c>
      <c r="AD326" s="424"/>
      <c r="AE326" s="346"/>
      <c r="AF326" s="346" t="s">
        <v>324</v>
      </c>
      <c r="AG326" s="346" t="s">
        <v>324</v>
      </c>
      <c r="AH326" s="346" t="s">
        <v>770</v>
      </c>
      <c r="AI326" s="346" t="s">
        <v>1330</v>
      </c>
      <c r="AJ326" s="346"/>
      <c r="AK326" s="93" t="s">
        <v>324</v>
      </c>
      <c r="AL326" s="93" t="s">
        <v>324</v>
      </c>
      <c r="AM326" s="93" t="s">
        <v>324</v>
      </c>
      <c r="AN326" s="93" t="s">
        <v>324</v>
      </c>
      <c r="AO326" s="93" t="s">
        <v>324</v>
      </c>
      <c r="AP326" s="93" t="s">
        <v>324</v>
      </c>
      <c r="AQ326" s="93" t="s">
        <v>324</v>
      </c>
      <c r="AR326" s="93" t="s">
        <v>324</v>
      </c>
      <c r="AS326" s="93" t="s">
        <v>324</v>
      </c>
      <c r="AT326" s="93" t="s">
        <v>716</v>
      </c>
      <c r="AU326" s="93" t="s">
        <v>324</v>
      </c>
      <c r="AV326" s="93" t="s">
        <v>713</v>
      </c>
      <c r="AZ326" s="93" t="s">
        <v>324</v>
      </c>
      <c r="BA326" s="93" t="s">
        <v>324</v>
      </c>
      <c r="BB326" s="93" t="s">
        <v>324</v>
      </c>
      <c r="BC326" s="93" t="s">
        <v>324</v>
      </c>
      <c r="BD326" s="93" t="s">
        <v>324</v>
      </c>
      <c r="BE326" s="93" t="s">
        <v>324</v>
      </c>
      <c r="BF326" s="93" t="s">
        <v>324</v>
      </c>
      <c r="BG326" s="93" t="s">
        <v>324</v>
      </c>
      <c r="BH326" s="93" t="s">
        <v>324</v>
      </c>
      <c r="BI326" s="93" t="s">
        <v>324</v>
      </c>
      <c r="BJ326" s="93" t="s">
        <v>324</v>
      </c>
      <c r="BK326" s="93" t="s">
        <v>324</v>
      </c>
      <c r="BL326" s="93" t="s">
        <v>324</v>
      </c>
      <c r="BM326" s="93" t="s">
        <v>324</v>
      </c>
      <c r="BN326" s="93" t="s">
        <v>324</v>
      </c>
      <c r="BO326" s="93" t="s">
        <v>324</v>
      </c>
      <c r="BP326" s="93" t="s">
        <v>324</v>
      </c>
      <c r="BQ326" s="93" t="s">
        <v>324</v>
      </c>
      <c r="BR326" s="93" t="s">
        <v>324</v>
      </c>
      <c r="BS326" s="93" t="s">
        <v>324</v>
      </c>
      <c r="BT326" s="93" t="s">
        <v>324</v>
      </c>
      <c r="BU326" s="93" t="s">
        <v>324</v>
      </c>
      <c r="BV326" s="93" t="s">
        <v>324</v>
      </c>
      <c r="BW326" s="93" t="s">
        <v>324</v>
      </c>
      <c r="BX326" s="93" t="s">
        <v>324</v>
      </c>
      <c r="BY326" s="93" t="s">
        <v>324</v>
      </c>
      <c r="BZ326" s="93" t="s">
        <v>324</v>
      </c>
      <c r="CA326" s="93" t="s">
        <v>324</v>
      </c>
      <c r="CB326" s="93" t="s">
        <v>324</v>
      </c>
      <c r="CC326" s="93" t="s">
        <v>324</v>
      </c>
      <c r="CD326" s="93" t="s">
        <v>324</v>
      </c>
      <c r="CE326" s="93" t="s">
        <v>324</v>
      </c>
      <c r="CF326" s="93" t="s">
        <v>324</v>
      </c>
      <c r="CG326" s="93" t="s">
        <v>324</v>
      </c>
      <c r="CH326" s="93" t="s">
        <v>324</v>
      </c>
      <c r="CI326" s="93" t="s">
        <v>324</v>
      </c>
      <c r="CJ326" s="93" t="s">
        <v>324</v>
      </c>
      <c r="CK326" s="93" t="s">
        <v>324</v>
      </c>
      <c r="CL326" s="93" t="s">
        <v>324</v>
      </c>
      <c r="CM326" s="93" t="s">
        <v>324</v>
      </c>
      <c r="CN326" s="93" t="s">
        <v>324</v>
      </c>
      <c r="CO326" s="93" t="s">
        <v>324</v>
      </c>
      <c r="CP326" s="93" t="s">
        <v>324</v>
      </c>
      <c r="CQ326" s="93" t="s">
        <v>324</v>
      </c>
      <c r="CR326" s="93" t="s">
        <v>324</v>
      </c>
      <c r="CS326" s="93" t="s">
        <v>324</v>
      </c>
      <c r="CT326" s="93" t="s">
        <v>324</v>
      </c>
      <c r="CU326" s="93" t="s">
        <v>324</v>
      </c>
      <c r="CV326" s="93" t="s">
        <v>324</v>
      </c>
      <c r="CW326" s="93" t="s">
        <v>324</v>
      </c>
      <c r="CX326" s="93" t="s">
        <v>324</v>
      </c>
      <c r="CY326" s="93" t="s">
        <v>324</v>
      </c>
      <c r="CZ326" s="93" t="s">
        <v>324</v>
      </c>
      <c r="DA326" s="93" t="s">
        <v>324</v>
      </c>
      <c r="DB326" s="93" t="s">
        <v>324</v>
      </c>
      <c r="DC326" s="93" t="s">
        <v>324</v>
      </c>
      <c r="DD326" s="93" t="s">
        <v>324</v>
      </c>
      <c r="DE326" s="93" t="s">
        <v>324</v>
      </c>
      <c r="DF326" s="93" t="s">
        <v>324</v>
      </c>
      <c r="DG326" s="93" t="s">
        <v>324</v>
      </c>
      <c r="DH326" s="93" t="s">
        <v>324</v>
      </c>
      <c r="DI326" s="93" t="s">
        <v>324</v>
      </c>
      <c r="DJ326" s="93" t="s">
        <v>324</v>
      </c>
      <c r="DK326" s="93" t="s">
        <v>324</v>
      </c>
      <c r="DL326" s="93" t="s">
        <v>324</v>
      </c>
      <c r="DM326" s="93" t="s">
        <v>324</v>
      </c>
      <c r="DN326" s="93" t="s">
        <v>324</v>
      </c>
      <c r="DO326" s="93" t="s">
        <v>324</v>
      </c>
      <c r="DP326" s="93" t="s">
        <v>324</v>
      </c>
      <c r="DQ326" s="93" t="s">
        <v>324</v>
      </c>
      <c r="DR326" s="93" t="s">
        <v>324</v>
      </c>
      <c r="DS326" s="93" t="s">
        <v>324</v>
      </c>
      <c r="DT326" s="93" t="s">
        <v>324</v>
      </c>
      <c r="DU326" s="93" t="s">
        <v>324</v>
      </c>
      <c r="DV326" s="93" t="s">
        <v>324</v>
      </c>
      <c r="DW326" s="93" t="s">
        <v>324</v>
      </c>
      <c r="DX326" s="93" t="s">
        <v>324</v>
      </c>
      <c r="DY326" s="93" t="s">
        <v>324</v>
      </c>
      <c r="DZ326" s="93" t="s">
        <v>324</v>
      </c>
      <c r="EA326" s="93" t="s">
        <v>324</v>
      </c>
      <c r="EB326" s="93" t="s">
        <v>324</v>
      </c>
      <c r="EC326" s="93" t="s">
        <v>324</v>
      </c>
    </row>
    <row r="327" spans="1:133" s="379" customFormat="1">
      <c r="A327" s="335" t="s">
        <v>2641</v>
      </c>
      <c r="B327" s="335" t="s">
        <v>2641</v>
      </c>
      <c r="C327" s="93" t="s">
        <v>370</v>
      </c>
      <c r="D327" s="435" t="s">
        <v>1010</v>
      </c>
      <c r="E327" s="435" t="s">
        <v>2643</v>
      </c>
      <c r="F327" s="443" t="s">
        <v>2940</v>
      </c>
      <c r="G327" s="93" t="s">
        <v>324</v>
      </c>
      <c r="H327" s="93" t="s">
        <v>394</v>
      </c>
      <c r="I327" s="435" t="s">
        <v>324</v>
      </c>
      <c r="J327" s="497" t="s">
        <v>324</v>
      </c>
      <c r="K327" s="406"/>
      <c r="L327" s="406"/>
      <c r="M327" s="406"/>
      <c r="P327" s="435" t="s">
        <v>324</v>
      </c>
      <c r="Q327" s="435" t="s">
        <v>324</v>
      </c>
      <c r="R327" s="435" t="s">
        <v>324</v>
      </c>
      <c r="S327" s="379" t="s">
        <v>2642</v>
      </c>
      <c r="T327" s="93" t="s">
        <v>713</v>
      </c>
      <c r="U327" s="435">
        <v>10</v>
      </c>
      <c r="V327" s="93" t="str" cm="1">
        <f t="array" ref="V327">IFERROR(INDEX('Offer Statistics'!$DS$2:$DS$350,MATCH(1,($B327='Offer Statistics'!$DD$2:$DD$350)*($B$11='Offer Statistics'!$DE$2:$DE$350),0)),"/")</f>
        <v>/</v>
      </c>
      <c r="W327" s="93" t="str" cm="1">
        <f t="array" ref="W327">IFERROR(INDEX('Offer Statistics'!$DF$2:$DF$350,MATCH(1,(B327='Offer Statistics'!$DD$2:$DD$350)*($B$11='Offer Statistics'!$DE$2:$DE$350),0)),"/")</f>
        <v>/</v>
      </c>
      <c r="X327" s="93" t="str" cm="1">
        <f t="array" ref="X327">IFERROR(INDEX('Offer Statistics'!$DN$2:$DN$350,MATCH(1,(B327='Offer Statistics'!$DD$2:$DD$350)*($B$11='Offer Statistics'!$DE$2:$DE$350),0)),"/")</f>
        <v>/</v>
      </c>
      <c r="Y327" s="93" t="str">
        <f t="shared" si="378"/>
        <v>新科目</v>
      </c>
      <c r="Z327" s="93" t="s">
        <v>713</v>
      </c>
      <c r="AA327" s="93">
        <f>入學要求!AF336</f>
        <v>0</v>
      </c>
      <c r="AB327" s="93" t="str">
        <f>入學要求!AG336</f>
        <v>/</v>
      </c>
      <c r="AC327" s="431" t="s">
        <v>785</v>
      </c>
      <c r="AD327" s="368"/>
      <c r="AH327" s="346" t="s">
        <v>770</v>
      </c>
      <c r="AI327" s="346" t="s">
        <v>3163</v>
      </c>
      <c r="AJ327" s="359"/>
      <c r="AK327" s="93" t="s">
        <v>324</v>
      </c>
      <c r="AL327" s="93" t="s">
        <v>324</v>
      </c>
      <c r="AM327" s="93" t="s">
        <v>324</v>
      </c>
      <c r="AN327" s="93" t="s">
        <v>324</v>
      </c>
      <c r="AO327" s="93" t="s">
        <v>324</v>
      </c>
      <c r="AP327" s="93" t="s">
        <v>324</v>
      </c>
      <c r="AQ327" s="93" t="s">
        <v>324</v>
      </c>
      <c r="AR327" s="93" t="s">
        <v>324</v>
      </c>
      <c r="AS327" s="93" t="s">
        <v>324</v>
      </c>
      <c r="AT327" s="93" t="s">
        <v>716</v>
      </c>
      <c r="AU327" s="93" t="s">
        <v>324</v>
      </c>
      <c r="AV327" s="93" t="s">
        <v>713</v>
      </c>
      <c r="AZ327" s="93" t="s">
        <v>324</v>
      </c>
      <c r="BA327" s="93" t="s">
        <v>324</v>
      </c>
      <c r="BB327" s="93" t="s">
        <v>324</v>
      </c>
      <c r="BC327" s="93" t="s">
        <v>324</v>
      </c>
      <c r="BD327" s="93" t="s">
        <v>324</v>
      </c>
      <c r="BE327" s="93" t="s">
        <v>324</v>
      </c>
      <c r="BF327" s="93" t="s">
        <v>324</v>
      </c>
      <c r="BG327" s="93" t="s">
        <v>324</v>
      </c>
      <c r="BH327" s="93" t="s">
        <v>324</v>
      </c>
      <c r="BI327" s="93" t="s">
        <v>324</v>
      </c>
      <c r="BJ327" s="93" t="s">
        <v>324</v>
      </c>
      <c r="BK327" s="93" t="s">
        <v>324</v>
      </c>
      <c r="BL327" s="93" t="s">
        <v>324</v>
      </c>
      <c r="BM327" s="93" t="s">
        <v>324</v>
      </c>
      <c r="BN327" s="93" t="s">
        <v>324</v>
      </c>
      <c r="BO327" s="93" t="s">
        <v>324</v>
      </c>
      <c r="BP327" s="93" t="s">
        <v>324</v>
      </c>
      <c r="BQ327" s="93" t="s">
        <v>324</v>
      </c>
      <c r="BR327" s="93" t="s">
        <v>324</v>
      </c>
      <c r="BS327" s="93" t="s">
        <v>324</v>
      </c>
      <c r="BT327" s="93" t="s">
        <v>324</v>
      </c>
      <c r="BU327" s="93" t="s">
        <v>324</v>
      </c>
      <c r="BV327" s="93" t="s">
        <v>324</v>
      </c>
      <c r="BW327" s="93" t="s">
        <v>324</v>
      </c>
      <c r="BX327" s="93" t="s">
        <v>324</v>
      </c>
      <c r="BY327" s="93" t="s">
        <v>324</v>
      </c>
      <c r="BZ327" s="93" t="s">
        <v>324</v>
      </c>
      <c r="CA327" s="93" t="s">
        <v>324</v>
      </c>
      <c r="CB327" s="93" t="s">
        <v>324</v>
      </c>
      <c r="CC327" s="93" t="s">
        <v>324</v>
      </c>
      <c r="CD327" s="93" t="s">
        <v>324</v>
      </c>
      <c r="CE327" s="93" t="s">
        <v>324</v>
      </c>
      <c r="CF327" s="93" t="s">
        <v>324</v>
      </c>
      <c r="CG327" s="93" t="s">
        <v>324</v>
      </c>
      <c r="CH327" s="93" t="s">
        <v>324</v>
      </c>
      <c r="CI327" s="93" t="s">
        <v>324</v>
      </c>
      <c r="CJ327" s="93" t="s">
        <v>324</v>
      </c>
      <c r="CK327" s="93" t="s">
        <v>324</v>
      </c>
      <c r="CL327" s="93" t="s">
        <v>324</v>
      </c>
      <c r="CM327" s="93" t="s">
        <v>324</v>
      </c>
      <c r="CN327" s="93" t="s">
        <v>324</v>
      </c>
      <c r="CO327" s="93" t="s">
        <v>324</v>
      </c>
      <c r="CP327" s="93" t="s">
        <v>324</v>
      </c>
      <c r="CQ327" s="93" t="s">
        <v>324</v>
      </c>
      <c r="CR327" s="93" t="s">
        <v>324</v>
      </c>
      <c r="CS327" s="93" t="s">
        <v>324</v>
      </c>
      <c r="CT327" s="93" t="s">
        <v>324</v>
      </c>
      <c r="CU327" s="93" t="s">
        <v>324</v>
      </c>
      <c r="CV327" s="93" t="s">
        <v>324</v>
      </c>
      <c r="CW327" s="93" t="s">
        <v>324</v>
      </c>
      <c r="CX327" s="93" t="s">
        <v>324</v>
      </c>
      <c r="CY327" s="93" t="s">
        <v>324</v>
      </c>
      <c r="CZ327" s="93" t="s">
        <v>324</v>
      </c>
      <c r="DA327" s="93" t="s">
        <v>324</v>
      </c>
      <c r="DB327" s="93" t="s">
        <v>324</v>
      </c>
      <c r="DC327" s="93" t="s">
        <v>324</v>
      </c>
      <c r="DD327" s="93" t="s">
        <v>324</v>
      </c>
      <c r="DE327" s="93" t="s">
        <v>324</v>
      </c>
      <c r="DF327" s="93" t="s">
        <v>324</v>
      </c>
      <c r="DG327" s="93" t="s">
        <v>324</v>
      </c>
      <c r="DH327" s="93" t="s">
        <v>324</v>
      </c>
      <c r="DI327" s="93" t="s">
        <v>324</v>
      </c>
      <c r="DJ327" s="93" t="s">
        <v>324</v>
      </c>
      <c r="DK327" s="93" t="s">
        <v>324</v>
      </c>
      <c r="DL327" s="93" t="s">
        <v>324</v>
      </c>
      <c r="DM327" s="93" t="s">
        <v>324</v>
      </c>
      <c r="DN327" s="93" t="s">
        <v>324</v>
      </c>
      <c r="DO327" s="93" t="s">
        <v>324</v>
      </c>
      <c r="DP327" s="93" t="s">
        <v>324</v>
      </c>
      <c r="DQ327" s="93" t="s">
        <v>324</v>
      </c>
      <c r="DR327" s="93" t="s">
        <v>324</v>
      </c>
      <c r="DS327" s="93" t="s">
        <v>324</v>
      </c>
      <c r="DT327" s="93" t="s">
        <v>324</v>
      </c>
      <c r="DU327" s="93" t="s">
        <v>324</v>
      </c>
      <c r="DV327" s="93" t="s">
        <v>324</v>
      </c>
      <c r="DW327" s="93" t="s">
        <v>324</v>
      </c>
      <c r="DX327" s="93" t="s">
        <v>324</v>
      </c>
      <c r="DY327" s="93" t="s">
        <v>324</v>
      </c>
      <c r="DZ327" s="93" t="s">
        <v>324</v>
      </c>
      <c r="EA327" s="93" t="s">
        <v>324</v>
      </c>
      <c r="EB327" s="93" t="s">
        <v>324</v>
      </c>
      <c r="EC327" s="93" t="s">
        <v>324</v>
      </c>
    </row>
    <row r="328" spans="1:133" s="93" customFormat="1">
      <c r="A328" s="335" t="s">
        <v>1609</v>
      </c>
      <c r="B328" s="335" t="s">
        <v>1609</v>
      </c>
      <c r="C328" s="93" t="s">
        <v>370</v>
      </c>
      <c r="D328" s="435" t="s">
        <v>940</v>
      </c>
      <c r="E328" s="435" t="s">
        <v>2645</v>
      </c>
      <c r="F328" s="501" t="s">
        <v>785</v>
      </c>
      <c r="G328" s="93" t="s">
        <v>324</v>
      </c>
      <c r="H328" s="93" t="s">
        <v>394</v>
      </c>
      <c r="I328" s="435">
        <v>27</v>
      </c>
      <c r="J328" s="497">
        <v>26</v>
      </c>
      <c r="K328" s="203"/>
      <c r="L328" s="203"/>
      <c r="M328" s="203"/>
      <c r="N328" s="379"/>
      <c r="O328" s="379"/>
      <c r="P328" s="435" t="s">
        <v>829</v>
      </c>
      <c r="Q328" s="435" t="s">
        <v>1612</v>
      </c>
      <c r="R328" s="435"/>
      <c r="S328" s="93" t="s">
        <v>2644</v>
      </c>
      <c r="T328" s="93" t="s">
        <v>713</v>
      </c>
      <c r="U328" s="435">
        <v>20</v>
      </c>
      <c r="V328" s="93" cm="1">
        <f t="array" ref="V328">IFERROR(INDEX('Offer Statistics'!$DS$2:$DS$350,MATCH(1,($B328='Offer Statistics'!$DD$2:$DD$350)*($B$11='Offer Statistics'!$DE$2:$DE$350),0)),"/")</f>
        <v>18</v>
      </c>
      <c r="W328" s="93" cm="1">
        <f t="array" ref="W328">IFERROR(INDEX('Offer Statistics'!$DF$2:$DF$350,MATCH(1,(B328='Offer Statistics'!$DD$2:$DD$350)*($B$11='Offer Statistics'!$DE$2:$DE$350),0)),"/")</f>
        <v>99</v>
      </c>
      <c r="X328" s="93" cm="1">
        <f t="array" ref="X328">IFERROR(INDEX('Offer Statistics'!$DN$2:$DN$350,MATCH(1,(B328='Offer Statistics'!$DD$2:$DD$350)*($B$11='Offer Statistics'!$DE$2:$DE$350),0)),"/")</f>
        <v>11</v>
      </c>
      <c r="Y328" s="93">
        <f t="shared" si="378"/>
        <v>9</v>
      </c>
      <c r="Z328" s="93" t="s">
        <v>713</v>
      </c>
      <c r="AA328" s="93">
        <f>入學要求!AF337</f>
        <v>0</v>
      </c>
      <c r="AB328" s="93" t="str">
        <f>入學要求!AG337</f>
        <v>/</v>
      </c>
      <c r="AC328" s="347" t="s">
        <v>785</v>
      </c>
      <c r="AD328" s="333"/>
      <c r="AE328" s="333"/>
      <c r="AF328" s="333" t="s">
        <v>324</v>
      </c>
      <c r="AG328" s="333" t="s">
        <v>324</v>
      </c>
      <c r="AH328" s="346" t="s">
        <v>829</v>
      </c>
      <c r="AI328" s="346" t="s">
        <v>1612</v>
      </c>
      <c r="AJ328" s="346"/>
      <c r="AK328" s="346" t="s">
        <v>324</v>
      </c>
      <c r="AL328" s="93" t="s">
        <v>324</v>
      </c>
      <c r="AM328" s="93" t="s">
        <v>324</v>
      </c>
      <c r="AN328" s="93" t="s">
        <v>324</v>
      </c>
      <c r="AO328" s="93" t="s">
        <v>324</v>
      </c>
      <c r="AP328" s="93" t="s">
        <v>324</v>
      </c>
      <c r="AQ328" s="93" t="s">
        <v>324</v>
      </c>
      <c r="AR328" s="93" t="s">
        <v>324</v>
      </c>
      <c r="AS328" s="93" t="s">
        <v>324</v>
      </c>
      <c r="AT328" s="93" t="s">
        <v>716</v>
      </c>
      <c r="AU328" s="93" t="s">
        <v>324</v>
      </c>
      <c r="AV328" s="93" t="s">
        <v>713</v>
      </c>
      <c r="AZ328" s="93" t="s">
        <v>324</v>
      </c>
      <c r="BA328" s="93" t="s">
        <v>324</v>
      </c>
      <c r="BB328" s="93" t="s">
        <v>324</v>
      </c>
      <c r="BC328" s="93" t="s">
        <v>324</v>
      </c>
      <c r="BD328" s="93" t="s">
        <v>324</v>
      </c>
      <c r="BE328" s="93" t="s">
        <v>324</v>
      </c>
      <c r="BF328" s="93" t="s">
        <v>324</v>
      </c>
      <c r="BG328" s="93" t="s">
        <v>324</v>
      </c>
      <c r="BH328" s="93" t="s">
        <v>324</v>
      </c>
      <c r="BI328" s="93" t="s">
        <v>324</v>
      </c>
      <c r="BJ328" s="93" t="s">
        <v>324</v>
      </c>
      <c r="BK328" s="93" t="s">
        <v>324</v>
      </c>
      <c r="BL328" s="93" t="s">
        <v>324</v>
      </c>
      <c r="BM328" s="93" t="s">
        <v>324</v>
      </c>
      <c r="BN328" s="93" t="s">
        <v>324</v>
      </c>
      <c r="BO328" s="93" t="s">
        <v>324</v>
      </c>
      <c r="BP328" s="93" t="s">
        <v>324</v>
      </c>
      <c r="BQ328" s="93" t="s">
        <v>324</v>
      </c>
      <c r="BR328" s="93" t="s">
        <v>324</v>
      </c>
      <c r="BS328" s="93" t="s">
        <v>324</v>
      </c>
      <c r="BT328" s="93" t="s">
        <v>324</v>
      </c>
      <c r="BU328" s="93" t="s">
        <v>324</v>
      </c>
      <c r="BV328" s="93" t="s">
        <v>324</v>
      </c>
      <c r="BW328" s="93" t="s">
        <v>324</v>
      </c>
      <c r="BX328" s="93" t="s">
        <v>324</v>
      </c>
      <c r="BY328" s="93" t="s">
        <v>324</v>
      </c>
      <c r="BZ328" s="93" t="s">
        <v>324</v>
      </c>
      <c r="CA328" s="93" t="s">
        <v>324</v>
      </c>
      <c r="CB328" s="93" t="s">
        <v>324</v>
      </c>
      <c r="CC328" s="93" t="s">
        <v>324</v>
      </c>
      <c r="CD328" s="93" t="s">
        <v>324</v>
      </c>
      <c r="CE328" s="93" t="s">
        <v>324</v>
      </c>
      <c r="CF328" s="93" t="s">
        <v>324</v>
      </c>
      <c r="CG328" s="93" t="s">
        <v>324</v>
      </c>
      <c r="CH328" s="93" t="s">
        <v>324</v>
      </c>
      <c r="CI328" s="93" t="s">
        <v>324</v>
      </c>
      <c r="CJ328" s="93" t="s">
        <v>324</v>
      </c>
      <c r="CK328" s="93" t="s">
        <v>324</v>
      </c>
      <c r="CL328" s="93" t="s">
        <v>324</v>
      </c>
      <c r="CM328" s="93" t="s">
        <v>324</v>
      </c>
      <c r="CN328" s="93" t="s">
        <v>324</v>
      </c>
      <c r="CO328" s="93" t="s">
        <v>324</v>
      </c>
      <c r="CP328" s="93" t="s">
        <v>324</v>
      </c>
      <c r="CQ328" s="93" t="s">
        <v>324</v>
      </c>
      <c r="CR328" s="93" t="s">
        <v>324</v>
      </c>
      <c r="CS328" s="93" t="s">
        <v>324</v>
      </c>
      <c r="CT328" s="93" t="s">
        <v>324</v>
      </c>
      <c r="CU328" s="93" t="s">
        <v>324</v>
      </c>
      <c r="CV328" s="93" t="s">
        <v>324</v>
      </c>
      <c r="CW328" s="93" t="s">
        <v>324</v>
      </c>
      <c r="CX328" s="93" t="s">
        <v>324</v>
      </c>
      <c r="CY328" s="93" t="s">
        <v>324</v>
      </c>
      <c r="CZ328" s="93" t="s">
        <v>324</v>
      </c>
      <c r="DA328" s="93" t="s">
        <v>324</v>
      </c>
      <c r="DB328" s="93" t="s">
        <v>324</v>
      </c>
      <c r="DC328" s="93" t="s">
        <v>324</v>
      </c>
      <c r="DD328" s="93" t="s">
        <v>324</v>
      </c>
      <c r="DE328" s="93" t="s">
        <v>324</v>
      </c>
      <c r="DF328" s="93" t="s">
        <v>324</v>
      </c>
      <c r="DG328" s="93" t="s">
        <v>324</v>
      </c>
      <c r="DH328" s="93" t="s">
        <v>324</v>
      </c>
      <c r="DI328" s="93" t="s">
        <v>324</v>
      </c>
      <c r="DJ328" s="93" t="s">
        <v>324</v>
      </c>
      <c r="DK328" s="93" t="s">
        <v>324</v>
      </c>
      <c r="DL328" s="93" t="s">
        <v>324</v>
      </c>
      <c r="DM328" s="93" t="s">
        <v>324</v>
      </c>
      <c r="DN328" s="93" t="s">
        <v>324</v>
      </c>
      <c r="DO328" s="93" t="s">
        <v>324</v>
      </c>
      <c r="DP328" s="93" t="s">
        <v>324</v>
      </c>
      <c r="DQ328" s="93" t="s">
        <v>324</v>
      </c>
      <c r="DR328" s="93" t="s">
        <v>324</v>
      </c>
      <c r="DS328" s="93" t="s">
        <v>324</v>
      </c>
      <c r="DT328" s="93" t="s">
        <v>324</v>
      </c>
      <c r="DU328" s="93" t="s">
        <v>324</v>
      </c>
      <c r="DV328" s="93" t="s">
        <v>324</v>
      </c>
      <c r="DW328" s="93" t="s">
        <v>324</v>
      </c>
      <c r="DX328" s="93" t="s">
        <v>324</v>
      </c>
      <c r="DY328" s="93" t="s">
        <v>324</v>
      </c>
      <c r="DZ328" s="93" t="s">
        <v>324</v>
      </c>
      <c r="EA328" s="93" t="s">
        <v>324</v>
      </c>
      <c r="EB328" s="93" t="s">
        <v>324</v>
      </c>
      <c r="EC328" s="93" t="s">
        <v>324</v>
      </c>
    </row>
    <row r="329" spans="1:133" s="93" customFormat="1">
      <c r="A329" s="335" t="s">
        <v>1613</v>
      </c>
      <c r="B329" s="335" t="s">
        <v>1613</v>
      </c>
      <c r="C329" s="93" t="s">
        <v>370</v>
      </c>
      <c r="D329" s="435" t="s">
        <v>940</v>
      </c>
      <c r="E329" s="435" t="s">
        <v>1614</v>
      </c>
      <c r="F329" s="501" t="s">
        <v>785</v>
      </c>
      <c r="G329" s="93" t="s">
        <v>324</v>
      </c>
      <c r="H329" s="93" t="s">
        <v>394</v>
      </c>
      <c r="I329" s="435">
        <v>24</v>
      </c>
      <c r="J329" s="497">
        <v>24</v>
      </c>
      <c r="K329" s="203"/>
      <c r="L329" s="203"/>
      <c r="M329" s="203"/>
      <c r="P329" s="435" t="s">
        <v>770</v>
      </c>
      <c r="Q329" s="435" t="s">
        <v>873</v>
      </c>
      <c r="R329" s="435" t="s">
        <v>324</v>
      </c>
      <c r="S329" s="93" t="s">
        <v>1615</v>
      </c>
      <c r="T329" s="93" t="s">
        <v>713</v>
      </c>
      <c r="U329" s="435">
        <v>28</v>
      </c>
      <c r="V329" s="93" cm="1">
        <f t="array" ref="V329">IFERROR(INDEX('Offer Statistics'!$DS$2:$DS$350,MATCH(1,($B329='Offer Statistics'!$DD$2:$DD$350)*($B$11='Offer Statistics'!$DE$2:$DE$350),0)),"/")</f>
        <v>33</v>
      </c>
      <c r="W329" s="93" cm="1">
        <f t="array" ref="W329">IFERROR(INDEX('Offer Statistics'!$DF$2:$DF$350,MATCH(1,(B329='Offer Statistics'!$DD$2:$DD$350)*($B$11='Offer Statistics'!$DE$2:$DE$350),0)),"/")</f>
        <v>329</v>
      </c>
      <c r="X329" s="93" cm="1">
        <f t="array" ref="X329">IFERROR(INDEX('Offer Statistics'!$DN$2:$DN$350,MATCH(1,(B329='Offer Statistics'!$DD$2:$DD$350)*($B$11='Offer Statistics'!$DE$2:$DE$350),0)),"/")</f>
        <v>24</v>
      </c>
      <c r="Y329" s="93">
        <f t="shared" si="378"/>
        <v>13.708333333333334</v>
      </c>
      <c r="Z329" s="93" t="s">
        <v>713</v>
      </c>
      <c r="AA329" s="93">
        <f>入學要求!AF338</f>
        <v>0</v>
      </c>
      <c r="AB329" s="93" t="str">
        <f>入學要求!AG338</f>
        <v>/</v>
      </c>
      <c r="AC329" s="347" t="s">
        <v>785</v>
      </c>
      <c r="AD329" s="333"/>
      <c r="AE329" s="333"/>
      <c r="AF329" s="333" t="s">
        <v>324</v>
      </c>
      <c r="AG329" s="333" t="s">
        <v>324</v>
      </c>
      <c r="AH329" s="346" t="s">
        <v>770</v>
      </c>
      <c r="AI329" s="346" t="s">
        <v>873</v>
      </c>
      <c r="AJ329" s="346" t="s">
        <v>324</v>
      </c>
      <c r="AK329" s="93" t="s">
        <v>324</v>
      </c>
      <c r="AL329" s="93" t="s">
        <v>324</v>
      </c>
      <c r="AM329" s="93" t="s">
        <v>324</v>
      </c>
      <c r="AN329" s="93" t="s">
        <v>324</v>
      </c>
      <c r="AO329" s="93" t="s">
        <v>324</v>
      </c>
      <c r="AP329" s="93" t="s">
        <v>324</v>
      </c>
      <c r="AQ329" s="93" t="s">
        <v>324</v>
      </c>
      <c r="AR329" s="93" t="s">
        <v>324</v>
      </c>
      <c r="AS329" s="93" t="s">
        <v>324</v>
      </c>
      <c r="AT329" s="93" t="s">
        <v>716</v>
      </c>
      <c r="AU329" s="93" t="s">
        <v>324</v>
      </c>
      <c r="AV329" s="93" t="s">
        <v>713</v>
      </c>
      <c r="AZ329" s="93" t="s">
        <v>324</v>
      </c>
      <c r="BA329" s="93" t="s">
        <v>324</v>
      </c>
      <c r="BB329" s="93" t="s">
        <v>324</v>
      </c>
      <c r="BC329" s="93" t="s">
        <v>324</v>
      </c>
      <c r="BD329" s="93" t="s">
        <v>324</v>
      </c>
      <c r="BE329" s="93" t="s">
        <v>324</v>
      </c>
      <c r="BF329" s="93" t="s">
        <v>324</v>
      </c>
      <c r="BG329" s="93" t="s">
        <v>324</v>
      </c>
      <c r="BH329" s="93" t="s">
        <v>324</v>
      </c>
      <c r="BI329" s="93" t="s">
        <v>324</v>
      </c>
      <c r="BJ329" s="93" t="s">
        <v>324</v>
      </c>
      <c r="BK329" s="93" t="s">
        <v>324</v>
      </c>
      <c r="BL329" s="93" t="s">
        <v>324</v>
      </c>
      <c r="BM329" s="93" t="s">
        <v>324</v>
      </c>
      <c r="BN329" s="93" t="s">
        <v>324</v>
      </c>
      <c r="BO329" s="93" t="s">
        <v>324</v>
      </c>
      <c r="BP329" s="93" t="s">
        <v>324</v>
      </c>
      <c r="BQ329" s="93" t="s">
        <v>324</v>
      </c>
      <c r="BR329" s="93" t="s">
        <v>324</v>
      </c>
      <c r="BS329" s="93" t="s">
        <v>324</v>
      </c>
      <c r="BT329" s="93" t="s">
        <v>324</v>
      </c>
      <c r="BU329" s="93" t="s">
        <v>324</v>
      </c>
      <c r="BV329" s="93" t="s">
        <v>324</v>
      </c>
      <c r="BW329" s="93" t="s">
        <v>324</v>
      </c>
      <c r="BX329" s="93" t="s">
        <v>324</v>
      </c>
      <c r="BY329" s="93" t="s">
        <v>324</v>
      </c>
      <c r="BZ329" s="93" t="s">
        <v>324</v>
      </c>
      <c r="CA329" s="93" t="s">
        <v>324</v>
      </c>
      <c r="CB329" s="93" t="s">
        <v>324</v>
      </c>
      <c r="CC329" s="93" t="s">
        <v>324</v>
      </c>
      <c r="CD329" s="93" t="s">
        <v>324</v>
      </c>
      <c r="CE329" s="93" t="s">
        <v>324</v>
      </c>
      <c r="CF329" s="93" t="s">
        <v>324</v>
      </c>
      <c r="CG329" s="93" t="s">
        <v>324</v>
      </c>
      <c r="CH329" s="93" t="s">
        <v>324</v>
      </c>
      <c r="CI329" s="93" t="s">
        <v>324</v>
      </c>
      <c r="CJ329" s="93" t="s">
        <v>324</v>
      </c>
      <c r="CK329" s="93" t="s">
        <v>324</v>
      </c>
      <c r="CL329" s="93" t="s">
        <v>324</v>
      </c>
      <c r="CM329" s="93" t="s">
        <v>324</v>
      </c>
      <c r="CN329" s="93" t="s">
        <v>324</v>
      </c>
      <c r="CO329" s="93" t="s">
        <v>324</v>
      </c>
      <c r="CP329" s="93" t="s">
        <v>324</v>
      </c>
      <c r="CQ329" s="93" t="s">
        <v>324</v>
      </c>
      <c r="CR329" s="93" t="s">
        <v>324</v>
      </c>
      <c r="CS329" s="93" t="s">
        <v>324</v>
      </c>
      <c r="CT329" s="93" t="s">
        <v>324</v>
      </c>
      <c r="CU329" s="93" t="s">
        <v>324</v>
      </c>
      <c r="CV329" s="93" t="s">
        <v>324</v>
      </c>
      <c r="CW329" s="93" t="s">
        <v>324</v>
      </c>
      <c r="CX329" s="93" t="s">
        <v>324</v>
      </c>
      <c r="CY329" s="93" t="s">
        <v>324</v>
      </c>
      <c r="CZ329" s="93" t="s">
        <v>324</v>
      </c>
      <c r="DA329" s="93" t="s">
        <v>324</v>
      </c>
      <c r="DB329" s="93" t="s">
        <v>324</v>
      </c>
      <c r="DC329" s="93" t="s">
        <v>324</v>
      </c>
      <c r="DD329" s="93" t="s">
        <v>324</v>
      </c>
      <c r="DE329" s="93" t="s">
        <v>324</v>
      </c>
      <c r="DF329" s="93" t="s">
        <v>324</v>
      </c>
      <c r="DG329" s="93" t="s">
        <v>324</v>
      </c>
      <c r="DH329" s="93" t="s">
        <v>324</v>
      </c>
      <c r="DI329" s="93" t="s">
        <v>324</v>
      </c>
      <c r="DJ329" s="93" t="s">
        <v>324</v>
      </c>
      <c r="DK329" s="93" t="s">
        <v>324</v>
      </c>
      <c r="DL329" s="93" t="s">
        <v>324</v>
      </c>
      <c r="DM329" s="93" t="s">
        <v>324</v>
      </c>
      <c r="DN329" s="93" t="s">
        <v>324</v>
      </c>
      <c r="DO329" s="93" t="s">
        <v>324</v>
      </c>
      <c r="DP329" s="93" t="s">
        <v>324</v>
      </c>
      <c r="DQ329" s="93" t="s">
        <v>324</v>
      </c>
      <c r="DR329" s="93" t="s">
        <v>324</v>
      </c>
      <c r="DS329" s="93" t="s">
        <v>324</v>
      </c>
      <c r="DT329" s="93" t="s">
        <v>324</v>
      </c>
      <c r="DU329" s="93" t="s">
        <v>324</v>
      </c>
      <c r="DV329" s="93" t="s">
        <v>324</v>
      </c>
      <c r="DW329" s="93" t="s">
        <v>324</v>
      </c>
      <c r="DX329" s="93" t="s">
        <v>324</v>
      </c>
      <c r="DY329" s="93" t="s">
        <v>324</v>
      </c>
      <c r="DZ329" s="93" t="s">
        <v>324</v>
      </c>
      <c r="EA329" s="93" t="s">
        <v>324</v>
      </c>
      <c r="EB329" s="93" t="s">
        <v>324</v>
      </c>
      <c r="EC329" s="93" t="s">
        <v>324</v>
      </c>
    </row>
    <row r="330" spans="1:133" s="93" customFormat="1">
      <c r="A330" s="335" t="s">
        <v>1616</v>
      </c>
      <c r="B330" s="335" t="s">
        <v>1616</v>
      </c>
      <c r="C330" s="93" t="s">
        <v>370</v>
      </c>
      <c r="D330" s="435" t="s">
        <v>940</v>
      </c>
      <c r="E330" s="435" t="s">
        <v>1617</v>
      </c>
      <c r="F330" s="501" t="s">
        <v>785</v>
      </c>
      <c r="G330" s="93" t="s">
        <v>324</v>
      </c>
      <c r="H330" s="93" t="s">
        <v>394</v>
      </c>
      <c r="I330" s="435">
        <v>25.6</v>
      </c>
      <c r="J330" s="497">
        <v>25.3</v>
      </c>
      <c r="K330" s="203"/>
      <c r="L330" s="203"/>
      <c r="M330" s="203"/>
      <c r="P330" s="435" t="s">
        <v>770</v>
      </c>
      <c r="Q330" s="435" t="s">
        <v>873</v>
      </c>
      <c r="R330" s="435" t="s">
        <v>1619</v>
      </c>
      <c r="S330" s="93" t="s">
        <v>1618</v>
      </c>
      <c r="T330" s="93" t="s">
        <v>713</v>
      </c>
      <c r="U330" s="435">
        <v>29</v>
      </c>
      <c r="V330" s="93" cm="1">
        <f t="array" ref="V330">IFERROR(INDEX('Offer Statistics'!$DS$2:$DS$350,MATCH(1,($B330='Offer Statistics'!$DD$2:$DD$350)*($B$11='Offer Statistics'!$DE$2:$DE$350),0)),"/")</f>
        <v>41</v>
      </c>
      <c r="W330" s="93" cm="1">
        <f t="array" ref="W330">IFERROR(INDEX('Offer Statistics'!$DF$2:$DF$350,MATCH(1,(B330='Offer Statistics'!$DD$2:$DD$350)*($B$11='Offer Statistics'!$DE$2:$DE$350),0)),"/")</f>
        <v>507</v>
      </c>
      <c r="X330" s="93" cm="1">
        <f t="array" ref="X330">IFERROR(INDEX('Offer Statistics'!$DN$2:$DN$350,MATCH(1,(B330='Offer Statistics'!$DD$2:$DD$350)*($B$11='Offer Statistics'!$DE$2:$DE$350),0)),"/")</f>
        <v>27</v>
      </c>
      <c r="Y330" s="93">
        <f t="shared" si="378"/>
        <v>18.777777777777779</v>
      </c>
      <c r="Z330" s="93" t="s">
        <v>713</v>
      </c>
      <c r="AA330" s="93">
        <f>入學要求!AF339</f>
        <v>0</v>
      </c>
      <c r="AB330" s="93" t="str">
        <f>入學要求!AG339</f>
        <v>/</v>
      </c>
      <c r="AC330" s="347" t="s">
        <v>785</v>
      </c>
      <c r="AD330" s="333"/>
      <c r="AE330" s="333"/>
      <c r="AF330" s="333" t="s">
        <v>324</v>
      </c>
      <c r="AG330" s="333" t="s">
        <v>324</v>
      </c>
      <c r="AH330" s="346" t="s">
        <v>770</v>
      </c>
      <c r="AI330" s="346" t="s">
        <v>873</v>
      </c>
      <c r="AJ330" s="346" t="s">
        <v>1619</v>
      </c>
      <c r="AK330" s="346"/>
      <c r="AM330" s="93" t="s">
        <v>324</v>
      </c>
      <c r="AN330" s="93" t="s">
        <v>324</v>
      </c>
      <c r="AO330" s="93" t="s">
        <v>324</v>
      </c>
      <c r="AP330" s="93" t="s">
        <v>324</v>
      </c>
      <c r="AQ330" s="93" t="s">
        <v>324</v>
      </c>
      <c r="AR330" s="93" t="s">
        <v>324</v>
      </c>
      <c r="AS330" s="93" t="s">
        <v>324</v>
      </c>
      <c r="AT330" s="93" t="s">
        <v>716</v>
      </c>
      <c r="AU330" s="93" t="s">
        <v>324</v>
      </c>
      <c r="AV330" s="93" t="s">
        <v>713</v>
      </c>
      <c r="AZ330" s="93" t="s">
        <v>324</v>
      </c>
      <c r="BA330" s="93" t="s">
        <v>324</v>
      </c>
      <c r="BB330" s="93" t="s">
        <v>324</v>
      </c>
      <c r="BC330" s="93" t="s">
        <v>324</v>
      </c>
      <c r="BD330" s="93" t="s">
        <v>324</v>
      </c>
      <c r="BE330" s="93" t="s">
        <v>324</v>
      </c>
      <c r="BF330" s="93" t="s">
        <v>324</v>
      </c>
      <c r="BG330" s="93" t="s">
        <v>324</v>
      </c>
      <c r="BH330" s="93" t="s">
        <v>324</v>
      </c>
      <c r="BI330" s="93" t="s">
        <v>324</v>
      </c>
      <c r="BJ330" s="93" t="s">
        <v>324</v>
      </c>
      <c r="BK330" s="93" t="s">
        <v>324</v>
      </c>
      <c r="BL330" s="93" t="s">
        <v>324</v>
      </c>
      <c r="BM330" s="93" t="s">
        <v>324</v>
      </c>
      <c r="BN330" s="93" t="s">
        <v>324</v>
      </c>
      <c r="BO330" s="93" t="s">
        <v>324</v>
      </c>
      <c r="BP330" s="93" t="s">
        <v>324</v>
      </c>
      <c r="BQ330" s="93" t="s">
        <v>324</v>
      </c>
      <c r="BR330" s="93" t="s">
        <v>324</v>
      </c>
      <c r="BS330" s="93" t="s">
        <v>324</v>
      </c>
      <c r="BT330" s="93" t="s">
        <v>324</v>
      </c>
      <c r="BU330" s="93" t="s">
        <v>324</v>
      </c>
      <c r="BV330" s="93" t="s">
        <v>324</v>
      </c>
      <c r="BW330" s="93" t="s">
        <v>324</v>
      </c>
      <c r="BX330" s="93" t="s">
        <v>324</v>
      </c>
      <c r="BY330" s="93" t="s">
        <v>324</v>
      </c>
      <c r="BZ330" s="93" t="s">
        <v>324</v>
      </c>
      <c r="CA330" s="93" t="s">
        <v>324</v>
      </c>
      <c r="CB330" s="93" t="s">
        <v>324</v>
      </c>
      <c r="CC330" s="93" t="s">
        <v>324</v>
      </c>
      <c r="CD330" s="93" t="s">
        <v>324</v>
      </c>
      <c r="CE330" s="93" t="s">
        <v>324</v>
      </c>
      <c r="CF330" s="93" t="s">
        <v>324</v>
      </c>
      <c r="CG330" s="93" t="s">
        <v>324</v>
      </c>
      <c r="CH330" s="93" t="s">
        <v>324</v>
      </c>
      <c r="CI330" s="93" t="s">
        <v>324</v>
      </c>
      <c r="CJ330" s="93" t="s">
        <v>324</v>
      </c>
      <c r="CK330" s="93" t="s">
        <v>324</v>
      </c>
      <c r="CL330" s="93" t="s">
        <v>324</v>
      </c>
      <c r="CM330" s="93" t="s">
        <v>324</v>
      </c>
      <c r="CN330" s="93" t="s">
        <v>324</v>
      </c>
      <c r="CO330" s="93" t="s">
        <v>324</v>
      </c>
      <c r="CP330" s="93" t="s">
        <v>324</v>
      </c>
      <c r="CQ330" s="93" t="s">
        <v>324</v>
      </c>
      <c r="CR330" s="93" t="s">
        <v>324</v>
      </c>
      <c r="CS330" s="93" t="s">
        <v>324</v>
      </c>
      <c r="CT330" s="93" t="s">
        <v>324</v>
      </c>
      <c r="CU330" s="93" t="s">
        <v>324</v>
      </c>
      <c r="CV330" s="93" t="s">
        <v>324</v>
      </c>
      <c r="CW330" s="93" t="s">
        <v>324</v>
      </c>
      <c r="CX330" s="93" t="s">
        <v>324</v>
      </c>
      <c r="CY330" s="93" t="s">
        <v>324</v>
      </c>
      <c r="CZ330" s="93" t="s">
        <v>324</v>
      </c>
      <c r="DA330" s="93" t="s">
        <v>324</v>
      </c>
      <c r="DB330" s="93" t="s">
        <v>324</v>
      </c>
      <c r="DC330" s="93" t="s">
        <v>324</v>
      </c>
      <c r="DD330" s="93" t="s">
        <v>324</v>
      </c>
      <c r="DE330" s="93" t="s">
        <v>324</v>
      </c>
      <c r="DF330" s="93" t="s">
        <v>324</v>
      </c>
      <c r="DG330" s="93" t="s">
        <v>324</v>
      </c>
      <c r="DH330" s="93" t="s">
        <v>324</v>
      </c>
      <c r="DI330" s="93" t="s">
        <v>324</v>
      </c>
      <c r="DJ330" s="93" t="s">
        <v>324</v>
      </c>
      <c r="DK330" s="93" t="s">
        <v>324</v>
      </c>
      <c r="DL330" s="93" t="s">
        <v>324</v>
      </c>
      <c r="DM330" s="93" t="s">
        <v>324</v>
      </c>
      <c r="DN330" s="93" t="s">
        <v>324</v>
      </c>
      <c r="DO330" s="93" t="s">
        <v>324</v>
      </c>
      <c r="DP330" s="93" t="s">
        <v>324</v>
      </c>
      <c r="DQ330" s="93" t="s">
        <v>324</v>
      </c>
      <c r="DR330" s="93" t="s">
        <v>324</v>
      </c>
      <c r="DS330" s="93" t="s">
        <v>324</v>
      </c>
      <c r="DT330" s="93" t="s">
        <v>324</v>
      </c>
      <c r="DU330" s="93" t="s">
        <v>324</v>
      </c>
      <c r="DV330" s="93" t="s">
        <v>324</v>
      </c>
      <c r="DW330" s="93" t="s">
        <v>324</v>
      </c>
      <c r="DX330" s="93" t="s">
        <v>324</v>
      </c>
      <c r="DY330" s="93" t="s">
        <v>324</v>
      </c>
      <c r="DZ330" s="93" t="s">
        <v>324</v>
      </c>
      <c r="EA330" s="93" t="s">
        <v>324</v>
      </c>
      <c r="EB330" s="93" t="s">
        <v>324</v>
      </c>
      <c r="EC330" s="93" t="s">
        <v>324</v>
      </c>
    </row>
    <row r="331" spans="1:133" s="93" customFormat="1">
      <c r="A331" s="335" t="s">
        <v>1620</v>
      </c>
      <c r="B331" s="335" t="s">
        <v>1620</v>
      </c>
      <c r="C331" s="93" t="s">
        <v>370</v>
      </c>
      <c r="D331" s="435" t="s">
        <v>940</v>
      </c>
      <c r="E331" s="435" t="s">
        <v>1621</v>
      </c>
      <c r="F331" s="501" t="s">
        <v>785</v>
      </c>
      <c r="G331" s="93" t="s">
        <v>324</v>
      </c>
      <c r="H331" s="93" t="s">
        <v>394</v>
      </c>
      <c r="I331" s="435">
        <v>25</v>
      </c>
      <c r="J331" s="497">
        <v>24.5</v>
      </c>
      <c r="K331" s="203"/>
      <c r="L331" s="203"/>
      <c r="M331" s="203"/>
      <c r="N331" s="379"/>
      <c r="O331" s="379"/>
      <c r="P331" s="435" t="s">
        <v>770</v>
      </c>
      <c r="Q331" s="435" t="s">
        <v>842</v>
      </c>
      <c r="R331" s="435" t="s">
        <v>324</v>
      </c>
      <c r="S331" s="93" t="s">
        <v>1622</v>
      </c>
      <c r="T331" s="93" t="s">
        <v>713</v>
      </c>
      <c r="U331" s="435">
        <v>25</v>
      </c>
      <c r="V331" s="93" cm="1">
        <f t="array" ref="V331">IFERROR(INDEX('Offer Statistics'!$DS$2:$DS$350,MATCH(1,($B331='Offer Statistics'!$DD$2:$DD$350)*($B$11='Offer Statistics'!$DE$2:$DE$350),0)),"/")</f>
        <v>27</v>
      </c>
      <c r="W331" s="93" cm="1">
        <f t="array" ref="W331">IFERROR(INDEX('Offer Statistics'!$DF$2:$DF$350,MATCH(1,(B331='Offer Statistics'!$DD$2:$DD$350)*($B$11='Offer Statistics'!$DE$2:$DE$350),0)),"/")</f>
        <v>197</v>
      </c>
      <c r="X331" s="93" cm="1">
        <f t="array" ref="X331">IFERROR(INDEX('Offer Statistics'!$DN$2:$DN$350,MATCH(1,(B331='Offer Statistics'!$DD$2:$DD$350)*($B$11='Offer Statistics'!$DE$2:$DE$350),0)),"/")</f>
        <v>17</v>
      </c>
      <c r="Y331" s="93">
        <f t="shared" si="378"/>
        <v>11.588235294117647</v>
      </c>
      <c r="Z331" s="93" t="s">
        <v>713</v>
      </c>
      <c r="AA331" s="93">
        <f>入學要求!AF340</f>
        <v>0</v>
      </c>
      <c r="AB331" s="93" t="str">
        <f>入學要求!AG340</f>
        <v>/</v>
      </c>
      <c r="AC331" s="347" t="s">
        <v>785</v>
      </c>
      <c r="AD331" s="333"/>
      <c r="AE331" s="333"/>
      <c r="AF331" s="333" t="s">
        <v>324</v>
      </c>
      <c r="AG331" s="333" t="s">
        <v>324</v>
      </c>
      <c r="AH331" s="346" t="s">
        <v>770</v>
      </c>
      <c r="AI331" s="346" t="s">
        <v>842</v>
      </c>
      <c r="AJ331" s="346" t="s">
        <v>324</v>
      </c>
      <c r="AK331" s="346" t="s">
        <v>324</v>
      </c>
      <c r="AL331" s="93" t="s">
        <v>324</v>
      </c>
      <c r="AM331" s="93" t="s">
        <v>324</v>
      </c>
      <c r="AN331" s="93" t="s">
        <v>324</v>
      </c>
      <c r="AO331" s="93" t="s">
        <v>324</v>
      </c>
      <c r="AP331" s="93" t="s">
        <v>324</v>
      </c>
      <c r="AQ331" s="93" t="s">
        <v>324</v>
      </c>
      <c r="AR331" s="93" t="s">
        <v>324</v>
      </c>
      <c r="AS331" s="93" t="s">
        <v>324</v>
      </c>
      <c r="AT331" s="93" t="s">
        <v>716</v>
      </c>
      <c r="AU331" s="93" t="s">
        <v>324</v>
      </c>
      <c r="AV331" s="93" t="s">
        <v>713</v>
      </c>
      <c r="AZ331" s="93" t="s">
        <v>324</v>
      </c>
      <c r="BA331" s="93" t="s">
        <v>324</v>
      </c>
      <c r="BB331" s="93" t="s">
        <v>324</v>
      </c>
      <c r="BC331" s="93" t="s">
        <v>324</v>
      </c>
      <c r="BD331" s="93" t="s">
        <v>324</v>
      </c>
      <c r="BE331" s="93" t="s">
        <v>324</v>
      </c>
      <c r="BF331" s="93" t="s">
        <v>324</v>
      </c>
      <c r="BG331" s="93" t="s">
        <v>324</v>
      </c>
      <c r="BH331" s="93" t="s">
        <v>324</v>
      </c>
      <c r="BI331" s="93" t="s">
        <v>324</v>
      </c>
      <c r="BJ331" s="93" t="s">
        <v>324</v>
      </c>
      <c r="BK331" s="93" t="s">
        <v>324</v>
      </c>
      <c r="BL331" s="93" t="s">
        <v>324</v>
      </c>
      <c r="BM331" s="93" t="s">
        <v>324</v>
      </c>
      <c r="BN331" s="93" t="s">
        <v>324</v>
      </c>
      <c r="BO331" s="93" t="s">
        <v>324</v>
      </c>
      <c r="BP331" s="93" t="s">
        <v>324</v>
      </c>
      <c r="BQ331" s="93" t="s">
        <v>324</v>
      </c>
      <c r="BR331" s="93" t="s">
        <v>324</v>
      </c>
      <c r="BS331" s="93" t="s">
        <v>324</v>
      </c>
      <c r="BT331" s="93" t="s">
        <v>324</v>
      </c>
      <c r="BU331" s="93" t="s">
        <v>324</v>
      </c>
      <c r="BV331" s="93" t="s">
        <v>324</v>
      </c>
      <c r="BW331" s="93" t="s">
        <v>324</v>
      </c>
      <c r="BX331" s="93" t="s">
        <v>324</v>
      </c>
      <c r="BY331" s="93" t="s">
        <v>324</v>
      </c>
      <c r="BZ331" s="93" t="s">
        <v>324</v>
      </c>
      <c r="CA331" s="93" t="s">
        <v>324</v>
      </c>
      <c r="CB331" s="93" t="s">
        <v>324</v>
      </c>
      <c r="CC331" s="93" t="s">
        <v>324</v>
      </c>
      <c r="CD331" s="93" t="s">
        <v>324</v>
      </c>
      <c r="CE331" s="93" t="s">
        <v>324</v>
      </c>
      <c r="CF331" s="93" t="s">
        <v>324</v>
      </c>
      <c r="CG331" s="93" t="s">
        <v>324</v>
      </c>
      <c r="CH331" s="93" t="s">
        <v>324</v>
      </c>
      <c r="CI331" s="93" t="s">
        <v>324</v>
      </c>
      <c r="CJ331" s="93" t="s">
        <v>324</v>
      </c>
      <c r="CK331" s="93" t="s">
        <v>324</v>
      </c>
      <c r="CL331" s="93" t="s">
        <v>324</v>
      </c>
      <c r="CM331" s="93" t="s">
        <v>324</v>
      </c>
      <c r="CN331" s="93" t="s">
        <v>324</v>
      </c>
      <c r="CO331" s="93" t="s">
        <v>324</v>
      </c>
      <c r="CP331" s="93" t="s">
        <v>324</v>
      </c>
      <c r="CQ331" s="93" t="s">
        <v>324</v>
      </c>
      <c r="CR331" s="93" t="s">
        <v>324</v>
      </c>
      <c r="CS331" s="93" t="s">
        <v>324</v>
      </c>
      <c r="CT331" s="93" t="s">
        <v>324</v>
      </c>
      <c r="CU331" s="93" t="s">
        <v>324</v>
      </c>
      <c r="CV331" s="93" t="s">
        <v>324</v>
      </c>
      <c r="CW331" s="93" t="s">
        <v>324</v>
      </c>
      <c r="CX331" s="93" t="s">
        <v>324</v>
      </c>
      <c r="CY331" s="93" t="s">
        <v>324</v>
      </c>
      <c r="CZ331" s="93" t="s">
        <v>324</v>
      </c>
      <c r="DA331" s="93" t="s">
        <v>324</v>
      </c>
      <c r="DB331" s="93" t="s">
        <v>324</v>
      </c>
      <c r="DC331" s="93" t="s">
        <v>324</v>
      </c>
      <c r="DD331" s="93" t="s">
        <v>324</v>
      </c>
      <c r="DE331" s="93" t="s">
        <v>324</v>
      </c>
      <c r="DF331" s="93" t="s">
        <v>324</v>
      </c>
      <c r="DG331" s="93" t="s">
        <v>324</v>
      </c>
      <c r="DH331" s="93" t="s">
        <v>324</v>
      </c>
      <c r="DI331" s="93" t="s">
        <v>324</v>
      </c>
      <c r="DJ331" s="93" t="s">
        <v>324</v>
      </c>
      <c r="DK331" s="93" t="s">
        <v>324</v>
      </c>
      <c r="DL331" s="93" t="s">
        <v>324</v>
      </c>
      <c r="DM331" s="93" t="s">
        <v>324</v>
      </c>
      <c r="DN331" s="93" t="s">
        <v>324</v>
      </c>
      <c r="DO331" s="93" t="s">
        <v>324</v>
      </c>
      <c r="DP331" s="93" t="s">
        <v>324</v>
      </c>
      <c r="DQ331" s="93" t="s">
        <v>324</v>
      </c>
      <c r="DR331" s="93" t="s">
        <v>324</v>
      </c>
      <c r="DS331" s="93" t="s">
        <v>324</v>
      </c>
      <c r="DT331" s="93" t="s">
        <v>324</v>
      </c>
      <c r="DU331" s="93" t="s">
        <v>324</v>
      </c>
      <c r="DV331" s="93" t="s">
        <v>324</v>
      </c>
      <c r="DW331" s="93" t="s">
        <v>324</v>
      </c>
      <c r="DX331" s="93" t="s">
        <v>324</v>
      </c>
      <c r="DY331" s="93" t="s">
        <v>324</v>
      </c>
      <c r="DZ331" s="93" t="s">
        <v>324</v>
      </c>
      <c r="EA331" s="93" t="s">
        <v>324</v>
      </c>
      <c r="EB331" s="93" t="s">
        <v>324</v>
      </c>
      <c r="EC331" s="93" t="s">
        <v>324</v>
      </c>
    </row>
    <row r="332" spans="1:133" s="93" customFormat="1">
      <c r="A332" s="335" t="s">
        <v>1623</v>
      </c>
      <c r="B332" s="335" t="s">
        <v>1623</v>
      </c>
      <c r="C332" s="93" t="s">
        <v>370</v>
      </c>
      <c r="D332" s="435" t="s">
        <v>940</v>
      </c>
      <c r="E332" s="435" t="s">
        <v>2129</v>
      </c>
      <c r="F332" s="501" t="s">
        <v>785</v>
      </c>
      <c r="G332" s="93" t="s">
        <v>324</v>
      </c>
      <c r="H332" s="93" t="s">
        <v>394</v>
      </c>
      <c r="I332" s="435">
        <v>27</v>
      </c>
      <c r="J332" s="497">
        <v>26</v>
      </c>
      <c r="K332" s="203"/>
      <c r="L332" s="203"/>
      <c r="M332" s="203"/>
      <c r="N332" s="379"/>
      <c r="O332" s="379"/>
      <c r="P332" s="435" t="s">
        <v>825</v>
      </c>
      <c r="Q332" s="435" t="s">
        <v>1626</v>
      </c>
      <c r="R332" s="435" t="s">
        <v>324</v>
      </c>
      <c r="S332" s="93" t="s">
        <v>2646</v>
      </c>
      <c r="T332" s="93" t="s">
        <v>713</v>
      </c>
      <c r="U332" s="435">
        <v>20</v>
      </c>
      <c r="V332" s="93" cm="1">
        <f t="array" ref="V332">IFERROR(INDEX('Offer Statistics'!$DS$2:$DS$350,MATCH(1,($B332='Offer Statistics'!$DD$2:$DD$350)*($B$11='Offer Statistics'!$DE$2:$DE$350),0)),"/")</f>
        <v>20</v>
      </c>
      <c r="W332" s="93" cm="1">
        <f t="array" ref="W332">IFERROR(INDEX('Offer Statistics'!$DF$2:$DF$350,MATCH(1,(B332='Offer Statistics'!$DD$2:$DD$350)*($B$11='Offer Statistics'!$DE$2:$DE$350),0)),"/")</f>
        <v>361</v>
      </c>
      <c r="X332" s="93" cm="1">
        <f t="array" ref="X332">IFERROR(INDEX('Offer Statistics'!$DN$2:$DN$350,MATCH(1,(B332='Offer Statistics'!$DD$2:$DD$350)*($B$11='Offer Statistics'!$DE$2:$DE$350),0)),"/")</f>
        <v>16</v>
      </c>
      <c r="Y332" s="93">
        <f t="shared" si="378"/>
        <v>22.5625</v>
      </c>
      <c r="Z332" s="93" t="s">
        <v>713</v>
      </c>
      <c r="AA332" s="93">
        <f>入學要求!AF341</f>
        <v>0</v>
      </c>
      <c r="AB332" s="93" t="str">
        <f>入學要求!AG341</f>
        <v>/</v>
      </c>
      <c r="AC332" s="347" t="s">
        <v>785</v>
      </c>
      <c r="AD332" s="51"/>
      <c r="AE332" s="333"/>
      <c r="AF332" s="333" t="s">
        <v>324</v>
      </c>
      <c r="AG332" s="333" t="s">
        <v>324</v>
      </c>
      <c r="AH332" s="346" t="s">
        <v>825</v>
      </c>
      <c r="AI332" s="346" t="s">
        <v>1626</v>
      </c>
      <c r="AJ332" s="346" t="s">
        <v>324</v>
      </c>
      <c r="AK332" s="346" t="s">
        <v>324</v>
      </c>
      <c r="AL332" s="93" t="s">
        <v>324</v>
      </c>
      <c r="AM332" s="93" t="s">
        <v>324</v>
      </c>
      <c r="AN332" s="93" t="s">
        <v>324</v>
      </c>
      <c r="AO332" s="93" t="s">
        <v>324</v>
      </c>
      <c r="AP332" s="93" t="s">
        <v>324</v>
      </c>
      <c r="AQ332" s="93" t="s">
        <v>324</v>
      </c>
      <c r="AR332" s="93" t="s">
        <v>324</v>
      </c>
      <c r="AS332" s="93" t="s">
        <v>324</v>
      </c>
      <c r="AT332" s="93" t="s">
        <v>716</v>
      </c>
      <c r="AU332" s="93" t="s">
        <v>324</v>
      </c>
      <c r="AV332" s="93" t="s">
        <v>713</v>
      </c>
      <c r="AZ332" s="93" t="s">
        <v>324</v>
      </c>
      <c r="BA332" s="93" t="s">
        <v>324</v>
      </c>
      <c r="BB332" s="93" t="s">
        <v>324</v>
      </c>
      <c r="BC332" s="93" t="s">
        <v>324</v>
      </c>
      <c r="BD332" s="93" t="s">
        <v>324</v>
      </c>
      <c r="BE332" s="93" t="s">
        <v>324</v>
      </c>
      <c r="BF332" s="93" t="s">
        <v>324</v>
      </c>
      <c r="BG332" s="93" t="s">
        <v>324</v>
      </c>
      <c r="BH332" s="93" t="s">
        <v>324</v>
      </c>
      <c r="BI332" s="93" t="s">
        <v>324</v>
      </c>
      <c r="BJ332" s="93" t="s">
        <v>324</v>
      </c>
      <c r="BK332" s="93" t="s">
        <v>324</v>
      </c>
      <c r="BL332" s="93" t="s">
        <v>324</v>
      </c>
      <c r="BM332" s="93" t="s">
        <v>324</v>
      </c>
      <c r="BN332" s="93" t="s">
        <v>324</v>
      </c>
      <c r="BO332" s="93" t="s">
        <v>324</v>
      </c>
      <c r="BP332" s="93" t="s">
        <v>324</v>
      </c>
      <c r="BQ332" s="93" t="s">
        <v>324</v>
      </c>
      <c r="BR332" s="93" t="s">
        <v>324</v>
      </c>
      <c r="BS332" s="93" t="s">
        <v>324</v>
      </c>
      <c r="BT332" s="93" t="s">
        <v>324</v>
      </c>
      <c r="BU332" s="93" t="s">
        <v>324</v>
      </c>
      <c r="BV332" s="93" t="s">
        <v>324</v>
      </c>
      <c r="BW332" s="93" t="s">
        <v>324</v>
      </c>
      <c r="BX332" s="93" t="s">
        <v>324</v>
      </c>
      <c r="BY332" s="93" t="s">
        <v>324</v>
      </c>
      <c r="BZ332" s="93" t="s">
        <v>324</v>
      </c>
      <c r="CA332" s="93" t="s">
        <v>324</v>
      </c>
      <c r="CB332" s="93" t="s">
        <v>324</v>
      </c>
      <c r="CC332" s="93" t="s">
        <v>324</v>
      </c>
      <c r="CD332" s="93" t="s">
        <v>324</v>
      </c>
      <c r="CE332" s="93" t="s">
        <v>324</v>
      </c>
      <c r="CF332" s="93" t="s">
        <v>324</v>
      </c>
      <c r="CG332" s="93" t="s">
        <v>324</v>
      </c>
      <c r="CH332" s="93" t="s">
        <v>324</v>
      </c>
      <c r="CI332" s="93" t="s">
        <v>324</v>
      </c>
      <c r="CJ332" s="93" t="s">
        <v>324</v>
      </c>
      <c r="CK332" s="93" t="s">
        <v>324</v>
      </c>
      <c r="CL332" s="93" t="s">
        <v>324</v>
      </c>
      <c r="CM332" s="93" t="s">
        <v>324</v>
      </c>
      <c r="CN332" s="93" t="s">
        <v>324</v>
      </c>
      <c r="CO332" s="93" t="s">
        <v>324</v>
      </c>
      <c r="CP332" s="93" t="s">
        <v>324</v>
      </c>
      <c r="CQ332" s="93" t="s">
        <v>324</v>
      </c>
      <c r="CR332" s="93" t="s">
        <v>324</v>
      </c>
      <c r="CS332" s="93" t="s">
        <v>324</v>
      </c>
      <c r="CT332" s="93" t="s">
        <v>324</v>
      </c>
      <c r="CU332" s="93" t="s">
        <v>324</v>
      </c>
      <c r="CV332" s="93" t="s">
        <v>324</v>
      </c>
      <c r="CW332" s="93" t="s">
        <v>324</v>
      </c>
      <c r="CX332" s="93" t="s">
        <v>324</v>
      </c>
      <c r="CY332" s="93" t="s">
        <v>324</v>
      </c>
      <c r="CZ332" s="93" t="s">
        <v>324</v>
      </c>
      <c r="DA332" s="93" t="s">
        <v>324</v>
      </c>
      <c r="DB332" s="93" t="s">
        <v>324</v>
      </c>
      <c r="DC332" s="93" t="s">
        <v>324</v>
      </c>
      <c r="DD332" s="93" t="s">
        <v>324</v>
      </c>
      <c r="DE332" s="93" t="s">
        <v>324</v>
      </c>
      <c r="DF332" s="93" t="s">
        <v>324</v>
      </c>
      <c r="DG332" s="93" t="s">
        <v>324</v>
      </c>
      <c r="DH332" s="93" t="s">
        <v>324</v>
      </c>
      <c r="DI332" s="93" t="s">
        <v>324</v>
      </c>
      <c r="DJ332" s="93" t="s">
        <v>324</v>
      </c>
      <c r="DK332" s="93" t="s">
        <v>324</v>
      </c>
      <c r="DL332" s="93" t="s">
        <v>324</v>
      </c>
      <c r="DM332" s="93" t="s">
        <v>324</v>
      </c>
      <c r="DN332" s="93" t="s">
        <v>324</v>
      </c>
      <c r="DO332" s="93" t="s">
        <v>324</v>
      </c>
      <c r="DP332" s="93" t="s">
        <v>324</v>
      </c>
      <c r="DQ332" s="93" t="s">
        <v>324</v>
      </c>
      <c r="DR332" s="93" t="s">
        <v>324</v>
      </c>
      <c r="DS332" s="93" t="s">
        <v>324</v>
      </c>
      <c r="DT332" s="93" t="s">
        <v>324</v>
      </c>
      <c r="DU332" s="93" t="s">
        <v>324</v>
      </c>
      <c r="DV332" s="93" t="s">
        <v>324</v>
      </c>
      <c r="DW332" s="93" t="s">
        <v>324</v>
      </c>
      <c r="DX332" s="93" t="s">
        <v>324</v>
      </c>
      <c r="DY332" s="93" t="s">
        <v>324</v>
      </c>
      <c r="DZ332" s="93" t="s">
        <v>324</v>
      </c>
      <c r="EA332" s="93" t="s">
        <v>324</v>
      </c>
      <c r="EB332" s="93" t="s">
        <v>324</v>
      </c>
      <c r="EC332" s="93" t="s">
        <v>324</v>
      </c>
    </row>
    <row r="333" spans="1:133">
      <c r="C333" s="328" t="s">
        <v>3166</v>
      </c>
      <c r="P333" s="170"/>
      <c r="Q333" s="170"/>
      <c r="R333" s="170"/>
      <c r="AH333" s="170"/>
      <c r="AI333" s="170"/>
      <c r="AJ333" s="170"/>
      <c r="AR333" s="2" t="s">
        <v>324</v>
      </c>
      <c r="AW333" s="93"/>
      <c r="BH333" s="119"/>
      <c r="CG333" s="171"/>
      <c r="CH333" s="171"/>
      <c r="CI333" s="171"/>
      <c r="CJ333" s="171"/>
      <c r="CK333" s="171"/>
      <c r="CL333" s="171"/>
      <c r="CM333" s="171"/>
      <c r="CN333" s="171"/>
      <c r="CV333" s="119"/>
      <c r="CW333" s="119"/>
      <c r="CX333" s="119"/>
      <c r="CY333" s="119"/>
      <c r="CZ333" s="119"/>
      <c r="DA333" s="119"/>
      <c r="DB333" s="119"/>
      <c r="DC333" s="119"/>
      <c r="DD333" s="119"/>
      <c r="DF333" s="196"/>
      <c r="DG333" s="196"/>
      <c r="DH333" s="196"/>
      <c r="DI333" s="196"/>
      <c r="DJ333" s="196"/>
      <c r="DK333" s="196"/>
      <c r="DL333" s="196"/>
      <c r="DM333" s="196"/>
      <c r="DV333" s="171"/>
      <c r="DW333" s="171"/>
      <c r="DX333" s="171"/>
      <c r="DY333" s="171"/>
      <c r="DZ333" s="171"/>
      <c r="EA333" s="171"/>
      <c r="EB333" s="171"/>
      <c r="EC333" s="171"/>
    </row>
    <row r="334" spans="1:133">
      <c r="C334" s="329"/>
      <c r="P334" s="170"/>
      <c r="Q334" s="170"/>
      <c r="AH334" s="170"/>
      <c r="AI334" s="170"/>
      <c r="AJ334" s="170"/>
      <c r="AR334" s="2" t="s">
        <v>324</v>
      </c>
      <c r="AW334" s="93"/>
      <c r="BH334" s="119"/>
      <c r="CG334" s="171"/>
      <c r="CH334" s="171"/>
      <c r="CI334" s="171"/>
      <c r="CJ334" s="171"/>
      <c r="CK334" s="171"/>
      <c r="CL334" s="171"/>
      <c r="CM334" s="171"/>
      <c r="CN334" s="171"/>
      <c r="CV334" s="119"/>
      <c r="CW334" s="119"/>
      <c r="CX334" s="119"/>
      <c r="CY334" s="119"/>
      <c r="CZ334" s="119"/>
      <c r="DA334" s="119"/>
      <c r="DB334" s="119"/>
      <c r="DC334" s="119"/>
      <c r="DD334" s="119"/>
      <c r="DF334" s="196"/>
      <c r="DG334" s="196"/>
      <c r="DH334" s="196"/>
      <c r="DI334" s="196"/>
      <c r="DJ334" s="196"/>
      <c r="DK334" s="196"/>
      <c r="DL334" s="196"/>
      <c r="DM334" s="196"/>
      <c r="DV334" s="171"/>
      <c r="DW334" s="171"/>
      <c r="DX334" s="171"/>
      <c r="DY334" s="171"/>
      <c r="DZ334" s="171"/>
      <c r="EA334" s="171"/>
      <c r="EB334" s="171"/>
      <c r="EC334" s="171"/>
    </row>
    <row r="335" spans="1:133" ht="15.6">
      <c r="A335" s="419" t="s">
        <v>2664</v>
      </c>
      <c r="B335" s="2" t="s">
        <v>2664</v>
      </c>
      <c r="C335" s="2" t="s">
        <v>233</v>
      </c>
      <c r="D335" s="2" t="s">
        <v>1111</v>
      </c>
      <c r="E335" s="2" t="s">
        <v>2666</v>
      </c>
      <c r="F335" s="2" t="s">
        <v>11</v>
      </c>
      <c r="H335" s="2" t="s">
        <v>394</v>
      </c>
      <c r="I335" s="435">
        <v>26</v>
      </c>
      <c r="J335" s="435">
        <v>25</v>
      </c>
      <c r="N335" s="435" t="s">
        <v>2518</v>
      </c>
      <c r="O335" s="170"/>
      <c r="P335" s="435" t="s">
        <v>2494</v>
      </c>
      <c r="Q335" s="435" t="s">
        <v>324</v>
      </c>
      <c r="R335" s="435" t="s">
        <v>324</v>
      </c>
      <c r="S335" s="2" t="s">
        <v>2665</v>
      </c>
      <c r="T335" s="2" t="s">
        <v>713</v>
      </c>
      <c r="U335" s="2">
        <v>64</v>
      </c>
      <c r="V335" s="2" t="str" cm="1">
        <f t="array" ref="V335">IFERROR(INDEX('Offer Statistics'!$EK$2:$EK$350,MATCH(1,($B335='Offer Statistics'!$DV$2:$DV$350)*($B$11='Offer Statistics'!$DW$2:$DW$350),0)),"/")</f>
        <v>/</v>
      </c>
      <c r="W335" s="2" t="str" cm="1">
        <f t="array" ref="W335">IFERROR(INDEX('Offer Statistics'!$DX$2:$DX$350,MATCH(1,($B335='Offer Statistics'!$DV$2:$DV$350)*($B$11='Offer Statistics'!$DW$2:$DW$350),0)),"/")</f>
        <v>/</v>
      </c>
      <c r="X335" s="2" t="str" cm="1">
        <f t="array" ref="X335">IFERROR(INDEX('Offer Statistics'!$EF$2:$EF$350,MATCH(1,($B335='Offer Statistics'!$DV$2:$DV$350)*($B$11='Offer Statistics'!$DW$2:$DW$350),0)),"/")</f>
        <v>/</v>
      </c>
      <c r="Y335" s="2" t="str">
        <f>IFERROR(W335/X335,"新科目")</f>
        <v>新科目</v>
      </c>
      <c r="Z335" s="2" t="s">
        <v>713</v>
      </c>
      <c r="AA335" s="2" t="str">
        <f>入學要求!AF344</f>
        <v>此課程不能以其他資歷取代DSE中國語文科要求。</v>
      </c>
      <c r="AB335" s="2" t="str">
        <f>入學要求!AG344</f>
        <v>/</v>
      </c>
      <c r="AC335" s="431" t="s">
        <v>11</v>
      </c>
      <c r="AF335" s="2" t="s">
        <v>324</v>
      </c>
      <c r="AG335" s="2" t="s">
        <v>324</v>
      </c>
      <c r="AH335" s="431" t="s">
        <v>3195</v>
      </c>
      <c r="AI335" s="431" t="s">
        <v>324</v>
      </c>
      <c r="AJ335" s="346" t="s">
        <v>324</v>
      </c>
      <c r="AK335" s="2" t="s">
        <v>324</v>
      </c>
      <c r="AL335" s="2" t="s">
        <v>324</v>
      </c>
      <c r="AM335" s="2" t="s">
        <v>1401</v>
      </c>
      <c r="AN335" s="435" t="s">
        <v>3210</v>
      </c>
      <c r="AO335" s="2" t="s">
        <v>324</v>
      </c>
      <c r="AP335" s="2" t="s">
        <v>324</v>
      </c>
      <c r="AQ335" s="2" t="s">
        <v>324</v>
      </c>
      <c r="AR335" s="2" t="s">
        <v>324</v>
      </c>
      <c r="AT335" s="2" t="s">
        <v>716</v>
      </c>
      <c r="AV335" s="2" t="s">
        <v>713</v>
      </c>
      <c r="AX335" s="204"/>
      <c r="AZ335" s="93"/>
      <c r="BA335" s="93"/>
      <c r="BC335" s="93"/>
    </row>
    <row r="336" spans="1:133" ht="15.6">
      <c r="A336" s="419" t="s">
        <v>2667</v>
      </c>
      <c r="B336" s="2" t="s">
        <v>2667</v>
      </c>
      <c r="C336" s="2" t="s">
        <v>233</v>
      </c>
      <c r="D336" s="2" t="s">
        <v>1111</v>
      </c>
      <c r="E336" s="2" t="s">
        <v>2669</v>
      </c>
      <c r="F336" s="2" t="s">
        <v>11</v>
      </c>
      <c r="H336" s="2" t="s">
        <v>394</v>
      </c>
      <c r="I336" s="435">
        <v>23.3</v>
      </c>
      <c r="J336" s="435">
        <v>22.4</v>
      </c>
      <c r="N336" s="435" t="s">
        <v>1634</v>
      </c>
      <c r="O336" s="435" t="s">
        <v>3208</v>
      </c>
      <c r="P336" s="435" t="s">
        <v>2495</v>
      </c>
      <c r="Q336" s="435" t="s">
        <v>324</v>
      </c>
      <c r="R336" s="435" t="s">
        <v>324</v>
      </c>
      <c r="S336" s="2" t="s">
        <v>2668</v>
      </c>
      <c r="T336" s="2" t="s">
        <v>713</v>
      </c>
      <c r="U336" s="2">
        <v>33</v>
      </c>
      <c r="V336" s="2" t="str" cm="1">
        <f t="array" ref="V336">IFERROR(INDEX('Offer Statistics'!$EK$2:$EK$350,MATCH(1,($B336='Offer Statistics'!$DV$2:$DV$350)*($B$11='Offer Statistics'!$DW$2:$DW$350),0)),"/")</f>
        <v>/</v>
      </c>
      <c r="W336" s="2" t="str" cm="1">
        <f t="array" ref="W336">IFERROR(INDEX('Offer Statistics'!$DX$2:$DX$350,MATCH(1,($B336='Offer Statistics'!$DV$2:$DV$350)*($B$11='Offer Statistics'!$DW$2:$DW$350),0)),"/")</f>
        <v>/</v>
      </c>
      <c r="X336" s="2" t="str" cm="1">
        <f t="array" ref="X336">IFERROR(INDEX('Offer Statistics'!$EF$2:$EF$350,MATCH(1,($B336='Offer Statistics'!$DV$2:$DV$350)*($B$11='Offer Statistics'!$DW$2:$DW$350),0)),"/")</f>
        <v>/</v>
      </c>
      <c r="Y336" s="2" t="str">
        <f t="shared" ref="Y336:Y360" si="379">IFERROR(W336/X336,"新科目")</f>
        <v>新科目</v>
      </c>
      <c r="Z336" s="2" t="s">
        <v>713</v>
      </c>
      <c r="AA336" s="2" t="str">
        <f>入學要求!AF345</f>
        <v>此課程不能以其他資歷取代DSE英國語文科要求。</v>
      </c>
      <c r="AB336" s="2" t="str">
        <f>入學要求!AG345</f>
        <v>/</v>
      </c>
      <c r="AC336" s="425" t="s">
        <v>11</v>
      </c>
      <c r="AF336" s="2" t="s">
        <v>324</v>
      </c>
      <c r="AG336" s="2" t="s">
        <v>324</v>
      </c>
      <c r="AH336" s="431" t="s">
        <v>2508</v>
      </c>
      <c r="AI336" s="431" t="s">
        <v>324</v>
      </c>
      <c r="AJ336" s="426" t="s">
        <v>324</v>
      </c>
      <c r="AK336" s="2" t="s">
        <v>324</v>
      </c>
      <c r="AL336" s="2" t="s">
        <v>324</v>
      </c>
      <c r="AM336" s="2" t="s">
        <v>1401</v>
      </c>
      <c r="AN336" s="435" t="s">
        <v>3209</v>
      </c>
      <c r="AO336" s="2" t="s">
        <v>324</v>
      </c>
      <c r="AP336" s="2" t="s">
        <v>324</v>
      </c>
      <c r="AQ336" s="2" t="s">
        <v>324</v>
      </c>
      <c r="AR336" s="2" t="s">
        <v>324</v>
      </c>
      <c r="AT336" s="2" t="s">
        <v>716</v>
      </c>
      <c r="AV336" s="2" t="s">
        <v>713</v>
      </c>
      <c r="AX336" s="204"/>
      <c r="BA336" s="93"/>
      <c r="BC336" s="170"/>
    </row>
    <row r="337" spans="1:117" ht="15.6">
      <c r="A337" s="419" t="s">
        <v>2694</v>
      </c>
      <c r="B337" s="2" t="s">
        <v>2694</v>
      </c>
      <c r="C337" s="2" t="s">
        <v>233</v>
      </c>
      <c r="D337" s="2" t="s">
        <v>1637</v>
      </c>
      <c r="E337" s="2" t="s">
        <v>2696</v>
      </c>
      <c r="F337" s="2" t="s">
        <v>785</v>
      </c>
      <c r="H337" s="2" t="s">
        <v>394</v>
      </c>
      <c r="I337" s="435">
        <v>20</v>
      </c>
      <c r="J337" s="435">
        <v>19</v>
      </c>
      <c r="N337" s="435"/>
      <c r="P337" s="435" t="s">
        <v>324</v>
      </c>
      <c r="Q337" s="435" t="s">
        <v>324</v>
      </c>
      <c r="R337" s="435" t="s">
        <v>324</v>
      </c>
      <c r="S337" s="2" t="s">
        <v>2695</v>
      </c>
      <c r="T337" s="2" t="s">
        <v>713</v>
      </c>
      <c r="U337" s="2">
        <v>20</v>
      </c>
      <c r="V337" s="2" t="str" cm="1">
        <f t="array" ref="V337">IFERROR(INDEX('Offer Statistics'!$EK$2:$EK$350,MATCH(1,($B337='Offer Statistics'!$DV$2:$DV$350)*($B$11='Offer Statistics'!$DW$2:$DW$350),0)),"/")</f>
        <v>/</v>
      </c>
      <c r="W337" s="2" t="str" cm="1">
        <f t="array" ref="W337">IFERROR(INDEX('Offer Statistics'!$DX$2:$DX$350,MATCH(1,($B337='Offer Statistics'!$DV$2:$DV$350)*($B$11='Offer Statistics'!$DW$2:$DW$350),0)),"/")</f>
        <v>/</v>
      </c>
      <c r="X337" s="2" t="str" cm="1">
        <f t="array" ref="X337">IFERROR(INDEX('Offer Statistics'!$EF$2:$EF$350,MATCH(1,($B337='Offer Statistics'!$DV$2:$DV$350)*($B$11='Offer Statistics'!$DW$2:$DW$350),0)),"/")</f>
        <v>/</v>
      </c>
      <c r="Y337" s="2" t="str">
        <f t="shared" si="379"/>
        <v>新科目</v>
      </c>
      <c r="Z337" s="2" t="s">
        <v>713</v>
      </c>
      <c r="AA337" s="2" t="str">
        <f>入學要求!AF346</f>
        <v>/</v>
      </c>
      <c r="AB337" s="2" t="str">
        <f>入學要求!AG346</f>
        <v>/</v>
      </c>
      <c r="AC337" s="431" t="s">
        <v>785</v>
      </c>
      <c r="AD337" s="431"/>
      <c r="AE337" s="431"/>
      <c r="AF337" s="431" t="s">
        <v>324</v>
      </c>
      <c r="AG337" s="431" t="s">
        <v>324</v>
      </c>
      <c r="AH337" s="431" t="s">
        <v>3196</v>
      </c>
      <c r="AI337" s="431" t="s">
        <v>3197</v>
      </c>
      <c r="AJ337" s="431" t="s">
        <v>324</v>
      </c>
      <c r="AK337" s="2" t="s">
        <v>324</v>
      </c>
      <c r="AL337" s="2" t="s">
        <v>324</v>
      </c>
      <c r="AM337" s="2" t="s">
        <v>1401</v>
      </c>
      <c r="AN337" s="435" t="s">
        <v>3211</v>
      </c>
      <c r="AO337" s="2" t="s">
        <v>324</v>
      </c>
      <c r="AP337" s="2" t="s">
        <v>324</v>
      </c>
      <c r="AQ337" s="2" t="s">
        <v>324</v>
      </c>
      <c r="AR337" s="2" t="s">
        <v>324</v>
      </c>
      <c r="AT337" s="2" t="s">
        <v>716</v>
      </c>
      <c r="AV337" s="2" t="s">
        <v>713</v>
      </c>
      <c r="AX337" s="204"/>
      <c r="BA337" s="93"/>
      <c r="BC337" s="170"/>
    </row>
    <row r="338" spans="1:117" ht="15.6">
      <c r="A338" s="419" t="s">
        <v>2682</v>
      </c>
      <c r="B338" s="2" t="s">
        <v>2682</v>
      </c>
      <c r="C338" s="2" t="s">
        <v>233</v>
      </c>
      <c r="D338" s="2" t="s">
        <v>1637</v>
      </c>
      <c r="E338" s="2" t="s">
        <v>2684</v>
      </c>
      <c r="F338" s="2" t="s">
        <v>785</v>
      </c>
      <c r="H338" s="2" t="s">
        <v>394</v>
      </c>
      <c r="I338" s="435">
        <v>26.5</v>
      </c>
      <c r="J338" s="435">
        <v>25</v>
      </c>
      <c r="N338" s="435"/>
      <c r="P338" s="435" t="s">
        <v>2496</v>
      </c>
      <c r="Q338" s="435" t="s">
        <v>3197</v>
      </c>
      <c r="R338" s="435" t="s">
        <v>324</v>
      </c>
      <c r="S338" s="2" t="s">
        <v>2683</v>
      </c>
      <c r="T338" s="2" t="s">
        <v>713</v>
      </c>
      <c r="U338" s="2">
        <v>44</v>
      </c>
      <c r="V338" s="2" t="str" cm="1">
        <f t="array" ref="V338">IFERROR(INDEX('Offer Statistics'!$EK$2:$EK$350,MATCH(1,($B338='Offer Statistics'!$DV$2:$DV$350)*($B$11='Offer Statistics'!$DW$2:$DW$350),0)),"/")</f>
        <v>/</v>
      </c>
      <c r="W338" s="2" t="str" cm="1">
        <f t="array" ref="W338">IFERROR(INDEX('Offer Statistics'!$DX$2:$DX$350,MATCH(1,($B338='Offer Statistics'!$DV$2:$DV$350)*($B$11='Offer Statistics'!$DW$2:$DW$350),0)),"/")</f>
        <v>/</v>
      </c>
      <c r="X338" s="2" t="str" cm="1">
        <f t="array" ref="X338">IFERROR(INDEX('Offer Statistics'!$EF$2:$EF$350,MATCH(1,($B338='Offer Statistics'!$DV$2:$DV$350)*($B$11='Offer Statistics'!$DW$2:$DW$350),0)),"/")</f>
        <v>/</v>
      </c>
      <c r="Y338" s="2" t="str">
        <f t="shared" si="379"/>
        <v>新科目</v>
      </c>
      <c r="Z338" s="2" t="s">
        <v>713</v>
      </c>
      <c r="AA338" s="2" t="str">
        <f>入學要求!AF347</f>
        <v>以下一科選修取得Lv.2︰生物、化學、物理、ICT、M1/2</v>
      </c>
      <c r="AB338" s="2" t="str">
        <f>入學要求!AG347</f>
        <v>優先考慮 有修讀以上兩科 者</v>
      </c>
      <c r="AC338" s="431" t="s">
        <v>785</v>
      </c>
      <c r="AD338" s="431"/>
      <c r="AE338" s="431"/>
      <c r="AF338" s="431" t="s">
        <v>324</v>
      </c>
      <c r="AG338" s="431" t="s">
        <v>324</v>
      </c>
      <c r="AH338" s="431" t="s">
        <v>1330</v>
      </c>
      <c r="AI338" s="431" t="s">
        <v>3197</v>
      </c>
      <c r="AJ338" s="431" t="s">
        <v>324</v>
      </c>
      <c r="AK338" s="2" t="s">
        <v>324</v>
      </c>
      <c r="AL338" s="2" t="s">
        <v>324</v>
      </c>
      <c r="AM338" s="2" t="s">
        <v>1401</v>
      </c>
      <c r="AN338" s="435" t="s">
        <v>3212</v>
      </c>
      <c r="AO338" s="2" t="s">
        <v>324</v>
      </c>
      <c r="AP338" s="2" t="s">
        <v>324</v>
      </c>
      <c r="AQ338" s="2" t="s">
        <v>324</v>
      </c>
      <c r="AR338" s="2" t="s">
        <v>324</v>
      </c>
      <c r="AT338" s="2" t="s">
        <v>716</v>
      </c>
      <c r="AV338" s="2" t="s">
        <v>713</v>
      </c>
      <c r="AX338" s="204"/>
      <c r="BA338" s="93"/>
      <c r="BC338" s="170"/>
    </row>
    <row r="339" spans="1:117" ht="15.6">
      <c r="A339" s="419" t="s">
        <v>2685</v>
      </c>
      <c r="B339" s="2" t="s">
        <v>2685</v>
      </c>
      <c r="C339" s="2" t="s">
        <v>233</v>
      </c>
      <c r="D339" s="2" t="s">
        <v>1637</v>
      </c>
      <c r="E339" s="2" t="s">
        <v>2687</v>
      </c>
      <c r="F339" s="2" t="s">
        <v>785</v>
      </c>
      <c r="H339" s="2" t="s">
        <v>394</v>
      </c>
      <c r="I339" s="435">
        <v>22</v>
      </c>
      <c r="J339" s="435">
        <v>21</v>
      </c>
      <c r="N339" s="435"/>
      <c r="P339" s="435" t="s">
        <v>2497</v>
      </c>
      <c r="Q339" s="435" t="s">
        <v>324</v>
      </c>
      <c r="R339" s="435" t="s">
        <v>324</v>
      </c>
      <c r="S339" s="2" t="s">
        <v>2686</v>
      </c>
      <c r="T339" s="2" t="s">
        <v>713</v>
      </c>
      <c r="U339" s="2">
        <v>25</v>
      </c>
      <c r="V339" s="2" t="str" cm="1">
        <f t="array" ref="V339">IFERROR(INDEX('Offer Statistics'!$EK$2:$EK$350,MATCH(1,($B339='Offer Statistics'!$DV$2:$DV$350)*($B$11='Offer Statistics'!$DW$2:$DW$350),0)),"/")</f>
        <v>/</v>
      </c>
      <c r="W339" s="2" t="str" cm="1">
        <f t="array" ref="W339">IFERROR(INDEX('Offer Statistics'!$DX$2:$DX$350,MATCH(1,($B339='Offer Statistics'!$DV$2:$DV$350)*($B$11='Offer Statistics'!$DW$2:$DW$350),0)),"/")</f>
        <v>/</v>
      </c>
      <c r="X339" s="2" t="str" cm="1">
        <f t="array" ref="X339">IFERROR(INDEX('Offer Statistics'!$EF$2:$EF$350,MATCH(1,($B339='Offer Statistics'!$DV$2:$DV$350)*($B$11='Offer Statistics'!$DW$2:$DW$350),0)),"/")</f>
        <v>/</v>
      </c>
      <c r="Y339" s="2" t="str">
        <f t="shared" si="379"/>
        <v>新科目</v>
      </c>
      <c r="Z339" s="2" t="s">
        <v>713</v>
      </c>
      <c r="AA339" s="2" t="str">
        <f>入學要求!AF348</f>
        <v>同學亦須在額外的 入學體能測試 中考獲優異成績</v>
      </c>
      <c r="AB339" s="2" t="str">
        <f>入學要求!AG348</f>
        <v>優先考慮 修讀DSE 體育科 者</v>
      </c>
      <c r="AC339" s="424" t="s">
        <v>785</v>
      </c>
      <c r="AD339" s="346"/>
      <c r="AE339" s="346"/>
      <c r="AF339" s="346" t="s">
        <v>324</v>
      </c>
      <c r="AG339" s="346" t="s">
        <v>324</v>
      </c>
      <c r="AH339" s="346" t="s">
        <v>2497</v>
      </c>
      <c r="AI339" s="346" t="s">
        <v>324</v>
      </c>
      <c r="AJ339" s="346" t="s">
        <v>324</v>
      </c>
      <c r="AK339" s="2" t="s">
        <v>324</v>
      </c>
      <c r="AL339" s="2" t="s">
        <v>324</v>
      </c>
      <c r="AM339" s="2" t="s">
        <v>1401</v>
      </c>
      <c r="AN339" s="2" t="s">
        <v>3213</v>
      </c>
      <c r="AO339" s="2" t="s">
        <v>324</v>
      </c>
      <c r="AP339" s="2" t="s">
        <v>324</v>
      </c>
      <c r="AQ339" s="2" t="s">
        <v>324</v>
      </c>
      <c r="AR339" s="2" t="s">
        <v>324</v>
      </c>
      <c r="AT339" s="2" t="s">
        <v>716</v>
      </c>
      <c r="AV339" s="2" t="s">
        <v>713</v>
      </c>
      <c r="AX339" s="204"/>
      <c r="BA339" s="93"/>
      <c r="BC339" s="170"/>
    </row>
    <row r="340" spans="1:117" ht="15.6">
      <c r="A340" s="419" t="s">
        <v>2679</v>
      </c>
      <c r="B340" s="2" t="s">
        <v>2679</v>
      </c>
      <c r="C340" s="2" t="s">
        <v>233</v>
      </c>
      <c r="D340" s="2" t="s">
        <v>1637</v>
      </c>
      <c r="E340" s="2" t="s">
        <v>2681</v>
      </c>
      <c r="F340" s="2" t="s">
        <v>785</v>
      </c>
      <c r="H340" s="2" t="s">
        <v>394</v>
      </c>
      <c r="I340" s="435">
        <v>23.8</v>
      </c>
      <c r="J340" s="435">
        <v>23</v>
      </c>
      <c r="N340" s="435"/>
      <c r="P340" s="435" t="s">
        <v>1330</v>
      </c>
      <c r="Q340" s="435" t="s">
        <v>2498</v>
      </c>
      <c r="R340" s="435" t="s">
        <v>324</v>
      </c>
      <c r="S340" s="2" t="s">
        <v>2680</v>
      </c>
      <c r="T340" s="2" t="s">
        <v>713</v>
      </c>
      <c r="U340" s="2">
        <v>13</v>
      </c>
      <c r="V340" s="2" t="str" cm="1">
        <f t="array" ref="V340">IFERROR(INDEX('Offer Statistics'!$EK$2:$EK$350,MATCH(1,($B340='Offer Statistics'!$DV$2:$DV$350)*($B$11='Offer Statistics'!$DW$2:$DW$350),0)),"/")</f>
        <v>/</v>
      </c>
      <c r="W340" s="2" t="str" cm="1">
        <f t="array" ref="W340">IFERROR(INDEX('Offer Statistics'!$DX$2:$DX$350,MATCH(1,($B340='Offer Statistics'!$DV$2:$DV$350)*($B$11='Offer Statistics'!$DW$2:$DW$350),0)),"/")</f>
        <v>/</v>
      </c>
      <c r="X340" s="2" t="str" cm="1">
        <f t="array" ref="X340">IFERROR(INDEX('Offer Statistics'!$EF$2:$EF$350,MATCH(1,($B340='Offer Statistics'!$DV$2:$DV$350)*($B$11='Offer Statistics'!$DW$2:$DW$350),0)),"/")</f>
        <v>/</v>
      </c>
      <c r="Y340" s="2" t="str">
        <f t="shared" si="379"/>
        <v>新科目</v>
      </c>
      <c r="Z340" s="2" t="s">
        <v>713</v>
      </c>
      <c r="AA340" s="2" t="str">
        <f>入學要求!AF349</f>
        <v>以下一科選修取得Lv.2︰生物、化學、物理、ICT</v>
      </c>
      <c r="AB340" s="2" t="str">
        <f>入學要求!AG349</f>
        <v>/</v>
      </c>
      <c r="AC340" s="424" t="s">
        <v>785</v>
      </c>
      <c r="AD340" s="346"/>
      <c r="AE340" s="346"/>
      <c r="AF340" s="346" t="s">
        <v>324</v>
      </c>
      <c r="AG340" s="346" t="s">
        <v>324</v>
      </c>
      <c r="AH340" s="346" t="s">
        <v>1330</v>
      </c>
      <c r="AI340" s="346" t="s">
        <v>2498</v>
      </c>
      <c r="AJ340" s="346" t="s">
        <v>324</v>
      </c>
      <c r="AK340" s="2" t="s">
        <v>324</v>
      </c>
      <c r="AL340" s="2" t="s">
        <v>324</v>
      </c>
      <c r="AM340" s="2" t="s">
        <v>1401</v>
      </c>
      <c r="AN340" s="2" t="s">
        <v>3214</v>
      </c>
      <c r="AO340" s="2" t="s">
        <v>324</v>
      </c>
      <c r="AP340" s="2" t="s">
        <v>324</v>
      </c>
      <c r="AQ340" s="2" t="s">
        <v>324</v>
      </c>
      <c r="AR340" s="2" t="s">
        <v>324</v>
      </c>
      <c r="AT340" s="2" t="s">
        <v>716</v>
      </c>
      <c r="AV340" s="2" t="s">
        <v>713</v>
      </c>
      <c r="AX340" s="204"/>
      <c r="BA340" s="93"/>
      <c r="BC340" s="170"/>
    </row>
    <row r="341" spans="1:117" ht="15.6">
      <c r="A341" s="419" t="s">
        <v>2676</v>
      </c>
      <c r="B341" s="2" t="s">
        <v>2676</v>
      </c>
      <c r="C341" s="2" t="s">
        <v>233</v>
      </c>
      <c r="D341" s="2" t="s">
        <v>1637</v>
      </c>
      <c r="E341" s="2" t="s">
        <v>2678</v>
      </c>
      <c r="F341" s="2" t="s">
        <v>785</v>
      </c>
      <c r="H341" s="2" t="s">
        <v>394</v>
      </c>
      <c r="I341" s="435">
        <v>22.3</v>
      </c>
      <c r="J341" s="435">
        <v>21.8</v>
      </c>
      <c r="P341" s="435" t="s">
        <v>2499</v>
      </c>
      <c r="Q341" s="435" t="s">
        <v>324</v>
      </c>
      <c r="R341" s="435" t="s">
        <v>324</v>
      </c>
      <c r="S341" s="2" t="s">
        <v>2677</v>
      </c>
      <c r="T341" s="2" t="s">
        <v>713</v>
      </c>
      <c r="U341" s="2">
        <v>12</v>
      </c>
      <c r="V341" s="2" t="str" cm="1">
        <f t="array" ref="V341">IFERROR(INDEX('Offer Statistics'!$EK$2:$EK$350,MATCH(1,($B341='Offer Statistics'!$DV$2:$DV$350)*($B$11='Offer Statistics'!$DW$2:$DW$350),0)),"/")</f>
        <v>/</v>
      </c>
      <c r="W341" s="2" t="str" cm="1">
        <f t="array" ref="W341">IFERROR(INDEX('Offer Statistics'!$DX$2:$DX$350,MATCH(1,($B341='Offer Statistics'!$DV$2:$DV$350)*($B$11='Offer Statistics'!$DW$2:$DW$350),0)),"/")</f>
        <v>/</v>
      </c>
      <c r="X341" s="2" t="str" cm="1">
        <f t="array" ref="X341">IFERROR(INDEX('Offer Statistics'!$EF$2:$EF$350,MATCH(1,($B341='Offer Statistics'!$DV$2:$DV$350)*($B$11='Offer Statistics'!$DW$2:$DW$350),0)),"/")</f>
        <v>/</v>
      </c>
      <c r="Y341" s="2" t="str">
        <f t="shared" si="379"/>
        <v>新科目</v>
      </c>
      <c r="Z341" s="2" t="s">
        <v>713</v>
      </c>
      <c r="AA341" s="2" t="str">
        <f>入學要求!AF350</f>
        <v>以下一科選修取得Lv.3︰BAFS、經濟</v>
      </c>
      <c r="AB341" s="2" t="str">
        <f>入學要求!AG350</f>
        <v>/</v>
      </c>
      <c r="AC341" s="431" t="s">
        <v>785</v>
      </c>
      <c r="AD341" s="431"/>
      <c r="AE341" s="431"/>
      <c r="AF341" s="431" t="s">
        <v>324</v>
      </c>
      <c r="AG341" s="431" t="s">
        <v>324</v>
      </c>
      <c r="AH341" s="431" t="s">
        <v>3225</v>
      </c>
      <c r="AI341" s="431" t="s">
        <v>324</v>
      </c>
      <c r="AJ341" s="431" t="s">
        <v>324</v>
      </c>
      <c r="AK341" s="2" t="s">
        <v>324</v>
      </c>
      <c r="AL341" s="2" t="s">
        <v>324</v>
      </c>
      <c r="AM341" s="2" t="s">
        <v>1401</v>
      </c>
      <c r="AN341" s="2" t="s">
        <v>3215</v>
      </c>
      <c r="AO341" s="2" t="s">
        <v>324</v>
      </c>
      <c r="AP341" s="2" t="s">
        <v>324</v>
      </c>
      <c r="AQ341" s="2" t="s">
        <v>324</v>
      </c>
      <c r="AR341" s="2" t="s">
        <v>324</v>
      </c>
      <c r="AT341" s="2" t="s">
        <v>716</v>
      </c>
      <c r="AV341" s="2" t="s">
        <v>713</v>
      </c>
      <c r="AX341" s="204"/>
      <c r="BA341" s="93"/>
    </row>
    <row r="342" spans="1:117" ht="15.6">
      <c r="A342" s="419" t="s">
        <v>2670</v>
      </c>
      <c r="B342" s="2" t="s">
        <v>2670</v>
      </c>
      <c r="C342" s="2" t="s">
        <v>233</v>
      </c>
      <c r="D342" s="2" t="s">
        <v>1111</v>
      </c>
      <c r="E342" s="2" t="s">
        <v>2672</v>
      </c>
      <c r="F342" s="2" t="s">
        <v>785</v>
      </c>
      <c r="G342" s="328"/>
      <c r="H342" s="2" t="s">
        <v>394</v>
      </c>
      <c r="I342" s="435">
        <v>23</v>
      </c>
      <c r="J342" s="435">
        <v>21</v>
      </c>
      <c r="P342" s="435" t="s">
        <v>2500</v>
      </c>
      <c r="Q342" s="435" t="s">
        <v>324</v>
      </c>
      <c r="R342" s="435" t="s">
        <v>324</v>
      </c>
      <c r="S342" s="2" t="s">
        <v>2671</v>
      </c>
      <c r="T342" s="2" t="s">
        <v>713</v>
      </c>
      <c r="U342" s="2">
        <v>12</v>
      </c>
      <c r="V342" s="2" t="str" cm="1">
        <f t="array" ref="V342">IFERROR(INDEX('Offer Statistics'!$EK$2:$EK$350,MATCH(1,($B342='Offer Statistics'!$DV$2:$DV$350)*($B$11='Offer Statistics'!$DW$2:$DW$350),0)),"/")</f>
        <v>/</v>
      </c>
      <c r="W342" s="2" t="str" cm="1">
        <f t="array" ref="W342">IFERROR(INDEX('Offer Statistics'!$DX$2:$DX$350,MATCH(1,($B342='Offer Statistics'!$DV$2:$DV$350)*($B$11='Offer Statistics'!$DW$2:$DW$350),0)),"/")</f>
        <v>/</v>
      </c>
      <c r="X342" s="2" t="str" cm="1">
        <f t="array" ref="X342">IFERROR(INDEX('Offer Statistics'!$EF$2:$EF$350,MATCH(1,($B342='Offer Statistics'!$DV$2:$DV$350)*($B$11='Offer Statistics'!$DW$2:$DW$350),0)),"/")</f>
        <v>/</v>
      </c>
      <c r="Y342" s="2" t="str">
        <f t="shared" si="379"/>
        <v>新科目</v>
      </c>
      <c r="Z342" s="2" t="s">
        <v>713</v>
      </c>
      <c r="AA342" s="2" t="str">
        <f>入學要求!AF351</f>
        <v>此課程不能以其他資歷取代DSE中國語文科要求。</v>
      </c>
      <c r="AB342" s="2" t="str">
        <f>入學要求!AG351</f>
        <v>/</v>
      </c>
      <c r="AC342" s="431" t="s">
        <v>785</v>
      </c>
      <c r="AD342" s="431"/>
      <c r="AE342" s="431"/>
      <c r="AF342" s="431" t="s">
        <v>324</v>
      </c>
      <c r="AG342" s="431" t="s">
        <v>324</v>
      </c>
      <c r="AH342" s="431" t="s">
        <v>3198</v>
      </c>
      <c r="AI342" s="431" t="s">
        <v>324</v>
      </c>
      <c r="AJ342" s="431" t="s">
        <v>324</v>
      </c>
      <c r="AK342" s="2" t="s">
        <v>324</v>
      </c>
      <c r="AL342" s="2" t="s">
        <v>324</v>
      </c>
      <c r="AM342" s="2" t="s">
        <v>1401</v>
      </c>
      <c r="AN342" s="2" t="s">
        <v>3216</v>
      </c>
      <c r="AO342" s="2" t="s">
        <v>324</v>
      </c>
      <c r="AP342" s="2" t="s">
        <v>324</v>
      </c>
      <c r="AQ342" s="2" t="s">
        <v>324</v>
      </c>
      <c r="AR342" s="2" t="s">
        <v>324</v>
      </c>
      <c r="AT342" s="2" t="s">
        <v>716</v>
      </c>
      <c r="AV342" s="2" t="s">
        <v>713</v>
      </c>
      <c r="BQ342" s="2"/>
      <c r="BR342" s="2"/>
      <c r="BS342" s="2"/>
      <c r="BT342" s="2"/>
      <c r="BU342" s="2"/>
      <c r="BV342" s="2"/>
      <c r="BW342" s="2"/>
      <c r="BX342" s="2"/>
      <c r="DF342" s="2"/>
      <c r="DG342" s="2"/>
      <c r="DH342" s="2"/>
      <c r="DI342" s="2"/>
      <c r="DJ342" s="2"/>
      <c r="DK342" s="2"/>
      <c r="DL342" s="2"/>
      <c r="DM342" s="2"/>
    </row>
    <row r="343" spans="1:117" ht="15.6">
      <c r="A343" s="419" t="s">
        <v>2673</v>
      </c>
      <c r="B343" s="2" t="s">
        <v>2673</v>
      </c>
      <c r="C343" s="2" t="s">
        <v>233</v>
      </c>
      <c r="D343" s="2" t="s">
        <v>1655</v>
      </c>
      <c r="E343" s="2" t="s">
        <v>2675</v>
      </c>
      <c r="F343" s="2" t="s">
        <v>785</v>
      </c>
      <c r="H343" s="2" t="s">
        <v>394</v>
      </c>
      <c r="I343" s="435">
        <v>22.5</v>
      </c>
      <c r="J343" s="435">
        <v>22</v>
      </c>
      <c r="P343" s="435" t="s">
        <v>2501</v>
      </c>
      <c r="Q343" s="435" t="s">
        <v>324</v>
      </c>
      <c r="R343" s="435" t="s">
        <v>324</v>
      </c>
      <c r="S343" s="2" t="s">
        <v>2674</v>
      </c>
      <c r="T343" s="2" t="s">
        <v>713</v>
      </c>
      <c r="U343" s="2">
        <v>45</v>
      </c>
      <c r="V343" s="2" t="str" cm="1">
        <f t="array" ref="V343">IFERROR(INDEX('Offer Statistics'!$EK$2:$EK$350,MATCH(1,($B343='Offer Statistics'!$DV$2:$DV$350)*($B$11='Offer Statistics'!$DW$2:$DW$350),0)),"/")</f>
        <v>/</v>
      </c>
      <c r="W343" s="2" t="str" cm="1">
        <f t="array" ref="W343">IFERROR(INDEX('Offer Statistics'!$DX$2:$DX$350,MATCH(1,($B343='Offer Statistics'!$DV$2:$DV$350)*($B$11='Offer Statistics'!$DW$2:$DW$350),0)),"/")</f>
        <v>/</v>
      </c>
      <c r="X343" s="2" t="str" cm="1">
        <f t="array" ref="X343">IFERROR(INDEX('Offer Statistics'!$EF$2:$EF$350,MATCH(1,($B343='Offer Statistics'!$DV$2:$DV$350)*($B$11='Offer Statistics'!$DW$2:$DW$350),0)),"/")</f>
        <v>/</v>
      </c>
      <c r="Y343" s="2" t="str">
        <f t="shared" si="379"/>
        <v>新科目</v>
      </c>
      <c r="Z343" s="2" t="s">
        <v>713</v>
      </c>
      <c r="AA343" s="2" t="str">
        <f>入學要求!AF352</f>
        <v>/</v>
      </c>
      <c r="AB343" s="2" t="str">
        <f>入學要求!AG352</f>
        <v>/</v>
      </c>
      <c r="AC343" s="425" t="s">
        <v>785</v>
      </c>
      <c r="AD343" s="425"/>
      <c r="AE343" s="425"/>
      <c r="AF343" s="425" t="s">
        <v>324</v>
      </c>
      <c r="AG343" s="425" t="s">
        <v>324</v>
      </c>
      <c r="AH343" s="426" t="s">
        <v>2501</v>
      </c>
      <c r="AI343" s="426" t="s">
        <v>3197</v>
      </c>
      <c r="AJ343" s="425" t="s">
        <v>324</v>
      </c>
      <c r="AK343" s="2" t="s">
        <v>324</v>
      </c>
      <c r="AL343" s="2" t="s">
        <v>324</v>
      </c>
      <c r="AM343" s="2" t="s">
        <v>1401</v>
      </c>
      <c r="AN343" s="2" t="s">
        <v>3217</v>
      </c>
      <c r="AO343" s="2" t="s">
        <v>324</v>
      </c>
      <c r="AP343" s="2" t="s">
        <v>324</v>
      </c>
      <c r="AQ343" s="2" t="s">
        <v>324</v>
      </c>
      <c r="AR343" s="2" t="s">
        <v>324</v>
      </c>
      <c r="AT343" s="2" t="s">
        <v>716</v>
      </c>
      <c r="AV343" s="2" t="s">
        <v>713</v>
      </c>
      <c r="AX343" s="204"/>
      <c r="BA343" s="93"/>
    </row>
    <row r="344" spans="1:117" ht="15.6">
      <c r="A344" s="419" t="s">
        <v>2691</v>
      </c>
      <c r="B344" s="2" t="s">
        <v>2691</v>
      </c>
      <c r="C344" s="2" t="s">
        <v>233</v>
      </c>
      <c r="D344" s="2" t="s">
        <v>1637</v>
      </c>
      <c r="E344" s="2" t="s">
        <v>2693</v>
      </c>
      <c r="F344" s="2" t="s">
        <v>785</v>
      </c>
      <c r="H344" s="2" t="s">
        <v>394</v>
      </c>
      <c r="I344" s="435">
        <v>24</v>
      </c>
      <c r="J344" s="435">
        <v>23.6</v>
      </c>
      <c r="P344" s="435" t="s">
        <v>2502</v>
      </c>
      <c r="Q344" s="435" t="s">
        <v>324</v>
      </c>
      <c r="R344" s="435" t="s">
        <v>324</v>
      </c>
      <c r="S344" s="2" t="s">
        <v>2692</v>
      </c>
      <c r="T344" s="2" t="s">
        <v>713</v>
      </c>
      <c r="U344" s="2">
        <v>12</v>
      </c>
      <c r="V344" s="2" t="str" cm="1">
        <f t="array" ref="V344">IFERROR(INDEX('Offer Statistics'!$EK$2:$EK$350,MATCH(1,($B344='Offer Statistics'!$DV$2:$DV$350)*($B$11='Offer Statistics'!$DW$2:$DW$350),0)),"/")</f>
        <v>/</v>
      </c>
      <c r="W344" s="2" t="str" cm="1">
        <f t="array" ref="W344">IFERROR(INDEX('Offer Statistics'!$DX$2:$DX$350,MATCH(1,($B344='Offer Statistics'!$DV$2:$DV$350)*($B$11='Offer Statistics'!$DW$2:$DW$350),0)),"/")</f>
        <v>/</v>
      </c>
      <c r="X344" s="2" t="str" cm="1">
        <f t="array" ref="X344">IFERROR(INDEX('Offer Statistics'!$EF$2:$EF$350,MATCH(1,($B344='Offer Statistics'!$DV$2:$DV$350)*($B$11='Offer Statistics'!$DW$2:$DW$350),0)),"/")</f>
        <v>/</v>
      </c>
      <c r="Y344" s="2" t="str">
        <f t="shared" si="379"/>
        <v>新科目</v>
      </c>
      <c r="Z344" s="2" t="s">
        <v>713</v>
      </c>
      <c r="AA344" s="2" t="str">
        <f>入學要求!AF353</f>
        <v>以下一科選修取得Lv.3︰地理、旅遊與款待</v>
      </c>
      <c r="AB344" s="2" t="str">
        <f>入學要求!AG353</f>
        <v>/</v>
      </c>
      <c r="AC344" s="424" t="s">
        <v>785</v>
      </c>
      <c r="AD344" s="346"/>
      <c r="AE344" s="346"/>
      <c r="AF344" s="346" t="s">
        <v>324</v>
      </c>
      <c r="AG344" s="346" t="s">
        <v>324</v>
      </c>
      <c r="AH344" s="346" t="s">
        <v>2502</v>
      </c>
      <c r="AI344" s="346" t="s">
        <v>324</v>
      </c>
      <c r="AJ344" s="346" t="s">
        <v>324</v>
      </c>
      <c r="AK344" s="2" t="s">
        <v>324</v>
      </c>
      <c r="AL344" s="2" t="s">
        <v>324</v>
      </c>
      <c r="AM344" s="2" t="s">
        <v>1401</v>
      </c>
      <c r="AN344" s="2" t="s">
        <v>3218</v>
      </c>
      <c r="AO344" s="2" t="s">
        <v>324</v>
      </c>
      <c r="AP344" s="2" t="s">
        <v>324</v>
      </c>
      <c r="AQ344" s="2" t="s">
        <v>324</v>
      </c>
      <c r="AR344" s="2" t="s">
        <v>324</v>
      </c>
      <c r="AT344" s="2" t="s">
        <v>716</v>
      </c>
      <c r="AV344" s="2" t="s">
        <v>713</v>
      </c>
      <c r="AX344" s="204"/>
      <c r="BA344" s="93"/>
    </row>
    <row r="345" spans="1:117" ht="15.6">
      <c r="A345" s="419" t="s">
        <v>2688</v>
      </c>
      <c r="B345" s="2" t="s">
        <v>2688</v>
      </c>
      <c r="C345" s="2" t="s">
        <v>233</v>
      </c>
      <c r="D345" s="2" t="s">
        <v>1637</v>
      </c>
      <c r="E345" s="2" t="s">
        <v>2690</v>
      </c>
      <c r="F345" s="2" t="s">
        <v>785</v>
      </c>
      <c r="H345" s="2" t="s">
        <v>394</v>
      </c>
      <c r="I345" s="435">
        <v>23</v>
      </c>
      <c r="J345" s="435">
        <v>22</v>
      </c>
      <c r="P345" s="435" t="s">
        <v>2503</v>
      </c>
      <c r="Q345" s="435" t="s">
        <v>2504</v>
      </c>
      <c r="R345" s="435" t="s">
        <v>3201</v>
      </c>
      <c r="S345" s="2" t="s">
        <v>2689</v>
      </c>
      <c r="T345" s="2" t="s">
        <v>713</v>
      </c>
      <c r="U345" s="2">
        <v>29</v>
      </c>
      <c r="V345" s="2" t="str" cm="1">
        <f t="array" ref="V345">IFERROR(INDEX('Offer Statistics'!$EK$2:$EK$350,MATCH(1,($B345='Offer Statistics'!$DV$2:$DV$350)*($B$11='Offer Statistics'!$DW$2:$DW$350),0)),"/")</f>
        <v>/</v>
      </c>
      <c r="W345" s="2" t="str" cm="1">
        <f t="array" ref="W345">IFERROR(INDEX('Offer Statistics'!$DX$2:$DX$350,MATCH(1,($B345='Offer Statistics'!$DV$2:$DV$350)*($B$11='Offer Statistics'!$DW$2:$DW$350),0)),"/")</f>
        <v>/</v>
      </c>
      <c r="X345" s="2" t="str" cm="1">
        <f t="array" ref="X345">IFERROR(INDEX('Offer Statistics'!$EF$2:$EF$350,MATCH(1,($B345='Offer Statistics'!$DV$2:$DV$350)*($B$11='Offer Statistics'!$DW$2:$DW$350),0)),"/")</f>
        <v>/</v>
      </c>
      <c r="Y345" s="2" t="str">
        <f t="shared" si="379"/>
        <v>新科目</v>
      </c>
      <c r="Z345" s="2" t="s">
        <v>713</v>
      </c>
      <c r="AA345" s="2" t="str">
        <f>入學要求!AF354</f>
        <v>以下一科選修取得Lv.4︰生物、化學、物理</v>
      </c>
      <c r="AB345" s="2" t="str">
        <f>入學要求!AG354</f>
        <v>/</v>
      </c>
      <c r="AC345" s="424" t="s">
        <v>785</v>
      </c>
      <c r="AD345" s="431" t="s">
        <v>3202</v>
      </c>
      <c r="AE345" s="431"/>
      <c r="AF345" s="431" t="s">
        <v>324</v>
      </c>
      <c r="AG345" s="431" t="s">
        <v>324</v>
      </c>
      <c r="AH345" s="431" t="s">
        <v>3199</v>
      </c>
      <c r="AI345" s="431" t="s">
        <v>3200</v>
      </c>
      <c r="AJ345" s="431" t="s">
        <v>324</v>
      </c>
      <c r="AK345" s="470" t="s">
        <v>324</v>
      </c>
      <c r="AL345" s="2" t="s">
        <v>324</v>
      </c>
      <c r="AM345" s="2" t="s">
        <v>1401</v>
      </c>
      <c r="AN345" s="2" t="s">
        <v>3219</v>
      </c>
      <c r="AO345" s="2" t="s">
        <v>324</v>
      </c>
      <c r="AP345" s="2" t="s">
        <v>324</v>
      </c>
      <c r="AQ345" s="2" t="s">
        <v>324</v>
      </c>
      <c r="AR345" s="2" t="s">
        <v>324</v>
      </c>
      <c r="AT345" s="2" t="s">
        <v>716</v>
      </c>
      <c r="AV345" s="2" t="s">
        <v>713</v>
      </c>
      <c r="AX345" s="204"/>
      <c r="BA345" s="93"/>
    </row>
    <row r="346" spans="1:117" ht="15.6">
      <c r="A346" s="419" t="s">
        <v>1664</v>
      </c>
      <c r="B346" s="2" t="s">
        <v>1664</v>
      </c>
      <c r="C346" s="2" t="s">
        <v>233</v>
      </c>
      <c r="D346" s="2" t="s">
        <v>1655</v>
      </c>
      <c r="E346" s="2" t="s">
        <v>1665</v>
      </c>
      <c r="F346" s="2" t="s">
        <v>785</v>
      </c>
      <c r="H346" s="2" t="s">
        <v>394</v>
      </c>
      <c r="I346" s="435">
        <v>16</v>
      </c>
      <c r="J346" s="435">
        <v>14.5</v>
      </c>
      <c r="P346" s="435" t="s">
        <v>2501</v>
      </c>
      <c r="Q346" s="435" t="s">
        <v>324</v>
      </c>
      <c r="R346" s="435" t="s">
        <v>324</v>
      </c>
      <c r="S346" s="2" t="s">
        <v>1666</v>
      </c>
      <c r="T346" s="2" t="s">
        <v>713</v>
      </c>
      <c r="U346" s="2">
        <v>264</v>
      </c>
      <c r="V346" s="2" cm="1">
        <f t="array" ref="V346">IFERROR(INDEX('Offer Statistics'!$EK$2:$EK$350,MATCH(1,($B346='Offer Statistics'!$DV$2:$DV$350)*($B$11='Offer Statistics'!$DW$2:$DW$350),0)),"/")</f>
        <v>416</v>
      </c>
      <c r="W346" s="2" cm="1">
        <f t="array" ref="W346">IFERROR(INDEX('Offer Statistics'!$DX$2:$DX$350,MATCH(1,($B346='Offer Statistics'!$DV$2:$DV$350)*($B$11='Offer Statistics'!$DW$2:$DW$350),0)),"/")</f>
        <v>1389</v>
      </c>
      <c r="X346" s="2" cm="1">
        <f t="array" ref="X346">IFERROR(INDEX('Offer Statistics'!$EF$2:$EF$350,MATCH(1,($B346='Offer Statistics'!$DV$2:$DV$350)*($B$11='Offer Statistics'!$DW$2:$DW$350),0)),"/")</f>
        <v>319</v>
      </c>
      <c r="Y346" s="2">
        <f t="shared" si="379"/>
        <v>4.3542319749216301</v>
      </c>
      <c r="Z346" s="2" t="s">
        <v>713</v>
      </c>
      <c r="AA346" s="2" t="str">
        <f>入學要求!AF355</f>
        <v>/</v>
      </c>
      <c r="AB346" s="2" t="str">
        <f>入學要求!AG355</f>
        <v>/</v>
      </c>
      <c r="AC346" s="425" t="s">
        <v>785</v>
      </c>
      <c r="AD346" s="426"/>
      <c r="AE346" s="426"/>
      <c r="AF346" s="426" t="s">
        <v>324</v>
      </c>
      <c r="AG346" s="426" t="s">
        <v>324</v>
      </c>
      <c r="AH346" s="426" t="s">
        <v>2501</v>
      </c>
      <c r="AI346" s="426" t="s">
        <v>324</v>
      </c>
      <c r="AJ346" s="426" t="s">
        <v>324</v>
      </c>
      <c r="AK346" s="2" t="s">
        <v>324</v>
      </c>
      <c r="AL346" s="2" t="s">
        <v>324</v>
      </c>
      <c r="AM346" s="2" t="s">
        <v>1401</v>
      </c>
      <c r="AO346" s="2" t="s">
        <v>324</v>
      </c>
      <c r="AP346" s="2" t="s">
        <v>324</v>
      </c>
      <c r="AQ346" s="2" t="s">
        <v>324</v>
      </c>
      <c r="AR346" s="2" t="s">
        <v>324</v>
      </c>
      <c r="AT346" s="2" t="s">
        <v>716</v>
      </c>
      <c r="AV346" s="2" t="s">
        <v>713</v>
      </c>
      <c r="AX346" s="204"/>
      <c r="BA346" s="93"/>
    </row>
    <row r="347" spans="1:117" ht="15.6">
      <c r="A347" s="419" t="s">
        <v>2697</v>
      </c>
      <c r="B347" s="2" t="s">
        <v>2697</v>
      </c>
      <c r="C347" s="2" t="s">
        <v>233</v>
      </c>
      <c r="D347" s="2" t="s">
        <v>1111</v>
      </c>
      <c r="E347" s="2" t="s">
        <v>2699</v>
      </c>
      <c r="F347" s="2" t="s">
        <v>785</v>
      </c>
      <c r="H347" s="2" t="s">
        <v>394</v>
      </c>
      <c r="I347" s="435">
        <v>24.3</v>
      </c>
      <c r="J347" s="435">
        <v>23.4</v>
      </c>
      <c r="N347" s="2" t="s">
        <v>1629</v>
      </c>
      <c r="P347" s="435" t="s">
        <v>2505</v>
      </c>
      <c r="Q347" s="435" t="s">
        <v>324</v>
      </c>
      <c r="R347" s="435" t="s">
        <v>324</v>
      </c>
      <c r="S347" s="2" t="s">
        <v>2698</v>
      </c>
      <c r="T347" s="2" t="s">
        <v>713</v>
      </c>
      <c r="U347" s="2">
        <v>21</v>
      </c>
      <c r="V347" s="2" t="str" cm="1">
        <f t="array" ref="V347">IFERROR(INDEX('Offer Statistics'!$EK$2:$EK$350,MATCH(1,($B347='Offer Statistics'!$DV$2:$DV$350)*($B$11='Offer Statistics'!$DW$2:$DW$350),0)),"/")</f>
        <v>/</v>
      </c>
      <c r="W347" s="2" t="str" cm="1">
        <f t="array" ref="W347">IFERROR(INDEX('Offer Statistics'!$DX$2:$DX$350,MATCH(1,($B347='Offer Statistics'!$DV$2:$DV$350)*($B$11='Offer Statistics'!$DW$2:$DW$350),0)),"/")</f>
        <v>/</v>
      </c>
      <c r="X347" s="2" t="str" cm="1">
        <f t="array" ref="X347">IFERROR(INDEX('Offer Statistics'!$EF$2:$EF$350,MATCH(1,($B347='Offer Statistics'!$DV$2:$DV$350)*($B$11='Offer Statistics'!$DW$2:$DW$350),0)),"/")</f>
        <v>/</v>
      </c>
      <c r="Y347" s="2" t="str">
        <f t="shared" si="379"/>
        <v>新科目</v>
      </c>
      <c r="Z347" s="2" t="s">
        <v>713</v>
      </c>
      <c r="AA347" s="2" t="str">
        <f>入學要求!AF356</f>
        <v>此課程不能以其他資歷取代DSE中國語文科要求。</v>
      </c>
      <c r="AB347" s="2" t="str">
        <f>入學要求!AG356</f>
        <v>優先考慮 中國文學 考獲 Lv.2 或以上 者</v>
      </c>
      <c r="AC347" s="431" t="s">
        <v>785</v>
      </c>
      <c r="AD347" s="484"/>
      <c r="AE347" s="484"/>
      <c r="AF347" s="484" t="s">
        <v>324</v>
      </c>
      <c r="AG347" s="484" t="s">
        <v>324</v>
      </c>
      <c r="AH347" s="431" t="s">
        <v>3203</v>
      </c>
      <c r="AI347" s="484" t="s">
        <v>324</v>
      </c>
      <c r="AJ347" s="484" t="s">
        <v>324</v>
      </c>
      <c r="AK347" s="2" t="s">
        <v>324</v>
      </c>
      <c r="AL347" s="2" t="s">
        <v>324</v>
      </c>
      <c r="AM347" s="2" t="s">
        <v>1401</v>
      </c>
      <c r="AN347" s="2" t="s">
        <v>3220</v>
      </c>
      <c r="AO347" s="2" t="s">
        <v>324</v>
      </c>
      <c r="AP347" s="2" t="s">
        <v>324</v>
      </c>
      <c r="AQ347" s="2" t="s">
        <v>324</v>
      </c>
      <c r="AR347" s="2" t="s">
        <v>324</v>
      </c>
      <c r="AT347" s="2" t="s">
        <v>716</v>
      </c>
      <c r="AV347" s="2" t="s">
        <v>713</v>
      </c>
      <c r="AX347" s="204"/>
      <c r="BA347" s="93"/>
    </row>
    <row r="348" spans="1:117" ht="15.6">
      <c r="A348" s="419" t="s">
        <v>2700</v>
      </c>
      <c r="B348" s="2" t="s">
        <v>2700</v>
      </c>
      <c r="C348" s="2" t="s">
        <v>233</v>
      </c>
      <c r="D348" s="2" t="s">
        <v>1637</v>
      </c>
      <c r="E348" s="2" t="s">
        <v>2702</v>
      </c>
      <c r="F348" s="2" t="s">
        <v>785</v>
      </c>
      <c r="H348" s="2" t="s">
        <v>394</v>
      </c>
      <c r="I348" s="435">
        <v>18</v>
      </c>
      <c r="J348" s="435">
        <v>18</v>
      </c>
      <c r="P348" s="435" t="s">
        <v>2506</v>
      </c>
      <c r="Q348" s="435" t="s">
        <v>3197</v>
      </c>
      <c r="R348" s="435" t="s">
        <v>324</v>
      </c>
      <c r="S348" s="2" t="s">
        <v>2701</v>
      </c>
      <c r="T348" s="2" t="s">
        <v>713</v>
      </c>
      <c r="U348" s="2">
        <v>10</v>
      </c>
      <c r="V348" s="2" t="str" cm="1">
        <f t="array" ref="V348">IFERROR(INDEX('Offer Statistics'!$EK$2:$EK$350,MATCH(1,($B348='Offer Statistics'!$DV$2:$DV$350)*($B$11='Offer Statistics'!$DW$2:$DW$350),0)),"/")</f>
        <v>/</v>
      </c>
      <c r="W348" s="2" t="str" cm="1">
        <f t="array" ref="W348">IFERROR(INDEX('Offer Statistics'!$DX$2:$DX$350,MATCH(1,($B348='Offer Statistics'!$DV$2:$DV$350)*($B$11='Offer Statistics'!$DW$2:$DW$350),0)),"/")</f>
        <v>/</v>
      </c>
      <c r="X348" s="2" t="str" cm="1">
        <f t="array" ref="X348">IFERROR(INDEX('Offer Statistics'!$EF$2:$EF$350,MATCH(1,($B348='Offer Statistics'!$DV$2:$DV$350)*($B$11='Offer Statistics'!$DW$2:$DW$350),0)),"/")</f>
        <v>/</v>
      </c>
      <c r="Y348" s="2" t="str">
        <f t="shared" si="379"/>
        <v>新科目</v>
      </c>
      <c r="Z348" s="2" t="s">
        <v>713</v>
      </c>
      <c r="AA348" s="2" t="str">
        <f>入學要求!AF357</f>
        <v>同學亦須在額外的 入學測試 (Audition) 中考獲優異成績</v>
      </c>
      <c r="AB348" s="2" t="str">
        <f>入學要求!AG357</f>
        <v>DSE音樂科考獲 Lv.4或以上者 則可豁免該測試</v>
      </c>
      <c r="AC348" s="426" t="s">
        <v>785</v>
      </c>
      <c r="AD348" s="426"/>
      <c r="AE348" s="426"/>
      <c r="AF348" s="426" t="s">
        <v>324</v>
      </c>
      <c r="AG348" s="426" t="s">
        <v>324</v>
      </c>
      <c r="AH348" s="426" t="s">
        <v>2506</v>
      </c>
      <c r="AI348" s="426" t="s">
        <v>3197</v>
      </c>
      <c r="AJ348" s="426" t="s">
        <v>324</v>
      </c>
      <c r="AK348" s="426" t="s">
        <v>324</v>
      </c>
      <c r="AL348" s="2" t="s">
        <v>324</v>
      </c>
      <c r="AM348" s="2" t="s">
        <v>1401</v>
      </c>
      <c r="AN348" s="2" t="s">
        <v>3221</v>
      </c>
      <c r="AO348" s="2" t="s">
        <v>324</v>
      </c>
      <c r="AP348" s="2" t="s">
        <v>324</v>
      </c>
      <c r="AQ348" s="2" t="s">
        <v>324</v>
      </c>
      <c r="AR348" s="2" t="s">
        <v>324</v>
      </c>
      <c r="AT348" s="2" t="s">
        <v>716</v>
      </c>
      <c r="AV348" s="2" t="s">
        <v>713</v>
      </c>
      <c r="AX348" s="204"/>
      <c r="BA348" s="93"/>
    </row>
    <row r="349" spans="1:117" ht="15.6">
      <c r="A349" s="419" t="s">
        <v>2703</v>
      </c>
      <c r="B349" s="2" t="s">
        <v>2703</v>
      </c>
      <c r="C349" s="2" t="s">
        <v>233</v>
      </c>
      <c r="D349" s="2" t="s">
        <v>1637</v>
      </c>
      <c r="E349" s="2" t="s">
        <v>2705</v>
      </c>
      <c r="F349" s="2" t="s">
        <v>785</v>
      </c>
      <c r="H349" s="2" t="s">
        <v>394</v>
      </c>
      <c r="I349" s="435">
        <v>21</v>
      </c>
      <c r="J349" s="435">
        <v>20.5</v>
      </c>
      <c r="P349" s="435" t="s">
        <v>2507</v>
      </c>
      <c r="Q349" s="435" t="s">
        <v>3197</v>
      </c>
      <c r="R349" s="435" t="s">
        <v>324</v>
      </c>
      <c r="S349" s="2" t="s">
        <v>2704</v>
      </c>
      <c r="T349" s="2" t="s">
        <v>713</v>
      </c>
      <c r="U349" s="2">
        <v>10</v>
      </c>
      <c r="V349" s="2" t="str" cm="1">
        <f t="array" ref="V349">IFERROR(INDEX('Offer Statistics'!$EK$2:$EK$350,MATCH(1,($B349='Offer Statistics'!$DV$2:$DV$350)*($B$11='Offer Statistics'!$DW$2:$DW$350),0)),"/")</f>
        <v>/</v>
      </c>
      <c r="W349" s="2" t="str" cm="1">
        <f t="array" ref="W349">IFERROR(INDEX('Offer Statistics'!$DX$2:$DX$350,MATCH(1,($B349='Offer Statistics'!$DV$2:$DV$350)*($B$11='Offer Statistics'!$DW$2:$DW$350),0)),"/")</f>
        <v>/</v>
      </c>
      <c r="X349" s="2" t="str" cm="1">
        <f t="array" ref="X349">IFERROR(INDEX('Offer Statistics'!$EF$2:$EF$350,MATCH(1,($B349='Offer Statistics'!$DV$2:$DV$350)*($B$11='Offer Statistics'!$DW$2:$DW$350),0)),"/")</f>
        <v>/</v>
      </c>
      <c r="Y349" s="2" t="str">
        <f t="shared" si="379"/>
        <v>新科目</v>
      </c>
      <c r="Z349" s="2" t="s">
        <v>713</v>
      </c>
      <c r="AA349" s="2" t="str">
        <f>入學要求!AF358</f>
        <v>同學亦須在額外的 入學測試 (Audition) 中考獲優異成績</v>
      </c>
      <c r="AB349" s="2" t="str">
        <f>入學要求!AG358</f>
        <v>DSE視覺藝術考獲 Lv.4或以上者 則可豁免該測試</v>
      </c>
      <c r="AC349" s="426" t="s">
        <v>785</v>
      </c>
      <c r="AD349" s="426"/>
      <c r="AE349" s="426"/>
      <c r="AF349" s="426" t="s">
        <v>324</v>
      </c>
      <c r="AG349" s="426" t="s">
        <v>324</v>
      </c>
      <c r="AH349" s="426" t="s">
        <v>2507</v>
      </c>
      <c r="AI349" s="426" t="s">
        <v>3197</v>
      </c>
      <c r="AJ349" s="426" t="s">
        <v>324</v>
      </c>
      <c r="AK349" s="426" t="s">
        <v>324</v>
      </c>
      <c r="AL349" s="2" t="s">
        <v>324</v>
      </c>
      <c r="AM349" s="2" t="s">
        <v>1401</v>
      </c>
      <c r="AN349" s="2" t="s">
        <v>3222</v>
      </c>
      <c r="AO349" s="2" t="s">
        <v>324</v>
      </c>
      <c r="AP349" s="2" t="s">
        <v>324</v>
      </c>
      <c r="AQ349" s="2" t="s">
        <v>324</v>
      </c>
      <c r="AR349" s="2" t="s">
        <v>324</v>
      </c>
      <c r="AT349" s="2" t="s">
        <v>716</v>
      </c>
      <c r="AV349" s="2" t="s">
        <v>713</v>
      </c>
      <c r="AX349" s="204"/>
      <c r="BA349" s="93"/>
    </row>
    <row r="350" spans="1:117" ht="15.6">
      <c r="A350" s="419" t="s">
        <v>1679</v>
      </c>
      <c r="B350" s="2" t="s">
        <v>1679</v>
      </c>
      <c r="C350" s="2" t="s">
        <v>233</v>
      </c>
      <c r="D350" s="2" t="s">
        <v>1655</v>
      </c>
      <c r="E350" s="2" t="s">
        <v>1680</v>
      </c>
      <c r="F350" s="2" t="s">
        <v>785</v>
      </c>
      <c r="H350" s="2" t="s">
        <v>394</v>
      </c>
      <c r="I350" s="435">
        <v>20</v>
      </c>
      <c r="J350" s="435">
        <v>20</v>
      </c>
      <c r="P350" s="435" t="s">
        <v>324</v>
      </c>
      <c r="Q350" s="435" t="s">
        <v>324</v>
      </c>
      <c r="R350" s="435" t="s">
        <v>324</v>
      </c>
      <c r="S350" s="2" t="s">
        <v>1681</v>
      </c>
      <c r="T350" s="2" t="s">
        <v>713</v>
      </c>
      <c r="U350" s="2">
        <v>20</v>
      </c>
      <c r="V350" s="2" cm="1">
        <f t="array" ref="V350">IFERROR(INDEX('Offer Statistics'!$EK$2:$EK$350,MATCH(1,($B350='Offer Statistics'!$DV$2:$DV$350)*($B$11='Offer Statistics'!$DW$2:$DW$350),0)),"/")</f>
        <v>20</v>
      </c>
      <c r="W350" s="2" cm="1">
        <f t="array" ref="W350">IFERROR(INDEX('Offer Statistics'!$DX$2:$DX$350,MATCH(1,($B350='Offer Statistics'!$DV$2:$DV$350)*($B$11='Offer Statistics'!$DW$2:$DW$350),0)),"/")</f>
        <v>386</v>
      </c>
      <c r="X350" s="2" cm="1">
        <f t="array" ref="X350">IFERROR(INDEX('Offer Statistics'!$EF$2:$EF$350,MATCH(1,($B350='Offer Statistics'!$DV$2:$DV$350)*($B$11='Offer Statistics'!$DW$2:$DW$350),0)),"/")</f>
        <v>17</v>
      </c>
      <c r="Y350" s="2">
        <f t="shared" si="379"/>
        <v>22.705882352941178</v>
      </c>
      <c r="Z350" s="2" t="s">
        <v>713</v>
      </c>
      <c r="AA350" s="2" t="str">
        <f>入學要求!AF359</f>
        <v>/</v>
      </c>
      <c r="AB350" s="2" t="str">
        <f>入學要求!AG359</f>
        <v>/</v>
      </c>
      <c r="AC350" s="426" t="s">
        <v>785</v>
      </c>
      <c r="AF350" s="2" t="s">
        <v>324</v>
      </c>
      <c r="AG350" s="2" t="s">
        <v>324</v>
      </c>
      <c r="AH350" s="346" t="s">
        <v>324</v>
      </c>
      <c r="AI350" s="346" t="s">
        <v>324</v>
      </c>
      <c r="AJ350" s="346" t="s">
        <v>324</v>
      </c>
      <c r="AK350" s="2" t="s">
        <v>324</v>
      </c>
      <c r="AL350" s="2" t="s">
        <v>324</v>
      </c>
      <c r="AM350" s="2" t="s">
        <v>1401</v>
      </c>
      <c r="AO350" s="2" t="s">
        <v>324</v>
      </c>
      <c r="AP350" s="2" t="s">
        <v>324</v>
      </c>
      <c r="AQ350" s="2" t="s">
        <v>324</v>
      </c>
      <c r="AR350" s="2" t="s">
        <v>324</v>
      </c>
      <c r="AT350" s="2" t="s">
        <v>716</v>
      </c>
      <c r="AV350" s="2" t="s">
        <v>713</v>
      </c>
      <c r="AX350" s="204"/>
      <c r="BA350" s="93"/>
    </row>
    <row r="351" spans="1:117" ht="15.6">
      <c r="A351" s="419" t="s">
        <v>1682</v>
      </c>
      <c r="B351" s="2" t="s">
        <v>1682</v>
      </c>
      <c r="C351" s="2" t="s">
        <v>233</v>
      </c>
      <c r="D351" s="2" t="s">
        <v>1655</v>
      </c>
      <c r="E351" s="2" t="s">
        <v>1683</v>
      </c>
      <c r="F351" s="2" t="s">
        <v>785</v>
      </c>
      <c r="H351" s="2" t="s">
        <v>394</v>
      </c>
      <c r="I351" s="435">
        <v>23</v>
      </c>
      <c r="J351" s="435">
        <v>22.8</v>
      </c>
      <c r="P351" s="435" t="s">
        <v>2501</v>
      </c>
      <c r="Q351" s="435" t="s">
        <v>324</v>
      </c>
      <c r="R351" s="435" t="s">
        <v>324</v>
      </c>
      <c r="S351" s="2" t="s">
        <v>1684</v>
      </c>
      <c r="T351" s="2" t="s">
        <v>713</v>
      </c>
      <c r="U351" s="2">
        <v>20</v>
      </c>
      <c r="V351" s="2" cm="1">
        <f t="array" ref="V351">IFERROR(INDEX('Offer Statistics'!$EK$2:$EK$350,MATCH(1,($B351='Offer Statistics'!$DV$2:$DV$350)*($B$11='Offer Statistics'!$DW$2:$DW$350),0)),"/")</f>
        <v>18</v>
      </c>
      <c r="W351" s="2" cm="1">
        <f t="array" ref="W351">IFERROR(INDEX('Offer Statistics'!$DX$2:$DX$350,MATCH(1,($B351='Offer Statistics'!$DV$2:$DV$350)*($B$11='Offer Statistics'!$DW$2:$DW$350),0)),"/")</f>
        <v>268</v>
      </c>
      <c r="X351" s="2" cm="1">
        <f t="array" ref="X351">IFERROR(INDEX('Offer Statistics'!$EF$2:$EF$350,MATCH(1,($B351='Offer Statistics'!$DV$2:$DV$350)*($B$11='Offer Statistics'!$DW$2:$DW$350),0)),"/")</f>
        <v>18</v>
      </c>
      <c r="Y351" s="2">
        <f t="shared" si="379"/>
        <v>14.888888888888889</v>
      </c>
      <c r="Z351" s="2" t="s">
        <v>713</v>
      </c>
      <c r="AA351" s="2" t="str">
        <f>入學要求!AF360</f>
        <v>/</v>
      </c>
      <c r="AB351" s="2" t="str">
        <f>入學要求!AG360</f>
        <v>/</v>
      </c>
      <c r="AC351" s="424" t="s">
        <v>785</v>
      </c>
      <c r="AD351" s="346"/>
      <c r="AE351" s="346"/>
      <c r="AF351" s="346" t="s">
        <v>324</v>
      </c>
      <c r="AG351" s="346" t="s">
        <v>324</v>
      </c>
      <c r="AH351" s="426" t="s">
        <v>2501</v>
      </c>
      <c r="AI351" s="426" t="s">
        <v>324</v>
      </c>
      <c r="AJ351" s="426" t="s">
        <v>324</v>
      </c>
      <c r="AK351" s="2" t="s">
        <v>324</v>
      </c>
      <c r="AL351" s="2" t="s">
        <v>324</v>
      </c>
      <c r="AM351" s="2" t="s">
        <v>1401</v>
      </c>
      <c r="AO351" s="2" t="s">
        <v>324</v>
      </c>
      <c r="AP351" s="2" t="s">
        <v>324</v>
      </c>
      <c r="AQ351" s="2" t="s">
        <v>324</v>
      </c>
      <c r="AR351" s="2" t="s">
        <v>324</v>
      </c>
      <c r="AT351" s="2" t="s">
        <v>716</v>
      </c>
      <c r="AV351" s="2" t="s">
        <v>713</v>
      </c>
      <c r="AX351" s="204"/>
      <c r="BA351" s="93"/>
    </row>
    <row r="352" spans="1:117" ht="15.6">
      <c r="A352" s="419" t="s">
        <v>2132</v>
      </c>
      <c r="B352" s="2" t="s">
        <v>2132</v>
      </c>
      <c r="C352" s="2" t="s">
        <v>233</v>
      </c>
      <c r="D352" s="2" t="s">
        <v>1655</v>
      </c>
      <c r="E352" s="2" t="s">
        <v>2134</v>
      </c>
      <c r="F352" s="2" t="s">
        <v>785</v>
      </c>
      <c r="H352" s="2" t="s">
        <v>394</v>
      </c>
      <c r="I352" s="435">
        <v>20.5</v>
      </c>
      <c r="J352" s="435">
        <v>20</v>
      </c>
      <c r="P352" s="435" t="s">
        <v>2508</v>
      </c>
      <c r="Q352" s="435" t="s">
        <v>324</v>
      </c>
      <c r="R352" s="435" t="s">
        <v>324</v>
      </c>
      <c r="S352" s="2" t="s">
        <v>2133</v>
      </c>
      <c r="T352" s="2" t="s">
        <v>713</v>
      </c>
      <c r="U352" s="2">
        <v>17</v>
      </c>
      <c r="V352" s="2" cm="1">
        <f t="array" ref="V352">IFERROR(INDEX('Offer Statistics'!$EK$2:$EK$350,MATCH(1,($B352='Offer Statistics'!$DV$2:$DV$350)*($B$11='Offer Statistics'!$DW$2:$DW$350),0)),"/")</f>
        <v>14</v>
      </c>
      <c r="W352" s="2" cm="1">
        <f t="array" ref="W352">IFERROR(INDEX('Offer Statistics'!$DX$2:$DX$350,MATCH(1,($B352='Offer Statistics'!$DV$2:$DV$350)*($B$11='Offer Statistics'!$DW$2:$DW$350),0)),"/")</f>
        <v>75</v>
      </c>
      <c r="X352" s="2" cm="1">
        <f t="array" ref="X352">IFERROR(INDEX('Offer Statistics'!$EF$2:$EF$350,MATCH(1,($B352='Offer Statistics'!$DV$2:$DV$350)*($B$11='Offer Statistics'!$DW$2:$DW$350),0)),"/")</f>
        <v>5</v>
      </c>
      <c r="Y352" s="2">
        <f t="shared" si="379"/>
        <v>15</v>
      </c>
      <c r="Z352" s="2" t="s">
        <v>713</v>
      </c>
      <c r="AA352" s="2" t="str">
        <f>入學要求!AF361</f>
        <v>/</v>
      </c>
      <c r="AB352" s="2" t="str">
        <f>入學要求!AG361</f>
        <v>/</v>
      </c>
      <c r="AC352" s="424" t="s">
        <v>785</v>
      </c>
      <c r="AD352" s="346"/>
      <c r="AE352" s="346"/>
      <c r="AF352" s="346" t="s">
        <v>324</v>
      </c>
      <c r="AG352" s="346" t="s">
        <v>324</v>
      </c>
      <c r="AH352" s="426" t="s">
        <v>2508</v>
      </c>
      <c r="AI352" s="426" t="s">
        <v>324</v>
      </c>
      <c r="AJ352" s="426" t="s">
        <v>324</v>
      </c>
      <c r="AK352" s="2" t="s">
        <v>324</v>
      </c>
      <c r="AL352" s="2" t="s">
        <v>324</v>
      </c>
      <c r="AM352" s="2" t="s">
        <v>1401</v>
      </c>
      <c r="AO352" s="2" t="s">
        <v>324</v>
      </c>
      <c r="AP352" s="2" t="s">
        <v>324</v>
      </c>
      <c r="AQ352" s="2" t="s">
        <v>324</v>
      </c>
      <c r="AR352" s="2" t="s">
        <v>324</v>
      </c>
      <c r="AT352" s="2" t="s">
        <v>716</v>
      </c>
      <c r="AV352" s="2" t="s">
        <v>713</v>
      </c>
      <c r="AX352" s="204"/>
      <c r="BA352" s="93"/>
    </row>
    <row r="353" spans="1:48" ht="15.6">
      <c r="A353" s="419" t="s">
        <v>2130</v>
      </c>
      <c r="B353" s="2" t="s">
        <v>2130</v>
      </c>
      <c r="C353" s="2" t="s">
        <v>233</v>
      </c>
      <c r="D353" s="2" t="s">
        <v>1655</v>
      </c>
      <c r="E353" s="2" t="s">
        <v>1685</v>
      </c>
      <c r="F353" s="2" t="s">
        <v>785</v>
      </c>
      <c r="H353" s="2" t="s">
        <v>394</v>
      </c>
      <c r="I353" s="435">
        <v>25.5</v>
      </c>
      <c r="J353" s="435">
        <v>25</v>
      </c>
      <c r="P353" s="435" t="s">
        <v>2509</v>
      </c>
      <c r="Q353" s="435" t="s">
        <v>3197</v>
      </c>
      <c r="R353" s="435" t="s">
        <v>324</v>
      </c>
      <c r="S353" s="2" t="s">
        <v>2131</v>
      </c>
      <c r="T353" s="2" t="s">
        <v>713</v>
      </c>
      <c r="U353" s="2">
        <v>22</v>
      </c>
      <c r="V353" s="2" cm="1">
        <f t="array" ref="V353">IFERROR(INDEX('Offer Statistics'!$EK$2:$EK$350,MATCH(1,($B353='Offer Statistics'!$DV$2:$DV$350)*($B$11='Offer Statistics'!$DW$2:$DW$350),0)),"/")</f>
        <v>26</v>
      </c>
      <c r="W353" s="2" cm="1">
        <f t="array" ref="W353">IFERROR(INDEX('Offer Statistics'!$DX$2:$DX$350,MATCH(1,($B353='Offer Statistics'!$DV$2:$DV$350)*($B$11='Offer Statistics'!$DW$2:$DW$350),0)),"/")</f>
        <v>296</v>
      </c>
      <c r="X353" s="2" cm="1">
        <f t="array" ref="X353">IFERROR(INDEX('Offer Statistics'!$EF$2:$EF$350,MATCH(1,($B353='Offer Statistics'!$DV$2:$DV$350)*($B$11='Offer Statistics'!$DW$2:$DW$350),0)),"/")</f>
        <v>26</v>
      </c>
      <c r="Y353" s="2">
        <f t="shared" si="379"/>
        <v>11.384615384615385</v>
      </c>
      <c r="Z353" s="2" t="s">
        <v>713</v>
      </c>
      <c r="AA353" s="2" t="str">
        <f>入學要求!AF362</f>
        <v>優先考慮修讀 中國歷史、歷史、視覺藝術、DAT 者</v>
      </c>
      <c r="AB353" s="2" t="str">
        <f>入學要求!AG362</f>
        <v>/</v>
      </c>
      <c r="AC353" s="425" t="s">
        <v>785</v>
      </c>
      <c r="AD353" s="426"/>
      <c r="AE353" s="426"/>
      <c r="AF353" s="426" t="s">
        <v>324</v>
      </c>
      <c r="AG353" s="426" t="s">
        <v>324</v>
      </c>
      <c r="AH353" s="426" t="s">
        <v>2509</v>
      </c>
      <c r="AI353" s="426" t="s">
        <v>3197</v>
      </c>
      <c r="AJ353" s="426" t="s">
        <v>324</v>
      </c>
      <c r="AK353" s="2" t="s">
        <v>324</v>
      </c>
      <c r="AL353" s="2" t="s">
        <v>324</v>
      </c>
      <c r="AM353" s="2" t="s">
        <v>1401</v>
      </c>
      <c r="AO353" s="2" t="s">
        <v>324</v>
      </c>
      <c r="AP353" s="2" t="s">
        <v>324</v>
      </c>
      <c r="AQ353" s="2" t="s">
        <v>324</v>
      </c>
      <c r="AR353" s="2" t="s">
        <v>324</v>
      </c>
      <c r="AT353" s="2" t="s">
        <v>716</v>
      </c>
      <c r="AV353" s="2" t="s">
        <v>713</v>
      </c>
    </row>
    <row r="354" spans="1:48" ht="15.6">
      <c r="A354" s="419" t="s">
        <v>2706</v>
      </c>
      <c r="B354" s="2" t="s">
        <v>2706</v>
      </c>
      <c r="C354" s="2" t="s">
        <v>233</v>
      </c>
      <c r="D354" s="2" t="s">
        <v>1637</v>
      </c>
      <c r="E354" s="2" t="s">
        <v>2708</v>
      </c>
      <c r="F354" s="2" t="s">
        <v>2940</v>
      </c>
      <c r="H354" s="2" t="s">
        <v>394</v>
      </c>
      <c r="I354" s="435" t="s">
        <v>324</v>
      </c>
      <c r="J354" s="435" t="s">
        <v>324</v>
      </c>
      <c r="P354" s="435"/>
      <c r="Q354" s="435"/>
      <c r="R354" s="435"/>
      <c r="S354" s="2" t="s">
        <v>2707</v>
      </c>
      <c r="T354" s="2" t="s">
        <v>713</v>
      </c>
      <c r="U354" s="2">
        <v>10</v>
      </c>
      <c r="V354" s="2" t="str" cm="1">
        <f t="array" ref="V354">IFERROR(INDEX('Offer Statistics'!$EK$2:$EK$350,MATCH(1,($B354='Offer Statistics'!$DV$2:$DV$350)*($B$11='Offer Statistics'!$DW$2:$DW$350),0)),"/")</f>
        <v>/</v>
      </c>
      <c r="W354" s="2" t="str" cm="1">
        <f t="array" ref="W354">IFERROR(INDEX('Offer Statistics'!$DX$2:$DX$350,MATCH(1,($B354='Offer Statistics'!$DV$2:$DV$350)*($B$11='Offer Statistics'!$DW$2:$DW$350),0)),"/")</f>
        <v>/</v>
      </c>
      <c r="X354" s="2" t="str" cm="1">
        <f t="array" ref="X354">IFERROR(INDEX('Offer Statistics'!$EF$2:$EF$350,MATCH(1,($B354='Offer Statistics'!$DV$2:$DV$350)*($B$11='Offer Statistics'!$DW$2:$DW$350),0)),"/")</f>
        <v>/</v>
      </c>
      <c r="Y354" s="2" t="str">
        <f t="shared" si="379"/>
        <v>新科目</v>
      </c>
      <c r="Z354" s="2" t="s">
        <v>713</v>
      </c>
      <c r="AA354" s="2">
        <f>入學要求!AF363</f>
        <v>0</v>
      </c>
      <c r="AB354" s="2">
        <f>入學要求!AG363</f>
        <v>0</v>
      </c>
      <c r="AC354" s="426" t="s">
        <v>785</v>
      </c>
      <c r="AF354" s="435" t="s">
        <v>324</v>
      </c>
      <c r="AG354" s="435" t="s">
        <v>324</v>
      </c>
      <c r="AH354" s="435" t="s">
        <v>324</v>
      </c>
      <c r="AI354" s="435" t="s">
        <v>324</v>
      </c>
      <c r="AJ354" s="435" t="s">
        <v>324</v>
      </c>
      <c r="AM354" s="2" t="s">
        <v>1401</v>
      </c>
      <c r="AO354" s="2" t="s">
        <v>324</v>
      </c>
      <c r="AP354" s="2" t="s">
        <v>324</v>
      </c>
      <c r="AQ354" s="2" t="s">
        <v>324</v>
      </c>
      <c r="AT354" s="2" t="s">
        <v>716</v>
      </c>
      <c r="AV354" s="2" t="s">
        <v>713</v>
      </c>
    </row>
    <row r="355" spans="1:48" ht="15.6">
      <c r="A355" s="419" t="s">
        <v>1686</v>
      </c>
      <c r="B355" s="2" t="s">
        <v>1686</v>
      </c>
      <c r="C355" s="2" t="s">
        <v>233</v>
      </c>
      <c r="D355" s="2" t="s">
        <v>1637</v>
      </c>
      <c r="E355" s="2" t="s">
        <v>1687</v>
      </c>
      <c r="F355" s="2" t="s">
        <v>785</v>
      </c>
      <c r="H355" s="2" t="s">
        <v>394</v>
      </c>
      <c r="I355" s="435">
        <v>22.2</v>
      </c>
      <c r="J355" s="435">
        <v>21.7</v>
      </c>
      <c r="P355" s="435" t="s">
        <v>2510</v>
      </c>
      <c r="Q355" s="435" t="s">
        <v>324</v>
      </c>
      <c r="R355" s="435" t="s">
        <v>324</v>
      </c>
      <c r="S355" s="2" t="s">
        <v>1688</v>
      </c>
      <c r="T355" s="2" t="s">
        <v>713</v>
      </c>
      <c r="U355" s="2">
        <v>21</v>
      </c>
      <c r="V355" s="2" cm="1">
        <f t="array" ref="V355">IFERROR(INDEX('Offer Statistics'!$EK$2:$EK$350,MATCH(1,($B355='Offer Statistics'!$DV$2:$DV$350)*($B$11='Offer Statistics'!$DW$2:$DW$350),0)),"/")</f>
        <v>21</v>
      </c>
      <c r="W355" s="2" cm="1">
        <f t="array" ref="W355">IFERROR(INDEX('Offer Statistics'!$DX$2:$DX$350,MATCH(1,($B355='Offer Statistics'!$DV$2:$DV$350)*($B$11='Offer Statistics'!$DW$2:$DW$350),0)),"/")</f>
        <v>239</v>
      </c>
      <c r="X355" s="2" cm="1">
        <f t="array" ref="X355">IFERROR(INDEX('Offer Statistics'!$EF$2:$EF$350,MATCH(1,($B355='Offer Statistics'!$DV$2:$DV$350)*($B$11='Offer Statistics'!$DW$2:$DW$350),0)),"/")</f>
        <v>21</v>
      </c>
      <c r="Y355" s="2">
        <f t="shared" si="379"/>
        <v>11.380952380952381</v>
      </c>
      <c r="Z355" s="2" t="s">
        <v>713</v>
      </c>
      <c r="AA355" s="2" t="str">
        <f>入學要求!AF364</f>
        <v>以下一科選修取得Lv.2︰生物、化學、物理、地理</v>
      </c>
      <c r="AB355" s="2" t="str">
        <f>入學要求!AG364</f>
        <v>/</v>
      </c>
      <c r="AC355" s="431" t="s">
        <v>785</v>
      </c>
      <c r="AF355" s="2" t="s">
        <v>324</v>
      </c>
      <c r="AG355" s="2" t="s">
        <v>324</v>
      </c>
      <c r="AH355" s="431" t="s">
        <v>3204</v>
      </c>
      <c r="AI355" s="431" t="s">
        <v>3205</v>
      </c>
      <c r="AJ355" s="431" t="s">
        <v>3206</v>
      </c>
      <c r="AK355" s="2" t="s">
        <v>324</v>
      </c>
      <c r="AL355" s="2" t="s">
        <v>324</v>
      </c>
      <c r="AM355" s="2" t="s">
        <v>1401</v>
      </c>
      <c r="AO355" s="2" t="s">
        <v>324</v>
      </c>
      <c r="AP355" s="2" t="s">
        <v>324</v>
      </c>
      <c r="AQ355" s="2" t="s">
        <v>324</v>
      </c>
      <c r="AR355" s="2" t="s">
        <v>324</v>
      </c>
      <c r="AT355" s="2" t="s">
        <v>716</v>
      </c>
      <c r="AV355" s="2" t="s">
        <v>713</v>
      </c>
    </row>
    <row r="356" spans="1:48" ht="15.6">
      <c r="A356" s="419" t="s">
        <v>1689</v>
      </c>
      <c r="B356" s="2" t="s">
        <v>1689</v>
      </c>
      <c r="C356" s="2" t="s">
        <v>233</v>
      </c>
      <c r="D356" s="2" t="s">
        <v>1637</v>
      </c>
      <c r="E356" s="2" t="s">
        <v>1690</v>
      </c>
      <c r="F356" s="2" t="s">
        <v>785</v>
      </c>
      <c r="H356" s="2" t="s">
        <v>394</v>
      </c>
      <c r="I356" s="435">
        <v>23.5</v>
      </c>
      <c r="J356" s="435">
        <v>22.5</v>
      </c>
      <c r="P356" s="435" t="s">
        <v>2511</v>
      </c>
      <c r="Q356" s="435" t="s">
        <v>3197</v>
      </c>
      <c r="R356" s="435" t="s">
        <v>324</v>
      </c>
      <c r="S356" s="2" t="s">
        <v>1691</v>
      </c>
      <c r="T356" s="2" t="s">
        <v>713</v>
      </c>
      <c r="U356" s="2">
        <v>30</v>
      </c>
      <c r="V356" s="2" cm="1">
        <f t="array" ref="V356">IFERROR(INDEX('Offer Statistics'!$EK$2:$EK$350,MATCH(1,($B356='Offer Statistics'!$DV$2:$DV$350)*($B$11='Offer Statistics'!$DW$2:$DW$350),0)),"/")</f>
        <v>22</v>
      </c>
      <c r="W356" s="2" cm="1">
        <f t="array" ref="W356">IFERROR(INDEX('Offer Statistics'!$DX$2:$DX$350,MATCH(1,($B356='Offer Statistics'!$DV$2:$DV$350)*($B$11='Offer Statistics'!$DW$2:$DW$350),0)),"/")</f>
        <v>240</v>
      </c>
      <c r="X356" s="2" cm="1">
        <f t="array" ref="X356">IFERROR(INDEX('Offer Statistics'!$EF$2:$EF$350,MATCH(1,($B356='Offer Statistics'!$DV$2:$DV$350)*($B$11='Offer Statistics'!$DW$2:$DW$350),0)),"/")</f>
        <v>17</v>
      </c>
      <c r="Y356" s="2">
        <f t="shared" si="379"/>
        <v>14.117647058823529</v>
      </c>
      <c r="Z356" s="2" t="s">
        <v>713</v>
      </c>
      <c r="AA356" s="2" t="str">
        <f>入學要求!AF365</f>
        <v>以下一科選修取得Lv.2︰生物、化學、物理、ICT、M1/2</v>
      </c>
      <c r="AB356" s="2" t="str">
        <f>入學要求!AG365</f>
        <v>優先考慮 有修讀以上兩科 者</v>
      </c>
      <c r="AC356" s="425" t="s">
        <v>785</v>
      </c>
      <c r="AD356" s="426"/>
      <c r="AE356" s="426"/>
      <c r="AF356" s="426" t="s">
        <v>324</v>
      </c>
      <c r="AG356" s="426" t="s">
        <v>324</v>
      </c>
      <c r="AH356" s="426" t="s">
        <v>2511</v>
      </c>
      <c r="AI356" s="426" t="s">
        <v>3197</v>
      </c>
      <c r="AJ356" s="426" t="s">
        <v>324</v>
      </c>
      <c r="AK356" s="2" t="s">
        <v>324</v>
      </c>
      <c r="AL356" s="2" t="s">
        <v>324</v>
      </c>
      <c r="AM356" s="2" t="s">
        <v>1401</v>
      </c>
      <c r="AO356" s="2" t="s">
        <v>324</v>
      </c>
      <c r="AP356" s="2" t="s">
        <v>324</v>
      </c>
      <c r="AQ356" s="2" t="s">
        <v>324</v>
      </c>
      <c r="AR356" s="2" t="s">
        <v>324</v>
      </c>
      <c r="AT356" s="2" t="s">
        <v>716</v>
      </c>
      <c r="AV356" s="2" t="s">
        <v>713</v>
      </c>
    </row>
    <row r="357" spans="1:48" ht="15.6">
      <c r="A357" s="419" t="s">
        <v>1692</v>
      </c>
      <c r="B357" s="2" t="s">
        <v>1692</v>
      </c>
      <c r="C357" s="2" t="s">
        <v>233</v>
      </c>
      <c r="D357" s="2" t="s">
        <v>1637</v>
      </c>
      <c r="E357" s="2" t="s">
        <v>1693</v>
      </c>
      <c r="F357" s="2" t="s">
        <v>785</v>
      </c>
      <c r="H357" s="2" t="s">
        <v>394</v>
      </c>
      <c r="I357" s="435">
        <v>28.5</v>
      </c>
      <c r="J357" s="435">
        <v>26.5</v>
      </c>
      <c r="P357" s="435" t="s">
        <v>2512</v>
      </c>
      <c r="Q357" s="435" t="s">
        <v>2513</v>
      </c>
      <c r="R357" s="435" t="s">
        <v>324</v>
      </c>
      <c r="S357" s="2" t="s">
        <v>1694</v>
      </c>
      <c r="T357" s="2" t="s">
        <v>713</v>
      </c>
      <c r="U357" s="2">
        <v>29</v>
      </c>
      <c r="V357" s="2" cm="1">
        <f t="array" ref="V357">IFERROR(INDEX('Offer Statistics'!$EK$2:$EK$350,MATCH(1,($B357='Offer Statistics'!$DV$2:$DV$350)*($B$11='Offer Statistics'!$DW$2:$DW$350),0)),"/")</f>
        <v>30</v>
      </c>
      <c r="W357" s="2" cm="1">
        <f t="array" ref="W357">IFERROR(INDEX('Offer Statistics'!$DX$2:$DX$350,MATCH(1,($B357='Offer Statistics'!$DV$2:$DV$350)*($B$11='Offer Statistics'!$DW$2:$DW$350),0)),"/")</f>
        <v>860</v>
      </c>
      <c r="X357" s="2" cm="1">
        <f t="array" ref="X357">IFERROR(INDEX('Offer Statistics'!$EF$2:$EF$350,MATCH(1,($B357='Offer Statistics'!$DV$2:$DV$350)*($B$11='Offer Statistics'!$DW$2:$DW$350),0)),"/")</f>
        <v>30</v>
      </c>
      <c r="Y357" s="2">
        <f t="shared" si="379"/>
        <v>28.666666666666668</v>
      </c>
      <c r="Z357" s="2" t="s">
        <v>713</v>
      </c>
      <c r="AA357" s="2">
        <f>入學要求!AF366</f>
        <v>0</v>
      </c>
      <c r="AB357" s="2" t="str">
        <f>入學要求!AG366</f>
        <v>/</v>
      </c>
      <c r="AC357" s="425" t="s">
        <v>785</v>
      </c>
      <c r="AD357" s="426"/>
      <c r="AE357" s="426"/>
      <c r="AF357" s="426" t="s">
        <v>324</v>
      </c>
      <c r="AG357" s="426" t="s">
        <v>324</v>
      </c>
      <c r="AH357" s="426" t="s">
        <v>2512</v>
      </c>
      <c r="AI357" s="426" t="s">
        <v>3207</v>
      </c>
      <c r="AJ357" s="426" t="s">
        <v>324</v>
      </c>
      <c r="AK357" s="2" t="s">
        <v>324</v>
      </c>
      <c r="AL357" s="2" t="s">
        <v>324</v>
      </c>
      <c r="AM357" s="2" t="s">
        <v>1401</v>
      </c>
      <c r="AO357" s="2" t="s">
        <v>324</v>
      </c>
      <c r="AP357" s="2" t="s">
        <v>324</v>
      </c>
      <c r="AQ357" s="2" t="s">
        <v>324</v>
      </c>
      <c r="AR357" s="2" t="s">
        <v>324</v>
      </c>
      <c r="AT357" s="2" t="s">
        <v>716</v>
      </c>
      <c r="AV357" s="2" t="s">
        <v>713</v>
      </c>
    </row>
    <row r="358" spans="1:48" ht="15.6">
      <c r="A358" s="419" t="s">
        <v>2709</v>
      </c>
      <c r="B358" s="2" t="s">
        <v>2709</v>
      </c>
      <c r="C358" s="2" t="s">
        <v>233</v>
      </c>
      <c r="D358" s="2" t="s">
        <v>1655</v>
      </c>
      <c r="E358" s="2" t="s">
        <v>2711</v>
      </c>
      <c r="F358" s="2" t="s">
        <v>2940</v>
      </c>
      <c r="H358" s="2" t="s">
        <v>394</v>
      </c>
      <c r="I358" s="435" t="s">
        <v>324</v>
      </c>
      <c r="J358" s="435" t="s">
        <v>324</v>
      </c>
      <c r="P358" s="435"/>
      <c r="Q358" s="435"/>
      <c r="R358" s="435"/>
      <c r="S358" s="2" t="s">
        <v>2710</v>
      </c>
      <c r="T358" s="2" t="s">
        <v>713</v>
      </c>
      <c r="U358" s="2">
        <v>10</v>
      </c>
      <c r="V358" s="2" t="str" cm="1">
        <f t="array" ref="V358">IFERROR(INDEX('Offer Statistics'!$EK$2:$EK$350,MATCH(1,($B358='Offer Statistics'!$DV$2:$DV$350)*($B$11='Offer Statistics'!$DW$2:$DW$350),0)),"/")</f>
        <v>/</v>
      </c>
      <c r="W358" s="2" t="str" cm="1">
        <f t="array" ref="W358">IFERROR(INDEX('Offer Statistics'!$DX$2:$DX$350,MATCH(1,($B358='Offer Statistics'!$DV$2:$DV$350)*($B$11='Offer Statistics'!$DW$2:$DW$350),0)),"/")</f>
        <v>/</v>
      </c>
      <c r="X358" s="2" t="str" cm="1">
        <f t="array" ref="X358">IFERROR(INDEX('Offer Statistics'!$EF$2:$EF$350,MATCH(1,($B358='Offer Statistics'!$DV$2:$DV$350)*($B$11='Offer Statistics'!$DW$2:$DW$350),0)),"/")</f>
        <v>/</v>
      </c>
      <c r="Y358" s="2" t="str">
        <f t="shared" si="379"/>
        <v>新科目</v>
      </c>
      <c r="Z358" s="2" t="s">
        <v>713</v>
      </c>
      <c r="AA358" s="2" t="str">
        <f>入學要求!AF367</f>
        <v>申請人必須以流利廣東話及英文進行面試</v>
      </c>
      <c r="AB358" s="2">
        <f>入學要求!AG367</f>
        <v>0</v>
      </c>
      <c r="AC358" s="431" t="s">
        <v>785</v>
      </c>
      <c r="AH358" s="431" t="s">
        <v>2501</v>
      </c>
      <c r="AI358" s="431" t="s">
        <v>324</v>
      </c>
      <c r="AJ358" s="431" t="s">
        <v>324</v>
      </c>
      <c r="AM358" s="2" t="s">
        <v>1401</v>
      </c>
      <c r="AO358" s="2" t="s">
        <v>324</v>
      </c>
      <c r="AP358" s="2" t="s">
        <v>324</v>
      </c>
      <c r="AQ358" s="2" t="s">
        <v>324</v>
      </c>
      <c r="AT358" s="2" t="s">
        <v>716</v>
      </c>
      <c r="AV358" s="2" t="s">
        <v>713</v>
      </c>
    </row>
    <row r="359" spans="1:48" ht="15.6">
      <c r="A359" s="419" t="s">
        <v>2658</v>
      </c>
      <c r="B359" s="2" t="s">
        <v>2658</v>
      </c>
      <c r="C359" s="2" t="s">
        <v>233</v>
      </c>
      <c r="D359" s="2" t="s">
        <v>1637</v>
      </c>
      <c r="E359" s="2" t="s">
        <v>2660</v>
      </c>
      <c r="F359" s="2" t="s">
        <v>785</v>
      </c>
      <c r="H359" s="2" t="s">
        <v>394</v>
      </c>
      <c r="I359" s="435">
        <v>19</v>
      </c>
      <c r="J359" s="435">
        <v>18.5</v>
      </c>
      <c r="P359" s="426" t="s">
        <v>2506</v>
      </c>
      <c r="Q359" s="426" t="s">
        <v>3197</v>
      </c>
      <c r="R359" s="435" t="s">
        <v>324</v>
      </c>
      <c r="S359" s="2" t="s">
        <v>2659</v>
      </c>
      <c r="T359" s="2" t="s">
        <v>713</v>
      </c>
      <c r="U359" s="2">
        <v>32</v>
      </c>
      <c r="V359" s="2" t="str" cm="1">
        <f t="array" ref="V359">IFERROR(INDEX('Offer Statistics'!$EK$2:$EK$350,MATCH(1,($B359='Offer Statistics'!$DV$2:$DV$350)*($B$11='Offer Statistics'!$DW$2:$DW$350),0)),"/")</f>
        <v>/</v>
      </c>
      <c r="W359" s="2" t="str" cm="1">
        <f t="array" ref="W359">IFERROR(INDEX('Offer Statistics'!$DX$2:$DX$350,MATCH(1,($B359='Offer Statistics'!$DV$2:$DV$350)*($B$11='Offer Statistics'!$DW$2:$DW$350),0)),"/")</f>
        <v>/</v>
      </c>
      <c r="X359" s="2" t="str" cm="1">
        <f t="array" ref="X359">IFERROR(INDEX('Offer Statistics'!$EF$2:$EF$350,MATCH(1,($B359='Offer Statistics'!$DV$2:$DV$350)*($B$11='Offer Statistics'!$DW$2:$DW$350),0)),"/")</f>
        <v>/</v>
      </c>
      <c r="Y359" s="2" t="str">
        <f t="shared" si="379"/>
        <v>新科目</v>
      </c>
      <c r="Z359" s="2" t="s">
        <v>713</v>
      </c>
      <c r="AA359" s="2" t="str">
        <f>入學要求!AF368</f>
        <v>同學亦須在額外的 入學測試 (Audition) 中考獲優異成績</v>
      </c>
      <c r="AB359" s="2" t="str">
        <f>入學要求!AG368</f>
        <v>DSE音樂科考獲 Lv.4或以上者 則可豁免該測試</v>
      </c>
      <c r="AC359" s="425" t="s">
        <v>785</v>
      </c>
      <c r="AF359" s="2" t="s">
        <v>324</v>
      </c>
      <c r="AG359" s="2" t="s">
        <v>324</v>
      </c>
      <c r="AH359" s="426" t="s">
        <v>2506</v>
      </c>
      <c r="AI359" s="426" t="s">
        <v>3197</v>
      </c>
      <c r="AJ359" s="426" t="s">
        <v>324</v>
      </c>
      <c r="AK359" s="2" t="s">
        <v>324</v>
      </c>
      <c r="AL359" s="2" t="s">
        <v>324</v>
      </c>
      <c r="AM359" s="2" t="s">
        <v>1401</v>
      </c>
      <c r="AN359" s="2" t="s">
        <v>3223</v>
      </c>
      <c r="AO359" s="2" t="s">
        <v>324</v>
      </c>
      <c r="AP359" s="2" t="s">
        <v>324</v>
      </c>
      <c r="AQ359" s="2" t="s">
        <v>324</v>
      </c>
      <c r="AR359" s="2" t="s">
        <v>324</v>
      </c>
      <c r="AT359" s="2" t="s">
        <v>716</v>
      </c>
      <c r="AV359" s="2" t="s">
        <v>713</v>
      </c>
    </row>
    <row r="360" spans="1:48" ht="15.6">
      <c r="A360" s="419" t="s">
        <v>2661</v>
      </c>
      <c r="B360" s="2" t="s">
        <v>2661</v>
      </c>
      <c r="C360" s="2" t="s">
        <v>233</v>
      </c>
      <c r="D360" s="2" t="s">
        <v>1637</v>
      </c>
      <c r="E360" s="2" t="s">
        <v>2663</v>
      </c>
      <c r="F360" s="2" t="s">
        <v>785</v>
      </c>
      <c r="H360" s="2" t="s">
        <v>394</v>
      </c>
      <c r="I360" s="435">
        <v>22</v>
      </c>
      <c r="J360" s="435">
        <v>22</v>
      </c>
      <c r="P360" s="426" t="s">
        <v>2507</v>
      </c>
      <c r="Q360" s="426" t="s">
        <v>3197</v>
      </c>
      <c r="R360" s="435" t="s">
        <v>324</v>
      </c>
      <c r="S360" s="2" t="s">
        <v>2662</v>
      </c>
      <c r="T360" s="2" t="s">
        <v>713</v>
      </c>
      <c r="U360" s="2">
        <v>32</v>
      </c>
      <c r="V360" s="2" t="str" cm="1">
        <f t="array" ref="V360">IFERROR(INDEX('Offer Statistics'!$EK$2:$EK$350,MATCH(1,($B360='Offer Statistics'!$DV$2:$DV$350)*($B$11='Offer Statistics'!$DW$2:$DW$350),0)),"/")</f>
        <v>/</v>
      </c>
      <c r="W360" s="2" t="str" cm="1">
        <f t="array" ref="W360">IFERROR(INDEX('Offer Statistics'!$DX$2:$DX$350,MATCH(1,($B360='Offer Statistics'!$DV$2:$DV$350)*($B$11='Offer Statistics'!$DW$2:$DW$350),0)),"/")</f>
        <v>/</v>
      </c>
      <c r="X360" s="2" t="str" cm="1">
        <f t="array" ref="X360">IFERROR(INDEX('Offer Statistics'!$EF$2:$EF$350,MATCH(1,($B360='Offer Statistics'!$DV$2:$DV$350)*($B$11='Offer Statistics'!$DW$2:$DW$350),0)),"/")</f>
        <v>/</v>
      </c>
      <c r="Y360" s="2" t="str">
        <f t="shared" si="379"/>
        <v>新科目</v>
      </c>
      <c r="Z360" s="2" t="s">
        <v>713</v>
      </c>
      <c r="AA360" s="2" t="str">
        <f>入學要求!AF369</f>
        <v>同學亦須在額外的 入學測試 (Audition) 中考獲優異成績</v>
      </c>
      <c r="AB360" s="2" t="str">
        <f>入學要求!AG369</f>
        <v>DSE視覺藝術考獲 Lv.4或以上者 則可豁免該測試</v>
      </c>
      <c r="AC360" s="425" t="s">
        <v>785</v>
      </c>
      <c r="AF360" s="2" t="s">
        <v>324</v>
      </c>
      <c r="AG360" s="2" t="s">
        <v>324</v>
      </c>
      <c r="AH360" s="426" t="s">
        <v>2507</v>
      </c>
      <c r="AI360" s="426" t="s">
        <v>3197</v>
      </c>
      <c r="AJ360" s="426" t="s">
        <v>324</v>
      </c>
      <c r="AK360" s="2" t="s">
        <v>324</v>
      </c>
      <c r="AL360" s="2" t="s">
        <v>324</v>
      </c>
      <c r="AM360" s="2" t="s">
        <v>1401</v>
      </c>
      <c r="AN360" s="2" t="s">
        <v>3224</v>
      </c>
      <c r="AO360" s="2" t="s">
        <v>324</v>
      </c>
      <c r="AP360" s="2" t="s">
        <v>324</v>
      </c>
      <c r="AQ360" s="2" t="s">
        <v>324</v>
      </c>
      <c r="AR360" s="2" t="s">
        <v>324</v>
      </c>
      <c r="AT360" s="2" t="s">
        <v>716</v>
      </c>
      <c r="AV360" s="2" t="s">
        <v>713</v>
      </c>
    </row>
    <row r="361" spans="1:48">
      <c r="C361" s="328" t="s">
        <v>3246</v>
      </c>
      <c r="F361" s="11"/>
    </row>
    <row r="363" spans="1:48">
      <c r="A363" s="335" t="s">
        <v>2135</v>
      </c>
      <c r="B363" s="2" t="s">
        <v>1704</v>
      </c>
      <c r="C363" s="2" t="s">
        <v>237</v>
      </c>
      <c r="D363" s="2" t="s">
        <v>819</v>
      </c>
      <c r="E363" s="2" t="s">
        <v>1705</v>
      </c>
      <c r="F363" s="2" t="s">
        <v>785</v>
      </c>
      <c r="G363" s="2" t="s">
        <v>324</v>
      </c>
      <c r="H363" s="2" t="s">
        <v>324</v>
      </c>
      <c r="I363" s="426">
        <v>16</v>
      </c>
      <c r="J363" s="426">
        <v>15</v>
      </c>
      <c r="K363" s="192"/>
      <c r="L363" s="192"/>
      <c r="M363" s="192"/>
      <c r="N363" s="435" t="s">
        <v>324</v>
      </c>
      <c r="O363" s="435" t="s">
        <v>324</v>
      </c>
      <c r="P363" s="435" t="s">
        <v>324</v>
      </c>
      <c r="Q363" s="435" t="s">
        <v>324</v>
      </c>
      <c r="R363" s="435" t="s">
        <v>324</v>
      </c>
      <c r="S363" s="2" t="s">
        <v>1706</v>
      </c>
      <c r="T363" s="2" t="s">
        <v>713</v>
      </c>
      <c r="U363" s="2">
        <v>100</v>
      </c>
      <c r="V363" s="2" cm="1">
        <f t="array" ref="V363">IFERROR(INDEX('Offer Statistics'!$FC$2:$FC$350,MATCH(1,($B363='Offer Statistics'!$EN$2:$EN$350)*($B$11='Offer Statistics'!$EO$2:$EO$350),0)),"/")</f>
        <v>277</v>
      </c>
      <c r="W363" s="2" cm="1">
        <f t="array" ref="W363">IFERROR(INDEX('Offer Statistics'!$EP$2:$EP$350,MATCH(1,($B363='Offer Statistics'!$EN$2:$EN$350)*($B$11='Offer Statistics'!$EO$2:$EO$350),0)),"/")</f>
        <v>601</v>
      </c>
      <c r="X363" s="2" cm="1">
        <f t="array" ref="X363">IFERROR(INDEX('Offer Statistics'!$EX$2:$EX$350,MATCH(1,($B363='Offer Statistics'!$EN$2:$EN$350)*($B$11='Offer Statistics'!$EO$2:$EO$350),0)),"/")</f>
        <v>178</v>
      </c>
      <c r="Y363" s="2">
        <f>IFERROR(W363/X363,"新科目")</f>
        <v>3.3764044943820224</v>
      </c>
      <c r="Z363" s="2" t="s">
        <v>713</v>
      </c>
      <c r="AA363" s="2" t="str">
        <f>入學要求!AF372</f>
        <v>/</v>
      </c>
      <c r="AB363" s="2" t="str">
        <f>入學要求!AG372</f>
        <v>/</v>
      </c>
      <c r="AC363" s="2" t="s">
        <v>785</v>
      </c>
      <c r="AE363" s="435"/>
      <c r="AF363" s="435" t="s">
        <v>324</v>
      </c>
      <c r="AG363" s="435" t="s">
        <v>324</v>
      </c>
      <c r="AH363" s="435" t="s">
        <v>324</v>
      </c>
      <c r="AI363" s="435" t="s">
        <v>324</v>
      </c>
      <c r="AJ363" s="2" t="s">
        <v>324</v>
      </c>
      <c r="AK363" s="2" t="s">
        <v>324</v>
      </c>
      <c r="AL363" s="2" t="s">
        <v>324</v>
      </c>
      <c r="AM363" s="2" t="s">
        <v>324</v>
      </c>
      <c r="AN363" s="2" t="s">
        <v>1707</v>
      </c>
      <c r="AO363" s="2" t="s">
        <v>1708</v>
      </c>
      <c r="AP363" s="2" t="s">
        <v>1709</v>
      </c>
      <c r="AQ363" s="2" t="s">
        <v>1710</v>
      </c>
      <c r="AR363" s="2" t="s">
        <v>324</v>
      </c>
      <c r="AT363" s="2" t="s">
        <v>716</v>
      </c>
      <c r="AV363" s="2" t="s">
        <v>713</v>
      </c>
    </row>
    <row r="364" spans="1:48">
      <c r="A364" s="335" t="s">
        <v>2136</v>
      </c>
      <c r="B364" s="2" t="s">
        <v>1711</v>
      </c>
      <c r="C364" s="2" t="s">
        <v>237</v>
      </c>
      <c r="D364" s="2" t="s">
        <v>819</v>
      </c>
      <c r="E364" s="2" t="s">
        <v>1712</v>
      </c>
      <c r="F364" s="2" t="s">
        <v>785</v>
      </c>
      <c r="G364" s="2" t="s">
        <v>324</v>
      </c>
      <c r="H364" s="2" t="s">
        <v>324</v>
      </c>
      <c r="I364" s="426">
        <v>16</v>
      </c>
      <c r="J364" s="426">
        <v>14</v>
      </c>
      <c r="K364" s="192"/>
      <c r="L364" s="192"/>
      <c r="M364" s="192"/>
      <c r="N364" s="435" t="s">
        <v>324</v>
      </c>
      <c r="O364" s="435" t="s">
        <v>324</v>
      </c>
      <c r="P364" s="435" t="s">
        <v>324</v>
      </c>
      <c r="Q364" s="435" t="s">
        <v>324</v>
      </c>
      <c r="R364" s="435" t="s">
        <v>324</v>
      </c>
      <c r="S364" s="2" t="s">
        <v>1713</v>
      </c>
      <c r="T364" s="2" t="s">
        <v>713</v>
      </c>
      <c r="U364" s="2">
        <v>120</v>
      </c>
      <c r="V364" s="2" cm="1">
        <f t="array" ref="V364">IFERROR(INDEX('Offer Statistics'!$FC$2:$FC$350,MATCH(1,($B364='Offer Statistics'!$EN$2:$EN$350)*($B$11='Offer Statistics'!$EO$2:$EO$350),0)),"/")</f>
        <v>378</v>
      </c>
      <c r="W364" s="2" cm="1">
        <f t="array" ref="W364">IFERROR(INDEX('Offer Statistics'!$EP$2:$EP$350,MATCH(1,($B364='Offer Statistics'!$EN$2:$EN$350)*($B$11='Offer Statistics'!$EO$2:$EO$350),0)),"/")</f>
        <v>722</v>
      </c>
      <c r="X364" s="2" cm="1">
        <f t="array" ref="X364">IFERROR(INDEX('Offer Statistics'!$EX$2:$EX$350,MATCH(1,($B364='Offer Statistics'!$EN$2:$EN$350)*($B$11='Offer Statistics'!$EO$2:$EO$350),0)),"/")</f>
        <v>193</v>
      </c>
      <c r="Y364" s="2">
        <f t="shared" ref="Y364:Y365" si="380">IFERROR(W364/X364,"新科目")</f>
        <v>3.7409326424870466</v>
      </c>
      <c r="Z364" s="2" t="s">
        <v>713</v>
      </c>
      <c r="AA364" s="2" t="str">
        <f>入學要求!AF373</f>
        <v>/</v>
      </c>
      <c r="AB364" s="2" t="str">
        <f>入學要求!AG373</f>
        <v>/</v>
      </c>
      <c r="AC364" s="2" t="s">
        <v>785</v>
      </c>
      <c r="AE364" s="435"/>
      <c r="AF364" s="435" t="s">
        <v>324</v>
      </c>
      <c r="AG364" s="435" t="s">
        <v>324</v>
      </c>
      <c r="AH364" s="435" t="s">
        <v>324</v>
      </c>
      <c r="AI364" s="435" t="s">
        <v>324</v>
      </c>
      <c r="AJ364" s="2" t="s">
        <v>324</v>
      </c>
      <c r="AK364" s="2" t="s">
        <v>324</v>
      </c>
      <c r="AL364" s="2" t="s">
        <v>324</v>
      </c>
      <c r="AM364" s="2" t="s">
        <v>324</v>
      </c>
      <c r="AN364" s="2" t="s">
        <v>1707</v>
      </c>
      <c r="AO364" s="2" t="s">
        <v>1714</v>
      </c>
      <c r="AP364" s="2" t="s">
        <v>1715</v>
      </c>
      <c r="AQ364" s="2" t="s">
        <v>324</v>
      </c>
      <c r="AR364" s="2" t="s">
        <v>324</v>
      </c>
      <c r="AT364" s="2" t="s">
        <v>716</v>
      </c>
      <c r="AV364" s="2" t="s">
        <v>713</v>
      </c>
    </row>
    <row r="365" spans="1:48">
      <c r="A365" s="335" t="s">
        <v>1716</v>
      </c>
      <c r="B365" s="2" t="s">
        <v>1716</v>
      </c>
      <c r="C365" s="2" t="s">
        <v>237</v>
      </c>
      <c r="D365" s="2" t="s">
        <v>819</v>
      </c>
      <c r="E365" s="2" t="s">
        <v>1717</v>
      </c>
      <c r="F365" s="2" t="s">
        <v>785</v>
      </c>
      <c r="G365" s="2" t="s">
        <v>324</v>
      </c>
      <c r="H365" s="2" t="s">
        <v>324</v>
      </c>
      <c r="I365" s="426">
        <v>21</v>
      </c>
      <c r="J365" s="426">
        <v>20</v>
      </c>
      <c r="N365" s="2" t="s">
        <v>324</v>
      </c>
      <c r="O365" s="2" t="s">
        <v>324</v>
      </c>
      <c r="P365" s="435" t="s">
        <v>1239</v>
      </c>
      <c r="Q365" s="435" t="s">
        <v>324</v>
      </c>
      <c r="R365" s="435" t="s">
        <v>324</v>
      </c>
      <c r="S365" s="2" t="s">
        <v>2139</v>
      </c>
      <c r="T365" s="2" t="s">
        <v>713</v>
      </c>
      <c r="U365" s="2">
        <v>40</v>
      </c>
      <c r="V365" s="2" cm="1">
        <f t="array" ref="V365">IFERROR(INDEX('Offer Statistics'!$FC$2:$FC$350,MATCH(1,($B365='Offer Statistics'!$EN$2:$EN$350)*($B$11='Offer Statistics'!$EO$2:$EO$350),0)),"/")</f>
        <v>130</v>
      </c>
      <c r="W365" s="2" cm="1">
        <f t="array" ref="W365">IFERROR(INDEX('Offer Statistics'!$EP$2:$EP$350,MATCH(1,($B365='Offer Statistics'!$EN$2:$EN$350)*($B$11='Offer Statistics'!$EO$2:$EO$350),0)),"/")</f>
        <v>189</v>
      </c>
      <c r="X365" s="2" cm="1">
        <f t="array" ref="X365">IFERROR(INDEX('Offer Statistics'!$EX$2:$EX$350,MATCH(1,($B365='Offer Statistics'!$EN$2:$EN$350)*($B$11='Offer Statistics'!$EO$2:$EO$350),0)),"/")</f>
        <v>57</v>
      </c>
      <c r="Y365" s="2">
        <f t="shared" si="380"/>
        <v>3.3157894736842106</v>
      </c>
      <c r="Z365" s="2" t="s">
        <v>713</v>
      </c>
      <c r="AA365" s="2" t="str">
        <f>入學要求!AF374</f>
        <v>/</v>
      </c>
      <c r="AB365" s="2" t="str">
        <f>入學要求!AG374</f>
        <v>/</v>
      </c>
      <c r="AC365" s="2" t="s">
        <v>785</v>
      </c>
      <c r="AE365" s="435"/>
      <c r="AF365" s="435" t="s">
        <v>324</v>
      </c>
      <c r="AG365" s="435" t="s">
        <v>324</v>
      </c>
      <c r="AH365" s="435" t="s">
        <v>1718</v>
      </c>
      <c r="AI365" s="435" t="s">
        <v>324</v>
      </c>
      <c r="AJ365" s="2" t="s">
        <v>324</v>
      </c>
      <c r="AK365" s="2" t="s">
        <v>324</v>
      </c>
      <c r="AL365" s="2" t="s">
        <v>324</v>
      </c>
      <c r="AM365" s="2" t="s">
        <v>324</v>
      </c>
      <c r="AN365" s="2" t="s">
        <v>324</v>
      </c>
      <c r="AO365" s="2" t="s">
        <v>324</v>
      </c>
      <c r="AP365" s="2" t="s">
        <v>324</v>
      </c>
      <c r="AQ365" s="2" t="s">
        <v>324</v>
      </c>
      <c r="AR365" s="2" t="s">
        <v>324</v>
      </c>
      <c r="AT365" s="2" t="s">
        <v>716</v>
      </c>
      <c r="AV365" s="2" t="s">
        <v>713</v>
      </c>
    </row>
    <row r="366" spans="1:48">
      <c r="A366" s="335" t="s">
        <v>1720</v>
      </c>
      <c r="B366" s="2" t="s">
        <v>1720</v>
      </c>
      <c r="C366" s="2" t="s">
        <v>237</v>
      </c>
      <c r="D366" s="2" t="s">
        <v>819</v>
      </c>
      <c r="E366" s="2" t="s">
        <v>1721</v>
      </c>
      <c r="F366" s="2" t="s">
        <v>785</v>
      </c>
      <c r="G366" s="2" t="s">
        <v>324</v>
      </c>
      <c r="H366" s="2" t="s">
        <v>324</v>
      </c>
      <c r="I366" s="426">
        <v>20</v>
      </c>
      <c r="J366" s="426">
        <v>18</v>
      </c>
      <c r="N366" s="2" t="s">
        <v>324</v>
      </c>
      <c r="O366" s="2" t="s">
        <v>324</v>
      </c>
      <c r="P366" s="435" t="s">
        <v>2501</v>
      </c>
      <c r="Q366" s="435" t="s">
        <v>324</v>
      </c>
      <c r="R366" s="435" t="s">
        <v>324</v>
      </c>
      <c r="S366" s="2" t="s">
        <v>2850</v>
      </c>
      <c r="T366" s="2" t="s">
        <v>713</v>
      </c>
      <c r="U366" s="2">
        <v>45</v>
      </c>
      <c r="V366" s="2" cm="1">
        <f t="array" ref="V366">IFERROR(INDEX('Offer Statistics'!$FC$2:$FC$350,MATCH(1,($B366='Offer Statistics'!$EN$2:$EN$350)*($B$11='Offer Statistics'!$EO$2:$EO$350),0)),"/")</f>
        <v>82</v>
      </c>
      <c r="W366" s="2" cm="1">
        <f t="array" ref="W366">IFERROR(INDEX('Offer Statistics'!$EP$2:$EP$350,MATCH(1,($B366='Offer Statistics'!$EN$2:$EN$350)*($B$11='Offer Statistics'!$EO$2:$EO$350),0)),"/")</f>
        <v>108</v>
      </c>
      <c r="X366" s="2" cm="1">
        <f t="array" ref="X366">IFERROR(INDEX('Offer Statistics'!$EX$2:$EX$350,MATCH(1,($B366='Offer Statistics'!$EN$2:$EN$350)*($B$11='Offer Statistics'!$EO$2:$EO$350),0)),"/")</f>
        <v>35</v>
      </c>
      <c r="Y366" s="2">
        <f t="shared" ref="Y366:Y390" si="381">IFERROR(W366/X366,"新科目")</f>
        <v>3.0857142857142859</v>
      </c>
      <c r="Z366" s="2" t="s">
        <v>713</v>
      </c>
      <c r="AA366" s="2" t="str">
        <f>入學要求!AF375</f>
        <v>/</v>
      </c>
      <c r="AB366" s="2" t="str">
        <f>入學要求!AG375</f>
        <v>/</v>
      </c>
      <c r="AC366" s="2" t="s">
        <v>785</v>
      </c>
      <c r="AE366" s="435"/>
      <c r="AF366" s="435" t="s">
        <v>324</v>
      </c>
      <c r="AG366" s="435" t="s">
        <v>324</v>
      </c>
      <c r="AH366" s="435" t="s">
        <v>1575</v>
      </c>
      <c r="AI366" s="435" t="s">
        <v>324</v>
      </c>
      <c r="AJ366" s="2" t="s">
        <v>324</v>
      </c>
      <c r="AK366" s="2" t="s">
        <v>324</v>
      </c>
      <c r="AL366" s="2" t="s">
        <v>324</v>
      </c>
      <c r="AM366" s="2" t="s">
        <v>324</v>
      </c>
      <c r="AN366" s="2" t="s">
        <v>324</v>
      </c>
      <c r="AO366" s="2" t="s">
        <v>324</v>
      </c>
      <c r="AP366" s="2" t="s">
        <v>324</v>
      </c>
      <c r="AQ366" s="2" t="s">
        <v>324</v>
      </c>
      <c r="AR366" s="2" t="s">
        <v>324</v>
      </c>
      <c r="AT366" s="2" t="s">
        <v>716</v>
      </c>
      <c r="AV366" s="2" t="s">
        <v>713</v>
      </c>
    </row>
    <row r="367" spans="1:48">
      <c r="A367" s="335" t="s">
        <v>1723</v>
      </c>
      <c r="B367" s="2" t="s">
        <v>1723</v>
      </c>
      <c r="C367" s="2" t="s">
        <v>237</v>
      </c>
      <c r="D367" s="2" t="s">
        <v>819</v>
      </c>
      <c r="E367" s="2" t="s">
        <v>1724</v>
      </c>
      <c r="F367" s="2" t="s">
        <v>785</v>
      </c>
      <c r="G367" s="2" t="s">
        <v>324</v>
      </c>
      <c r="H367" s="2" t="s">
        <v>324</v>
      </c>
      <c r="I367" s="426">
        <v>19</v>
      </c>
      <c r="J367" s="426">
        <v>18</v>
      </c>
      <c r="N367" s="2" t="s">
        <v>324</v>
      </c>
      <c r="O367" s="2" t="s">
        <v>324</v>
      </c>
      <c r="P367" s="435" t="s">
        <v>2501</v>
      </c>
      <c r="Q367" s="435" t="s">
        <v>324</v>
      </c>
      <c r="R367" s="435" t="s">
        <v>324</v>
      </c>
      <c r="S367" s="2" t="s">
        <v>1725</v>
      </c>
      <c r="T367" s="2" t="s">
        <v>713</v>
      </c>
      <c r="U367" s="2">
        <v>70</v>
      </c>
      <c r="V367" s="2" cm="1">
        <f t="array" ref="V367">IFERROR(INDEX('Offer Statistics'!$FC$2:$FC$350,MATCH(1,($B367='Offer Statistics'!$EN$2:$EN$350)*($B$11='Offer Statistics'!$EO$2:$EO$350),0)),"/")</f>
        <v>177</v>
      </c>
      <c r="W367" s="2" cm="1">
        <f t="array" ref="W367">IFERROR(INDEX('Offer Statistics'!$EP$2:$EP$350,MATCH(1,($B367='Offer Statistics'!$EN$2:$EN$350)*($B$11='Offer Statistics'!$EO$2:$EO$350),0)),"/")</f>
        <v>370</v>
      </c>
      <c r="X367" s="2" cm="1">
        <f t="array" ref="X367">IFERROR(INDEX('Offer Statistics'!$EX$2:$EX$350,MATCH(1,($B367='Offer Statistics'!$EN$2:$EN$350)*($B$11='Offer Statistics'!$EO$2:$EO$350),0)),"/")</f>
        <v>93</v>
      </c>
      <c r="Y367" s="2">
        <f t="shared" si="381"/>
        <v>3.978494623655914</v>
      </c>
      <c r="Z367" s="2" t="s">
        <v>713</v>
      </c>
      <c r="AA367" s="2" t="str">
        <f>入學要求!AF376</f>
        <v>/</v>
      </c>
      <c r="AB367" s="2" t="str">
        <f>入學要求!AG376</f>
        <v>/</v>
      </c>
      <c r="AC367" s="2" t="s">
        <v>785</v>
      </c>
      <c r="AE367" s="435"/>
      <c r="AF367" s="435" t="s">
        <v>324</v>
      </c>
      <c r="AG367" s="435" t="s">
        <v>324</v>
      </c>
      <c r="AH367" s="435" t="s">
        <v>1575</v>
      </c>
      <c r="AI367" s="435" t="s">
        <v>324</v>
      </c>
      <c r="AJ367" s="2" t="s">
        <v>324</v>
      </c>
      <c r="AK367" s="2" t="s">
        <v>324</v>
      </c>
      <c r="AL367" s="2" t="s">
        <v>324</v>
      </c>
      <c r="AM367" s="2" t="s">
        <v>324</v>
      </c>
      <c r="AN367" s="2" t="s">
        <v>324</v>
      </c>
      <c r="AO367" s="2" t="s">
        <v>324</v>
      </c>
      <c r="AP367" s="2" t="s">
        <v>324</v>
      </c>
      <c r="AQ367" s="2" t="s">
        <v>324</v>
      </c>
      <c r="AR367" s="2" t="s">
        <v>324</v>
      </c>
      <c r="AT367" s="2" t="s">
        <v>716</v>
      </c>
      <c r="AV367" s="2" t="s">
        <v>713</v>
      </c>
    </row>
    <row r="368" spans="1:48">
      <c r="A368" s="335" t="s">
        <v>1726</v>
      </c>
      <c r="B368" s="2" t="s">
        <v>1726</v>
      </c>
      <c r="C368" s="2" t="s">
        <v>237</v>
      </c>
      <c r="D368" s="2" t="s">
        <v>819</v>
      </c>
      <c r="E368" s="2" t="s">
        <v>1727</v>
      </c>
      <c r="F368" s="2" t="s">
        <v>785</v>
      </c>
      <c r="G368" s="2" t="s">
        <v>324</v>
      </c>
      <c r="H368" s="2" t="s">
        <v>324</v>
      </c>
      <c r="I368" s="426">
        <v>16</v>
      </c>
      <c r="J368" s="426">
        <v>15</v>
      </c>
      <c r="N368" s="2" t="s">
        <v>324</v>
      </c>
      <c r="O368" s="2" t="s">
        <v>324</v>
      </c>
      <c r="P368" s="435" t="s">
        <v>324</v>
      </c>
      <c r="Q368" s="435" t="s">
        <v>324</v>
      </c>
      <c r="R368" s="435" t="s">
        <v>324</v>
      </c>
      <c r="S368" s="2" t="s">
        <v>2851</v>
      </c>
      <c r="T368" s="2" t="s">
        <v>713</v>
      </c>
      <c r="U368" s="2">
        <v>30</v>
      </c>
      <c r="V368" s="2" cm="1">
        <f t="array" ref="V368">IFERROR(INDEX('Offer Statistics'!$FC$2:$FC$350,MATCH(1,($B368='Offer Statistics'!$EN$2:$EN$350)*($B$11='Offer Statistics'!$EO$2:$EO$350),0)),"/")</f>
        <v>64</v>
      </c>
      <c r="W368" s="2" cm="1">
        <f t="array" ref="W368">IFERROR(INDEX('Offer Statistics'!$EP$2:$EP$350,MATCH(1,($B368='Offer Statistics'!$EN$2:$EN$350)*($B$11='Offer Statistics'!$EO$2:$EO$350),0)),"/")</f>
        <v>230</v>
      </c>
      <c r="X368" s="2" cm="1">
        <f t="array" ref="X368">IFERROR(INDEX('Offer Statistics'!$EX$2:$EX$350,MATCH(1,($B368='Offer Statistics'!$EN$2:$EN$350)*($B$11='Offer Statistics'!$EO$2:$EO$350),0)),"/")</f>
        <v>43</v>
      </c>
      <c r="Y368" s="2">
        <f t="shared" si="381"/>
        <v>5.3488372093023253</v>
      </c>
      <c r="Z368" s="2" t="s">
        <v>713</v>
      </c>
      <c r="AA368" s="2" t="str">
        <f>入學要求!AF377</f>
        <v>/</v>
      </c>
      <c r="AB368" s="2" t="str">
        <f>入學要求!AG377</f>
        <v>/</v>
      </c>
      <c r="AC368" s="2" t="s">
        <v>785</v>
      </c>
      <c r="AE368" s="435"/>
      <c r="AF368" s="435" t="s">
        <v>324</v>
      </c>
      <c r="AG368" s="435" t="s">
        <v>324</v>
      </c>
      <c r="AH368" s="435" t="s">
        <v>324</v>
      </c>
      <c r="AI368" s="435" t="s">
        <v>324</v>
      </c>
      <c r="AJ368" s="2" t="s">
        <v>324</v>
      </c>
      <c r="AK368" s="2" t="s">
        <v>324</v>
      </c>
      <c r="AL368" s="2" t="s">
        <v>324</v>
      </c>
      <c r="AM368" s="2" t="s">
        <v>324</v>
      </c>
      <c r="AN368" s="2" t="s">
        <v>324</v>
      </c>
      <c r="AO368" s="2" t="s">
        <v>324</v>
      </c>
      <c r="AP368" s="2" t="s">
        <v>324</v>
      </c>
      <c r="AQ368" s="2" t="s">
        <v>324</v>
      </c>
      <c r="AR368" s="2" t="s">
        <v>324</v>
      </c>
      <c r="AT368" s="2" t="s">
        <v>716</v>
      </c>
      <c r="AV368" s="2" t="s">
        <v>713</v>
      </c>
    </row>
    <row r="369" spans="1:48">
      <c r="A369" s="335" t="s">
        <v>1729</v>
      </c>
      <c r="B369" s="2" t="s">
        <v>1729</v>
      </c>
      <c r="C369" s="2" t="s">
        <v>237</v>
      </c>
      <c r="D369" s="2" t="s">
        <v>1730</v>
      </c>
      <c r="E369" s="2" t="s">
        <v>1731</v>
      </c>
      <c r="F369" s="2" t="s">
        <v>785</v>
      </c>
      <c r="G369" s="2" t="s">
        <v>324</v>
      </c>
      <c r="H369" s="2" t="s">
        <v>324</v>
      </c>
      <c r="I369" s="426">
        <v>17</v>
      </c>
      <c r="J369" s="426">
        <v>16</v>
      </c>
      <c r="N369" s="2" t="s">
        <v>324</v>
      </c>
      <c r="O369" s="2" t="s">
        <v>324</v>
      </c>
      <c r="P369" s="435" t="s">
        <v>324</v>
      </c>
      <c r="Q369" s="435" t="s">
        <v>324</v>
      </c>
      <c r="R369" s="435" t="s">
        <v>324</v>
      </c>
      <c r="S369" s="2" t="s">
        <v>2140</v>
      </c>
      <c r="T369" s="2" t="s">
        <v>713</v>
      </c>
      <c r="U369" s="2">
        <v>40</v>
      </c>
      <c r="V369" s="2" cm="1">
        <f t="array" ref="V369">IFERROR(INDEX('Offer Statistics'!$FC$2:$FC$350,MATCH(1,($B369='Offer Statistics'!$EN$2:$EN$350)*($B$11='Offer Statistics'!$EO$2:$EO$350),0)),"/")</f>
        <v>149</v>
      </c>
      <c r="W369" s="2" cm="1">
        <f t="array" ref="W369">IFERROR(INDEX('Offer Statistics'!$EP$2:$EP$350,MATCH(1,($B369='Offer Statistics'!$EN$2:$EN$350)*($B$11='Offer Statistics'!$EO$2:$EO$350),0)),"/")</f>
        <v>207</v>
      </c>
      <c r="X369" s="2" cm="1">
        <f t="array" ref="X369">IFERROR(INDEX('Offer Statistics'!$EX$2:$EX$350,MATCH(1,($B369='Offer Statistics'!$EN$2:$EN$350)*($B$11='Offer Statistics'!$EO$2:$EO$350),0)),"/")</f>
        <v>52</v>
      </c>
      <c r="Y369" s="2">
        <f t="shared" si="381"/>
        <v>3.9807692307692308</v>
      </c>
      <c r="Z369" s="2" t="s">
        <v>713</v>
      </c>
      <c r="AA369" s="2" t="str">
        <f>入學要求!AF378</f>
        <v>/</v>
      </c>
      <c r="AB369" s="2" t="str">
        <f>入學要求!AG378</f>
        <v>/</v>
      </c>
      <c r="AC369" s="2" t="s">
        <v>785</v>
      </c>
      <c r="AE369" s="435"/>
      <c r="AF369" s="435" t="s">
        <v>324</v>
      </c>
      <c r="AG369" s="435" t="s">
        <v>324</v>
      </c>
      <c r="AH369" s="435" t="s">
        <v>324</v>
      </c>
      <c r="AI369" s="435" t="s">
        <v>324</v>
      </c>
      <c r="AJ369" s="2" t="s">
        <v>324</v>
      </c>
      <c r="AK369" s="2" t="s">
        <v>324</v>
      </c>
      <c r="AL369" s="2" t="s">
        <v>324</v>
      </c>
      <c r="AM369" s="2" t="s">
        <v>324</v>
      </c>
      <c r="AN369" s="2" t="s">
        <v>324</v>
      </c>
      <c r="AO369" s="2" t="s">
        <v>324</v>
      </c>
      <c r="AP369" s="2" t="s">
        <v>324</v>
      </c>
      <c r="AQ369" s="2" t="s">
        <v>324</v>
      </c>
      <c r="AR369" s="2" t="s">
        <v>324</v>
      </c>
      <c r="AT369" s="2" t="s">
        <v>716</v>
      </c>
      <c r="AV369" s="2" t="s">
        <v>713</v>
      </c>
    </row>
    <row r="370" spans="1:48">
      <c r="A370" s="335" t="s">
        <v>1734</v>
      </c>
      <c r="B370" s="2" t="s">
        <v>1734</v>
      </c>
      <c r="C370" s="2" t="s">
        <v>237</v>
      </c>
      <c r="D370" s="2" t="s">
        <v>1730</v>
      </c>
      <c r="E370" s="2" t="s">
        <v>1735</v>
      </c>
      <c r="F370" s="2" t="s">
        <v>785</v>
      </c>
      <c r="G370" s="2" t="s">
        <v>324</v>
      </c>
      <c r="H370" s="2" t="s">
        <v>324</v>
      </c>
      <c r="I370" s="426">
        <v>16</v>
      </c>
      <c r="J370" s="426">
        <v>15</v>
      </c>
      <c r="N370" s="2" t="s">
        <v>324</v>
      </c>
      <c r="O370" s="2" t="s">
        <v>324</v>
      </c>
      <c r="P370" s="435" t="s">
        <v>324</v>
      </c>
      <c r="Q370" s="435" t="s">
        <v>324</v>
      </c>
      <c r="R370" s="435" t="s">
        <v>324</v>
      </c>
      <c r="S370" s="2" t="s">
        <v>2141</v>
      </c>
      <c r="T370" s="2" t="s">
        <v>713</v>
      </c>
      <c r="U370" s="2">
        <v>40</v>
      </c>
      <c r="V370" s="2" cm="1">
        <f t="array" ref="V370">IFERROR(INDEX('Offer Statistics'!$FC$2:$FC$350,MATCH(1,($B370='Offer Statistics'!$EN$2:$EN$350)*($B$11='Offer Statistics'!$EO$2:$EO$350),0)),"/")</f>
        <v>80</v>
      </c>
      <c r="W370" s="2" cm="1">
        <f t="array" ref="W370">IFERROR(INDEX('Offer Statistics'!$EP$2:$EP$350,MATCH(1,($B370='Offer Statistics'!$EN$2:$EN$350)*($B$11='Offer Statistics'!$EO$2:$EO$350),0)),"/")</f>
        <v>468</v>
      </c>
      <c r="X370" s="2" cm="1">
        <f t="array" ref="X370">IFERROR(INDEX('Offer Statistics'!$EX$2:$EX$350,MATCH(1,($B370='Offer Statistics'!$EN$2:$EN$350)*($B$11='Offer Statistics'!$EO$2:$EO$350),0)),"/")</f>
        <v>80</v>
      </c>
      <c r="Y370" s="2">
        <f t="shared" si="381"/>
        <v>5.85</v>
      </c>
      <c r="Z370" s="2" t="s">
        <v>713</v>
      </c>
      <c r="AA370" s="2" t="str">
        <f>入學要求!AF379</f>
        <v>/</v>
      </c>
      <c r="AB370" s="2" t="str">
        <f>入學要求!AG379</f>
        <v>/</v>
      </c>
      <c r="AC370" s="2" t="s">
        <v>785</v>
      </c>
      <c r="AE370" s="435"/>
      <c r="AF370" s="435" t="s">
        <v>324</v>
      </c>
      <c r="AG370" s="435" t="s">
        <v>324</v>
      </c>
      <c r="AH370" s="435" t="s">
        <v>324</v>
      </c>
      <c r="AI370" s="435" t="s">
        <v>324</v>
      </c>
      <c r="AJ370" s="2" t="s">
        <v>324</v>
      </c>
      <c r="AK370" s="2" t="s">
        <v>324</v>
      </c>
      <c r="AL370" s="2" t="s">
        <v>324</v>
      </c>
      <c r="AM370" s="2" t="s">
        <v>324</v>
      </c>
      <c r="AN370" s="2" t="s">
        <v>324</v>
      </c>
      <c r="AO370" s="2" t="s">
        <v>324</v>
      </c>
      <c r="AP370" s="2" t="s">
        <v>324</v>
      </c>
      <c r="AQ370" s="2" t="s">
        <v>324</v>
      </c>
      <c r="AR370" s="2" t="s">
        <v>324</v>
      </c>
      <c r="AT370" s="2" t="s">
        <v>716</v>
      </c>
      <c r="AV370" s="2" t="s">
        <v>713</v>
      </c>
    </row>
    <row r="371" spans="1:48">
      <c r="A371" s="335" t="s">
        <v>1737</v>
      </c>
      <c r="B371" s="2" t="s">
        <v>1737</v>
      </c>
      <c r="C371" s="2" t="s">
        <v>237</v>
      </c>
      <c r="D371" s="2" t="s">
        <v>1730</v>
      </c>
      <c r="E371" s="2" t="s">
        <v>1738</v>
      </c>
      <c r="F371" s="2" t="s">
        <v>785</v>
      </c>
      <c r="G371" s="2" t="s">
        <v>324</v>
      </c>
      <c r="H371" s="2" t="s">
        <v>324</v>
      </c>
      <c r="I371" s="426">
        <v>17</v>
      </c>
      <c r="J371" s="426">
        <v>16</v>
      </c>
      <c r="N371" s="2" t="s">
        <v>324</v>
      </c>
      <c r="O371" s="2" t="s">
        <v>324</v>
      </c>
      <c r="P371" s="435" t="s">
        <v>324</v>
      </c>
      <c r="Q371" s="435" t="s">
        <v>324</v>
      </c>
      <c r="R371" s="435" t="s">
        <v>324</v>
      </c>
      <c r="S371" s="2" t="s">
        <v>2142</v>
      </c>
      <c r="T371" s="2" t="s">
        <v>713</v>
      </c>
      <c r="U371" s="2">
        <v>10</v>
      </c>
      <c r="V371" s="2" cm="1">
        <f t="array" ref="V371">IFERROR(INDEX('Offer Statistics'!$FC$2:$FC$350,MATCH(1,($B371='Offer Statistics'!$EN$2:$EN$350)*($B$11='Offer Statistics'!$EO$2:$EO$350),0)),"/")</f>
        <v>110</v>
      </c>
      <c r="W371" s="2" cm="1">
        <f t="array" ref="W371">IFERROR(INDEX('Offer Statistics'!$EP$2:$EP$350,MATCH(1,($B371='Offer Statistics'!$EN$2:$EN$350)*($B$11='Offer Statistics'!$EO$2:$EO$350),0)),"/")</f>
        <v>145</v>
      </c>
      <c r="X371" s="2" cm="1">
        <f t="array" ref="X371">IFERROR(INDEX('Offer Statistics'!$EX$2:$EX$350,MATCH(1,($B371='Offer Statistics'!$EN$2:$EN$350)*($B$11='Offer Statistics'!$EO$2:$EO$350),0)),"/")</f>
        <v>46</v>
      </c>
      <c r="Y371" s="2">
        <f t="shared" si="381"/>
        <v>3.152173913043478</v>
      </c>
      <c r="Z371" s="2" t="s">
        <v>713</v>
      </c>
      <c r="AA371" s="2" t="str">
        <f>入學要求!AF380</f>
        <v>/</v>
      </c>
      <c r="AB371" s="2" t="str">
        <f>入學要求!AG380</f>
        <v>/</v>
      </c>
      <c r="AC371" s="2" t="s">
        <v>785</v>
      </c>
      <c r="AE371" s="435"/>
      <c r="AF371" s="435" t="s">
        <v>324</v>
      </c>
      <c r="AG371" s="435" t="s">
        <v>324</v>
      </c>
      <c r="AH371" s="435" t="s">
        <v>324</v>
      </c>
      <c r="AI371" s="435" t="s">
        <v>324</v>
      </c>
      <c r="AJ371" s="2" t="s">
        <v>324</v>
      </c>
      <c r="AK371" s="2" t="s">
        <v>324</v>
      </c>
      <c r="AL371" s="2" t="s">
        <v>324</v>
      </c>
      <c r="AM371" s="2" t="s">
        <v>324</v>
      </c>
      <c r="AN371" s="2" t="s">
        <v>324</v>
      </c>
      <c r="AO371" s="2" t="s">
        <v>324</v>
      </c>
      <c r="AP371" s="2" t="s">
        <v>324</v>
      </c>
      <c r="AQ371" s="2" t="s">
        <v>324</v>
      </c>
      <c r="AR371" s="2" t="s">
        <v>324</v>
      </c>
      <c r="AT371" s="2" t="s">
        <v>716</v>
      </c>
      <c r="AV371" s="2" t="s">
        <v>713</v>
      </c>
    </row>
    <row r="372" spans="1:48">
      <c r="A372" s="335" t="s">
        <v>1741</v>
      </c>
      <c r="B372" s="2" t="s">
        <v>1741</v>
      </c>
      <c r="C372" s="2" t="s">
        <v>237</v>
      </c>
      <c r="D372" s="2" t="s">
        <v>1730</v>
      </c>
      <c r="E372" s="2" t="s">
        <v>1742</v>
      </c>
      <c r="F372" s="2" t="s">
        <v>785</v>
      </c>
      <c r="G372" s="2" t="s">
        <v>324</v>
      </c>
      <c r="H372" s="2" t="s">
        <v>324</v>
      </c>
      <c r="I372" s="426">
        <v>16</v>
      </c>
      <c r="J372" s="426">
        <v>16</v>
      </c>
      <c r="N372" s="2" t="s">
        <v>324</v>
      </c>
      <c r="O372" s="2" t="s">
        <v>324</v>
      </c>
      <c r="P372" s="435" t="s">
        <v>324</v>
      </c>
      <c r="Q372" s="435" t="s">
        <v>324</v>
      </c>
      <c r="R372" s="435" t="s">
        <v>324</v>
      </c>
      <c r="S372" s="2" t="s">
        <v>1743</v>
      </c>
      <c r="T372" s="2" t="s">
        <v>713</v>
      </c>
      <c r="U372" s="2">
        <v>20</v>
      </c>
      <c r="V372" s="2" cm="1">
        <f t="array" ref="V372">IFERROR(INDEX('Offer Statistics'!$FC$2:$FC$350,MATCH(1,($B372='Offer Statistics'!$EN$2:$EN$350)*($B$11='Offer Statistics'!$EO$2:$EO$350),0)),"/")</f>
        <v>73</v>
      </c>
      <c r="W372" s="2" cm="1">
        <f t="array" ref="W372">IFERROR(INDEX('Offer Statistics'!$EP$2:$EP$350,MATCH(1,($B372='Offer Statistics'!$EN$2:$EN$350)*($B$11='Offer Statistics'!$EO$2:$EO$350),0)),"/")</f>
        <v>199</v>
      </c>
      <c r="X372" s="2" cm="1">
        <f t="array" ref="X372">IFERROR(INDEX('Offer Statistics'!$EX$2:$EX$350,MATCH(1,($B372='Offer Statistics'!$EN$2:$EN$350)*($B$11='Offer Statistics'!$EO$2:$EO$350),0)),"/")</f>
        <v>25</v>
      </c>
      <c r="Y372" s="2">
        <f t="shared" si="381"/>
        <v>7.96</v>
      </c>
      <c r="Z372" s="2" t="s">
        <v>713</v>
      </c>
      <c r="AA372" s="2" t="str">
        <f>入學要求!AF381</f>
        <v>/</v>
      </c>
      <c r="AB372" s="2" t="str">
        <f>入學要求!AG381</f>
        <v>/</v>
      </c>
      <c r="AC372" s="2" t="s">
        <v>785</v>
      </c>
      <c r="AE372" s="435"/>
      <c r="AF372" s="435" t="s">
        <v>324</v>
      </c>
      <c r="AG372" s="435" t="s">
        <v>324</v>
      </c>
      <c r="AH372" s="435" t="s">
        <v>324</v>
      </c>
      <c r="AI372" s="435" t="s">
        <v>324</v>
      </c>
      <c r="AJ372" s="2" t="s">
        <v>324</v>
      </c>
      <c r="AK372" s="2" t="s">
        <v>324</v>
      </c>
      <c r="AL372" s="2" t="s">
        <v>324</v>
      </c>
      <c r="AM372" s="2" t="s">
        <v>324</v>
      </c>
      <c r="AN372" s="2" t="s">
        <v>324</v>
      </c>
      <c r="AO372" s="2" t="s">
        <v>324</v>
      </c>
      <c r="AP372" s="2" t="s">
        <v>324</v>
      </c>
      <c r="AQ372" s="2" t="s">
        <v>324</v>
      </c>
      <c r="AR372" s="2" t="s">
        <v>324</v>
      </c>
      <c r="AT372" s="2" t="s">
        <v>716</v>
      </c>
      <c r="AV372" s="2" t="s">
        <v>713</v>
      </c>
    </row>
    <row r="373" spans="1:48">
      <c r="A373" s="335" t="s">
        <v>1744</v>
      </c>
      <c r="B373" s="2" t="s">
        <v>1744</v>
      </c>
      <c r="C373" s="2" t="s">
        <v>237</v>
      </c>
      <c r="D373" s="2" t="s">
        <v>1730</v>
      </c>
      <c r="E373" s="2" t="s">
        <v>1745</v>
      </c>
      <c r="F373" s="2" t="s">
        <v>785</v>
      </c>
      <c r="G373" s="2" t="s">
        <v>324</v>
      </c>
      <c r="H373" s="2" t="s">
        <v>324</v>
      </c>
      <c r="I373" s="426">
        <v>16</v>
      </c>
      <c r="J373" s="426">
        <v>15</v>
      </c>
      <c r="N373" s="2" t="s">
        <v>324</v>
      </c>
      <c r="O373" s="2" t="s">
        <v>324</v>
      </c>
      <c r="P373" s="435" t="s">
        <v>324</v>
      </c>
      <c r="Q373" s="435" t="s">
        <v>324</v>
      </c>
      <c r="R373" s="435" t="s">
        <v>324</v>
      </c>
      <c r="S373" s="2" t="s">
        <v>1746</v>
      </c>
      <c r="T373" s="2" t="s">
        <v>713</v>
      </c>
      <c r="U373" s="2">
        <v>20</v>
      </c>
      <c r="V373" s="2" cm="1">
        <f t="array" ref="V373">IFERROR(INDEX('Offer Statistics'!$FC$2:$FC$350,MATCH(1,($B373='Offer Statistics'!$EN$2:$EN$350)*($B$11='Offer Statistics'!$EO$2:$EO$350),0)),"/")</f>
        <v>80</v>
      </c>
      <c r="W373" s="2" cm="1">
        <f t="array" ref="W373">IFERROR(INDEX('Offer Statistics'!$EP$2:$EP$350,MATCH(1,($B373='Offer Statistics'!$EN$2:$EN$350)*($B$11='Offer Statistics'!$EO$2:$EO$350),0)),"/")</f>
        <v>207</v>
      </c>
      <c r="X373" s="2" cm="1">
        <f t="array" ref="X373">IFERROR(INDEX('Offer Statistics'!$EX$2:$EX$350,MATCH(1,($B373='Offer Statistics'!$EN$2:$EN$350)*($B$11='Offer Statistics'!$EO$2:$EO$350),0)),"/")</f>
        <v>49</v>
      </c>
      <c r="Y373" s="2">
        <f t="shared" si="381"/>
        <v>4.2244897959183669</v>
      </c>
      <c r="Z373" s="2" t="s">
        <v>713</v>
      </c>
      <c r="AA373" s="2" t="str">
        <f>入學要求!AF382</f>
        <v>/</v>
      </c>
      <c r="AB373" s="2" t="str">
        <f>入學要求!AG382</f>
        <v>/</v>
      </c>
      <c r="AC373" s="2" t="s">
        <v>785</v>
      </c>
      <c r="AE373" s="435"/>
      <c r="AF373" s="435" t="s">
        <v>324</v>
      </c>
      <c r="AG373" s="435" t="s">
        <v>324</v>
      </c>
      <c r="AH373" s="435" t="s">
        <v>324</v>
      </c>
      <c r="AI373" s="435" t="s">
        <v>324</v>
      </c>
      <c r="AJ373" s="2" t="s">
        <v>324</v>
      </c>
      <c r="AK373" s="2" t="s">
        <v>324</v>
      </c>
      <c r="AL373" s="2" t="s">
        <v>324</v>
      </c>
      <c r="AM373" s="2" t="s">
        <v>324</v>
      </c>
      <c r="AN373" s="2" t="s">
        <v>324</v>
      </c>
      <c r="AO373" s="2" t="s">
        <v>324</v>
      </c>
      <c r="AP373" s="2" t="s">
        <v>324</v>
      </c>
      <c r="AQ373" s="2" t="s">
        <v>324</v>
      </c>
      <c r="AR373" s="2" t="s">
        <v>324</v>
      </c>
      <c r="AT373" s="2" t="s">
        <v>716</v>
      </c>
      <c r="AV373" s="2" t="s">
        <v>713</v>
      </c>
    </row>
    <row r="374" spans="1:48">
      <c r="A374" s="335" t="s">
        <v>1997</v>
      </c>
      <c r="B374" s="2" t="s">
        <v>1997</v>
      </c>
      <c r="C374" s="2" t="s">
        <v>237</v>
      </c>
      <c r="D374" s="2" t="s">
        <v>1730</v>
      </c>
      <c r="E374" s="2" t="s">
        <v>2853</v>
      </c>
      <c r="F374" s="2" t="s">
        <v>2940</v>
      </c>
      <c r="G374" s="2" t="s">
        <v>324</v>
      </c>
      <c r="H374" s="2" t="s">
        <v>324</v>
      </c>
      <c r="I374" s="426" t="s">
        <v>324</v>
      </c>
      <c r="J374" s="426" t="s">
        <v>324</v>
      </c>
      <c r="N374" s="2" t="s">
        <v>324</v>
      </c>
      <c r="O374" s="2" t="s">
        <v>324</v>
      </c>
      <c r="P374" s="435" t="s">
        <v>324</v>
      </c>
      <c r="Q374" s="435" t="s">
        <v>324</v>
      </c>
      <c r="R374" s="435" t="s">
        <v>324</v>
      </c>
      <c r="S374" s="2" t="s">
        <v>2852</v>
      </c>
      <c r="T374" s="2" t="s">
        <v>713</v>
      </c>
      <c r="U374" s="2">
        <v>20</v>
      </c>
      <c r="V374" s="2" t="str" cm="1">
        <f t="array" ref="V374">IFERROR(INDEX('Offer Statistics'!$FC$2:$FC$350,MATCH(1,($B374='Offer Statistics'!$EN$2:$EN$350)*($B$11='Offer Statistics'!$EO$2:$EO$350),0)),"/")</f>
        <v>/</v>
      </c>
      <c r="W374" s="2" t="str" cm="1">
        <f t="array" ref="W374">IFERROR(INDEX('Offer Statistics'!$EP$2:$EP$350,MATCH(1,($B374='Offer Statistics'!$EN$2:$EN$350)*($B$11='Offer Statistics'!$EO$2:$EO$350),0)),"/")</f>
        <v>/</v>
      </c>
      <c r="X374" s="2" t="str" cm="1">
        <f t="array" ref="X374">IFERROR(INDEX('Offer Statistics'!$EX$2:$EX$350,MATCH(1,($B374='Offer Statistics'!$EN$2:$EN$350)*($B$11='Offer Statistics'!$EO$2:$EO$350),0)),"/")</f>
        <v>/</v>
      </c>
      <c r="Y374" s="2" t="str">
        <f t="shared" si="381"/>
        <v>新科目</v>
      </c>
      <c r="Z374" s="2" t="s">
        <v>713</v>
      </c>
      <c r="AA374" s="2" t="str">
        <f>入學要求!AF383</f>
        <v>/</v>
      </c>
      <c r="AB374" s="2" t="str">
        <f>入學要求!AG383</f>
        <v>/</v>
      </c>
      <c r="AC374" s="2" t="s">
        <v>785</v>
      </c>
      <c r="AE374" s="435"/>
      <c r="AF374" s="435"/>
      <c r="AG374" s="435"/>
      <c r="AH374" s="435"/>
      <c r="AI374" s="435"/>
      <c r="AT374" s="2" t="s">
        <v>716</v>
      </c>
      <c r="AV374" s="2" t="s">
        <v>713</v>
      </c>
    </row>
    <row r="375" spans="1:48">
      <c r="A375" s="335" t="s">
        <v>1747</v>
      </c>
      <c r="B375" s="2" t="s">
        <v>1747</v>
      </c>
      <c r="C375" s="2" t="s">
        <v>237</v>
      </c>
      <c r="D375" s="2" t="s">
        <v>1730</v>
      </c>
      <c r="E375" s="2" t="s">
        <v>1748</v>
      </c>
      <c r="F375" s="2" t="s">
        <v>785</v>
      </c>
      <c r="G375" s="2" t="s">
        <v>324</v>
      </c>
      <c r="H375" s="2" t="s">
        <v>324</v>
      </c>
      <c r="I375" s="426">
        <v>15</v>
      </c>
      <c r="J375" s="426">
        <v>14</v>
      </c>
      <c r="N375" s="2" t="s">
        <v>324</v>
      </c>
      <c r="O375" s="2" t="s">
        <v>324</v>
      </c>
      <c r="P375" s="435" t="s">
        <v>324</v>
      </c>
      <c r="Q375" s="435" t="s">
        <v>324</v>
      </c>
      <c r="R375" s="435" t="s">
        <v>324</v>
      </c>
      <c r="S375" s="2" t="s">
        <v>1749</v>
      </c>
      <c r="T375" s="2" t="s">
        <v>713</v>
      </c>
      <c r="U375" s="2">
        <v>25</v>
      </c>
      <c r="V375" s="2" cm="1">
        <f t="array" ref="V375">IFERROR(INDEX('Offer Statistics'!$FC$2:$FC$350,MATCH(1,($B375='Offer Statistics'!$EN$2:$EN$350)*($B$11='Offer Statistics'!$EO$2:$EO$350),0)),"/")</f>
        <v>84</v>
      </c>
      <c r="W375" s="2" cm="1">
        <f t="array" ref="W375">IFERROR(INDEX('Offer Statistics'!$EP$2:$EP$350,MATCH(1,($B375='Offer Statistics'!$EN$2:$EN$350)*($B$11='Offer Statistics'!$EO$2:$EO$350),0)),"/")</f>
        <v>237</v>
      </c>
      <c r="X375" s="2" cm="1">
        <f t="array" ref="X375">IFERROR(INDEX('Offer Statistics'!$EX$2:$EX$350,MATCH(1,($B375='Offer Statistics'!$EN$2:$EN$350)*($B$11='Offer Statistics'!$EO$2:$EO$350),0)),"/")</f>
        <v>35</v>
      </c>
      <c r="Y375" s="2">
        <f t="shared" si="381"/>
        <v>6.7714285714285714</v>
      </c>
      <c r="Z375" s="2" t="s">
        <v>713</v>
      </c>
      <c r="AA375" s="2" t="str">
        <f>入學要求!AF384</f>
        <v>/</v>
      </c>
      <c r="AB375" s="2" t="str">
        <f>入學要求!AG384</f>
        <v>/</v>
      </c>
      <c r="AC375" s="2" t="s">
        <v>785</v>
      </c>
      <c r="AE375" s="435"/>
      <c r="AF375" s="435" t="s">
        <v>324</v>
      </c>
      <c r="AG375" s="435" t="s">
        <v>324</v>
      </c>
      <c r="AH375" s="435" t="s">
        <v>324</v>
      </c>
      <c r="AI375" s="435" t="s">
        <v>324</v>
      </c>
      <c r="AJ375" s="2" t="s">
        <v>324</v>
      </c>
      <c r="AK375" s="2" t="s">
        <v>324</v>
      </c>
      <c r="AL375" s="2" t="s">
        <v>324</v>
      </c>
      <c r="AM375" s="2" t="s">
        <v>324</v>
      </c>
      <c r="AN375" s="2" t="s">
        <v>324</v>
      </c>
      <c r="AO375" s="2" t="s">
        <v>324</v>
      </c>
      <c r="AP375" s="2" t="s">
        <v>324</v>
      </c>
      <c r="AQ375" s="2" t="s">
        <v>324</v>
      </c>
      <c r="AR375" s="2" t="s">
        <v>324</v>
      </c>
      <c r="AT375" s="2" t="s">
        <v>716</v>
      </c>
      <c r="AV375" s="2" t="s">
        <v>713</v>
      </c>
    </row>
    <row r="376" spans="1:48">
      <c r="A376" s="335" t="s">
        <v>1750</v>
      </c>
      <c r="B376" s="2" t="s">
        <v>1750</v>
      </c>
      <c r="C376" s="2" t="s">
        <v>237</v>
      </c>
      <c r="D376" s="2" t="s">
        <v>1730</v>
      </c>
      <c r="E376" s="2" t="s">
        <v>1751</v>
      </c>
      <c r="F376" s="2" t="s">
        <v>785</v>
      </c>
      <c r="G376" s="2" t="s">
        <v>324</v>
      </c>
      <c r="H376" s="2" t="s">
        <v>324</v>
      </c>
      <c r="I376" s="426">
        <v>16</v>
      </c>
      <c r="J376" s="426">
        <v>14</v>
      </c>
      <c r="N376" s="2" t="s">
        <v>324</v>
      </c>
      <c r="O376" s="2" t="s">
        <v>324</v>
      </c>
      <c r="P376" s="435" t="s">
        <v>324</v>
      </c>
      <c r="Q376" s="435" t="s">
        <v>324</v>
      </c>
      <c r="R376" s="435" t="s">
        <v>324</v>
      </c>
      <c r="S376" s="2" t="s">
        <v>2144</v>
      </c>
      <c r="T376" s="2" t="s">
        <v>713</v>
      </c>
      <c r="U376" s="2">
        <v>25</v>
      </c>
      <c r="V376" s="2" cm="1">
        <f t="array" ref="V376">IFERROR(INDEX('Offer Statistics'!$FC$2:$FC$350,MATCH(1,($B376='Offer Statistics'!$EN$2:$EN$350)*($B$11='Offer Statistics'!$EO$2:$EO$350),0)),"/")</f>
        <v>106</v>
      </c>
      <c r="W376" s="2" cm="1">
        <f t="array" ref="W376">IFERROR(INDEX('Offer Statistics'!$EP$2:$EP$350,MATCH(1,($B376='Offer Statistics'!$EN$2:$EN$350)*($B$11='Offer Statistics'!$EO$2:$EO$350),0)),"/")</f>
        <v>590</v>
      </c>
      <c r="X376" s="2" cm="1">
        <f t="array" ref="X376">IFERROR(INDEX('Offer Statistics'!$EX$2:$EX$350,MATCH(1,($B376='Offer Statistics'!$EN$2:$EN$350)*($B$11='Offer Statistics'!$EO$2:$EO$350),0)),"/")</f>
        <v>65</v>
      </c>
      <c r="Y376" s="2">
        <f t="shared" si="381"/>
        <v>9.0769230769230766</v>
      </c>
      <c r="Z376" s="2" t="s">
        <v>713</v>
      </c>
      <c r="AA376" s="2" t="str">
        <f>入學要求!AF385</f>
        <v>/</v>
      </c>
      <c r="AB376" s="2" t="str">
        <f>入學要求!AG385</f>
        <v>/</v>
      </c>
      <c r="AC376" s="2" t="s">
        <v>785</v>
      </c>
      <c r="AE376" s="435"/>
      <c r="AF376" s="435" t="s">
        <v>324</v>
      </c>
      <c r="AG376" s="435" t="s">
        <v>324</v>
      </c>
      <c r="AH376" s="435" t="s">
        <v>324</v>
      </c>
      <c r="AI376" s="435" t="s">
        <v>324</v>
      </c>
      <c r="AJ376" s="2" t="s">
        <v>324</v>
      </c>
      <c r="AK376" s="2" t="s">
        <v>324</v>
      </c>
      <c r="AL376" s="2" t="s">
        <v>324</v>
      </c>
      <c r="AM376" s="2" t="s">
        <v>324</v>
      </c>
      <c r="AN376" s="2" t="s">
        <v>324</v>
      </c>
      <c r="AO376" s="2" t="s">
        <v>324</v>
      </c>
      <c r="AP376" s="2" t="s">
        <v>324</v>
      </c>
      <c r="AQ376" s="2" t="s">
        <v>324</v>
      </c>
      <c r="AR376" s="2" t="s">
        <v>324</v>
      </c>
      <c r="AT376" s="2" t="s">
        <v>716</v>
      </c>
      <c r="AV376" s="2" t="s">
        <v>713</v>
      </c>
    </row>
    <row r="377" spans="1:48">
      <c r="A377" s="335" t="s">
        <v>1753</v>
      </c>
      <c r="B377" s="2" t="s">
        <v>1753</v>
      </c>
      <c r="C377" s="2" t="s">
        <v>237</v>
      </c>
      <c r="D377" s="2" t="s">
        <v>1730</v>
      </c>
      <c r="E377" s="2" t="s">
        <v>1754</v>
      </c>
      <c r="F377" s="2" t="s">
        <v>785</v>
      </c>
      <c r="G377" s="2" t="s">
        <v>324</v>
      </c>
      <c r="H377" s="2" t="s">
        <v>324</v>
      </c>
      <c r="I377" s="426">
        <v>17</v>
      </c>
      <c r="J377" s="426">
        <v>15</v>
      </c>
      <c r="N377" s="2" t="s">
        <v>324</v>
      </c>
      <c r="O377" s="2" t="s">
        <v>324</v>
      </c>
      <c r="P377" s="435" t="s">
        <v>324</v>
      </c>
      <c r="Q377" s="435" t="s">
        <v>324</v>
      </c>
      <c r="R377" s="435" t="s">
        <v>324</v>
      </c>
      <c r="S377" s="2" t="s">
        <v>2146</v>
      </c>
      <c r="T377" s="2" t="s">
        <v>713</v>
      </c>
      <c r="U377" s="2">
        <v>25</v>
      </c>
      <c r="V377" s="2" cm="1">
        <f t="array" ref="V377">IFERROR(INDEX('Offer Statistics'!$FC$2:$FC$350,MATCH(1,($B377='Offer Statistics'!$EN$2:$EN$350)*($B$11='Offer Statistics'!$EO$2:$EO$350),0)),"/")</f>
        <v>66</v>
      </c>
      <c r="W377" s="2" cm="1">
        <f t="array" ref="W377">IFERROR(INDEX('Offer Statistics'!$EP$2:$EP$350,MATCH(1,($B377='Offer Statistics'!$EN$2:$EN$350)*($B$11='Offer Statistics'!$EO$2:$EO$350),0)),"/")</f>
        <v>245</v>
      </c>
      <c r="X377" s="2" cm="1">
        <f t="array" ref="X377">IFERROR(INDEX('Offer Statistics'!$EX$2:$EX$350,MATCH(1,($B377='Offer Statistics'!$EN$2:$EN$350)*($B$11='Offer Statistics'!$EO$2:$EO$350),0)),"/")</f>
        <v>20</v>
      </c>
      <c r="Y377" s="2">
        <f t="shared" si="381"/>
        <v>12.25</v>
      </c>
      <c r="Z377" s="2" t="s">
        <v>713</v>
      </c>
      <c r="AA377" s="2" t="str">
        <f>入學要求!AF386</f>
        <v>/</v>
      </c>
      <c r="AB377" s="2" t="str">
        <f>入學要求!AG386</f>
        <v>/</v>
      </c>
      <c r="AC377" s="2" t="s">
        <v>785</v>
      </c>
      <c r="AE377" s="435"/>
      <c r="AF377" s="435" t="s">
        <v>324</v>
      </c>
      <c r="AG377" s="435" t="s">
        <v>324</v>
      </c>
      <c r="AH377" s="435" t="s">
        <v>324</v>
      </c>
      <c r="AI377" s="435" t="s">
        <v>324</v>
      </c>
      <c r="AJ377" s="2" t="s">
        <v>324</v>
      </c>
      <c r="AK377" s="2" t="s">
        <v>324</v>
      </c>
      <c r="AL377" s="2" t="s">
        <v>324</v>
      </c>
      <c r="AM377" s="2" t="s">
        <v>324</v>
      </c>
      <c r="AN377" s="2" t="s">
        <v>324</v>
      </c>
      <c r="AO377" s="2" t="s">
        <v>324</v>
      </c>
      <c r="AP377" s="2" t="s">
        <v>324</v>
      </c>
      <c r="AQ377" s="2" t="s">
        <v>324</v>
      </c>
      <c r="AR377" s="2" t="s">
        <v>324</v>
      </c>
      <c r="AT377" s="2" t="s">
        <v>716</v>
      </c>
      <c r="AV377" s="2" t="s">
        <v>713</v>
      </c>
    </row>
    <row r="378" spans="1:48">
      <c r="A378" s="335" t="s">
        <v>2147</v>
      </c>
      <c r="B378" s="2" t="s">
        <v>2147</v>
      </c>
      <c r="C378" s="2" t="s">
        <v>237</v>
      </c>
      <c r="D378" s="2" t="s">
        <v>1757</v>
      </c>
      <c r="E378" s="2" t="s">
        <v>2149</v>
      </c>
      <c r="F378" s="2" t="s">
        <v>785</v>
      </c>
      <c r="G378" s="2" t="s">
        <v>324</v>
      </c>
      <c r="H378" s="2" t="s">
        <v>324</v>
      </c>
      <c r="I378" s="426">
        <v>20</v>
      </c>
      <c r="J378" s="426">
        <v>18</v>
      </c>
      <c r="N378" s="2" t="s">
        <v>324</v>
      </c>
      <c r="O378" s="2" t="s">
        <v>324</v>
      </c>
      <c r="P378" s="435" t="s">
        <v>324</v>
      </c>
      <c r="Q378" s="435" t="s">
        <v>324</v>
      </c>
      <c r="R378" s="435" t="s">
        <v>324</v>
      </c>
      <c r="S378" s="2" t="s">
        <v>2148</v>
      </c>
      <c r="T378" s="2" t="s">
        <v>713</v>
      </c>
      <c r="U378" s="2">
        <v>30</v>
      </c>
      <c r="V378" s="2" cm="1">
        <f t="array" ref="V378">IFERROR(INDEX('Offer Statistics'!$FC$2:$FC$350,MATCH(1,($B378='Offer Statistics'!$EN$2:$EN$350)*($B$11='Offer Statistics'!$EO$2:$EO$350),0)),"/")</f>
        <v>25</v>
      </c>
      <c r="W378" s="2" cm="1">
        <f t="array" ref="W378">IFERROR(INDEX('Offer Statistics'!$EP$2:$EP$350,MATCH(1,($B378='Offer Statistics'!$EN$2:$EN$350)*($B$11='Offer Statistics'!$EO$2:$EO$350),0)),"/")</f>
        <v>165</v>
      </c>
      <c r="X378" s="2" cm="1">
        <f t="array" ref="X378">IFERROR(INDEX('Offer Statistics'!$EX$2:$EX$350,MATCH(1,($B378='Offer Statistics'!$EN$2:$EN$350)*($B$11='Offer Statistics'!$EO$2:$EO$350),0)),"/")</f>
        <v>20</v>
      </c>
      <c r="Y378" s="2">
        <f t="shared" si="381"/>
        <v>8.25</v>
      </c>
      <c r="Z378" s="2" t="s">
        <v>713</v>
      </c>
      <c r="AA378" s="2" t="str">
        <f>入學要求!AF387</f>
        <v>/</v>
      </c>
      <c r="AB378" s="2" t="str">
        <f>入學要求!AG387</f>
        <v>/</v>
      </c>
      <c r="AC378" s="2" t="s">
        <v>785</v>
      </c>
      <c r="AE378" s="435"/>
      <c r="AF378" s="435" t="s">
        <v>324</v>
      </c>
      <c r="AG378" s="435" t="s">
        <v>324</v>
      </c>
      <c r="AH378" s="435" t="s">
        <v>324</v>
      </c>
      <c r="AI378" s="435" t="s">
        <v>324</v>
      </c>
      <c r="AK378" s="2" t="s">
        <v>324</v>
      </c>
      <c r="AL378" s="2" t="s">
        <v>324</v>
      </c>
      <c r="AM378" s="2" t="s">
        <v>324</v>
      </c>
      <c r="AN378" s="2" t="s">
        <v>324</v>
      </c>
      <c r="AO378" s="2" t="s">
        <v>324</v>
      </c>
      <c r="AP378" s="2" t="s">
        <v>324</v>
      </c>
      <c r="AQ378" s="2" t="s">
        <v>324</v>
      </c>
      <c r="AR378" s="2" t="s">
        <v>324</v>
      </c>
      <c r="AT378" s="2" t="s">
        <v>716</v>
      </c>
      <c r="AV378" s="2" t="s">
        <v>713</v>
      </c>
    </row>
    <row r="379" spans="1:48">
      <c r="A379" s="335" t="s">
        <v>1756</v>
      </c>
      <c r="B379" s="2" t="s">
        <v>1756</v>
      </c>
      <c r="C379" s="2" t="s">
        <v>237</v>
      </c>
      <c r="D379" s="2" t="s">
        <v>1757</v>
      </c>
      <c r="E379" s="2" t="s">
        <v>1758</v>
      </c>
      <c r="F379" s="2" t="s">
        <v>785</v>
      </c>
      <c r="G379" s="2" t="s">
        <v>324</v>
      </c>
      <c r="H379" s="2" t="s">
        <v>324</v>
      </c>
      <c r="I379" s="426">
        <v>20</v>
      </c>
      <c r="J379" s="426">
        <v>19</v>
      </c>
      <c r="N379" s="2" t="s">
        <v>324</v>
      </c>
      <c r="O379" s="2" t="s">
        <v>324</v>
      </c>
      <c r="P379" s="435" t="s">
        <v>770</v>
      </c>
      <c r="Q379" s="435" t="s">
        <v>324</v>
      </c>
      <c r="R379" s="435" t="s">
        <v>324</v>
      </c>
      <c r="S379" s="2" t="s">
        <v>1759</v>
      </c>
      <c r="T379" s="2" t="s">
        <v>713</v>
      </c>
      <c r="U379" s="2">
        <v>30</v>
      </c>
      <c r="V379" s="2" cm="1">
        <f t="array" ref="V379">IFERROR(INDEX('Offer Statistics'!$FC$2:$FC$350,MATCH(1,($B379='Offer Statistics'!$EN$2:$EN$350)*($B$11='Offer Statistics'!$EO$2:$EO$350),0)),"/")</f>
        <v>36</v>
      </c>
      <c r="W379" s="2" cm="1">
        <f t="array" ref="W379">IFERROR(INDEX('Offer Statistics'!$EP$2:$EP$350,MATCH(1,($B379='Offer Statistics'!$EN$2:$EN$350)*($B$11='Offer Statistics'!$EO$2:$EO$350),0)),"/")</f>
        <v>142</v>
      </c>
      <c r="X379" s="2" cm="1">
        <f t="array" ref="X379">IFERROR(INDEX('Offer Statistics'!$EX$2:$EX$350,MATCH(1,($B379='Offer Statistics'!$EN$2:$EN$350)*($B$11='Offer Statistics'!$EO$2:$EO$350),0)),"/")</f>
        <v>31</v>
      </c>
      <c r="Y379" s="2">
        <f t="shared" si="381"/>
        <v>4.580645161290323</v>
      </c>
      <c r="Z379" s="2" t="s">
        <v>713</v>
      </c>
      <c r="AA379" s="2" t="str">
        <f>入學要求!AF388</f>
        <v>/</v>
      </c>
      <c r="AB379" s="2" t="str">
        <f>入學要求!AG388</f>
        <v>/</v>
      </c>
      <c r="AC379" s="2" t="s">
        <v>785</v>
      </c>
      <c r="AE379" s="435"/>
      <c r="AF379" s="435" t="s">
        <v>324</v>
      </c>
      <c r="AG379" s="435" t="s">
        <v>324</v>
      </c>
      <c r="AH379" s="435" t="s">
        <v>770</v>
      </c>
      <c r="AI379" s="435" t="s">
        <v>324</v>
      </c>
      <c r="AJ379" s="2" t="s">
        <v>324</v>
      </c>
      <c r="AK379" s="2" t="s">
        <v>324</v>
      </c>
      <c r="AL379" s="2" t="s">
        <v>324</v>
      </c>
      <c r="AM379" s="2" t="s">
        <v>324</v>
      </c>
      <c r="AN379" s="2" t="s">
        <v>324</v>
      </c>
      <c r="AO379" s="2" t="s">
        <v>324</v>
      </c>
      <c r="AP379" s="2" t="s">
        <v>324</v>
      </c>
      <c r="AQ379" s="2" t="s">
        <v>324</v>
      </c>
      <c r="AR379" s="2" t="s">
        <v>324</v>
      </c>
      <c r="AT379" s="2" t="s">
        <v>716</v>
      </c>
      <c r="AV379" s="2" t="s">
        <v>713</v>
      </c>
    </row>
    <row r="380" spans="1:48">
      <c r="A380" s="335" t="s">
        <v>1760</v>
      </c>
      <c r="B380" s="2" t="s">
        <v>1760</v>
      </c>
      <c r="C380" s="2" t="s">
        <v>237</v>
      </c>
      <c r="D380" s="2" t="s">
        <v>1757</v>
      </c>
      <c r="E380" s="2" t="s">
        <v>1761</v>
      </c>
      <c r="F380" s="2" t="s">
        <v>785</v>
      </c>
      <c r="G380" s="2" t="s">
        <v>324</v>
      </c>
      <c r="H380" s="2" t="s">
        <v>324</v>
      </c>
      <c r="I380" s="426">
        <v>19</v>
      </c>
      <c r="J380" s="426">
        <v>17</v>
      </c>
      <c r="N380" s="2" t="s">
        <v>324</v>
      </c>
      <c r="O380" s="2" t="s">
        <v>324</v>
      </c>
      <c r="P380" s="435" t="s">
        <v>770</v>
      </c>
      <c r="Q380" s="435" t="s">
        <v>324</v>
      </c>
      <c r="R380" s="435" t="s">
        <v>324</v>
      </c>
      <c r="S380" s="2" t="s">
        <v>1762</v>
      </c>
      <c r="T380" s="2" t="s">
        <v>713</v>
      </c>
      <c r="U380" s="2">
        <v>20</v>
      </c>
      <c r="V380" s="2" cm="1">
        <f t="array" ref="V380">IFERROR(INDEX('Offer Statistics'!$FC$2:$FC$350,MATCH(1,($B380='Offer Statistics'!$EN$2:$EN$350)*($B$11='Offer Statistics'!$EO$2:$EO$350),0)),"/")</f>
        <v>33</v>
      </c>
      <c r="W380" s="2" cm="1">
        <f t="array" ref="W380">IFERROR(INDEX('Offer Statistics'!$EP$2:$EP$350,MATCH(1,($B380='Offer Statistics'!$EN$2:$EN$350)*($B$11='Offer Statistics'!$EO$2:$EO$350),0)),"/")</f>
        <v>52</v>
      </c>
      <c r="X380" s="2" cm="1">
        <f t="array" ref="X380">IFERROR(INDEX('Offer Statistics'!$EX$2:$EX$350,MATCH(1,($B380='Offer Statistics'!$EN$2:$EN$350)*($B$11='Offer Statistics'!$EO$2:$EO$350),0)),"/")</f>
        <v>11</v>
      </c>
      <c r="Y380" s="2">
        <f t="shared" si="381"/>
        <v>4.7272727272727275</v>
      </c>
      <c r="Z380" s="2" t="s">
        <v>713</v>
      </c>
      <c r="AA380" s="2" t="str">
        <f>入學要求!AF389</f>
        <v>/</v>
      </c>
      <c r="AB380" s="2" t="str">
        <f>入學要求!AG389</f>
        <v>/</v>
      </c>
      <c r="AC380" s="2" t="s">
        <v>785</v>
      </c>
      <c r="AE380" s="435"/>
      <c r="AF380" s="435" t="s">
        <v>324</v>
      </c>
      <c r="AG380" s="435" t="s">
        <v>324</v>
      </c>
      <c r="AH380" s="435" t="s">
        <v>770</v>
      </c>
      <c r="AI380" s="435" t="s">
        <v>324</v>
      </c>
      <c r="AJ380" s="2" t="s">
        <v>324</v>
      </c>
      <c r="AK380" s="2" t="s">
        <v>324</v>
      </c>
      <c r="AL380" s="2" t="s">
        <v>324</v>
      </c>
      <c r="AM380" s="2" t="s">
        <v>324</v>
      </c>
      <c r="AN380" s="2" t="s">
        <v>324</v>
      </c>
      <c r="AO380" s="2" t="s">
        <v>324</v>
      </c>
      <c r="AP380" s="2" t="s">
        <v>324</v>
      </c>
      <c r="AQ380" s="2" t="s">
        <v>324</v>
      </c>
      <c r="AR380" s="2" t="s">
        <v>324</v>
      </c>
      <c r="AT380" s="2" t="s">
        <v>716</v>
      </c>
      <c r="AV380" s="2" t="s">
        <v>713</v>
      </c>
    </row>
    <row r="381" spans="1:48">
      <c r="A381" s="335" t="s">
        <v>1763</v>
      </c>
      <c r="B381" s="2" t="s">
        <v>1763</v>
      </c>
      <c r="C381" s="2" t="s">
        <v>237</v>
      </c>
      <c r="D381" s="2" t="s">
        <v>1757</v>
      </c>
      <c r="E381" s="2" t="s">
        <v>1764</v>
      </c>
      <c r="F381" s="2" t="s">
        <v>785</v>
      </c>
      <c r="G381" s="2" t="s">
        <v>324</v>
      </c>
      <c r="H381" s="2" t="s">
        <v>324</v>
      </c>
      <c r="I381" s="426">
        <v>19</v>
      </c>
      <c r="J381" s="426">
        <v>19</v>
      </c>
      <c r="N381" s="2" t="s">
        <v>324</v>
      </c>
      <c r="O381" s="2" t="s">
        <v>324</v>
      </c>
      <c r="P381" s="435" t="s">
        <v>2520</v>
      </c>
      <c r="Q381" s="435" t="s">
        <v>324</v>
      </c>
      <c r="R381" s="435" t="s">
        <v>324</v>
      </c>
      <c r="S381" s="2" t="s">
        <v>2854</v>
      </c>
      <c r="T381" s="2" t="s">
        <v>713</v>
      </c>
      <c r="U381" s="2">
        <v>20</v>
      </c>
      <c r="V381" s="2" cm="1">
        <f t="array" ref="V381">IFERROR(INDEX('Offer Statistics'!$FC$2:$FC$350,MATCH(1,($B381='Offer Statistics'!$EN$2:$EN$350)*($B$11='Offer Statistics'!$EO$2:$EO$350),0)),"/")</f>
        <v>21</v>
      </c>
      <c r="W381" s="2" cm="1">
        <f t="array" ref="W381">IFERROR(INDEX('Offer Statistics'!$EP$2:$EP$350,MATCH(1,($B381='Offer Statistics'!$EN$2:$EN$350)*($B$11='Offer Statistics'!$EO$2:$EO$350),0)),"/")</f>
        <v>36</v>
      </c>
      <c r="X381" s="2" cm="1">
        <f t="array" ref="X381">IFERROR(INDEX('Offer Statistics'!$EX$2:$EX$350,MATCH(1,($B381='Offer Statistics'!$EN$2:$EN$350)*($B$11='Offer Statistics'!$EO$2:$EO$350),0)),"/")</f>
        <v>3</v>
      </c>
      <c r="Y381" s="2">
        <f t="shared" si="381"/>
        <v>12</v>
      </c>
      <c r="Z381" s="2" t="s">
        <v>713</v>
      </c>
      <c r="AA381" s="2" t="str">
        <f>入學要求!AF390</f>
        <v>/</v>
      </c>
      <c r="AB381" s="2" t="str">
        <f>入學要求!AG390</f>
        <v>/</v>
      </c>
      <c r="AC381" s="2" t="s">
        <v>785</v>
      </c>
      <c r="AE381" s="435"/>
      <c r="AF381" s="435" t="s">
        <v>324</v>
      </c>
      <c r="AG381" s="435" t="s">
        <v>324</v>
      </c>
      <c r="AH381" s="435" t="s">
        <v>1765</v>
      </c>
      <c r="AI381" s="435" t="s">
        <v>324</v>
      </c>
      <c r="AJ381" s="2" t="s">
        <v>324</v>
      </c>
      <c r="AK381" s="2" t="s">
        <v>324</v>
      </c>
      <c r="AL381" s="2" t="s">
        <v>324</v>
      </c>
      <c r="AM381" s="2" t="s">
        <v>324</v>
      </c>
      <c r="AN381" s="2" t="s">
        <v>324</v>
      </c>
      <c r="AO381" s="2" t="s">
        <v>324</v>
      </c>
      <c r="AP381" s="2" t="s">
        <v>324</v>
      </c>
      <c r="AQ381" s="2" t="s">
        <v>324</v>
      </c>
      <c r="AR381" s="2" t="s">
        <v>324</v>
      </c>
      <c r="AT381" s="2" t="s">
        <v>716</v>
      </c>
      <c r="AV381" s="2" t="s">
        <v>713</v>
      </c>
    </row>
    <row r="382" spans="1:48">
      <c r="A382" s="335" t="s">
        <v>2855</v>
      </c>
      <c r="B382" s="2" t="s">
        <v>2855</v>
      </c>
      <c r="C382" s="2" t="s">
        <v>237</v>
      </c>
      <c r="D382" s="2" t="s">
        <v>1757</v>
      </c>
      <c r="E382" s="2" t="s">
        <v>2857</v>
      </c>
      <c r="F382" s="2" t="s">
        <v>2940</v>
      </c>
      <c r="G382" s="2" t="s">
        <v>324</v>
      </c>
      <c r="H382" s="2" t="s">
        <v>324</v>
      </c>
      <c r="I382" s="426" t="s">
        <v>324</v>
      </c>
      <c r="J382" s="426" t="s">
        <v>324</v>
      </c>
      <c r="N382" s="2" t="s">
        <v>324</v>
      </c>
      <c r="O382" s="2" t="s">
        <v>324</v>
      </c>
      <c r="P382" s="2" t="s">
        <v>324</v>
      </c>
      <c r="Q382" s="2" t="s">
        <v>324</v>
      </c>
      <c r="R382" s="2" t="s">
        <v>324</v>
      </c>
      <c r="S382" s="2" t="s">
        <v>2856</v>
      </c>
      <c r="T382" s="2" t="s">
        <v>713</v>
      </c>
      <c r="U382" s="2">
        <v>20</v>
      </c>
      <c r="V382" s="2" t="str" cm="1">
        <f t="array" ref="V382">IFERROR(INDEX('Offer Statistics'!$FC$2:$FC$350,MATCH(1,($B382='Offer Statistics'!$EN$2:$EN$350)*($B$11='Offer Statistics'!$EO$2:$EO$350),0)),"/")</f>
        <v>/</v>
      </c>
      <c r="W382" s="2" t="str" cm="1">
        <f t="array" ref="W382">IFERROR(INDEX('Offer Statistics'!$EP$2:$EP$350,MATCH(1,($B382='Offer Statistics'!$EN$2:$EN$350)*($B$11='Offer Statistics'!$EO$2:$EO$350),0)),"/")</f>
        <v>/</v>
      </c>
      <c r="X382" s="2" t="str" cm="1">
        <f t="array" ref="X382">IFERROR(INDEX('Offer Statistics'!$EX$2:$EX$350,MATCH(1,($B382='Offer Statistics'!$EN$2:$EN$350)*($B$11='Offer Statistics'!$EO$2:$EO$350),0)),"/")</f>
        <v>/</v>
      </c>
      <c r="Y382" s="2" t="str">
        <f t="shared" si="381"/>
        <v>新科目</v>
      </c>
      <c r="Z382" s="2" t="s">
        <v>713</v>
      </c>
      <c r="AA382" s="2" t="str">
        <f>入學要求!AF391</f>
        <v>/</v>
      </c>
      <c r="AB382" s="2" t="str">
        <f>入學要求!AG391</f>
        <v>/</v>
      </c>
      <c r="AC382" s="2" t="s">
        <v>785</v>
      </c>
      <c r="AE382" s="435"/>
      <c r="AF382" s="435"/>
      <c r="AG382" s="435"/>
      <c r="AH382" s="435"/>
      <c r="AI382" s="435"/>
      <c r="AT382" s="2" t="s">
        <v>716</v>
      </c>
      <c r="AV382" s="2" t="s">
        <v>713</v>
      </c>
    </row>
    <row r="383" spans="1:48">
      <c r="A383" s="335" t="s">
        <v>1767</v>
      </c>
      <c r="B383" s="2" t="s">
        <v>1767</v>
      </c>
      <c r="C383" s="2" t="s">
        <v>237</v>
      </c>
      <c r="D383" s="2" t="s">
        <v>1757</v>
      </c>
      <c r="E383" s="2" t="s">
        <v>1768</v>
      </c>
      <c r="F383" s="2" t="s">
        <v>785</v>
      </c>
      <c r="G383" s="2" t="s">
        <v>324</v>
      </c>
      <c r="H383" s="2" t="s">
        <v>324</v>
      </c>
      <c r="I383" s="426">
        <v>22</v>
      </c>
      <c r="J383" s="426">
        <v>21</v>
      </c>
      <c r="N383" s="2" t="s">
        <v>324</v>
      </c>
      <c r="O383" s="2" t="s">
        <v>324</v>
      </c>
      <c r="P383" s="435" t="s">
        <v>2520</v>
      </c>
      <c r="Q383" s="435" t="s">
        <v>324</v>
      </c>
      <c r="R383" s="435" t="s">
        <v>324</v>
      </c>
      <c r="S383" s="2" t="s">
        <v>1769</v>
      </c>
      <c r="T383" s="2" t="s">
        <v>713</v>
      </c>
      <c r="U383" s="2">
        <v>30</v>
      </c>
      <c r="V383" s="2" cm="1">
        <f t="array" ref="V383">IFERROR(INDEX('Offer Statistics'!$FC$2:$FC$350,MATCH(1,($B383='Offer Statistics'!$EN$2:$EN$350)*($B$11='Offer Statistics'!$EO$2:$EO$350),0)),"/")</f>
        <v>29</v>
      </c>
      <c r="W383" s="2" cm="1">
        <f t="array" ref="W383">IFERROR(INDEX('Offer Statistics'!$EP$2:$EP$350,MATCH(1,($B383='Offer Statistics'!$EN$2:$EN$350)*($B$11='Offer Statistics'!$EO$2:$EO$350),0)),"/")</f>
        <v>165</v>
      </c>
      <c r="X383" s="2" cm="1">
        <f t="array" ref="X383">IFERROR(INDEX('Offer Statistics'!$EX$2:$EX$350,MATCH(1,($B383='Offer Statistics'!$EN$2:$EN$350)*($B$11='Offer Statistics'!$EO$2:$EO$350),0)),"/")</f>
        <v>26</v>
      </c>
      <c r="Y383" s="2">
        <f t="shared" si="381"/>
        <v>6.3461538461538458</v>
      </c>
      <c r="Z383" s="2" t="s">
        <v>713</v>
      </c>
      <c r="AA383" s="2" t="str">
        <f>入學要求!AF392</f>
        <v>/</v>
      </c>
      <c r="AB383" s="2" t="str">
        <f>入學要求!AG392</f>
        <v>/</v>
      </c>
      <c r="AC383" s="2" t="s">
        <v>785</v>
      </c>
      <c r="AE383" s="435"/>
      <c r="AF383" s="435" t="s">
        <v>324</v>
      </c>
      <c r="AG383" s="435" t="s">
        <v>324</v>
      </c>
      <c r="AH383" s="435" t="s">
        <v>1765</v>
      </c>
      <c r="AI383" s="435" t="s">
        <v>324</v>
      </c>
      <c r="AJ383" s="2" t="s">
        <v>324</v>
      </c>
      <c r="AK383" s="2" t="s">
        <v>324</v>
      </c>
      <c r="AL383" s="2" t="s">
        <v>324</v>
      </c>
      <c r="AM383" s="2" t="s">
        <v>324</v>
      </c>
      <c r="AN383" s="2" t="s">
        <v>324</v>
      </c>
      <c r="AO383" s="2" t="s">
        <v>324</v>
      </c>
      <c r="AP383" s="2" t="s">
        <v>324</v>
      </c>
      <c r="AQ383" s="2" t="s">
        <v>324</v>
      </c>
      <c r="AR383" s="2" t="s">
        <v>324</v>
      </c>
      <c r="AT383" s="2" t="s">
        <v>716</v>
      </c>
      <c r="AV383" s="2" t="s">
        <v>713</v>
      </c>
    </row>
    <row r="384" spans="1:48">
      <c r="A384" s="335" t="s">
        <v>1770</v>
      </c>
      <c r="B384" s="2" t="s">
        <v>1770</v>
      </c>
      <c r="C384" s="2" t="s">
        <v>237</v>
      </c>
      <c r="D384" s="2" t="s">
        <v>1757</v>
      </c>
      <c r="E384" s="2" t="s">
        <v>1771</v>
      </c>
      <c r="F384" s="2" t="s">
        <v>785</v>
      </c>
      <c r="G384" s="2" t="s">
        <v>324</v>
      </c>
      <c r="H384" s="2" t="s">
        <v>324</v>
      </c>
      <c r="I384" s="426">
        <v>16</v>
      </c>
      <c r="J384" s="426">
        <v>14</v>
      </c>
      <c r="N384" s="2" t="s">
        <v>324</v>
      </c>
      <c r="O384" s="2" t="s">
        <v>324</v>
      </c>
      <c r="P384" s="435" t="s">
        <v>2521</v>
      </c>
      <c r="Q384" s="435" t="s">
        <v>324</v>
      </c>
      <c r="R384" s="435" t="s">
        <v>324</v>
      </c>
      <c r="S384" s="2" t="s">
        <v>1773</v>
      </c>
      <c r="T384" s="2" t="s">
        <v>713</v>
      </c>
      <c r="U384" s="2">
        <v>25</v>
      </c>
      <c r="V384" s="2" cm="1">
        <f t="array" ref="V384">IFERROR(INDEX('Offer Statistics'!$FC$2:$FC$350,MATCH(1,($B384='Offer Statistics'!$EN$2:$EN$350)*($B$11='Offer Statistics'!$EO$2:$EO$350),0)),"/")</f>
        <v>26</v>
      </c>
      <c r="W384" s="2" cm="1">
        <f t="array" ref="W384">IFERROR(INDEX('Offer Statistics'!$EP$2:$EP$350,MATCH(1,($B384='Offer Statistics'!$EN$2:$EN$350)*($B$11='Offer Statistics'!$EO$2:$EO$350),0)),"/")</f>
        <v>390</v>
      </c>
      <c r="X384" s="2" cm="1">
        <f t="array" ref="X384">IFERROR(INDEX('Offer Statistics'!$EX$2:$EX$350,MATCH(1,($B384='Offer Statistics'!$EN$2:$EN$350)*($B$11='Offer Statistics'!$EO$2:$EO$350),0)),"/")</f>
        <v>23</v>
      </c>
      <c r="Y384" s="2">
        <f t="shared" si="381"/>
        <v>16.956521739130434</v>
      </c>
      <c r="Z384" s="2" t="s">
        <v>713</v>
      </c>
      <c r="AA384" s="2" t="str">
        <f>入學要求!AF393</f>
        <v>/</v>
      </c>
      <c r="AB384" s="2" t="str">
        <f>入學要求!AG393</f>
        <v>/</v>
      </c>
      <c r="AC384" s="2" t="s">
        <v>785</v>
      </c>
      <c r="AE384" s="435"/>
      <c r="AF384" s="435" t="s">
        <v>324</v>
      </c>
      <c r="AG384" s="435" t="s">
        <v>324</v>
      </c>
      <c r="AH384" s="435" t="s">
        <v>1772</v>
      </c>
      <c r="AI384" s="435" t="s">
        <v>324</v>
      </c>
      <c r="AJ384" s="2" t="s">
        <v>324</v>
      </c>
      <c r="AK384" s="2" t="s">
        <v>324</v>
      </c>
      <c r="AL384" s="2" t="s">
        <v>324</v>
      </c>
      <c r="AM384" s="2" t="s">
        <v>324</v>
      </c>
      <c r="AN384" s="2" t="s">
        <v>324</v>
      </c>
      <c r="AO384" s="2" t="s">
        <v>324</v>
      </c>
      <c r="AP384" s="2" t="s">
        <v>324</v>
      </c>
      <c r="AQ384" s="2" t="s">
        <v>324</v>
      </c>
      <c r="AR384" s="2" t="s">
        <v>324</v>
      </c>
      <c r="AT384" s="2" t="s">
        <v>716</v>
      </c>
      <c r="AV384" s="2" t="s">
        <v>713</v>
      </c>
    </row>
    <row r="385" spans="1:173">
      <c r="A385" s="335" t="s">
        <v>1774</v>
      </c>
      <c r="B385" s="2" t="s">
        <v>1774</v>
      </c>
      <c r="C385" s="2" t="s">
        <v>237</v>
      </c>
      <c r="D385" s="2" t="s">
        <v>1775</v>
      </c>
      <c r="E385" s="2" t="s">
        <v>1776</v>
      </c>
      <c r="F385" s="2" t="s">
        <v>785</v>
      </c>
      <c r="G385" s="2" t="s">
        <v>324</v>
      </c>
      <c r="H385" s="2" t="s">
        <v>324</v>
      </c>
      <c r="I385" s="426">
        <v>16</v>
      </c>
      <c r="J385" s="426">
        <v>14</v>
      </c>
      <c r="N385" s="2" t="s">
        <v>324</v>
      </c>
      <c r="O385" s="2" t="s">
        <v>324</v>
      </c>
      <c r="P385" s="435" t="s">
        <v>324</v>
      </c>
      <c r="Q385" s="435" t="s">
        <v>324</v>
      </c>
      <c r="R385" s="435" t="s">
        <v>324</v>
      </c>
      <c r="S385" s="2" t="s">
        <v>2858</v>
      </c>
      <c r="T385" s="2" t="s">
        <v>713</v>
      </c>
      <c r="U385" s="2">
        <v>30</v>
      </c>
      <c r="V385" s="2" cm="1">
        <f t="array" ref="V385">IFERROR(INDEX('Offer Statistics'!$FC$2:$FC$350,MATCH(1,($B385='Offer Statistics'!$EN$2:$EN$350)*($B$11='Offer Statistics'!$EO$2:$EO$350),0)),"/")</f>
        <v>74</v>
      </c>
      <c r="W385" s="2" cm="1">
        <f t="array" ref="W385">IFERROR(INDEX('Offer Statistics'!$EP$2:$EP$350,MATCH(1,($B385='Offer Statistics'!$EN$2:$EN$350)*($B$11='Offer Statistics'!$EO$2:$EO$350),0)),"/")</f>
        <v>379</v>
      </c>
      <c r="X385" s="2" cm="1">
        <f t="array" ref="X385">IFERROR(INDEX('Offer Statistics'!$EX$2:$EX$350,MATCH(1,($B385='Offer Statistics'!$EN$2:$EN$350)*($B$11='Offer Statistics'!$EO$2:$EO$350),0)),"/")</f>
        <v>36</v>
      </c>
      <c r="Y385" s="2">
        <f t="shared" si="381"/>
        <v>10.527777777777779</v>
      </c>
      <c r="Z385" s="2" t="s">
        <v>713</v>
      </c>
      <c r="AA385" s="2" t="str">
        <f>入學要求!AF394</f>
        <v>/</v>
      </c>
      <c r="AB385" s="2" t="str">
        <f>入學要求!AG394</f>
        <v>/</v>
      </c>
      <c r="AC385" s="2" t="s">
        <v>785</v>
      </c>
      <c r="AE385" s="435"/>
      <c r="AF385" s="435" t="s">
        <v>324</v>
      </c>
      <c r="AG385" s="435" t="s">
        <v>324</v>
      </c>
      <c r="AH385" s="435" t="s">
        <v>324</v>
      </c>
      <c r="AI385" s="435" t="s">
        <v>324</v>
      </c>
      <c r="AJ385" s="2" t="s">
        <v>324</v>
      </c>
      <c r="AK385" s="2" t="s">
        <v>324</v>
      </c>
      <c r="AL385" s="2" t="s">
        <v>324</v>
      </c>
      <c r="AM385" s="2" t="s">
        <v>324</v>
      </c>
      <c r="AN385" s="2" t="s">
        <v>324</v>
      </c>
      <c r="AO385" s="2" t="s">
        <v>324</v>
      </c>
      <c r="AP385" s="2" t="s">
        <v>324</v>
      </c>
      <c r="AQ385" s="2" t="s">
        <v>324</v>
      </c>
      <c r="AR385" s="2" t="s">
        <v>324</v>
      </c>
      <c r="AT385" s="2" t="s">
        <v>716</v>
      </c>
      <c r="AV385" s="2" t="s">
        <v>713</v>
      </c>
    </row>
    <row r="386" spans="1:173">
      <c r="A386" s="335" t="s">
        <v>1778</v>
      </c>
      <c r="B386" s="2" t="s">
        <v>1778</v>
      </c>
      <c r="C386" s="2" t="s">
        <v>237</v>
      </c>
      <c r="D386" s="2" t="s">
        <v>1775</v>
      </c>
      <c r="E386" s="2" t="s">
        <v>1779</v>
      </c>
      <c r="F386" s="2" t="s">
        <v>785</v>
      </c>
      <c r="G386" s="2" t="s">
        <v>324</v>
      </c>
      <c r="H386" s="2" t="s">
        <v>324</v>
      </c>
      <c r="I386" s="426">
        <v>17</v>
      </c>
      <c r="J386" s="426">
        <v>16</v>
      </c>
      <c r="N386" s="2" t="s">
        <v>324</v>
      </c>
      <c r="O386" s="2" t="s">
        <v>324</v>
      </c>
      <c r="P386" s="435" t="s">
        <v>324</v>
      </c>
      <c r="Q386" s="435" t="s">
        <v>324</v>
      </c>
      <c r="R386" s="435" t="s">
        <v>324</v>
      </c>
      <c r="S386" s="2" t="s">
        <v>1780</v>
      </c>
      <c r="T386" s="2" t="s">
        <v>713</v>
      </c>
      <c r="U386" s="2">
        <v>30</v>
      </c>
      <c r="V386" s="2" cm="1">
        <f t="array" ref="V386">IFERROR(INDEX('Offer Statistics'!$FC$2:$FC$350,MATCH(1,($B386='Offer Statistics'!$EN$2:$EN$350)*($B$11='Offer Statistics'!$EO$2:$EO$350),0)),"/")</f>
        <v>50</v>
      </c>
      <c r="W386" s="2" cm="1">
        <f t="array" ref="W386">IFERROR(INDEX('Offer Statistics'!$EP$2:$EP$350,MATCH(1,($B386='Offer Statistics'!$EN$2:$EN$350)*($B$11='Offer Statistics'!$EO$2:$EO$350),0)),"/")</f>
        <v>214</v>
      </c>
      <c r="X386" s="2" cm="1">
        <f t="array" ref="X386">IFERROR(INDEX('Offer Statistics'!$EX$2:$EX$350,MATCH(1,($B386='Offer Statistics'!$EN$2:$EN$350)*($B$11='Offer Statistics'!$EO$2:$EO$350),0)),"/")</f>
        <v>39</v>
      </c>
      <c r="Y386" s="2">
        <f t="shared" si="381"/>
        <v>5.4871794871794872</v>
      </c>
      <c r="Z386" s="2" t="s">
        <v>713</v>
      </c>
      <c r="AA386" s="2" t="str">
        <f>入學要求!AF395</f>
        <v>/</v>
      </c>
      <c r="AB386" s="2" t="str">
        <f>入學要求!AG395</f>
        <v>/</v>
      </c>
      <c r="AC386" s="2" t="s">
        <v>785</v>
      </c>
      <c r="AE386" s="435"/>
      <c r="AF386" s="435" t="s">
        <v>324</v>
      </c>
      <c r="AG386" s="435" t="s">
        <v>324</v>
      </c>
      <c r="AH386" s="435" t="s">
        <v>324</v>
      </c>
      <c r="AI386" s="435" t="s">
        <v>324</v>
      </c>
      <c r="AJ386" s="2" t="s">
        <v>324</v>
      </c>
      <c r="AK386" s="2" t="s">
        <v>324</v>
      </c>
      <c r="AL386" s="2" t="s">
        <v>324</v>
      </c>
      <c r="AM386" s="2" t="s">
        <v>324</v>
      </c>
      <c r="AN386" s="2" t="s">
        <v>324</v>
      </c>
      <c r="AO386" s="2" t="s">
        <v>324</v>
      </c>
      <c r="AP386" s="2" t="s">
        <v>324</v>
      </c>
      <c r="AQ386" s="2" t="s">
        <v>324</v>
      </c>
      <c r="AR386" s="2" t="s">
        <v>324</v>
      </c>
      <c r="AT386" s="2" t="s">
        <v>716</v>
      </c>
      <c r="AV386" s="2" t="s">
        <v>713</v>
      </c>
    </row>
    <row r="387" spans="1:173">
      <c r="A387" s="335" t="s">
        <v>1781</v>
      </c>
      <c r="B387" s="2" t="s">
        <v>1781</v>
      </c>
      <c r="C387" s="2" t="s">
        <v>237</v>
      </c>
      <c r="D387" s="2" t="s">
        <v>1775</v>
      </c>
      <c r="E387" s="2" t="s">
        <v>1782</v>
      </c>
      <c r="F387" s="2" t="s">
        <v>785</v>
      </c>
      <c r="G387" s="2" t="s">
        <v>324</v>
      </c>
      <c r="H387" s="2" t="s">
        <v>324</v>
      </c>
      <c r="I387" s="426">
        <v>17</v>
      </c>
      <c r="J387" s="426">
        <v>15</v>
      </c>
      <c r="N387" s="2" t="s">
        <v>324</v>
      </c>
      <c r="O387" s="2" t="s">
        <v>324</v>
      </c>
      <c r="P387" s="435" t="s">
        <v>324</v>
      </c>
      <c r="Q387" s="435" t="s">
        <v>324</v>
      </c>
      <c r="R387" s="435" t="s">
        <v>324</v>
      </c>
      <c r="S387" s="2" t="s">
        <v>1783</v>
      </c>
      <c r="T387" s="2" t="s">
        <v>713</v>
      </c>
      <c r="U387" s="2">
        <v>35</v>
      </c>
      <c r="V387" s="2" cm="1">
        <f t="array" ref="V387">IFERROR(INDEX('Offer Statistics'!$FC$2:$FC$350,MATCH(1,($B387='Offer Statistics'!$EN$2:$EN$350)*($B$11='Offer Statistics'!$EO$2:$EO$350),0)),"/")</f>
        <v>85</v>
      </c>
      <c r="W387" s="2" cm="1">
        <f t="array" ref="W387">IFERROR(INDEX('Offer Statistics'!$EP$2:$EP$350,MATCH(1,($B387='Offer Statistics'!$EN$2:$EN$350)*($B$11='Offer Statistics'!$EO$2:$EO$350),0)),"/")</f>
        <v>190</v>
      </c>
      <c r="X387" s="2" cm="1">
        <f t="array" ref="X387">IFERROR(INDEX('Offer Statistics'!$EX$2:$EX$350,MATCH(1,($B387='Offer Statistics'!$EN$2:$EN$350)*($B$11='Offer Statistics'!$EO$2:$EO$350),0)),"/")</f>
        <v>45</v>
      </c>
      <c r="Y387" s="2">
        <f t="shared" si="381"/>
        <v>4.2222222222222223</v>
      </c>
      <c r="Z387" s="2" t="s">
        <v>713</v>
      </c>
      <c r="AA387" s="2" t="str">
        <f>入學要求!AF396</f>
        <v>/</v>
      </c>
      <c r="AB387" s="2" t="str">
        <f>入學要求!AG396</f>
        <v>/</v>
      </c>
      <c r="AC387" s="2" t="s">
        <v>785</v>
      </c>
      <c r="AE387" s="435"/>
      <c r="AF387" s="435" t="s">
        <v>324</v>
      </c>
      <c r="AG387" s="435" t="s">
        <v>324</v>
      </c>
      <c r="AH387" s="435" t="s">
        <v>324</v>
      </c>
      <c r="AI387" s="435" t="s">
        <v>324</v>
      </c>
      <c r="AJ387" s="2" t="s">
        <v>324</v>
      </c>
      <c r="AK387" s="2" t="s">
        <v>324</v>
      </c>
      <c r="AL387" s="2" t="s">
        <v>324</v>
      </c>
      <c r="AM387" s="2" t="s">
        <v>324</v>
      </c>
      <c r="AN387" s="2" t="s">
        <v>324</v>
      </c>
      <c r="AO387" s="2" t="s">
        <v>324</v>
      </c>
      <c r="AP387" s="2" t="s">
        <v>324</v>
      </c>
      <c r="AQ387" s="2" t="s">
        <v>324</v>
      </c>
      <c r="AR387" s="2" t="s">
        <v>324</v>
      </c>
      <c r="AT387" s="2" t="s">
        <v>716</v>
      </c>
      <c r="AV387" s="2" t="s">
        <v>713</v>
      </c>
    </row>
    <row r="388" spans="1:173">
      <c r="A388" s="335" t="s">
        <v>1784</v>
      </c>
      <c r="B388" s="2" t="s">
        <v>1784</v>
      </c>
      <c r="C388" s="2" t="s">
        <v>237</v>
      </c>
      <c r="D388" s="2" t="s">
        <v>1775</v>
      </c>
      <c r="E388" s="2" t="s">
        <v>1785</v>
      </c>
      <c r="F388" s="2" t="s">
        <v>785</v>
      </c>
      <c r="G388" s="2" t="s">
        <v>324</v>
      </c>
      <c r="H388" s="2" t="s">
        <v>324</v>
      </c>
      <c r="I388" s="426">
        <v>16</v>
      </c>
      <c r="J388" s="426">
        <v>16</v>
      </c>
      <c r="N388" s="2" t="s">
        <v>324</v>
      </c>
      <c r="O388" s="2" t="s">
        <v>324</v>
      </c>
      <c r="P388" s="435" t="s">
        <v>324</v>
      </c>
      <c r="Q388" s="435" t="s">
        <v>324</v>
      </c>
      <c r="R388" s="435" t="s">
        <v>324</v>
      </c>
      <c r="S388" s="2" t="s">
        <v>2150</v>
      </c>
      <c r="T388" s="2" t="s">
        <v>713</v>
      </c>
      <c r="U388" s="2">
        <v>30</v>
      </c>
      <c r="V388" s="2" cm="1">
        <f t="array" ref="V388">IFERROR(INDEX('Offer Statistics'!$FC$2:$FC$350,MATCH(1,($B388='Offer Statistics'!$EN$2:$EN$350)*($B$11='Offer Statistics'!$EO$2:$EO$350),0)),"/")</f>
        <v>70</v>
      </c>
      <c r="W388" s="2" cm="1">
        <f t="array" ref="W388">IFERROR(INDEX('Offer Statistics'!$EP$2:$EP$350,MATCH(1,($B388='Offer Statistics'!$EN$2:$EN$350)*($B$11='Offer Statistics'!$EO$2:$EO$350),0)),"/")</f>
        <v>237</v>
      </c>
      <c r="X388" s="2" cm="1">
        <f t="array" ref="X388">IFERROR(INDEX('Offer Statistics'!$EX$2:$EX$350,MATCH(1,($B388='Offer Statistics'!$EN$2:$EN$350)*($B$11='Offer Statistics'!$EO$2:$EO$350),0)),"/")</f>
        <v>70</v>
      </c>
      <c r="Y388" s="2">
        <f t="shared" si="381"/>
        <v>3.3857142857142857</v>
      </c>
      <c r="Z388" s="2" t="s">
        <v>713</v>
      </c>
      <c r="AA388" s="2" t="str">
        <f>入學要求!AF397</f>
        <v>/</v>
      </c>
      <c r="AB388" s="2" t="str">
        <f>入學要求!AG397</f>
        <v>/</v>
      </c>
      <c r="AC388" s="2" t="s">
        <v>785</v>
      </c>
      <c r="AE388" s="435"/>
      <c r="AF388" s="435" t="s">
        <v>324</v>
      </c>
      <c r="AG388" s="435" t="s">
        <v>324</v>
      </c>
      <c r="AH388" s="435" t="s">
        <v>324</v>
      </c>
      <c r="AI388" s="435" t="s">
        <v>324</v>
      </c>
      <c r="AJ388" s="2" t="s">
        <v>324</v>
      </c>
      <c r="AK388" s="2" t="s">
        <v>324</v>
      </c>
      <c r="AL388" s="2" t="s">
        <v>324</v>
      </c>
      <c r="AM388" s="2" t="s">
        <v>324</v>
      </c>
      <c r="AN388" s="2" t="s">
        <v>324</v>
      </c>
      <c r="AO388" s="2" t="s">
        <v>324</v>
      </c>
      <c r="AP388" s="2" t="s">
        <v>324</v>
      </c>
      <c r="AQ388" s="2" t="s">
        <v>324</v>
      </c>
      <c r="AR388" s="2" t="s">
        <v>324</v>
      </c>
      <c r="AT388" s="2" t="s">
        <v>716</v>
      </c>
      <c r="AV388" s="2" t="s">
        <v>713</v>
      </c>
    </row>
    <row r="389" spans="1:173">
      <c r="A389" s="335" t="s">
        <v>1787</v>
      </c>
      <c r="B389" s="2" t="s">
        <v>1787</v>
      </c>
      <c r="C389" s="2" t="s">
        <v>237</v>
      </c>
      <c r="D389" s="2" t="s">
        <v>1775</v>
      </c>
      <c r="E389" s="2" t="s">
        <v>1788</v>
      </c>
      <c r="F389" s="2" t="s">
        <v>785</v>
      </c>
      <c r="G389" s="2" t="s">
        <v>324</v>
      </c>
      <c r="H389" s="2" t="s">
        <v>324</v>
      </c>
      <c r="I389" s="426">
        <v>17</v>
      </c>
      <c r="J389" s="426">
        <v>16</v>
      </c>
      <c r="N389" s="2" t="s">
        <v>324</v>
      </c>
      <c r="O389" s="2" t="s">
        <v>324</v>
      </c>
      <c r="P389" s="435" t="s">
        <v>324</v>
      </c>
      <c r="Q389" s="435" t="s">
        <v>324</v>
      </c>
      <c r="R389" s="435" t="s">
        <v>324</v>
      </c>
      <c r="S389" s="2" t="s">
        <v>2152</v>
      </c>
      <c r="T389" s="2" t="s">
        <v>713</v>
      </c>
      <c r="U389" s="2">
        <v>30</v>
      </c>
      <c r="V389" s="2" cm="1">
        <f t="array" ref="V389">IFERROR(INDEX('Offer Statistics'!$FC$2:$FC$350,MATCH(1,($B389='Offer Statistics'!$EN$2:$EN$350)*($B$11='Offer Statistics'!$EO$2:$EO$350),0)),"/")</f>
        <v>36</v>
      </c>
      <c r="W389" s="2" cm="1">
        <f t="array" ref="W389">IFERROR(INDEX('Offer Statistics'!$EP$2:$EP$350,MATCH(1,($B389='Offer Statistics'!$EN$2:$EN$350)*($B$11='Offer Statistics'!$EO$2:$EO$350),0)),"/")</f>
        <v>72</v>
      </c>
      <c r="X389" s="2" cm="1">
        <f t="array" ref="X389">IFERROR(INDEX('Offer Statistics'!$EX$2:$EX$350,MATCH(1,($B389='Offer Statistics'!$EN$2:$EN$350)*($B$11='Offer Statistics'!$EO$2:$EO$350),0)),"/")</f>
        <v>11</v>
      </c>
      <c r="Y389" s="2">
        <f t="shared" si="381"/>
        <v>6.5454545454545459</v>
      </c>
      <c r="Z389" s="2" t="s">
        <v>713</v>
      </c>
      <c r="AA389" s="2" t="str">
        <f>入學要求!AF398</f>
        <v>/</v>
      </c>
      <c r="AB389" s="2" t="str">
        <f>入學要求!AG398</f>
        <v>/</v>
      </c>
      <c r="AC389" s="2" t="s">
        <v>785</v>
      </c>
      <c r="AE389" s="435"/>
      <c r="AF389" s="435" t="s">
        <v>324</v>
      </c>
      <c r="AG389" s="435" t="s">
        <v>324</v>
      </c>
      <c r="AH389" s="435" t="s">
        <v>324</v>
      </c>
      <c r="AI389" s="435" t="s">
        <v>324</v>
      </c>
      <c r="AJ389" s="2" t="s">
        <v>324</v>
      </c>
      <c r="AL389" s="2" t="s">
        <v>324</v>
      </c>
      <c r="AM389" s="2" t="s">
        <v>324</v>
      </c>
      <c r="AN389" s="2" t="s">
        <v>324</v>
      </c>
      <c r="AO389" s="2" t="s">
        <v>324</v>
      </c>
      <c r="AP389" s="2" t="s">
        <v>324</v>
      </c>
      <c r="AQ389" s="2" t="s">
        <v>324</v>
      </c>
      <c r="AR389" s="2" t="s">
        <v>324</v>
      </c>
      <c r="AT389" s="2" t="s">
        <v>716</v>
      </c>
      <c r="AV389" s="2" t="s">
        <v>713</v>
      </c>
    </row>
    <row r="390" spans="1:173">
      <c r="A390" s="335" t="s">
        <v>2859</v>
      </c>
      <c r="B390" s="2" t="s">
        <v>2859</v>
      </c>
      <c r="C390" s="2" t="s">
        <v>237</v>
      </c>
      <c r="D390" s="2" t="s">
        <v>1775</v>
      </c>
      <c r="E390" s="2" t="s">
        <v>2861</v>
      </c>
      <c r="F390" s="2" t="s">
        <v>2940</v>
      </c>
      <c r="G390" s="2" t="s">
        <v>324</v>
      </c>
      <c r="H390" s="2" t="s">
        <v>324</v>
      </c>
      <c r="I390" s="426" t="s">
        <v>324</v>
      </c>
      <c r="J390" s="426" t="s">
        <v>324</v>
      </c>
      <c r="N390" s="2" t="s">
        <v>324</v>
      </c>
      <c r="O390" s="2" t="s">
        <v>324</v>
      </c>
      <c r="P390" s="435" t="s">
        <v>324</v>
      </c>
      <c r="Q390" s="435" t="s">
        <v>324</v>
      </c>
      <c r="R390" s="435" t="s">
        <v>324</v>
      </c>
      <c r="S390" s="2" t="s">
        <v>2860</v>
      </c>
      <c r="T390" s="2" t="s">
        <v>713</v>
      </c>
      <c r="U390" s="2">
        <v>30</v>
      </c>
      <c r="V390" s="2" t="str" cm="1">
        <f t="array" ref="V390">IFERROR(INDEX('Offer Statistics'!$FC$2:$FC$350,MATCH(1,($B390='Offer Statistics'!$EN$2:$EN$350)*($B$11='Offer Statistics'!$EO$2:$EO$350),0)),"/")</f>
        <v>/</v>
      </c>
      <c r="W390" s="2" t="str" cm="1">
        <f t="array" ref="W390">IFERROR(INDEX('Offer Statistics'!$EP$2:$EP$350,MATCH(1,($B390='Offer Statistics'!$EN$2:$EN$350)*($B$11='Offer Statistics'!$EO$2:$EO$350),0)),"/")</f>
        <v>/</v>
      </c>
      <c r="X390" s="2" t="str" cm="1">
        <f t="array" ref="X390">IFERROR(INDEX('Offer Statistics'!$EX$2:$EX$350,MATCH(1,($B390='Offer Statistics'!$EN$2:$EN$350)*($B$11='Offer Statistics'!$EO$2:$EO$350),0)),"/")</f>
        <v>/</v>
      </c>
      <c r="Y390" s="2" t="str">
        <f t="shared" si="381"/>
        <v>新科目</v>
      </c>
      <c r="Z390" s="2" t="s">
        <v>713</v>
      </c>
      <c r="AA390" s="2" t="str">
        <f>入學要求!AF399</f>
        <v>/</v>
      </c>
      <c r="AB390" s="2" t="str">
        <f>入學要求!AG399</f>
        <v>/</v>
      </c>
      <c r="AC390" s="2" t="s">
        <v>785</v>
      </c>
      <c r="AF390" s="435" t="s">
        <v>324</v>
      </c>
      <c r="AG390" s="435" t="s">
        <v>324</v>
      </c>
      <c r="AH390" s="435" t="s">
        <v>324</v>
      </c>
      <c r="AI390" s="435" t="s">
        <v>324</v>
      </c>
      <c r="AJ390" s="435" t="s">
        <v>324</v>
      </c>
      <c r="AK390" s="435" t="s">
        <v>324</v>
      </c>
      <c r="AL390" s="435" t="s">
        <v>324</v>
      </c>
      <c r="AM390" s="435" t="s">
        <v>324</v>
      </c>
      <c r="AN390" s="435" t="s">
        <v>324</v>
      </c>
      <c r="AO390" s="435" t="s">
        <v>324</v>
      </c>
      <c r="AP390" s="435" t="s">
        <v>324</v>
      </c>
      <c r="AQ390" s="435" t="s">
        <v>324</v>
      </c>
      <c r="AR390" s="435" t="s">
        <v>324</v>
      </c>
      <c r="AT390" s="2" t="s">
        <v>716</v>
      </c>
      <c r="AV390" s="2" t="s">
        <v>713</v>
      </c>
    </row>
    <row r="391" spans="1:173">
      <c r="C391" s="328"/>
      <c r="F391" s="11"/>
    </row>
    <row r="392" spans="1:173">
      <c r="C392" s="329"/>
    </row>
    <row r="393" spans="1:173">
      <c r="A393" s="335" t="s">
        <v>1790</v>
      </c>
      <c r="B393" s="335" t="s">
        <v>1790</v>
      </c>
      <c r="C393" s="93" t="s">
        <v>375</v>
      </c>
      <c r="D393" s="93" t="s">
        <v>3254</v>
      </c>
      <c r="E393" s="93" t="s">
        <v>2222</v>
      </c>
      <c r="F393" s="333" t="s">
        <v>785</v>
      </c>
      <c r="G393" s="435"/>
      <c r="H393" s="435" t="s">
        <v>324</v>
      </c>
      <c r="I393" s="435">
        <v>16</v>
      </c>
      <c r="J393" s="435" t="s">
        <v>324</v>
      </c>
      <c r="N393" s="333" t="s">
        <v>2522</v>
      </c>
      <c r="S393" s="93" t="s">
        <v>2004</v>
      </c>
      <c r="U393" s="2">
        <v>640</v>
      </c>
      <c r="V393" s="2" cm="1">
        <f t="array" ref="V393">IFERROR(INDEX('Offer Statistics'!$FU$2:$FU$450,MATCH(1,($B393='Offer Statistics'!$FF$2:$FF$450)*($B$11='Offer Statistics'!$FG$2:$FG$450),0)),"/")</f>
        <v>720</v>
      </c>
      <c r="W393" s="2" cm="1">
        <f t="array" ref="W393">IFERROR(INDEX('Offer Statistics'!$FH$2:$FH$450,MATCH(1,($B393='Offer Statistics'!$FF$2:$FF$450)*($B$11='Offer Statistics'!$FG$2:$FG$450),0)),"/")</f>
        <v>2705</v>
      </c>
      <c r="X393" s="2" cm="1">
        <f t="array" ref="X393">IFERROR(INDEX('Offer Statistics'!$FP$2:$FP$450,MATCH(1,($B393='Offer Statistics'!$FF$2:$FF$450)*($B$11='Offer Statistics'!$FG$2:$FG$450),0)),"/")</f>
        <v>613</v>
      </c>
      <c r="Y393" s="2">
        <f>IFERROR(W393/X393,"新科目")</f>
        <v>4.4127243066884176</v>
      </c>
      <c r="Z393" s="2" t="s">
        <v>1792</v>
      </c>
      <c r="AA393" s="2" t="str">
        <f>入學要求!AF402</f>
        <v>優先考慮 生物 考獲Lv.2或以上者</v>
      </c>
      <c r="AB393" s="2" t="str">
        <f>入學要求!AG402</f>
        <v>/</v>
      </c>
      <c r="AC393" s="333" t="s">
        <v>785</v>
      </c>
      <c r="AR393" s="2" t="s">
        <v>324</v>
      </c>
      <c r="AT393" s="2" t="s">
        <v>1631</v>
      </c>
      <c r="AV393" s="2" t="s">
        <v>713</v>
      </c>
    </row>
    <row r="394" spans="1:173">
      <c r="A394" s="335" t="s">
        <v>1793</v>
      </c>
      <c r="B394" s="335" t="s">
        <v>1793</v>
      </c>
      <c r="C394" s="93" t="s">
        <v>375</v>
      </c>
      <c r="D394" s="93" t="s">
        <v>3254</v>
      </c>
      <c r="E394" s="93" t="s">
        <v>2154</v>
      </c>
      <c r="F394" s="333" t="s">
        <v>785</v>
      </c>
      <c r="G394" s="435"/>
      <c r="H394" s="435" t="s">
        <v>324</v>
      </c>
      <c r="I394" s="435">
        <v>16</v>
      </c>
      <c r="J394" s="435" t="s">
        <v>324</v>
      </c>
      <c r="N394" s="333"/>
      <c r="S394" s="93" t="s">
        <v>1794</v>
      </c>
      <c r="U394" s="2">
        <v>15</v>
      </c>
      <c r="V394" s="2" cm="1">
        <f t="array" ref="V394">IFERROR(INDEX('Offer Statistics'!$FU$2:$FU$450,MATCH(1,($B394='Offer Statistics'!$FF$2:$FF$450)*($B$11='Offer Statistics'!$FG$2:$FG$450),0)),"/")</f>
        <v>28</v>
      </c>
      <c r="W394" s="2" cm="1">
        <f t="array" ref="W394">IFERROR(INDEX('Offer Statistics'!$FH$2:$FH$450,MATCH(1,($B394='Offer Statistics'!$FF$2:$FF$450)*($B$11='Offer Statistics'!$FG$2:$FG$450),0)),"/")</f>
        <v>235</v>
      </c>
      <c r="X394" s="2" cm="1">
        <f t="array" ref="X394">IFERROR(INDEX('Offer Statistics'!$FP$2:$FP$450,MATCH(1,($B394='Offer Statistics'!$FF$2:$FF$450)*($B$11='Offer Statistics'!$FG$2:$FG$450),0)),"/")</f>
        <v>17</v>
      </c>
      <c r="Y394" s="2">
        <f t="shared" ref="Y394:Y447" si="382">IFERROR(W394/X394,"新科目")</f>
        <v>13.823529411764707</v>
      </c>
      <c r="Z394" s="2" t="s">
        <v>1792</v>
      </c>
      <c r="AA394" s="2" t="str">
        <f>入學要求!AF403</f>
        <v>申請人在兩個選修科目中的表現將被視為收生過程中的加分項目</v>
      </c>
      <c r="AB394" s="2" t="str">
        <f>入學要求!AG403</f>
        <v>/</v>
      </c>
      <c r="AC394" s="333" t="s">
        <v>785</v>
      </c>
      <c r="AR394" s="2" t="s">
        <v>324</v>
      </c>
      <c r="AT394" s="2" t="s">
        <v>1631</v>
      </c>
      <c r="AV394" s="2" t="s">
        <v>713</v>
      </c>
    </row>
    <row r="395" spans="1:173">
      <c r="A395" s="335" t="s">
        <v>1795</v>
      </c>
      <c r="B395" s="335" t="s">
        <v>1795</v>
      </c>
      <c r="C395" s="93" t="s">
        <v>375</v>
      </c>
      <c r="D395" s="93" t="s">
        <v>3254</v>
      </c>
      <c r="E395" s="93" t="s">
        <v>2155</v>
      </c>
      <c r="F395" s="333" t="s">
        <v>785</v>
      </c>
      <c r="G395" s="435"/>
      <c r="H395" s="435" t="s">
        <v>324</v>
      </c>
      <c r="I395" s="435">
        <v>21</v>
      </c>
      <c r="J395" s="435" t="s">
        <v>324</v>
      </c>
      <c r="N395" s="333" t="s">
        <v>2522</v>
      </c>
      <c r="O395" s="333" t="s">
        <v>2523</v>
      </c>
      <c r="P395" s="2" t="s">
        <v>3255</v>
      </c>
      <c r="S395" s="93" t="s">
        <v>1796</v>
      </c>
      <c r="U395" s="2">
        <v>60</v>
      </c>
      <c r="V395" s="2" cm="1">
        <f t="array" ref="V395">IFERROR(INDEX('Offer Statistics'!$FU$2:$FU$450,MATCH(1,($B395='Offer Statistics'!$FF$2:$FF$450)*($B$11='Offer Statistics'!$FG$2:$FG$450),0)),"/")</f>
        <v>60</v>
      </c>
      <c r="W395" s="2" cm="1">
        <f t="array" ref="W395">IFERROR(INDEX('Offer Statistics'!$FH$2:$FH$450,MATCH(1,($B395='Offer Statistics'!$FF$2:$FF$450)*($B$11='Offer Statistics'!$FG$2:$FG$450),0)),"/")</f>
        <v>624</v>
      </c>
      <c r="X395" s="2" cm="1">
        <f t="array" ref="X395">IFERROR(INDEX('Offer Statistics'!$FP$2:$FP$450,MATCH(1,($B395='Offer Statistics'!$FF$2:$FF$450)*($B$11='Offer Statistics'!$FG$2:$FG$450),0)),"/")</f>
        <v>60</v>
      </c>
      <c r="Y395" s="2">
        <f t="shared" si="382"/>
        <v>10.4</v>
      </c>
      <c r="Z395" s="2" t="s">
        <v>1792</v>
      </c>
      <c r="AA395" s="2" t="str">
        <f>入學要求!AF404</f>
        <v>優先考慮:  英文 考獲 Lv.4 或以上 者 及</v>
      </c>
      <c r="AB395" s="2" t="str">
        <f>入學要求!AG404</f>
        <v>優先考慮 物理 或 生物 或 組合科學 (物理、生物) 考獲Lv.3或以上者</v>
      </c>
      <c r="AC395" s="333" t="s">
        <v>785</v>
      </c>
      <c r="AF395" s="2" t="s">
        <v>581</v>
      </c>
      <c r="AG395" s="2" t="s">
        <v>3255</v>
      </c>
      <c r="AR395" s="2" t="s">
        <v>324</v>
      </c>
      <c r="AT395" s="2" t="s">
        <v>1631</v>
      </c>
      <c r="AV395" s="2" t="s">
        <v>713</v>
      </c>
    </row>
    <row r="396" spans="1:173">
      <c r="A396" s="335" t="s">
        <v>1797</v>
      </c>
      <c r="B396" s="335" t="s">
        <v>1797</v>
      </c>
      <c r="C396" s="93" t="s">
        <v>375</v>
      </c>
      <c r="D396" s="93" t="s">
        <v>3254</v>
      </c>
      <c r="E396" s="93" t="s">
        <v>2156</v>
      </c>
      <c r="F396" s="333" t="s">
        <v>785</v>
      </c>
      <c r="G396" s="435"/>
      <c r="H396" s="435" t="s">
        <v>324</v>
      </c>
      <c r="I396" s="435">
        <v>16</v>
      </c>
      <c r="J396" s="435" t="s">
        <v>324</v>
      </c>
      <c r="N396" s="192"/>
      <c r="S396" s="93" t="s">
        <v>1798</v>
      </c>
      <c r="U396" s="2">
        <v>25</v>
      </c>
      <c r="V396" s="2" cm="1">
        <f t="array" ref="V396">IFERROR(INDEX('Offer Statistics'!$FU$2:$FU$450,MATCH(1,($B396='Offer Statistics'!$FF$2:$FF$450)*($B$11='Offer Statistics'!$FG$2:$FG$450),0)),"/")</f>
        <v>66</v>
      </c>
      <c r="W396" s="2" cm="1">
        <f t="array" ref="W396">IFERROR(INDEX('Offer Statistics'!$FH$2:$FH$450,MATCH(1,($B396='Offer Statistics'!$FF$2:$FF$450)*($B$11='Offer Statistics'!$FG$2:$FG$450),0)),"/")</f>
        <v>208</v>
      </c>
      <c r="X396" s="2" cm="1">
        <f t="array" ref="X396">IFERROR(INDEX('Offer Statistics'!$FP$2:$FP$450,MATCH(1,($B396='Offer Statistics'!$FF$2:$FF$450)*($B$11='Offer Statistics'!$FG$2:$FG$450),0)),"/")</f>
        <v>19</v>
      </c>
      <c r="Y396" s="2">
        <f t="shared" si="382"/>
        <v>10.947368421052632</v>
      </c>
      <c r="Z396" s="2" t="s">
        <v>1792</v>
      </c>
      <c r="AA396" s="2" t="str">
        <f>入學要求!AF405</f>
        <v>申請人在兩個選修科目中的表現將被視為收生過程中的加分項目</v>
      </c>
      <c r="AB396" s="2" t="str">
        <f>入學要求!AG405</f>
        <v>/</v>
      </c>
      <c r="AC396" s="333" t="s">
        <v>785</v>
      </c>
      <c r="AR396" s="2" t="s">
        <v>324</v>
      </c>
      <c r="AT396" s="2" t="s">
        <v>1631</v>
      </c>
      <c r="AV396" s="2" t="s">
        <v>713</v>
      </c>
    </row>
    <row r="397" spans="1:173">
      <c r="A397" s="335" t="s">
        <v>1799</v>
      </c>
      <c r="B397" s="335" t="s">
        <v>1799</v>
      </c>
      <c r="C397" s="93" t="s">
        <v>375</v>
      </c>
      <c r="D397" s="93" t="s">
        <v>3254</v>
      </c>
      <c r="E397" s="93" t="s">
        <v>2223</v>
      </c>
      <c r="F397" s="333" t="s">
        <v>785</v>
      </c>
      <c r="G397" s="435"/>
      <c r="H397" s="435" t="s">
        <v>324</v>
      </c>
      <c r="I397" s="435">
        <v>17</v>
      </c>
      <c r="J397" s="435" t="s">
        <v>324</v>
      </c>
      <c r="S397" s="93" t="s">
        <v>2157</v>
      </c>
      <c r="U397" s="2">
        <v>5</v>
      </c>
      <c r="V397" s="2" cm="1">
        <f t="array" ref="V397">IFERROR(INDEX('Offer Statistics'!$FU$2:$FU$450,MATCH(1,($B397='Offer Statistics'!$FF$2:$FF$450)*($B$11='Offer Statistics'!$FG$2:$FG$450),0)),"/")</f>
        <v>22</v>
      </c>
      <c r="W397" s="2" cm="1">
        <f t="array" ref="W397">IFERROR(INDEX('Offer Statistics'!$FH$2:$FH$450,MATCH(1,($B397='Offer Statistics'!$FF$2:$FF$450)*($B$11='Offer Statistics'!$FG$2:$FG$450),0)),"/")</f>
        <v>56</v>
      </c>
      <c r="X397" s="2" cm="1">
        <f t="array" ref="X397">IFERROR(INDEX('Offer Statistics'!$FP$2:$FP$450,MATCH(1,($B397='Offer Statistics'!$FF$2:$FF$450)*($B$11='Offer Statistics'!$FG$2:$FG$450),0)),"/")</f>
        <v>4</v>
      </c>
      <c r="Y397" s="2">
        <f t="shared" si="382"/>
        <v>14</v>
      </c>
      <c r="Z397" s="2" t="s">
        <v>1792</v>
      </c>
      <c r="AA397" s="2" t="str">
        <f>入學要求!AF406</f>
        <v>/</v>
      </c>
      <c r="AB397" s="2" t="str">
        <f>入學要求!AG406</f>
        <v>/</v>
      </c>
      <c r="AC397" s="333" t="s">
        <v>785</v>
      </c>
      <c r="AR397" s="2" t="s">
        <v>324</v>
      </c>
      <c r="AT397" s="2" t="s">
        <v>1631</v>
      </c>
      <c r="AV397" s="2" t="s">
        <v>713</v>
      </c>
    </row>
    <row r="398" spans="1:173">
      <c r="A398" s="335" t="s">
        <v>2198</v>
      </c>
      <c r="B398" s="335" t="s">
        <v>2198</v>
      </c>
      <c r="C398" s="93" t="s">
        <v>375</v>
      </c>
      <c r="D398" s="93" t="s">
        <v>3254</v>
      </c>
      <c r="E398" s="93" t="s">
        <v>2224</v>
      </c>
      <c r="F398" s="333" t="s">
        <v>785</v>
      </c>
      <c r="G398" s="435"/>
      <c r="H398" s="435" t="s">
        <v>324</v>
      </c>
      <c r="I398" s="435">
        <v>15</v>
      </c>
      <c r="J398" s="435" t="s">
        <v>324</v>
      </c>
      <c r="S398" s="93" t="s">
        <v>2199</v>
      </c>
      <c r="U398" s="2">
        <v>25</v>
      </c>
      <c r="V398" s="2" cm="1">
        <f t="array" ref="V398">IFERROR(INDEX('Offer Statistics'!$FU$2:$FU$450,MATCH(1,($B398='Offer Statistics'!$FF$2:$FF$450)*($B$11='Offer Statistics'!$FG$2:$FG$450),0)),"/")</f>
        <v>81</v>
      </c>
      <c r="W398" s="2" cm="1">
        <f t="array" ref="W398">IFERROR(INDEX('Offer Statistics'!$FH$2:$FH$450,MATCH(1,($B398='Offer Statistics'!$FF$2:$FF$450)*($B$11='Offer Statistics'!$FG$2:$FG$450),0)),"/")</f>
        <v>482</v>
      </c>
      <c r="X398" s="2" cm="1">
        <f t="array" ref="X398">IFERROR(INDEX('Offer Statistics'!$FP$2:$FP$450,MATCH(1,($B398='Offer Statistics'!$FF$2:$FF$450)*($B$11='Offer Statistics'!$FG$2:$FG$450),0)),"/")</f>
        <v>39</v>
      </c>
      <c r="Y398" s="2">
        <f t="shared" si="382"/>
        <v>12.358974358974359</v>
      </c>
      <c r="Z398" s="2" t="s">
        <v>1792</v>
      </c>
      <c r="AA398" s="2" t="str">
        <f>入學要求!AF407</f>
        <v>/</v>
      </c>
      <c r="AB398" s="2" t="str">
        <f>入學要求!AG407</f>
        <v>/</v>
      </c>
      <c r="AC398" s="333" t="s">
        <v>2256</v>
      </c>
      <c r="AR398" s="2" t="s">
        <v>324</v>
      </c>
      <c r="AT398" s="2" t="s">
        <v>1631</v>
      </c>
      <c r="AV398" s="2" t="s">
        <v>713</v>
      </c>
    </row>
    <row r="399" spans="1:173">
      <c r="A399" s="335" t="s">
        <v>1800</v>
      </c>
      <c r="B399" s="335" t="s">
        <v>1800</v>
      </c>
      <c r="C399" s="93" t="s">
        <v>375</v>
      </c>
      <c r="D399" s="93" t="s">
        <v>1801</v>
      </c>
      <c r="E399" s="93" t="s">
        <v>2158</v>
      </c>
      <c r="F399" s="333" t="s">
        <v>2256</v>
      </c>
      <c r="G399" s="435"/>
      <c r="H399" s="435">
        <v>15</v>
      </c>
      <c r="I399" s="435" t="s">
        <v>324</v>
      </c>
      <c r="J399" s="435">
        <v>13</v>
      </c>
      <c r="K399" s="51"/>
      <c r="L399" s="51"/>
      <c r="M399" s="51"/>
      <c r="N399" s="51"/>
      <c r="O399" s="51"/>
      <c r="P399" s="51"/>
      <c r="Q399" s="51"/>
      <c r="R399" s="51"/>
      <c r="S399" s="93" t="s">
        <v>1802</v>
      </c>
      <c r="U399" s="2">
        <v>20</v>
      </c>
      <c r="V399" s="2" cm="1">
        <f t="array" ref="V399">IFERROR(INDEX('Offer Statistics'!$FU$2:$FU$450,MATCH(1,($B399='Offer Statistics'!$FF$2:$FF$450)*($B$11='Offer Statistics'!$FG$2:$FG$450),0)),"/")</f>
        <v>27</v>
      </c>
      <c r="W399" s="2" cm="1">
        <f t="array" ref="W399">IFERROR(INDEX('Offer Statistics'!$FH$2:$FH$450,MATCH(1,($B399='Offer Statistics'!$FF$2:$FF$450)*($B$11='Offer Statistics'!$FG$2:$FG$450),0)),"/")</f>
        <v>85</v>
      </c>
      <c r="X399" s="2" cm="1">
        <f t="array" ref="X399">IFERROR(INDEX('Offer Statistics'!$FP$2:$FP$450,MATCH(1,($B399='Offer Statistics'!$FF$2:$FF$450)*($B$11='Offer Statistics'!$FG$2:$FG$450),0)),"/")</f>
        <v>15</v>
      </c>
      <c r="Y399" s="2">
        <f t="shared" si="382"/>
        <v>5.666666666666667</v>
      </c>
      <c r="Z399" s="2" t="s">
        <v>1792</v>
      </c>
      <c r="AA399" s="2" t="str">
        <f>入學要求!AF408</f>
        <v>/</v>
      </c>
      <c r="AB399" s="2" t="str">
        <f>入學要求!AG408</f>
        <v>/</v>
      </c>
      <c r="AC399" s="333" t="s">
        <v>785</v>
      </c>
      <c r="AR399" s="2" t="s">
        <v>324</v>
      </c>
      <c r="AT399" s="2" t="s">
        <v>1631</v>
      </c>
      <c r="AV399" s="2" t="s">
        <v>713</v>
      </c>
      <c r="AZ399" s="2">
        <v>1</v>
      </c>
      <c r="BA399" s="2">
        <v>1</v>
      </c>
      <c r="BB399" s="2">
        <v>1</v>
      </c>
      <c r="BD399" s="2">
        <v>1</v>
      </c>
      <c r="BE399" s="2">
        <v>1</v>
      </c>
      <c r="BF399" s="2">
        <v>1</v>
      </c>
      <c r="BG399" s="2">
        <v>1</v>
      </c>
      <c r="BI399" s="2">
        <v>3</v>
      </c>
      <c r="BJ399" s="2">
        <v>3</v>
      </c>
      <c r="BK399" s="2">
        <v>3</v>
      </c>
      <c r="BN399" s="2">
        <v>4</v>
      </c>
      <c r="BY399" s="2">
        <f t="shared" ref="BY399:CF399" si="383">AZ399*BI399</f>
        <v>3</v>
      </c>
      <c r="BZ399" s="2">
        <f t="shared" si="383"/>
        <v>3</v>
      </c>
      <c r="CA399" s="2">
        <f t="shared" si="383"/>
        <v>3</v>
      </c>
      <c r="CC399" s="2">
        <f t="shared" si="383"/>
        <v>0</v>
      </c>
      <c r="CD399" s="2">
        <f t="shared" si="383"/>
        <v>4</v>
      </c>
      <c r="CE399" s="2">
        <f t="shared" si="383"/>
        <v>0</v>
      </c>
      <c r="CF399" s="2">
        <f t="shared" si="383"/>
        <v>0</v>
      </c>
      <c r="CG399" s="2" t="b">
        <v>1</v>
      </c>
      <c r="CH399" s="2" t="b">
        <v>1</v>
      </c>
      <c r="CI399" s="2" t="b">
        <v>1</v>
      </c>
      <c r="CK399" s="2" t="b">
        <v>0</v>
      </c>
      <c r="CL399" s="2" t="b">
        <v>1</v>
      </c>
      <c r="CM399" s="2" t="b">
        <v>0</v>
      </c>
      <c r="CN399" s="2" t="b">
        <v>0</v>
      </c>
      <c r="ED399" s="2">
        <v>1</v>
      </c>
      <c r="EE399" s="2">
        <v>1</v>
      </c>
      <c r="EF399" s="2">
        <v>1</v>
      </c>
      <c r="EH399" s="2">
        <v>1</v>
      </c>
      <c r="EI399" s="2">
        <v>1</v>
      </c>
      <c r="EJ399" s="2">
        <v>1</v>
      </c>
      <c r="EK399" s="2">
        <v>1</v>
      </c>
      <c r="EL399" s="2">
        <v>4</v>
      </c>
      <c r="EM399" s="2">
        <v>3</v>
      </c>
      <c r="EN399" s="2">
        <v>4</v>
      </c>
      <c r="EQ399" s="2">
        <v>4</v>
      </c>
      <c r="FB399" s="2">
        <f>EL399*ED399</f>
        <v>4</v>
      </c>
      <c r="FC399" s="2">
        <f t="shared" ref="FC399:FI399" si="384">EM399*EE399</f>
        <v>3</v>
      </c>
      <c r="FD399" s="2">
        <f t="shared" si="384"/>
        <v>4</v>
      </c>
      <c r="FE399" s="2">
        <f t="shared" si="384"/>
        <v>0</v>
      </c>
      <c r="FF399" s="2">
        <f t="shared" si="384"/>
        <v>0</v>
      </c>
      <c r="FG399" s="2">
        <f t="shared" si="384"/>
        <v>4</v>
      </c>
      <c r="FH399" s="2">
        <f t="shared" si="384"/>
        <v>0</v>
      </c>
      <c r="FI399" s="2">
        <f t="shared" si="384"/>
        <v>0</v>
      </c>
      <c r="FJ399" s="2" t="b">
        <v>1</v>
      </c>
      <c r="FK399" s="2" t="b">
        <v>1</v>
      </c>
      <c r="FL399" s="2" t="b">
        <v>1</v>
      </c>
      <c r="FM399" s="2" t="b">
        <v>1</v>
      </c>
      <c r="FN399" s="2" t="b">
        <v>0</v>
      </c>
      <c r="FO399" s="2" t="b">
        <v>1</v>
      </c>
      <c r="FP399" s="2" t="b">
        <v>0</v>
      </c>
      <c r="FQ399" s="2" t="b">
        <v>0</v>
      </c>
    </row>
    <row r="400" spans="1:173" s="51" customFormat="1">
      <c r="A400" s="335" t="s">
        <v>1803</v>
      </c>
      <c r="B400" s="335" t="s">
        <v>1803</v>
      </c>
      <c r="C400" s="93" t="s">
        <v>375</v>
      </c>
      <c r="D400" s="93" t="s">
        <v>1804</v>
      </c>
      <c r="E400" s="93" t="s">
        <v>2159</v>
      </c>
      <c r="F400" s="333" t="s">
        <v>785</v>
      </c>
      <c r="G400" s="435"/>
      <c r="H400" s="435" t="s">
        <v>324</v>
      </c>
      <c r="I400" s="435">
        <v>16.23</v>
      </c>
      <c r="J400" s="435" t="s">
        <v>324</v>
      </c>
      <c r="N400" s="435" t="s">
        <v>3260</v>
      </c>
      <c r="S400" s="93" t="s">
        <v>1805</v>
      </c>
      <c r="U400" s="2">
        <v>105</v>
      </c>
      <c r="V400" s="2" cm="1">
        <f t="array" ref="V400">IFERROR(INDEX('Offer Statistics'!$FU$2:$FU$450,MATCH(1,($B400='Offer Statistics'!$FF$2:$FF$450)*($B$11='Offer Statistics'!$FG$2:$FG$450),0)),"/")</f>
        <v>227</v>
      </c>
      <c r="W400" s="2" cm="1">
        <f t="array" ref="W400">IFERROR(INDEX('Offer Statistics'!$FH$2:$FH$450,MATCH(1,($B400='Offer Statistics'!$FF$2:$FF$450)*($B$11='Offer Statistics'!$FG$2:$FG$450),0)),"/")</f>
        <v>529</v>
      </c>
      <c r="X400" s="2" cm="1">
        <f t="array" ref="X400">IFERROR(INDEX('Offer Statistics'!$FP$2:$FP$450,MATCH(1,($B400='Offer Statistics'!$FF$2:$FF$450)*($B$11='Offer Statistics'!$FG$2:$FG$450),0)),"/")</f>
        <v>147</v>
      </c>
      <c r="Y400" s="2">
        <f t="shared" si="382"/>
        <v>3.5986394557823131</v>
      </c>
      <c r="Z400" s="2" t="s">
        <v>1792</v>
      </c>
      <c r="AA400" s="2" t="str">
        <f>入學要求!AF409</f>
        <v>/</v>
      </c>
      <c r="AB400" s="2" t="str">
        <f>入學要求!AG409</f>
        <v>/</v>
      </c>
      <c r="AC400" s="333" t="s">
        <v>785</v>
      </c>
      <c r="AR400" s="2" t="s">
        <v>324</v>
      </c>
      <c r="AT400" s="2" t="s">
        <v>1631</v>
      </c>
      <c r="AU400" s="2"/>
      <c r="AV400" s="2" t="s">
        <v>713</v>
      </c>
      <c r="BQ400" s="205"/>
      <c r="BR400" s="205"/>
      <c r="BS400" s="205"/>
      <c r="BT400" s="205"/>
      <c r="BU400" s="205"/>
      <c r="BV400" s="205"/>
      <c r="BW400" s="205"/>
      <c r="BX400" s="205"/>
      <c r="DF400" s="205"/>
      <c r="DG400" s="205"/>
      <c r="DH400" s="205"/>
      <c r="DI400" s="205"/>
      <c r="DJ400" s="205"/>
      <c r="DK400" s="205"/>
      <c r="DL400" s="205"/>
      <c r="DM400" s="205"/>
    </row>
    <row r="401" spans="1:117" s="51" customFormat="1">
      <c r="A401" s="335" t="s">
        <v>1806</v>
      </c>
      <c r="B401" s="335" t="s">
        <v>1806</v>
      </c>
      <c r="C401" s="93" t="s">
        <v>375</v>
      </c>
      <c r="D401" s="93" t="s">
        <v>1804</v>
      </c>
      <c r="E401" s="93" t="s">
        <v>2160</v>
      </c>
      <c r="F401" s="333" t="s">
        <v>785</v>
      </c>
      <c r="G401" s="435"/>
      <c r="H401" s="435" t="s">
        <v>324</v>
      </c>
      <c r="I401" s="435">
        <v>16.420000000000002</v>
      </c>
      <c r="J401" s="435" t="s">
        <v>324</v>
      </c>
      <c r="N401" s="435" t="s">
        <v>3260</v>
      </c>
      <c r="S401" s="93" t="s">
        <v>2200</v>
      </c>
      <c r="U401" s="2">
        <v>35</v>
      </c>
      <c r="V401" s="2" cm="1">
        <f t="array" ref="V401">IFERROR(INDEX('Offer Statistics'!$FU$2:$FU$450,MATCH(1,($B401='Offer Statistics'!$FF$2:$FF$450)*($B$11='Offer Statistics'!$FG$2:$FG$450),0)),"/")</f>
        <v>64</v>
      </c>
      <c r="W401" s="2" cm="1">
        <f t="array" ref="W401">IFERROR(INDEX('Offer Statistics'!$FH$2:$FH$450,MATCH(1,($B401='Offer Statistics'!$FF$2:$FF$450)*($B$11='Offer Statistics'!$FG$2:$FG$450),0)),"/")</f>
        <v>121</v>
      </c>
      <c r="X401" s="2" cm="1">
        <f t="array" ref="X401">IFERROR(INDEX('Offer Statistics'!$FP$2:$FP$450,MATCH(1,($B401='Offer Statistics'!$FF$2:$FF$450)*($B$11='Offer Statistics'!$FG$2:$FG$450),0)),"/")</f>
        <v>29</v>
      </c>
      <c r="Y401" s="2">
        <f t="shared" si="382"/>
        <v>4.1724137931034484</v>
      </c>
      <c r="Z401" s="2" t="s">
        <v>1792</v>
      </c>
      <c r="AA401" s="2" t="str">
        <f>入學要求!AF410</f>
        <v>/</v>
      </c>
      <c r="AB401" s="2" t="str">
        <f>入學要求!AG410</f>
        <v>/</v>
      </c>
      <c r="AC401" s="333" t="s">
        <v>785</v>
      </c>
      <c r="AR401" s="2" t="s">
        <v>324</v>
      </c>
      <c r="AT401" s="2" t="s">
        <v>1631</v>
      </c>
      <c r="AU401" s="2"/>
      <c r="AV401" s="2" t="s">
        <v>713</v>
      </c>
      <c r="BQ401" s="205"/>
      <c r="BR401" s="205"/>
      <c r="BS401" s="205"/>
      <c r="BT401" s="205"/>
      <c r="BU401" s="205"/>
      <c r="BV401" s="205"/>
      <c r="BW401" s="205"/>
      <c r="BX401" s="205"/>
      <c r="DF401" s="205"/>
      <c r="DG401" s="205"/>
      <c r="DH401" s="205"/>
      <c r="DI401" s="205"/>
      <c r="DJ401" s="205"/>
      <c r="DK401" s="205"/>
      <c r="DL401" s="205"/>
      <c r="DM401" s="205"/>
    </row>
    <row r="402" spans="1:117" s="51" customFormat="1">
      <c r="A402" s="335" t="s">
        <v>1807</v>
      </c>
      <c r="B402" s="335" t="s">
        <v>1807</v>
      </c>
      <c r="C402" s="93" t="s">
        <v>375</v>
      </c>
      <c r="D402" s="93" t="s">
        <v>1804</v>
      </c>
      <c r="E402" s="93" t="s">
        <v>2161</v>
      </c>
      <c r="F402" s="333" t="s">
        <v>785</v>
      </c>
      <c r="G402" s="435"/>
      <c r="H402" s="435" t="s">
        <v>324</v>
      </c>
      <c r="I402" s="435">
        <v>15.73</v>
      </c>
      <c r="J402" s="435" t="s">
        <v>324</v>
      </c>
      <c r="N402" s="435" t="s">
        <v>3260</v>
      </c>
      <c r="S402" s="93" t="s">
        <v>2201</v>
      </c>
      <c r="U402" s="2">
        <v>55</v>
      </c>
      <c r="V402" s="2" cm="1">
        <f t="array" ref="V402">IFERROR(INDEX('Offer Statistics'!$FU$2:$FU$450,MATCH(1,($B402='Offer Statistics'!$FF$2:$FF$450)*($B$11='Offer Statistics'!$FG$2:$FG$450),0)),"/")</f>
        <v>70</v>
      </c>
      <c r="W402" s="2" cm="1">
        <f t="array" ref="W402">IFERROR(INDEX('Offer Statistics'!$FH$2:$FH$450,MATCH(1,($B402='Offer Statistics'!$FF$2:$FF$450)*($B$11='Offer Statistics'!$FG$2:$FG$450),0)),"/")</f>
        <v>312</v>
      </c>
      <c r="X402" s="2" cm="1">
        <f t="array" ref="X402">IFERROR(INDEX('Offer Statistics'!$FP$2:$FP$450,MATCH(1,($B402='Offer Statistics'!$FF$2:$FF$450)*($B$11='Offer Statistics'!$FG$2:$FG$450),0)),"/")</f>
        <v>53</v>
      </c>
      <c r="Y402" s="2">
        <f t="shared" si="382"/>
        <v>5.8867924528301883</v>
      </c>
      <c r="Z402" s="2" t="s">
        <v>1792</v>
      </c>
      <c r="AA402" s="2" t="str">
        <f>入學要求!AF411</f>
        <v>/</v>
      </c>
      <c r="AB402" s="2" t="str">
        <f>入學要求!AG411</f>
        <v>/</v>
      </c>
      <c r="AC402" s="2" t="s">
        <v>785</v>
      </c>
      <c r="AR402" s="2" t="s">
        <v>324</v>
      </c>
      <c r="AT402" s="2" t="s">
        <v>1631</v>
      </c>
      <c r="AU402" s="2"/>
      <c r="AV402" s="2" t="s">
        <v>713</v>
      </c>
      <c r="BQ402" s="205"/>
      <c r="BR402" s="205"/>
      <c r="BS402" s="205"/>
      <c r="BT402" s="205"/>
      <c r="BU402" s="205"/>
      <c r="BV402" s="205"/>
      <c r="BW402" s="205"/>
      <c r="BX402" s="205"/>
      <c r="DF402" s="205"/>
      <c r="DG402" s="205"/>
      <c r="DH402" s="205"/>
      <c r="DI402" s="205"/>
      <c r="DJ402" s="205"/>
      <c r="DK402" s="205"/>
      <c r="DL402" s="205"/>
      <c r="DM402" s="205"/>
    </row>
    <row r="403" spans="1:117" s="51" customFormat="1">
      <c r="A403" s="335" t="s">
        <v>1808</v>
      </c>
      <c r="B403" s="335" t="s">
        <v>1808</v>
      </c>
      <c r="C403" s="93" t="s">
        <v>375</v>
      </c>
      <c r="D403" s="93" t="s">
        <v>1804</v>
      </c>
      <c r="E403" s="93" t="s">
        <v>2162</v>
      </c>
      <c r="F403" s="333" t="s">
        <v>785</v>
      </c>
      <c r="G403" s="435"/>
      <c r="H403" s="435" t="s">
        <v>324</v>
      </c>
      <c r="I403" s="435">
        <v>16</v>
      </c>
      <c r="J403" s="435" t="s">
        <v>324</v>
      </c>
      <c r="N403" s="435" t="s">
        <v>3260</v>
      </c>
      <c r="S403" s="93" t="s">
        <v>2202</v>
      </c>
      <c r="U403" s="2">
        <v>60</v>
      </c>
      <c r="V403" s="2" cm="1">
        <f t="array" ref="V403">IFERROR(INDEX('Offer Statistics'!$FU$2:$FU$450,MATCH(1,($B403='Offer Statistics'!$FF$2:$FF$450)*($B$11='Offer Statistics'!$FG$2:$FG$450),0)),"/")</f>
        <v>89</v>
      </c>
      <c r="W403" s="2" cm="1">
        <f t="array" ref="W403">IFERROR(INDEX('Offer Statistics'!$FH$2:$FH$450,MATCH(1,($B403='Offer Statistics'!$FF$2:$FF$450)*($B$11='Offer Statistics'!$FG$2:$FG$450),0)),"/")</f>
        <v>258</v>
      </c>
      <c r="X403" s="2" cm="1">
        <f t="array" ref="X403">IFERROR(INDEX('Offer Statistics'!$FP$2:$FP$450,MATCH(1,($B403='Offer Statistics'!$FF$2:$FF$450)*($B$11='Offer Statistics'!$FG$2:$FG$450),0)),"/")</f>
        <v>49</v>
      </c>
      <c r="Y403" s="2">
        <f t="shared" si="382"/>
        <v>5.2653061224489797</v>
      </c>
      <c r="Z403" s="2" t="s">
        <v>1792</v>
      </c>
      <c r="AA403" s="2" t="str">
        <f>入學要求!AF412</f>
        <v>/</v>
      </c>
      <c r="AB403" s="2" t="str">
        <f>入學要求!AG412</f>
        <v>/</v>
      </c>
      <c r="AC403" s="2" t="s">
        <v>785</v>
      </c>
      <c r="AR403" s="2" t="s">
        <v>324</v>
      </c>
      <c r="AT403" s="2" t="s">
        <v>1631</v>
      </c>
      <c r="AU403" s="2"/>
      <c r="AV403" s="2" t="s">
        <v>713</v>
      </c>
      <c r="BQ403" s="205"/>
      <c r="BR403" s="205"/>
      <c r="BS403" s="205"/>
      <c r="BT403" s="205"/>
      <c r="BU403" s="205"/>
      <c r="BV403" s="205"/>
      <c r="BW403" s="205"/>
      <c r="BX403" s="205"/>
      <c r="DF403" s="205"/>
      <c r="DG403" s="205"/>
      <c r="DH403" s="205"/>
      <c r="DI403" s="205"/>
      <c r="DJ403" s="205"/>
      <c r="DK403" s="205"/>
      <c r="DL403" s="205"/>
      <c r="DM403" s="205"/>
    </row>
    <row r="404" spans="1:117" s="51" customFormat="1">
      <c r="A404" s="335" t="s">
        <v>1809</v>
      </c>
      <c r="B404" s="335" t="s">
        <v>1809</v>
      </c>
      <c r="C404" s="93" t="s">
        <v>375</v>
      </c>
      <c r="D404" s="93" t="s">
        <v>1804</v>
      </c>
      <c r="E404" s="93" t="s">
        <v>2163</v>
      </c>
      <c r="F404" s="333" t="s">
        <v>785</v>
      </c>
      <c r="G404" s="435"/>
      <c r="H404" s="435" t="s">
        <v>324</v>
      </c>
      <c r="I404" s="435">
        <v>16.05</v>
      </c>
      <c r="J404" s="435" t="s">
        <v>324</v>
      </c>
      <c r="N404" s="435" t="s">
        <v>3260</v>
      </c>
      <c r="S404" s="93" t="s">
        <v>2873</v>
      </c>
      <c r="U404" s="2">
        <v>50</v>
      </c>
      <c r="V404" s="2" cm="1">
        <f t="array" ref="V404">IFERROR(INDEX('Offer Statistics'!$FU$2:$FU$450,MATCH(1,($B404='Offer Statistics'!$FF$2:$FF$450)*($B$11='Offer Statistics'!$FG$2:$FG$450),0)),"/")</f>
        <v>70</v>
      </c>
      <c r="W404" s="2" cm="1">
        <f t="array" ref="W404">IFERROR(INDEX('Offer Statistics'!$FH$2:$FH$450,MATCH(1,($B404='Offer Statistics'!$FF$2:$FF$450)*($B$11='Offer Statistics'!$FG$2:$FG$450),0)),"/")</f>
        <v>182</v>
      </c>
      <c r="X404" s="2" cm="1">
        <f t="array" ref="X404">IFERROR(INDEX('Offer Statistics'!$FP$2:$FP$450,MATCH(1,($B404='Offer Statistics'!$FF$2:$FF$450)*($B$11='Offer Statistics'!$FG$2:$FG$450),0)),"/")</f>
        <v>39</v>
      </c>
      <c r="Y404" s="2">
        <f t="shared" si="382"/>
        <v>4.666666666666667</v>
      </c>
      <c r="Z404" s="2" t="s">
        <v>1792</v>
      </c>
      <c r="AA404" s="2" t="str">
        <f>入學要求!AF413</f>
        <v>/</v>
      </c>
      <c r="AB404" s="2" t="str">
        <f>入學要求!AG413</f>
        <v>/</v>
      </c>
      <c r="AC404" s="2" t="s">
        <v>785</v>
      </c>
      <c r="AR404" s="2" t="s">
        <v>324</v>
      </c>
      <c r="AT404" s="2" t="s">
        <v>1631</v>
      </c>
      <c r="AU404" s="2"/>
      <c r="AV404" s="2" t="s">
        <v>713</v>
      </c>
      <c r="BQ404" s="205"/>
      <c r="BR404" s="205"/>
      <c r="BS404" s="205"/>
      <c r="BT404" s="205"/>
      <c r="BU404" s="205"/>
      <c r="BV404" s="205"/>
      <c r="BW404" s="205"/>
      <c r="BX404" s="205"/>
      <c r="DF404" s="205"/>
      <c r="DG404" s="205"/>
      <c r="DH404" s="205"/>
      <c r="DI404" s="205"/>
      <c r="DJ404" s="205"/>
      <c r="DK404" s="205"/>
      <c r="DL404" s="205"/>
      <c r="DM404" s="205"/>
    </row>
    <row r="405" spans="1:117" s="51" customFormat="1">
      <c r="A405" s="335" t="s">
        <v>1811</v>
      </c>
      <c r="B405" s="335" t="s">
        <v>1811</v>
      </c>
      <c r="C405" s="93" t="s">
        <v>375</v>
      </c>
      <c r="D405" s="93" t="s">
        <v>1804</v>
      </c>
      <c r="E405" s="93" t="s">
        <v>2164</v>
      </c>
      <c r="F405" s="333" t="s">
        <v>785</v>
      </c>
      <c r="G405" s="435"/>
      <c r="H405" s="435" t="s">
        <v>324</v>
      </c>
      <c r="I405" s="435">
        <v>15.49</v>
      </c>
      <c r="J405" s="435" t="s">
        <v>324</v>
      </c>
      <c r="N405" s="435" t="s">
        <v>3260</v>
      </c>
      <c r="S405" s="93" t="s">
        <v>1812</v>
      </c>
      <c r="U405" s="2">
        <v>40</v>
      </c>
      <c r="V405" s="2" cm="1">
        <f t="array" ref="V405">IFERROR(INDEX('Offer Statistics'!$FU$2:$FU$450,MATCH(1,($B405='Offer Statistics'!$FF$2:$FF$450)*($B$11='Offer Statistics'!$FG$2:$FG$450),0)),"/")</f>
        <v>76</v>
      </c>
      <c r="W405" s="2" cm="1">
        <f t="array" ref="W405">IFERROR(INDEX('Offer Statistics'!$FH$2:$FH$450,MATCH(1,($B405='Offer Statistics'!$FF$2:$FF$450)*($B$11='Offer Statistics'!$FG$2:$FG$450),0)),"/")</f>
        <v>374</v>
      </c>
      <c r="X405" s="2" cm="1">
        <f t="array" ref="X405">IFERROR(INDEX('Offer Statistics'!$FP$2:$FP$450,MATCH(1,($B405='Offer Statistics'!$FF$2:$FF$450)*($B$11='Offer Statistics'!$FG$2:$FG$450),0)),"/")</f>
        <v>61</v>
      </c>
      <c r="Y405" s="2">
        <f t="shared" si="382"/>
        <v>6.1311475409836067</v>
      </c>
      <c r="Z405" s="2" t="s">
        <v>1792</v>
      </c>
      <c r="AA405" s="2" t="str">
        <f>入學要求!AF414</f>
        <v>/</v>
      </c>
      <c r="AB405" s="2" t="str">
        <f>入學要求!AG414</f>
        <v>/</v>
      </c>
      <c r="AC405" s="2" t="s">
        <v>785</v>
      </c>
      <c r="AR405" s="2" t="s">
        <v>324</v>
      </c>
      <c r="AT405" s="2" t="s">
        <v>1631</v>
      </c>
      <c r="AU405" s="2"/>
      <c r="AV405" s="2" t="s">
        <v>713</v>
      </c>
      <c r="BQ405" s="205"/>
      <c r="BR405" s="205"/>
      <c r="BS405" s="205"/>
      <c r="BT405" s="205"/>
      <c r="BU405" s="205"/>
      <c r="BV405" s="205"/>
      <c r="BW405" s="205"/>
      <c r="BX405" s="205"/>
      <c r="DF405" s="205"/>
      <c r="DG405" s="205"/>
      <c r="DH405" s="205"/>
      <c r="DI405" s="205"/>
      <c r="DJ405" s="205"/>
      <c r="DK405" s="205"/>
      <c r="DL405" s="205"/>
      <c r="DM405" s="205"/>
    </row>
    <row r="406" spans="1:117">
      <c r="A406" s="335" t="s">
        <v>1813</v>
      </c>
      <c r="B406" s="335" t="s">
        <v>1813</v>
      </c>
      <c r="C406" s="93" t="s">
        <v>375</v>
      </c>
      <c r="D406" s="93" t="s">
        <v>1814</v>
      </c>
      <c r="E406" s="93" t="s">
        <v>2165</v>
      </c>
      <c r="F406" s="2" t="s">
        <v>785</v>
      </c>
      <c r="G406" s="435"/>
      <c r="H406" s="435" t="s">
        <v>324</v>
      </c>
      <c r="I406" s="435">
        <v>16.2</v>
      </c>
      <c r="J406" s="435" t="s">
        <v>324</v>
      </c>
      <c r="K406" s="51"/>
      <c r="L406" s="51"/>
      <c r="M406" s="51"/>
      <c r="N406" s="435" t="s">
        <v>3261</v>
      </c>
      <c r="O406" s="435" t="s">
        <v>3260</v>
      </c>
      <c r="P406" s="51"/>
      <c r="Q406" s="51"/>
      <c r="R406" s="51"/>
      <c r="S406" s="93" t="s">
        <v>1815</v>
      </c>
      <c r="U406" s="2">
        <v>400</v>
      </c>
      <c r="V406" s="2" cm="1">
        <f t="array" ref="V406">IFERROR(INDEX('Offer Statistics'!$FU$2:$FU$450,MATCH(1,($B406='Offer Statistics'!$FF$2:$FF$450)*($B$11='Offer Statistics'!$FG$2:$FG$450),0)),"/")</f>
        <v>545</v>
      </c>
      <c r="W406" s="2" cm="1">
        <f t="array" ref="W406">IFERROR(INDEX('Offer Statistics'!$FH$2:$FH$450,MATCH(1,($B406='Offer Statistics'!$FF$2:$FF$450)*($B$11='Offer Statistics'!$FG$2:$FG$450),0)),"/")</f>
        <v>1889</v>
      </c>
      <c r="X406" s="2" cm="1">
        <f t="array" ref="X406">IFERROR(INDEX('Offer Statistics'!$FP$2:$FP$450,MATCH(1,($B406='Offer Statistics'!$FF$2:$FF$450)*($B$11='Offer Statistics'!$FG$2:$FG$450),0)),"/")</f>
        <v>443</v>
      </c>
      <c r="Y406" s="2">
        <f t="shared" si="382"/>
        <v>4.2641083521444694</v>
      </c>
      <c r="Z406" s="2" t="s">
        <v>1792</v>
      </c>
      <c r="AA406" s="2" t="str">
        <f>入學要求!AF415</f>
        <v>優先考慮:  英文 考獲 Lv.4 或以上 者</v>
      </c>
      <c r="AB406" s="2" t="str">
        <f>入學要求!AG415</f>
        <v>/</v>
      </c>
      <c r="AC406" s="2" t="s">
        <v>785</v>
      </c>
      <c r="AR406" s="2" t="s">
        <v>324</v>
      </c>
      <c r="AT406" s="2" t="s">
        <v>1631</v>
      </c>
      <c r="AV406" s="2" t="s">
        <v>713</v>
      </c>
    </row>
    <row r="407" spans="1:117">
      <c r="A407" s="335" t="s">
        <v>1816</v>
      </c>
      <c r="B407" s="335" t="s">
        <v>1816</v>
      </c>
      <c r="C407" s="93" t="s">
        <v>375</v>
      </c>
      <c r="D407" s="93" t="s">
        <v>1814</v>
      </c>
      <c r="E407" s="93" t="s">
        <v>2166</v>
      </c>
      <c r="F407" s="2" t="s">
        <v>785</v>
      </c>
      <c r="G407" s="435"/>
      <c r="H407" s="435" t="s">
        <v>324</v>
      </c>
      <c r="I407" s="435">
        <v>21.2</v>
      </c>
      <c r="J407" s="435" t="s">
        <v>324</v>
      </c>
      <c r="K407" s="51"/>
      <c r="L407" s="51"/>
      <c r="M407" s="51"/>
      <c r="N407" s="435" t="s">
        <v>3261</v>
      </c>
      <c r="O407" s="435" t="s">
        <v>3260</v>
      </c>
      <c r="P407" s="51"/>
      <c r="Q407" s="51"/>
      <c r="R407" s="51"/>
      <c r="S407" s="93" t="s">
        <v>1817</v>
      </c>
      <c r="U407" s="2">
        <v>45</v>
      </c>
      <c r="V407" s="2" cm="1">
        <f t="array" ref="V407">IFERROR(INDEX('Offer Statistics'!$FU$2:$FU$450,MATCH(1,($B407='Offer Statistics'!$FF$2:$FF$450)*($B$11='Offer Statistics'!$FG$2:$FG$450),0)),"/")</f>
        <v>46</v>
      </c>
      <c r="W407" s="2" cm="1">
        <f t="array" ref="W407">IFERROR(INDEX('Offer Statistics'!$FH$2:$FH$450,MATCH(1,($B407='Offer Statistics'!$FF$2:$FF$450)*($B$11='Offer Statistics'!$FG$2:$FG$450),0)),"/")</f>
        <v>257</v>
      </c>
      <c r="X407" s="2" cm="1">
        <f t="array" ref="X407">IFERROR(INDEX('Offer Statistics'!$FP$2:$FP$450,MATCH(1,($B407='Offer Statistics'!$FF$2:$FF$450)*($B$11='Offer Statistics'!$FG$2:$FG$450),0)),"/")</f>
        <v>41</v>
      </c>
      <c r="Y407" s="2">
        <f t="shared" si="382"/>
        <v>6.2682926829268295</v>
      </c>
      <c r="Z407" s="2" t="s">
        <v>1792</v>
      </c>
      <c r="AA407" s="2" t="str">
        <f>入學要求!AF416</f>
        <v>優先考慮:  英文 考獲 Lv.4 或以上 者</v>
      </c>
      <c r="AB407" s="2" t="str">
        <f>入學要求!AG416</f>
        <v>優先考慮:  化學 或 組合科學 (化學) 考獲Lv.4或以上者</v>
      </c>
      <c r="AC407" s="2" t="s">
        <v>785</v>
      </c>
      <c r="AR407" s="2" t="s">
        <v>324</v>
      </c>
      <c r="AT407" s="2" t="s">
        <v>1631</v>
      </c>
      <c r="AV407" s="2" t="s">
        <v>713</v>
      </c>
    </row>
    <row r="408" spans="1:117">
      <c r="A408" s="335" t="s">
        <v>1818</v>
      </c>
      <c r="B408" s="335" t="s">
        <v>1818</v>
      </c>
      <c r="C408" s="93" t="s">
        <v>375</v>
      </c>
      <c r="D408" s="93" t="s">
        <v>1814</v>
      </c>
      <c r="E408" s="93" t="s">
        <v>2167</v>
      </c>
      <c r="F408" s="2" t="s">
        <v>785</v>
      </c>
      <c r="G408" s="435"/>
      <c r="H408" s="435" t="s">
        <v>324</v>
      </c>
      <c r="I408" s="435">
        <v>24.3</v>
      </c>
      <c r="J408" s="435" t="s">
        <v>324</v>
      </c>
      <c r="K408" s="51"/>
      <c r="L408" s="51"/>
      <c r="M408" s="51"/>
      <c r="N408" s="435" t="s">
        <v>3261</v>
      </c>
      <c r="O408" s="435" t="s">
        <v>3260</v>
      </c>
      <c r="P408" s="51"/>
      <c r="Q408" s="51"/>
      <c r="R408" s="51"/>
      <c r="S408" s="93" t="s">
        <v>1819</v>
      </c>
      <c r="U408" s="2">
        <v>20</v>
      </c>
      <c r="V408" s="2" cm="1">
        <f t="array" ref="V408">IFERROR(INDEX('Offer Statistics'!$FU$2:$FU$450,MATCH(1,($B408='Offer Statistics'!$FF$2:$FF$450)*($B$11='Offer Statistics'!$FG$2:$FG$450),0)),"/")</f>
        <v>22</v>
      </c>
      <c r="W408" s="2" cm="1">
        <f t="array" ref="W408">IFERROR(INDEX('Offer Statistics'!$FH$2:$FH$450,MATCH(1,($B408='Offer Statistics'!$FF$2:$FF$450)*($B$11='Offer Statistics'!$FG$2:$FG$450),0)),"/")</f>
        <v>141</v>
      </c>
      <c r="X408" s="2" cm="1">
        <f t="array" ref="X408">IFERROR(INDEX('Offer Statistics'!$FP$2:$FP$450,MATCH(1,($B408='Offer Statistics'!$FF$2:$FF$450)*($B$11='Offer Statistics'!$FG$2:$FG$450),0)),"/")</f>
        <v>21</v>
      </c>
      <c r="Y408" s="2">
        <f t="shared" si="382"/>
        <v>6.7142857142857144</v>
      </c>
      <c r="Z408" s="2" t="s">
        <v>1792</v>
      </c>
      <c r="AA408" s="2" t="str">
        <f>入學要求!AF417</f>
        <v>優先考慮:  英文 Lv.4 或以上，數學 和 通識 及 [物理 或 綜合科學 或 組合科學(物理) ]Lv.3或以上者</v>
      </c>
      <c r="AB408" s="2" t="str">
        <f>入學要求!AG417</f>
        <v>以下一科選修取得Lv.3︰生物、化學、物理、或 健康護理實務(Distinction (I))</v>
      </c>
      <c r="AC408" s="2" t="s">
        <v>785</v>
      </c>
      <c r="AR408" s="2" t="s">
        <v>324</v>
      </c>
      <c r="AT408" s="2" t="s">
        <v>1631</v>
      </c>
      <c r="AV408" s="2" t="s">
        <v>713</v>
      </c>
    </row>
    <row r="409" spans="1:117">
      <c r="A409" s="335" t="s">
        <v>1820</v>
      </c>
      <c r="B409" s="335" t="s">
        <v>1820</v>
      </c>
      <c r="C409" s="93" t="s">
        <v>375</v>
      </c>
      <c r="D409" s="93" t="s">
        <v>1814</v>
      </c>
      <c r="E409" s="93" t="s">
        <v>2168</v>
      </c>
      <c r="F409" s="2" t="s">
        <v>785</v>
      </c>
      <c r="G409" s="435"/>
      <c r="H409" s="435" t="s">
        <v>324</v>
      </c>
      <c r="I409" s="435">
        <v>21.3</v>
      </c>
      <c r="J409" s="435" t="s">
        <v>324</v>
      </c>
      <c r="K409" s="51"/>
      <c r="L409" s="51"/>
      <c r="M409" s="51"/>
      <c r="N409" s="435" t="s">
        <v>3261</v>
      </c>
      <c r="O409" s="435" t="s">
        <v>3260</v>
      </c>
      <c r="P409" s="51"/>
      <c r="Q409" s="51"/>
      <c r="R409" s="51"/>
      <c r="S409" s="93" t="s">
        <v>1821</v>
      </c>
      <c r="U409" s="2">
        <v>60</v>
      </c>
      <c r="V409" s="2" cm="1">
        <f t="array" ref="V409">IFERROR(INDEX('Offer Statistics'!$FU$2:$FU$450,MATCH(1,($B409='Offer Statistics'!$FF$2:$FF$450)*($B$11='Offer Statistics'!$FG$2:$FG$450),0)),"/")</f>
        <v>65</v>
      </c>
      <c r="W409" s="2" cm="1">
        <f t="array" ref="W409">IFERROR(INDEX('Offer Statistics'!$FH$2:$FH$450,MATCH(1,($B409='Offer Statistics'!$FF$2:$FF$450)*($B$11='Offer Statistics'!$FG$2:$FG$450),0)),"/")</f>
        <v>343</v>
      </c>
      <c r="X409" s="2" cm="1">
        <f t="array" ref="X409">IFERROR(INDEX('Offer Statistics'!$FP$2:$FP$450,MATCH(1,($B409='Offer Statistics'!$FF$2:$FF$450)*($B$11='Offer Statistics'!$FG$2:$FG$450),0)),"/")</f>
        <v>65</v>
      </c>
      <c r="Y409" s="2">
        <f t="shared" si="382"/>
        <v>5.2769230769230768</v>
      </c>
      <c r="Z409" s="2" t="s">
        <v>1792</v>
      </c>
      <c r="AA409" s="2" t="str">
        <f>入學要求!AF418</f>
        <v>優先考慮:  英文 考獲 Lv.4 或以上 者</v>
      </c>
      <c r="AB409" s="2" t="str">
        <f>入學要求!AG418</f>
        <v>優先考慮 生物 或 組合科學 (生物) 考獲Lv.3或以上者</v>
      </c>
      <c r="AC409" s="2" t="s">
        <v>785</v>
      </c>
      <c r="AR409" s="2" t="s">
        <v>324</v>
      </c>
      <c r="AT409" s="2" t="s">
        <v>1631</v>
      </c>
      <c r="AV409" s="2" t="s">
        <v>713</v>
      </c>
    </row>
    <row r="410" spans="1:117">
      <c r="A410" s="335" t="s">
        <v>1822</v>
      </c>
      <c r="B410" s="335" t="s">
        <v>1822</v>
      </c>
      <c r="C410" s="93" t="s">
        <v>375</v>
      </c>
      <c r="D410" s="93" t="s">
        <v>1814</v>
      </c>
      <c r="E410" s="93" t="s">
        <v>2155</v>
      </c>
      <c r="F410" s="2" t="s">
        <v>785</v>
      </c>
      <c r="G410" s="435"/>
      <c r="H410" s="435" t="s">
        <v>324</v>
      </c>
      <c r="I410" s="435">
        <v>23.7</v>
      </c>
      <c r="J410" s="435" t="s">
        <v>324</v>
      </c>
      <c r="K410" s="51"/>
      <c r="L410" s="51"/>
      <c r="M410" s="51"/>
      <c r="N410" s="435" t="s">
        <v>3261</v>
      </c>
      <c r="O410" s="435" t="s">
        <v>3260</v>
      </c>
      <c r="P410" s="51"/>
      <c r="Q410" s="51"/>
      <c r="R410" s="51"/>
      <c r="S410" s="93" t="s">
        <v>1823</v>
      </c>
      <c r="U410" s="2">
        <v>60</v>
      </c>
      <c r="V410" s="2" cm="1">
        <f t="array" ref="V410">IFERROR(INDEX('Offer Statistics'!$FU$2:$FU$450,MATCH(1,($B410='Offer Statistics'!$FF$2:$FF$450)*($B$11='Offer Statistics'!$FG$2:$FG$450),0)),"/")</f>
        <v>48</v>
      </c>
      <c r="W410" s="2" cm="1">
        <f t="array" ref="W410">IFERROR(INDEX('Offer Statistics'!$FH$2:$FH$450,MATCH(1,($B410='Offer Statistics'!$FF$2:$FF$450)*($B$11='Offer Statistics'!$FG$2:$FG$450),0)),"/")</f>
        <v>369</v>
      </c>
      <c r="X410" s="2" cm="1">
        <f t="array" ref="X410">IFERROR(INDEX('Offer Statistics'!$FP$2:$FP$450,MATCH(1,($B410='Offer Statistics'!$FF$2:$FF$450)*($B$11='Offer Statistics'!$FG$2:$FG$450),0)),"/")</f>
        <v>48</v>
      </c>
      <c r="Y410" s="2">
        <f t="shared" si="382"/>
        <v>7.6875</v>
      </c>
      <c r="Z410" s="2" t="s">
        <v>1792</v>
      </c>
      <c r="AA410" s="2" t="str">
        <f>入學要求!AF419</f>
        <v>優先考慮:  英文 考獲 Lv.4 或以上 者</v>
      </c>
      <c r="AB410" s="2" t="str">
        <f>入學要求!AG419</f>
        <v>優先考慮 物理、生物、組合科學(物理、生物) 考獲Lv.3或以上者</v>
      </c>
      <c r="AC410" s="2" t="s">
        <v>785</v>
      </c>
      <c r="AR410" s="2" t="s">
        <v>324</v>
      </c>
      <c r="AT410" s="2" t="s">
        <v>1631</v>
      </c>
      <c r="AV410" s="2" t="s">
        <v>713</v>
      </c>
    </row>
    <row r="411" spans="1:117">
      <c r="A411" s="335" t="s">
        <v>2007</v>
      </c>
      <c r="B411" s="335" t="s">
        <v>2007</v>
      </c>
      <c r="C411" s="93" t="s">
        <v>375</v>
      </c>
      <c r="D411" s="93" t="s">
        <v>1814</v>
      </c>
      <c r="E411" s="93" t="s">
        <v>2225</v>
      </c>
      <c r="F411" s="2" t="s">
        <v>785</v>
      </c>
      <c r="G411" s="435"/>
      <c r="H411" s="435" t="s">
        <v>324</v>
      </c>
      <c r="I411" s="435">
        <v>18</v>
      </c>
      <c r="J411" s="435" t="s">
        <v>324</v>
      </c>
      <c r="K411" s="51"/>
      <c r="L411" s="51"/>
      <c r="M411" s="51"/>
      <c r="N411" s="435" t="s">
        <v>3261</v>
      </c>
      <c r="O411" s="435" t="s">
        <v>3260</v>
      </c>
      <c r="P411" s="51"/>
      <c r="Q411" s="51"/>
      <c r="R411" s="51"/>
      <c r="S411" s="93" t="s">
        <v>1824</v>
      </c>
      <c r="U411" s="2">
        <v>40</v>
      </c>
      <c r="V411" s="2" cm="1">
        <f t="array" ref="V411">IFERROR(INDEX('Offer Statistics'!$FU$2:$FU$450,MATCH(1,($B411='Offer Statistics'!$FF$2:$FF$450)*($B$11='Offer Statistics'!$FG$2:$FG$450),0)),"/")</f>
        <v>23</v>
      </c>
      <c r="W411" s="2" cm="1">
        <f t="array" ref="W411">IFERROR(INDEX('Offer Statistics'!$FH$2:$FH$450,MATCH(1,($B411='Offer Statistics'!$FF$2:$FF$450)*($B$11='Offer Statistics'!$FG$2:$FG$450),0)),"/")</f>
        <v>54</v>
      </c>
      <c r="X411" s="2" cm="1">
        <f t="array" ref="X411">IFERROR(INDEX('Offer Statistics'!$FP$2:$FP$450,MATCH(1,($B411='Offer Statistics'!$FF$2:$FF$450)*($B$11='Offer Statistics'!$FG$2:$FG$450),0)),"/")</f>
        <v>10</v>
      </c>
      <c r="Y411" s="2">
        <f t="shared" si="382"/>
        <v>5.4</v>
      </c>
      <c r="Z411" s="2" t="s">
        <v>1792</v>
      </c>
      <c r="AA411" s="2" t="str">
        <f>入學要求!AF420</f>
        <v>/</v>
      </c>
      <c r="AB411" s="2" t="str">
        <f>入學要求!AG420</f>
        <v>/</v>
      </c>
      <c r="AC411" s="2" t="s">
        <v>785</v>
      </c>
      <c r="AR411" s="2" t="s">
        <v>324</v>
      </c>
      <c r="AT411" s="2" t="s">
        <v>1631</v>
      </c>
      <c r="AV411" s="2" t="s">
        <v>713</v>
      </c>
    </row>
    <row r="412" spans="1:117">
      <c r="A412" s="335" t="s">
        <v>2203</v>
      </c>
      <c r="B412" s="335" t="s">
        <v>2203</v>
      </c>
      <c r="C412" s="93" t="s">
        <v>375</v>
      </c>
      <c r="D412" s="93" t="s">
        <v>1814</v>
      </c>
      <c r="E412" s="93" t="s">
        <v>2226</v>
      </c>
      <c r="F412" s="2" t="s">
        <v>785</v>
      </c>
      <c r="G412" s="435"/>
      <c r="H412" s="435" t="s">
        <v>324</v>
      </c>
      <c r="I412" s="435">
        <v>15.8</v>
      </c>
      <c r="J412" s="435" t="s">
        <v>324</v>
      </c>
      <c r="K412" s="51"/>
      <c r="L412" s="51"/>
      <c r="M412" s="51"/>
      <c r="N412" s="435" t="s">
        <v>3261</v>
      </c>
      <c r="O412" s="435" t="s">
        <v>3262</v>
      </c>
      <c r="P412" s="51"/>
      <c r="Q412" s="51"/>
      <c r="R412" s="51"/>
      <c r="S412" s="93" t="s">
        <v>2204</v>
      </c>
      <c r="U412" s="2">
        <v>25</v>
      </c>
      <c r="V412" s="2" cm="1">
        <f t="array" ref="V412">IFERROR(INDEX('Offer Statistics'!$FU$2:$FU$450,MATCH(1,($B412='Offer Statistics'!$FF$2:$FF$450)*($B$11='Offer Statistics'!$FG$2:$FG$450),0)),"/")</f>
        <v>24</v>
      </c>
      <c r="W412" s="2" cm="1">
        <f t="array" ref="W412">IFERROR(INDEX('Offer Statistics'!$FH$2:$FH$450,MATCH(1,($B412='Offer Statistics'!$FF$2:$FF$450)*($B$11='Offer Statistics'!$FG$2:$FG$450),0)),"/")</f>
        <v>67</v>
      </c>
      <c r="X412" s="2" cm="1">
        <f t="array" ref="X412">IFERROR(INDEX('Offer Statistics'!$FP$2:$FP$450,MATCH(1,($B412='Offer Statistics'!$FF$2:$FF$450)*($B$11='Offer Statistics'!$FG$2:$FG$450),0)),"/")</f>
        <v>14</v>
      </c>
      <c r="Y412" s="2">
        <f t="shared" si="382"/>
        <v>4.7857142857142856</v>
      </c>
      <c r="Z412" s="2" t="s">
        <v>1792</v>
      </c>
      <c r="AA412" s="2" t="str">
        <f>入學要求!AF421</f>
        <v>/</v>
      </c>
      <c r="AB412" s="2" t="str">
        <f>入學要求!AG421</f>
        <v>/</v>
      </c>
      <c r="AC412" s="2" t="s">
        <v>785</v>
      </c>
      <c r="AR412" s="2" t="s">
        <v>324</v>
      </c>
      <c r="AT412" s="2" t="s">
        <v>1631</v>
      </c>
      <c r="AV412" s="2" t="s">
        <v>713</v>
      </c>
    </row>
    <row r="413" spans="1:117">
      <c r="A413" s="335" t="s">
        <v>2883</v>
      </c>
      <c r="B413" s="335" t="s">
        <v>2883</v>
      </c>
      <c r="C413" s="93" t="s">
        <v>375</v>
      </c>
      <c r="D413" s="93" t="s">
        <v>1814</v>
      </c>
      <c r="E413" s="93" t="s">
        <v>3253</v>
      </c>
      <c r="F413" s="2" t="s">
        <v>2940</v>
      </c>
      <c r="G413" s="435"/>
      <c r="H413" s="435" t="s">
        <v>324</v>
      </c>
      <c r="I413" s="435" t="s">
        <v>324</v>
      </c>
      <c r="J413" s="435" t="s">
        <v>324</v>
      </c>
      <c r="K413" s="51"/>
      <c r="L413" s="51"/>
      <c r="M413" s="51"/>
      <c r="N413" s="51"/>
      <c r="O413" s="51"/>
      <c r="P413" s="51"/>
      <c r="Q413" s="51"/>
      <c r="R413" s="51"/>
      <c r="S413" s="93" t="s">
        <v>2884</v>
      </c>
      <c r="U413" s="2">
        <v>30</v>
      </c>
      <c r="V413" s="2" t="str" cm="1">
        <f t="array" ref="V413">IFERROR(INDEX('Offer Statistics'!$FU$2:$FU$450,MATCH(1,($B413='Offer Statistics'!$FF$2:$FF$450)*($B$11='Offer Statistics'!$FG$2:$FG$450),0)),"/")</f>
        <v>/</v>
      </c>
      <c r="W413" s="2" t="str" cm="1">
        <f t="array" ref="W413">IFERROR(INDEX('Offer Statistics'!$FH$2:$FH$450,MATCH(1,($B413='Offer Statistics'!$FF$2:$FF$450)*($B$11='Offer Statistics'!$FG$2:$FG$450),0)),"/")</f>
        <v>/</v>
      </c>
      <c r="X413" s="2" t="str" cm="1">
        <f t="array" ref="X413">IFERROR(INDEX('Offer Statistics'!$FP$2:$FP$450,MATCH(1,($B413='Offer Statistics'!$FF$2:$FF$450)*($B$11='Offer Statistics'!$FG$2:$FG$450),0)),"/")</f>
        <v>/</v>
      </c>
      <c r="Y413" s="2" t="str">
        <f t="shared" si="382"/>
        <v>新科目</v>
      </c>
      <c r="Z413" s="2" t="s">
        <v>1792</v>
      </c>
      <c r="AA413" s="2" t="str">
        <f>入學要求!AF422</f>
        <v>優先考慮:  英文 考獲 Lv.4 或以上 者</v>
      </c>
      <c r="AB413" s="2" t="str">
        <f>入學要求!AG422</f>
        <v>以下一科選修取得Lv.2︰生物、化學、物理</v>
      </c>
      <c r="AC413" s="2" t="s">
        <v>785</v>
      </c>
    </row>
    <row r="414" spans="1:117">
      <c r="A414" s="335" t="s">
        <v>1825</v>
      </c>
      <c r="B414" s="335" t="s">
        <v>1825</v>
      </c>
      <c r="C414" s="93" t="s">
        <v>375</v>
      </c>
      <c r="D414" s="93" t="s">
        <v>1826</v>
      </c>
      <c r="E414" s="93" t="s">
        <v>2171</v>
      </c>
      <c r="F414" s="435" t="s">
        <v>785</v>
      </c>
      <c r="G414" s="435"/>
      <c r="H414" s="435" t="s">
        <v>324</v>
      </c>
      <c r="I414" s="435">
        <v>19</v>
      </c>
      <c r="J414" s="435">
        <v>17</v>
      </c>
      <c r="K414" s="51"/>
      <c r="L414" s="51"/>
      <c r="M414" s="51"/>
      <c r="N414" s="51"/>
      <c r="O414" s="51"/>
      <c r="P414" s="333" t="s">
        <v>1575</v>
      </c>
      <c r="Q414" s="51"/>
      <c r="R414" s="51"/>
      <c r="S414" s="93" t="s">
        <v>2205</v>
      </c>
      <c r="U414" s="2">
        <v>50</v>
      </c>
      <c r="V414" s="2" cm="1">
        <f t="array" ref="V414">IFERROR(INDEX('Offer Statistics'!$FU$2:$FU$450,MATCH(1,($B414='Offer Statistics'!$FF$2:$FF$450)*($B$11='Offer Statistics'!$FG$2:$FG$450),0)),"/")</f>
        <v>119</v>
      </c>
      <c r="W414" s="2" cm="1">
        <f t="array" ref="W414">IFERROR(INDEX('Offer Statistics'!$FH$2:$FH$450,MATCH(1,($B414='Offer Statistics'!$FF$2:$FF$450)*($B$11='Offer Statistics'!$FG$2:$FG$450),0)),"/")</f>
        <v>298</v>
      </c>
      <c r="X414" s="2" cm="1">
        <f t="array" ref="X414">IFERROR(INDEX('Offer Statistics'!$FP$2:$FP$450,MATCH(1,($B414='Offer Statistics'!$FF$2:$FF$450)*($B$11='Offer Statistics'!$FG$2:$FG$450),0)),"/")</f>
        <v>66</v>
      </c>
      <c r="Y414" s="2">
        <f t="shared" si="382"/>
        <v>4.5151515151515156</v>
      </c>
      <c r="Z414" s="2" t="s">
        <v>1792</v>
      </c>
      <c r="AA414" s="2" t="str">
        <f>入學要求!AF423</f>
        <v>/</v>
      </c>
      <c r="AB414" s="2" t="str">
        <f>入學要求!AG423</f>
        <v>/</v>
      </c>
      <c r="AC414" s="2" t="s">
        <v>785</v>
      </c>
      <c r="AH414" s="333" t="s">
        <v>1575</v>
      </c>
      <c r="AR414" s="2" t="s">
        <v>324</v>
      </c>
      <c r="AT414" s="2" t="s">
        <v>1631</v>
      </c>
      <c r="AV414" s="2" t="s">
        <v>713</v>
      </c>
    </row>
    <row r="415" spans="1:117">
      <c r="A415" s="335" t="s">
        <v>1827</v>
      </c>
      <c r="B415" s="335" t="s">
        <v>1827</v>
      </c>
      <c r="C415" s="93" t="s">
        <v>375</v>
      </c>
      <c r="D415" s="93" t="s">
        <v>1826</v>
      </c>
      <c r="E415" s="93" t="s">
        <v>2172</v>
      </c>
      <c r="F415" s="435" t="s">
        <v>785</v>
      </c>
      <c r="G415" s="435"/>
      <c r="H415" s="435" t="s">
        <v>324</v>
      </c>
      <c r="I415" s="435">
        <v>16</v>
      </c>
      <c r="J415" s="435">
        <v>15</v>
      </c>
      <c r="K415" s="51"/>
      <c r="L415" s="51"/>
      <c r="M415" s="51"/>
      <c r="N415" s="51"/>
      <c r="O415" s="51"/>
      <c r="P415" s="51"/>
      <c r="Q415" s="51"/>
      <c r="R415" s="51"/>
      <c r="S415" s="93" t="s">
        <v>2206</v>
      </c>
      <c r="U415" s="2">
        <v>80</v>
      </c>
      <c r="V415" s="2" cm="1">
        <f t="array" ref="V415">IFERROR(INDEX('Offer Statistics'!$FU$2:$FU$450,MATCH(1,($B415='Offer Statistics'!$FF$2:$FF$450)*($B$11='Offer Statistics'!$FG$2:$FG$450),0)),"/")</f>
        <v>118</v>
      </c>
      <c r="W415" s="2" cm="1">
        <f t="array" ref="W415">IFERROR(INDEX('Offer Statistics'!$FH$2:$FH$450,MATCH(1,($B415='Offer Statistics'!$FF$2:$FF$450)*($B$11='Offer Statistics'!$FG$2:$FG$450),0)),"/")</f>
        <v>450</v>
      </c>
      <c r="X415" s="2" cm="1">
        <f t="array" ref="X415">IFERROR(INDEX('Offer Statistics'!$FP$2:$FP$450,MATCH(1,($B415='Offer Statistics'!$FF$2:$FF$450)*($B$11='Offer Statistics'!$FG$2:$FG$450),0)),"/")</f>
        <v>83</v>
      </c>
      <c r="Y415" s="2">
        <f t="shared" si="382"/>
        <v>5.4216867469879517</v>
      </c>
      <c r="Z415" s="2" t="s">
        <v>1792</v>
      </c>
      <c r="AA415" s="2" t="str">
        <f>入學要求!AF424</f>
        <v>/</v>
      </c>
      <c r="AB415" s="2" t="str">
        <f>入學要求!AG424</f>
        <v>/</v>
      </c>
      <c r="AC415" s="2" t="s">
        <v>785</v>
      </c>
      <c r="AH415" s="51"/>
      <c r="AR415" s="2" t="s">
        <v>324</v>
      </c>
      <c r="AT415" s="2" t="s">
        <v>1631</v>
      </c>
      <c r="AV415" s="2" t="s">
        <v>713</v>
      </c>
    </row>
    <row r="416" spans="1:117">
      <c r="A416" s="335" t="s">
        <v>1828</v>
      </c>
      <c r="B416" s="335" t="s">
        <v>1828</v>
      </c>
      <c r="C416" s="93" t="s">
        <v>375</v>
      </c>
      <c r="D416" s="93" t="s">
        <v>1826</v>
      </c>
      <c r="E416" s="93" t="s">
        <v>2173</v>
      </c>
      <c r="F416" s="435" t="s">
        <v>785</v>
      </c>
      <c r="G416" s="435"/>
      <c r="H416" s="435" t="s">
        <v>324</v>
      </c>
      <c r="I416" s="435">
        <v>16</v>
      </c>
      <c r="J416" s="435">
        <v>15</v>
      </c>
      <c r="K416" s="51"/>
      <c r="L416" s="51"/>
      <c r="M416" s="51"/>
      <c r="N416" s="51"/>
      <c r="O416" s="51"/>
      <c r="P416" s="51"/>
      <c r="Q416" s="51"/>
      <c r="R416" s="51"/>
      <c r="S416" s="93" t="s">
        <v>2207</v>
      </c>
      <c r="U416" s="2">
        <v>30</v>
      </c>
      <c r="V416" s="2" cm="1">
        <f t="array" ref="V416">IFERROR(INDEX('Offer Statistics'!$FU$2:$FU$450,MATCH(1,($B416='Offer Statistics'!$FF$2:$FF$450)*($B$11='Offer Statistics'!$FG$2:$FG$450),0)),"/")</f>
        <v>54</v>
      </c>
      <c r="W416" s="2" cm="1">
        <f t="array" ref="W416">IFERROR(INDEX('Offer Statistics'!$FH$2:$FH$450,MATCH(1,($B416='Offer Statistics'!$FF$2:$FF$450)*($B$11='Offer Statistics'!$FG$2:$FG$450),0)),"/")</f>
        <v>307</v>
      </c>
      <c r="X416" s="2" cm="1">
        <f t="array" ref="X416">IFERROR(INDEX('Offer Statistics'!$FP$2:$FP$450,MATCH(1,($B416='Offer Statistics'!$FF$2:$FF$450)*($B$11='Offer Statistics'!$FG$2:$FG$450),0)),"/")</f>
        <v>35</v>
      </c>
      <c r="Y416" s="2">
        <f t="shared" si="382"/>
        <v>8.7714285714285722</v>
      </c>
      <c r="Z416" s="2" t="s">
        <v>1792</v>
      </c>
      <c r="AA416" s="2" t="str">
        <f>入學要求!AF425</f>
        <v>/</v>
      </c>
      <c r="AB416" s="2" t="str">
        <f>入學要求!AG425</f>
        <v>/</v>
      </c>
      <c r="AC416" s="2" t="s">
        <v>785</v>
      </c>
      <c r="AH416" s="51"/>
      <c r="AR416" s="2" t="s">
        <v>324</v>
      </c>
      <c r="AT416" s="2" t="s">
        <v>1631</v>
      </c>
      <c r="AV416" s="2" t="s">
        <v>713</v>
      </c>
    </row>
    <row r="417" spans="1:48">
      <c r="A417" s="335" t="s">
        <v>2208</v>
      </c>
      <c r="B417" s="335" t="s">
        <v>2208</v>
      </c>
      <c r="C417" s="93" t="s">
        <v>375</v>
      </c>
      <c r="D417" s="93" t="s">
        <v>1826</v>
      </c>
      <c r="E417" s="93" t="s">
        <v>2227</v>
      </c>
      <c r="F417" s="435" t="s">
        <v>785</v>
      </c>
      <c r="G417" s="435"/>
      <c r="H417" s="435" t="s">
        <v>324</v>
      </c>
      <c r="I417" s="435">
        <v>16</v>
      </c>
      <c r="J417" s="435">
        <v>14</v>
      </c>
      <c r="K417" s="51"/>
      <c r="L417" s="51"/>
      <c r="M417" s="51"/>
      <c r="N417" s="51"/>
      <c r="O417" s="51"/>
      <c r="P417" s="51"/>
      <c r="Q417" s="51"/>
      <c r="R417" s="51"/>
      <c r="S417" s="93" t="s">
        <v>2209</v>
      </c>
      <c r="U417" s="2">
        <v>40</v>
      </c>
      <c r="V417" s="2" cm="1">
        <f t="array" ref="V417">IFERROR(INDEX('Offer Statistics'!$FU$2:$FU$450,MATCH(1,($B417='Offer Statistics'!$FF$2:$FF$450)*($B$11='Offer Statistics'!$FG$2:$FG$450),0)),"/")</f>
        <v>34</v>
      </c>
      <c r="W417" s="2" cm="1">
        <f t="array" ref="W417">IFERROR(INDEX('Offer Statistics'!$FH$2:$FH$450,MATCH(1,($B417='Offer Statistics'!$FF$2:$FF$450)*($B$11='Offer Statistics'!$FG$2:$FG$450),0)),"/")</f>
        <v>128</v>
      </c>
      <c r="X417" s="2" cm="1">
        <f t="array" ref="X417">IFERROR(INDEX('Offer Statistics'!$FP$2:$FP$450,MATCH(1,($B417='Offer Statistics'!$FF$2:$FF$450)*($B$11='Offer Statistics'!$FG$2:$FG$450),0)),"/")</f>
        <v>20</v>
      </c>
      <c r="Y417" s="2">
        <f t="shared" si="382"/>
        <v>6.4</v>
      </c>
      <c r="Z417" s="2" t="s">
        <v>1792</v>
      </c>
      <c r="AA417" s="2" t="str">
        <f>入學要求!AF426</f>
        <v>/</v>
      </c>
      <c r="AB417" s="2" t="str">
        <f>入學要求!AG426</f>
        <v>/</v>
      </c>
      <c r="AC417" s="2" t="s">
        <v>785</v>
      </c>
      <c r="AH417" s="51"/>
      <c r="AR417" s="2" t="s">
        <v>324</v>
      </c>
      <c r="AT417" s="2" t="s">
        <v>1631</v>
      </c>
      <c r="AV417" s="2" t="s">
        <v>713</v>
      </c>
    </row>
    <row r="418" spans="1:48">
      <c r="A418" s="335" t="s">
        <v>1829</v>
      </c>
      <c r="B418" s="335" t="s">
        <v>1829</v>
      </c>
      <c r="C418" s="93" t="s">
        <v>375</v>
      </c>
      <c r="D418" s="93" t="s">
        <v>1826</v>
      </c>
      <c r="E418" s="93" t="s">
        <v>2174</v>
      </c>
      <c r="F418" s="435" t="s">
        <v>785</v>
      </c>
      <c r="G418" s="435"/>
      <c r="H418" s="435" t="s">
        <v>324</v>
      </c>
      <c r="I418" s="435">
        <v>20</v>
      </c>
      <c r="J418" s="435">
        <v>19</v>
      </c>
      <c r="K418" s="333"/>
      <c r="L418" s="333"/>
      <c r="M418" s="333"/>
      <c r="N418" s="333"/>
      <c r="O418" s="333"/>
      <c r="P418" s="333" t="s">
        <v>1830</v>
      </c>
      <c r="Q418" s="51"/>
      <c r="R418" s="51"/>
      <c r="S418" s="93" t="s">
        <v>2210</v>
      </c>
      <c r="U418" s="2">
        <v>410</v>
      </c>
      <c r="V418" s="2" cm="1">
        <f t="array" ref="V418">IFERROR(INDEX('Offer Statistics'!$FU$2:$FU$450,MATCH(1,($B418='Offer Statistics'!$FF$2:$FF$450)*($B$11='Offer Statistics'!$FG$2:$FG$450),0)),"/")</f>
        <v>390</v>
      </c>
      <c r="W418" s="2" cm="1">
        <f t="array" ref="W418">IFERROR(INDEX('Offer Statistics'!$FH$2:$FH$450,MATCH(1,($B418='Offer Statistics'!$FF$2:$FF$450)*($B$11='Offer Statistics'!$FG$2:$FG$450),0)),"/")</f>
        <v>2046</v>
      </c>
      <c r="X418" s="2" cm="1">
        <f t="array" ref="X418">IFERROR(INDEX('Offer Statistics'!$FP$2:$FP$450,MATCH(1,($B418='Offer Statistics'!$FF$2:$FF$450)*($B$11='Offer Statistics'!$FG$2:$FG$450),0)),"/")</f>
        <v>390</v>
      </c>
      <c r="Y418" s="2">
        <f t="shared" si="382"/>
        <v>5.2461538461538462</v>
      </c>
      <c r="Z418" s="2" t="s">
        <v>1792</v>
      </c>
      <c r="AA418" s="2" t="str">
        <f>入學要求!AF427</f>
        <v>/</v>
      </c>
      <c r="AB418" s="2" t="str">
        <f>入學要求!AG427</f>
        <v>/</v>
      </c>
      <c r="AC418" s="2" t="s">
        <v>785</v>
      </c>
      <c r="AH418" s="333" t="s">
        <v>1830</v>
      </c>
      <c r="AR418" s="2" t="s">
        <v>324</v>
      </c>
      <c r="AT418" s="2" t="s">
        <v>1631</v>
      </c>
      <c r="AV418" s="2" t="s">
        <v>713</v>
      </c>
    </row>
    <row r="419" spans="1:48">
      <c r="A419" s="335" t="s">
        <v>1831</v>
      </c>
      <c r="B419" s="335" t="s">
        <v>1831</v>
      </c>
      <c r="C419" s="93" t="s">
        <v>375</v>
      </c>
      <c r="D419" s="93" t="s">
        <v>1826</v>
      </c>
      <c r="E419" s="93" t="s">
        <v>2175</v>
      </c>
      <c r="F419" s="435" t="s">
        <v>785</v>
      </c>
      <c r="G419" s="435"/>
      <c r="H419" s="435" t="s">
        <v>324</v>
      </c>
      <c r="I419" s="435">
        <v>17</v>
      </c>
      <c r="J419" s="435">
        <v>16</v>
      </c>
      <c r="K419" s="333"/>
      <c r="L419" s="333"/>
      <c r="M419" s="333"/>
      <c r="N419" s="333"/>
      <c r="O419" s="333"/>
      <c r="P419" s="333" t="s">
        <v>1832</v>
      </c>
      <c r="Q419" s="51"/>
      <c r="R419" s="51"/>
      <c r="S419" s="93" t="s">
        <v>2211</v>
      </c>
      <c r="U419" s="2">
        <v>130</v>
      </c>
      <c r="V419" s="2" cm="1">
        <f t="array" ref="V419">IFERROR(INDEX('Offer Statistics'!$FU$2:$FU$450,MATCH(1,($B419='Offer Statistics'!$FF$2:$FF$450)*($B$11='Offer Statistics'!$FG$2:$FG$450),0)),"/")</f>
        <v>135</v>
      </c>
      <c r="W419" s="2" cm="1">
        <f t="array" ref="W419">IFERROR(INDEX('Offer Statistics'!$FH$2:$FH$450,MATCH(1,($B419='Offer Statistics'!$FF$2:$FF$450)*($B$11='Offer Statistics'!$FG$2:$FG$450),0)),"/")</f>
        <v>1029</v>
      </c>
      <c r="X419" s="2" cm="1">
        <f t="array" ref="X419">IFERROR(INDEX('Offer Statistics'!$FP$2:$FP$450,MATCH(1,($B419='Offer Statistics'!$FF$2:$FF$450)*($B$11='Offer Statistics'!$FG$2:$FG$450),0)),"/")</f>
        <v>135</v>
      </c>
      <c r="Y419" s="2">
        <f t="shared" si="382"/>
        <v>7.6222222222222218</v>
      </c>
      <c r="Z419" s="2" t="s">
        <v>1792</v>
      </c>
      <c r="AA419" s="2" t="str">
        <f>入學要求!AF428</f>
        <v>/</v>
      </c>
      <c r="AB419" s="2" t="str">
        <f>入學要求!AG428</f>
        <v>/</v>
      </c>
      <c r="AC419" s="2" t="s">
        <v>785</v>
      </c>
      <c r="AH419" s="333" t="s">
        <v>1832</v>
      </c>
      <c r="AR419" s="2" t="s">
        <v>324</v>
      </c>
      <c r="AT419" s="2" t="s">
        <v>1631</v>
      </c>
      <c r="AV419" s="2" t="s">
        <v>713</v>
      </c>
    </row>
    <row r="420" spans="1:48">
      <c r="A420" s="335" t="s">
        <v>1833</v>
      </c>
      <c r="B420" s="335" t="s">
        <v>1833</v>
      </c>
      <c r="C420" s="93" t="s">
        <v>375</v>
      </c>
      <c r="D420" s="93" t="s">
        <v>1826</v>
      </c>
      <c r="E420" s="93" t="s">
        <v>2176</v>
      </c>
      <c r="F420" s="435" t="s">
        <v>785</v>
      </c>
      <c r="G420" s="435"/>
      <c r="H420" s="435" t="s">
        <v>324</v>
      </c>
      <c r="I420" s="435">
        <v>25</v>
      </c>
      <c r="J420" s="435">
        <v>24</v>
      </c>
      <c r="K420" s="51"/>
      <c r="L420" s="51"/>
      <c r="M420" s="51"/>
      <c r="N420" s="51"/>
      <c r="O420" s="51"/>
      <c r="P420" s="51"/>
      <c r="Q420" s="51"/>
      <c r="R420" s="51"/>
      <c r="S420" s="93" t="s">
        <v>2212</v>
      </c>
      <c r="U420" s="2">
        <v>55</v>
      </c>
      <c r="V420" s="2" cm="1">
        <f t="array" ref="V420">IFERROR(INDEX('Offer Statistics'!$FU$2:$FU$450,MATCH(1,($B420='Offer Statistics'!$FF$2:$FF$450)*($B$11='Offer Statistics'!$FG$2:$FG$450),0)),"/")</f>
        <v>50</v>
      </c>
      <c r="W420" s="2" cm="1">
        <f t="array" ref="W420">IFERROR(INDEX('Offer Statistics'!$FH$2:$FH$450,MATCH(1,($B420='Offer Statistics'!$FF$2:$FF$450)*($B$11='Offer Statistics'!$FG$2:$FG$450),0)),"/")</f>
        <v>295</v>
      </c>
      <c r="X420" s="2" cm="1">
        <f t="array" ref="X420">IFERROR(INDEX('Offer Statistics'!$FP$2:$FP$450,MATCH(1,($B420='Offer Statistics'!$FF$2:$FF$450)*($B$11='Offer Statistics'!$FG$2:$FG$450),0)),"/")</f>
        <v>50</v>
      </c>
      <c r="Y420" s="2">
        <f t="shared" si="382"/>
        <v>5.9</v>
      </c>
      <c r="Z420" s="2" t="s">
        <v>1792</v>
      </c>
      <c r="AA420" s="2" t="str">
        <f>入學要求!AF429</f>
        <v>/</v>
      </c>
      <c r="AB420" s="2" t="str">
        <f>入學要求!AG429</f>
        <v>/</v>
      </c>
      <c r="AC420" s="2" t="s">
        <v>785</v>
      </c>
      <c r="AR420" s="2" t="s">
        <v>324</v>
      </c>
      <c r="AT420" s="2" t="s">
        <v>1631</v>
      </c>
      <c r="AV420" s="2" t="s">
        <v>713</v>
      </c>
    </row>
    <row r="421" spans="1:48">
      <c r="A421" s="335" t="s">
        <v>1834</v>
      </c>
      <c r="B421" s="335" t="s">
        <v>1834</v>
      </c>
      <c r="C421" s="93" t="s">
        <v>375</v>
      </c>
      <c r="D421" s="93" t="s">
        <v>1826</v>
      </c>
      <c r="E421" s="93" t="s">
        <v>2177</v>
      </c>
      <c r="F421" s="435" t="s">
        <v>785</v>
      </c>
      <c r="G421" s="435"/>
      <c r="H421" s="435" t="s">
        <v>324</v>
      </c>
      <c r="I421" s="435">
        <v>16</v>
      </c>
      <c r="J421" s="435">
        <v>16</v>
      </c>
      <c r="K421" s="51"/>
      <c r="L421" s="51"/>
      <c r="M421" s="51"/>
      <c r="N421" s="333" t="s">
        <v>1835</v>
      </c>
      <c r="O421" s="333" t="s">
        <v>1836</v>
      </c>
      <c r="P421" s="333"/>
      <c r="Q421" s="51"/>
      <c r="R421" s="51"/>
      <c r="S421" s="93" t="s">
        <v>2213</v>
      </c>
      <c r="U421" s="2">
        <v>80</v>
      </c>
      <c r="V421" s="2" cm="1">
        <f t="array" ref="V421">IFERROR(INDEX('Offer Statistics'!$FU$2:$FU$450,MATCH(1,($B421='Offer Statistics'!$FF$2:$FF$450)*($B$11='Offer Statistics'!$FG$2:$FG$450),0)),"/")</f>
        <v>90</v>
      </c>
      <c r="W421" s="2" cm="1">
        <f t="array" ref="W421">IFERROR(INDEX('Offer Statistics'!$FH$2:$FH$450,MATCH(1,($B421='Offer Statistics'!$FF$2:$FF$450)*($B$11='Offer Statistics'!$FG$2:$FG$450),0)),"/")</f>
        <v>306</v>
      </c>
      <c r="X421" s="2" cm="1">
        <f t="array" ref="X421">IFERROR(INDEX('Offer Statistics'!$FP$2:$FP$450,MATCH(1,($B421='Offer Statistics'!$FF$2:$FF$450)*($B$11='Offer Statistics'!$FG$2:$FG$450),0)),"/")</f>
        <v>87</v>
      </c>
      <c r="Y421" s="2">
        <f t="shared" si="382"/>
        <v>3.5172413793103448</v>
      </c>
      <c r="Z421" s="2" t="s">
        <v>1792</v>
      </c>
      <c r="AA421" s="2" t="str">
        <f>入學要求!AF430</f>
        <v>/</v>
      </c>
      <c r="AB421" s="2" t="str">
        <f>入學要求!AG430</f>
        <v>/</v>
      </c>
      <c r="AC421" s="2" t="s">
        <v>785</v>
      </c>
      <c r="AR421" s="2" t="s">
        <v>324</v>
      </c>
      <c r="AT421" s="2" t="s">
        <v>1631</v>
      </c>
      <c r="AV421" s="2" t="s">
        <v>713</v>
      </c>
    </row>
    <row r="422" spans="1:48">
      <c r="A422" s="335" t="s">
        <v>598</v>
      </c>
      <c r="B422" s="335" t="s">
        <v>598</v>
      </c>
      <c r="C422" s="93" t="s">
        <v>375</v>
      </c>
      <c r="D422" s="93" t="s">
        <v>1826</v>
      </c>
      <c r="E422" s="93" t="s">
        <v>2178</v>
      </c>
      <c r="F422" s="435" t="s">
        <v>785</v>
      </c>
      <c r="G422" s="435"/>
      <c r="H422" s="435" t="s">
        <v>324</v>
      </c>
      <c r="I422" s="435">
        <v>17</v>
      </c>
      <c r="J422" s="435">
        <v>17</v>
      </c>
      <c r="K422" s="51"/>
      <c r="L422" s="51"/>
      <c r="M422" s="51"/>
      <c r="N422" s="333"/>
      <c r="O422" s="333"/>
      <c r="P422" s="333"/>
      <c r="Q422" s="51"/>
      <c r="R422" s="51"/>
      <c r="S422" s="93" t="s">
        <v>2179</v>
      </c>
      <c r="U422" s="2">
        <v>60</v>
      </c>
      <c r="V422" s="2" cm="1">
        <f t="array" ref="V422">IFERROR(INDEX('Offer Statistics'!$FU$2:$FU$450,MATCH(1,($B422='Offer Statistics'!$FF$2:$FF$450)*($B$11='Offer Statistics'!$FG$2:$FG$450),0)),"/")</f>
        <v>63</v>
      </c>
      <c r="W422" s="2" cm="1">
        <f t="array" ref="W422">IFERROR(INDEX('Offer Statistics'!$FH$2:$FH$450,MATCH(1,($B422='Offer Statistics'!$FF$2:$FF$450)*($B$11='Offer Statistics'!$FG$2:$FG$450),0)),"/")</f>
        <v>432</v>
      </c>
      <c r="X422" s="2" cm="1">
        <f t="array" ref="X422">IFERROR(INDEX('Offer Statistics'!$FP$2:$FP$450,MATCH(1,($B422='Offer Statistics'!$FF$2:$FF$450)*($B$11='Offer Statistics'!$FG$2:$FG$450),0)),"/")</f>
        <v>63</v>
      </c>
      <c r="Y422" s="2">
        <f t="shared" si="382"/>
        <v>6.8571428571428568</v>
      </c>
      <c r="Z422" s="2" t="s">
        <v>1792</v>
      </c>
      <c r="AA422" s="2" t="str">
        <f>入學要求!AF431</f>
        <v>優先考慮  生物 或 化學 或 組合科學 (生物、化學) 考獲Lv.2或以上者</v>
      </c>
      <c r="AB422" s="2" t="str">
        <f>入學要求!AG431</f>
        <v>/</v>
      </c>
      <c r="AC422" s="2" t="s">
        <v>785</v>
      </c>
      <c r="AR422" s="2" t="s">
        <v>324</v>
      </c>
      <c r="AT422" s="2" t="s">
        <v>1631</v>
      </c>
      <c r="AV422" s="2" t="s">
        <v>713</v>
      </c>
    </row>
    <row r="423" spans="1:48">
      <c r="A423" s="335" t="s">
        <v>1838</v>
      </c>
      <c r="B423" s="335" t="s">
        <v>1838</v>
      </c>
      <c r="C423" s="93" t="s">
        <v>375</v>
      </c>
      <c r="D423" s="93" t="s">
        <v>1826</v>
      </c>
      <c r="E423" s="93" t="s">
        <v>2180</v>
      </c>
      <c r="F423" s="435" t="s">
        <v>785</v>
      </c>
      <c r="G423" s="435"/>
      <c r="H423" s="435" t="s">
        <v>324</v>
      </c>
      <c r="I423" s="435">
        <v>16</v>
      </c>
      <c r="J423" s="435">
        <v>15</v>
      </c>
      <c r="K423" s="51"/>
      <c r="L423" s="51"/>
      <c r="M423" s="51"/>
      <c r="N423" s="333"/>
      <c r="O423" s="333"/>
      <c r="P423" s="333"/>
      <c r="Q423" s="51"/>
      <c r="R423" s="51"/>
      <c r="S423" s="93" t="s">
        <v>1839</v>
      </c>
      <c r="U423" s="2">
        <v>40</v>
      </c>
      <c r="V423" s="2" cm="1">
        <f t="array" ref="V423">IFERROR(INDEX('Offer Statistics'!$FU$2:$FU$450,MATCH(1,($B423='Offer Statistics'!$FF$2:$FF$450)*($B$11='Offer Statistics'!$FG$2:$FG$450),0)),"/")</f>
        <v>65</v>
      </c>
      <c r="W423" s="2" cm="1">
        <f t="array" ref="W423">IFERROR(INDEX('Offer Statistics'!$FH$2:$FH$450,MATCH(1,($B423='Offer Statistics'!$FF$2:$FF$450)*($B$11='Offer Statistics'!$FG$2:$FG$450),0)),"/")</f>
        <v>398</v>
      </c>
      <c r="X423" s="2" cm="1">
        <f t="array" ref="X423">IFERROR(INDEX('Offer Statistics'!$FP$2:$FP$450,MATCH(1,($B423='Offer Statistics'!$FF$2:$FF$450)*($B$11='Offer Statistics'!$FG$2:$FG$450),0)),"/")</f>
        <v>55</v>
      </c>
      <c r="Y423" s="2">
        <f t="shared" si="382"/>
        <v>7.2363636363636363</v>
      </c>
      <c r="Z423" s="2" t="s">
        <v>1792</v>
      </c>
      <c r="AA423" s="2" t="str">
        <f>入學要求!AF432</f>
        <v>/</v>
      </c>
      <c r="AB423" s="2" t="str">
        <f>入學要求!AG432</f>
        <v>/</v>
      </c>
      <c r="AC423" s="2" t="s">
        <v>785</v>
      </c>
      <c r="AR423" s="2" t="s">
        <v>324</v>
      </c>
      <c r="AT423" s="2" t="s">
        <v>1631</v>
      </c>
      <c r="AV423" s="2" t="s">
        <v>713</v>
      </c>
    </row>
    <row r="424" spans="1:48">
      <c r="A424" s="335" t="s">
        <v>1840</v>
      </c>
      <c r="B424" s="335" t="s">
        <v>1840</v>
      </c>
      <c r="C424" s="93" t="s">
        <v>375</v>
      </c>
      <c r="D424" s="93" t="s">
        <v>1826</v>
      </c>
      <c r="E424" s="93" t="s">
        <v>2181</v>
      </c>
      <c r="F424" s="435" t="s">
        <v>785</v>
      </c>
      <c r="G424" s="435"/>
      <c r="H424" s="435" t="s">
        <v>324</v>
      </c>
      <c r="I424" s="435">
        <v>16</v>
      </c>
      <c r="J424" s="435">
        <v>15</v>
      </c>
      <c r="K424" s="51"/>
      <c r="L424" s="51"/>
      <c r="M424" s="51"/>
      <c r="N424" s="333"/>
      <c r="O424" s="333"/>
      <c r="P424" s="333"/>
      <c r="Q424" s="51"/>
      <c r="R424" s="51"/>
      <c r="S424" s="93" t="s">
        <v>2215</v>
      </c>
      <c r="U424" s="2">
        <v>35</v>
      </c>
      <c r="V424" s="2" cm="1">
        <f t="array" ref="V424">IFERROR(INDEX('Offer Statistics'!$FU$2:$FU$450,MATCH(1,($B424='Offer Statistics'!$FF$2:$FF$450)*($B$11='Offer Statistics'!$FG$2:$FG$450),0)),"/")</f>
        <v>60</v>
      </c>
      <c r="W424" s="2" cm="1">
        <f t="array" ref="W424">IFERROR(INDEX('Offer Statistics'!$FH$2:$FH$450,MATCH(1,($B424='Offer Statistics'!$FF$2:$FF$450)*($B$11='Offer Statistics'!$FG$2:$FG$450),0)),"/")</f>
        <v>253</v>
      </c>
      <c r="X424" s="2" cm="1">
        <f t="array" ref="X424">IFERROR(INDEX('Offer Statistics'!$FP$2:$FP$450,MATCH(1,($B424='Offer Statistics'!$FF$2:$FF$450)*($B$11='Offer Statistics'!$FG$2:$FG$450),0)),"/")</f>
        <v>44</v>
      </c>
      <c r="Y424" s="2">
        <f t="shared" si="382"/>
        <v>5.75</v>
      </c>
      <c r="Z424" s="2" t="s">
        <v>1792</v>
      </c>
      <c r="AA424" s="2" t="str">
        <f>入學要求!AF433</f>
        <v>/</v>
      </c>
      <c r="AB424" s="2" t="str">
        <f>入學要求!AG433</f>
        <v>/</v>
      </c>
      <c r="AC424" s="2" t="s">
        <v>785</v>
      </c>
      <c r="AR424" s="2" t="s">
        <v>324</v>
      </c>
      <c r="AT424" s="2" t="s">
        <v>1631</v>
      </c>
      <c r="AV424" s="2" t="s">
        <v>713</v>
      </c>
    </row>
    <row r="425" spans="1:48">
      <c r="A425" s="335" t="s">
        <v>1841</v>
      </c>
      <c r="B425" s="335" t="s">
        <v>1841</v>
      </c>
      <c r="C425" s="93" t="s">
        <v>375</v>
      </c>
      <c r="D425" s="93" t="s">
        <v>1826</v>
      </c>
      <c r="E425" s="93" t="s">
        <v>2000</v>
      </c>
      <c r="F425" s="435" t="s">
        <v>785</v>
      </c>
      <c r="G425" s="435"/>
      <c r="H425" s="435" t="s">
        <v>324</v>
      </c>
      <c r="I425" s="435">
        <v>16</v>
      </c>
      <c r="J425" s="435">
        <v>16</v>
      </c>
      <c r="K425" s="51"/>
      <c r="L425" s="51"/>
      <c r="M425" s="51"/>
      <c r="N425" s="333" t="s">
        <v>1842</v>
      </c>
      <c r="O425" s="333" t="s">
        <v>1843</v>
      </c>
      <c r="P425" s="333"/>
      <c r="Q425" s="51"/>
      <c r="R425" s="51"/>
      <c r="S425" s="93" t="s">
        <v>2182</v>
      </c>
      <c r="U425" s="2">
        <v>50</v>
      </c>
      <c r="V425" s="2" cm="1">
        <f t="array" ref="V425">IFERROR(INDEX('Offer Statistics'!$FU$2:$FU$450,MATCH(1,($B425='Offer Statistics'!$FF$2:$FF$450)*($B$11='Offer Statistics'!$FG$2:$FG$450),0)),"/")</f>
        <v>70</v>
      </c>
      <c r="W425" s="2" cm="1">
        <f t="array" ref="W425">IFERROR(INDEX('Offer Statistics'!$FH$2:$FH$450,MATCH(1,($B425='Offer Statistics'!$FF$2:$FF$450)*($B$11='Offer Statistics'!$FG$2:$FG$450),0)),"/")</f>
        <v>286</v>
      </c>
      <c r="X425" s="2" cm="1">
        <f t="array" ref="X425">IFERROR(INDEX('Offer Statistics'!$FP$2:$FP$450,MATCH(1,($B425='Offer Statistics'!$FF$2:$FF$450)*($B$11='Offer Statistics'!$FG$2:$FG$450),0)),"/")</f>
        <v>64</v>
      </c>
      <c r="Y425" s="2">
        <f t="shared" si="382"/>
        <v>4.46875</v>
      </c>
      <c r="Z425" s="2" t="s">
        <v>1792</v>
      </c>
      <c r="AA425" s="2" t="str">
        <f>入學要求!AF434</f>
        <v>/</v>
      </c>
      <c r="AB425" s="2" t="str">
        <f>入學要求!AG434</f>
        <v>/</v>
      </c>
      <c r="AC425" s="2" t="s">
        <v>785</v>
      </c>
      <c r="AR425" s="2" t="s">
        <v>324</v>
      </c>
      <c r="AT425" s="2" t="s">
        <v>1631</v>
      </c>
      <c r="AV425" s="2" t="s">
        <v>713</v>
      </c>
    </row>
    <row r="426" spans="1:48">
      <c r="A426" s="335" t="s">
        <v>2216</v>
      </c>
      <c r="B426" s="335" t="s">
        <v>2216</v>
      </c>
      <c r="C426" s="93" t="s">
        <v>375</v>
      </c>
      <c r="D426" s="93" t="s">
        <v>1826</v>
      </c>
      <c r="E426" s="93" t="s">
        <v>2229</v>
      </c>
      <c r="F426" s="435" t="s">
        <v>785</v>
      </c>
      <c r="G426" s="435"/>
      <c r="H426" s="435" t="s">
        <v>324</v>
      </c>
      <c r="I426" s="435">
        <v>17</v>
      </c>
      <c r="J426" s="435">
        <v>16</v>
      </c>
      <c r="K426" s="51"/>
      <c r="L426" s="51"/>
      <c r="M426" s="51"/>
      <c r="N426" s="333"/>
      <c r="O426" s="333"/>
      <c r="P426" s="333"/>
      <c r="Q426" s="51"/>
      <c r="R426" s="51"/>
      <c r="S426" s="93" t="s">
        <v>2217</v>
      </c>
      <c r="U426" s="2">
        <v>25</v>
      </c>
      <c r="V426" s="2" cm="1">
        <f t="array" ref="V426">IFERROR(INDEX('Offer Statistics'!$FU$2:$FU$450,MATCH(1,($B426='Offer Statistics'!$FF$2:$FF$450)*($B$11='Offer Statistics'!$FG$2:$FG$450),0)),"/")</f>
        <v>28</v>
      </c>
      <c r="W426" s="2" cm="1">
        <f t="array" ref="W426">IFERROR(INDEX('Offer Statistics'!$FH$2:$FH$450,MATCH(1,($B426='Offer Statistics'!$FF$2:$FF$450)*($B$11='Offer Statistics'!$FG$2:$FG$450),0)),"/")</f>
        <v>86</v>
      </c>
      <c r="X426" s="2" cm="1">
        <f t="array" ref="X426">IFERROR(INDEX('Offer Statistics'!$FP$2:$FP$450,MATCH(1,($B426='Offer Statistics'!$FF$2:$FF$450)*($B$11='Offer Statistics'!$FG$2:$FG$450),0)),"/")</f>
        <v>12</v>
      </c>
      <c r="Y426" s="2">
        <f t="shared" si="382"/>
        <v>7.166666666666667</v>
      </c>
      <c r="Z426" s="2" t="s">
        <v>1792</v>
      </c>
      <c r="AA426" s="2" t="str">
        <f>入學要求!AF435</f>
        <v>優先考慮修讀  化學 或 物理 者</v>
      </c>
      <c r="AB426" s="2" t="str">
        <f>入學要求!AG435</f>
        <v>/</v>
      </c>
      <c r="AC426" s="2" t="s">
        <v>785</v>
      </c>
      <c r="AR426" s="2" t="s">
        <v>324</v>
      </c>
      <c r="AT426" s="2" t="s">
        <v>1631</v>
      </c>
      <c r="AV426" s="2" t="s">
        <v>713</v>
      </c>
    </row>
    <row r="427" spans="1:48">
      <c r="A427" s="335" t="s">
        <v>2183</v>
      </c>
      <c r="B427" s="335" t="s">
        <v>2183</v>
      </c>
      <c r="C427" s="93" t="s">
        <v>375</v>
      </c>
      <c r="D427" s="93" t="s">
        <v>1826</v>
      </c>
      <c r="E427" s="93" t="s">
        <v>2002</v>
      </c>
      <c r="F427" s="435" t="s">
        <v>785</v>
      </c>
      <c r="G427" s="435"/>
      <c r="H427" s="435" t="s">
        <v>324</v>
      </c>
      <c r="I427" s="435">
        <v>17</v>
      </c>
      <c r="J427" s="435">
        <v>16</v>
      </c>
      <c r="K427" s="51"/>
      <c r="L427" s="51"/>
      <c r="M427" s="51"/>
      <c r="N427" s="333" t="s">
        <v>1844</v>
      </c>
      <c r="O427" s="333" t="s">
        <v>1845</v>
      </c>
      <c r="P427" s="333"/>
      <c r="Q427" s="51"/>
      <c r="R427" s="51"/>
      <c r="S427" s="93" t="s">
        <v>1846</v>
      </c>
      <c r="U427" s="2">
        <v>20</v>
      </c>
      <c r="V427" s="2" cm="1">
        <f t="array" ref="V427">IFERROR(INDEX('Offer Statistics'!$FU$2:$FU$450,MATCH(1,($B427='Offer Statistics'!$FF$2:$FF$450)*($B$11='Offer Statistics'!$FG$2:$FG$450),0)),"/")</f>
        <v>17</v>
      </c>
      <c r="W427" s="2" cm="1">
        <f t="array" ref="W427">IFERROR(INDEX('Offer Statistics'!$FH$2:$FH$450,MATCH(1,($B427='Offer Statistics'!$FF$2:$FF$450)*($B$11='Offer Statistics'!$FG$2:$FG$450),0)),"/")</f>
        <v>104</v>
      </c>
      <c r="X427" s="2" cm="1">
        <f t="array" ref="X427">IFERROR(INDEX('Offer Statistics'!$FP$2:$FP$450,MATCH(1,($B427='Offer Statistics'!$FF$2:$FF$450)*($B$11='Offer Statistics'!$FG$2:$FG$450),0)),"/")</f>
        <v>8</v>
      </c>
      <c r="Y427" s="2">
        <f t="shared" si="382"/>
        <v>13</v>
      </c>
      <c r="Z427" s="2" t="s">
        <v>1792</v>
      </c>
      <c r="AA427" s="2" t="str">
        <f>入學要求!AF436</f>
        <v>/</v>
      </c>
      <c r="AB427" s="2" t="str">
        <f>入學要求!AG436</f>
        <v>/</v>
      </c>
      <c r="AC427" s="2" t="s">
        <v>785</v>
      </c>
      <c r="AR427" s="2" t="s">
        <v>324</v>
      </c>
      <c r="AT427" s="2" t="s">
        <v>1631</v>
      </c>
      <c r="AV427" s="2" t="s">
        <v>713</v>
      </c>
    </row>
    <row r="428" spans="1:48">
      <c r="A428" s="335" t="s">
        <v>2184</v>
      </c>
      <c r="B428" s="335" t="s">
        <v>2184</v>
      </c>
      <c r="C428" s="93" t="s">
        <v>375</v>
      </c>
      <c r="D428" s="93" t="s">
        <v>1826</v>
      </c>
      <c r="E428" s="93" t="s">
        <v>2185</v>
      </c>
      <c r="F428" s="435" t="s">
        <v>785</v>
      </c>
      <c r="G428" s="435"/>
      <c r="H428" s="435" t="s">
        <v>324</v>
      </c>
      <c r="I428" s="435">
        <v>16</v>
      </c>
      <c r="J428" s="435">
        <v>16</v>
      </c>
      <c r="K428" s="51"/>
      <c r="L428" s="51"/>
      <c r="M428" s="51"/>
      <c r="N428" s="333" t="s">
        <v>1847</v>
      </c>
      <c r="O428" s="333" t="s">
        <v>1848</v>
      </c>
      <c r="P428" s="333"/>
      <c r="Q428" s="51"/>
      <c r="R428" s="51"/>
      <c r="S428" s="93" t="s">
        <v>1849</v>
      </c>
      <c r="U428" s="2">
        <v>45</v>
      </c>
      <c r="V428" s="2" cm="1">
        <f t="array" ref="V428">IFERROR(INDEX('Offer Statistics'!$FU$2:$FU$450,MATCH(1,($B428='Offer Statistics'!$FF$2:$FF$450)*($B$11='Offer Statistics'!$FG$2:$FG$450),0)),"/")</f>
        <v>65</v>
      </c>
      <c r="W428" s="2" cm="1">
        <f t="array" ref="W428">IFERROR(INDEX('Offer Statistics'!$FH$2:$FH$450,MATCH(1,($B428='Offer Statistics'!$FF$2:$FF$450)*($B$11='Offer Statistics'!$FG$2:$FG$450),0)),"/")</f>
        <v>237</v>
      </c>
      <c r="X428" s="2" cm="1">
        <f t="array" ref="X428">IFERROR(INDEX('Offer Statistics'!$FP$2:$FP$450,MATCH(1,($B428='Offer Statistics'!$FF$2:$FF$450)*($B$11='Offer Statistics'!$FG$2:$FG$450),0)),"/")</f>
        <v>48</v>
      </c>
      <c r="Y428" s="2">
        <f t="shared" si="382"/>
        <v>4.9375</v>
      </c>
      <c r="Z428" s="2" t="s">
        <v>1792</v>
      </c>
      <c r="AA428" s="2" t="str">
        <f>入學要求!AF437</f>
        <v>/</v>
      </c>
      <c r="AB428" s="2" t="str">
        <f>入學要求!AG437</f>
        <v>/</v>
      </c>
      <c r="AC428" s="2" t="s">
        <v>785</v>
      </c>
      <c r="AR428" s="2" t="s">
        <v>324</v>
      </c>
      <c r="AT428" s="2" t="s">
        <v>1631</v>
      </c>
      <c r="AV428" s="2" t="s">
        <v>713</v>
      </c>
    </row>
    <row r="429" spans="1:48">
      <c r="A429" s="335" t="s">
        <v>1850</v>
      </c>
      <c r="B429" s="335" t="s">
        <v>1850</v>
      </c>
      <c r="C429" s="93" t="s">
        <v>375</v>
      </c>
      <c r="D429" s="93" t="s">
        <v>1826</v>
      </c>
      <c r="E429" s="93" t="s">
        <v>2230</v>
      </c>
      <c r="F429" s="435" t="s">
        <v>785</v>
      </c>
      <c r="G429" s="435"/>
      <c r="H429" s="435" t="s">
        <v>324</v>
      </c>
      <c r="I429" s="435">
        <v>16</v>
      </c>
      <c r="J429" s="435">
        <v>15</v>
      </c>
      <c r="K429" s="333"/>
      <c r="L429" s="333"/>
      <c r="M429" s="333"/>
      <c r="N429" s="333"/>
      <c r="O429" s="333"/>
      <c r="P429" s="333"/>
      <c r="Q429" s="51"/>
      <c r="R429" s="51"/>
      <c r="S429" s="93" t="s">
        <v>2186</v>
      </c>
      <c r="U429" s="2">
        <v>40</v>
      </c>
      <c r="V429" s="2" cm="1">
        <f t="array" ref="V429">IFERROR(INDEX('Offer Statistics'!$FU$2:$FU$450,MATCH(1,($B429='Offer Statistics'!$FF$2:$FF$450)*($B$11='Offer Statistics'!$FG$2:$FG$450),0)),"/")</f>
        <v>81</v>
      </c>
      <c r="W429" s="2" cm="1">
        <f t="array" ref="W429">IFERROR(INDEX('Offer Statistics'!$FH$2:$FH$450,MATCH(1,($B429='Offer Statistics'!$FF$2:$FF$450)*($B$11='Offer Statistics'!$FG$2:$FG$450),0)),"/")</f>
        <v>374</v>
      </c>
      <c r="X429" s="2" cm="1">
        <f t="array" ref="X429">IFERROR(INDEX('Offer Statistics'!$FP$2:$FP$450,MATCH(1,($B429='Offer Statistics'!$FF$2:$FF$450)*($B$11='Offer Statistics'!$FG$2:$FG$450),0)),"/")</f>
        <v>47</v>
      </c>
      <c r="Y429" s="2">
        <f t="shared" si="382"/>
        <v>7.957446808510638</v>
      </c>
      <c r="Z429" s="2" t="s">
        <v>1792</v>
      </c>
      <c r="AA429" s="2" t="str">
        <f>入學要求!AF438</f>
        <v>/</v>
      </c>
      <c r="AB429" s="2" t="str">
        <f>入學要求!AG438</f>
        <v>/</v>
      </c>
      <c r="AC429" s="2" t="s">
        <v>785</v>
      </c>
      <c r="AR429" s="2" t="s">
        <v>324</v>
      </c>
      <c r="AT429" s="2" t="s">
        <v>1631</v>
      </c>
      <c r="AV429" s="2" t="s">
        <v>713</v>
      </c>
    </row>
    <row r="430" spans="1:48">
      <c r="A430" s="335" t="s">
        <v>2902</v>
      </c>
      <c r="B430" s="335" t="s">
        <v>2902</v>
      </c>
      <c r="C430" s="93" t="s">
        <v>375</v>
      </c>
      <c r="D430" s="93" t="s">
        <v>2170</v>
      </c>
      <c r="E430" s="93" t="s">
        <v>2138</v>
      </c>
      <c r="F430" s="435" t="s">
        <v>2940</v>
      </c>
      <c r="G430" s="435"/>
      <c r="H430" s="435" t="s">
        <v>324</v>
      </c>
      <c r="I430" s="435">
        <v>16</v>
      </c>
      <c r="J430" s="435">
        <v>16</v>
      </c>
      <c r="K430" s="333"/>
      <c r="L430" s="333"/>
      <c r="M430" s="333"/>
      <c r="N430" s="333" t="s">
        <v>3251</v>
      </c>
      <c r="O430" s="333" t="s">
        <v>3252</v>
      </c>
      <c r="P430" s="333"/>
      <c r="Q430" s="51"/>
      <c r="R430" s="51"/>
      <c r="S430" s="93" t="s">
        <v>1733</v>
      </c>
      <c r="U430" s="2">
        <v>40</v>
      </c>
      <c r="V430" s="2" t="str" cm="1">
        <f t="array" ref="V430">IFERROR(INDEX('Offer Statistics'!$FU$2:$FU$450,MATCH(1,($B430='Offer Statistics'!$FF$2:$FF$450)*($B$11='Offer Statistics'!$FG$2:$FG$450),0)),"/")</f>
        <v>/</v>
      </c>
      <c r="W430" s="2" t="str" cm="1">
        <f t="array" ref="W430">IFERROR(INDEX('Offer Statistics'!$FH$2:$FH$450,MATCH(1,($B430='Offer Statistics'!$FF$2:$FF$450)*($B$11='Offer Statistics'!$FG$2:$FG$450),0)),"/")</f>
        <v>/</v>
      </c>
      <c r="X430" s="2" t="str" cm="1">
        <f t="array" ref="X430">IFERROR(INDEX('Offer Statistics'!$FP$2:$FP$450,MATCH(1,($B430='Offer Statistics'!$FF$2:$FF$450)*($B$11='Offer Statistics'!$FG$2:$FG$450),0)),"/")</f>
        <v>/</v>
      </c>
      <c r="Y430" s="2" t="str">
        <f t="shared" si="382"/>
        <v>新科目</v>
      </c>
      <c r="Z430" s="2" t="s">
        <v>1792</v>
      </c>
      <c r="AA430" s="2" t="str">
        <f>入學要求!AF439</f>
        <v>/</v>
      </c>
      <c r="AB430" s="2" t="str">
        <f>入學要求!AG439</f>
        <v>/</v>
      </c>
      <c r="AC430" s="2" t="s">
        <v>785</v>
      </c>
    </row>
    <row r="431" spans="1:48">
      <c r="A431" s="335" t="s">
        <v>1851</v>
      </c>
      <c r="B431" s="335" t="s">
        <v>1851</v>
      </c>
      <c r="C431" s="93" t="s">
        <v>375</v>
      </c>
      <c r="D431" s="93" t="s">
        <v>1826</v>
      </c>
      <c r="E431" s="93" t="s">
        <v>2231</v>
      </c>
      <c r="F431" s="435" t="s">
        <v>785</v>
      </c>
      <c r="G431" s="435"/>
      <c r="H431" s="435" t="s">
        <v>324</v>
      </c>
      <c r="I431" s="435">
        <v>17</v>
      </c>
      <c r="J431" s="435">
        <v>15</v>
      </c>
      <c r="K431" s="333"/>
      <c r="L431" s="333"/>
      <c r="M431" s="333"/>
      <c r="N431" s="333"/>
      <c r="O431" s="333"/>
      <c r="P431" s="333"/>
      <c r="Q431" s="51"/>
      <c r="R431" s="51"/>
      <c r="S431" s="93" t="s">
        <v>2187</v>
      </c>
      <c r="U431" s="2">
        <v>50</v>
      </c>
      <c r="V431" s="2" cm="1">
        <f t="array" ref="V431">IFERROR(INDEX('Offer Statistics'!$FU$2:$FU$450,MATCH(1,($B431='Offer Statistics'!$FF$2:$FF$450)*($B$11='Offer Statistics'!$FG$2:$FG$450),0)),"/")</f>
        <v>70</v>
      </c>
      <c r="W431" s="2" cm="1">
        <f t="array" ref="W431">IFERROR(INDEX('Offer Statistics'!$FH$2:$FH$450,MATCH(1,($B431='Offer Statistics'!$FF$2:$FF$450)*($B$11='Offer Statistics'!$FG$2:$FG$450),0)),"/")</f>
        <v>402</v>
      </c>
      <c r="X431" s="2" cm="1">
        <f t="array" ref="X431">IFERROR(INDEX('Offer Statistics'!$FP$2:$FP$450,MATCH(1,($B431='Offer Statistics'!$FF$2:$FF$450)*($B$11='Offer Statistics'!$FG$2:$FG$450),0)),"/")</f>
        <v>70</v>
      </c>
      <c r="Y431" s="2">
        <f t="shared" si="382"/>
        <v>5.7428571428571429</v>
      </c>
      <c r="Z431" s="2" t="s">
        <v>1792</v>
      </c>
      <c r="AA431" s="2" t="str">
        <f>入學要求!AF440</f>
        <v>/</v>
      </c>
      <c r="AB431" s="2" t="str">
        <f>入學要求!AG440</f>
        <v>/</v>
      </c>
      <c r="AC431" s="2" t="s">
        <v>785</v>
      </c>
      <c r="AR431" s="2" t="s">
        <v>324</v>
      </c>
      <c r="AT431" s="2" t="s">
        <v>1631</v>
      </c>
      <c r="AV431" s="2" t="s">
        <v>713</v>
      </c>
    </row>
    <row r="432" spans="1:48">
      <c r="A432" s="335" t="s">
        <v>1852</v>
      </c>
      <c r="B432" s="335" t="s">
        <v>1852</v>
      </c>
      <c r="C432" s="93" t="s">
        <v>375</v>
      </c>
      <c r="D432" s="93" t="s">
        <v>1826</v>
      </c>
      <c r="E432" s="93" t="s">
        <v>2232</v>
      </c>
      <c r="F432" s="435" t="s">
        <v>785</v>
      </c>
      <c r="G432" s="435"/>
      <c r="H432" s="435" t="s">
        <v>324</v>
      </c>
      <c r="I432" s="435">
        <v>17</v>
      </c>
      <c r="J432" s="435">
        <v>16</v>
      </c>
      <c r="K432" s="333"/>
      <c r="L432" s="333"/>
      <c r="M432" s="333"/>
      <c r="N432" s="333"/>
      <c r="O432" s="333"/>
      <c r="P432" s="333"/>
      <c r="Q432" s="51"/>
      <c r="R432" s="51"/>
      <c r="S432" s="93" t="s">
        <v>2218</v>
      </c>
      <c r="U432" s="2">
        <v>25</v>
      </c>
      <c r="V432" s="2" cm="1">
        <f t="array" ref="V432">IFERROR(INDEX('Offer Statistics'!$FU$2:$FU$450,MATCH(1,($B432='Offer Statistics'!$FF$2:$FF$450)*($B$11='Offer Statistics'!$FG$2:$FG$450),0)),"/")</f>
        <v>67</v>
      </c>
      <c r="W432" s="2" cm="1">
        <f t="array" ref="W432">IFERROR(INDEX('Offer Statistics'!$FH$2:$FH$450,MATCH(1,($B432='Offer Statistics'!$FF$2:$FF$450)*($B$11='Offer Statistics'!$FG$2:$FG$450),0)),"/")</f>
        <v>205</v>
      </c>
      <c r="X432" s="2" cm="1">
        <f t="array" ref="X432">IFERROR(INDEX('Offer Statistics'!$FP$2:$FP$450,MATCH(1,($B432='Offer Statistics'!$FF$2:$FF$450)*($B$11='Offer Statistics'!$FG$2:$FG$450),0)),"/")</f>
        <v>38</v>
      </c>
      <c r="Y432" s="2">
        <f t="shared" si="382"/>
        <v>5.3947368421052628</v>
      </c>
      <c r="Z432" s="2" t="s">
        <v>1792</v>
      </c>
      <c r="AA432" s="2" t="str">
        <f>入學要求!AF441</f>
        <v>/</v>
      </c>
      <c r="AB432" s="2" t="str">
        <f>入學要求!AG441</f>
        <v>/</v>
      </c>
      <c r="AC432" s="2" t="s">
        <v>785</v>
      </c>
      <c r="AR432" s="2" t="s">
        <v>324</v>
      </c>
      <c r="AT432" s="2" t="s">
        <v>1631</v>
      </c>
      <c r="AV432" s="2" t="s">
        <v>713</v>
      </c>
    </row>
    <row r="433" spans="1:48">
      <c r="A433" s="335" t="s">
        <v>1853</v>
      </c>
      <c r="B433" s="335" t="s">
        <v>1853</v>
      </c>
      <c r="C433" s="93" t="s">
        <v>375</v>
      </c>
      <c r="D433" s="93" t="s">
        <v>1826</v>
      </c>
      <c r="E433" s="93" t="s">
        <v>2233</v>
      </c>
      <c r="F433" s="435" t="s">
        <v>785</v>
      </c>
      <c r="G433" s="435"/>
      <c r="H433" s="435" t="s">
        <v>324</v>
      </c>
      <c r="I433" s="435">
        <v>17</v>
      </c>
      <c r="J433" s="435">
        <v>16</v>
      </c>
      <c r="K433" s="333"/>
      <c r="L433" s="333"/>
      <c r="M433" s="333"/>
      <c r="N433" s="333"/>
      <c r="O433" s="333"/>
      <c r="P433" s="333"/>
      <c r="Q433" s="51"/>
      <c r="R433" s="51"/>
      <c r="S433" s="93" t="s">
        <v>2219</v>
      </c>
      <c r="U433" s="2">
        <v>20</v>
      </c>
      <c r="V433" s="2" cm="1">
        <f t="array" ref="V433">IFERROR(INDEX('Offer Statistics'!$FU$2:$FU$450,MATCH(1,($B433='Offer Statistics'!$FF$2:$FF$450)*($B$11='Offer Statistics'!$FG$2:$FG$450),0)),"/")</f>
        <v>43</v>
      </c>
      <c r="W433" s="2" cm="1">
        <f t="array" ref="W433">IFERROR(INDEX('Offer Statistics'!$FH$2:$FH$450,MATCH(1,($B433='Offer Statistics'!$FF$2:$FF$450)*($B$11='Offer Statistics'!$FG$2:$FG$450),0)),"/")</f>
        <v>147</v>
      </c>
      <c r="X433" s="2" cm="1">
        <f t="array" ref="X433">IFERROR(INDEX('Offer Statistics'!$FP$2:$FP$450,MATCH(1,($B433='Offer Statistics'!$FF$2:$FF$450)*($B$11='Offer Statistics'!$FG$2:$FG$450),0)),"/")</f>
        <v>19</v>
      </c>
      <c r="Y433" s="2">
        <f t="shared" si="382"/>
        <v>7.7368421052631575</v>
      </c>
      <c r="Z433" s="2" t="s">
        <v>1792</v>
      </c>
      <c r="AA433" s="2" t="str">
        <f>入學要求!AF442</f>
        <v>/</v>
      </c>
      <c r="AB433" s="2" t="str">
        <f>入學要求!AG442</f>
        <v>/</v>
      </c>
      <c r="AC433" s="2" t="s">
        <v>785</v>
      </c>
      <c r="AR433" s="2" t="s">
        <v>324</v>
      </c>
      <c r="AT433" s="2" t="s">
        <v>1631</v>
      </c>
      <c r="AV433" s="2" t="s">
        <v>713</v>
      </c>
    </row>
    <row r="434" spans="1:48">
      <c r="A434" s="335" t="s">
        <v>1854</v>
      </c>
      <c r="B434" s="335" t="s">
        <v>1854</v>
      </c>
      <c r="C434" s="93" t="s">
        <v>375</v>
      </c>
      <c r="D434" s="93" t="s">
        <v>1855</v>
      </c>
      <c r="E434" s="93" t="s">
        <v>2188</v>
      </c>
      <c r="F434" s="435" t="s">
        <v>785</v>
      </c>
      <c r="G434" s="435"/>
      <c r="H434" s="435" t="s">
        <v>324</v>
      </c>
      <c r="I434" s="435">
        <v>15</v>
      </c>
      <c r="J434" s="435" t="s">
        <v>324</v>
      </c>
      <c r="K434" s="333"/>
      <c r="L434" s="51"/>
      <c r="M434" s="51"/>
      <c r="N434" s="51"/>
      <c r="O434" s="51"/>
      <c r="P434" s="51"/>
      <c r="Q434" s="51"/>
      <c r="R434" s="51"/>
      <c r="S434" s="93" t="s">
        <v>1856</v>
      </c>
      <c r="U434" s="2">
        <v>20</v>
      </c>
      <c r="V434" s="2" cm="1">
        <f t="array" ref="V434">IFERROR(INDEX('Offer Statistics'!$FU$2:$FU$450,MATCH(1,($B434='Offer Statistics'!$FF$2:$FF$450)*($B$11='Offer Statistics'!$FG$2:$FG$450),0)),"/")</f>
        <v>51</v>
      </c>
      <c r="W434" s="2" cm="1">
        <f t="array" ref="W434">IFERROR(INDEX('Offer Statistics'!$FH$2:$FH$450,MATCH(1,($B434='Offer Statistics'!$FF$2:$FF$450)*($B$11='Offer Statistics'!$FG$2:$FG$450),0)),"/")</f>
        <v>269</v>
      </c>
      <c r="X434" s="2" cm="1">
        <f t="array" ref="X434">IFERROR(INDEX('Offer Statistics'!$FP$2:$FP$450,MATCH(1,($B434='Offer Statistics'!$FF$2:$FF$450)*($B$11='Offer Statistics'!$FG$2:$FG$450),0)),"/")</f>
        <v>24</v>
      </c>
      <c r="Y434" s="2">
        <f t="shared" si="382"/>
        <v>11.208333333333334</v>
      </c>
      <c r="Z434" s="2" t="s">
        <v>1792</v>
      </c>
      <c r="AA434" s="2" t="str">
        <f>入學要求!AF443</f>
        <v>/</v>
      </c>
      <c r="AB434" s="2" t="str">
        <f>入學要求!AG443</f>
        <v>/</v>
      </c>
      <c r="AC434" s="2" t="s">
        <v>785</v>
      </c>
      <c r="AR434" s="2" t="s">
        <v>324</v>
      </c>
      <c r="AT434" s="2" t="s">
        <v>1631</v>
      </c>
      <c r="AV434" s="2" t="s">
        <v>713</v>
      </c>
    </row>
    <row r="435" spans="1:48">
      <c r="A435" s="335" t="s">
        <v>1857</v>
      </c>
      <c r="B435" s="335" t="s">
        <v>1857</v>
      </c>
      <c r="C435" s="93" t="s">
        <v>375</v>
      </c>
      <c r="D435" s="93" t="s">
        <v>1855</v>
      </c>
      <c r="E435" s="93" t="s">
        <v>2189</v>
      </c>
      <c r="F435" s="435" t="s">
        <v>785</v>
      </c>
      <c r="G435" s="435"/>
      <c r="H435" s="435" t="s">
        <v>324</v>
      </c>
      <c r="I435" s="435">
        <v>15</v>
      </c>
      <c r="J435" s="435" t="s">
        <v>324</v>
      </c>
      <c r="K435" s="333"/>
      <c r="L435" s="51"/>
      <c r="M435" s="51"/>
      <c r="N435" s="51"/>
      <c r="O435" s="51"/>
      <c r="P435" s="51"/>
      <c r="Q435" s="51"/>
      <c r="R435" s="51"/>
      <c r="S435" s="93" t="s">
        <v>1858</v>
      </c>
      <c r="U435" s="2">
        <v>10</v>
      </c>
      <c r="V435" s="2" cm="1">
        <f t="array" ref="V435">IFERROR(INDEX('Offer Statistics'!$FU$2:$FU$450,MATCH(1,($B435='Offer Statistics'!$FF$2:$FF$450)*($B$11='Offer Statistics'!$FG$2:$FG$450),0)),"/")</f>
        <v>17</v>
      </c>
      <c r="W435" s="2" cm="1">
        <f t="array" ref="W435">IFERROR(INDEX('Offer Statistics'!$FH$2:$FH$450,MATCH(1,($B435='Offer Statistics'!$FF$2:$FF$450)*($B$11='Offer Statistics'!$FG$2:$FG$450),0)),"/")</f>
        <v>152</v>
      </c>
      <c r="X435" s="2" cm="1">
        <f t="array" ref="X435">IFERROR(INDEX('Offer Statistics'!$FP$2:$FP$450,MATCH(1,($B435='Offer Statistics'!$FF$2:$FF$450)*($B$11='Offer Statistics'!$FG$2:$FG$450),0)),"/")</f>
        <v>10</v>
      </c>
      <c r="Y435" s="2">
        <f t="shared" si="382"/>
        <v>15.2</v>
      </c>
      <c r="Z435" s="2" t="s">
        <v>1792</v>
      </c>
      <c r="AA435" s="2" t="str">
        <f>入學要求!AF444</f>
        <v>/</v>
      </c>
      <c r="AB435" s="2" t="str">
        <f>入學要求!AG444</f>
        <v>/</v>
      </c>
      <c r="AC435" s="2" t="s">
        <v>785</v>
      </c>
      <c r="AR435" s="2" t="s">
        <v>324</v>
      </c>
      <c r="AT435" s="2" t="s">
        <v>1631</v>
      </c>
      <c r="AV435" s="2" t="s">
        <v>713</v>
      </c>
    </row>
    <row r="436" spans="1:48">
      <c r="A436" s="335" t="s">
        <v>1859</v>
      </c>
      <c r="B436" s="335" t="s">
        <v>1859</v>
      </c>
      <c r="C436" s="93" t="s">
        <v>375</v>
      </c>
      <c r="D436" s="93" t="s">
        <v>1855</v>
      </c>
      <c r="E436" s="93" t="s">
        <v>2190</v>
      </c>
      <c r="F436" s="435" t="s">
        <v>785</v>
      </c>
      <c r="G436" s="435"/>
      <c r="H436" s="435" t="s">
        <v>324</v>
      </c>
      <c r="I436" s="435">
        <v>16</v>
      </c>
      <c r="J436" s="435" t="s">
        <v>324</v>
      </c>
      <c r="K436" s="333"/>
      <c r="L436" s="51"/>
      <c r="M436" s="51"/>
      <c r="N436" s="51"/>
      <c r="O436" s="51"/>
      <c r="P436" s="51"/>
      <c r="Q436" s="51"/>
      <c r="R436" s="51"/>
      <c r="S436" s="93" t="s">
        <v>1860</v>
      </c>
      <c r="U436" s="2">
        <v>15</v>
      </c>
      <c r="V436" s="2" cm="1">
        <f t="array" ref="V436">IFERROR(INDEX('Offer Statistics'!$FU$2:$FU$450,MATCH(1,($B436='Offer Statistics'!$FF$2:$FF$450)*($B$11='Offer Statistics'!$FG$2:$FG$450),0)),"/")</f>
        <v>15</v>
      </c>
      <c r="W436" s="2" cm="1">
        <f t="array" ref="W436">IFERROR(INDEX('Offer Statistics'!$FH$2:$FH$450,MATCH(1,($B436='Offer Statistics'!$FF$2:$FF$450)*($B$11='Offer Statistics'!$FG$2:$FG$450),0)),"/")</f>
        <v>67</v>
      </c>
      <c r="X436" s="2" cm="1">
        <f t="array" ref="X436">IFERROR(INDEX('Offer Statistics'!$FP$2:$FP$450,MATCH(1,($B436='Offer Statistics'!$FF$2:$FF$450)*($B$11='Offer Statistics'!$FG$2:$FG$450),0)),"/")</f>
        <v>8</v>
      </c>
      <c r="Y436" s="2">
        <f t="shared" si="382"/>
        <v>8.375</v>
      </c>
      <c r="Z436" s="2" t="s">
        <v>1792</v>
      </c>
      <c r="AA436" s="2" t="str">
        <f>入學要求!AF445</f>
        <v>/</v>
      </c>
      <c r="AB436" s="2" t="str">
        <f>入學要求!AG445</f>
        <v>/</v>
      </c>
      <c r="AC436" s="2" t="s">
        <v>785</v>
      </c>
      <c r="AR436" s="2" t="s">
        <v>324</v>
      </c>
      <c r="AT436" s="2" t="s">
        <v>1631</v>
      </c>
      <c r="AV436" s="2" t="s">
        <v>713</v>
      </c>
    </row>
    <row r="437" spans="1:48">
      <c r="A437" s="335" t="s">
        <v>1861</v>
      </c>
      <c r="B437" s="335" t="s">
        <v>1861</v>
      </c>
      <c r="C437" s="93" t="s">
        <v>375</v>
      </c>
      <c r="D437" s="93" t="s">
        <v>1855</v>
      </c>
      <c r="E437" s="93" t="s">
        <v>2191</v>
      </c>
      <c r="F437" s="435" t="s">
        <v>785</v>
      </c>
      <c r="G437" s="435"/>
      <c r="H437" s="435" t="s">
        <v>324</v>
      </c>
      <c r="I437" s="435">
        <v>16</v>
      </c>
      <c r="J437" s="435" t="s">
        <v>324</v>
      </c>
      <c r="K437" s="333"/>
      <c r="L437" s="51"/>
      <c r="M437" s="51"/>
      <c r="N437" s="51"/>
      <c r="O437" s="51"/>
      <c r="P437" s="51"/>
      <c r="Q437" s="51"/>
      <c r="R437" s="51"/>
      <c r="S437" s="93" t="s">
        <v>1862</v>
      </c>
      <c r="U437" s="2">
        <v>10</v>
      </c>
      <c r="V437" s="2" cm="1">
        <f t="array" ref="V437">IFERROR(INDEX('Offer Statistics'!$FU$2:$FU$450,MATCH(1,($B437='Offer Statistics'!$FF$2:$FF$450)*($B$11='Offer Statistics'!$FG$2:$FG$450),0)),"/")</f>
        <v>24</v>
      </c>
      <c r="W437" s="2" cm="1">
        <f t="array" ref="W437">IFERROR(INDEX('Offer Statistics'!$FH$2:$FH$450,MATCH(1,($B437='Offer Statistics'!$FF$2:$FF$450)*($B$11='Offer Statistics'!$FG$2:$FG$450),0)),"/")</f>
        <v>218</v>
      </c>
      <c r="X437" s="2" cm="1">
        <f t="array" ref="X437">IFERROR(INDEX('Offer Statistics'!$FP$2:$FP$450,MATCH(1,($B437='Offer Statistics'!$FF$2:$FF$450)*($B$11='Offer Statistics'!$FG$2:$FG$450),0)),"/")</f>
        <v>12</v>
      </c>
      <c r="Y437" s="2">
        <f t="shared" si="382"/>
        <v>18.166666666666668</v>
      </c>
      <c r="Z437" s="2" t="s">
        <v>1792</v>
      </c>
      <c r="AA437" s="2" t="str">
        <f>入學要求!AF446</f>
        <v>/</v>
      </c>
      <c r="AB437" s="2" t="str">
        <f>入學要求!AG446</f>
        <v>/</v>
      </c>
      <c r="AC437" s="2" t="s">
        <v>785</v>
      </c>
      <c r="AR437" s="2" t="s">
        <v>324</v>
      </c>
      <c r="AT437" s="2" t="s">
        <v>1631</v>
      </c>
      <c r="AV437" s="2" t="s">
        <v>713</v>
      </c>
    </row>
    <row r="438" spans="1:48">
      <c r="A438" s="335" t="s">
        <v>1863</v>
      </c>
      <c r="B438" s="335" t="s">
        <v>1863</v>
      </c>
      <c r="C438" s="93" t="s">
        <v>375</v>
      </c>
      <c r="D438" s="93" t="s">
        <v>1855</v>
      </c>
      <c r="E438" s="93" t="s">
        <v>2192</v>
      </c>
      <c r="F438" s="435" t="s">
        <v>785</v>
      </c>
      <c r="G438" s="435"/>
      <c r="H438" s="435" t="s">
        <v>324</v>
      </c>
      <c r="I438" s="435">
        <v>16</v>
      </c>
      <c r="J438" s="435" t="s">
        <v>324</v>
      </c>
      <c r="K438" s="333"/>
      <c r="L438" s="51"/>
      <c r="M438" s="51"/>
      <c r="N438" s="51"/>
      <c r="O438" s="51"/>
      <c r="P438" s="51"/>
      <c r="Q438" s="51"/>
      <c r="R438" s="51"/>
      <c r="S438" s="93" t="s">
        <v>1864</v>
      </c>
      <c r="U438" s="2">
        <v>20</v>
      </c>
      <c r="V438" s="2" cm="1">
        <f t="array" ref="V438">IFERROR(INDEX('Offer Statistics'!$FU$2:$FU$450,MATCH(1,($B438='Offer Statistics'!$FF$2:$FF$450)*($B$11='Offer Statistics'!$FG$2:$FG$450),0)),"/")</f>
        <v>26</v>
      </c>
      <c r="W438" s="2" cm="1">
        <f t="array" ref="W438">IFERROR(INDEX('Offer Statistics'!$FH$2:$FH$450,MATCH(1,($B438='Offer Statistics'!$FF$2:$FF$450)*($B$11='Offer Statistics'!$FG$2:$FG$450),0)),"/")</f>
        <v>112</v>
      </c>
      <c r="X438" s="2" cm="1">
        <f t="array" ref="X438">IFERROR(INDEX('Offer Statistics'!$FP$2:$FP$450,MATCH(1,($B438='Offer Statistics'!$FF$2:$FF$450)*($B$11='Offer Statistics'!$FG$2:$FG$450),0)),"/")</f>
        <v>5</v>
      </c>
      <c r="Y438" s="2">
        <f t="shared" si="382"/>
        <v>22.4</v>
      </c>
      <c r="Z438" s="2" t="s">
        <v>1792</v>
      </c>
      <c r="AA438" s="2" t="str">
        <f>入學要求!AF447</f>
        <v>以下一科選修取得Lv.2︰生物、化學、組合科學、物理、綜合科學、M1/2</v>
      </c>
      <c r="AB438" s="2" t="str">
        <f>入學要求!AG447</f>
        <v>/</v>
      </c>
      <c r="AC438" s="2" t="s">
        <v>785</v>
      </c>
      <c r="AR438" s="2" t="s">
        <v>324</v>
      </c>
      <c r="AT438" s="2" t="s">
        <v>1631</v>
      </c>
      <c r="AV438" s="2" t="s">
        <v>713</v>
      </c>
    </row>
    <row r="439" spans="1:48">
      <c r="A439" s="335" t="s">
        <v>1865</v>
      </c>
      <c r="B439" s="335" t="s">
        <v>1865</v>
      </c>
      <c r="C439" s="93" t="s">
        <v>375</v>
      </c>
      <c r="D439" s="93" t="s">
        <v>1855</v>
      </c>
      <c r="E439" s="93" t="s">
        <v>2193</v>
      </c>
      <c r="F439" s="435" t="s">
        <v>785</v>
      </c>
      <c r="G439" s="435"/>
      <c r="H439" s="435" t="s">
        <v>324</v>
      </c>
      <c r="I439" s="435">
        <v>15</v>
      </c>
      <c r="J439" s="435" t="s">
        <v>324</v>
      </c>
      <c r="K439" s="333"/>
      <c r="L439" s="51"/>
      <c r="M439" s="51"/>
      <c r="N439" s="51"/>
      <c r="O439" s="51"/>
      <c r="P439" s="51"/>
      <c r="Q439" s="51"/>
      <c r="R439" s="51"/>
      <c r="S439" s="93" t="s">
        <v>1866</v>
      </c>
      <c r="U439" s="2">
        <v>15</v>
      </c>
      <c r="V439" s="2" cm="1">
        <f t="array" ref="V439">IFERROR(INDEX('Offer Statistics'!$FU$2:$FU$450,MATCH(1,($B439='Offer Statistics'!$FF$2:$FF$450)*($B$11='Offer Statistics'!$FG$2:$FG$450),0)),"/")</f>
        <v>12</v>
      </c>
      <c r="W439" s="2" cm="1">
        <f t="array" ref="W439">IFERROR(INDEX('Offer Statistics'!$FH$2:$FH$450,MATCH(1,($B439='Offer Statistics'!$FF$2:$FF$450)*($B$11='Offer Statistics'!$FG$2:$FG$450),0)),"/")</f>
        <v>67</v>
      </c>
      <c r="X439" s="2" cm="1">
        <f t="array" ref="X439">IFERROR(INDEX('Offer Statistics'!$FP$2:$FP$450,MATCH(1,($B439='Offer Statistics'!$FF$2:$FF$450)*($B$11='Offer Statistics'!$FG$2:$FG$450),0)),"/")</f>
        <v>7</v>
      </c>
      <c r="Y439" s="2">
        <f t="shared" si="382"/>
        <v>9.5714285714285712</v>
      </c>
      <c r="Z439" s="2" t="s">
        <v>1792</v>
      </c>
      <c r="AA439" s="2" t="str">
        <f>入學要求!AF448</f>
        <v>/</v>
      </c>
      <c r="AB439" s="2" t="str">
        <f>入學要求!AG448</f>
        <v>/</v>
      </c>
      <c r="AC439" s="2" t="s">
        <v>785</v>
      </c>
      <c r="AR439" s="2" t="s">
        <v>324</v>
      </c>
      <c r="AT439" s="2" t="s">
        <v>1631</v>
      </c>
      <c r="AV439" s="2" t="s">
        <v>713</v>
      </c>
    </row>
    <row r="440" spans="1:48">
      <c r="A440" s="335" t="s">
        <v>1867</v>
      </c>
      <c r="B440" s="335" t="s">
        <v>1867</v>
      </c>
      <c r="C440" s="93" t="s">
        <v>375</v>
      </c>
      <c r="D440" s="93" t="s">
        <v>1855</v>
      </c>
      <c r="E440" s="93" t="s">
        <v>2194</v>
      </c>
      <c r="F440" s="435" t="s">
        <v>785</v>
      </c>
      <c r="G440" s="435"/>
      <c r="H440" s="435" t="s">
        <v>324</v>
      </c>
      <c r="I440" s="435">
        <v>16</v>
      </c>
      <c r="J440" s="435" t="s">
        <v>324</v>
      </c>
      <c r="K440" s="333"/>
      <c r="L440" s="51"/>
      <c r="M440" s="51"/>
      <c r="N440" s="51"/>
      <c r="O440" s="51"/>
      <c r="P440" s="51"/>
      <c r="Q440" s="51"/>
      <c r="R440" s="51"/>
      <c r="S440" s="93" t="s">
        <v>1868</v>
      </c>
      <c r="U440" s="2">
        <v>15</v>
      </c>
      <c r="V440" s="2" cm="1">
        <f t="array" ref="V440">IFERROR(INDEX('Offer Statistics'!$FU$2:$FU$450,MATCH(1,($B440='Offer Statistics'!$FF$2:$FF$450)*($B$11='Offer Statistics'!$FG$2:$FG$450),0)),"/")</f>
        <v>26</v>
      </c>
      <c r="W440" s="2" cm="1">
        <f t="array" ref="W440">IFERROR(INDEX('Offer Statistics'!$FH$2:$FH$450,MATCH(1,($B440='Offer Statistics'!$FF$2:$FF$450)*($B$11='Offer Statistics'!$FG$2:$FG$450),0)),"/")</f>
        <v>82</v>
      </c>
      <c r="X440" s="2" cm="1">
        <f t="array" ref="X440">IFERROR(INDEX('Offer Statistics'!$FP$2:$FP$450,MATCH(1,($B440='Offer Statistics'!$FF$2:$FF$450)*($B$11='Offer Statistics'!$FG$2:$FG$450),0)),"/")</f>
        <v>16</v>
      </c>
      <c r="Y440" s="2">
        <f t="shared" si="382"/>
        <v>5.125</v>
      </c>
      <c r="Z440" s="2" t="s">
        <v>1792</v>
      </c>
      <c r="AA440" s="2" t="str">
        <f>入學要求!AF449</f>
        <v>/</v>
      </c>
      <c r="AB440" s="2" t="str">
        <f>入學要求!AG449</f>
        <v>/</v>
      </c>
      <c r="AC440" s="2" t="s">
        <v>785</v>
      </c>
      <c r="AR440" s="2" t="s">
        <v>324</v>
      </c>
      <c r="AT440" s="2" t="s">
        <v>1631</v>
      </c>
      <c r="AV440" s="2" t="s">
        <v>713</v>
      </c>
    </row>
    <row r="441" spans="1:48">
      <c r="A441" s="335" t="s">
        <v>1869</v>
      </c>
      <c r="B441" s="335" t="s">
        <v>1869</v>
      </c>
      <c r="C441" s="93" t="s">
        <v>375</v>
      </c>
      <c r="D441" s="93" t="s">
        <v>1855</v>
      </c>
      <c r="E441" s="93" t="s">
        <v>2195</v>
      </c>
      <c r="F441" s="435" t="s">
        <v>785</v>
      </c>
      <c r="G441" s="435"/>
      <c r="H441" s="435" t="s">
        <v>324</v>
      </c>
      <c r="I441" s="435">
        <v>15</v>
      </c>
      <c r="J441" s="435" t="s">
        <v>324</v>
      </c>
      <c r="K441" s="333"/>
      <c r="L441" s="51"/>
      <c r="M441" s="51"/>
      <c r="N441" s="51"/>
      <c r="O441" s="51"/>
      <c r="P441" s="51"/>
      <c r="Q441" s="51"/>
      <c r="R441" s="51"/>
      <c r="S441" s="93" t="s">
        <v>1870</v>
      </c>
      <c r="U441" s="2">
        <v>20</v>
      </c>
      <c r="V441" s="2" cm="1">
        <f t="array" ref="V441">IFERROR(INDEX('Offer Statistics'!$FU$2:$FU$450,MATCH(1,($B441='Offer Statistics'!$FF$2:$FF$450)*($B$11='Offer Statistics'!$FG$2:$FG$450),0)),"/")</f>
        <v>63</v>
      </c>
      <c r="W441" s="2" cm="1">
        <f t="array" ref="W441">IFERROR(INDEX('Offer Statistics'!$FH$2:$FH$450,MATCH(1,($B441='Offer Statistics'!$FF$2:$FF$450)*($B$11='Offer Statistics'!$FG$2:$FG$450),0)),"/")</f>
        <v>267</v>
      </c>
      <c r="X441" s="2" cm="1">
        <f t="array" ref="X441">IFERROR(INDEX('Offer Statistics'!$FP$2:$FP$450,MATCH(1,($B441='Offer Statistics'!$FF$2:$FF$450)*($B$11='Offer Statistics'!$FG$2:$FG$450),0)),"/")</f>
        <v>34</v>
      </c>
      <c r="Y441" s="2">
        <f t="shared" si="382"/>
        <v>7.8529411764705879</v>
      </c>
      <c r="Z441" s="2" t="s">
        <v>1792</v>
      </c>
      <c r="AA441" s="2" t="str">
        <f>入學要求!AF450</f>
        <v>/</v>
      </c>
      <c r="AB441" s="2" t="str">
        <f>入學要求!AG450</f>
        <v>/</v>
      </c>
      <c r="AC441" s="2" t="s">
        <v>785</v>
      </c>
      <c r="AR441" s="2" t="s">
        <v>324</v>
      </c>
      <c r="AT441" s="2" t="s">
        <v>1631</v>
      </c>
      <c r="AV441" s="2" t="s">
        <v>713</v>
      </c>
    </row>
    <row r="442" spans="1:48">
      <c r="A442" s="335" t="s">
        <v>594</v>
      </c>
      <c r="B442" s="335" t="s">
        <v>594</v>
      </c>
      <c r="C442" s="93" t="s">
        <v>375</v>
      </c>
      <c r="D442" s="93" t="s">
        <v>1855</v>
      </c>
      <c r="E442" s="93" t="s">
        <v>2196</v>
      </c>
      <c r="F442" s="435" t="s">
        <v>785</v>
      </c>
      <c r="G442" s="435"/>
      <c r="H442" s="435" t="s">
        <v>324</v>
      </c>
      <c r="I442" s="435">
        <v>15</v>
      </c>
      <c r="J442" s="435" t="s">
        <v>324</v>
      </c>
      <c r="K442" s="333"/>
      <c r="L442" s="51"/>
      <c r="M442" s="51"/>
      <c r="N442" s="51"/>
      <c r="O442" s="51"/>
      <c r="P442" s="51"/>
      <c r="Q442" s="51"/>
      <c r="R442" s="51"/>
      <c r="S442" s="93" t="s">
        <v>2197</v>
      </c>
      <c r="U442" s="2">
        <v>10</v>
      </c>
      <c r="V442" s="2" cm="1">
        <f t="array" ref="V442">IFERROR(INDEX('Offer Statistics'!$FU$2:$FU$450,MATCH(1,($B442='Offer Statistics'!$FF$2:$FF$450)*($B$11='Offer Statistics'!$FG$2:$FG$450),0)),"/")</f>
        <v>5</v>
      </c>
      <c r="W442" s="2" cm="1">
        <f t="array" ref="W442">IFERROR(INDEX('Offer Statistics'!$FH$2:$FH$450,MATCH(1,($B442='Offer Statistics'!$FF$2:$FF$450)*($B$11='Offer Statistics'!$FG$2:$FG$450),0)),"/")</f>
        <v>50</v>
      </c>
      <c r="X442" s="2" cm="1">
        <f t="array" ref="X442">IFERROR(INDEX('Offer Statistics'!$FP$2:$FP$450,MATCH(1,($B442='Offer Statistics'!$FF$2:$FF$450)*($B$11='Offer Statistics'!$FG$2:$FG$450),0)),"/")</f>
        <v>3</v>
      </c>
      <c r="Y442" s="2">
        <f t="shared" si="382"/>
        <v>16.666666666666668</v>
      </c>
      <c r="Z442" s="2" t="s">
        <v>1792</v>
      </c>
      <c r="AA442" s="2" t="str">
        <f>入學要求!AF451</f>
        <v>以下一科選修取得Lv.2︰生物、化學、組合科學、物理、綜合科學、M1/2</v>
      </c>
      <c r="AB442" s="2" t="str">
        <f>入學要求!AG451</f>
        <v>/</v>
      </c>
      <c r="AC442" s="2" t="s">
        <v>785</v>
      </c>
      <c r="AR442" s="2" t="s">
        <v>324</v>
      </c>
      <c r="AT442" s="2" t="s">
        <v>1631</v>
      </c>
      <c r="AV442" s="2" t="s">
        <v>713</v>
      </c>
    </row>
    <row r="443" spans="1:48">
      <c r="A443" s="335" t="s">
        <v>2916</v>
      </c>
      <c r="B443" s="335" t="s">
        <v>2916</v>
      </c>
      <c r="C443" s="93" t="s">
        <v>375</v>
      </c>
      <c r="D443" s="93" t="s">
        <v>1855</v>
      </c>
      <c r="E443" s="93" t="s">
        <v>3248</v>
      </c>
      <c r="F443" s="435" t="s">
        <v>2940</v>
      </c>
      <c r="G443" s="435"/>
      <c r="H443" s="435" t="s">
        <v>324</v>
      </c>
      <c r="I443" s="435" t="s">
        <v>324</v>
      </c>
      <c r="J443" s="435" t="s">
        <v>324</v>
      </c>
      <c r="K443" s="333"/>
      <c r="L443" s="51"/>
      <c r="M443" s="51"/>
      <c r="N443" s="51"/>
      <c r="O443" s="51"/>
      <c r="P443" s="51"/>
      <c r="Q443" s="51"/>
      <c r="R443" s="51"/>
      <c r="S443" s="93" t="s">
        <v>2917</v>
      </c>
      <c r="U443" s="2">
        <v>10</v>
      </c>
      <c r="V443" s="2" t="str" cm="1">
        <f t="array" ref="V443">IFERROR(INDEX('Offer Statistics'!$FU$2:$FU$450,MATCH(1,($B443='Offer Statistics'!$FF$2:$FF$450)*($B$11='Offer Statistics'!$FG$2:$FG$450),0)),"/")</f>
        <v>/</v>
      </c>
      <c r="W443" s="2" t="str" cm="1">
        <f t="array" ref="W443">IFERROR(INDEX('Offer Statistics'!$FH$2:$FH$450,MATCH(1,($B443='Offer Statistics'!$FF$2:$FF$450)*($B$11='Offer Statistics'!$FG$2:$FG$450),0)),"/")</f>
        <v>/</v>
      </c>
      <c r="X443" s="2" t="str" cm="1">
        <f t="array" ref="X443">IFERROR(INDEX('Offer Statistics'!$FP$2:$FP$450,MATCH(1,($B443='Offer Statistics'!$FF$2:$FF$450)*($B$11='Offer Statistics'!$FG$2:$FG$450),0)),"/")</f>
        <v>/</v>
      </c>
      <c r="Y443" s="2" t="str">
        <f t="shared" si="382"/>
        <v>新科目</v>
      </c>
      <c r="Z443" s="2" t="s">
        <v>1792</v>
      </c>
      <c r="AA443" s="2" t="str">
        <f>入學要求!AF452</f>
        <v>/</v>
      </c>
      <c r="AB443" s="2" t="str">
        <f>入學要求!AG452</f>
        <v>/</v>
      </c>
      <c r="AC443" s="2" t="s">
        <v>785</v>
      </c>
    </row>
    <row r="444" spans="1:48">
      <c r="A444" s="335" t="s">
        <v>1871</v>
      </c>
      <c r="B444" s="335" t="s">
        <v>1871</v>
      </c>
      <c r="C444" s="93" t="s">
        <v>375</v>
      </c>
      <c r="D444" s="93" t="s">
        <v>1872</v>
      </c>
      <c r="E444" s="93" t="s">
        <v>1873</v>
      </c>
      <c r="F444" s="435" t="s">
        <v>785</v>
      </c>
      <c r="G444" s="435"/>
      <c r="H444" s="435" t="s">
        <v>324</v>
      </c>
      <c r="I444" s="435">
        <v>14.3</v>
      </c>
      <c r="J444" s="435" t="s">
        <v>324</v>
      </c>
      <c r="K444" s="51"/>
      <c r="L444" s="51"/>
      <c r="M444" s="51"/>
      <c r="N444" s="51"/>
      <c r="O444" s="51"/>
      <c r="P444" s="51"/>
      <c r="Q444" s="51"/>
      <c r="R444" s="51"/>
      <c r="S444" s="93" t="s">
        <v>1874</v>
      </c>
      <c r="U444" s="2">
        <v>15</v>
      </c>
      <c r="V444" s="2" cm="1">
        <f t="array" ref="V444">IFERROR(INDEX('Offer Statistics'!$FU$2:$FU$450,MATCH(1,($B444='Offer Statistics'!$FF$2:$FF$450)*($B$11='Offer Statistics'!$FG$2:$FG$450),0)),"/")</f>
        <v>31</v>
      </c>
      <c r="W444" s="2" cm="1">
        <f t="array" ref="W444">IFERROR(INDEX('Offer Statistics'!$FH$2:$FH$450,MATCH(1,($B444='Offer Statistics'!$FF$2:$FF$450)*($B$11='Offer Statistics'!$FG$2:$FG$450),0)),"/")</f>
        <v>165</v>
      </c>
      <c r="X444" s="2" cm="1">
        <f t="array" ref="X444">IFERROR(INDEX('Offer Statistics'!$FP$2:$FP$450,MATCH(1,($B444='Offer Statistics'!$FF$2:$FF$450)*($B$11='Offer Statistics'!$FG$2:$FG$450),0)),"/")</f>
        <v>18</v>
      </c>
      <c r="Y444" s="2">
        <f t="shared" si="382"/>
        <v>9.1666666666666661</v>
      </c>
      <c r="Z444" s="2" t="s">
        <v>1792</v>
      </c>
      <c r="AA444" s="2" t="str">
        <f>入學要求!AF453</f>
        <v>/</v>
      </c>
      <c r="AB444" s="2" t="str">
        <f>入學要求!AG453</f>
        <v>/</v>
      </c>
      <c r="AC444" s="2" t="s">
        <v>785</v>
      </c>
      <c r="AR444" s="2" t="s">
        <v>324</v>
      </c>
      <c r="AT444" s="2" t="s">
        <v>1631</v>
      </c>
      <c r="AV444" s="2" t="s">
        <v>713</v>
      </c>
    </row>
    <row r="445" spans="1:48">
      <c r="A445" s="335" t="s">
        <v>2220</v>
      </c>
      <c r="B445" s="335" t="s">
        <v>2220</v>
      </c>
      <c r="C445" s="93" t="s">
        <v>375</v>
      </c>
      <c r="D445" s="93" t="s">
        <v>1872</v>
      </c>
      <c r="E445" s="93" t="s">
        <v>2234</v>
      </c>
      <c r="F445" s="435" t="s">
        <v>785</v>
      </c>
      <c r="G445" s="435"/>
      <c r="H445" s="435" t="s">
        <v>324</v>
      </c>
      <c r="I445" s="435">
        <v>14</v>
      </c>
      <c r="J445" s="435" t="s">
        <v>324</v>
      </c>
      <c r="K445" s="51"/>
      <c r="L445" s="51"/>
      <c r="M445" s="51"/>
      <c r="N445" s="51"/>
      <c r="O445" s="51"/>
      <c r="P445" s="51"/>
      <c r="Q445" s="51"/>
      <c r="R445" s="51"/>
      <c r="S445" s="93" t="s">
        <v>2221</v>
      </c>
      <c r="U445" s="2">
        <v>10</v>
      </c>
      <c r="V445" s="2" cm="1">
        <f t="array" ref="V445">IFERROR(INDEX('Offer Statistics'!$FU$2:$FU$450,MATCH(1,($B445='Offer Statistics'!$FF$2:$FF$450)*($B$11='Offer Statistics'!$FG$2:$FG$450),0)),"/")</f>
        <v>8</v>
      </c>
      <c r="W445" s="2" cm="1">
        <f t="array" ref="W445">IFERROR(INDEX('Offer Statistics'!$FH$2:$FH$450,MATCH(1,($B445='Offer Statistics'!$FF$2:$FF$450)*($B$11='Offer Statistics'!$FG$2:$FG$450),0)),"/")</f>
        <v>72</v>
      </c>
      <c r="X445" s="2" cm="1">
        <f t="array" ref="X445">IFERROR(INDEX('Offer Statistics'!$FP$2:$FP$450,MATCH(1,($B445='Offer Statistics'!$FF$2:$FF$450)*($B$11='Offer Statistics'!$FG$2:$FG$450),0)),"/")</f>
        <v>5</v>
      </c>
      <c r="Y445" s="2">
        <f t="shared" si="382"/>
        <v>14.4</v>
      </c>
      <c r="Z445" s="2" t="s">
        <v>1792</v>
      </c>
      <c r="AA445" s="2" t="str">
        <f>入學要求!AF454</f>
        <v>/</v>
      </c>
      <c r="AB445" s="2" t="str">
        <f>入學要求!AG454</f>
        <v>/</v>
      </c>
      <c r="AC445" s="2" t="s">
        <v>785</v>
      </c>
      <c r="AR445" s="2" t="s">
        <v>324</v>
      </c>
      <c r="AT445" s="2" t="s">
        <v>1631</v>
      </c>
      <c r="AV445" s="2" t="s">
        <v>713</v>
      </c>
    </row>
    <row r="446" spans="1:48">
      <c r="A446" s="335" t="s">
        <v>1875</v>
      </c>
      <c r="B446" s="335" t="s">
        <v>1875</v>
      </c>
      <c r="C446" s="93" t="s">
        <v>375</v>
      </c>
      <c r="D446" s="93" t="s">
        <v>1876</v>
      </c>
      <c r="E446" s="93" t="s">
        <v>1877</v>
      </c>
      <c r="F446" s="435" t="s">
        <v>785</v>
      </c>
      <c r="G446" s="435">
        <v>15.9</v>
      </c>
      <c r="H446" s="435" t="s">
        <v>324</v>
      </c>
      <c r="I446" s="435">
        <v>15.9</v>
      </c>
      <c r="J446" s="435" t="s">
        <v>324</v>
      </c>
      <c r="K446" s="333"/>
      <c r="L446" s="333"/>
      <c r="M446" s="333"/>
      <c r="N446" s="333"/>
      <c r="O446" s="51"/>
      <c r="P446" s="51"/>
      <c r="Q446" s="51"/>
      <c r="R446" s="51"/>
      <c r="S446" s="93" t="s">
        <v>1878</v>
      </c>
      <c r="U446" s="2">
        <v>25</v>
      </c>
      <c r="V446" s="2" cm="1">
        <f t="array" ref="V446">IFERROR(INDEX('Offer Statistics'!$FU$2:$FU$450,MATCH(1,($B446='Offer Statistics'!$FF$2:$FF$450)*($B$11='Offer Statistics'!$FG$2:$FG$450),0)),"/")</f>
        <v>62</v>
      </c>
      <c r="W446" s="2" cm="1">
        <f t="array" ref="W446">IFERROR(INDEX('Offer Statistics'!$FH$2:$FH$450,MATCH(1,($B446='Offer Statistics'!$FF$2:$FF$450)*($B$11='Offer Statistics'!$FG$2:$FG$450),0)),"/")</f>
        <v>167</v>
      </c>
      <c r="X446" s="2" cm="1">
        <f t="array" ref="X446">IFERROR(INDEX('Offer Statistics'!$FP$2:$FP$450,MATCH(1,($B446='Offer Statistics'!$FF$2:$FF$450)*($B$11='Offer Statistics'!$FG$2:$FG$450),0)),"/")</f>
        <v>26</v>
      </c>
      <c r="Y446" s="2">
        <f t="shared" si="382"/>
        <v>6.4230769230769234</v>
      </c>
      <c r="Z446" s="2" t="s">
        <v>1792</v>
      </c>
      <c r="AA446" s="2" t="str">
        <f>入學要求!AF455</f>
        <v>優先考慮:  數學 及/或 資訊及通訊科技 考獲Lv.3或以上者</v>
      </c>
      <c r="AB446" s="2" t="str">
        <f>入學要求!AG455</f>
        <v>/</v>
      </c>
      <c r="AC446" s="2" t="s">
        <v>785</v>
      </c>
      <c r="AR446" s="2" t="s">
        <v>324</v>
      </c>
      <c r="AT446" s="2" t="s">
        <v>1631</v>
      </c>
      <c r="AV446" s="2" t="s">
        <v>713</v>
      </c>
    </row>
    <row r="447" spans="1:48">
      <c r="A447" s="335" t="s">
        <v>2922</v>
      </c>
      <c r="B447" s="335" t="s">
        <v>2922</v>
      </c>
      <c r="C447" s="93" t="s">
        <v>375</v>
      </c>
      <c r="D447" s="93" t="s">
        <v>1876</v>
      </c>
      <c r="E447" s="93" t="s">
        <v>3247</v>
      </c>
      <c r="F447" s="435" t="s">
        <v>2940</v>
      </c>
      <c r="G447" s="435">
        <v>16</v>
      </c>
      <c r="H447" s="435" t="s">
        <v>324</v>
      </c>
      <c r="I447" s="435">
        <v>16</v>
      </c>
      <c r="J447" s="435" t="s">
        <v>324</v>
      </c>
      <c r="K447" s="51"/>
      <c r="L447" s="51"/>
      <c r="M447" s="51"/>
      <c r="N447" s="51"/>
      <c r="O447" s="51"/>
      <c r="P447" s="51"/>
      <c r="Q447" s="51"/>
      <c r="R447" s="51"/>
      <c r="S447" s="93" t="s">
        <v>2923</v>
      </c>
      <c r="U447" s="2">
        <v>30</v>
      </c>
      <c r="V447" s="2" t="str" cm="1">
        <f t="array" ref="V447">IFERROR(INDEX('Offer Statistics'!$FU$2:$FU$450,MATCH(1,($B447='Offer Statistics'!$FF$2:$FF$450)*($B$11='Offer Statistics'!$FG$2:$FG$450),0)),"/")</f>
        <v>/</v>
      </c>
      <c r="W447" s="2" t="str" cm="1">
        <f t="array" ref="W447">IFERROR(INDEX('Offer Statistics'!$FH$2:$FH$450,MATCH(1,($B447='Offer Statistics'!$FF$2:$FF$450)*($B$11='Offer Statistics'!$FG$2:$FG$450),0)),"/")</f>
        <v>/</v>
      </c>
      <c r="X447" s="2" t="str" cm="1">
        <f t="array" ref="X447">IFERROR(INDEX('Offer Statistics'!$FP$2:$FP$450,MATCH(1,($B447='Offer Statistics'!$FF$2:$FF$450)*($B$11='Offer Statistics'!$FG$2:$FG$450),0)),"/")</f>
        <v>/</v>
      </c>
      <c r="Y447" s="2" t="str">
        <f t="shared" si="382"/>
        <v>新科目</v>
      </c>
      <c r="Z447" s="2" t="s">
        <v>1792</v>
      </c>
      <c r="AA447" s="2" t="str">
        <f>入學要求!AF456</f>
        <v>優先考慮:  M1/2 及/或 資訊及通訊科技 考獲Lv.4或以上者</v>
      </c>
      <c r="AB447" s="2" t="str">
        <f>入學要求!AG456</f>
        <v>/</v>
      </c>
      <c r="AC447" s="2" t="s">
        <v>785</v>
      </c>
    </row>
    <row r="448" spans="1:48">
      <c r="C448" s="328"/>
      <c r="F448" s="11"/>
    </row>
  </sheetData>
  <phoneticPr fontId="3" type="noConversion"/>
  <conditionalFormatting sqref="A13:XFD13 G14:XFD71 B72:XFD72 A14:F25 A26:B26 C26:F46 B27:B46 A27:A66 B47:F71">
    <cfRule type="expression" dxfId="45" priority="53">
      <formula>MOD(ROW(),2)=0</formula>
    </cfRule>
  </conditionalFormatting>
  <conditionalFormatting sqref="A310:XFD332">
    <cfRule type="expression" dxfId="44" priority="44">
      <formula>MOD(ROW(),2)=0</formula>
    </cfRule>
  </conditionalFormatting>
  <conditionalFormatting sqref="A393:XFD447">
    <cfRule type="expression" dxfId="43" priority="23">
      <formula>MOD(ROW(),2)=0</formula>
    </cfRule>
  </conditionalFormatting>
  <conditionalFormatting sqref="B98:R142">
    <cfRule type="expression" dxfId="42" priority="1">
      <formula>MOD(ROW(),2)=0</formula>
    </cfRule>
  </conditionalFormatting>
  <conditionalFormatting sqref="B145:XFD215">
    <cfRule type="expression" dxfId="41" priority="45">
      <formula>MOD(ROW(),2)=0</formula>
    </cfRule>
  </conditionalFormatting>
  <conditionalFormatting sqref="B218:XFD250">
    <cfRule type="expression" dxfId="40" priority="5">
      <formula>MOD(ROW(),2)=0</formula>
    </cfRule>
  </conditionalFormatting>
  <conditionalFormatting sqref="B253:XFD307">
    <cfRule type="expression" dxfId="39" priority="4">
      <formula>MOD(ROW(),2)=0</formula>
    </cfRule>
  </conditionalFormatting>
  <conditionalFormatting sqref="C72:D72">
    <cfRule type="expression" dxfId="38" priority="17">
      <formula>MOD(ROW(),2)=0</formula>
    </cfRule>
  </conditionalFormatting>
  <conditionalFormatting sqref="F74:XFD74 Z75:XFD88 AT89:XFD89 BH90:XFD94 BQ95:CN95 DF95:ES95 CG75:CN95 DV75:EC95 A67:A71 B74:E78 F75:G94 I75:X94 H75:H95 Y75:Y95 A79:E94 Z89:AS94 AT90:AY94 AZ90:BG95 C95 T95 V95:X95 Z95:AB95 AF95 AK95:AM95 AU95:AV95">
    <cfRule type="expression" dxfId="37" priority="49">
      <formula>MOD(ROW(),2)=1</formula>
    </cfRule>
  </conditionalFormatting>
  <conditionalFormatting sqref="I95:R95">
    <cfRule type="expression" dxfId="36" priority="7">
      <formula>MOD(ROW(),2)=1</formula>
    </cfRule>
  </conditionalFormatting>
  <conditionalFormatting sqref="K145:M215">
    <cfRule type="expression" dxfId="35" priority="13">
      <formula>IF(ROUND(H145,2)=ROUND(K145,2),FALSE,TRUE)</formula>
    </cfRule>
  </conditionalFormatting>
  <conditionalFormatting sqref="S98:V98 AH98:AU98 AC98:AG111 W98:AB123 AQ99:AU105 AH99:AJ111 U99:V141 S99:T142 AK99:AP142 AQ106:XFD118 AC112:AJ142 AT119:BX119 AQ119:AS122 BY119:XFD122 AQ120:XFD121 AT122:BX122 AQ123:XFD141 W124:W141 X124:AB142 BQ141:XFD142 U142:W142">
    <cfRule type="expression" dxfId="34" priority="16">
      <formula>MOD(ROW(),2)=0</formula>
    </cfRule>
  </conditionalFormatting>
  <conditionalFormatting sqref="AO335:XFD360 B363:XFD390 A335:AN335 A336:B349 C336:AQ360 B350:B360 A350:A390">
    <cfRule type="expression" dxfId="33" priority="27">
      <formula>MOD(ROW(),2)=0</formula>
    </cfRule>
  </conditionalFormatting>
  <conditionalFormatting sqref="AV98:XFD105 AQ126:XFD126 AQ142:BP142">
    <cfRule type="expression" dxfId="32" priority="46">
      <formula>MOD(ROW(),2)=0</formula>
    </cfRule>
  </conditionalFormatting>
  <conditionalFormatting sqref="CG1:CN217 DV1:EC217 CG250:CN549 DV250:EC549 FJ145:FQ216">
    <cfRule type="expression" dxfId="31" priority="19">
      <formula>CG1</formula>
    </cfRule>
  </conditionalFormatting>
  <conditionalFormatting sqref="DN1:DU217 BY74:CF217 BY250:CF549 DN250:DU549 BY1:CF72 BZ73:CF73 FB145:FI216">
    <cfRule type="expression" dxfId="30" priority="20">
      <formula>CG1</formula>
    </cfRule>
  </conditionalFormatting>
  <hyperlinks>
    <hyperlink ref="AO203" r:id="rId1" xr:uid="{EC5996E7-5325-4C02-B25B-9DA648DE5BF7}"/>
    <hyperlink ref="AP244" r:id="rId2" xr:uid="{B1397B17-9535-4B07-92D0-09438C2940D1}"/>
  </hyperlinks>
  <pageMargins left="0.7" right="0.7" top="0.75" bottom="0.75" header="0.3" footer="0.3"/>
  <pageSetup paperSize="9" orientation="portrait"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BI456"/>
  <sheetViews>
    <sheetView topLeftCell="A318" zoomScaleNormal="70" workbookViewId="0">
      <selection activeCell="W409" sqref="W409"/>
    </sheetView>
  </sheetViews>
  <sheetFormatPr defaultColWidth="8.69921875" defaultRowHeight="13.8"/>
  <cols>
    <col min="1" max="1" width="9" style="2" customWidth="1"/>
    <col min="2" max="2" width="8.69921875" style="2" customWidth="1"/>
    <col min="3" max="3" width="15.69921875" style="2" customWidth="1"/>
    <col min="4" max="4" width="8.69921875" style="16"/>
    <col min="5" max="10" width="2.69921875" style="16" hidden="1" customWidth="1"/>
    <col min="11" max="11" width="2.69921875" style="16" customWidth="1"/>
    <col min="12" max="17" width="3.19921875" style="16" customWidth="1"/>
    <col min="18" max="21" width="3.19921875" style="2" customWidth="1"/>
    <col min="22" max="22" width="4" style="2" customWidth="1"/>
    <col min="23" max="25" width="3.19921875" style="2" customWidth="1"/>
    <col min="26" max="31" width="3.19921875" style="16" customWidth="1"/>
    <col min="32" max="32" width="14.69921875" style="21" customWidth="1"/>
    <col min="33" max="33" width="5.69921875" style="21" customWidth="1"/>
    <col min="34" max="34" width="2.69921875" style="21" customWidth="1"/>
    <col min="35" max="35" width="12.59765625" style="16" customWidth="1"/>
    <col min="36" max="36" width="10.19921875" style="16" customWidth="1"/>
    <col min="37" max="37" width="9.69921875" style="16" customWidth="1"/>
    <col min="38" max="39" width="8.796875" style="16" bestFit="1" customWidth="1"/>
    <col min="40" max="40" width="5.69921875" style="16" customWidth="1"/>
    <col min="41" max="41" width="11.8984375" style="16" bestFit="1" customWidth="1"/>
    <col min="42" max="42" width="8.796875" style="16" bestFit="1" customWidth="1"/>
    <col min="43" max="43" width="6.19921875" style="16" customWidth="1"/>
    <col min="44" max="44" width="8.796875" style="16" bestFit="1" customWidth="1"/>
    <col min="45" max="45" width="6.19921875" style="16" customWidth="1"/>
    <col min="46" max="46" width="9" style="16" customWidth="1"/>
    <col min="47" max="47" width="9.69921875" style="16" customWidth="1"/>
    <col min="48" max="48" width="11" style="16" customWidth="1"/>
    <col min="49" max="16384" width="8.69921875" style="2"/>
  </cols>
  <sheetData>
    <row r="1" spans="2:33">
      <c r="L1" s="19" t="s">
        <v>111</v>
      </c>
      <c r="M1" s="19" t="s">
        <v>112</v>
      </c>
      <c r="N1" s="19" t="s">
        <v>113</v>
      </c>
      <c r="O1" s="19" t="s">
        <v>2251</v>
      </c>
      <c r="P1" s="19" t="s">
        <v>376</v>
      </c>
      <c r="Q1" s="19" t="s">
        <v>115</v>
      </c>
      <c r="R1" s="19" t="s">
        <v>116</v>
      </c>
      <c r="S1" s="19" t="s">
        <v>377</v>
      </c>
      <c r="T1" s="19" t="s">
        <v>378</v>
      </c>
      <c r="U1" s="11" t="s">
        <v>379</v>
      </c>
      <c r="V1" s="11" t="s">
        <v>380</v>
      </c>
    </row>
    <row r="2" spans="2:33">
      <c r="L2" s="118" t="s">
        <v>12</v>
      </c>
      <c r="M2" s="118" t="s">
        <v>14</v>
      </c>
      <c r="N2" s="118" t="s">
        <v>17</v>
      </c>
      <c r="O2" s="118" t="s">
        <v>2099</v>
      </c>
      <c r="P2" s="118" t="s">
        <v>218</v>
      </c>
      <c r="Q2" s="118" t="str">
        <f>主頁!$B$15</f>
        <v>請選擇第一選修科</v>
      </c>
      <c r="R2" s="118" t="str">
        <f>主頁!$B$16</f>
        <v>請選擇第二選修科</v>
      </c>
      <c r="S2" s="118" t="str">
        <f>主頁!$B$17</f>
        <v>請選擇第三選修科</v>
      </c>
      <c r="T2" s="118" t="str">
        <f>主頁!$B$18</f>
        <v>請選擇第四選修科</v>
      </c>
      <c r="U2" s="118" t="str">
        <f>主頁!$B$19</f>
        <v>請選擇語言科目</v>
      </c>
      <c r="V2" s="118" t="str">
        <f>主頁!$B$19</f>
        <v>請選擇語言科目</v>
      </c>
    </row>
    <row r="3" spans="2:33">
      <c r="L3" s="16">
        <f>計分版!K$13</f>
        <v>1E-10</v>
      </c>
      <c r="M3" s="16">
        <f>計分版!L$13</f>
        <v>2.0000000000000001E-10</v>
      </c>
      <c r="N3" s="16">
        <f>計分版!M$13</f>
        <v>3E-10</v>
      </c>
      <c r="O3" s="16">
        <f>計分版!N$13</f>
        <v>0</v>
      </c>
      <c r="P3" s="16">
        <f>計分版!O$13</f>
        <v>5.0000000000000003E-10</v>
      </c>
      <c r="Q3" s="16">
        <f>計分版!P$13</f>
        <v>6E-10</v>
      </c>
      <c r="R3" s="16">
        <f>計分版!Q$13</f>
        <v>6.9999999999999996E-10</v>
      </c>
      <c r="S3" s="16">
        <f>計分版!R$13</f>
        <v>8.0000000000000003E-10</v>
      </c>
      <c r="T3" s="16">
        <f>計分版!S$13</f>
        <v>8.9999999999999999E-10</v>
      </c>
      <c r="U3" s="16">
        <f>IF(OR(V3="請選擇等級",V3="U",V3=0),0,3)</f>
        <v>0</v>
      </c>
      <c r="V3" s="2">
        <f>計分版!T2</f>
        <v>0</v>
      </c>
      <c r="AB3" s="213" t="s">
        <v>381</v>
      </c>
    </row>
    <row r="4" spans="2:33">
      <c r="B4" s="11" t="s">
        <v>104</v>
      </c>
      <c r="C4" s="11" t="s">
        <v>106</v>
      </c>
      <c r="D4" s="19" t="s">
        <v>36</v>
      </c>
      <c r="E4" s="19"/>
      <c r="F4" s="19"/>
      <c r="G4" s="19"/>
      <c r="H4" s="19"/>
      <c r="I4" s="19"/>
      <c r="J4" s="19"/>
      <c r="K4" s="19"/>
      <c r="L4" s="92" t="s">
        <v>111</v>
      </c>
      <c r="M4" s="92" t="s">
        <v>112</v>
      </c>
      <c r="N4" s="92" t="s">
        <v>113</v>
      </c>
      <c r="O4" s="19" t="s">
        <v>2251</v>
      </c>
      <c r="P4" s="92" t="s">
        <v>115</v>
      </c>
      <c r="Q4" s="92" t="s">
        <v>116</v>
      </c>
      <c r="R4" s="11"/>
      <c r="S4" s="19" t="s">
        <v>111</v>
      </c>
      <c r="T4" s="19" t="s">
        <v>112</v>
      </c>
      <c r="U4" s="19" t="s">
        <v>113</v>
      </c>
      <c r="V4" s="19" t="s">
        <v>2251</v>
      </c>
      <c r="W4" s="19" t="s">
        <v>115</v>
      </c>
      <c r="X4" s="19" t="s">
        <v>116</v>
      </c>
      <c r="Y4" s="51"/>
      <c r="Z4" s="19" t="s">
        <v>110</v>
      </c>
      <c r="AA4" s="2"/>
      <c r="AB4" s="19" t="s">
        <v>267</v>
      </c>
      <c r="AC4" s="19" t="s">
        <v>268</v>
      </c>
      <c r="AD4" s="19" t="s">
        <v>269</v>
      </c>
      <c r="AF4" s="157" t="s">
        <v>382</v>
      </c>
      <c r="AG4" s="157" t="s">
        <v>383</v>
      </c>
    </row>
    <row r="15" spans="2:33">
      <c r="L15" s="21" t="s">
        <v>384</v>
      </c>
      <c r="S15" s="2" t="s">
        <v>385</v>
      </c>
    </row>
    <row r="16" spans="2:33">
      <c r="B16" s="2" t="s">
        <v>386</v>
      </c>
      <c r="S16" s="2" t="s">
        <v>387</v>
      </c>
    </row>
    <row r="17" spans="1:61">
      <c r="B17" s="11" t="s">
        <v>104</v>
      </c>
      <c r="L17" s="19" t="s">
        <v>111</v>
      </c>
      <c r="M17" s="19" t="s">
        <v>112</v>
      </c>
      <c r="N17" s="19" t="s">
        <v>113</v>
      </c>
      <c r="O17" s="19" t="s">
        <v>2251</v>
      </c>
      <c r="P17" s="19" t="s">
        <v>115</v>
      </c>
      <c r="Q17" s="19" t="s">
        <v>116</v>
      </c>
      <c r="S17" s="19" t="s">
        <v>111</v>
      </c>
      <c r="T17" s="19" t="s">
        <v>112</v>
      </c>
      <c r="U17" s="19" t="s">
        <v>113</v>
      </c>
      <c r="V17" s="19" t="s">
        <v>2251</v>
      </c>
      <c r="W17" s="19" t="s">
        <v>115</v>
      </c>
      <c r="X17" s="19" t="s">
        <v>116</v>
      </c>
      <c r="Z17" s="19" t="s">
        <v>110</v>
      </c>
      <c r="AB17" s="19" t="s">
        <v>267</v>
      </c>
      <c r="AC17" s="19" t="s">
        <v>268</v>
      </c>
      <c r="AD17" s="19" t="s">
        <v>269</v>
      </c>
    </row>
    <row r="18" spans="1:61">
      <c r="B18" s="2" t="str">
        <f>'All in One'!C8</f>
        <v>JS5331</v>
      </c>
      <c r="L18" s="16">
        <f t="shared" ref="L18:Q18" si="0">IFERROR(INDEX(L$22:L$533,MATCH($B18,$B$22:$B$533,0)),"")</f>
        <v>3</v>
      </c>
      <c r="M18" s="16">
        <f t="shared" si="0"/>
        <v>4</v>
      </c>
      <c r="N18" s="16">
        <f t="shared" si="0"/>
        <v>3</v>
      </c>
      <c r="O18" s="16">
        <f t="shared" si="0"/>
        <v>1</v>
      </c>
      <c r="P18" s="16">
        <f t="shared" si="0"/>
        <v>3</v>
      </c>
      <c r="Q18" s="16">
        <f t="shared" si="0"/>
        <v>3</v>
      </c>
      <c r="R18" s="16"/>
      <c r="S18" s="16">
        <f t="shared" ref="S18:X18" si="1">IFERROR(INDEX(S$22:S$533,MATCH($B18,$B$22:$B$533,0)),"")</f>
        <v>0</v>
      </c>
      <c r="T18" s="16">
        <f t="shared" si="1"/>
        <v>0</v>
      </c>
      <c r="U18" s="16">
        <f t="shared" si="1"/>
        <v>0</v>
      </c>
      <c r="V18" s="16">
        <f t="shared" si="1"/>
        <v>0</v>
      </c>
      <c r="W18" s="16">
        <f t="shared" si="1"/>
        <v>0</v>
      </c>
      <c r="X18" s="16">
        <f t="shared" si="1"/>
        <v>0</v>
      </c>
      <c r="Y18" s="16"/>
      <c r="Z18" s="16">
        <f>IFERROR(INDEX(Z$22:Z$533,MATCH($B18,$B$22:$B$533,0)),"")</f>
        <v>0</v>
      </c>
      <c r="AB18" s="16" t="str">
        <f>IFERROR(INDEX(AB$22:AB$533,MATCH($B18,$B$22:$B$533,0)),"")</f>
        <v>v</v>
      </c>
      <c r="AC18" s="16" t="str">
        <f>IFERROR(INDEX(AC$22:AC$533,MATCH($B18,$B$22:$B$533,0)),"")</f>
        <v>NO</v>
      </c>
      <c r="AD18" s="16" t="str">
        <f>IFERROR(INDEX(AD$22:AD$533,MATCH($B18,$B$22:$B$533,0)),"")</f>
        <v>NO</v>
      </c>
      <c r="AY18" s="16"/>
      <c r="AZ18" s="16"/>
      <c r="BA18" s="16"/>
    </row>
    <row r="19" spans="1:61">
      <c r="A19" s="11" t="s">
        <v>265</v>
      </c>
      <c r="AJ19" s="21"/>
    </row>
    <row r="20" spans="1:61">
      <c r="B20" s="11" t="s">
        <v>221</v>
      </c>
      <c r="C20" s="360" t="s">
        <v>2289</v>
      </c>
      <c r="E20" s="21" t="s">
        <v>265</v>
      </c>
    </row>
    <row r="21" spans="1:61">
      <c r="A21" s="55" t="s">
        <v>388</v>
      </c>
      <c r="B21" s="11" t="s">
        <v>104</v>
      </c>
      <c r="C21" s="11" t="s">
        <v>106</v>
      </c>
      <c r="D21" s="19" t="s">
        <v>36</v>
      </c>
      <c r="E21" s="19"/>
      <c r="F21" s="19"/>
      <c r="G21" s="19"/>
      <c r="H21" s="19"/>
      <c r="I21" s="19"/>
      <c r="J21" s="19"/>
      <c r="K21" s="19"/>
      <c r="L21" s="19" t="s">
        <v>111</v>
      </c>
      <c r="M21" s="19" t="s">
        <v>112</v>
      </c>
      <c r="N21" s="19" t="s">
        <v>113</v>
      </c>
      <c r="O21" s="19" t="s">
        <v>2251</v>
      </c>
      <c r="P21" s="19" t="s">
        <v>115</v>
      </c>
      <c r="Q21" s="19" t="s">
        <v>116</v>
      </c>
      <c r="S21" s="19" t="s">
        <v>111</v>
      </c>
      <c r="T21" s="19" t="s">
        <v>112</v>
      </c>
      <c r="U21" s="19" t="s">
        <v>113</v>
      </c>
      <c r="V21" s="19" t="s">
        <v>2251</v>
      </c>
      <c r="W21" s="19" t="s">
        <v>115</v>
      </c>
      <c r="X21" s="19" t="s">
        <v>116</v>
      </c>
      <c r="Z21" s="19" t="s">
        <v>110</v>
      </c>
      <c r="AA21" s="2"/>
      <c r="AB21" s="19" t="s">
        <v>267</v>
      </c>
      <c r="AC21" s="19" t="s">
        <v>268</v>
      </c>
      <c r="AD21" s="19" t="s">
        <v>269</v>
      </c>
      <c r="AH21" s="21" t="s">
        <v>389</v>
      </c>
      <c r="AI21" s="121" t="s">
        <v>221</v>
      </c>
      <c r="AJ21" s="121" t="s">
        <v>390</v>
      </c>
      <c r="AK21" s="102"/>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row>
    <row r="22" spans="1:61">
      <c r="A22" s="2" t="str">
        <f>'Reference Score Calculation'!B13</f>
        <v>JS1000</v>
      </c>
      <c r="B22" s="346" t="str">
        <f>'Reference Score Calculation'!B13</f>
        <v>JS1000</v>
      </c>
      <c r="C22" s="2" t="str">
        <f>'Reference Score Calculation'!E13</f>
        <v>理學士(計算金融及金融科技) (專修：計算金融 / 金融科技)</v>
      </c>
      <c r="D22" s="16">
        <f>'Reference Score Calculation'!U13</f>
        <v>10</v>
      </c>
      <c r="E22" s="16">
        <v>3</v>
      </c>
      <c r="F22" s="16">
        <v>3</v>
      </c>
      <c r="G22" s="16">
        <v>4</v>
      </c>
      <c r="H22" s="16">
        <v>2</v>
      </c>
      <c r="I22" s="16">
        <v>3</v>
      </c>
      <c r="J22" s="16">
        <v>3</v>
      </c>
      <c r="L22" s="90">
        <v>3</v>
      </c>
      <c r="M22" s="90">
        <v>3</v>
      </c>
      <c r="N22" s="90">
        <v>4</v>
      </c>
      <c r="O22" s="90">
        <v>1</v>
      </c>
      <c r="P22" s="90">
        <v>3</v>
      </c>
      <c r="Q22" s="90">
        <v>3</v>
      </c>
      <c r="S22" s="16">
        <f t="shared" ref="S22:S35" si="2">IF(L22&gt;L$3,0,1)</f>
        <v>0</v>
      </c>
      <c r="T22" s="16">
        <f t="shared" ref="T22:T35" si="3">IF(M22&gt;M$3,0,1)</f>
        <v>0</v>
      </c>
      <c r="U22" s="16">
        <f t="shared" ref="U22:U35" si="4">IF(N22&gt;N$3,0,1)</f>
        <v>0</v>
      </c>
      <c r="V22" s="16">
        <f t="shared" ref="V22:V35" si="5">IF(O22&gt;O$3,0,1)</f>
        <v>0</v>
      </c>
      <c r="W22" s="16">
        <f>IF(P22&gt;LARGE($P$3:$U$3,1),0,1)</f>
        <v>0</v>
      </c>
      <c r="X22" s="16">
        <f>IF(Q22&gt;LARGE(P$3:U$3,2),0,1)</f>
        <v>0</v>
      </c>
      <c r="Z22" s="16">
        <f>S22*T22*U22*V22*W22*X22</f>
        <v>0</v>
      </c>
      <c r="AA22" s="2"/>
      <c r="AB22" s="433" t="s">
        <v>391</v>
      </c>
      <c r="AC22" s="433" t="s">
        <v>392</v>
      </c>
      <c r="AD22" s="433" t="s">
        <v>393</v>
      </c>
      <c r="AF22" s="2" t="s">
        <v>394</v>
      </c>
      <c r="AG22" s="2" t="s">
        <v>394</v>
      </c>
      <c r="AH22" s="21" t="s">
        <v>389</v>
      </c>
      <c r="AI22" s="102"/>
      <c r="AJ22" s="101"/>
      <c r="AK22" s="102"/>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row>
    <row r="23" spans="1:61">
      <c r="A23" s="2" t="str">
        <f>'Reference Score Calculation'!B14</f>
        <v>JS1001</v>
      </c>
      <c r="B23" s="346" t="str">
        <f>'Reference Score Calculation'!B14</f>
        <v>JS1001</v>
      </c>
      <c r="C23" s="2" t="str">
        <f>'Reference Score Calculation'!E14</f>
        <v>工商管理學士(環球商業) (特點: 三次海外交流 / 美國哥倫比亞大學雙聯學士學位 / 海外暑期及遊學課程 / 商業諮詢課程 / 獎學金及資助)</v>
      </c>
      <c r="D23" s="16">
        <f>'Reference Score Calculation'!U14</f>
        <v>15</v>
      </c>
      <c r="E23" s="16">
        <v>3</v>
      </c>
      <c r="F23" s="16">
        <v>3</v>
      </c>
      <c r="G23" s="16">
        <v>3</v>
      </c>
      <c r="H23" s="16">
        <v>2</v>
      </c>
      <c r="I23" s="16">
        <v>3</v>
      </c>
      <c r="J23" s="16">
        <v>3</v>
      </c>
      <c r="L23" s="90">
        <v>3</v>
      </c>
      <c r="M23" s="90">
        <v>3</v>
      </c>
      <c r="N23" s="90">
        <v>3</v>
      </c>
      <c r="O23" s="90">
        <v>1</v>
      </c>
      <c r="P23" s="90">
        <v>3</v>
      </c>
      <c r="Q23" s="90">
        <v>3</v>
      </c>
      <c r="S23" s="16">
        <f t="shared" si="2"/>
        <v>0</v>
      </c>
      <c r="T23" s="16">
        <f t="shared" si="3"/>
        <v>0</v>
      </c>
      <c r="U23" s="16">
        <f t="shared" si="4"/>
        <v>0</v>
      </c>
      <c r="V23" s="16">
        <f t="shared" si="5"/>
        <v>0</v>
      </c>
      <c r="W23" s="16">
        <f t="shared" ref="W23:W35" si="6">IF(P23&gt;LARGE(P$3:U$3,1),0,1)</f>
        <v>0</v>
      </c>
      <c r="X23" s="16">
        <f t="shared" ref="X23:X35" si="7">IF(Q23&gt;LARGE(P$3:U$3,2),0,1)</f>
        <v>0</v>
      </c>
      <c r="Z23" s="16">
        <f t="shared" ref="Z23:Z73" si="8">S23*T23*U23*V23*W23*X23</f>
        <v>0</v>
      </c>
      <c r="AA23" s="2"/>
      <c r="AB23" s="433" t="s">
        <v>391</v>
      </c>
      <c r="AC23" s="433" t="s">
        <v>392</v>
      </c>
      <c r="AD23" s="433" t="s">
        <v>393</v>
      </c>
      <c r="AF23" s="2" t="s">
        <v>394</v>
      </c>
      <c r="AG23" s="2" t="s">
        <v>394</v>
      </c>
      <c r="AH23" s="21" t="s">
        <v>389</v>
      </c>
      <c r="AI23" s="121" t="s">
        <v>277</v>
      </c>
      <c r="AJ23" s="102"/>
      <c r="AK23" s="102"/>
      <c r="AL23" s="102"/>
      <c r="AM23" s="102"/>
      <c r="AN23" s="102"/>
      <c r="AO23" s="102"/>
      <c r="AP23" s="102"/>
      <c r="AQ23" s="102"/>
      <c r="AR23" s="102"/>
      <c r="AS23" s="102"/>
      <c r="AT23" s="102"/>
      <c r="AU23" s="102"/>
      <c r="AV23" s="102"/>
      <c r="AW23" s="115"/>
      <c r="AX23" s="115"/>
      <c r="AY23" s="115"/>
      <c r="AZ23" s="115"/>
      <c r="BA23" s="115"/>
      <c r="BB23" s="115"/>
      <c r="BC23" s="115"/>
      <c r="BD23" s="115"/>
      <c r="BE23" s="115"/>
      <c r="BF23" s="115"/>
      <c r="BG23" s="115"/>
      <c r="BH23" s="115"/>
      <c r="BI23" s="115"/>
    </row>
    <row r="24" spans="1:61">
      <c r="A24" s="2" t="str">
        <f>'Reference Score Calculation'!B15</f>
        <v>JS1002</v>
      </c>
      <c r="B24" s="346" t="str">
        <f>'Reference Score Calculation'!B15</f>
        <v>JS1002</v>
      </c>
      <c r="C24" s="2" t="str">
        <f>'Reference Score Calculation'!E15</f>
        <v>工商管理學士(會計) (專修: 專業會計 / 環境，社會，治理和科技)</v>
      </c>
      <c r="D24" s="16">
        <f>'Reference Score Calculation'!U15</f>
        <v>148</v>
      </c>
      <c r="E24" s="16">
        <v>3</v>
      </c>
      <c r="F24" s="16">
        <v>3</v>
      </c>
      <c r="G24" s="16">
        <v>3</v>
      </c>
      <c r="H24" s="16">
        <v>2</v>
      </c>
      <c r="I24" s="16">
        <v>3</v>
      </c>
      <c r="J24" s="16">
        <v>3</v>
      </c>
      <c r="L24" s="90">
        <v>3</v>
      </c>
      <c r="M24" s="90">
        <v>3</v>
      </c>
      <c r="N24" s="90">
        <v>3</v>
      </c>
      <c r="O24" s="90">
        <v>1</v>
      </c>
      <c r="P24" s="90">
        <v>3</v>
      </c>
      <c r="Q24" s="90">
        <v>3</v>
      </c>
      <c r="S24" s="16">
        <f t="shared" si="2"/>
        <v>0</v>
      </c>
      <c r="T24" s="16">
        <f t="shared" si="3"/>
        <v>0</v>
      </c>
      <c r="U24" s="16">
        <f t="shared" si="4"/>
        <v>0</v>
      </c>
      <c r="V24" s="16">
        <f t="shared" si="5"/>
        <v>0</v>
      </c>
      <c r="W24" s="16">
        <f t="shared" si="6"/>
        <v>0</v>
      </c>
      <c r="X24" s="16">
        <f t="shared" si="7"/>
        <v>0</v>
      </c>
      <c r="Z24" s="16">
        <f t="shared" si="8"/>
        <v>0</v>
      </c>
      <c r="AA24" s="2"/>
      <c r="AB24" s="433" t="s">
        <v>391</v>
      </c>
      <c r="AC24" s="433" t="s">
        <v>392</v>
      </c>
      <c r="AD24" s="433" t="s">
        <v>393</v>
      </c>
      <c r="AF24" s="2" t="s">
        <v>394</v>
      </c>
      <c r="AG24" s="2" t="s">
        <v>394</v>
      </c>
      <c r="AH24" s="21" t="s">
        <v>389</v>
      </c>
      <c r="AI24" s="102"/>
      <c r="AJ24" s="102"/>
      <c r="AK24" s="102"/>
      <c r="AL24" s="102"/>
      <c r="AM24" s="102"/>
      <c r="AN24" s="102"/>
      <c r="AO24" s="102"/>
      <c r="AP24" s="102"/>
      <c r="AQ24" s="102"/>
      <c r="AR24" s="102"/>
      <c r="AS24" s="102"/>
      <c r="AT24" s="102"/>
      <c r="AU24" s="102"/>
      <c r="AV24" s="102"/>
      <c r="AW24" s="115"/>
      <c r="AX24" s="115"/>
      <c r="AY24" s="115"/>
      <c r="AZ24" s="115"/>
      <c r="BA24" s="115"/>
      <c r="BB24" s="115"/>
      <c r="BC24" s="115"/>
      <c r="BD24" s="115"/>
      <c r="BE24" s="115"/>
      <c r="BF24" s="115"/>
      <c r="BG24" s="115"/>
      <c r="BH24" s="115"/>
      <c r="BI24" s="115"/>
    </row>
    <row r="25" spans="1:61">
      <c r="A25" s="2" t="str">
        <f>'Reference Score Calculation'!B16</f>
        <v>JS1005</v>
      </c>
      <c r="B25" s="346" t="str">
        <f>'Reference Score Calculation'!B16</f>
        <v>JS1005</v>
      </c>
      <c r="C25" s="2" t="str">
        <f>'Reference Score Calculation'!E16</f>
        <v>工商管理學士 (管理學 ) (專修 : 人 力資源管理 / 策略及國際管理 )</v>
      </c>
      <c r="D25" s="16">
        <f>'Reference Score Calculation'!U16</f>
        <v>58</v>
      </c>
      <c r="E25" s="16">
        <v>3</v>
      </c>
      <c r="F25" s="16">
        <v>3</v>
      </c>
      <c r="G25" s="16">
        <v>3</v>
      </c>
      <c r="H25" s="16">
        <v>2</v>
      </c>
      <c r="I25" s="16">
        <v>3</v>
      </c>
      <c r="J25" s="16">
        <v>3</v>
      </c>
      <c r="L25" s="90">
        <v>3</v>
      </c>
      <c r="M25" s="90">
        <v>3</v>
      </c>
      <c r="N25" s="90">
        <v>3</v>
      </c>
      <c r="O25" s="90">
        <v>1</v>
      </c>
      <c r="P25" s="90">
        <v>3</v>
      </c>
      <c r="Q25" s="90">
        <v>3</v>
      </c>
      <c r="S25" s="16">
        <f t="shared" si="2"/>
        <v>0</v>
      </c>
      <c r="T25" s="16">
        <f t="shared" si="3"/>
        <v>0</v>
      </c>
      <c r="U25" s="16">
        <f t="shared" si="4"/>
        <v>0</v>
      </c>
      <c r="V25" s="16">
        <f t="shared" si="5"/>
        <v>0</v>
      </c>
      <c r="W25" s="16">
        <f t="shared" si="6"/>
        <v>0</v>
      </c>
      <c r="X25" s="16">
        <f t="shared" si="7"/>
        <v>0</v>
      </c>
      <c r="Z25" s="16">
        <f t="shared" si="8"/>
        <v>0</v>
      </c>
      <c r="AA25" s="2"/>
      <c r="AB25" s="433" t="s">
        <v>391</v>
      </c>
      <c r="AC25" s="433" t="s">
        <v>392</v>
      </c>
      <c r="AD25" s="433" t="s">
        <v>393</v>
      </c>
      <c r="AF25" s="2" t="s">
        <v>394</v>
      </c>
      <c r="AG25" s="2" t="s">
        <v>394</v>
      </c>
      <c r="AH25" s="21" t="s">
        <v>389</v>
      </c>
      <c r="AI25" s="116"/>
      <c r="AJ25" s="116" t="str">
        <f>Q2</f>
        <v>請選擇第一選修科</v>
      </c>
      <c r="AK25" s="116" t="str">
        <f>R2</f>
        <v>請選擇第二選修科</v>
      </c>
      <c r="AL25" s="116" t="str">
        <f>S2</f>
        <v>請選擇第三選修科</v>
      </c>
      <c r="AM25" s="116" t="str">
        <f>T2</f>
        <v>請選擇第四選修科</v>
      </c>
      <c r="AN25" s="116"/>
      <c r="AO25" s="116"/>
      <c r="AP25" s="116" t="s">
        <v>2290</v>
      </c>
      <c r="AQ25" s="116"/>
      <c r="AR25" s="116"/>
      <c r="AS25" s="116"/>
      <c r="AT25" s="116"/>
      <c r="AU25" s="116"/>
      <c r="AV25" s="116"/>
      <c r="AW25" s="115"/>
      <c r="AX25" s="115"/>
      <c r="AY25" s="115"/>
      <c r="AZ25" s="115"/>
      <c r="BA25" s="115"/>
      <c r="BB25" s="115"/>
      <c r="BC25" s="115"/>
      <c r="BD25" s="115"/>
      <c r="BE25" s="115"/>
      <c r="BF25" s="115"/>
      <c r="BG25" s="115"/>
      <c r="BH25" s="115"/>
      <c r="BI25" s="115"/>
    </row>
    <row r="26" spans="1:61">
      <c r="A26" s="2" t="str">
        <f>'Reference Score Calculation'!B17</f>
        <v>JS1007</v>
      </c>
      <c r="B26" s="346" t="str">
        <f>'Reference Score Calculation'!B17</f>
        <v>JS1007</v>
      </c>
      <c r="C26" s="2" t="str">
        <f>'Reference Score Calculation'!E17</f>
        <v>工商管理學士(市場營銷) (專修: 環球市場營銷 / 營銷數據分析)</v>
      </c>
      <c r="D26" s="16">
        <f>'Reference Score Calculation'!U17</f>
        <v>82</v>
      </c>
      <c r="E26" s="16">
        <v>3</v>
      </c>
      <c r="F26" s="16">
        <v>3</v>
      </c>
      <c r="G26" s="16">
        <v>3</v>
      </c>
      <c r="H26" s="16">
        <v>2</v>
      </c>
      <c r="I26" s="16">
        <v>3</v>
      </c>
      <c r="J26" s="16">
        <v>3</v>
      </c>
      <c r="L26" s="90">
        <v>3</v>
      </c>
      <c r="M26" s="90">
        <v>3</v>
      </c>
      <c r="N26" s="90">
        <v>3</v>
      </c>
      <c r="O26" s="90">
        <v>1</v>
      </c>
      <c r="P26" s="90">
        <v>3</v>
      </c>
      <c r="Q26" s="90">
        <v>3</v>
      </c>
      <c r="S26" s="16">
        <f t="shared" si="2"/>
        <v>0</v>
      </c>
      <c r="T26" s="16">
        <f t="shared" si="3"/>
        <v>0</v>
      </c>
      <c r="U26" s="16">
        <f t="shared" si="4"/>
        <v>0</v>
      </c>
      <c r="V26" s="16">
        <f t="shared" si="5"/>
        <v>0</v>
      </c>
      <c r="W26" s="16">
        <f t="shared" si="6"/>
        <v>0</v>
      </c>
      <c r="X26" s="16">
        <f t="shared" si="7"/>
        <v>0</v>
      </c>
      <c r="Z26" s="16">
        <f t="shared" si="8"/>
        <v>0</v>
      </c>
      <c r="AA26" s="2"/>
      <c r="AB26" s="433" t="s">
        <v>391</v>
      </c>
      <c r="AC26" s="433" t="s">
        <v>392</v>
      </c>
      <c r="AD26" s="433" t="s">
        <v>393</v>
      </c>
      <c r="AF26" s="2" t="s">
        <v>394</v>
      </c>
      <c r="AG26" s="2" t="s">
        <v>394</v>
      </c>
      <c r="AH26" s="21" t="s">
        <v>389</v>
      </c>
      <c r="AI26" s="116" t="s">
        <v>395</v>
      </c>
      <c r="AJ26" s="117">
        <f>IF(Q2="物理",Q3,0)</f>
        <v>0</v>
      </c>
      <c r="AK26" s="117">
        <f>IF(R2="物理",R3,0)</f>
        <v>0</v>
      </c>
      <c r="AL26" s="117">
        <f>IF(S2="物理",S3,0)</f>
        <v>0</v>
      </c>
      <c r="AM26" s="117">
        <f>IF(T2="物理",T3,0)</f>
        <v>0</v>
      </c>
      <c r="AN26" s="116"/>
      <c r="AO26" s="116"/>
      <c r="AP26" s="117" t="str">
        <f>IF(AQ26&gt;0,INDEX(AJ25:AM25,MATCH(LARGE(AJ26:AM26,1),AJ26:AM26,0)),"無")</f>
        <v>無</v>
      </c>
      <c r="AQ26" s="117">
        <f>LARGE((AJ26:AM26),1)</f>
        <v>0</v>
      </c>
      <c r="AR26" s="116"/>
      <c r="AS26" s="116"/>
      <c r="AT26" s="116"/>
      <c r="AU26" s="116"/>
      <c r="AV26" s="116"/>
      <c r="AW26" s="115"/>
      <c r="AX26" s="115"/>
      <c r="AY26" s="115"/>
      <c r="AZ26" s="115"/>
      <c r="BA26" s="115"/>
      <c r="BB26" s="115"/>
      <c r="BC26" s="115"/>
      <c r="BD26" s="115"/>
      <c r="BE26" s="115"/>
      <c r="BF26" s="115"/>
      <c r="BG26" s="115"/>
      <c r="BH26" s="115"/>
      <c r="BI26" s="115"/>
    </row>
    <row r="27" spans="1:61">
      <c r="A27" s="2" t="str">
        <f>'Reference Score Calculation'!B18</f>
        <v>JS1012</v>
      </c>
      <c r="B27" s="346" t="str">
        <f>'Reference Score Calculation'!B18</f>
        <v>JS1012</v>
      </c>
      <c r="C27" s="2" t="str">
        <f>'Reference Score Calculation'!E18</f>
        <v>經濟及金融 [主修: 工商管理學士(商業經濟) / 工商管理學士(金融)]</v>
      </c>
      <c r="D27" s="16">
        <f>'Reference Score Calculation'!U18</f>
        <v>29</v>
      </c>
      <c r="E27" s="16">
        <v>3</v>
      </c>
      <c r="F27" s="16">
        <v>3</v>
      </c>
      <c r="G27" s="16">
        <v>3</v>
      </c>
      <c r="H27" s="16">
        <v>2</v>
      </c>
      <c r="I27" s="16">
        <v>3</v>
      </c>
      <c r="J27" s="16">
        <v>3</v>
      </c>
      <c r="L27" s="90">
        <v>3</v>
      </c>
      <c r="M27" s="90">
        <v>3</v>
      </c>
      <c r="N27" s="90">
        <v>3</v>
      </c>
      <c r="O27" s="90">
        <v>1</v>
      </c>
      <c r="P27" s="90">
        <v>3</v>
      </c>
      <c r="Q27" s="90">
        <v>3</v>
      </c>
      <c r="S27" s="16">
        <f t="shared" si="2"/>
        <v>0</v>
      </c>
      <c r="T27" s="16">
        <f t="shared" si="3"/>
        <v>0</v>
      </c>
      <c r="U27" s="16">
        <f t="shared" si="4"/>
        <v>0</v>
      </c>
      <c r="V27" s="16">
        <f t="shared" si="5"/>
        <v>0</v>
      </c>
      <c r="W27" s="16">
        <f t="shared" si="6"/>
        <v>0</v>
      </c>
      <c r="X27" s="16">
        <f t="shared" si="7"/>
        <v>0</v>
      </c>
      <c r="Z27" s="16">
        <f t="shared" si="8"/>
        <v>0</v>
      </c>
      <c r="AA27" s="2"/>
      <c r="AB27" s="433" t="s">
        <v>391</v>
      </c>
      <c r="AC27" s="433" t="s">
        <v>392</v>
      </c>
      <c r="AD27" s="433" t="s">
        <v>393</v>
      </c>
      <c r="AF27" s="2" t="s">
        <v>394</v>
      </c>
      <c r="AG27" s="2" t="s">
        <v>394</v>
      </c>
      <c r="AH27" s="21" t="s">
        <v>389</v>
      </c>
      <c r="AI27" s="116"/>
      <c r="AJ27" s="116" t="str">
        <f>Q2</f>
        <v>請選擇第一選修科</v>
      </c>
      <c r="AK27" s="116" t="str">
        <f>R2</f>
        <v>請選擇第二選修科</v>
      </c>
      <c r="AL27" s="116" t="str">
        <f>S2</f>
        <v>請選擇第三選修科</v>
      </c>
      <c r="AM27" s="116" t="str">
        <f>T2</f>
        <v>請選擇第四選修科</v>
      </c>
      <c r="AN27" s="116" t="s">
        <v>21</v>
      </c>
      <c r="AO27" s="102"/>
      <c r="AP27" s="116" t="s">
        <v>2292</v>
      </c>
      <c r="AQ27" s="116"/>
      <c r="AR27" s="116"/>
      <c r="AS27" s="116"/>
      <c r="AT27" s="116"/>
      <c r="AU27" s="116"/>
      <c r="AV27" s="115"/>
      <c r="AW27" s="115"/>
      <c r="AX27" s="115"/>
      <c r="AY27" s="115"/>
      <c r="AZ27" s="115"/>
      <c r="BA27" s="115"/>
      <c r="BB27" s="115"/>
      <c r="BC27" s="115"/>
      <c r="BD27" s="115"/>
      <c r="BE27" s="115"/>
      <c r="BF27" s="115"/>
      <c r="BG27" s="115"/>
      <c r="BH27" s="115"/>
      <c r="BI27" s="115"/>
    </row>
    <row r="28" spans="1:61">
      <c r="A28" s="2" t="str">
        <f>'Reference Score Calculation'!B19</f>
        <v>JS1013</v>
      </c>
      <c r="B28" s="346" t="str">
        <f>'Reference Score Calculation'!B19</f>
        <v>JS1013</v>
      </c>
      <c r="C28" s="2" t="str">
        <f>'Reference Score Calculation'!E19</f>
        <v>工商管理學士(商業經濟) (特點: 經濟理論 / 國際經濟 / 經濟與商業預測 / 定量分析)</v>
      </c>
      <c r="D28" s="16">
        <f>'Reference Score Calculation'!U19</f>
        <v>31</v>
      </c>
      <c r="E28" s="16">
        <v>3</v>
      </c>
      <c r="F28" s="16">
        <v>3</v>
      </c>
      <c r="G28" s="16">
        <v>3</v>
      </c>
      <c r="H28" s="16">
        <v>2</v>
      </c>
      <c r="I28" s="16">
        <v>3</v>
      </c>
      <c r="J28" s="16">
        <v>3</v>
      </c>
      <c r="L28" s="90">
        <v>3</v>
      </c>
      <c r="M28" s="90">
        <v>3</v>
      </c>
      <c r="N28" s="90">
        <v>3</v>
      </c>
      <c r="O28" s="90">
        <v>1</v>
      </c>
      <c r="P28" s="90">
        <v>3</v>
      </c>
      <c r="Q28" s="90">
        <v>3</v>
      </c>
      <c r="S28" s="16">
        <f t="shared" si="2"/>
        <v>0</v>
      </c>
      <c r="T28" s="16">
        <f t="shared" si="3"/>
        <v>0</v>
      </c>
      <c r="U28" s="16">
        <f t="shared" si="4"/>
        <v>0</v>
      </c>
      <c r="V28" s="16">
        <f t="shared" si="5"/>
        <v>0</v>
      </c>
      <c r="W28" s="16">
        <f t="shared" si="6"/>
        <v>0</v>
      </c>
      <c r="X28" s="16">
        <f t="shared" si="7"/>
        <v>0</v>
      </c>
      <c r="Z28" s="16">
        <f t="shared" si="8"/>
        <v>0</v>
      </c>
      <c r="AA28" s="2"/>
      <c r="AB28" s="433" t="s">
        <v>391</v>
      </c>
      <c r="AC28" s="433" t="s">
        <v>392</v>
      </c>
      <c r="AD28" s="433" t="s">
        <v>393</v>
      </c>
      <c r="AF28" s="2" t="s">
        <v>394</v>
      </c>
      <c r="AG28" s="2" t="s">
        <v>394</v>
      </c>
      <c r="AH28" s="21" t="s">
        <v>389</v>
      </c>
      <c r="AI28" s="116" t="s">
        <v>2953</v>
      </c>
      <c r="AJ28" s="117">
        <f>IF(OR(Q2="物理",Q2="化學",Q2="生物",Q2="資訊及通訊科技"),Q3,0)</f>
        <v>0</v>
      </c>
      <c r="AK28" s="117">
        <f>IF(OR(R2="物理",R2="化學",R2="生物",R2="資訊及通訊科技"),R3,0)</f>
        <v>0</v>
      </c>
      <c r="AL28" s="117">
        <f>IF(OR(S2="物理",S2="化學",S2="生物",S2="資訊及通訊科技"),S3,0)</f>
        <v>0</v>
      </c>
      <c r="AM28" s="117">
        <f>IF(OR(T2="物理",T2="化學",T2="生物",T2="資訊及通訊科技"),T3,0)</f>
        <v>0</v>
      </c>
      <c r="AN28" s="117">
        <f>P3</f>
        <v>5.0000000000000003E-10</v>
      </c>
      <c r="AO28" s="116"/>
      <c r="AP28" s="117" t="str">
        <f>IF(AQ28&gt;0,INDEX(AJ27:AN27,MATCH(LARGE(AJ28:AN28,1),AJ28:AN28,0)),"無")</f>
        <v>M1/2</v>
      </c>
      <c r="AQ28" s="117">
        <f>LARGE((AJ28:AN28),1)</f>
        <v>5.0000000000000003E-10</v>
      </c>
      <c r="AR28" s="116"/>
      <c r="AS28" s="116"/>
      <c r="AT28" s="116"/>
      <c r="AU28" s="116"/>
      <c r="AV28" s="116"/>
      <c r="AW28" s="115"/>
      <c r="AX28" s="115"/>
      <c r="AY28" s="115"/>
      <c r="AZ28" s="115"/>
      <c r="BA28" s="115"/>
      <c r="BB28" s="115"/>
      <c r="BC28" s="115"/>
      <c r="BD28" s="115"/>
      <c r="BE28" s="115"/>
      <c r="BF28" s="115"/>
      <c r="BG28" s="115"/>
      <c r="BH28" s="115"/>
      <c r="BI28" s="115"/>
    </row>
    <row r="29" spans="1:61">
      <c r="A29" s="2" t="str">
        <f>'Reference Score Calculation'!B20</f>
        <v>JS1014</v>
      </c>
      <c r="B29" s="346" t="str">
        <f>'Reference Score Calculation'!B20</f>
        <v>JS1014</v>
      </c>
      <c r="C29" s="2" t="str">
        <f>'Reference Score Calculation'!E20</f>
        <v>工商管理學士(金融) (特點: 投資分析 / 金融市場 / 公司金融/ 風險管理 / 交易室工作坊)</v>
      </c>
      <c r="D29" s="16">
        <f>'Reference Score Calculation'!U20</f>
        <v>96</v>
      </c>
      <c r="E29" s="16">
        <v>3</v>
      </c>
      <c r="F29" s="16">
        <v>3</v>
      </c>
      <c r="G29" s="16">
        <v>3</v>
      </c>
      <c r="H29" s="16">
        <v>2</v>
      </c>
      <c r="I29" s="16">
        <v>3</v>
      </c>
      <c r="J29" s="16">
        <v>3</v>
      </c>
      <c r="L29" s="90">
        <v>3</v>
      </c>
      <c r="M29" s="90">
        <v>3</v>
      </c>
      <c r="N29" s="90">
        <v>3</v>
      </c>
      <c r="O29" s="90">
        <v>1</v>
      </c>
      <c r="P29" s="90">
        <v>3</v>
      </c>
      <c r="Q29" s="90">
        <v>3</v>
      </c>
      <c r="S29" s="16">
        <f t="shared" si="2"/>
        <v>0</v>
      </c>
      <c r="T29" s="16">
        <f t="shared" si="3"/>
        <v>0</v>
      </c>
      <c r="U29" s="16">
        <f t="shared" si="4"/>
        <v>0</v>
      </c>
      <c r="V29" s="16">
        <f t="shared" si="5"/>
        <v>0</v>
      </c>
      <c r="W29" s="16">
        <f t="shared" si="6"/>
        <v>0</v>
      </c>
      <c r="X29" s="16">
        <f t="shared" si="7"/>
        <v>0</v>
      </c>
      <c r="Z29" s="16">
        <f t="shared" si="8"/>
        <v>0</v>
      </c>
      <c r="AA29" s="2"/>
      <c r="AB29" s="433" t="s">
        <v>391</v>
      </c>
      <c r="AC29" s="433" t="s">
        <v>392</v>
      </c>
      <c r="AD29" s="433" t="s">
        <v>393</v>
      </c>
      <c r="AF29" s="2" t="s">
        <v>394</v>
      </c>
      <c r="AG29" s="2" t="s">
        <v>394</v>
      </c>
      <c r="AH29" s="21" t="s">
        <v>389</v>
      </c>
      <c r="AI29" s="116"/>
      <c r="AJ29" s="116" t="str">
        <f>Q2</f>
        <v>請選擇第一選修科</v>
      </c>
      <c r="AK29" s="116" t="str">
        <f>R2</f>
        <v>請選擇第二選修科</v>
      </c>
      <c r="AL29" s="116" t="str">
        <f>S2</f>
        <v>請選擇第三選修科</v>
      </c>
      <c r="AM29" s="116" t="str">
        <f>T2</f>
        <v>請選擇第四選修科</v>
      </c>
      <c r="AN29" s="116" t="s">
        <v>21</v>
      </c>
      <c r="AO29" s="102"/>
      <c r="AP29" s="116" t="s">
        <v>2293</v>
      </c>
      <c r="AQ29" s="116"/>
      <c r="AR29" s="116"/>
      <c r="AS29" s="116"/>
      <c r="AT29" s="116"/>
      <c r="AU29" s="116"/>
      <c r="AV29" s="116"/>
      <c r="AW29" s="115"/>
      <c r="AX29" s="115"/>
      <c r="AY29" s="115"/>
      <c r="AZ29" s="115"/>
      <c r="BA29" s="115"/>
      <c r="BB29" s="115"/>
      <c r="BC29" s="115"/>
      <c r="BD29" s="115"/>
      <c r="BE29" s="115"/>
      <c r="BF29" s="115"/>
      <c r="BG29" s="115"/>
      <c r="BH29" s="115"/>
      <c r="BI29" s="115"/>
    </row>
    <row r="30" spans="1:61">
      <c r="A30" s="2" t="str">
        <f>'Reference Score Calculation'!B21</f>
        <v>JS1017</v>
      </c>
      <c r="B30" s="346" t="str">
        <f>'Reference Score Calculation'!B21</f>
        <v>JS1017</v>
      </c>
      <c r="C30" s="2" t="str">
        <f>'Reference Score Calculation'!E21</f>
        <v>資訊系統學 [主修: 工商管理學士(環球商業系統管理) 、工商管理學士(資訊管理)]</v>
      </c>
      <c r="D30" s="16">
        <f>'Reference Score Calculation'!U21</f>
        <v>62</v>
      </c>
      <c r="E30" s="16">
        <v>3</v>
      </c>
      <c r="F30" s="16">
        <v>3</v>
      </c>
      <c r="G30" s="16">
        <v>3</v>
      </c>
      <c r="H30" s="16">
        <v>2</v>
      </c>
      <c r="I30" s="16">
        <v>3</v>
      </c>
      <c r="J30" s="16">
        <v>3</v>
      </c>
      <c r="L30" s="90">
        <v>3</v>
      </c>
      <c r="M30" s="90">
        <v>3</v>
      </c>
      <c r="N30" s="90">
        <v>3</v>
      </c>
      <c r="O30" s="90">
        <v>1</v>
      </c>
      <c r="P30" s="90">
        <v>3</v>
      </c>
      <c r="Q30" s="90">
        <v>3</v>
      </c>
      <c r="S30" s="16">
        <f t="shared" si="2"/>
        <v>0</v>
      </c>
      <c r="T30" s="16">
        <f t="shared" si="3"/>
        <v>0</v>
      </c>
      <c r="U30" s="16">
        <f t="shared" si="4"/>
        <v>0</v>
      </c>
      <c r="V30" s="16">
        <f t="shared" si="5"/>
        <v>0</v>
      </c>
      <c r="W30" s="16">
        <f t="shared" si="6"/>
        <v>0</v>
      </c>
      <c r="X30" s="16">
        <f t="shared" si="7"/>
        <v>0</v>
      </c>
      <c r="Z30" s="16">
        <f t="shared" si="8"/>
        <v>0</v>
      </c>
      <c r="AA30" s="2"/>
      <c r="AB30" s="433" t="s">
        <v>391</v>
      </c>
      <c r="AC30" s="433" t="s">
        <v>392</v>
      </c>
      <c r="AD30" s="433" t="s">
        <v>393</v>
      </c>
      <c r="AF30" s="2" t="s">
        <v>394</v>
      </c>
      <c r="AG30" s="2" t="s">
        <v>394</v>
      </c>
      <c r="AH30" s="21" t="s">
        <v>389</v>
      </c>
      <c r="AI30" s="116" t="s">
        <v>396</v>
      </c>
      <c r="AJ30" s="119">
        <f>IF(OR(Q2="化學",Q2="生物",Q2="資訊及通訊科技",Q2="物理"),Q3,0)</f>
        <v>0</v>
      </c>
      <c r="AK30" s="119">
        <f>IF(OR(R2="化學",R2="生物",R2="資訊及通訊科技",R2="物理"),R3,0)</f>
        <v>0</v>
      </c>
      <c r="AL30" s="119">
        <f>IF(OR(S2="化學",S2="生物",S2="資訊及通訊科技",S2="物理"),S3,0)</f>
        <v>0</v>
      </c>
      <c r="AM30" s="119">
        <f>IF(OR(T2="化學",T2="生物",T2="資訊及通訊科技",T2="物理"),T3,0)</f>
        <v>0</v>
      </c>
      <c r="AN30" s="120">
        <f>P3</f>
        <v>5.0000000000000003E-10</v>
      </c>
      <c r="AO30" s="116"/>
      <c r="AP30" s="117" t="str">
        <f>IF(AQ30&gt;0,INDEX(AJ29:AN29,MATCH(LARGE(AJ30:AN30,1),AJ30:AN30,0)),"無")</f>
        <v>M1/2</v>
      </c>
      <c r="AQ30" s="117">
        <f>LARGE((AJ30:AN30),1)</f>
        <v>5.0000000000000003E-10</v>
      </c>
      <c r="AR30" s="116"/>
      <c r="AS30" s="116"/>
      <c r="AT30" s="116"/>
      <c r="AU30" s="116"/>
      <c r="AV30" s="116"/>
      <c r="AW30" s="115"/>
      <c r="AX30" s="115"/>
      <c r="AY30" s="115"/>
      <c r="AZ30" s="115"/>
      <c r="BA30" s="115"/>
      <c r="BB30" s="115"/>
      <c r="BC30" s="115"/>
      <c r="BD30" s="115"/>
      <c r="BE30" s="115"/>
      <c r="BF30" s="115"/>
      <c r="BG30" s="115"/>
      <c r="BH30" s="115"/>
      <c r="BI30" s="115"/>
    </row>
    <row r="31" spans="1:61">
      <c r="A31" s="2" t="str">
        <f>'Reference Score Calculation'!B22</f>
        <v>JS1018</v>
      </c>
      <c r="B31" s="346" t="str">
        <f>'Reference Score Calculation'!B22</f>
        <v>JS1018</v>
      </c>
      <c r="C31" s="2" t="str">
        <f>'Reference Score Calculation'!E22</f>
        <v>工商管理學士(環球商業系統管理) (特點: 智能科技 / 環球商業 / 海外及内地交流)</v>
      </c>
      <c r="D31" s="16">
        <f>'Reference Score Calculation'!U22</f>
        <v>10</v>
      </c>
      <c r="E31" s="16">
        <v>3</v>
      </c>
      <c r="F31" s="16">
        <v>3</v>
      </c>
      <c r="G31" s="16">
        <v>3</v>
      </c>
      <c r="H31" s="16">
        <v>2</v>
      </c>
      <c r="I31" s="16">
        <v>3</v>
      </c>
      <c r="J31" s="16">
        <v>3</v>
      </c>
      <c r="L31" s="90">
        <v>3</v>
      </c>
      <c r="M31" s="90">
        <v>3</v>
      </c>
      <c r="N31" s="90">
        <v>3</v>
      </c>
      <c r="O31" s="90">
        <v>1</v>
      </c>
      <c r="P31" s="90">
        <v>3</v>
      </c>
      <c r="Q31" s="90">
        <v>3</v>
      </c>
      <c r="S31" s="16">
        <f t="shared" si="2"/>
        <v>0</v>
      </c>
      <c r="T31" s="16">
        <f t="shared" si="3"/>
        <v>0</v>
      </c>
      <c r="U31" s="16">
        <f t="shared" si="4"/>
        <v>0</v>
      </c>
      <c r="V31" s="16">
        <f t="shared" si="5"/>
        <v>0</v>
      </c>
      <c r="W31" s="16">
        <f t="shared" si="6"/>
        <v>0</v>
      </c>
      <c r="X31" s="16">
        <f t="shared" si="7"/>
        <v>0</v>
      </c>
      <c r="Z31" s="16">
        <f t="shared" si="8"/>
        <v>0</v>
      </c>
      <c r="AA31" s="2"/>
      <c r="AB31" s="433" t="s">
        <v>391</v>
      </c>
      <c r="AC31" s="433" t="s">
        <v>392</v>
      </c>
      <c r="AD31" s="433" t="s">
        <v>393</v>
      </c>
      <c r="AF31" s="2" t="s">
        <v>394</v>
      </c>
      <c r="AG31" s="2" t="s">
        <v>394</v>
      </c>
      <c r="AH31" s="21" t="s">
        <v>389</v>
      </c>
      <c r="AI31" s="116"/>
      <c r="AJ31" s="116" t="str">
        <f>Q2</f>
        <v>請選擇第一選修科</v>
      </c>
      <c r="AK31" s="116" t="str">
        <f>R2</f>
        <v>請選擇第二選修科</v>
      </c>
      <c r="AL31" s="116" t="str">
        <f>S2</f>
        <v>請選擇第三選修科</v>
      </c>
      <c r="AM31" s="116" t="str">
        <f>T2</f>
        <v>請選擇第四選修科</v>
      </c>
      <c r="AN31" s="116" t="s">
        <v>21</v>
      </c>
      <c r="AO31" s="102"/>
      <c r="AP31" s="116" t="s">
        <v>2294</v>
      </c>
      <c r="AQ31" s="116"/>
      <c r="AR31" s="116"/>
      <c r="AS31" s="116"/>
      <c r="AT31" s="116"/>
      <c r="AU31" s="115"/>
      <c r="AV31" s="115"/>
      <c r="AW31" s="115"/>
      <c r="AX31" s="115"/>
      <c r="AY31" s="115"/>
      <c r="AZ31" s="115"/>
      <c r="BA31" s="115"/>
      <c r="BB31" s="115"/>
      <c r="BC31" s="115"/>
      <c r="BD31" s="115"/>
      <c r="BE31" s="115"/>
      <c r="BF31" s="115"/>
      <c r="BG31" s="115"/>
      <c r="BH31" s="115"/>
      <c r="BI31" s="115"/>
    </row>
    <row r="32" spans="1:61">
      <c r="A32" s="2" t="str">
        <f>'Reference Score Calculation'!B23</f>
        <v>JS1019</v>
      </c>
      <c r="B32" s="346" t="str">
        <f>'Reference Score Calculation'!B23</f>
        <v>JS1019</v>
      </c>
      <c r="C32" s="2" t="str">
        <f>'Reference Score Calculation'!E23</f>
        <v>工商管理學士(資訊管理) (專修: 商務智能 / 信息系統審計 / 互聯網服務及社交網絡 / 數據信息學)</v>
      </c>
      <c r="D32" s="16">
        <f>'Reference Score Calculation'!U23</f>
        <v>10</v>
      </c>
      <c r="E32" s="16">
        <v>3</v>
      </c>
      <c r="F32" s="16">
        <v>3</v>
      </c>
      <c r="G32" s="16">
        <v>3</v>
      </c>
      <c r="H32" s="16">
        <v>2</v>
      </c>
      <c r="I32" s="16">
        <v>3</v>
      </c>
      <c r="J32" s="16">
        <v>3</v>
      </c>
      <c r="L32" s="90">
        <v>3</v>
      </c>
      <c r="M32" s="90">
        <v>3</v>
      </c>
      <c r="N32" s="90">
        <v>3</v>
      </c>
      <c r="O32" s="90">
        <v>1</v>
      </c>
      <c r="P32" s="90">
        <v>3</v>
      </c>
      <c r="Q32" s="90">
        <v>3</v>
      </c>
      <c r="S32" s="16">
        <f t="shared" si="2"/>
        <v>0</v>
      </c>
      <c r="T32" s="16">
        <f t="shared" si="3"/>
        <v>0</v>
      </c>
      <c r="U32" s="16">
        <f t="shared" si="4"/>
        <v>0</v>
      </c>
      <c r="V32" s="16">
        <f t="shared" si="5"/>
        <v>0</v>
      </c>
      <c r="W32" s="16">
        <f t="shared" si="6"/>
        <v>0</v>
      </c>
      <c r="X32" s="16">
        <f t="shared" si="7"/>
        <v>0</v>
      </c>
      <c r="Z32" s="16">
        <f t="shared" si="8"/>
        <v>0</v>
      </c>
      <c r="AA32" s="2"/>
      <c r="AB32" s="433" t="s">
        <v>391</v>
      </c>
      <c r="AC32" s="433" t="s">
        <v>392</v>
      </c>
      <c r="AD32" s="433" t="s">
        <v>393</v>
      </c>
      <c r="AF32" s="2" t="s">
        <v>394</v>
      </c>
      <c r="AG32" s="2" t="s">
        <v>394</v>
      </c>
      <c r="AH32" s="21" t="s">
        <v>389</v>
      </c>
      <c r="AI32" s="116" t="s">
        <v>397</v>
      </c>
      <c r="AJ32" s="117">
        <f>IF(OR(Q2="化學",Q2="設計與應用科技",Q2="物理"),Q3,0)</f>
        <v>0</v>
      </c>
      <c r="AK32" s="117">
        <f>IF(OR(R2="化學",R2="設計與應用科技",R2="物理"),R3,0)</f>
        <v>0</v>
      </c>
      <c r="AL32" s="117">
        <f>IF(OR(S2="化學",S2="設計與應用科技",S2="物理"),S3,0)</f>
        <v>0</v>
      </c>
      <c r="AM32" s="117">
        <f>IF(OR(T2="化學",T2="設計與應用科技",T2="物理"),T3,0)</f>
        <v>0</v>
      </c>
      <c r="AN32" s="120">
        <f>P3</f>
        <v>5.0000000000000003E-10</v>
      </c>
      <c r="AO32" s="116"/>
      <c r="AP32" s="117" t="str">
        <f>IF(AQ32&gt;0,INDEX(AJ31:AN31,MATCH(LARGE(AJ32:AN32,1),AJ32:AN32,0)),"無")</f>
        <v>M1/2</v>
      </c>
      <c r="AQ32" s="117">
        <f>LARGE((AJ32:AN32),1)</f>
        <v>5.0000000000000003E-10</v>
      </c>
      <c r="AR32" s="116"/>
      <c r="AS32" s="116"/>
      <c r="AT32" s="116"/>
      <c r="AU32" s="115"/>
      <c r="AV32" s="115"/>
      <c r="AW32" s="115"/>
      <c r="AX32" s="115"/>
      <c r="AY32" s="115"/>
      <c r="AZ32" s="115"/>
      <c r="BA32" s="115"/>
      <c r="BB32" s="115"/>
      <c r="BC32" s="115"/>
      <c r="BD32" s="115"/>
      <c r="BE32" s="115"/>
      <c r="BF32" s="115"/>
      <c r="BG32" s="115"/>
      <c r="BH32" s="115"/>
      <c r="BI32" s="115"/>
    </row>
    <row r="33" spans="1:61">
      <c r="A33" s="2" t="str">
        <f>'Reference Score Calculation'!B24</f>
        <v>JS1025</v>
      </c>
      <c r="B33" s="346" t="str">
        <f>'Reference Score Calculation'!B24</f>
        <v>JS1025</v>
      </c>
      <c r="C33" s="2" t="str">
        <f>'Reference Score Calculation'!E24</f>
        <v>決策分析及營運學 [主修: 工商管理學士(商業決策分析) / 工商管理學士(環球營運管理)]</v>
      </c>
      <c r="D33" s="16">
        <f>'Reference Score Calculation'!U24</f>
        <v>24</v>
      </c>
      <c r="E33" s="16">
        <v>3</v>
      </c>
      <c r="F33" s="16">
        <v>3</v>
      </c>
      <c r="G33" s="16">
        <v>3</v>
      </c>
      <c r="H33" s="16">
        <v>2</v>
      </c>
      <c r="I33" s="16">
        <v>3</v>
      </c>
      <c r="J33" s="16">
        <v>3</v>
      </c>
      <c r="L33" s="90">
        <v>3</v>
      </c>
      <c r="M33" s="90">
        <v>3</v>
      </c>
      <c r="N33" s="90">
        <v>3</v>
      </c>
      <c r="O33" s="90">
        <v>1</v>
      </c>
      <c r="P33" s="90">
        <v>3</v>
      </c>
      <c r="Q33" s="90">
        <v>3</v>
      </c>
      <c r="S33" s="16">
        <f t="shared" si="2"/>
        <v>0</v>
      </c>
      <c r="T33" s="16">
        <f t="shared" si="3"/>
        <v>0</v>
      </c>
      <c r="U33" s="16">
        <f t="shared" si="4"/>
        <v>0</v>
      </c>
      <c r="V33" s="16">
        <f t="shared" si="5"/>
        <v>0</v>
      </c>
      <c r="W33" s="16">
        <f t="shared" si="6"/>
        <v>0</v>
      </c>
      <c r="X33" s="16">
        <f t="shared" si="7"/>
        <v>0</v>
      </c>
      <c r="Z33" s="16">
        <f t="shared" si="8"/>
        <v>0</v>
      </c>
      <c r="AA33" s="2"/>
      <c r="AB33" s="433" t="s">
        <v>391</v>
      </c>
      <c r="AC33" s="433" t="s">
        <v>392</v>
      </c>
      <c r="AD33" s="433" t="s">
        <v>393</v>
      </c>
      <c r="AF33" s="2" t="s">
        <v>394</v>
      </c>
      <c r="AG33" s="2" t="s">
        <v>394</v>
      </c>
      <c r="AH33" s="21" t="s">
        <v>389</v>
      </c>
      <c r="AI33" s="116"/>
      <c r="AJ33" s="116" t="str">
        <f>Q2</f>
        <v>請選擇第一選修科</v>
      </c>
      <c r="AK33" s="116" t="str">
        <f>R2</f>
        <v>請選擇第二選修科</v>
      </c>
      <c r="AL33" s="116" t="str">
        <f>S2</f>
        <v>請選擇第三選修科</v>
      </c>
      <c r="AM33" s="116" t="str">
        <f>T2</f>
        <v>請選擇第四選修科</v>
      </c>
      <c r="AN33" s="102"/>
      <c r="AO33" s="116"/>
      <c r="AP33" s="116" t="s">
        <v>2295</v>
      </c>
      <c r="AQ33" s="116"/>
      <c r="AR33" s="116"/>
      <c r="AS33" s="116"/>
      <c r="AT33" s="116"/>
      <c r="AU33" s="115"/>
      <c r="AV33" s="115"/>
      <c r="AW33" s="115"/>
      <c r="AX33" s="115"/>
      <c r="AY33" s="115"/>
      <c r="AZ33" s="115"/>
      <c r="BA33" s="115"/>
      <c r="BB33" s="115"/>
      <c r="BC33" s="115"/>
      <c r="BD33" s="115"/>
      <c r="BE33" s="115"/>
      <c r="BF33" s="115"/>
      <c r="BG33" s="115"/>
      <c r="BH33" s="115"/>
      <c r="BI33" s="115"/>
    </row>
    <row r="34" spans="1:61">
      <c r="A34" s="2" t="str">
        <f>'Reference Score Calculation'!B25</f>
        <v>JS1026</v>
      </c>
      <c r="B34" s="346" t="str">
        <f>'Reference Score Calculation'!B25</f>
        <v>JS1026</v>
      </c>
      <c r="C34" s="2" t="str">
        <f>'Reference Score Calculation'!E25</f>
        <v>工商管理學士(商業決策分析) (專修: 決策分析學 / 數據信息學)</v>
      </c>
      <c r="D34" s="16">
        <f>'Reference Score Calculation'!U25</f>
        <v>24</v>
      </c>
      <c r="E34" s="16">
        <v>3</v>
      </c>
      <c r="F34" s="16">
        <v>3</v>
      </c>
      <c r="G34" s="16">
        <v>3</v>
      </c>
      <c r="H34" s="16">
        <v>2</v>
      </c>
      <c r="I34" s="16">
        <v>3</v>
      </c>
      <c r="J34" s="16">
        <v>3</v>
      </c>
      <c r="L34" s="90">
        <v>3</v>
      </c>
      <c r="M34" s="90">
        <v>3</v>
      </c>
      <c r="N34" s="90">
        <v>3</v>
      </c>
      <c r="O34" s="90">
        <v>1</v>
      </c>
      <c r="P34" s="90">
        <v>3</v>
      </c>
      <c r="Q34" s="90">
        <v>3</v>
      </c>
      <c r="S34" s="16">
        <f t="shared" si="2"/>
        <v>0</v>
      </c>
      <c r="T34" s="16">
        <f t="shared" si="3"/>
        <v>0</v>
      </c>
      <c r="U34" s="16">
        <f t="shared" si="4"/>
        <v>0</v>
      </c>
      <c r="V34" s="16">
        <f t="shared" si="5"/>
        <v>0</v>
      </c>
      <c r="W34" s="16">
        <f t="shared" si="6"/>
        <v>0</v>
      </c>
      <c r="X34" s="16">
        <f t="shared" si="7"/>
        <v>0</v>
      </c>
      <c r="Z34" s="16">
        <f t="shared" si="8"/>
        <v>0</v>
      </c>
      <c r="AA34" s="2"/>
      <c r="AB34" s="433" t="s">
        <v>391</v>
      </c>
      <c r="AC34" s="433" t="s">
        <v>392</v>
      </c>
      <c r="AD34" s="433" t="s">
        <v>393</v>
      </c>
      <c r="AF34" s="2" t="s">
        <v>394</v>
      </c>
      <c r="AG34" s="2" t="s">
        <v>394</v>
      </c>
      <c r="AH34" s="21" t="s">
        <v>389</v>
      </c>
      <c r="AI34" s="116" t="s">
        <v>280</v>
      </c>
      <c r="AJ34" s="117">
        <f>IF(OR(Q2="化學",Q2="設計與應用科技",Q2="物理"),Q3,0)</f>
        <v>0</v>
      </c>
      <c r="AK34" s="117">
        <f>IF(OR(R2="化學",R2="設計與應用科技",R2="物理"),R3,0)</f>
        <v>0</v>
      </c>
      <c r="AL34" s="117">
        <f>IF(OR(S2="化學",S2="設計與應用科技",S2="物理"),S3,0)</f>
        <v>0</v>
      </c>
      <c r="AM34" s="117">
        <f>IF(OR(T2="化學",T2="設計與應用科技",T2="物理"),T3,0)</f>
        <v>0</v>
      </c>
      <c r="AN34" s="116"/>
      <c r="AO34" s="116"/>
      <c r="AP34" s="117" t="str">
        <f>IF(AQ34&gt;0,INDEX(AJ33:AM33,MATCH(LARGE(AJ34:AM34,1),AJ34:AM34,0)),"無")</f>
        <v>無</v>
      </c>
      <c r="AQ34" s="117">
        <f>LARGE((AJ34:AM34),1)</f>
        <v>0</v>
      </c>
      <c r="AR34" s="116"/>
      <c r="AS34" s="116"/>
      <c r="AT34" s="116"/>
      <c r="AU34" s="115"/>
      <c r="AV34" s="115"/>
      <c r="AW34" s="115"/>
      <c r="AX34" s="115"/>
      <c r="AY34" s="115"/>
      <c r="AZ34" s="115"/>
      <c r="BA34" s="115"/>
      <c r="BB34" s="115"/>
      <c r="BC34" s="115"/>
      <c r="BD34" s="115"/>
      <c r="BE34" s="115"/>
      <c r="BF34" s="115"/>
      <c r="BG34" s="115"/>
      <c r="BH34" s="115"/>
      <c r="BI34" s="115"/>
    </row>
    <row r="35" spans="1:61">
      <c r="A35" s="2" t="str">
        <f>'Reference Score Calculation'!B26</f>
        <v>JS1027</v>
      </c>
      <c r="B35" s="346" t="str">
        <f>'Reference Score Calculation'!B26</f>
        <v>JS1027</v>
      </c>
      <c r="C35" s="2" t="str">
        <f>'Reference Score Calculation'!E26</f>
        <v>工商管理學士(環球營運管理) (特點: 供應鏈管理 / 營運效率 / 流程改善 / 營運分析 / 資源規劃)</v>
      </c>
      <c r="D35" s="16">
        <f>'Reference Score Calculation'!U26</f>
        <v>23</v>
      </c>
      <c r="E35" s="16">
        <v>3</v>
      </c>
      <c r="F35" s="16">
        <v>3</v>
      </c>
      <c r="G35" s="16">
        <v>3</v>
      </c>
      <c r="H35" s="16">
        <v>2</v>
      </c>
      <c r="I35" s="16">
        <v>3</v>
      </c>
      <c r="J35" s="16">
        <v>3</v>
      </c>
      <c r="L35" s="90">
        <v>3</v>
      </c>
      <c r="M35" s="90">
        <v>3</v>
      </c>
      <c r="N35" s="90">
        <v>3</v>
      </c>
      <c r="O35" s="90">
        <v>1</v>
      </c>
      <c r="P35" s="90">
        <v>3</v>
      </c>
      <c r="Q35" s="90">
        <v>3</v>
      </c>
      <c r="S35" s="16">
        <f t="shared" si="2"/>
        <v>0</v>
      </c>
      <c r="T35" s="16">
        <f t="shared" si="3"/>
        <v>0</v>
      </c>
      <c r="U35" s="16">
        <f t="shared" si="4"/>
        <v>0</v>
      </c>
      <c r="V35" s="16">
        <f t="shared" si="5"/>
        <v>0</v>
      </c>
      <c r="W35" s="16">
        <f t="shared" si="6"/>
        <v>0</v>
      </c>
      <c r="X35" s="16">
        <f t="shared" si="7"/>
        <v>0</v>
      </c>
      <c r="Z35" s="16">
        <f t="shared" si="8"/>
        <v>0</v>
      </c>
      <c r="AA35" s="2"/>
      <c r="AB35" s="433" t="s">
        <v>391</v>
      </c>
      <c r="AC35" s="433" t="s">
        <v>392</v>
      </c>
      <c r="AD35" s="433" t="s">
        <v>393</v>
      </c>
      <c r="AF35" s="2" t="s">
        <v>394</v>
      </c>
      <c r="AG35" s="2" t="s">
        <v>394</v>
      </c>
      <c r="AH35" s="21" t="s">
        <v>389</v>
      </c>
      <c r="AI35" s="116"/>
      <c r="AJ35" s="116" t="str">
        <f>Q2</f>
        <v>請選擇第一選修科</v>
      </c>
      <c r="AK35" s="116" t="str">
        <f>R2</f>
        <v>請選擇第二選修科</v>
      </c>
      <c r="AL35" s="116" t="str">
        <f>S2</f>
        <v>請選擇第三選修科</v>
      </c>
      <c r="AM35" s="116" t="str">
        <f>T2</f>
        <v>請選擇第四選修科</v>
      </c>
      <c r="AN35" s="102"/>
      <c r="AO35" s="116"/>
      <c r="AP35" s="116" t="s">
        <v>2296</v>
      </c>
      <c r="AQ35" s="116"/>
      <c r="AR35" s="116"/>
      <c r="AS35" s="116"/>
      <c r="AT35" s="116"/>
      <c r="AU35" s="115"/>
      <c r="AV35" s="115"/>
      <c r="AW35" s="115"/>
      <c r="AX35" s="115"/>
      <c r="AY35" s="115"/>
      <c r="AZ35" s="115"/>
      <c r="BA35" s="115"/>
      <c r="BB35" s="115"/>
      <c r="BC35" s="115"/>
      <c r="BD35" s="115"/>
      <c r="BE35" s="115"/>
      <c r="BF35" s="115"/>
      <c r="BG35" s="115"/>
      <c r="BH35" s="115"/>
      <c r="BI35" s="115"/>
    </row>
    <row r="36" spans="1:61">
      <c r="A36" s="2" t="str">
        <f>'Reference Score Calculation'!B27</f>
        <v>JS1040</v>
      </c>
      <c r="B36" s="346" t="str">
        <f>'Reference Score Calculation'!B27</f>
        <v>JS1040</v>
      </c>
      <c r="C36" s="2" t="str">
        <f>'Reference Score Calculation'!E27</f>
        <v>卓越創藝與科技課程 [選項: 創意媒體(校本課程)、 文學士(創意媒體)、理學士(創意媒體)、文理學士(新媒體)]</v>
      </c>
      <c r="D36" s="16">
        <f>'Reference Score Calculation'!U27</f>
        <v>10</v>
      </c>
      <c r="L36" s="90">
        <v>3</v>
      </c>
      <c r="M36" s="90">
        <v>3</v>
      </c>
      <c r="N36" s="90">
        <v>2</v>
      </c>
      <c r="O36" s="90">
        <v>1</v>
      </c>
      <c r="P36" s="90">
        <v>3</v>
      </c>
      <c r="Q36" s="90">
        <v>3</v>
      </c>
      <c r="S36" s="16">
        <f t="shared" ref="S36:S63" si="9">IF(L36&gt;L$3,0,1)</f>
        <v>0</v>
      </c>
      <c r="T36" s="16">
        <f t="shared" ref="T36:T63" si="10">IF(M36&gt;M$3,0,1)</f>
        <v>0</v>
      </c>
      <c r="U36" s="16">
        <f t="shared" ref="U36:U63" si="11">IF(N36&gt;N$3,0,1)</f>
        <v>0</v>
      </c>
      <c r="V36" s="16">
        <f t="shared" ref="V36:V63" si="12">IF(O36&gt;O$3,0,1)</f>
        <v>0</v>
      </c>
      <c r="W36" s="16">
        <f>IF(P36&gt;LARGE(P$3:U$3,1),0,1)</f>
        <v>0</v>
      </c>
      <c r="X36" s="16">
        <f t="shared" ref="X36:X61" si="13">IF(Q36&gt;LARGE(P$3:U$3,2),0,1)</f>
        <v>0</v>
      </c>
      <c r="Z36" s="16">
        <f>S36*T36*U36*V36*W36*X36</f>
        <v>0</v>
      </c>
      <c r="AB36" s="433" t="s">
        <v>419</v>
      </c>
      <c r="AC36" s="433" t="s">
        <v>420</v>
      </c>
      <c r="AD36" s="433" t="s">
        <v>419</v>
      </c>
      <c r="AF36" s="2" t="s">
        <v>394</v>
      </c>
      <c r="AG36" s="2" t="s">
        <v>394</v>
      </c>
      <c r="AH36" s="21" t="s">
        <v>389</v>
      </c>
      <c r="AI36" s="116" t="s">
        <v>283</v>
      </c>
      <c r="AJ36" s="117">
        <f>IF(OR(Q2="化學",Q2="生物",Q2="物理"),Q3,0)</f>
        <v>0</v>
      </c>
      <c r="AK36" s="117">
        <f>IF(OR(R2="化學",R2="生物",R2="物理"),R3,0)</f>
        <v>0</v>
      </c>
      <c r="AL36" s="117">
        <f>IF(OR(S2="化學",S2="生物",S2="物理"),S3,0)</f>
        <v>0</v>
      </c>
      <c r="AM36" s="117">
        <f>IF(OR(T2="化學",T2="生物",T2="物理"),T3,0)</f>
        <v>0</v>
      </c>
      <c r="AN36" s="116"/>
      <c r="AO36" s="116"/>
      <c r="AP36" s="117" t="str">
        <f>IF(AQ36&gt;0,INDEX(AJ35:AM35,MATCH(LARGE(AJ36:AM36,1),AJ36:AM36,0)),"無")</f>
        <v>無</v>
      </c>
      <c r="AQ36" s="117">
        <f>LARGE((AJ36:AM36),1)</f>
        <v>0</v>
      </c>
      <c r="AR36" s="116"/>
      <c r="AS36" s="116"/>
      <c r="AT36" s="116"/>
      <c r="AU36" s="115"/>
      <c r="AV36" s="115"/>
      <c r="AW36" s="115"/>
      <c r="AX36" s="115"/>
      <c r="AY36" s="115"/>
      <c r="AZ36" s="115"/>
      <c r="BA36" s="115"/>
      <c r="BB36" s="115"/>
      <c r="BC36" s="115"/>
      <c r="BD36" s="115"/>
      <c r="BE36" s="115"/>
      <c r="BF36" s="115"/>
      <c r="BG36" s="115"/>
      <c r="BH36" s="115"/>
      <c r="BI36" s="115"/>
    </row>
    <row r="37" spans="1:61">
      <c r="A37" s="2" t="str">
        <f>'Reference Score Calculation'!B28</f>
        <v>JS1041</v>
      </c>
      <c r="B37" s="346" t="str">
        <f>'Reference Score Calculation'!B28</f>
        <v>JS1041</v>
      </c>
      <c r="C37" s="2" t="str">
        <f>'Reference Score Calculation'!E28</f>
        <v>創意媒體 [主修: 文學士(創意媒體) / 理學士(創意媒體) / 文理學士(新媒體)]</v>
      </c>
      <c r="D37" s="16">
        <f>'Reference Score Calculation'!U28</f>
        <v>21</v>
      </c>
      <c r="E37" s="16">
        <v>3</v>
      </c>
      <c r="F37" s="16">
        <v>3</v>
      </c>
      <c r="G37" s="16">
        <v>2</v>
      </c>
      <c r="H37" s="16">
        <v>2</v>
      </c>
      <c r="I37" s="16">
        <v>3</v>
      </c>
      <c r="J37" s="16">
        <v>3</v>
      </c>
      <c r="L37" s="90">
        <v>3</v>
      </c>
      <c r="M37" s="90">
        <v>3</v>
      </c>
      <c r="N37" s="90">
        <v>2</v>
      </c>
      <c r="O37" s="90">
        <v>1</v>
      </c>
      <c r="P37" s="90">
        <v>3</v>
      </c>
      <c r="Q37" s="90">
        <v>3</v>
      </c>
      <c r="S37" s="16">
        <f t="shared" si="9"/>
        <v>0</v>
      </c>
      <c r="T37" s="16">
        <f t="shared" si="10"/>
        <v>0</v>
      </c>
      <c r="U37" s="16">
        <f t="shared" si="11"/>
        <v>0</v>
      </c>
      <c r="V37" s="16">
        <f t="shared" si="12"/>
        <v>0</v>
      </c>
      <c r="W37" s="16">
        <f>IF(P37&gt;LARGE(P$3:U$3,1),0,1)</f>
        <v>0</v>
      </c>
      <c r="X37" s="16">
        <f t="shared" si="13"/>
        <v>0</v>
      </c>
      <c r="Z37" s="16">
        <f t="shared" si="8"/>
        <v>0</v>
      </c>
      <c r="AA37" s="2"/>
      <c r="AB37" s="433" t="s">
        <v>391</v>
      </c>
      <c r="AC37" s="433" t="s">
        <v>392</v>
      </c>
      <c r="AD37" s="433" t="s">
        <v>391</v>
      </c>
      <c r="AF37" s="2" t="s">
        <v>394</v>
      </c>
      <c r="AG37" s="2" t="s">
        <v>394</v>
      </c>
      <c r="AH37" s="21" t="s">
        <v>389</v>
      </c>
      <c r="AI37" s="116"/>
      <c r="AJ37" s="116" t="str">
        <f>Q2</f>
        <v>請選擇第一選修科</v>
      </c>
      <c r="AK37" s="116" t="str">
        <f>R2</f>
        <v>請選擇第二選修科</v>
      </c>
      <c r="AL37" s="116" t="str">
        <f>S2</f>
        <v>請選擇第三選修科</v>
      </c>
      <c r="AM37" s="116" t="str">
        <f>T2</f>
        <v>請選擇第四選修科</v>
      </c>
      <c r="AN37" s="116" t="s">
        <v>21</v>
      </c>
      <c r="AO37" s="102"/>
      <c r="AP37" s="116" t="s">
        <v>2949</v>
      </c>
      <c r="AQ37" s="116"/>
      <c r="AR37" s="116"/>
      <c r="AS37" s="116"/>
      <c r="AT37" s="116"/>
      <c r="AU37" s="115"/>
      <c r="AV37" s="115"/>
      <c r="AW37" s="115"/>
      <c r="AX37" s="115"/>
      <c r="AY37" s="115"/>
      <c r="AZ37" s="115"/>
      <c r="BA37" s="115"/>
      <c r="BB37" s="115"/>
      <c r="BC37" s="115"/>
      <c r="BD37" s="115"/>
      <c r="BE37" s="115"/>
      <c r="BF37" s="115"/>
      <c r="BG37" s="115"/>
      <c r="BH37" s="115"/>
      <c r="BI37" s="115"/>
    </row>
    <row r="38" spans="1:61">
      <c r="A38" s="2" t="str">
        <f>'Reference Score Calculation'!B29</f>
        <v>JS1042</v>
      </c>
      <c r="B38" s="346" t="str">
        <f>'Reference Score Calculation'!B29</f>
        <v>JS1042</v>
      </c>
      <c r="C38" s="2" t="str">
        <f>'Reference Score Calculation'!E29</f>
        <v>文學士(創意媒體) (特點: 動畫 / 電影及攝影 / 批判理論及實踐 / 遊戲及可玩媒體 / 新媒體藝術 / 聲音藝術)</v>
      </c>
      <c r="D38" s="16">
        <f>'Reference Score Calculation'!U29</f>
        <v>17</v>
      </c>
      <c r="E38" s="16">
        <v>3</v>
      </c>
      <c r="F38" s="16">
        <v>3</v>
      </c>
      <c r="G38" s="16">
        <v>2</v>
      </c>
      <c r="H38" s="16">
        <v>2</v>
      </c>
      <c r="I38" s="16">
        <v>3</v>
      </c>
      <c r="J38" s="16">
        <v>3</v>
      </c>
      <c r="L38" s="90">
        <v>3</v>
      </c>
      <c r="M38" s="90">
        <v>3</v>
      </c>
      <c r="N38" s="90">
        <v>2</v>
      </c>
      <c r="O38" s="90">
        <v>1</v>
      </c>
      <c r="P38" s="90">
        <v>3</v>
      </c>
      <c r="Q38" s="90">
        <v>3</v>
      </c>
      <c r="S38" s="16">
        <f t="shared" si="9"/>
        <v>0</v>
      </c>
      <c r="T38" s="16">
        <f t="shared" si="10"/>
        <v>0</v>
      </c>
      <c r="U38" s="16">
        <f t="shared" si="11"/>
        <v>0</v>
      </c>
      <c r="V38" s="16">
        <f t="shared" si="12"/>
        <v>0</v>
      </c>
      <c r="W38" s="16">
        <f>IF(P38&gt;LARGE(P$3:U$3,1),0,1)</f>
        <v>0</v>
      </c>
      <c r="X38" s="16">
        <f t="shared" si="13"/>
        <v>0</v>
      </c>
      <c r="Z38" s="16">
        <f t="shared" si="8"/>
        <v>0</v>
      </c>
      <c r="AA38" s="2"/>
      <c r="AB38" s="433" t="s">
        <v>391</v>
      </c>
      <c r="AC38" s="433" t="s">
        <v>392</v>
      </c>
      <c r="AD38" s="433" t="s">
        <v>391</v>
      </c>
      <c r="AF38" s="2" t="s">
        <v>394</v>
      </c>
      <c r="AG38" s="2" t="s">
        <v>394</v>
      </c>
      <c r="AH38" s="21" t="s">
        <v>389</v>
      </c>
      <c r="AI38" s="116" t="s">
        <v>2950</v>
      </c>
      <c r="AJ38" s="117">
        <f>IF(OR(Q2="生物", Q2="化學",Q2="設計與應用科技", Q2="經濟",Q2="資訊及通訊科技",Q2="物理"),Q3,0)</f>
        <v>0</v>
      </c>
      <c r="AK38" s="117">
        <f>IF(OR(R2="生物", R2="化學",R2="設計與應用科技", R2="經濟",R2="資訊及通訊科技",R2="物理"),R3,0)</f>
        <v>0</v>
      </c>
      <c r="AL38" s="117">
        <f>IF(OR(S2="生物", S2="化學",S2="設計與應用科技", S2="經濟",S2="資訊及通訊科技",S2="物理"),S3,0)</f>
        <v>0</v>
      </c>
      <c r="AM38" s="117">
        <f>IF(OR(T2="生物", T2="化學",T2="設計與應用科技", T2="經濟",T2="資訊及通訊科技",T2="物理"),T3,0)</f>
        <v>0</v>
      </c>
      <c r="AN38" s="120">
        <f>P3</f>
        <v>5.0000000000000003E-10</v>
      </c>
      <c r="AO38" s="116"/>
      <c r="AP38" s="117" t="str">
        <f>IF(AQ38&gt;0,INDEX(AJ37:AN37,MATCH(LARGE(AJ38:AN38,1),AJ38:AN38,0)),"無")</f>
        <v>M1/2</v>
      </c>
      <c r="AQ38" s="117">
        <f>LARGE((AJ38:AN38),1)</f>
        <v>5.0000000000000003E-10</v>
      </c>
      <c r="AR38" s="115"/>
      <c r="AS38" s="115"/>
      <c r="AT38" s="115"/>
      <c r="AU38" s="115"/>
      <c r="AV38" s="115"/>
      <c r="AW38" s="115"/>
      <c r="AX38" s="115"/>
      <c r="AY38" s="115"/>
      <c r="AZ38" s="115"/>
      <c r="BA38" s="115"/>
      <c r="BB38" s="115"/>
      <c r="BC38" s="115"/>
      <c r="BD38" s="115"/>
      <c r="BE38" s="115"/>
      <c r="BF38" s="115"/>
      <c r="BG38" s="115"/>
      <c r="BH38" s="115"/>
      <c r="BI38" s="115"/>
    </row>
    <row r="39" spans="1:61">
      <c r="A39" s="2" t="str">
        <f>'Reference Score Calculation'!B30</f>
        <v>JS1043</v>
      </c>
      <c r="B39" s="346" t="str">
        <f>'Reference Score Calculation'!B30</f>
        <v>JS1043</v>
      </c>
      <c r="C39" s="2" t="str">
        <f>'Reference Score Calculation'!E30</f>
        <v>理學士(創意媒體) (特點: 結合創意媒體及電腦科學課程 / 動畫 / 遊戲 / 裝置藝術 / 互動媒體)</v>
      </c>
      <c r="D39" s="16">
        <f>'Reference Score Calculation'!U30</f>
        <v>25</v>
      </c>
      <c r="E39" s="16">
        <v>3</v>
      </c>
      <c r="F39" s="16">
        <v>3</v>
      </c>
      <c r="G39" s="16">
        <v>2</v>
      </c>
      <c r="H39" s="16">
        <v>2</v>
      </c>
      <c r="I39" s="16">
        <v>3</v>
      </c>
      <c r="J39" s="16">
        <v>3</v>
      </c>
      <c r="L39" s="90">
        <v>3</v>
      </c>
      <c r="M39" s="90">
        <v>3</v>
      </c>
      <c r="N39" s="90">
        <v>2</v>
      </c>
      <c r="O39" s="90">
        <v>1</v>
      </c>
      <c r="P39" s="90">
        <v>3</v>
      </c>
      <c r="Q39" s="90">
        <v>3</v>
      </c>
      <c r="S39" s="16">
        <f t="shared" si="9"/>
        <v>0</v>
      </c>
      <c r="T39" s="16">
        <f t="shared" si="10"/>
        <v>0</v>
      </c>
      <c r="U39" s="16">
        <f t="shared" si="11"/>
        <v>0</v>
      </c>
      <c r="V39" s="16">
        <f t="shared" si="12"/>
        <v>0</v>
      </c>
      <c r="W39" s="16">
        <f>IF(P39&gt;LARGE(P$3:U$3,1),0,1)</f>
        <v>0</v>
      </c>
      <c r="X39" s="16">
        <f t="shared" si="13"/>
        <v>0</v>
      </c>
      <c r="Z39" s="16">
        <f t="shared" si="8"/>
        <v>0</v>
      </c>
      <c r="AA39" s="2"/>
      <c r="AB39" s="433" t="s">
        <v>391</v>
      </c>
      <c r="AC39" s="433" t="s">
        <v>392</v>
      </c>
      <c r="AD39" s="433" t="s">
        <v>391</v>
      </c>
      <c r="AF39" s="2" t="s">
        <v>394</v>
      </c>
      <c r="AG39" s="2" t="s">
        <v>394</v>
      </c>
      <c r="AH39" s="21" t="s">
        <v>389</v>
      </c>
      <c r="AI39" s="116"/>
      <c r="AJ39" s="116" t="str">
        <f>Q2</f>
        <v>請選擇第一選修科</v>
      </c>
      <c r="AK39" s="116" t="str">
        <f>R2</f>
        <v>請選擇第二選修科</v>
      </c>
      <c r="AL39" s="116" t="str">
        <f>S2</f>
        <v>請選擇第三選修科</v>
      </c>
      <c r="AM39" s="116" t="str">
        <f>T2</f>
        <v>請選擇第四選修科</v>
      </c>
      <c r="AN39" s="116" t="s">
        <v>21</v>
      </c>
      <c r="AO39" s="116"/>
      <c r="AP39" s="116" t="s">
        <v>2297</v>
      </c>
      <c r="AQ39" s="116"/>
      <c r="AR39" s="116"/>
      <c r="AS39" s="116"/>
      <c r="AT39" s="116"/>
      <c r="AU39" s="115"/>
      <c r="AV39" s="115"/>
      <c r="AW39" s="115"/>
      <c r="AX39" s="115"/>
      <c r="AY39" s="115"/>
      <c r="AZ39" s="115"/>
      <c r="BA39" s="115"/>
      <c r="BB39" s="115"/>
      <c r="BC39" s="115"/>
      <c r="BD39" s="115"/>
      <c r="BE39" s="115"/>
      <c r="BF39" s="115"/>
      <c r="BG39" s="115"/>
      <c r="BH39" s="115"/>
      <c r="BI39" s="115"/>
    </row>
    <row r="40" spans="1:61">
      <c r="A40" s="2" t="str">
        <f>'Reference Score Calculation'!B31</f>
        <v>JS1044</v>
      </c>
      <c r="B40" s="346" t="str">
        <f>'Reference Score Calculation'!B31</f>
        <v>JS1044</v>
      </c>
      <c r="C40" s="2" t="str">
        <f>'Reference Score Calculation'!E31</f>
        <v>文理學士(新媒體) (特點: 媒體藝術 / 機械人學及人工智能 / 藝術及科技 / 物料及數位製造)</v>
      </c>
      <c r="D40" s="16">
        <f>'Reference Score Calculation'!U31</f>
        <v>17</v>
      </c>
      <c r="E40" s="16">
        <v>3</v>
      </c>
      <c r="F40" s="16">
        <v>3</v>
      </c>
      <c r="G40" s="16">
        <v>2</v>
      </c>
      <c r="H40" s="16">
        <v>2</v>
      </c>
      <c r="I40" s="16">
        <v>3</v>
      </c>
      <c r="J40" s="16">
        <v>3</v>
      </c>
      <c r="L40" s="90">
        <v>3</v>
      </c>
      <c r="M40" s="90">
        <v>3</v>
      </c>
      <c r="N40" s="90">
        <v>2</v>
      </c>
      <c r="O40" s="90">
        <v>1</v>
      </c>
      <c r="P40" s="90">
        <v>3</v>
      </c>
      <c r="Q40" s="90">
        <v>3</v>
      </c>
      <c r="S40" s="16">
        <f t="shared" si="9"/>
        <v>0</v>
      </c>
      <c r="T40" s="16">
        <f t="shared" si="10"/>
        <v>0</v>
      </c>
      <c r="U40" s="16">
        <f t="shared" si="11"/>
        <v>0</v>
      </c>
      <c r="V40" s="16">
        <f t="shared" si="12"/>
        <v>0</v>
      </c>
      <c r="W40" s="16">
        <f>IF(P40&gt;LARGE(P$3:U$3,1),0,1)</f>
        <v>0</v>
      </c>
      <c r="X40" s="16">
        <f t="shared" si="13"/>
        <v>0</v>
      </c>
      <c r="Z40" s="16">
        <f t="shared" si="8"/>
        <v>0</v>
      </c>
      <c r="AA40" s="2"/>
      <c r="AB40" s="433" t="s">
        <v>391</v>
      </c>
      <c r="AC40" s="433" t="s">
        <v>392</v>
      </c>
      <c r="AD40" s="433" t="s">
        <v>391</v>
      </c>
      <c r="AF40" s="2" t="s">
        <v>394</v>
      </c>
      <c r="AG40" s="2" t="s">
        <v>394</v>
      </c>
      <c r="AH40" s="21" t="s">
        <v>389</v>
      </c>
      <c r="AI40" s="116" t="s">
        <v>398</v>
      </c>
      <c r="AJ40" s="117">
        <f>IF(OR(Q2="化學",Q2="生物",Q2="設計與應用科技",Q2="資訊及通訊科技",Q2="物理"),Q3,0)</f>
        <v>0</v>
      </c>
      <c r="AK40" s="117">
        <f>IF(OR(R2="化學",R2="生物",R2="設計與應用科技",R2="資訊及通訊科技",R2="物理"),R3,0)</f>
        <v>0</v>
      </c>
      <c r="AL40" s="117">
        <f>IF(OR(S2="化學",S2="生物",S2="設計與應用科技",S2="資訊及通訊科技",S2="物理"),S3,0)</f>
        <v>0</v>
      </c>
      <c r="AM40" s="117">
        <f>IF(OR(T2="化學",T2="生物",T2="設計與應用科技",T2="資訊及通訊科技",T2="物理"),T3,0)</f>
        <v>0</v>
      </c>
      <c r="AN40" s="120">
        <f>P3</f>
        <v>5.0000000000000003E-10</v>
      </c>
      <c r="AO40" s="116"/>
      <c r="AP40" s="117" t="str">
        <f>IF(AQ40&gt;0,INDEX(AJ39:AN39,MATCH(LARGE(AJ40:AN40,1),AJ40:AN40,0)),"無")</f>
        <v>M1/2</v>
      </c>
      <c r="AQ40" s="117">
        <f>LARGE((AJ40:AN40),1)</f>
        <v>5.0000000000000003E-10</v>
      </c>
      <c r="AR40" s="117" t="str">
        <f>IF(AS40&gt;0,INDEX(AJ39:AN39,MATCH(LARGE(AJ40:AN40,2),AJ40:AN40,0)),"無")</f>
        <v>無</v>
      </c>
      <c r="AS40" s="117">
        <f>LARGE((AJ40:AN40),2)</f>
        <v>0</v>
      </c>
      <c r="AT40" s="116"/>
      <c r="AU40" s="115"/>
      <c r="AV40" s="115"/>
      <c r="AW40" s="115"/>
      <c r="AX40" s="115"/>
      <c r="AY40" s="115"/>
      <c r="AZ40" s="115"/>
      <c r="BA40" s="115"/>
      <c r="BB40" s="115"/>
      <c r="BC40" s="115"/>
      <c r="BD40" s="115"/>
      <c r="BE40" s="115"/>
      <c r="BF40" s="115"/>
      <c r="BG40" s="115"/>
      <c r="BH40" s="115"/>
      <c r="BI40" s="115"/>
    </row>
    <row r="41" spans="1:61">
      <c r="A41" s="2" t="str">
        <f>'Reference Score Calculation'!B32</f>
        <v>JS1050</v>
      </c>
      <c r="B41" s="346" t="str">
        <f>'Reference Score Calculation'!B32</f>
        <v>JS1050</v>
      </c>
      <c r="C41" s="2" t="str">
        <f>'Reference Score Calculation'!E32</f>
        <v>環球可持續發展科創課程 [主修: 工學士(能源科學及工程學) / 工學士(環境科學及工程學)＋特點：環球視野]</v>
      </c>
      <c r="D41" s="16">
        <f>'Reference Score Calculation'!U32</f>
        <v>10</v>
      </c>
      <c r="L41" s="90">
        <v>3</v>
      </c>
      <c r="M41" s="90">
        <v>3</v>
      </c>
      <c r="N41" s="90">
        <v>2</v>
      </c>
      <c r="O41" s="90">
        <v>1</v>
      </c>
      <c r="P41" s="90">
        <v>3</v>
      </c>
      <c r="Q41" s="90">
        <v>3</v>
      </c>
      <c r="S41" s="16">
        <f t="shared" si="9"/>
        <v>0</v>
      </c>
      <c r="T41" s="16">
        <f t="shared" si="10"/>
        <v>0</v>
      </c>
      <c r="U41" s="16">
        <f t="shared" si="11"/>
        <v>0</v>
      </c>
      <c r="V41" s="16">
        <f t="shared" si="12"/>
        <v>0</v>
      </c>
      <c r="W41" s="72">
        <f>IF($AQ$71=0,0,IF(P41&gt;$AQ$71,0,1))</f>
        <v>0</v>
      </c>
      <c r="X41" s="16">
        <f t="shared" si="13"/>
        <v>0</v>
      </c>
      <c r="Z41" s="16">
        <f>S41*T41*U41*V41*W41*X41</f>
        <v>0</v>
      </c>
      <c r="AB41" s="433" t="s">
        <v>391</v>
      </c>
      <c r="AC41" s="433" t="s">
        <v>392</v>
      </c>
      <c r="AD41" s="433" t="s">
        <v>393</v>
      </c>
      <c r="AF41" s="434" t="s">
        <v>2309</v>
      </c>
      <c r="AG41" s="435" t="s">
        <v>394</v>
      </c>
      <c r="AH41" s="21" t="s">
        <v>389</v>
      </c>
      <c r="AI41" s="116"/>
      <c r="AJ41" s="116" t="str">
        <f>Q2</f>
        <v>請選擇第一選修科</v>
      </c>
      <c r="AK41" s="116" t="str">
        <f>R2</f>
        <v>請選擇第二選修科</v>
      </c>
      <c r="AL41" s="116" t="str">
        <f>S2</f>
        <v>請選擇第三選修科</v>
      </c>
      <c r="AM41" s="116" t="str">
        <f>T2</f>
        <v>請選擇第四選修科</v>
      </c>
      <c r="AN41" s="116" t="s">
        <v>21</v>
      </c>
      <c r="AO41" s="102"/>
      <c r="AP41" s="116" t="s">
        <v>2293</v>
      </c>
      <c r="AQ41" s="116"/>
      <c r="AR41" s="116"/>
      <c r="AS41" s="116"/>
      <c r="AT41" s="116"/>
      <c r="AU41" s="115"/>
      <c r="AV41" s="115"/>
      <c r="AW41" s="115"/>
      <c r="AX41" s="115"/>
      <c r="AY41" s="115"/>
      <c r="AZ41" s="115"/>
      <c r="BA41" s="115"/>
      <c r="BB41" s="115"/>
      <c r="BC41" s="115"/>
      <c r="BD41" s="115"/>
      <c r="BE41" s="115"/>
      <c r="BF41" s="115"/>
      <c r="BG41" s="115"/>
      <c r="BH41" s="115"/>
      <c r="BI41" s="115"/>
    </row>
    <row r="42" spans="1:61">
      <c r="A42" s="2" t="str">
        <f>'Reference Score Calculation'!B33</f>
        <v>JS1051</v>
      </c>
      <c r="B42" s="346" t="str">
        <f>'Reference Score Calculation'!B33</f>
        <v>JS1051</v>
      </c>
      <c r="C42" s="2" t="str">
        <f>'Reference Score Calculation'!E33</f>
        <v>能源及環境學 [主修: 工學士(能源科學及工程學) / 工學士(環境科學及工程學)]</v>
      </c>
      <c r="D42" s="16">
        <f>'Reference Score Calculation'!U33</f>
        <v>32</v>
      </c>
      <c r="E42" s="16">
        <v>3</v>
      </c>
      <c r="F42" s="16">
        <v>3</v>
      </c>
      <c r="G42" s="16">
        <v>2</v>
      </c>
      <c r="H42" s="16">
        <v>2</v>
      </c>
      <c r="I42" s="16">
        <v>3</v>
      </c>
      <c r="J42" s="16">
        <v>3</v>
      </c>
      <c r="L42" s="90">
        <v>3</v>
      </c>
      <c r="M42" s="90">
        <v>3</v>
      </c>
      <c r="N42" s="90">
        <v>2</v>
      </c>
      <c r="O42" s="90">
        <v>1</v>
      </c>
      <c r="P42" s="90">
        <v>3</v>
      </c>
      <c r="Q42" s="90">
        <v>3</v>
      </c>
      <c r="S42" s="16">
        <f t="shared" si="9"/>
        <v>0</v>
      </c>
      <c r="T42" s="16">
        <f t="shared" si="10"/>
        <v>0</v>
      </c>
      <c r="U42" s="16">
        <f t="shared" si="11"/>
        <v>0</v>
      </c>
      <c r="V42" s="16">
        <f t="shared" si="12"/>
        <v>0</v>
      </c>
      <c r="W42" s="72">
        <f>IF($AQ$71=0,0,IF(P42&gt;$AQ$71,0,1))</f>
        <v>0</v>
      </c>
      <c r="X42" s="16">
        <f t="shared" si="13"/>
        <v>0</v>
      </c>
      <c r="Z42" s="16">
        <f t="shared" si="8"/>
        <v>0</v>
      </c>
      <c r="AA42" s="2"/>
      <c r="AB42" s="433" t="s">
        <v>391</v>
      </c>
      <c r="AC42" s="433" t="s">
        <v>392</v>
      </c>
      <c r="AD42" s="433" t="s">
        <v>393</v>
      </c>
      <c r="AF42" s="434" t="s">
        <v>2309</v>
      </c>
      <c r="AG42" s="435" t="s">
        <v>394</v>
      </c>
      <c r="AH42" s="21" t="s">
        <v>389</v>
      </c>
      <c r="AI42" s="116" t="s">
        <v>399</v>
      </c>
      <c r="AJ42" s="117">
        <f>IF(OR(Q2="化學",Q2="生物",Q2="資訊及通訊科技",Q2="物理"),Q3,0)</f>
        <v>0</v>
      </c>
      <c r="AK42" s="117">
        <f>IF(OR(R2="化學",R2="生物",R2="資訊及通訊科技",R2="物理"),R3,0)</f>
        <v>0</v>
      </c>
      <c r="AL42" s="117">
        <f>IF(OR(S2="化學",S2="生物",S2="資訊及通訊科技",S2="物理"),S3,0)</f>
        <v>0</v>
      </c>
      <c r="AM42" s="117">
        <f>IF(OR(T2="化學",T2="生物",T2="資訊及通訊科技",T2="物理"),T3,0)</f>
        <v>0</v>
      </c>
      <c r="AN42" s="117">
        <f>P3</f>
        <v>5.0000000000000003E-10</v>
      </c>
      <c r="AO42" s="116"/>
      <c r="AP42" s="117" t="str">
        <f>IF(AQ42&gt;0,INDEX(AJ41:AN41,MATCH(LARGE(AJ42:AN42,1),AJ42:AN42,0)),"無")</f>
        <v>M1/2</v>
      </c>
      <c r="AQ42" s="117">
        <f>LARGE((AJ42:AN42),1)</f>
        <v>5.0000000000000003E-10</v>
      </c>
      <c r="AR42" s="116"/>
      <c r="AS42" s="116"/>
      <c r="AT42" s="116"/>
      <c r="AU42" s="115"/>
      <c r="AV42" s="115"/>
      <c r="AW42" s="115"/>
      <c r="AX42" s="115"/>
      <c r="AY42" s="115"/>
      <c r="AZ42" s="115"/>
      <c r="BA42" s="115"/>
      <c r="BB42" s="115"/>
      <c r="BC42" s="115"/>
      <c r="BD42" s="115"/>
      <c r="BE42" s="115"/>
      <c r="BF42" s="115"/>
      <c r="BG42" s="115"/>
      <c r="BH42" s="115"/>
      <c r="BI42" s="115"/>
    </row>
    <row r="43" spans="1:61">
      <c r="A43" s="2" t="str">
        <f>'Reference Score Calculation'!B34</f>
        <v>JS1052</v>
      </c>
      <c r="B43" s="346" t="str">
        <f>'Reference Score Calculation'!B34</f>
        <v>JS1052</v>
      </c>
      <c r="C43" s="2" t="str">
        <f>'Reference Score Calculation'!E34</f>
        <v>工學士(環境科學及工程學)與工商管理學士(金融)[雙學位；特點：環境、社會和管治 / 綠色金融 / 環保技術 / 跨學科教育]</v>
      </c>
      <c r="D43" s="16">
        <f>'Reference Score Calculation'!U34</f>
        <v>10</v>
      </c>
      <c r="E43" s="16">
        <v>3</v>
      </c>
      <c r="F43" s="16">
        <v>3</v>
      </c>
      <c r="G43" s="16">
        <v>2</v>
      </c>
      <c r="H43" s="16">
        <v>2</v>
      </c>
      <c r="I43" s="16">
        <v>3</v>
      </c>
      <c r="J43" s="16">
        <v>3</v>
      </c>
      <c r="L43" s="90">
        <v>3</v>
      </c>
      <c r="M43" s="90">
        <v>3</v>
      </c>
      <c r="N43" s="90">
        <v>3</v>
      </c>
      <c r="O43" s="90">
        <v>1</v>
      </c>
      <c r="P43" s="90">
        <v>3</v>
      </c>
      <c r="Q43" s="90">
        <v>3</v>
      </c>
      <c r="S43" s="16">
        <f t="shared" si="9"/>
        <v>0</v>
      </c>
      <c r="T43" s="16">
        <f t="shared" si="10"/>
        <v>0</v>
      </c>
      <c r="U43" s="16">
        <f t="shared" si="11"/>
        <v>0</v>
      </c>
      <c r="V43" s="16">
        <f t="shared" si="12"/>
        <v>0</v>
      </c>
      <c r="W43" s="72">
        <f>IF($AQ$71=0,0,IF(P43&gt;$AQ$71,0,1))</f>
        <v>0</v>
      </c>
      <c r="X43" s="16">
        <f t="shared" si="13"/>
        <v>0</v>
      </c>
      <c r="Z43" s="16">
        <f t="shared" si="8"/>
        <v>0</v>
      </c>
      <c r="AA43" s="2"/>
      <c r="AB43" s="433" t="s">
        <v>391</v>
      </c>
      <c r="AC43" s="433" t="s">
        <v>392</v>
      </c>
      <c r="AD43" s="433" t="s">
        <v>393</v>
      </c>
      <c r="AF43" s="434" t="s">
        <v>2309</v>
      </c>
      <c r="AG43" s="435" t="s">
        <v>394</v>
      </c>
      <c r="AH43" s="21" t="s">
        <v>389</v>
      </c>
      <c r="AI43" s="116"/>
      <c r="AJ43" s="116"/>
      <c r="AK43" s="116"/>
      <c r="AL43" s="115"/>
      <c r="AM43" s="115"/>
      <c r="AN43" s="115"/>
      <c r="AO43" s="115"/>
      <c r="AP43" s="115"/>
      <c r="AQ43" s="115"/>
      <c r="AR43" s="115"/>
      <c r="AS43" s="116"/>
      <c r="AT43" s="116"/>
      <c r="AU43" s="115"/>
      <c r="AV43" s="115"/>
      <c r="AW43" s="115"/>
      <c r="AX43" s="115"/>
      <c r="AY43" s="115"/>
      <c r="AZ43" s="115"/>
      <c r="BA43" s="115"/>
      <c r="BB43" s="115"/>
      <c r="BC43" s="115"/>
      <c r="BD43" s="115"/>
      <c r="BE43" s="115"/>
      <c r="BF43" s="115"/>
      <c r="BG43" s="115"/>
      <c r="BH43" s="115"/>
      <c r="BI43" s="115"/>
    </row>
    <row r="44" spans="1:61">
      <c r="A44" s="2" t="str">
        <f>'Reference Score Calculation'!B35</f>
        <v>JS1053</v>
      </c>
      <c r="B44" s="346" t="str">
        <f>'Reference Score Calculation'!B35</f>
        <v>JS1053</v>
      </c>
      <c r="C44" s="2" t="str">
        <f>'Reference Score Calculation'!E35</f>
        <v>理學士(環境及可持續發展商業) [特點：環境科學 / 商業可持續發展 / 環境、社會和管治]</v>
      </c>
      <c r="D44" s="16">
        <f>'Reference Score Calculation'!U35</f>
        <v>10</v>
      </c>
      <c r="L44" s="90">
        <v>3</v>
      </c>
      <c r="M44" s="90">
        <v>3</v>
      </c>
      <c r="N44" s="90">
        <v>3</v>
      </c>
      <c r="O44" s="90">
        <v>1</v>
      </c>
      <c r="P44" s="90">
        <v>3</v>
      </c>
      <c r="Q44" s="90">
        <v>3</v>
      </c>
      <c r="S44" s="16">
        <f t="shared" si="9"/>
        <v>0</v>
      </c>
      <c r="T44" s="16">
        <f t="shared" si="10"/>
        <v>0</v>
      </c>
      <c r="U44" s="16">
        <f t="shared" si="11"/>
        <v>0</v>
      </c>
      <c r="V44" s="16">
        <f t="shared" si="12"/>
        <v>0</v>
      </c>
      <c r="W44" s="72">
        <f>IF($AQ$71=0,0,IF(P44&gt;$AQ$71,0,1))</f>
        <v>0</v>
      </c>
      <c r="X44" s="16">
        <f t="shared" si="13"/>
        <v>0</v>
      </c>
      <c r="Z44" s="16">
        <f>S44*T44*U44*V44*W44*X44</f>
        <v>0</v>
      </c>
      <c r="AB44" s="433" t="s">
        <v>391</v>
      </c>
      <c r="AC44" s="433" t="s">
        <v>392</v>
      </c>
      <c r="AD44" s="433" t="s">
        <v>393</v>
      </c>
      <c r="AF44" s="434" t="s">
        <v>2309</v>
      </c>
      <c r="AG44" s="435" t="s">
        <v>394</v>
      </c>
      <c r="AH44" s="21" t="s">
        <v>389</v>
      </c>
      <c r="AI44" s="116"/>
      <c r="AJ44" s="116"/>
      <c r="AK44" s="116"/>
      <c r="AL44" s="115"/>
      <c r="AM44" s="115"/>
      <c r="AN44" s="115"/>
      <c r="AO44" s="115"/>
      <c r="AP44" s="115"/>
      <c r="AQ44" s="115"/>
      <c r="AR44" s="115"/>
      <c r="AS44" s="116"/>
      <c r="AT44" s="116"/>
      <c r="AU44" s="116"/>
      <c r="AV44" s="115"/>
      <c r="AW44" s="115"/>
      <c r="AX44" s="115"/>
      <c r="AY44" s="115"/>
      <c r="AZ44" s="115"/>
      <c r="BA44" s="115"/>
      <c r="BB44" s="115"/>
      <c r="BC44" s="115"/>
      <c r="BD44" s="115"/>
      <c r="BE44" s="115"/>
      <c r="BF44" s="115"/>
      <c r="BG44" s="115"/>
      <c r="BH44" s="115"/>
      <c r="BI44" s="115"/>
    </row>
    <row r="45" spans="1:61">
      <c r="A45" s="2" t="str">
        <f>'Reference Score Calculation'!B36</f>
        <v>JS1061</v>
      </c>
      <c r="B45" s="346" t="str">
        <f>'Reference Score Calculation'!B36</f>
        <v>JS1061</v>
      </c>
      <c r="C45" s="2" t="str">
        <f>'Reference Score Calculation'!E36</f>
        <v>法律學學士</v>
      </c>
      <c r="D45" s="16">
        <f>'Reference Score Calculation'!U36</f>
        <v>42</v>
      </c>
      <c r="E45" s="16">
        <v>3</v>
      </c>
      <c r="F45" s="16">
        <v>5</v>
      </c>
      <c r="G45" s="16">
        <v>2</v>
      </c>
      <c r="H45" s="16">
        <v>2</v>
      </c>
      <c r="I45" s="16">
        <v>3</v>
      </c>
      <c r="J45" s="16">
        <v>3</v>
      </c>
      <c r="L45" s="90">
        <v>3</v>
      </c>
      <c r="M45" s="90">
        <v>5</v>
      </c>
      <c r="N45" s="90">
        <v>2</v>
      </c>
      <c r="O45" s="90">
        <v>1</v>
      </c>
      <c r="P45" s="90">
        <v>3</v>
      </c>
      <c r="Q45" s="90">
        <v>3</v>
      </c>
      <c r="S45" s="16">
        <f t="shared" si="9"/>
        <v>0</v>
      </c>
      <c r="T45" s="16">
        <f t="shared" si="10"/>
        <v>0</v>
      </c>
      <c r="U45" s="16">
        <f t="shared" si="11"/>
        <v>0</v>
      </c>
      <c r="V45" s="16">
        <f t="shared" si="12"/>
        <v>0</v>
      </c>
      <c r="W45" s="16">
        <f t="shared" ref="W45:W61" si="14">IF(P45&gt;LARGE(P$3:U$3,1),0,1)</f>
        <v>0</v>
      </c>
      <c r="X45" s="16">
        <f t="shared" si="13"/>
        <v>0</v>
      </c>
      <c r="Z45" s="16">
        <f t="shared" si="8"/>
        <v>0</v>
      </c>
      <c r="AA45" s="2"/>
      <c r="AB45" s="433" t="s">
        <v>391</v>
      </c>
      <c r="AC45" s="433" t="s">
        <v>392</v>
      </c>
      <c r="AD45" s="433" t="s">
        <v>393</v>
      </c>
      <c r="AF45" s="2" t="s">
        <v>394</v>
      </c>
      <c r="AG45" s="2" t="s">
        <v>394</v>
      </c>
      <c r="AH45" s="21" t="s">
        <v>389</v>
      </c>
      <c r="AI45" s="116"/>
      <c r="AJ45" s="116"/>
      <c r="AK45" s="116"/>
      <c r="AL45" s="115"/>
      <c r="AM45" s="115"/>
      <c r="AN45" s="115"/>
      <c r="AO45" s="115"/>
      <c r="AP45" s="115"/>
      <c r="AQ45" s="115"/>
      <c r="AR45" s="115"/>
      <c r="AS45" s="116"/>
      <c r="AT45" s="116"/>
      <c r="AU45" s="116"/>
      <c r="AV45" s="115"/>
      <c r="AW45" s="115"/>
      <c r="AX45" s="115"/>
      <c r="AY45" s="115"/>
      <c r="AZ45" s="115"/>
      <c r="BA45" s="115"/>
      <c r="BB45" s="115"/>
      <c r="BC45" s="115"/>
      <c r="BD45" s="115"/>
      <c r="BE45" s="115"/>
      <c r="BF45" s="115"/>
      <c r="BG45" s="115"/>
      <c r="BH45" s="115"/>
      <c r="BI45" s="115"/>
    </row>
    <row r="46" spans="1:61">
      <c r="A46" s="2" t="str">
        <f>'Reference Score Calculation'!B37</f>
        <v>JS1062</v>
      </c>
      <c r="B46" s="346" t="str">
        <f>'Reference Score Calculation'!B37</f>
        <v>JS1062</v>
      </c>
      <c r="C46" s="2" t="str">
        <f>'Reference Score Calculation'!E37</f>
        <v>法律學學士與工商管理學士(會計) (雙學位)</v>
      </c>
      <c r="D46" s="16">
        <f>'Reference Score Calculation'!U37</f>
        <v>8</v>
      </c>
      <c r="E46" s="16">
        <v>3</v>
      </c>
      <c r="F46" s="16">
        <v>5</v>
      </c>
      <c r="G46" s="16">
        <v>3</v>
      </c>
      <c r="H46" s="16">
        <v>2</v>
      </c>
      <c r="I46" s="16">
        <v>3</v>
      </c>
      <c r="J46" s="16">
        <v>3</v>
      </c>
      <c r="L46" s="90">
        <v>3</v>
      </c>
      <c r="M46" s="90">
        <v>5</v>
      </c>
      <c r="N46" s="90">
        <v>3</v>
      </c>
      <c r="O46" s="90">
        <v>1</v>
      </c>
      <c r="P46" s="90">
        <v>3</v>
      </c>
      <c r="Q46" s="90">
        <v>3</v>
      </c>
      <c r="S46" s="16">
        <f t="shared" si="9"/>
        <v>0</v>
      </c>
      <c r="T46" s="16">
        <f t="shared" si="10"/>
        <v>0</v>
      </c>
      <c r="U46" s="16">
        <f t="shared" si="11"/>
        <v>0</v>
      </c>
      <c r="V46" s="16">
        <f t="shared" si="12"/>
        <v>0</v>
      </c>
      <c r="W46" s="16">
        <f t="shared" si="14"/>
        <v>0</v>
      </c>
      <c r="X46" s="16">
        <f t="shared" si="13"/>
        <v>0</v>
      </c>
      <c r="Z46" s="16">
        <f t="shared" si="8"/>
        <v>0</v>
      </c>
      <c r="AA46" s="2"/>
      <c r="AB46" s="433" t="s">
        <v>391</v>
      </c>
      <c r="AC46" s="433" t="s">
        <v>392</v>
      </c>
      <c r="AD46" s="433" t="s">
        <v>393</v>
      </c>
      <c r="AF46" s="2" t="s">
        <v>394</v>
      </c>
      <c r="AG46" s="2" t="s">
        <v>394</v>
      </c>
      <c r="AH46" s="21" t="s">
        <v>389</v>
      </c>
      <c r="AI46" s="122" t="s">
        <v>400</v>
      </c>
      <c r="AJ46" s="116"/>
      <c r="AK46" s="116"/>
      <c r="AL46" s="115"/>
      <c r="AM46" s="115"/>
      <c r="AN46" s="115"/>
      <c r="AO46" s="115"/>
      <c r="AP46" s="115"/>
      <c r="AQ46" s="115"/>
      <c r="AR46" s="115"/>
      <c r="AS46" s="116"/>
      <c r="AT46" s="116"/>
      <c r="AU46" s="116"/>
      <c r="AV46" s="115"/>
      <c r="AW46" s="115"/>
      <c r="AX46" s="115"/>
      <c r="AY46" s="115"/>
      <c r="AZ46" s="115"/>
      <c r="BA46" s="115"/>
      <c r="BB46" s="115"/>
      <c r="BC46" s="115"/>
      <c r="BD46" s="115"/>
      <c r="BE46" s="115"/>
      <c r="BF46" s="115"/>
      <c r="BG46" s="115"/>
      <c r="BH46" s="115"/>
      <c r="BI46" s="115"/>
    </row>
    <row r="47" spans="1:61">
      <c r="A47" s="2" t="str">
        <f>'Reference Score Calculation'!B38</f>
        <v>JS1070</v>
      </c>
      <c r="B47" s="346" t="str">
        <f>'Reference Score Calculation'!B38</f>
        <v>JS1070</v>
      </c>
      <c r="C47" s="2" t="str">
        <f>'Reference Score Calculation'!E38</f>
        <v>數據賦能: 學習･突破･成就課程(特點: 自由選擇學院專業學科 / 一對一專業導師 / 精英學生實習培訓 / 專業導師指導計劃 / 頂尖海外大學交流)</v>
      </c>
      <c r="D47" s="16">
        <f>'Reference Score Calculation'!U38</f>
        <v>15</v>
      </c>
      <c r="L47" s="90">
        <v>3</v>
      </c>
      <c r="M47" s="90">
        <v>3</v>
      </c>
      <c r="N47" s="90">
        <v>3</v>
      </c>
      <c r="O47" s="90">
        <v>1</v>
      </c>
      <c r="P47" s="90">
        <v>3</v>
      </c>
      <c r="Q47" s="90">
        <v>3</v>
      </c>
      <c r="S47" s="16">
        <f t="shared" si="9"/>
        <v>0</v>
      </c>
      <c r="T47" s="16">
        <f t="shared" si="10"/>
        <v>0</v>
      </c>
      <c r="U47" s="16">
        <f t="shared" si="11"/>
        <v>0</v>
      </c>
      <c r="V47" s="16">
        <f t="shared" si="12"/>
        <v>0</v>
      </c>
      <c r="W47" s="16">
        <f t="shared" si="14"/>
        <v>0</v>
      </c>
      <c r="X47" s="16">
        <f t="shared" si="13"/>
        <v>0</v>
      </c>
      <c r="Z47" s="16">
        <f t="shared" si="8"/>
        <v>0</v>
      </c>
      <c r="AA47" s="2"/>
      <c r="AB47" s="433" t="s">
        <v>391</v>
      </c>
      <c r="AC47" s="433" t="s">
        <v>392</v>
      </c>
      <c r="AD47" s="433" t="s">
        <v>393</v>
      </c>
      <c r="AF47" s="2" t="s">
        <v>394</v>
      </c>
      <c r="AG47" s="2" t="s">
        <v>394</v>
      </c>
      <c r="AH47" s="21" t="s">
        <v>389</v>
      </c>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row>
    <row r="48" spans="1:61">
      <c r="A48" s="2" t="str">
        <f>'Reference Score Calculation'!B39</f>
        <v>JS1071</v>
      </c>
      <c r="B48" s="346" t="str">
        <f>'Reference Score Calculation'!B39</f>
        <v>JS1071</v>
      </c>
      <c r="C48" s="2" t="str">
        <f>'Reference Score Calculation'!E39</f>
        <v>數據科學 [主修：理學士 (數據科學) / 理學士 (數據與系統工程)]</v>
      </c>
      <c r="D48" s="16">
        <f>'Reference Score Calculation'!U39</f>
        <v>20</v>
      </c>
      <c r="E48" s="16">
        <v>3</v>
      </c>
      <c r="F48" s="16">
        <v>3</v>
      </c>
      <c r="G48" s="16">
        <v>3</v>
      </c>
      <c r="H48" s="16">
        <v>2</v>
      </c>
      <c r="I48" s="16">
        <v>3</v>
      </c>
      <c r="J48" s="16">
        <v>3</v>
      </c>
      <c r="L48" s="90">
        <v>3</v>
      </c>
      <c r="M48" s="90">
        <v>3</v>
      </c>
      <c r="N48" s="90">
        <v>3</v>
      </c>
      <c r="O48" s="90">
        <v>1</v>
      </c>
      <c r="P48" s="90">
        <v>3</v>
      </c>
      <c r="Q48" s="90">
        <v>3</v>
      </c>
      <c r="S48" s="16">
        <f t="shared" si="9"/>
        <v>0</v>
      </c>
      <c r="T48" s="16">
        <f t="shared" si="10"/>
        <v>0</v>
      </c>
      <c r="U48" s="16">
        <f t="shared" si="11"/>
        <v>0</v>
      </c>
      <c r="V48" s="16">
        <f t="shared" si="12"/>
        <v>0</v>
      </c>
      <c r="W48" s="16">
        <f t="shared" si="14"/>
        <v>0</v>
      </c>
      <c r="X48" s="16">
        <f t="shared" si="13"/>
        <v>0</v>
      </c>
      <c r="Z48" s="16">
        <f t="shared" si="8"/>
        <v>0</v>
      </c>
      <c r="AA48" s="2"/>
      <c r="AB48" s="433" t="s">
        <v>391</v>
      </c>
      <c r="AC48" s="433" t="s">
        <v>392</v>
      </c>
      <c r="AD48" s="433" t="s">
        <v>393</v>
      </c>
      <c r="AF48" s="2" t="s">
        <v>394</v>
      </c>
      <c r="AG48" s="2" t="s">
        <v>394</v>
      </c>
      <c r="AH48" s="21" t="s">
        <v>389</v>
      </c>
      <c r="AI48" s="116"/>
      <c r="AJ48" s="116" t="str">
        <f>Q2</f>
        <v>請選擇第一選修科</v>
      </c>
      <c r="AK48" s="116" t="str">
        <f>R2</f>
        <v>請選擇第二選修科</v>
      </c>
      <c r="AL48" s="116" t="str">
        <f>S2</f>
        <v>請選擇第三選修科</v>
      </c>
      <c r="AM48" s="116" t="str">
        <f>T2</f>
        <v>請選擇第四選修科</v>
      </c>
      <c r="AN48" s="116" t="s">
        <v>21</v>
      </c>
      <c r="AO48" s="116"/>
      <c r="AP48" s="116" t="s">
        <v>401</v>
      </c>
      <c r="AQ48" s="116"/>
      <c r="AR48" s="116"/>
      <c r="AS48" s="116"/>
      <c r="AT48" s="116"/>
      <c r="AU48" s="116"/>
      <c r="AV48" s="116"/>
      <c r="AW48" s="115"/>
      <c r="AX48" s="115"/>
      <c r="AY48" s="115"/>
      <c r="AZ48" s="115"/>
      <c r="BA48" s="115"/>
      <c r="BB48" s="115"/>
      <c r="BC48" s="115"/>
      <c r="BD48" s="115"/>
      <c r="BE48" s="115"/>
      <c r="BF48" s="115"/>
      <c r="BG48" s="115"/>
      <c r="BH48" s="115"/>
      <c r="BI48" s="115"/>
    </row>
    <row r="49" spans="1:61">
      <c r="A49" s="2" t="str">
        <f>'Reference Score Calculation'!B40</f>
        <v>JS1072</v>
      </c>
      <c r="B49" s="346" t="str">
        <f>'Reference Score Calculation'!B40</f>
        <v>JS1072</v>
      </c>
      <c r="C49" s="2" t="str">
        <f>'Reference Score Calculation'!E40</f>
        <v>理學士(數據科學) (特點: 數據科學 / 機器學習 / 數據挖掘 / 大數據分析)</v>
      </c>
      <c r="D49" s="16">
        <f>'Reference Score Calculation'!U40</f>
        <v>27</v>
      </c>
      <c r="E49" s="16">
        <v>3</v>
      </c>
      <c r="F49" s="16">
        <v>3</v>
      </c>
      <c r="G49" s="16">
        <v>3</v>
      </c>
      <c r="H49" s="16">
        <v>2</v>
      </c>
      <c r="I49" s="16">
        <v>3</v>
      </c>
      <c r="J49" s="16">
        <v>3</v>
      </c>
      <c r="L49" s="90">
        <v>3</v>
      </c>
      <c r="M49" s="90">
        <v>3</v>
      </c>
      <c r="N49" s="90">
        <v>3</v>
      </c>
      <c r="O49" s="90">
        <v>1</v>
      </c>
      <c r="P49" s="90">
        <v>3</v>
      </c>
      <c r="Q49" s="90">
        <v>3</v>
      </c>
      <c r="S49" s="16">
        <f t="shared" si="9"/>
        <v>0</v>
      </c>
      <c r="T49" s="16">
        <f t="shared" si="10"/>
        <v>0</v>
      </c>
      <c r="U49" s="16">
        <f t="shared" si="11"/>
        <v>0</v>
      </c>
      <c r="V49" s="16">
        <f t="shared" si="12"/>
        <v>0</v>
      </c>
      <c r="W49" s="16">
        <f t="shared" si="14"/>
        <v>0</v>
      </c>
      <c r="X49" s="16">
        <f t="shared" si="13"/>
        <v>0</v>
      </c>
      <c r="Z49" s="16">
        <f t="shared" si="8"/>
        <v>0</v>
      </c>
      <c r="AA49" s="2"/>
      <c r="AB49" s="433" t="s">
        <v>391</v>
      </c>
      <c r="AC49" s="433" t="s">
        <v>392</v>
      </c>
      <c r="AD49" s="433" t="s">
        <v>393</v>
      </c>
      <c r="AF49" s="2" t="s">
        <v>394</v>
      </c>
      <c r="AG49" s="2" t="s">
        <v>394</v>
      </c>
      <c r="AH49" s="21" t="s">
        <v>389</v>
      </c>
      <c r="AI49" s="116" t="s">
        <v>402</v>
      </c>
      <c r="AJ49" s="117">
        <f>IF(OR(Q2="化學",Q2="生物",Q2="經濟",Q2="物理"),Q3,0)</f>
        <v>0</v>
      </c>
      <c r="AK49" s="117">
        <f>IF(OR(R2="化學",R2="生物",R2="經濟",R2="物理"),R3,0)</f>
        <v>0</v>
      </c>
      <c r="AL49" s="117">
        <f>IF(OR(S2="化學",S2="生物",S2="經濟",S2="物理"),S3,0)</f>
        <v>0</v>
      </c>
      <c r="AM49" s="117">
        <f>IF(OR(T2="化學",T2="生物",T2="經濟",T2="物理"),T3,0)</f>
        <v>0</v>
      </c>
      <c r="AN49" s="117">
        <f>P3</f>
        <v>5.0000000000000003E-10</v>
      </c>
      <c r="AO49" s="116"/>
      <c r="AP49" s="117" t="str">
        <f>IF(AQ49&gt;0,INDEX(AJ48:AN48,MATCH(LARGE(AJ49:AN49,1),AJ49:AN49,0)),"無")</f>
        <v>M1/2</v>
      </c>
      <c r="AQ49" s="117">
        <f>LARGE((AJ49:AN49),1)</f>
        <v>5.0000000000000003E-10</v>
      </c>
      <c r="AR49" s="117" t="str">
        <f>IF(AS49&gt;0,INDEX(AJ48:AN48,MATCH(LARGE(AJ49:AN49,2),AJ49:AN49,0)),"無")</f>
        <v>無</v>
      </c>
      <c r="AS49" s="117">
        <f>LARGE((AJ49:AN49),2)</f>
        <v>0</v>
      </c>
      <c r="AT49" s="116"/>
      <c r="AU49" s="116"/>
      <c r="AV49" s="116"/>
      <c r="AW49" s="115"/>
      <c r="AX49" s="115"/>
      <c r="AY49" s="115"/>
      <c r="AZ49" s="115"/>
      <c r="BA49" s="115"/>
      <c r="BB49" s="115"/>
      <c r="BC49" s="115"/>
      <c r="BD49" s="115"/>
      <c r="BE49" s="115"/>
      <c r="BF49" s="115"/>
      <c r="BG49" s="115"/>
      <c r="BH49" s="115"/>
      <c r="BI49" s="115"/>
    </row>
    <row r="50" spans="1:61">
      <c r="A50" s="2" t="str">
        <f>'Reference Score Calculation'!B41</f>
        <v>JS1074</v>
      </c>
      <c r="B50" s="346" t="str">
        <f>'Reference Score Calculation'!B41</f>
        <v>JS1074</v>
      </c>
      <c r="C50" s="2" t="str">
        <f>'Reference Score Calculation'!E41</f>
        <v>理學士(數據與系統工程) (特點: 數據科學 / 金融科技 / 工業人工智能 / 智慧城市 / 物聯網)</v>
      </c>
      <c r="D50" s="16">
        <f>'Reference Score Calculation'!U41</f>
        <v>17</v>
      </c>
      <c r="E50" s="16">
        <v>3</v>
      </c>
      <c r="F50" s="16">
        <v>3</v>
      </c>
      <c r="G50" s="16">
        <v>3</v>
      </c>
      <c r="H50" s="16">
        <v>2</v>
      </c>
      <c r="I50" s="16">
        <v>3</v>
      </c>
      <c r="J50" s="16">
        <v>3</v>
      </c>
      <c r="L50" s="90">
        <v>3</v>
      </c>
      <c r="M50" s="90">
        <v>3</v>
      </c>
      <c r="N50" s="90">
        <v>3</v>
      </c>
      <c r="O50" s="90">
        <v>1</v>
      </c>
      <c r="P50" s="90">
        <v>3</v>
      </c>
      <c r="Q50" s="90">
        <v>3</v>
      </c>
      <c r="S50" s="16">
        <f t="shared" si="9"/>
        <v>0</v>
      </c>
      <c r="T50" s="16">
        <f t="shared" si="10"/>
        <v>0</v>
      </c>
      <c r="U50" s="16">
        <f t="shared" si="11"/>
        <v>0</v>
      </c>
      <c r="V50" s="16">
        <f t="shared" si="12"/>
        <v>0</v>
      </c>
      <c r="W50" s="16">
        <f t="shared" si="14"/>
        <v>0</v>
      </c>
      <c r="X50" s="16">
        <f t="shared" si="13"/>
        <v>0</v>
      </c>
      <c r="Z50" s="16">
        <f t="shared" si="8"/>
        <v>0</v>
      </c>
      <c r="AA50" s="2"/>
      <c r="AB50" s="433" t="s">
        <v>391</v>
      </c>
      <c r="AC50" s="433" t="s">
        <v>392</v>
      </c>
      <c r="AD50" s="433" t="s">
        <v>393</v>
      </c>
      <c r="AF50" s="2" t="s">
        <v>394</v>
      </c>
      <c r="AG50" s="2" t="s">
        <v>394</v>
      </c>
      <c r="AH50" s="21" t="s">
        <v>389</v>
      </c>
      <c r="AI50" s="116"/>
      <c r="AJ50" s="115" t="str">
        <f>Q2</f>
        <v>請選擇第一選修科</v>
      </c>
      <c r="AK50" s="115" t="str">
        <f>R2</f>
        <v>請選擇第二選修科</v>
      </c>
      <c r="AL50" s="115" t="str">
        <f>S2</f>
        <v>請選擇第三選修科</v>
      </c>
      <c r="AM50" s="115" t="str">
        <f>T2</f>
        <v>請選擇第四選修科</v>
      </c>
      <c r="AN50" s="115"/>
      <c r="AO50" s="116"/>
      <c r="AP50" s="116" t="s">
        <v>2298</v>
      </c>
      <c r="AQ50" s="116"/>
      <c r="AR50" s="116"/>
      <c r="AS50" s="115" t="s">
        <v>403</v>
      </c>
      <c r="AT50" s="116"/>
      <c r="AU50" s="116" t="str">
        <f>Q2</f>
        <v>請選擇第一選修科</v>
      </c>
      <c r="AV50" s="116" t="str">
        <f>R2</f>
        <v>請選擇第二選修科</v>
      </c>
      <c r="AW50" s="116" t="str">
        <f>S2</f>
        <v>請選擇第三選修科</v>
      </c>
      <c r="AX50" s="116" t="str">
        <f>T2</f>
        <v>請選擇第四選修科</v>
      </c>
      <c r="AY50" s="115"/>
      <c r="AZ50" s="116" t="s">
        <v>2301</v>
      </c>
      <c r="BA50" s="115"/>
      <c r="BB50" s="115"/>
      <c r="BC50" s="115"/>
      <c r="BD50" s="115"/>
      <c r="BE50" s="115"/>
      <c r="BF50" s="115"/>
      <c r="BG50" s="115"/>
      <c r="BH50" s="115"/>
      <c r="BI50" s="115"/>
    </row>
    <row r="51" spans="1:61">
      <c r="A51" s="2" t="str">
        <f>'Reference Score Calculation'!B42</f>
        <v>JS1100</v>
      </c>
      <c r="B51" s="346" t="str">
        <f>'Reference Score Calculation'!B42</f>
        <v>JS1100</v>
      </c>
      <c r="C51" s="2" t="str">
        <f>'Reference Score Calculation'!E42</f>
        <v>社會科學學士(心理學) (專修: 康健與關懷管理課程)</v>
      </c>
      <c r="D51" s="16">
        <f>'Reference Score Calculation'!U42</f>
        <v>10</v>
      </c>
      <c r="L51" s="90">
        <v>3</v>
      </c>
      <c r="M51" s="90">
        <v>3</v>
      </c>
      <c r="N51" s="90">
        <v>2</v>
      </c>
      <c r="O51" s="90">
        <v>1</v>
      </c>
      <c r="P51" s="90">
        <v>3</v>
      </c>
      <c r="Q51" s="90">
        <v>3</v>
      </c>
      <c r="S51" s="16">
        <f t="shared" si="9"/>
        <v>0</v>
      </c>
      <c r="T51" s="16">
        <f t="shared" si="10"/>
        <v>0</v>
      </c>
      <c r="U51" s="16">
        <f t="shared" si="11"/>
        <v>0</v>
      </c>
      <c r="V51" s="16">
        <f t="shared" si="12"/>
        <v>0</v>
      </c>
      <c r="W51" s="16">
        <f t="shared" si="14"/>
        <v>0</v>
      </c>
      <c r="X51" s="16">
        <f t="shared" si="13"/>
        <v>0</v>
      </c>
      <c r="Z51" s="16">
        <f t="shared" si="8"/>
        <v>0</v>
      </c>
      <c r="AB51" s="433" t="s">
        <v>391</v>
      </c>
      <c r="AC51" s="433" t="s">
        <v>392</v>
      </c>
      <c r="AD51" s="433" t="s">
        <v>393</v>
      </c>
      <c r="AF51" s="2" t="s">
        <v>394</v>
      </c>
      <c r="AG51" s="2" t="s">
        <v>394</v>
      </c>
      <c r="AH51" s="21" t="s">
        <v>389</v>
      </c>
      <c r="AI51" s="116" t="s">
        <v>404</v>
      </c>
      <c r="AJ51" s="2">
        <f>IF(Q2="化學",Q3,0)</f>
        <v>0</v>
      </c>
      <c r="AK51" s="2">
        <f>IF(R2="化學",R3,0)</f>
        <v>0</v>
      </c>
      <c r="AL51" s="2">
        <f>IF(S2="化學",S3,0)</f>
        <v>0</v>
      </c>
      <c r="AM51" s="2">
        <f>IF(T2="化學",T3,0)</f>
        <v>0</v>
      </c>
      <c r="AN51" s="115"/>
      <c r="AO51" s="116"/>
      <c r="AP51" s="117" t="str">
        <f>IF(AQ51&gt;0,INDEX(AJ50:AM50,MATCH(LARGE(AJ51:AM51,1),AJ51:AM51,0)),"無")</f>
        <v>無</v>
      </c>
      <c r="AQ51" s="117">
        <f>LARGE((AJ51:AM51),1)</f>
        <v>0</v>
      </c>
      <c r="AR51" s="116"/>
      <c r="AS51" s="2" t="b">
        <f>IF(N3&gt;3,TRUE,FALSE)</f>
        <v>0</v>
      </c>
      <c r="AT51" s="116"/>
      <c r="AU51" s="117">
        <f>IF(OR(Q2="生物",Q2="企業、會計與財務概論",Q2="設計與應用科技",Q2="資訊及通訊科技",Q2="物理"),Q3,0)</f>
        <v>0</v>
      </c>
      <c r="AV51" s="117">
        <f>IF(OR(R2="生物",R2="企業、會計與財務概論",R2="設計與應用科技",R2="資訊及通訊科技",R2="物理"),R3,0)</f>
        <v>0</v>
      </c>
      <c r="AW51" s="117">
        <f>IF(OR(S2="生物",S2="企業、會計與財務概論",S2="設計與應用科技",S2="資訊及通訊科技",S2="物理"),S3,0)</f>
        <v>0</v>
      </c>
      <c r="AX51" s="117">
        <f>IF(OR(T2="生物",T2="企業、會計與財務概論",T2="設計與應用科技",T2="資訊及通訊科技",T2="物理"),T3,0)</f>
        <v>0</v>
      </c>
      <c r="AY51" s="115"/>
      <c r="AZ51" s="117" t="str">
        <f>IF(BA51&gt;0,INDEX(AU50:AX50,MATCH(LARGE(AU51:AX51,1),AU51:AX51,0)),"無")</f>
        <v>無</v>
      </c>
      <c r="BA51" s="117">
        <f>LARGE((AU51:AX51),1)</f>
        <v>0</v>
      </c>
      <c r="BB51" s="115"/>
      <c r="BC51" s="115"/>
      <c r="BD51" s="115"/>
      <c r="BE51" s="115"/>
      <c r="BF51" s="115"/>
      <c r="BG51" s="115"/>
      <c r="BH51" s="115"/>
      <c r="BI51" s="115"/>
    </row>
    <row r="52" spans="1:61">
      <c r="A52" s="2" t="str">
        <f>'Reference Score Calculation'!B43</f>
        <v>JS1102</v>
      </c>
      <c r="B52" s="346" t="str">
        <f>'Reference Score Calculation'!B43</f>
        <v>JS1102</v>
      </c>
      <c r="C52" s="2" t="str">
        <f>'Reference Score Calculation'!E43</f>
        <v>社會科學學士(國際關係及全球事務) (專修: 亞洲研究 / 國際研究 / 發展研究)</v>
      </c>
      <c r="D52" s="16">
        <f>'Reference Score Calculation'!U43</f>
        <v>20</v>
      </c>
      <c r="E52" s="16">
        <v>3</v>
      </c>
      <c r="F52" s="16">
        <v>3</v>
      </c>
      <c r="G52" s="16">
        <v>2</v>
      </c>
      <c r="H52" s="16">
        <v>2</v>
      </c>
      <c r="I52" s="16">
        <v>3</v>
      </c>
      <c r="J52" s="16">
        <v>3</v>
      </c>
      <c r="L52" s="90">
        <v>3</v>
      </c>
      <c r="M52" s="90">
        <v>3</v>
      </c>
      <c r="N52" s="90">
        <v>2</v>
      </c>
      <c r="O52" s="90">
        <v>1</v>
      </c>
      <c r="P52" s="90">
        <v>3</v>
      </c>
      <c r="Q52" s="90">
        <v>3</v>
      </c>
      <c r="S52" s="16">
        <f t="shared" si="9"/>
        <v>0</v>
      </c>
      <c r="T52" s="16">
        <f t="shared" si="10"/>
        <v>0</v>
      </c>
      <c r="U52" s="16">
        <f t="shared" si="11"/>
        <v>0</v>
      </c>
      <c r="V52" s="16">
        <f t="shared" si="12"/>
        <v>0</v>
      </c>
      <c r="W52" s="16">
        <f t="shared" si="14"/>
        <v>0</v>
      </c>
      <c r="X52" s="16">
        <f t="shared" si="13"/>
        <v>0</v>
      </c>
      <c r="Z52" s="16">
        <f t="shared" si="8"/>
        <v>0</v>
      </c>
      <c r="AA52" s="2"/>
      <c r="AB52" s="433" t="s">
        <v>391</v>
      </c>
      <c r="AC52" s="433" t="s">
        <v>392</v>
      </c>
      <c r="AD52" s="433" t="s">
        <v>393</v>
      </c>
      <c r="AF52" s="2" t="s">
        <v>394</v>
      </c>
      <c r="AG52" s="2" t="s">
        <v>394</v>
      </c>
      <c r="AH52" s="21" t="s">
        <v>389</v>
      </c>
      <c r="AI52" s="116"/>
      <c r="AJ52" s="115" t="str">
        <f>Q2</f>
        <v>請選擇第一選修科</v>
      </c>
      <c r="AK52" s="115" t="str">
        <f>R2</f>
        <v>請選擇第二選修科</v>
      </c>
      <c r="AL52" s="115" t="str">
        <f>S2</f>
        <v>請選擇第三選修科</v>
      </c>
      <c r="AM52" s="115" t="str">
        <f>T2</f>
        <v>請選擇第四選修科</v>
      </c>
      <c r="AN52" s="116" t="s">
        <v>21</v>
      </c>
      <c r="AO52" s="116"/>
      <c r="AP52" s="116" t="s">
        <v>2952</v>
      </c>
      <c r="AQ52" s="116"/>
      <c r="AR52" s="116"/>
      <c r="AS52" s="116"/>
      <c r="AT52" s="116"/>
      <c r="AU52" s="116"/>
      <c r="AV52" s="116"/>
      <c r="AW52" s="115"/>
      <c r="AX52" s="115"/>
      <c r="AY52" s="115"/>
      <c r="AZ52" s="115"/>
      <c r="BA52" s="115"/>
      <c r="BB52" s="115"/>
      <c r="BC52" s="115"/>
      <c r="BD52" s="115"/>
      <c r="BE52" s="115"/>
      <c r="BF52" s="115"/>
      <c r="BG52" s="115"/>
      <c r="BH52" s="115"/>
      <c r="BI52" s="115"/>
    </row>
    <row r="53" spans="1:61">
      <c r="A53" s="2" t="str">
        <f>'Reference Score Calculation'!B44</f>
        <v>JS1103</v>
      </c>
      <c r="B53" s="346" t="str">
        <f>'Reference Score Calculation'!B44</f>
        <v>JS1103</v>
      </c>
      <c r="C53" s="2" t="str">
        <f>'Reference Score Calculation'!E44</f>
        <v>文學士(中文及歷史) (專修: 中文 / 歷史及文化遺產)</v>
      </c>
      <c r="D53" s="16">
        <f>'Reference Score Calculation'!U44</f>
        <v>40</v>
      </c>
      <c r="E53" s="16">
        <v>3</v>
      </c>
      <c r="F53" s="16">
        <v>3</v>
      </c>
      <c r="G53" s="16">
        <v>2</v>
      </c>
      <c r="H53" s="16">
        <v>2</v>
      </c>
      <c r="I53" s="16">
        <v>3</v>
      </c>
      <c r="J53" s="16">
        <v>3</v>
      </c>
      <c r="L53" s="90">
        <v>3</v>
      </c>
      <c r="M53" s="90">
        <v>3</v>
      </c>
      <c r="N53" s="90">
        <v>2</v>
      </c>
      <c r="O53" s="90">
        <v>1</v>
      </c>
      <c r="P53" s="90">
        <v>3</v>
      </c>
      <c r="Q53" s="90">
        <v>3</v>
      </c>
      <c r="S53" s="16">
        <f t="shared" si="9"/>
        <v>0</v>
      </c>
      <c r="T53" s="16">
        <f t="shared" si="10"/>
        <v>0</v>
      </c>
      <c r="U53" s="16">
        <f t="shared" si="11"/>
        <v>0</v>
      </c>
      <c r="V53" s="16">
        <f t="shared" si="12"/>
        <v>0</v>
      </c>
      <c r="W53" s="16">
        <f t="shared" si="14"/>
        <v>0</v>
      </c>
      <c r="X53" s="16">
        <f t="shared" si="13"/>
        <v>0</v>
      </c>
      <c r="Z53" s="16">
        <f t="shared" si="8"/>
        <v>0</v>
      </c>
      <c r="AA53" s="2"/>
      <c r="AB53" s="433" t="s">
        <v>391</v>
      </c>
      <c r="AC53" s="433" t="s">
        <v>392</v>
      </c>
      <c r="AD53" s="433" t="s">
        <v>393</v>
      </c>
      <c r="AF53" s="2" t="s">
        <v>394</v>
      </c>
      <c r="AG53" s="2" t="s">
        <v>394</v>
      </c>
      <c r="AH53" s="21" t="s">
        <v>389</v>
      </c>
      <c r="AI53" s="116" t="s">
        <v>889</v>
      </c>
      <c r="AJ53" s="2">
        <f>IF(OR(Q2="生物",Q2="企業、會計與財務概論",Q2="化學",Q2="資訊及通訊科技",Q2="物理"),Q3,0)</f>
        <v>0</v>
      </c>
      <c r="AK53" s="2">
        <f>IF(OR(R2="生物",R2="企業、會計與財務概論",R2="化學",R2="資訊及通訊科技",R2="物理"),R3,0)</f>
        <v>0</v>
      </c>
      <c r="AL53" s="2">
        <f>IF(OR(S2="生物",S2="企業、會計與財務概論",S2="化學",S2="資訊及通訊科技",S2="物理"),S3,0)</f>
        <v>0</v>
      </c>
      <c r="AM53" s="2">
        <f>IF(OR(T2="生物",T2="企業、會計與財務概論",T2="化學",T2="資訊及通訊科技",T2="物理"),T3,0)</f>
        <v>0</v>
      </c>
      <c r="AN53" s="2">
        <f>IF(OR(U2="生物",U2="企業、會計與財務概論",U2="化學",U2="資訊及通訊科技",U2="物理"),U3,0)</f>
        <v>0</v>
      </c>
      <c r="AO53" s="116"/>
      <c r="AP53" s="117" t="str">
        <f>IF(AQ53&gt;0,INDEX(AJ52:AN52,MATCH(LARGE(AJ53:AN53,1),AJ53:AN53,0)),"無")</f>
        <v>無</v>
      </c>
      <c r="AQ53" s="117">
        <f>LARGE((AJ53:AN53),1)</f>
        <v>0</v>
      </c>
      <c r="AR53" s="116"/>
      <c r="AS53" s="116"/>
      <c r="AT53" s="116"/>
      <c r="AU53" s="116"/>
      <c r="AV53" s="116"/>
      <c r="AW53" s="115"/>
      <c r="AX53" s="115"/>
      <c r="AY53" s="115"/>
      <c r="AZ53" s="115"/>
      <c r="BA53" s="115"/>
      <c r="BB53" s="115"/>
      <c r="BC53" s="115"/>
      <c r="BD53" s="115"/>
      <c r="BE53" s="115"/>
      <c r="BF53" s="115"/>
      <c r="BG53" s="115"/>
      <c r="BH53" s="115"/>
      <c r="BI53" s="115"/>
    </row>
    <row r="54" spans="1:61">
      <c r="A54" s="2" t="str">
        <f>'Reference Score Calculation'!B45</f>
        <v>JS1104</v>
      </c>
      <c r="B54" s="346" t="str">
        <f>'Reference Score Calculation'!B45</f>
        <v>JS1104</v>
      </c>
      <c r="C54" s="2" t="str">
        <f>'Reference Score Calculation'!E45</f>
        <v>文學士(英語語言) (專修: 英語及專業傳意 / 語言及文學)</v>
      </c>
      <c r="D54" s="16">
        <f>'Reference Score Calculation'!U45</f>
        <v>25</v>
      </c>
      <c r="E54" s="16">
        <v>3</v>
      </c>
      <c r="F54" s="16">
        <v>3</v>
      </c>
      <c r="G54" s="16">
        <v>2</v>
      </c>
      <c r="H54" s="16">
        <v>2</v>
      </c>
      <c r="I54" s="16">
        <v>3</v>
      </c>
      <c r="J54" s="16">
        <v>3</v>
      </c>
      <c r="L54" s="90">
        <v>3</v>
      </c>
      <c r="M54" s="90">
        <v>3</v>
      </c>
      <c r="N54" s="90">
        <v>2</v>
      </c>
      <c r="O54" s="90">
        <v>1</v>
      </c>
      <c r="P54" s="90">
        <v>3</v>
      </c>
      <c r="Q54" s="90">
        <v>3</v>
      </c>
      <c r="S54" s="16">
        <f t="shared" si="9"/>
        <v>0</v>
      </c>
      <c r="T54" s="16">
        <f t="shared" si="10"/>
        <v>0</v>
      </c>
      <c r="U54" s="16">
        <f t="shared" si="11"/>
        <v>0</v>
      </c>
      <c r="V54" s="16">
        <f t="shared" si="12"/>
        <v>0</v>
      </c>
      <c r="W54" s="16">
        <f t="shared" si="14"/>
        <v>0</v>
      </c>
      <c r="X54" s="16">
        <f t="shared" si="13"/>
        <v>0</v>
      </c>
      <c r="Z54" s="16">
        <f t="shared" si="8"/>
        <v>0</v>
      </c>
      <c r="AA54" s="2"/>
      <c r="AB54" s="433" t="s">
        <v>391</v>
      </c>
      <c r="AC54" s="433" t="s">
        <v>392</v>
      </c>
      <c r="AD54" s="433" t="s">
        <v>393</v>
      </c>
      <c r="AF54" s="2" t="s">
        <v>394</v>
      </c>
      <c r="AG54" s="2" t="s">
        <v>394</v>
      </c>
      <c r="AH54" s="21" t="s">
        <v>389</v>
      </c>
      <c r="AI54" s="116"/>
      <c r="AJ54" s="115" t="str">
        <f>Q2</f>
        <v>請選擇第一選修科</v>
      </c>
      <c r="AK54" s="115" t="str">
        <f>R2</f>
        <v>請選擇第二選修科</v>
      </c>
      <c r="AL54" s="115" t="str">
        <f>S2</f>
        <v>請選擇第三選修科</v>
      </c>
      <c r="AM54" s="115" t="str">
        <f>T2</f>
        <v>請選擇第四選修科</v>
      </c>
      <c r="AN54" s="116" t="s">
        <v>21</v>
      </c>
      <c r="AO54" s="116"/>
      <c r="AP54" s="116" t="s">
        <v>2312</v>
      </c>
      <c r="AQ54" s="116"/>
      <c r="AR54" s="116"/>
      <c r="AS54" s="116"/>
      <c r="AT54" s="116"/>
      <c r="AU54" s="116"/>
      <c r="AV54" s="116"/>
      <c r="AW54" s="115"/>
      <c r="AX54" s="115"/>
      <c r="AY54" s="115"/>
      <c r="AZ54" s="115"/>
      <c r="BA54" s="115"/>
      <c r="BB54" s="115"/>
      <c r="BC54" s="115"/>
      <c r="BD54" s="115"/>
      <c r="BE54" s="115"/>
      <c r="BF54" s="115"/>
      <c r="BG54" s="115"/>
      <c r="BH54" s="115"/>
      <c r="BI54" s="115"/>
    </row>
    <row r="55" spans="1:61">
      <c r="A55" s="2" t="str">
        <f>'Reference Score Calculation'!B46</f>
        <v>JS1106</v>
      </c>
      <c r="B55" s="346" t="str">
        <f>'Reference Score Calculation'!B46</f>
        <v>JS1106</v>
      </c>
      <c r="C55" s="2" t="str">
        <f>'Reference Score Calculation'!E46</f>
        <v>媒體與傳播 [主修: 文學士(數碼電視與廣播) / 文學士(媒體與傳播)]</v>
      </c>
      <c r="D55" s="16">
        <f>'Reference Score Calculation'!U46</f>
        <v>45</v>
      </c>
      <c r="E55" s="16">
        <v>3</v>
      </c>
      <c r="F55" s="16">
        <v>3</v>
      </c>
      <c r="G55" s="16">
        <v>2</v>
      </c>
      <c r="H55" s="16">
        <v>2</v>
      </c>
      <c r="I55" s="16">
        <v>3</v>
      </c>
      <c r="J55" s="16">
        <v>3</v>
      </c>
      <c r="L55" s="90">
        <v>3</v>
      </c>
      <c r="M55" s="90">
        <v>3</v>
      </c>
      <c r="N55" s="90">
        <v>2</v>
      </c>
      <c r="O55" s="90">
        <v>1</v>
      </c>
      <c r="P55" s="90">
        <v>3</v>
      </c>
      <c r="Q55" s="90">
        <v>3</v>
      </c>
      <c r="S55" s="16">
        <f t="shared" si="9"/>
        <v>0</v>
      </c>
      <c r="T55" s="16">
        <f t="shared" si="10"/>
        <v>0</v>
      </c>
      <c r="U55" s="16">
        <f t="shared" si="11"/>
        <v>0</v>
      </c>
      <c r="V55" s="16">
        <f t="shared" si="12"/>
        <v>0</v>
      </c>
      <c r="W55" s="16">
        <f t="shared" si="14"/>
        <v>0</v>
      </c>
      <c r="X55" s="16">
        <f t="shared" si="13"/>
        <v>0</v>
      </c>
      <c r="Z55" s="16">
        <f t="shared" si="8"/>
        <v>0</v>
      </c>
      <c r="AA55" s="2"/>
      <c r="AB55" s="433" t="s">
        <v>391</v>
      </c>
      <c r="AC55" s="433" t="s">
        <v>392</v>
      </c>
      <c r="AD55" s="433" t="s">
        <v>393</v>
      </c>
      <c r="AF55" s="2" t="s">
        <v>394</v>
      </c>
      <c r="AG55" s="2" t="s">
        <v>394</v>
      </c>
      <c r="AH55" s="21" t="s">
        <v>389</v>
      </c>
      <c r="AI55" s="116" t="s">
        <v>405</v>
      </c>
      <c r="AJ55" s="2">
        <f>IF(OR(Q2="化學",Q2="設計與應用科技",Q2="物理"),Q3,0)</f>
        <v>0</v>
      </c>
      <c r="AK55" s="2">
        <f>IF(OR(R2="化學",R2="設計與應用科技",R2="物理"),R3,0)</f>
        <v>0</v>
      </c>
      <c r="AL55" s="2">
        <f>IF(OR(S2="化學",S2="設計與應用科技",S2="物理"),S3,0)</f>
        <v>0</v>
      </c>
      <c r="AM55" s="2">
        <f>IF(OR(T2="化學",T2="設計與應用科技",T2="物理"),T3,0)</f>
        <v>0</v>
      </c>
      <c r="AN55" s="2">
        <f>P3</f>
        <v>5.0000000000000003E-10</v>
      </c>
      <c r="AO55" s="116"/>
      <c r="AP55" s="117" t="str">
        <f>IF(AQ55&gt;0,INDEX(AJ54:AN54,MATCH(LARGE(AJ55:AN55,1),AJ55:AN55,0)),"無")</f>
        <v>M1/2</v>
      </c>
      <c r="AQ55" s="117">
        <f>LARGE((AJ55:AN55),1)</f>
        <v>5.0000000000000003E-10</v>
      </c>
      <c r="AR55" s="116"/>
      <c r="AS55" s="116"/>
      <c r="AT55" s="116"/>
      <c r="AU55" s="116"/>
      <c r="AV55" s="116"/>
      <c r="AW55" s="115"/>
      <c r="AX55" s="115"/>
      <c r="AY55" s="115"/>
      <c r="AZ55" s="115"/>
      <c r="BA55" s="115"/>
      <c r="BB55" s="115"/>
      <c r="BC55" s="115"/>
      <c r="BD55" s="115"/>
      <c r="BE55" s="115"/>
      <c r="BF55" s="115"/>
      <c r="BG55" s="115"/>
      <c r="BH55" s="115"/>
      <c r="BI55" s="115"/>
    </row>
    <row r="56" spans="1:61">
      <c r="A56" s="2" t="str">
        <f>'Reference Score Calculation'!B47</f>
        <v>JS1108</v>
      </c>
      <c r="B56" s="346" t="str">
        <f>'Reference Score Calculation'!B47</f>
        <v>JS1108</v>
      </c>
      <c r="C56" s="2" t="str">
        <f>'Reference Score Calculation'!E47</f>
        <v>社會科學學士(公共事務與管理) (專修: 公共事務與管冶 / 公共政策與管理)</v>
      </c>
      <c r="D56" s="16">
        <f>'Reference Score Calculation'!U47</f>
        <v>63</v>
      </c>
      <c r="E56" s="16">
        <v>3</v>
      </c>
      <c r="F56" s="16">
        <v>3</v>
      </c>
      <c r="G56" s="16">
        <v>2</v>
      </c>
      <c r="H56" s="16">
        <v>2</v>
      </c>
      <c r="I56" s="16">
        <v>3</v>
      </c>
      <c r="J56" s="16">
        <v>3</v>
      </c>
      <c r="L56" s="90">
        <v>3</v>
      </c>
      <c r="M56" s="90">
        <v>3</v>
      </c>
      <c r="N56" s="90">
        <v>2</v>
      </c>
      <c r="O56" s="90">
        <v>1</v>
      </c>
      <c r="P56" s="90">
        <v>3</v>
      </c>
      <c r="Q56" s="90">
        <v>3</v>
      </c>
      <c r="S56" s="16">
        <f t="shared" si="9"/>
        <v>0</v>
      </c>
      <c r="T56" s="16">
        <f t="shared" si="10"/>
        <v>0</v>
      </c>
      <c r="U56" s="16">
        <f t="shared" si="11"/>
        <v>0</v>
      </c>
      <c r="V56" s="16">
        <f t="shared" si="12"/>
        <v>0</v>
      </c>
      <c r="W56" s="16">
        <f t="shared" si="14"/>
        <v>0</v>
      </c>
      <c r="X56" s="16">
        <f t="shared" si="13"/>
        <v>0</v>
      </c>
      <c r="Z56" s="16">
        <f t="shared" si="8"/>
        <v>0</v>
      </c>
      <c r="AA56" s="2"/>
      <c r="AB56" s="433" t="s">
        <v>391</v>
      </c>
      <c r="AC56" s="433" t="s">
        <v>392</v>
      </c>
      <c r="AD56" s="433" t="s">
        <v>393</v>
      </c>
      <c r="AF56" s="2" t="s">
        <v>394</v>
      </c>
      <c r="AG56" s="2" t="s">
        <v>394</v>
      </c>
      <c r="AH56" s="21" t="s">
        <v>389</v>
      </c>
      <c r="AI56" s="116"/>
      <c r="AJ56" s="115" t="str">
        <f>Q2</f>
        <v>請選擇第一選修科</v>
      </c>
      <c r="AK56" s="115" t="str">
        <f>R2</f>
        <v>請選擇第二選修科</v>
      </c>
      <c r="AL56" s="115" t="str">
        <f>S2</f>
        <v>請選擇第三選修科</v>
      </c>
      <c r="AM56" s="115" t="str">
        <f>T2</f>
        <v>請選擇第四選修科</v>
      </c>
      <c r="AN56" s="116" t="s">
        <v>21</v>
      </c>
      <c r="AO56" s="116"/>
      <c r="AP56" s="116" t="s">
        <v>406</v>
      </c>
      <c r="AQ56" s="116"/>
      <c r="AR56" s="116"/>
      <c r="AS56" s="116"/>
      <c r="AT56" s="116"/>
      <c r="AU56" s="116"/>
      <c r="AV56" s="116"/>
      <c r="AW56" s="115"/>
      <c r="AX56" s="115"/>
      <c r="AY56" s="115"/>
      <c r="AZ56" s="115"/>
      <c r="BA56" s="115"/>
      <c r="BB56" s="115"/>
      <c r="BC56" s="115"/>
      <c r="BD56" s="115"/>
      <c r="BE56" s="115"/>
      <c r="BF56" s="115"/>
      <c r="BG56" s="115"/>
      <c r="BH56" s="115"/>
      <c r="BI56" s="115"/>
    </row>
    <row r="57" spans="1:61">
      <c r="A57" s="2" t="str">
        <f>'Reference Score Calculation'!B48</f>
        <v>JS1109</v>
      </c>
      <c r="B57" s="346" t="str">
        <f>'Reference Score Calculation'!B48</f>
        <v>JS1109</v>
      </c>
      <c r="C57" s="2" t="str">
        <f>'Reference Score Calculation'!E48</f>
        <v>文學士(語言學及語言應用) (特點: 語言學 / 語言應用 / 語言技術)</v>
      </c>
      <c r="D57" s="16">
        <f>'Reference Score Calculation'!U48</f>
        <v>25</v>
      </c>
      <c r="E57" s="16">
        <v>3</v>
      </c>
      <c r="F57" s="16">
        <v>3</v>
      </c>
      <c r="G57" s="16">
        <v>2</v>
      </c>
      <c r="H57" s="16">
        <v>2</v>
      </c>
      <c r="I57" s="16">
        <v>3</v>
      </c>
      <c r="J57" s="16">
        <v>3</v>
      </c>
      <c r="L57" s="90">
        <v>3</v>
      </c>
      <c r="M57" s="90">
        <v>3</v>
      </c>
      <c r="N57" s="90">
        <v>2</v>
      </c>
      <c r="O57" s="90">
        <v>1</v>
      </c>
      <c r="P57" s="90">
        <v>3</v>
      </c>
      <c r="Q57" s="90">
        <v>3</v>
      </c>
      <c r="S57" s="16">
        <f t="shared" si="9"/>
        <v>0</v>
      </c>
      <c r="T57" s="16">
        <f t="shared" si="10"/>
        <v>0</v>
      </c>
      <c r="U57" s="16">
        <f t="shared" si="11"/>
        <v>0</v>
      </c>
      <c r="V57" s="16">
        <f t="shared" si="12"/>
        <v>0</v>
      </c>
      <c r="W57" s="16">
        <f t="shared" si="14"/>
        <v>0</v>
      </c>
      <c r="X57" s="16">
        <f t="shared" si="13"/>
        <v>0</v>
      </c>
      <c r="Z57" s="16">
        <f t="shared" si="8"/>
        <v>0</v>
      </c>
      <c r="AA57" s="2"/>
      <c r="AB57" s="433" t="s">
        <v>391</v>
      </c>
      <c r="AC57" s="433" t="s">
        <v>392</v>
      </c>
      <c r="AD57" s="433" t="s">
        <v>393</v>
      </c>
      <c r="AF57" s="2" t="s">
        <v>394</v>
      </c>
      <c r="AG57" s="2" t="s">
        <v>394</v>
      </c>
      <c r="AH57" s="21" t="s">
        <v>389</v>
      </c>
      <c r="AI57" s="116" t="s">
        <v>407</v>
      </c>
      <c r="AJ57" s="2">
        <f>IF(OR(Q2="企業、會計與財務概論",Q2="化學",Q2="物理"),Q3,0)</f>
        <v>0</v>
      </c>
      <c r="AK57" s="2">
        <f>IF(OR(R2="企業、會計與財務概論",R2="化學",R2="物理"),R3,0)</f>
        <v>0</v>
      </c>
      <c r="AL57" s="2">
        <f>IF(OR(S2="企業、會計與財務概論",S2="化學",S2="物理"),S3,0)</f>
        <v>0</v>
      </c>
      <c r="AM57" s="2">
        <f>IF(OR(T2="企業、會計與財務概論",T2="化學",T2="物理"),T3,0)</f>
        <v>0</v>
      </c>
      <c r="AN57" s="2">
        <f>P3</f>
        <v>5.0000000000000003E-10</v>
      </c>
      <c r="AO57" s="116"/>
      <c r="AP57" s="117" t="str">
        <f>IF(AQ57&gt;0,INDEX(AJ56:AN56,MATCH(LARGE(AJ57:AN57,1),AJ57:AN57,0)),"無")</f>
        <v>M1/2</v>
      </c>
      <c r="AQ57" s="117">
        <f>LARGE((AJ57:AN57),1)</f>
        <v>5.0000000000000003E-10</v>
      </c>
      <c r="AR57" s="116"/>
      <c r="AS57" s="116"/>
      <c r="AT57" s="116"/>
      <c r="AU57" s="116"/>
      <c r="AV57" s="116"/>
      <c r="AW57" s="115"/>
      <c r="AX57" s="115"/>
      <c r="AY57" s="115"/>
      <c r="AZ57" s="115"/>
      <c r="BA57" s="115"/>
      <c r="BB57" s="115"/>
      <c r="BC57" s="115"/>
      <c r="BD57" s="115"/>
      <c r="BE57" s="115"/>
      <c r="BF57" s="115"/>
      <c r="BG57" s="115"/>
      <c r="BH57" s="115"/>
      <c r="BI57" s="115"/>
    </row>
    <row r="58" spans="1:61">
      <c r="A58" s="2" t="str">
        <f>'Reference Score Calculation'!B49</f>
        <v>JS1111</v>
      </c>
      <c r="B58" s="346" t="str">
        <f>'Reference Score Calculation'!B49</f>
        <v>JS1111</v>
      </c>
      <c r="C58" s="2" t="str">
        <f>'Reference Score Calculation'!E49</f>
        <v>社會科學學士(犯罪學及社會學)</v>
      </c>
      <c r="D58" s="16">
        <f>'Reference Score Calculation'!U49</f>
        <v>21</v>
      </c>
      <c r="E58" s="16">
        <v>3</v>
      </c>
      <c r="F58" s="16">
        <v>3</v>
      </c>
      <c r="G58" s="16">
        <v>2</v>
      </c>
      <c r="H58" s="16">
        <v>2</v>
      </c>
      <c r="I58" s="16">
        <v>3</v>
      </c>
      <c r="J58" s="16">
        <v>3</v>
      </c>
      <c r="L58" s="90">
        <v>3</v>
      </c>
      <c r="M58" s="90">
        <v>3</v>
      </c>
      <c r="N58" s="90">
        <v>2</v>
      </c>
      <c r="O58" s="90">
        <v>1</v>
      </c>
      <c r="P58" s="90">
        <v>3</v>
      </c>
      <c r="Q58" s="90">
        <v>3</v>
      </c>
      <c r="S58" s="16">
        <f t="shared" si="9"/>
        <v>0</v>
      </c>
      <c r="T58" s="16">
        <f t="shared" si="10"/>
        <v>0</v>
      </c>
      <c r="U58" s="16">
        <f t="shared" si="11"/>
        <v>0</v>
      </c>
      <c r="V58" s="16">
        <f t="shared" si="12"/>
        <v>0</v>
      </c>
      <c r="W58" s="16">
        <f t="shared" si="14"/>
        <v>0</v>
      </c>
      <c r="X58" s="16">
        <f t="shared" si="13"/>
        <v>0</v>
      </c>
      <c r="Z58" s="16">
        <f t="shared" si="8"/>
        <v>0</v>
      </c>
      <c r="AA58" s="2"/>
      <c r="AB58" s="433" t="s">
        <v>391</v>
      </c>
      <c r="AC58" s="433" t="s">
        <v>392</v>
      </c>
      <c r="AD58" s="433" t="s">
        <v>393</v>
      </c>
      <c r="AF58" s="2" t="s">
        <v>394</v>
      </c>
      <c r="AG58" s="2" t="s">
        <v>394</v>
      </c>
      <c r="AH58" s="21" t="s">
        <v>389</v>
      </c>
      <c r="AI58" s="115"/>
      <c r="AJ58" s="115"/>
      <c r="AK58" s="115"/>
      <c r="AL58" s="115"/>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row>
    <row r="59" spans="1:61">
      <c r="A59" s="2" t="str">
        <f>'Reference Score Calculation'!B50</f>
        <v>JS1112</v>
      </c>
      <c r="B59" s="346" t="str">
        <f>'Reference Score Calculation'!B50</f>
        <v>JS1112</v>
      </c>
      <c r="C59" s="2" t="str">
        <f>'Reference Score Calculation'!E50</f>
        <v>社會科學學士(心理學)</v>
      </c>
      <c r="D59" s="16">
        <f>'Reference Score Calculation'!U50</f>
        <v>16</v>
      </c>
      <c r="E59" s="16">
        <v>3</v>
      </c>
      <c r="F59" s="16">
        <v>3</v>
      </c>
      <c r="G59" s="16">
        <v>2</v>
      </c>
      <c r="H59" s="16">
        <v>2</v>
      </c>
      <c r="I59" s="16">
        <v>3</v>
      </c>
      <c r="J59" s="16">
        <v>3</v>
      </c>
      <c r="L59" s="90">
        <v>3</v>
      </c>
      <c r="M59" s="90">
        <v>3</v>
      </c>
      <c r="N59" s="90">
        <v>2</v>
      </c>
      <c r="O59" s="90">
        <v>1</v>
      </c>
      <c r="P59" s="90">
        <v>3</v>
      </c>
      <c r="Q59" s="90">
        <v>3</v>
      </c>
      <c r="S59" s="16">
        <f t="shared" si="9"/>
        <v>0</v>
      </c>
      <c r="T59" s="16">
        <f t="shared" si="10"/>
        <v>0</v>
      </c>
      <c r="U59" s="16">
        <f t="shared" si="11"/>
        <v>0</v>
      </c>
      <c r="V59" s="16">
        <f t="shared" si="12"/>
        <v>0</v>
      </c>
      <c r="W59" s="16">
        <f t="shared" si="14"/>
        <v>0</v>
      </c>
      <c r="X59" s="16">
        <f t="shared" si="13"/>
        <v>0</v>
      </c>
      <c r="Z59" s="16">
        <f t="shared" si="8"/>
        <v>0</v>
      </c>
      <c r="AA59" s="2"/>
      <c r="AB59" s="433" t="s">
        <v>391</v>
      </c>
      <c r="AC59" s="433" t="s">
        <v>392</v>
      </c>
      <c r="AD59" s="433" t="s">
        <v>393</v>
      </c>
      <c r="AF59" s="2" t="s">
        <v>394</v>
      </c>
      <c r="AG59" s="2" t="s">
        <v>394</v>
      </c>
      <c r="AH59" s="21" t="s">
        <v>389</v>
      </c>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row>
    <row r="60" spans="1:61">
      <c r="A60" s="2" t="str">
        <f>'Reference Score Calculation'!B51</f>
        <v>JS1113</v>
      </c>
      <c r="B60" s="346" t="str">
        <f>'Reference Score Calculation'!B51</f>
        <v>JS1113</v>
      </c>
      <c r="C60" s="2" t="str">
        <f>'Reference Score Calculation'!E51</f>
        <v>社會科學學士(社會工作)</v>
      </c>
      <c r="D60" s="16">
        <f>'Reference Score Calculation'!U51</f>
        <v>54</v>
      </c>
      <c r="E60" s="16">
        <v>3</v>
      </c>
      <c r="F60" s="16">
        <v>3</v>
      </c>
      <c r="G60" s="16">
        <v>2</v>
      </c>
      <c r="H60" s="16">
        <v>2</v>
      </c>
      <c r="I60" s="16">
        <v>3</v>
      </c>
      <c r="J60" s="16">
        <v>3</v>
      </c>
      <c r="L60" s="90">
        <v>3</v>
      </c>
      <c r="M60" s="90">
        <v>3</v>
      </c>
      <c r="N60" s="90">
        <v>2</v>
      </c>
      <c r="O60" s="90">
        <v>1</v>
      </c>
      <c r="P60" s="90">
        <v>3</v>
      </c>
      <c r="Q60" s="90">
        <v>3</v>
      </c>
      <c r="S60" s="16">
        <f t="shared" si="9"/>
        <v>0</v>
      </c>
      <c r="T60" s="16">
        <f t="shared" si="10"/>
        <v>0</v>
      </c>
      <c r="U60" s="16">
        <f t="shared" si="11"/>
        <v>0</v>
      </c>
      <c r="V60" s="16">
        <f t="shared" si="12"/>
        <v>0</v>
      </c>
      <c r="W60" s="16">
        <f t="shared" si="14"/>
        <v>0</v>
      </c>
      <c r="X60" s="16">
        <f t="shared" si="13"/>
        <v>0</v>
      </c>
      <c r="Z60" s="16">
        <f t="shared" si="8"/>
        <v>0</v>
      </c>
      <c r="AA60" s="2"/>
      <c r="AB60" s="433" t="s">
        <v>391</v>
      </c>
      <c r="AC60" s="433" t="s">
        <v>392</v>
      </c>
      <c r="AD60" s="433" t="s">
        <v>393</v>
      </c>
      <c r="AF60" s="2" t="s">
        <v>394</v>
      </c>
      <c r="AG60" s="2" t="s">
        <v>394</v>
      </c>
      <c r="AH60" s="21" t="s">
        <v>389</v>
      </c>
      <c r="AI60" s="123" t="s">
        <v>284</v>
      </c>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row>
    <row r="61" spans="1:61">
      <c r="A61" s="2" t="str">
        <f>'Reference Score Calculation'!B52</f>
        <v>JS1123</v>
      </c>
      <c r="B61" s="346" t="str">
        <f>'Reference Score Calculation'!B52</f>
        <v>JS1123</v>
      </c>
      <c r="C61" s="2" t="str">
        <f>'Reference Score Calculation'!E52</f>
        <v>社會科學學士(犯罪學)與法律學學士</v>
      </c>
      <c r="D61" s="16">
        <f>'Reference Score Calculation'!U52</f>
        <v>10</v>
      </c>
      <c r="E61" s="16">
        <v>3</v>
      </c>
      <c r="F61" s="16">
        <v>5</v>
      </c>
      <c r="G61" s="16">
        <v>2</v>
      </c>
      <c r="H61" s="16">
        <v>2</v>
      </c>
      <c r="I61" s="16">
        <v>3</v>
      </c>
      <c r="J61" s="16">
        <v>3</v>
      </c>
      <c r="L61" s="90">
        <v>3</v>
      </c>
      <c r="M61" s="90">
        <v>5</v>
      </c>
      <c r="N61" s="90">
        <v>2</v>
      </c>
      <c r="O61" s="90">
        <v>1</v>
      </c>
      <c r="P61" s="90">
        <v>3</v>
      </c>
      <c r="Q61" s="90">
        <v>3</v>
      </c>
      <c r="S61" s="16">
        <f t="shared" si="9"/>
        <v>0</v>
      </c>
      <c r="T61" s="16">
        <f t="shared" si="10"/>
        <v>0</v>
      </c>
      <c r="U61" s="16">
        <f t="shared" si="11"/>
        <v>0</v>
      </c>
      <c r="V61" s="16">
        <f t="shared" si="12"/>
        <v>0</v>
      </c>
      <c r="W61" s="16">
        <f t="shared" si="14"/>
        <v>0</v>
      </c>
      <c r="X61" s="16">
        <f t="shared" si="13"/>
        <v>0</v>
      </c>
      <c r="Z61" s="16">
        <f t="shared" si="8"/>
        <v>0</v>
      </c>
      <c r="AA61" s="2"/>
      <c r="AB61" s="433" t="s">
        <v>391</v>
      </c>
      <c r="AC61" s="433" t="s">
        <v>392</v>
      </c>
      <c r="AD61" s="433" t="s">
        <v>393</v>
      </c>
      <c r="AF61" s="2" t="s">
        <v>394</v>
      </c>
      <c r="AG61" s="2" t="s">
        <v>394</v>
      </c>
      <c r="AH61" s="21" t="s">
        <v>389</v>
      </c>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row>
    <row r="62" spans="1:61">
      <c r="A62" s="2" t="str">
        <f>'Reference Score Calculation'!B53</f>
        <v>JS1200</v>
      </c>
      <c r="B62" s="346" t="str">
        <f>'Reference Score Calculation'!B53</f>
        <v>JS1200</v>
      </c>
      <c r="C62" s="2" t="str">
        <f>'Reference Score Calculation'!E53</f>
        <v>環球精研與科創課程</v>
      </c>
      <c r="D62" s="16">
        <f>'Reference Score Calculation'!U53</f>
        <v>15</v>
      </c>
      <c r="E62" s="16">
        <v>3</v>
      </c>
      <c r="F62" s="16">
        <v>3</v>
      </c>
      <c r="G62" s="16">
        <v>2</v>
      </c>
      <c r="H62" s="16">
        <v>2</v>
      </c>
      <c r="I62" s="16">
        <v>3</v>
      </c>
      <c r="J62" s="16">
        <v>3</v>
      </c>
      <c r="L62" s="90">
        <v>3</v>
      </c>
      <c r="M62" s="90">
        <v>3</v>
      </c>
      <c r="N62" s="90">
        <v>2</v>
      </c>
      <c r="O62" s="90">
        <v>1</v>
      </c>
      <c r="P62" s="91">
        <v>3</v>
      </c>
      <c r="Q62" s="91">
        <v>3</v>
      </c>
      <c r="S62" s="16">
        <f t="shared" si="9"/>
        <v>0</v>
      </c>
      <c r="T62" s="16">
        <f t="shared" si="10"/>
        <v>0</v>
      </c>
      <c r="U62" s="16">
        <f t="shared" si="11"/>
        <v>0</v>
      </c>
      <c r="V62" s="16">
        <f t="shared" si="12"/>
        <v>0</v>
      </c>
      <c r="W62" s="72">
        <f>IF(AQ49=0,0,IF(P62&gt;AQ49,0,1))</f>
        <v>0</v>
      </c>
      <c r="X62" s="72">
        <f>IF(AS49=0,0,IF(Q62&gt;AS49,0,1))</f>
        <v>0</v>
      </c>
      <c r="Z62" s="16">
        <f t="shared" si="8"/>
        <v>0</v>
      </c>
      <c r="AA62" s="2"/>
      <c r="AB62" s="433" t="s">
        <v>391</v>
      </c>
      <c r="AC62" s="433" t="s">
        <v>393</v>
      </c>
      <c r="AD62" s="433" t="s">
        <v>393</v>
      </c>
      <c r="AF62" s="434" t="s">
        <v>408</v>
      </c>
      <c r="AG62" s="2" t="s">
        <v>394</v>
      </c>
      <c r="AH62" s="21" t="s">
        <v>389</v>
      </c>
      <c r="AI62" s="116"/>
      <c r="AJ62" s="116" t="str">
        <f>Q2</f>
        <v>請選擇第一選修科</v>
      </c>
      <c r="AK62" s="116" t="str">
        <f>R2</f>
        <v>請選擇第二選修科</v>
      </c>
      <c r="AL62" s="116" t="str">
        <f>S2</f>
        <v>請選擇第三選修科</v>
      </c>
      <c r="AM62" s="116" t="str">
        <f>T2</f>
        <v>請選擇第四選修科</v>
      </c>
      <c r="AN62" s="116"/>
      <c r="AO62" s="116"/>
      <c r="AP62" s="116" t="s">
        <v>285</v>
      </c>
      <c r="AQ62" s="116"/>
      <c r="AR62" s="116"/>
      <c r="AS62" s="116"/>
      <c r="AT62" s="116"/>
      <c r="AU62" s="116"/>
      <c r="AV62" s="116"/>
      <c r="AW62" s="115"/>
      <c r="AX62" s="115"/>
      <c r="AY62" s="115"/>
      <c r="AZ62" s="115"/>
      <c r="BA62" s="115"/>
      <c r="BB62" s="115"/>
      <c r="BC62" s="115"/>
      <c r="BD62" s="115"/>
      <c r="BE62" s="115"/>
      <c r="BF62" s="115"/>
      <c r="BG62" s="115"/>
      <c r="BH62" s="115"/>
      <c r="BI62" s="115"/>
    </row>
    <row r="63" spans="1:61">
      <c r="A63" s="2" t="str">
        <f>'Reference Score Calculation'!B54</f>
        <v>JS1201</v>
      </c>
      <c r="B63" s="346" t="str">
        <f>'Reference Score Calculation'!B54</f>
        <v>JS1201</v>
      </c>
      <c r="C63" s="2" t="str">
        <f>'Reference Score Calculation'!E54</f>
        <v>建築學及土木工程學系 [選項: 工學士(建築工程)、工學士(土木工程)、理學士(建築學及測量學)]</v>
      </c>
      <c r="D63" s="16">
        <f>'Reference Score Calculation'!U54</f>
        <v>87</v>
      </c>
      <c r="E63" s="16">
        <v>3</v>
      </c>
      <c r="F63" s="16">
        <v>3</v>
      </c>
      <c r="G63" s="16">
        <v>3</v>
      </c>
      <c r="H63" s="16">
        <v>2</v>
      </c>
      <c r="I63" s="16">
        <v>3</v>
      </c>
      <c r="J63" s="16">
        <v>3</v>
      </c>
      <c r="L63" s="90">
        <v>3</v>
      </c>
      <c r="M63" s="90">
        <v>3</v>
      </c>
      <c r="N63" s="90">
        <v>3</v>
      </c>
      <c r="O63" s="90">
        <v>1</v>
      </c>
      <c r="P63" s="90">
        <v>3</v>
      </c>
      <c r="Q63" s="90">
        <v>3</v>
      </c>
      <c r="S63" s="16">
        <f t="shared" si="9"/>
        <v>0</v>
      </c>
      <c r="T63" s="16">
        <f t="shared" si="10"/>
        <v>0</v>
      </c>
      <c r="U63" s="16">
        <f t="shared" si="11"/>
        <v>0</v>
      </c>
      <c r="V63" s="16">
        <f t="shared" si="12"/>
        <v>0</v>
      </c>
      <c r="W63" s="72">
        <f>IF($AQ$26=0,0,IF(P63&gt;$AQ$26,0,1))</f>
        <v>0</v>
      </c>
      <c r="X63" s="16">
        <f>IF(Q63&gt;LARGE(P$3:T$3,2),0,1)</f>
        <v>0</v>
      </c>
      <c r="Z63" s="16">
        <f t="shared" si="8"/>
        <v>0</v>
      </c>
      <c r="AA63" s="2"/>
      <c r="AB63" s="433" t="s">
        <v>391</v>
      </c>
      <c r="AC63" s="433" t="s">
        <v>393</v>
      </c>
      <c r="AD63" s="433" t="s">
        <v>393</v>
      </c>
      <c r="AE63" s="433"/>
      <c r="AF63" s="434" t="s">
        <v>2291</v>
      </c>
      <c r="AG63" s="435" t="s">
        <v>394</v>
      </c>
      <c r="AH63" s="21" t="s">
        <v>389</v>
      </c>
      <c r="AI63" s="116" t="s">
        <v>286</v>
      </c>
      <c r="AJ63" s="117">
        <f>IF(OR(Q2="化學",Q2="生物"),Q3,0)</f>
        <v>0</v>
      </c>
      <c r="AK63" s="117">
        <f>IF(OR(R2="化學",R2="生物"),R3,0)</f>
        <v>0</v>
      </c>
      <c r="AL63" s="117">
        <f>IF(OR(S2="化學",S2="生物"),S3,0)</f>
        <v>0</v>
      </c>
      <c r="AM63" s="117">
        <f>IF(OR(T2="化學",T2="生物"),T3,0)</f>
        <v>0</v>
      </c>
      <c r="AN63" s="116"/>
      <c r="AO63" s="116"/>
      <c r="AP63" s="117" t="str">
        <f>IF(AQ63&gt;0,INDEX(AJ62:AM62,MATCH(LARGE(AJ63:AM63,1),AJ63:AM63,0)),"無")</f>
        <v>無</v>
      </c>
      <c r="AQ63" s="117">
        <f>LARGE((AJ63:AM63),1)</f>
        <v>0</v>
      </c>
      <c r="AR63" s="117" t="str">
        <f>IF(AS63&gt;0,INDEX(AJ62:AM62,MATCH(LARGE(AJ63:AM63,2),AJ63:AM63,0)),"無")</f>
        <v>無</v>
      </c>
      <c r="AS63" s="117">
        <f>LARGE((AJ63:AM63),2)</f>
        <v>0</v>
      </c>
      <c r="AT63" s="116"/>
      <c r="AU63" s="116"/>
      <c r="AV63" s="116"/>
      <c r="AW63" s="115"/>
      <c r="AX63" s="115"/>
      <c r="AY63" s="115"/>
      <c r="AZ63" s="115"/>
      <c r="BA63" s="115"/>
      <c r="BB63" s="115"/>
      <c r="BC63" s="115"/>
      <c r="BD63" s="115"/>
      <c r="BE63" s="115"/>
      <c r="BF63" s="115"/>
      <c r="BG63" s="115"/>
      <c r="BH63" s="115"/>
      <c r="BI63" s="115"/>
    </row>
    <row r="64" spans="1:61">
      <c r="A64" s="2" t="str">
        <f>'Reference Score Calculation'!B55</f>
        <v>JS1202</v>
      </c>
      <c r="B64" s="346" t="str">
        <f>'Reference Score Calculation'!B55</f>
        <v>JS1202</v>
      </c>
      <c r="C64" s="2" t="str">
        <f>'Reference Score Calculation'!E55</f>
        <v>理學士(化學)</v>
      </c>
      <c r="D64" s="16">
        <f>'Reference Score Calculation'!U55</f>
        <v>44</v>
      </c>
      <c r="E64" s="16">
        <v>3</v>
      </c>
      <c r="F64" s="16">
        <v>3</v>
      </c>
      <c r="G64" s="16">
        <v>2</v>
      </c>
      <c r="H64" s="16">
        <v>2</v>
      </c>
      <c r="I64" s="16">
        <v>3</v>
      </c>
      <c r="J64" s="16">
        <v>3</v>
      </c>
      <c r="L64" s="90">
        <v>3</v>
      </c>
      <c r="M64" s="90">
        <v>3</v>
      </c>
      <c r="N64" s="90">
        <v>2</v>
      </c>
      <c r="O64" s="90">
        <v>1</v>
      </c>
      <c r="P64" s="90">
        <v>3</v>
      </c>
      <c r="Q64" s="90">
        <v>3</v>
      </c>
      <c r="S64" s="16">
        <f t="shared" ref="S64:S80" si="15">IF(L64&gt;L$3,0,1)</f>
        <v>0</v>
      </c>
      <c r="T64" s="16">
        <f t="shared" ref="T64:T80" si="16">IF(M64&gt;M$3,0,1)</f>
        <v>0</v>
      </c>
      <c r="U64" s="16">
        <f>IF(N3&gt;3,1,IF(AND(BA51&gt;3,N3&gt;2),1,IF(N3&gt;2,2,0)))</f>
        <v>0</v>
      </c>
      <c r="V64" s="16">
        <f t="shared" ref="V64:V80" si="17">IF(O64&gt;O$3,0,1)</f>
        <v>0</v>
      </c>
      <c r="W64" s="72">
        <f>IF(AQ51=0,0,IF(P64&gt;AQ51,0,1))</f>
        <v>0</v>
      </c>
      <c r="X64" s="72">
        <f>IF(AS51,IF(Q64&gt;LARGE(Q$3:U$3,2),0,1),IF(BA51=0,0,IF(Q64&gt;BA51,0,1)))</f>
        <v>0</v>
      </c>
      <c r="Z64" s="16">
        <f t="shared" si="8"/>
        <v>0</v>
      </c>
      <c r="AA64" s="2"/>
      <c r="AB64" s="433" t="s">
        <v>391</v>
      </c>
      <c r="AC64" s="433" t="s">
        <v>392</v>
      </c>
      <c r="AD64" s="433" t="s">
        <v>393</v>
      </c>
      <c r="AF64" s="434" t="s">
        <v>2303</v>
      </c>
      <c r="AG64" s="434" t="s">
        <v>2304</v>
      </c>
      <c r="AH64" s="21" t="s">
        <v>389</v>
      </c>
      <c r="AI64" s="116"/>
      <c r="AJ64" s="115" t="str">
        <f>Q2</f>
        <v>請選擇第一選修科</v>
      </c>
      <c r="AK64" s="115" t="str">
        <f>R2</f>
        <v>請選擇第二選修科</v>
      </c>
      <c r="AL64" s="115" t="str">
        <f>S2</f>
        <v>請選擇第三選修科</v>
      </c>
      <c r="AM64" s="115" t="str">
        <f>T2</f>
        <v>請選擇第四選修科</v>
      </c>
      <c r="AN64" s="116"/>
      <c r="AO64" s="116"/>
      <c r="AP64" s="116" t="s">
        <v>2300</v>
      </c>
      <c r="AQ64" s="116"/>
      <c r="AR64" s="116"/>
      <c r="AS64" s="116" t="str">
        <f>IF(Q2=$AP$65,"",Q2)</f>
        <v>請選擇第一選修科</v>
      </c>
      <c r="AT64" s="116" t="str">
        <f>IF(R2=$AP$65,"",R2)</f>
        <v>請選擇第二選修科</v>
      </c>
      <c r="AU64" s="116" t="str">
        <f>IF(S2=$AP$65,"",S2)</f>
        <v>請選擇第三選修科</v>
      </c>
      <c r="AV64" s="116" t="str">
        <f>IF(T2=$AP$65,"",T2)</f>
        <v>請選擇第四選修科</v>
      </c>
      <c r="AW64" s="116" t="s">
        <v>21</v>
      </c>
      <c r="AX64" s="115"/>
      <c r="AY64" s="116" t="s">
        <v>2299</v>
      </c>
      <c r="AZ64" s="115"/>
      <c r="BA64" s="115"/>
      <c r="BB64" s="115"/>
      <c r="BC64" s="115"/>
      <c r="BD64" s="115"/>
      <c r="BE64" s="115"/>
      <c r="BF64" s="115"/>
      <c r="BG64" s="115"/>
      <c r="BH64" s="115"/>
      <c r="BI64" s="115"/>
    </row>
    <row r="65" spans="1:61">
      <c r="A65" s="2" t="str">
        <f>'Reference Score Calculation'!B56</f>
        <v>JS1204</v>
      </c>
      <c r="B65" s="346" t="str">
        <f>'Reference Score Calculation'!B56</f>
        <v>JS1204</v>
      </c>
      <c r="C65" s="2" t="str">
        <f>'Reference Score Calculation'!E56</f>
        <v>理學士(電腦科學)</v>
      </c>
      <c r="D65" s="16">
        <f>'Reference Score Calculation'!U56</f>
        <v>87</v>
      </c>
      <c r="E65" s="16">
        <v>3</v>
      </c>
      <c r="F65" s="16">
        <v>3</v>
      </c>
      <c r="G65" s="16">
        <v>3</v>
      </c>
      <c r="H65" s="16">
        <v>2</v>
      </c>
      <c r="I65" s="16">
        <v>3</v>
      </c>
      <c r="J65" s="16">
        <v>3</v>
      </c>
      <c r="L65" s="90">
        <v>3</v>
      </c>
      <c r="M65" s="90">
        <v>3</v>
      </c>
      <c r="N65" s="90">
        <v>3</v>
      </c>
      <c r="O65" s="90">
        <v>1</v>
      </c>
      <c r="P65" s="90">
        <v>3</v>
      </c>
      <c r="Q65" s="90">
        <v>3</v>
      </c>
      <c r="S65" s="16">
        <f t="shared" si="15"/>
        <v>0</v>
      </c>
      <c r="T65" s="16">
        <f t="shared" si="16"/>
        <v>0</v>
      </c>
      <c r="U65" s="16">
        <f t="shared" ref="U65:U80" si="18">IF(N65&gt;N$3,0,1)</f>
        <v>0</v>
      </c>
      <c r="V65" s="16">
        <f t="shared" si="17"/>
        <v>0</v>
      </c>
      <c r="W65" s="72">
        <f>IF($AQ$28=0,0,IF(P65&gt;$AQ$28,0,1))</f>
        <v>0</v>
      </c>
      <c r="X65" s="16">
        <f t="shared" ref="X65:X72" si="19">IF(Q65&gt;LARGE(P$3:U$3,2),0,1)</f>
        <v>0</v>
      </c>
      <c r="Z65" s="16">
        <f t="shared" si="8"/>
        <v>0</v>
      </c>
      <c r="AA65" s="2"/>
      <c r="AB65" s="433" t="s">
        <v>391</v>
      </c>
      <c r="AC65" s="433" t="s">
        <v>392</v>
      </c>
      <c r="AD65" s="433" t="s">
        <v>393</v>
      </c>
      <c r="AF65" s="434" t="s">
        <v>2305</v>
      </c>
      <c r="AG65" s="2" t="s">
        <v>394</v>
      </c>
      <c r="AH65" s="21" t="s">
        <v>389</v>
      </c>
      <c r="AI65" s="116" t="s">
        <v>410</v>
      </c>
      <c r="AJ65" s="2">
        <f>IF(OR(Q2="生物",Q2="化學"),Q3,0)</f>
        <v>0</v>
      </c>
      <c r="AK65" s="2">
        <f>IF(OR(R2="生物",R2="化學"),R3,0)</f>
        <v>0</v>
      </c>
      <c r="AL65" s="2">
        <f>IF(OR(S2="生物",S2="化學"),S3,0)</f>
        <v>0</v>
      </c>
      <c r="AM65" s="2">
        <f>IF(OR(T2="生物",T2="化學"),T3,0)</f>
        <v>0</v>
      </c>
      <c r="AN65" s="116"/>
      <c r="AO65" s="116"/>
      <c r="AP65" s="117" t="str">
        <f>IF(AQ65&gt;0,INDEX(AJ64:AM64,MATCH(LARGE(AJ65:AM65,1),AJ65:AM65,0)),"無")</f>
        <v>無</v>
      </c>
      <c r="AQ65" s="117">
        <f>LARGE((AJ65:AM65),1)</f>
        <v>0</v>
      </c>
      <c r="AR65" s="116"/>
      <c r="AS65" s="117">
        <f>IF(AS64="",0,IF(OR(Q2="生物",Q2="企業、會計與財務概論",Q2="化學",Q2="設計與應用科技",Q2="資訊及通訊科技",Q2="物理"),Q3,0))</f>
        <v>0</v>
      </c>
      <c r="AT65" s="117">
        <f>IF(AT64="",0,IF(OR(R2="生物",R2="企業、會計與財務概論",R2="化學",R2="設計與應用科技",R2="資訊及通訊科技",R2="物理"),R3,0))</f>
        <v>0</v>
      </c>
      <c r="AU65" s="117">
        <f>IF(AU64="",0,IF(OR(S2="生物",S2="企業、會計與財務概論",S2="化學",S2="設計與應用科技",S2="資訊及通訊科技",S2="物理"),S3,0))</f>
        <v>0</v>
      </c>
      <c r="AV65" s="117">
        <f>IF(AV64="",0,IF(OR(T2="生物",T2="企業、會計與財務概論",T2="化學",T2="設計與應用科技",T2="資訊及通訊科技",T2="物理"),T3,0))</f>
        <v>0</v>
      </c>
      <c r="AW65" s="117">
        <f>P3</f>
        <v>5.0000000000000003E-10</v>
      </c>
      <c r="AX65" s="115"/>
      <c r="AY65" s="117" t="str">
        <f>IF(AZ65&gt;0,INDEX(AS64:AW64,MATCH(LARGE(AS65:AW65,1),AS65:AW65,0)),"無")</f>
        <v>無</v>
      </c>
      <c r="AZ65" s="117">
        <f>LARGE((AS65:AV65),1)</f>
        <v>0</v>
      </c>
      <c r="BA65" s="115"/>
      <c r="BB65" s="115"/>
      <c r="BC65" s="115"/>
      <c r="BD65" s="115"/>
      <c r="BE65" s="115"/>
      <c r="BF65" s="115"/>
      <c r="BG65" s="115"/>
      <c r="BH65" s="115"/>
      <c r="BI65" s="115"/>
    </row>
    <row r="66" spans="1:61">
      <c r="A66" s="2" t="str">
        <f>'Reference Score Calculation'!B57</f>
        <v>JS1205</v>
      </c>
      <c r="B66" s="346" t="str">
        <f>'Reference Score Calculation'!B57</f>
        <v>JS1205</v>
      </c>
      <c r="C66" s="2" t="str">
        <f>'Reference Score Calculation'!E57</f>
        <v>電機工程學系 [選項: 工學士(電子計算機及數據工程學)、工學士(電子及電機工程學)、工學士(資訊工程學)、工學士(微電子工程學)]</v>
      </c>
      <c r="D66" s="16">
        <f>'Reference Score Calculation'!U57</f>
        <v>163</v>
      </c>
      <c r="E66" s="16">
        <v>3</v>
      </c>
      <c r="F66" s="16">
        <v>3</v>
      </c>
      <c r="G66" s="16">
        <v>3</v>
      </c>
      <c r="H66" s="16">
        <v>2</v>
      </c>
      <c r="I66" s="16">
        <v>3</v>
      </c>
      <c r="J66" s="16">
        <v>3</v>
      </c>
      <c r="L66" s="90">
        <v>3</v>
      </c>
      <c r="M66" s="90">
        <v>3</v>
      </c>
      <c r="N66" s="90">
        <v>3</v>
      </c>
      <c r="O66" s="90">
        <v>1</v>
      </c>
      <c r="P66" s="90">
        <v>3</v>
      </c>
      <c r="Q66" s="90">
        <v>3</v>
      </c>
      <c r="S66" s="16">
        <f t="shared" si="15"/>
        <v>0</v>
      </c>
      <c r="T66" s="16">
        <f t="shared" si="16"/>
        <v>0</v>
      </c>
      <c r="U66" s="16">
        <f t="shared" si="18"/>
        <v>0</v>
      </c>
      <c r="V66" s="16">
        <f t="shared" si="17"/>
        <v>0</v>
      </c>
      <c r="W66" s="72">
        <f>IF(AQ30=0,0,IF(P66&gt;AQ30,0,1))</f>
        <v>0</v>
      </c>
      <c r="X66" s="16">
        <f t="shared" si="19"/>
        <v>0</v>
      </c>
      <c r="Z66" s="16">
        <f t="shared" si="8"/>
        <v>0</v>
      </c>
      <c r="AA66" s="2"/>
      <c r="AB66" s="433" t="s">
        <v>391</v>
      </c>
      <c r="AC66" s="433" t="s">
        <v>392</v>
      </c>
      <c r="AD66" s="433" t="s">
        <v>393</v>
      </c>
      <c r="AF66" s="434" t="s">
        <v>2305</v>
      </c>
      <c r="AG66" s="2" t="s">
        <v>394</v>
      </c>
      <c r="AH66" s="21" t="s">
        <v>389</v>
      </c>
      <c r="AI66" s="116"/>
      <c r="AJ66" s="116"/>
      <c r="AK66" s="116"/>
      <c r="AL66" s="116"/>
      <c r="AM66" s="116"/>
      <c r="AN66" s="116"/>
      <c r="AO66" s="116"/>
      <c r="AP66" s="116"/>
      <c r="AQ66" s="116"/>
      <c r="AR66" s="116"/>
      <c r="AS66" s="116"/>
      <c r="AT66" s="116"/>
      <c r="AU66" s="116"/>
      <c r="AV66" s="116"/>
      <c r="AW66" s="115"/>
      <c r="AX66" s="115"/>
      <c r="AY66" s="115"/>
      <c r="AZ66" s="115"/>
      <c r="BA66" s="115"/>
      <c r="BB66" s="115"/>
      <c r="BC66" s="115"/>
      <c r="BD66" s="115"/>
      <c r="BE66" s="115"/>
      <c r="BF66" s="115"/>
      <c r="BG66" s="115"/>
      <c r="BH66" s="115"/>
      <c r="BI66" s="115"/>
    </row>
    <row r="67" spans="1:61">
      <c r="A67" s="2" t="str">
        <f>'Reference Score Calculation'!B58</f>
        <v>JS1206</v>
      </c>
      <c r="B67" s="346" t="str">
        <f>'Reference Score Calculation'!B58</f>
        <v>JS1206</v>
      </c>
      <c r="C67" s="2" t="str">
        <f>'Reference Score Calculation'!E58</f>
        <v>理學士(計算數學)</v>
      </c>
      <c r="D67" s="16">
        <f>'Reference Score Calculation'!U58</f>
        <v>36</v>
      </c>
      <c r="E67" s="16">
        <v>3</v>
      </c>
      <c r="F67" s="16">
        <v>3</v>
      </c>
      <c r="G67" s="16">
        <v>3</v>
      </c>
      <c r="H67" s="16">
        <v>2</v>
      </c>
      <c r="I67" s="16">
        <v>3</v>
      </c>
      <c r="J67" s="16">
        <v>3</v>
      </c>
      <c r="L67" s="90">
        <v>3</v>
      </c>
      <c r="M67" s="90">
        <v>3</v>
      </c>
      <c r="N67" s="90">
        <v>3</v>
      </c>
      <c r="O67" s="90">
        <v>1</v>
      </c>
      <c r="P67" s="90">
        <v>3</v>
      </c>
      <c r="Q67" s="90">
        <v>3</v>
      </c>
      <c r="S67" s="16">
        <f t="shared" si="15"/>
        <v>0</v>
      </c>
      <c r="T67" s="16">
        <f t="shared" si="16"/>
        <v>0</v>
      </c>
      <c r="U67" s="16">
        <f t="shared" si="18"/>
        <v>0</v>
      </c>
      <c r="V67" s="16">
        <f t="shared" si="17"/>
        <v>0</v>
      </c>
      <c r="W67" s="72">
        <f>IF(AQ53=0,0,IF(P67&gt;AQ53,0,1))</f>
        <v>0</v>
      </c>
      <c r="X67" s="16">
        <f t="shared" si="19"/>
        <v>0</v>
      </c>
      <c r="Z67" s="16">
        <f t="shared" si="8"/>
        <v>0</v>
      </c>
      <c r="AA67" s="2"/>
      <c r="AB67" s="433" t="s">
        <v>391</v>
      </c>
      <c r="AC67" s="433" t="s">
        <v>392</v>
      </c>
      <c r="AD67" s="433" t="s">
        <v>393</v>
      </c>
      <c r="AF67" s="434" t="s">
        <v>2951</v>
      </c>
      <c r="AG67" s="2" t="s">
        <v>394</v>
      </c>
      <c r="AH67" s="21" t="s">
        <v>389</v>
      </c>
      <c r="AI67" s="116"/>
      <c r="AJ67" s="116"/>
      <c r="AK67" s="116"/>
      <c r="AL67" s="116"/>
      <c r="AM67" s="116"/>
      <c r="AN67" s="116"/>
      <c r="AO67" s="116"/>
      <c r="AP67" s="116"/>
      <c r="AQ67" s="116"/>
      <c r="AR67" s="116"/>
      <c r="AS67" s="116"/>
      <c r="AT67" s="116"/>
      <c r="AU67" s="116"/>
      <c r="AV67" s="116"/>
      <c r="AW67" s="115"/>
      <c r="AX67" s="115"/>
      <c r="AY67" s="115"/>
      <c r="AZ67" s="115"/>
      <c r="BA67" s="115"/>
      <c r="BB67" s="115"/>
      <c r="BC67" s="115"/>
      <c r="BD67" s="115"/>
      <c r="BE67" s="115"/>
      <c r="BF67" s="115"/>
      <c r="BG67" s="115"/>
      <c r="BH67" s="115"/>
      <c r="BI67" s="115"/>
    </row>
    <row r="68" spans="1:61">
      <c r="A68" s="2" t="str">
        <f>'Reference Score Calculation'!B59</f>
        <v>JS1207</v>
      </c>
      <c r="B68" s="346" t="str">
        <f>'Reference Score Calculation'!B59</f>
        <v>JS1207</v>
      </c>
      <c r="C68" s="2" t="str">
        <f>'Reference Score Calculation'!E59</f>
        <v>機械工程學系 [選項: 工學士(航空航天工程)、工學士(機械工程)、工學士(核子及風險工程)]</v>
      </c>
      <c r="D68" s="16">
        <f>'Reference Score Calculation'!U59</f>
        <v>87</v>
      </c>
      <c r="E68" s="16">
        <v>3</v>
      </c>
      <c r="F68" s="16">
        <v>3</v>
      </c>
      <c r="G68" s="16">
        <v>2</v>
      </c>
      <c r="H68" s="16">
        <v>2</v>
      </c>
      <c r="I68" s="16">
        <v>3</v>
      </c>
      <c r="J68" s="16">
        <v>3</v>
      </c>
      <c r="L68" s="90">
        <v>3</v>
      </c>
      <c r="M68" s="90">
        <v>3</v>
      </c>
      <c r="N68" s="90">
        <v>2</v>
      </c>
      <c r="O68" s="90">
        <v>1</v>
      </c>
      <c r="P68" s="90">
        <v>3</v>
      </c>
      <c r="Q68" s="90">
        <v>3</v>
      </c>
      <c r="S68" s="16">
        <f t="shared" si="15"/>
        <v>0</v>
      </c>
      <c r="T68" s="16">
        <f t="shared" si="16"/>
        <v>0</v>
      </c>
      <c r="U68" s="16">
        <f t="shared" si="18"/>
        <v>0</v>
      </c>
      <c r="V68" s="16">
        <f t="shared" si="17"/>
        <v>0</v>
      </c>
      <c r="W68" s="72">
        <f>IF(AQ32=0,0,IF(P68&gt;AQ32,0,1))</f>
        <v>0</v>
      </c>
      <c r="X68" s="16">
        <f t="shared" si="19"/>
        <v>0</v>
      </c>
      <c r="Z68" s="16">
        <f t="shared" si="8"/>
        <v>0</v>
      </c>
      <c r="AA68" s="2"/>
      <c r="AB68" s="433" t="s">
        <v>391</v>
      </c>
      <c r="AC68" s="433" t="s">
        <v>392</v>
      </c>
      <c r="AD68" s="433" t="s">
        <v>393</v>
      </c>
      <c r="AF68" s="434" t="s">
        <v>2307</v>
      </c>
      <c r="AG68" s="2" t="s">
        <v>394</v>
      </c>
      <c r="AH68" s="21" t="s">
        <v>389</v>
      </c>
      <c r="AI68" s="122" t="s">
        <v>271</v>
      </c>
      <c r="AJ68" s="116"/>
      <c r="AK68" s="116"/>
      <c r="AL68" s="116"/>
      <c r="AM68" s="116"/>
      <c r="AN68" s="116"/>
      <c r="AO68" s="116"/>
      <c r="AP68" s="116"/>
      <c r="AQ68" s="116"/>
      <c r="AR68" s="116"/>
      <c r="AS68" s="116"/>
      <c r="AT68" s="116"/>
      <c r="AU68" s="116"/>
      <c r="AV68" s="116"/>
      <c r="AW68" s="115"/>
      <c r="AX68" s="115"/>
      <c r="AY68" s="115"/>
      <c r="AZ68" s="115"/>
      <c r="BA68" s="115"/>
      <c r="BB68" s="115"/>
      <c r="BC68" s="115"/>
      <c r="BD68" s="115"/>
      <c r="BE68" s="115"/>
      <c r="BF68" s="115"/>
      <c r="BG68" s="115"/>
      <c r="BH68" s="115"/>
      <c r="BI68" s="115"/>
    </row>
    <row r="69" spans="1:61">
      <c r="A69" s="2" t="str">
        <f>'Reference Score Calculation'!B60</f>
        <v>JS1208</v>
      </c>
      <c r="B69" s="346" t="str">
        <f>'Reference Score Calculation'!B60</f>
        <v>JS1208</v>
      </c>
      <c r="C69" s="2" t="str">
        <f>'Reference Score Calculation'!E60</f>
        <v>理學士(物理學)</v>
      </c>
      <c r="D69" s="16">
        <f>'Reference Score Calculation'!U60</f>
        <v>20</v>
      </c>
      <c r="E69" s="16">
        <v>3</v>
      </c>
      <c r="F69" s="16">
        <v>3</v>
      </c>
      <c r="G69" s="16">
        <v>2</v>
      </c>
      <c r="H69" s="16">
        <v>2</v>
      </c>
      <c r="I69" s="16">
        <v>3</v>
      </c>
      <c r="J69" s="16">
        <v>3</v>
      </c>
      <c r="L69" s="90">
        <v>3</v>
      </c>
      <c r="M69" s="90">
        <v>3</v>
      </c>
      <c r="N69" s="90">
        <v>2</v>
      </c>
      <c r="O69" s="90">
        <v>1</v>
      </c>
      <c r="P69" s="90">
        <v>3</v>
      </c>
      <c r="Q69" s="90">
        <v>3</v>
      </c>
      <c r="S69" s="16">
        <f t="shared" si="15"/>
        <v>0</v>
      </c>
      <c r="T69" s="16">
        <f t="shared" si="16"/>
        <v>0</v>
      </c>
      <c r="U69" s="16">
        <f t="shared" si="18"/>
        <v>0</v>
      </c>
      <c r="V69" s="16">
        <f t="shared" si="17"/>
        <v>0</v>
      </c>
      <c r="W69" s="72">
        <f>IF(AQ55=0,0,IF(P69&gt;AQ55,0,1))</f>
        <v>0</v>
      </c>
      <c r="X69" s="16">
        <f t="shared" si="19"/>
        <v>0</v>
      </c>
      <c r="Z69" s="16">
        <f>S69*T69*U69*V69*W69*X69</f>
        <v>0</v>
      </c>
      <c r="AB69" s="433" t="s">
        <v>391</v>
      </c>
      <c r="AC69" s="433" t="s">
        <v>392</v>
      </c>
      <c r="AD69" s="433" t="s">
        <v>393</v>
      </c>
      <c r="AF69" s="434" t="s">
        <v>2313</v>
      </c>
      <c r="AG69" s="2" t="s">
        <v>394</v>
      </c>
      <c r="AH69" s="21" t="s">
        <v>389</v>
      </c>
      <c r="AI69" s="116"/>
      <c r="AJ69" s="116"/>
      <c r="AK69" s="116"/>
      <c r="AL69" s="116"/>
      <c r="AM69" s="116"/>
      <c r="AN69" s="116"/>
      <c r="AO69" s="116"/>
      <c r="AP69" s="116"/>
      <c r="AQ69" s="116"/>
      <c r="AR69" s="116"/>
      <c r="AS69" s="116"/>
      <c r="AT69" s="116"/>
      <c r="AU69" s="116"/>
      <c r="AV69" s="116"/>
      <c r="AW69" s="115"/>
      <c r="AX69" s="115"/>
      <c r="AY69" s="115"/>
      <c r="AZ69" s="115"/>
      <c r="BA69" s="115"/>
      <c r="BB69" s="115"/>
      <c r="BC69" s="115"/>
      <c r="BD69" s="115"/>
      <c r="BE69" s="115"/>
      <c r="BF69" s="115"/>
      <c r="BG69" s="115"/>
      <c r="BH69" s="115"/>
      <c r="BI69" s="115"/>
    </row>
    <row r="70" spans="1:61">
      <c r="A70" s="2" t="str">
        <f>'Reference Score Calculation'!B61</f>
        <v>JS1210</v>
      </c>
      <c r="B70" s="346" t="str">
        <f>'Reference Score Calculation'!B61</f>
        <v>JS1210</v>
      </c>
      <c r="C70" s="2" t="str">
        <f>'Reference Score Calculation'!E61</f>
        <v>工學士(材料科學及工程)</v>
      </c>
      <c r="D70" s="16">
        <f>'Reference Score Calculation'!U61</f>
        <v>24</v>
      </c>
      <c r="E70" s="16">
        <v>3</v>
      </c>
      <c r="F70" s="16">
        <v>3</v>
      </c>
      <c r="G70" s="16">
        <v>2</v>
      </c>
      <c r="H70" s="16">
        <v>2</v>
      </c>
      <c r="I70" s="16">
        <v>3</v>
      </c>
      <c r="J70" s="16">
        <v>3</v>
      </c>
      <c r="L70" s="90">
        <v>3</v>
      </c>
      <c r="M70" s="90">
        <v>3</v>
      </c>
      <c r="N70" s="90">
        <v>2</v>
      </c>
      <c r="O70" s="90">
        <v>1</v>
      </c>
      <c r="P70" s="90">
        <v>3</v>
      </c>
      <c r="Q70" s="90">
        <v>3</v>
      </c>
      <c r="S70" s="16">
        <f t="shared" si="15"/>
        <v>0</v>
      </c>
      <c r="T70" s="16">
        <f t="shared" si="16"/>
        <v>0</v>
      </c>
      <c r="U70" s="16">
        <f t="shared" si="18"/>
        <v>0</v>
      </c>
      <c r="V70" s="16">
        <f t="shared" si="17"/>
        <v>0</v>
      </c>
      <c r="W70" s="72">
        <f>IF(AQ34=0,0,IF(P70&gt;AQ34,0,1))</f>
        <v>0</v>
      </c>
      <c r="X70" s="16">
        <f t="shared" si="19"/>
        <v>0</v>
      </c>
      <c r="Z70" s="16">
        <f t="shared" si="8"/>
        <v>0</v>
      </c>
      <c r="AB70" s="433" t="s">
        <v>391</v>
      </c>
      <c r="AC70" s="433" t="s">
        <v>392</v>
      </c>
      <c r="AD70" s="433" t="s">
        <v>393</v>
      </c>
      <c r="AE70" s="433"/>
      <c r="AF70" s="434" t="s">
        <v>2308</v>
      </c>
      <c r="AG70" s="435" t="s">
        <v>394</v>
      </c>
      <c r="AH70" s="21" t="s">
        <v>389</v>
      </c>
      <c r="AI70" s="116"/>
      <c r="AJ70" s="116" t="str">
        <f>Q2</f>
        <v>請選擇第一選修科</v>
      </c>
      <c r="AK70" s="116" t="str">
        <f>R2</f>
        <v>請選擇第二選修科</v>
      </c>
      <c r="AL70" s="116" t="str">
        <f>S2</f>
        <v>請選擇第三選修科</v>
      </c>
      <c r="AM70" s="116" t="str">
        <f>T2</f>
        <v>請選擇第四選修科</v>
      </c>
      <c r="AN70" s="116"/>
      <c r="AO70" s="116"/>
      <c r="AP70" s="116" t="s">
        <v>2302</v>
      </c>
      <c r="AQ70" s="115"/>
      <c r="AR70" s="116"/>
      <c r="AS70" s="115"/>
      <c r="AT70" s="115"/>
      <c r="AU70" s="115"/>
      <c r="AV70" s="116"/>
      <c r="AW70" s="115"/>
      <c r="AX70" s="115"/>
      <c r="AY70" s="115"/>
      <c r="AZ70" s="115"/>
      <c r="BA70" s="115"/>
      <c r="BB70" s="115"/>
      <c r="BC70" s="115"/>
      <c r="BD70" s="115"/>
      <c r="BE70" s="115"/>
      <c r="BF70" s="115"/>
      <c r="BG70" s="115"/>
      <c r="BH70" s="115"/>
      <c r="BI70" s="115"/>
    </row>
    <row r="71" spans="1:61">
      <c r="A71" s="2" t="str">
        <f>'Reference Score Calculation'!B62</f>
        <v>JS1211</v>
      </c>
      <c r="B71" s="346" t="str">
        <f>'Reference Score Calculation'!B62</f>
        <v>JS1211</v>
      </c>
      <c r="C71" s="2" t="str">
        <f>'Reference Score Calculation'!E62</f>
        <v>工學士(生物醫學工程)</v>
      </c>
      <c r="D71" s="16">
        <f>'Reference Score Calculation'!U62</f>
        <v>44</v>
      </c>
      <c r="E71" s="16">
        <v>3</v>
      </c>
      <c r="F71" s="16">
        <v>3</v>
      </c>
      <c r="G71" s="16">
        <v>2</v>
      </c>
      <c r="H71" s="16">
        <v>2</v>
      </c>
      <c r="I71" s="16">
        <v>3</v>
      </c>
      <c r="J71" s="16">
        <v>3</v>
      </c>
      <c r="L71" s="90">
        <v>3</v>
      </c>
      <c r="M71" s="90">
        <v>3</v>
      </c>
      <c r="N71" s="90">
        <v>2</v>
      </c>
      <c r="O71" s="90">
        <v>1</v>
      </c>
      <c r="P71" s="90">
        <v>3</v>
      </c>
      <c r="Q71" s="90">
        <v>3</v>
      </c>
      <c r="S71" s="16">
        <f t="shared" si="15"/>
        <v>0</v>
      </c>
      <c r="T71" s="16">
        <f t="shared" si="16"/>
        <v>0</v>
      </c>
      <c r="U71" s="16">
        <f t="shared" si="18"/>
        <v>0</v>
      </c>
      <c r="V71" s="16">
        <f t="shared" si="17"/>
        <v>0</v>
      </c>
      <c r="W71" s="72">
        <f>IF(AQ36=0,0,IF(P71&gt;AQ36,0,1))</f>
        <v>0</v>
      </c>
      <c r="X71" s="16">
        <f t="shared" si="19"/>
        <v>0</v>
      </c>
      <c r="Z71" s="16">
        <f t="shared" si="8"/>
        <v>0</v>
      </c>
      <c r="AB71" s="433" t="s">
        <v>391</v>
      </c>
      <c r="AC71" s="433" t="s">
        <v>392</v>
      </c>
      <c r="AD71" s="433" t="s">
        <v>393</v>
      </c>
      <c r="AF71" s="434" t="s">
        <v>2309</v>
      </c>
      <c r="AG71" s="2" t="s">
        <v>394</v>
      </c>
      <c r="AH71" s="21" t="s">
        <v>389</v>
      </c>
      <c r="AI71" s="116" t="s">
        <v>272</v>
      </c>
      <c r="AJ71" s="117">
        <f>IF(OR(Q2="物理",Q2="化學",Q2="生物"),Q3,0)</f>
        <v>0</v>
      </c>
      <c r="AK71" s="117">
        <f>IF(OR(R2="物理",R2="化學",R2="生物"),R3,0)</f>
        <v>0</v>
      </c>
      <c r="AL71" s="117">
        <f>IF(OR(S2="物理",S2="化學",S2="生物"),S3,0)</f>
        <v>0</v>
      </c>
      <c r="AM71" s="117">
        <f>IF(OR(T2="物理",T2="化學",T2="生物"),T3,0)</f>
        <v>0</v>
      </c>
      <c r="AN71" s="116"/>
      <c r="AO71" s="116"/>
      <c r="AP71" s="117" t="str">
        <f>IF(AQ71&gt;0,INDEX(AJ70:AM70,MATCH(LARGE(AJ71:AM71,1),AJ71:AM71,0)),"無")</f>
        <v>無</v>
      </c>
      <c r="AQ71" s="117">
        <f>LARGE((AJ71:AM71),1)</f>
        <v>0</v>
      </c>
      <c r="AR71" s="116"/>
      <c r="AS71" s="115"/>
      <c r="AT71" s="115"/>
      <c r="AU71" s="115"/>
      <c r="AV71" s="116"/>
      <c r="AW71" s="115"/>
      <c r="AX71" s="115"/>
      <c r="AY71" s="115"/>
      <c r="AZ71" s="115"/>
      <c r="BA71" s="115"/>
      <c r="BB71" s="115"/>
      <c r="BC71" s="115"/>
      <c r="BD71" s="115"/>
      <c r="BE71" s="115"/>
      <c r="BF71" s="115"/>
      <c r="BG71" s="115"/>
      <c r="BH71" s="115"/>
      <c r="BI71" s="115"/>
    </row>
    <row r="72" spans="1:61">
      <c r="A72" s="2" t="str">
        <f>'Reference Score Calculation'!B63</f>
        <v>JS1216</v>
      </c>
      <c r="B72" s="346" t="str">
        <f>'Reference Score Calculation'!B63</f>
        <v>JS1216</v>
      </c>
      <c r="C72" s="2" t="str">
        <f>'Reference Score Calculation'!E63</f>
        <v>工學士(智能製造工程學)</v>
      </c>
      <c r="D72" s="16">
        <f>'Reference Score Calculation'!U63</f>
        <v>24</v>
      </c>
      <c r="E72" s="16">
        <v>3</v>
      </c>
      <c r="F72" s="16">
        <v>3</v>
      </c>
      <c r="G72" s="16">
        <v>2</v>
      </c>
      <c r="H72" s="16">
        <v>2</v>
      </c>
      <c r="I72" s="16">
        <v>3</v>
      </c>
      <c r="J72" s="16">
        <v>3</v>
      </c>
      <c r="L72" s="90">
        <v>3</v>
      </c>
      <c r="M72" s="90">
        <v>3</v>
      </c>
      <c r="N72" s="90">
        <v>2</v>
      </c>
      <c r="O72" s="90">
        <v>1</v>
      </c>
      <c r="P72" s="90">
        <v>3</v>
      </c>
      <c r="Q72" s="90">
        <v>3</v>
      </c>
      <c r="S72" s="16">
        <f t="shared" si="15"/>
        <v>0</v>
      </c>
      <c r="T72" s="16">
        <f t="shared" si="16"/>
        <v>0</v>
      </c>
      <c r="U72" s="16">
        <f t="shared" si="18"/>
        <v>0</v>
      </c>
      <c r="V72" s="16">
        <f t="shared" si="17"/>
        <v>0</v>
      </c>
      <c r="W72" s="72">
        <f>IF($AQ$38=0,0,IF(P72&gt;$AQ$38,0,1))</f>
        <v>0</v>
      </c>
      <c r="X72" s="16">
        <f t="shared" si="19"/>
        <v>0</v>
      </c>
      <c r="Z72" s="16">
        <f t="shared" si="8"/>
        <v>0</v>
      </c>
      <c r="AB72" s="433" t="s">
        <v>391</v>
      </c>
      <c r="AC72" s="433" t="s">
        <v>392</v>
      </c>
      <c r="AD72" s="433" t="s">
        <v>393</v>
      </c>
      <c r="AF72" s="434" t="s">
        <v>2948</v>
      </c>
      <c r="AG72" s="2" t="s">
        <v>394</v>
      </c>
      <c r="AH72" s="21" t="s">
        <v>389</v>
      </c>
      <c r="AI72" s="116" t="s">
        <v>2107</v>
      </c>
      <c r="AJ72" s="116"/>
      <c r="AK72" s="116"/>
      <c r="AL72" s="116"/>
      <c r="AM72" s="116"/>
      <c r="AN72" s="116"/>
      <c r="AO72" s="116"/>
      <c r="AP72" s="116"/>
      <c r="AQ72" s="116"/>
      <c r="AR72" s="116"/>
      <c r="AS72" s="116"/>
      <c r="AT72" s="116"/>
      <c r="AU72" s="116"/>
      <c r="AV72" s="116"/>
      <c r="AW72" s="115"/>
      <c r="AX72" s="115"/>
      <c r="AY72" s="115"/>
      <c r="AZ72" s="115"/>
      <c r="BA72" s="115"/>
      <c r="BB72" s="115"/>
      <c r="BC72" s="115"/>
      <c r="BD72" s="115"/>
      <c r="BE72" s="115"/>
      <c r="BF72" s="115"/>
      <c r="BG72" s="115"/>
      <c r="BH72" s="115"/>
      <c r="BI72" s="115"/>
    </row>
    <row r="73" spans="1:61">
      <c r="A73" s="2" t="str">
        <f>'Reference Score Calculation'!B64</f>
        <v>JS1217</v>
      </c>
      <c r="B73" s="346" t="str">
        <f>'Reference Score Calculation'!B64</f>
        <v>JS1217</v>
      </c>
      <c r="C73" s="2" t="str">
        <f>'Reference Score Calculation'!E64</f>
        <v>工學院(選項: 工學院任何一個主修及工程創業副修)</v>
      </c>
      <c r="D73" s="16">
        <f>'Reference Score Calculation'!U64</f>
        <v>15</v>
      </c>
      <c r="E73" s="16">
        <v>3</v>
      </c>
      <c r="F73" s="16">
        <v>3</v>
      </c>
      <c r="G73" s="16">
        <v>3</v>
      </c>
      <c r="H73" s="16">
        <v>2</v>
      </c>
      <c r="I73" s="16">
        <v>3</v>
      </c>
      <c r="J73" s="16">
        <v>3</v>
      </c>
      <c r="L73" s="90">
        <v>3</v>
      </c>
      <c r="M73" s="90">
        <v>3</v>
      </c>
      <c r="N73" s="90">
        <v>3</v>
      </c>
      <c r="O73" s="90">
        <v>1</v>
      </c>
      <c r="P73" s="90">
        <v>3</v>
      </c>
      <c r="Q73" s="90">
        <v>3</v>
      </c>
      <c r="S73" s="16">
        <f t="shared" si="15"/>
        <v>0</v>
      </c>
      <c r="T73" s="16">
        <f t="shared" si="16"/>
        <v>0</v>
      </c>
      <c r="U73" s="16">
        <f t="shared" si="18"/>
        <v>0</v>
      </c>
      <c r="V73" s="16">
        <f t="shared" si="17"/>
        <v>0</v>
      </c>
      <c r="W73" s="72">
        <f>IF(AQ40=0,0,IF(P73&gt;AQ40,0,1))</f>
        <v>0</v>
      </c>
      <c r="X73" s="72">
        <f>IF(AS40=0,0,IF(Q73&gt;AS40,0,1))</f>
        <v>0</v>
      </c>
      <c r="Z73" s="16">
        <f t="shared" si="8"/>
        <v>0</v>
      </c>
      <c r="AB73" s="433" t="s">
        <v>391</v>
      </c>
      <c r="AC73" s="433" t="s">
        <v>393</v>
      </c>
      <c r="AD73" s="433" t="s">
        <v>393</v>
      </c>
      <c r="AF73" s="434" t="s">
        <v>2310</v>
      </c>
      <c r="AG73" s="2" t="s">
        <v>394</v>
      </c>
      <c r="AH73" s="21" t="s">
        <v>389</v>
      </c>
      <c r="AI73" s="116"/>
      <c r="AJ73" s="116"/>
      <c r="AK73" s="116"/>
      <c r="AL73" s="116"/>
      <c r="AM73" s="116"/>
      <c r="AN73" s="116"/>
      <c r="AO73" s="116"/>
      <c r="AP73" s="116"/>
      <c r="AQ73" s="116"/>
      <c r="AR73" s="116"/>
      <c r="AS73" s="116"/>
      <c r="AT73" s="116"/>
      <c r="AU73" s="116"/>
      <c r="AV73" s="116"/>
      <c r="AW73" s="115"/>
      <c r="AX73" s="115"/>
      <c r="AY73" s="115"/>
      <c r="AZ73" s="115"/>
      <c r="BA73" s="115"/>
      <c r="BB73" s="115"/>
      <c r="BC73" s="115"/>
      <c r="BD73" s="115"/>
      <c r="BE73" s="115"/>
      <c r="BF73" s="115"/>
      <c r="BG73" s="115"/>
      <c r="BH73" s="115"/>
      <c r="BI73" s="115"/>
    </row>
    <row r="74" spans="1:61">
      <c r="A74" s="2" t="str">
        <f>'Reference Score Calculation'!B65</f>
        <v>JS1218</v>
      </c>
      <c r="B74" s="346" t="str">
        <f>'Reference Score Calculation'!B65</f>
        <v>JS1218</v>
      </c>
      <c r="C74" s="2" t="str">
        <f>'Reference Score Calculation'!E65</f>
        <v>理學士 (網絡安全) (特點: 系統安全 / 軟件安全 / 密碼學 / 隱私增強技術 / 網絡風險管理)</v>
      </c>
      <c r="D74" s="16">
        <f>'Reference Score Calculation'!U65</f>
        <v>28</v>
      </c>
      <c r="L74" s="90">
        <v>3</v>
      </c>
      <c r="M74" s="90">
        <v>3</v>
      </c>
      <c r="N74" s="90">
        <v>3</v>
      </c>
      <c r="O74" s="90">
        <v>1</v>
      </c>
      <c r="P74" s="90">
        <v>3</v>
      </c>
      <c r="Q74" s="90">
        <v>3</v>
      </c>
      <c r="S74" s="16">
        <f t="shared" si="15"/>
        <v>0</v>
      </c>
      <c r="T74" s="16">
        <f t="shared" si="16"/>
        <v>0</v>
      </c>
      <c r="U74" s="16">
        <f t="shared" si="18"/>
        <v>0</v>
      </c>
      <c r="V74" s="16">
        <f t="shared" si="17"/>
        <v>0</v>
      </c>
      <c r="W74" s="72">
        <f>IF($AQ$28=0,0,IF(P74&gt;$AQ$28,0,1))</f>
        <v>0</v>
      </c>
      <c r="X74" s="16">
        <f>IF(Q74&gt;LARGE(P$3:U$3,2),0,1)</f>
        <v>0</v>
      </c>
      <c r="Z74" s="16">
        <f t="shared" ref="Z74:Z80" si="20">S74*T74*U74*V74*W74*X74</f>
        <v>0</v>
      </c>
      <c r="AB74" s="433" t="s">
        <v>391</v>
      </c>
      <c r="AC74" s="433" t="s">
        <v>392</v>
      </c>
      <c r="AD74" s="433" t="s">
        <v>393</v>
      </c>
      <c r="AF74" s="434" t="s">
        <v>2305</v>
      </c>
      <c r="AG74" s="2" t="s">
        <v>394</v>
      </c>
      <c r="AH74" s="21" t="s">
        <v>389</v>
      </c>
      <c r="AI74" s="116"/>
      <c r="AJ74" s="116"/>
      <c r="AK74" s="116"/>
      <c r="AL74" s="116"/>
      <c r="AM74" s="116"/>
      <c r="AN74" s="116"/>
      <c r="AO74" s="116"/>
      <c r="AP74" s="116"/>
      <c r="AQ74" s="116"/>
      <c r="AR74" s="116"/>
      <c r="AS74" s="116"/>
      <c r="AT74" s="116"/>
      <c r="AU74" s="116"/>
      <c r="AV74" s="116"/>
      <c r="AW74" s="115"/>
      <c r="AX74" s="115"/>
      <c r="AY74" s="115"/>
      <c r="AZ74" s="115"/>
      <c r="BA74" s="115"/>
      <c r="BB74" s="115"/>
      <c r="BC74" s="115"/>
      <c r="BD74" s="115"/>
      <c r="BE74" s="115"/>
      <c r="BF74" s="115"/>
      <c r="BG74" s="115"/>
      <c r="BH74" s="115"/>
      <c r="BI74" s="115"/>
    </row>
    <row r="75" spans="1:61">
      <c r="A75" s="2" t="str">
        <f>'Reference Score Calculation'!B66</f>
        <v>JS1219</v>
      </c>
      <c r="B75" s="346" t="str">
        <f>'Reference Score Calculation'!B66</f>
        <v>JS1219</v>
      </c>
      <c r="C75" s="2" t="str">
        <f>'Reference Score Calculation'!E66</f>
        <v>工學士(創新與企業工程學) (特點: 工程學 / 科技 / 創新 / 企業 / 創業)</v>
      </c>
      <c r="D75" s="16">
        <f>'Reference Score Calculation'!U66</f>
        <v>16</v>
      </c>
      <c r="L75" s="90">
        <v>3</v>
      </c>
      <c r="M75" s="90">
        <v>3</v>
      </c>
      <c r="N75" s="90">
        <v>2</v>
      </c>
      <c r="O75" s="90">
        <v>1</v>
      </c>
      <c r="P75" s="90">
        <v>3</v>
      </c>
      <c r="Q75" s="90">
        <v>3</v>
      </c>
      <c r="S75" s="16">
        <f t="shared" si="15"/>
        <v>0</v>
      </c>
      <c r="T75" s="16">
        <f t="shared" si="16"/>
        <v>0</v>
      </c>
      <c r="U75" s="16">
        <f t="shared" si="18"/>
        <v>0</v>
      </c>
      <c r="V75" s="16">
        <f t="shared" si="17"/>
        <v>0</v>
      </c>
      <c r="W75" s="72">
        <f>IF($AQ$38=0,0,IF(P75&gt;$AQ$38,0,1))</f>
        <v>0</v>
      </c>
      <c r="X75" s="16">
        <f>IF(Q75&gt;LARGE(P$3:U$3,2),0,1)</f>
        <v>0</v>
      </c>
      <c r="Z75" s="16">
        <f t="shared" si="20"/>
        <v>0</v>
      </c>
      <c r="AB75" s="433" t="s">
        <v>391</v>
      </c>
      <c r="AC75" s="433" t="s">
        <v>392</v>
      </c>
      <c r="AD75" s="433" t="s">
        <v>393</v>
      </c>
      <c r="AF75" s="434" t="s">
        <v>2948</v>
      </c>
      <c r="AG75" s="2" t="s">
        <v>394</v>
      </c>
      <c r="AH75" s="21" t="s">
        <v>389</v>
      </c>
      <c r="AI75" s="102"/>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5"/>
      <c r="BG75" s="115"/>
      <c r="BH75" s="115"/>
      <c r="BI75" s="115"/>
    </row>
    <row r="76" spans="1:61">
      <c r="A76" s="2" t="str">
        <f>'Reference Score Calculation'!B67</f>
        <v>JS1221</v>
      </c>
      <c r="B76" s="346" t="str">
        <f>'Reference Score Calculation'!B67</f>
        <v>JS1221</v>
      </c>
      <c r="C76" s="2" t="str">
        <f>'Reference Score Calculation'!E67</f>
        <v>理學士(電腦科學)與理學士(計算金融及金融科技)</v>
      </c>
      <c r="D76" s="16">
        <f>'Reference Score Calculation'!U67</f>
        <v>10</v>
      </c>
      <c r="E76" s="16">
        <v>3</v>
      </c>
      <c r="F76" s="16">
        <v>3</v>
      </c>
      <c r="G76" s="16">
        <v>4</v>
      </c>
      <c r="H76" s="16">
        <v>2</v>
      </c>
      <c r="I76" s="16">
        <v>3</v>
      </c>
      <c r="J76" s="16">
        <v>3</v>
      </c>
      <c r="L76" s="90">
        <v>3</v>
      </c>
      <c r="M76" s="90">
        <v>3</v>
      </c>
      <c r="N76" s="90">
        <v>4</v>
      </c>
      <c r="O76" s="90">
        <v>1</v>
      </c>
      <c r="P76" s="90">
        <v>3</v>
      </c>
      <c r="Q76" s="90">
        <v>3</v>
      </c>
      <c r="S76" s="16">
        <f t="shared" si="15"/>
        <v>0</v>
      </c>
      <c r="T76" s="16">
        <f t="shared" si="16"/>
        <v>0</v>
      </c>
      <c r="U76" s="16">
        <f t="shared" si="18"/>
        <v>0</v>
      </c>
      <c r="V76" s="16">
        <f t="shared" si="17"/>
        <v>0</v>
      </c>
      <c r="W76" s="72">
        <f>IF(AQ42=0,0,IF(P76&gt;AQ42,0,1))</f>
        <v>0</v>
      </c>
      <c r="X76" s="16">
        <f>IF(Q76&gt;LARGE(P$3:U$3,2),0,1)</f>
        <v>0</v>
      </c>
      <c r="Z76" s="16">
        <f t="shared" si="20"/>
        <v>0</v>
      </c>
      <c r="AA76" s="433"/>
      <c r="AB76" s="433" t="s">
        <v>391</v>
      </c>
      <c r="AC76" s="433" t="s">
        <v>392</v>
      </c>
      <c r="AD76" s="433" t="s">
        <v>393</v>
      </c>
      <c r="AE76" s="433"/>
      <c r="AF76" s="434" t="s">
        <v>2305</v>
      </c>
      <c r="AG76" s="435" t="s">
        <v>394</v>
      </c>
      <c r="AH76" s="21" t="s">
        <v>389</v>
      </c>
      <c r="AS76" s="2"/>
      <c r="AT76" s="2"/>
      <c r="AU76" s="2"/>
      <c r="AV76" s="2"/>
    </row>
    <row r="77" spans="1:61">
      <c r="A77" s="2" t="str">
        <f>'Reference Score Calculation'!B68</f>
        <v>JS1801</v>
      </c>
      <c r="B77" s="346" t="str">
        <f>'Reference Score Calculation'!B68</f>
        <v>JS1801</v>
      </c>
      <c r="C77" s="2" t="str">
        <f>'Reference Score Calculation'!E68</f>
        <v>獸醫學學士</v>
      </c>
      <c r="D77" s="16">
        <f>'Reference Score Calculation'!U68</f>
        <v>30</v>
      </c>
      <c r="E77" s="16">
        <v>3</v>
      </c>
      <c r="F77" s="16">
        <v>5</v>
      </c>
      <c r="G77" s="16">
        <v>3</v>
      </c>
      <c r="H77" s="16">
        <v>3</v>
      </c>
      <c r="I77" s="16">
        <v>3</v>
      </c>
      <c r="J77" s="16">
        <v>3</v>
      </c>
      <c r="L77" s="90">
        <v>3</v>
      </c>
      <c r="M77" s="90">
        <v>5</v>
      </c>
      <c r="N77" s="90">
        <v>3</v>
      </c>
      <c r="O77" s="90">
        <v>1</v>
      </c>
      <c r="P77" s="90">
        <v>3</v>
      </c>
      <c r="Q77" s="90">
        <v>3</v>
      </c>
      <c r="S77" s="16">
        <f t="shared" si="15"/>
        <v>0</v>
      </c>
      <c r="T77" s="16">
        <f t="shared" si="16"/>
        <v>0</v>
      </c>
      <c r="U77" s="16">
        <f t="shared" si="18"/>
        <v>0</v>
      </c>
      <c r="V77" s="16">
        <f t="shared" si="17"/>
        <v>0</v>
      </c>
      <c r="W77" s="72">
        <f>IF(AQ63=0,0,IF(P77&gt;AQ63,0,1))</f>
        <v>0</v>
      </c>
      <c r="X77" s="72">
        <f>IF(AS63=0,0,IF(Q77&gt;AS63,0,1))</f>
        <v>0</v>
      </c>
      <c r="Z77" s="16">
        <f t="shared" si="20"/>
        <v>0</v>
      </c>
      <c r="AA77" s="2"/>
      <c r="AB77" s="433" t="s">
        <v>393</v>
      </c>
      <c r="AC77" s="433" t="s">
        <v>393</v>
      </c>
      <c r="AD77" s="433" t="s">
        <v>393</v>
      </c>
      <c r="AF77" s="434" t="s">
        <v>411</v>
      </c>
      <c r="AG77" s="2" t="s">
        <v>394</v>
      </c>
      <c r="AS77" s="2"/>
      <c r="AT77" s="2"/>
      <c r="AU77" s="2"/>
      <c r="AV77" s="2"/>
    </row>
    <row r="78" spans="1:61">
      <c r="A78" s="2" t="str">
        <f>'Reference Score Calculation'!B69</f>
        <v>JS1805</v>
      </c>
      <c r="B78" s="346" t="str">
        <f>'Reference Score Calculation'!B69</f>
        <v>JS1805</v>
      </c>
      <c r="C78" s="2" t="str">
        <f>'Reference Score Calculation'!E69</f>
        <v>生物醫學系 [選項: 理學士(生物科學)、理學士(生物醫學)]</v>
      </c>
      <c r="D78" s="16">
        <f>'Reference Score Calculation'!U69</f>
        <v>20</v>
      </c>
      <c r="E78" s="16">
        <v>3</v>
      </c>
      <c r="F78" s="16">
        <v>3</v>
      </c>
      <c r="G78" s="16">
        <v>3</v>
      </c>
      <c r="H78" s="16">
        <v>2</v>
      </c>
      <c r="I78" s="16">
        <v>3</v>
      </c>
      <c r="J78" s="16">
        <v>3</v>
      </c>
      <c r="L78" s="90">
        <v>3</v>
      </c>
      <c r="M78" s="90">
        <v>3</v>
      </c>
      <c r="N78" s="90">
        <v>3</v>
      </c>
      <c r="O78" s="90">
        <v>1</v>
      </c>
      <c r="P78" s="90">
        <v>3</v>
      </c>
      <c r="Q78" s="90">
        <v>3</v>
      </c>
      <c r="S78" s="16">
        <f t="shared" si="15"/>
        <v>0</v>
      </c>
      <c r="T78" s="16">
        <f t="shared" si="16"/>
        <v>0</v>
      </c>
      <c r="U78" s="16">
        <f t="shared" si="18"/>
        <v>0</v>
      </c>
      <c r="V78" s="16">
        <f t="shared" si="17"/>
        <v>0</v>
      </c>
      <c r="W78" s="72">
        <f>IF(AQ65=0,0,IF(P78&gt;AQ65,0,1))</f>
        <v>0</v>
      </c>
      <c r="X78" s="72">
        <f>IF(AZ65=0,0,IF(Q78&gt;AZ65,0,1))</f>
        <v>0</v>
      </c>
      <c r="Z78" s="16">
        <f t="shared" si="20"/>
        <v>0</v>
      </c>
      <c r="AA78" s="2"/>
      <c r="AB78" s="433" t="s">
        <v>391</v>
      </c>
      <c r="AC78" s="433" t="s">
        <v>393</v>
      </c>
      <c r="AD78" s="433" t="s">
        <v>391</v>
      </c>
      <c r="AF78" s="434" t="s">
        <v>2311</v>
      </c>
      <c r="AG78" s="434" t="s">
        <v>2306</v>
      </c>
      <c r="AS78" s="2"/>
      <c r="AT78" s="2"/>
      <c r="AU78" s="2"/>
      <c r="AV78" s="2"/>
    </row>
    <row r="79" spans="1:61">
      <c r="A79" s="2" t="str">
        <f>'Reference Score Calculation'!B70</f>
        <v>JS1806</v>
      </c>
      <c r="B79" s="346" t="str">
        <f>'Reference Score Calculation'!B70</f>
        <v>JS1806</v>
      </c>
      <c r="C79" s="2" t="str">
        <f>'Reference Score Calculation'!E70</f>
        <v>理學士(生物科學)</v>
      </c>
      <c r="D79" s="16">
        <f>'Reference Score Calculation'!U70</f>
        <v>30</v>
      </c>
      <c r="E79" s="16">
        <v>3</v>
      </c>
      <c r="F79" s="16">
        <v>3</v>
      </c>
      <c r="G79" s="16">
        <v>3</v>
      </c>
      <c r="H79" s="16">
        <v>2</v>
      </c>
      <c r="I79" s="16">
        <v>3</v>
      </c>
      <c r="J79" s="16">
        <v>3</v>
      </c>
      <c r="L79" s="90">
        <v>3</v>
      </c>
      <c r="M79" s="90">
        <v>3</v>
      </c>
      <c r="N79" s="90">
        <v>3</v>
      </c>
      <c r="O79" s="90">
        <v>1</v>
      </c>
      <c r="P79" s="90">
        <v>3</v>
      </c>
      <c r="Q79" s="90">
        <v>3</v>
      </c>
      <c r="S79" s="16">
        <f t="shared" si="15"/>
        <v>0</v>
      </c>
      <c r="T79" s="16">
        <f t="shared" si="16"/>
        <v>0</v>
      </c>
      <c r="U79" s="16">
        <f t="shared" si="18"/>
        <v>0</v>
      </c>
      <c r="V79" s="16">
        <f t="shared" si="17"/>
        <v>0</v>
      </c>
      <c r="W79" s="72">
        <f>IF(AQ65=0,0,IF(P79&gt;AQ65,0,1))</f>
        <v>0</v>
      </c>
      <c r="X79" s="72">
        <f>IF(AZ65=0,0,IF(Q79&gt;AZ65,0,1))</f>
        <v>0</v>
      </c>
      <c r="Z79" s="16">
        <f t="shared" si="20"/>
        <v>0</v>
      </c>
      <c r="AA79" s="2"/>
      <c r="AB79" s="433" t="s">
        <v>391</v>
      </c>
      <c r="AC79" s="433" t="s">
        <v>393</v>
      </c>
      <c r="AD79" s="433" t="s">
        <v>391</v>
      </c>
      <c r="AF79" s="434" t="s">
        <v>2311</v>
      </c>
      <c r="AG79" s="434" t="s">
        <v>2306</v>
      </c>
      <c r="AS79" s="2"/>
      <c r="AT79" s="2"/>
      <c r="AU79" s="2"/>
      <c r="AV79" s="2"/>
    </row>
    <row r="80" spans="1:61">
      <c r="A80" s="2" t="str">
        <f>'Reference Score Calculation'!B71</f>
        <v>JS1807</v>
      </c>
      <c r="B80" s="346" t="str">
        <f>'Reference Score Calculation'!B71</f>
        <v>JS1807</v>
      </c>
      <c r="C80" s="2" t="str">
        <f>'Reference Score Calculation'!E71</f>
        <v>理學士(生物醫學)</v>
      </c>
      <c r="D80" s="16">
        <f>'Reference Score Calculation'!U71</f>
        <v>30</v>
      </c>
      <c r="E80" s="16">
        <v>3</v>
      </c>
      <c r="F80" s="16">
        <v>3</v>
      </c>
      <c r="G80" s="16">
        <v>3</v>
      </c>
      <c r="H80" s="16">
        <v>2</v>
      </c>
      <c r="I80" s="16">
        <v>3</v>
      </c>
      <c r="J80" s="16">
        <v>3</v>
      </c>
      <c r="L80" s="90">
        <v>3</v>
      </c>
      <c r="M80" s="90">
        <v>3</v>
      </c>
      <c r="N80" s="90">
        <v>3</v>
      </c>
      <c r="O80" s="90">
        <v>1</v>
      </c>
      <c r="P80" s="90">
        <v>3</v>
      </c>
      <c r="Q80" s="90">
        <v>3</v>
      </c>
      <c r="S80" s="16">
        <f t="shared" si="15"/>
        <v>0</v>
      </c>
      <c r="T80" s="16">
        <f t="shared" si="16"/>
        <v>0</v>
      </c>
      <c r="U80" s="16">
        <f t="shared" si="18"/>
        <v>0</v>
      </c>
      <c r="V80" s="16">
        <f t="shared" si="17"/>
        <v>0</v>
      </c>
      <c r="W80" s="72">
        <f>IF(AQ65=0,0,IF(P80&gt;AQ65,0,1))</f>
        <v>0</v>
      </c>
      <c r="X80" s="72">
        <f>IF(AZ65=0,0,IF(Q80&gt;AZ65,0,1))</f>
        <v>0</v>
      </c>
      <c r="Z80" s="16">
        <f t="shared" si="20"/>
        <v>0</v>
      </c>
      <c r="AA80" s="2"/>
      <c r="AB80" s="433" t="s">
        <v>391</v>
      </c>
      <c r="AC80" s="433" t="s">
        <v>393</v>
      </c>
      <c r="AD80" s="433" t="s">
        <v>391</v>
      </c>
      <c r="AF80" s="434" t="s">
        <v>2311</v>
      </c>
      <c r="AG80" s="434" t="s">
        <v>2306</v>
      </c>
      <c r="AS80" s="2"/>
      <c r="AT80" s="2"/>
      <c r="AU80" s="2"/>
      <c r="AV80" s="2"/>
    </row>
    <row r="81" spans="1:44">
      <c r="B81" s="424" t="s">
        <v>222</v>
      </c>
      <c r="C81" s="360" t="s">
        <v>2318</v>
      </c>
      <c r="L81" s="2"/>
      <c r="M81" s="2"/>
      <c r="N81" s="2"/>
      <c r="O81" s="2"/>
      <c r="P81" s="2"/>
      <c r="Q81" s="2"/>
      <c r="Z81" s="2"/>
      <c r="AA81" s="2"/>
      <c r="AB81" s="2"/>
      <c r="AC81" s="2"/>
      <c r="AD81" s="2"/>
      <c r="AE81" s="2"/>
      <c r="AF81" s="2"/>
      <c r="AG81" s="2"/>
      <c r="AH81" s="2"/>
    </row>
    <row r="82" spans="1:44">
      <c r="B82" s="347" t="s">
        <v>104</v>
      </c>
      <c r="C82" s="11" t="s">
        <v>106</v>
      </c>
      <c r="D82" s="19" t="s">
        <v>36</v>
      </c>
      <c r="E82" s="19"/>
      <c r="F82" s="19"/>
      <c r="G82" s="19"/>
      <c r="H82" s="19"/>
      <c r="I82" s="19"/>
      <c r="J82" s="19"/>
      <c r="K82" s="19"/>
      <c r="L82" s="92" t="s">
        <v>111</v>
      </c>
      <c r="M82" s="92" t="s">
        <v>112</v>
      </c>
      <c r="N82" s="92" t="s">
        <v>113</v>
      </c>
      <c r="O82" s="19" t="s">
        <v>2251</v>
      </c>
      <c r="P82" s="92" t="s">
        <v>115</v>
      </c>
      <c r="Q82" s="92" t="s">
        <v>116</v>
      </c>
      <c r="R82" s="11"/>
      <c r="S82" s="19" t="s">
        <v>111</v>
      </c>
      <c r="T82" s="19" t="s">
        <v>112</v>
      </c>
      <c r="U82" s="19" t="s">
        <v>113</v>
      </c>
      <c r="V82" s="19" t="s">
        <v>2251</v>
      </c>
      <c r="W82" s="19" t="s">
        <v>115</v>
      </c>
      <c r="X82" s="19" t="s">
        <v>116</v>
      </c>
      <c r="Y82" s="51"/>
      <c r="Z82" s="19" t="s">
        <v>110</v>
      </c>
      <c r="AA82" s="2"/>
      <c r="AB82" s="19" t="s">
        <v>267</v>
      </c>
      <c r="AC82" s="19" t="s">
        <v>268</v>
      </c>
      <c r="AD82" s="19" t="s">
        <v>269</v>
      </c>
      <c r="AI82" s="121" t="s">
        <v>287</v>
      </c>
      <c r="AJ82" s="121" t="s">
        <v>390</v>
      </c>
      <c r="AK82" s="102"/>
      <c r="AL82" s="115"/>
      <c r="AM82" s="115"/>
      <c r="AN82" s="115"/>
      <c r="AO82" s="115"/>
      <c r="AP82" s="115"/>
      <c r="AQ82" s="115"/>
      <c r="AR82" s="115"/>
    </row>
    <row r="83" spans="1:44">
      <c r="A83" s="2" t="str">
        <f>'Reference Score Calculation'!B74</f>
        <v>JS2020</v>
      </c>
      <c r="B83" s="346" t="str">
        <f>'Reference Score Calculation'!B74</f>
        <v>JS2020</v>
      </c>
      <c r="C83" s="2" t="str">
        <f>'Reference Score Calculation'!E74</f>
        <v>文學士(榮譽) (中國語言文學 / 創意及專業寫作 / 英國語言文學 / 人文學 / 翻譯學)</v>
      </c>
      <c r="D83" s="16">
        <f>'Reference Score Calculation'!U74</f>
        <v>87</v>
      </c>
      <c r="E83" s="16">
        <v>3</v>
      </c>
      <c r="F83" s="16">
        <v>3</v>
      </c>
      <c r="G83" s="16">
        <v>2</v>
      </c>
      <c r="H83" s="16">
        <v>2</v>
      </c>
      <c r="I83" s="16">
        <v>3</v>
      </c>
      <c r="J83" s="16">
        <v>3</v>
      </c>
      <c r="L83" s="90">
        <v>3</v>
      </c>
      <c r="M83" s="90">
        <v>3</v>
      </c>
      <c r="N83" s="90">
        <v>2</v>
      </c>
      <c r="O83" s="90">
        <v>1</v>
      </c>
      <c r="P83" s="90">
        <v>3</v>
      </c>
      <c r="Q83" s="90">
        <v>3</v>
      </c>
      <c r="S83" s="16">
        <f>IF(L83&gt;L$3,0,1)</f>
        <v>0</v>
      </c>
      <c r="T83" s="16">
        <f>IF(M83&gt;M$3,0,1)</f>
        <v>0</v>
      </c>
      <c r="U83" s="16">
        <f>IF(N83&gt;N$3,0,1)</f>
        <v>0</v>
      </c>
      <c r="V83" s="16">
        <f>IF(O83&gt;O$3,0,1)</f>
        <v>0</v>
      </c>
      <c r="W83" s="16">
        <f>IF(P83&gt;LARGE($P$3:$U$3,1),0,1)</f>
        <v>0</v>
      </c>
      <c r="X83" s="16">
        <f>IF(Q83&gt;LARGE($P$3:$U$3,2),0,1)</f>
        <v>0</v>
      </c>
      <c r="Z83" s="16">
        <f>S83*T83*U83*V83*W83*X83</f>
        <v>0</v>
      </c>
      <c r="AA83" s="2"/>
      <c r="AB83" s="16" t="s">
        <v>391</v>
      </c>
      <c r="AC83" s="16" t="s">
        <v>2316</v>
      </c>
      <c r="AD83" s="16" t="s">
        <v>419</v>
      </c>
      <c r="AF83" s="2" t="s">
        <v>394</v>
      </c>
      <c r="AG83" s="2" t="s">
        <v>394</v>
      </c>
      <c r="AI83" s="116"/>
      <c r="AJ83" s="116"/>
      <c r="AK83" s="116"/>
      <c r="AL83" s="116"/>
      <c r="AM83" s="116"/>
      <c r="AN83" s="116"/>
      <c r="AO83" s="102"/>
      <c r="AP83" s="102"/>
      <c r="AQ83" s="102"/>
      <c r="AR83" s="102"/>
    </row>
    <row r="84" spans="1:44">
      <c r="A84" s="2" t="str">
        <f>'Reference Score Calculation'!B75</f>
        <v>JS2025</v>
      </c>
      <c r="B84" s="346" t="str">
        <f>'Reference Score Calculation'!B75</f>
        <v>JS2025</v>
      </c>
      <c r="C84" s="2" t="str">
        <f>'Reference Score Calculation'!E75</f>
        <v>宗教、哲學及倫理文學士(榮譽)</v>
      </c>
      <c r="D84" s="16">
        <f>'Reference Score Calculation'!U75</f>
        <v>11</v>
      </c>
      <c r="E84" s="16">
        <v>3</v>
      </c>
      <c r="F84" s="16">
        <v>3</v>
      </c>
      <c r="G84" s="16">
        <v>2</v>
      </c>
      <c r="H84" s="16">
        <v>2</v>
      </c>
      <c r="I84" s="16">
        <v>3</v>
      </c>
      <c r="J84" s="16">
        <v>3</v>
      </c>
      <c r="L84" s="90">
        <v>3</v>
      </c>
      <c r="M84" s="90">
        <v>3</v>
      </c>
      <c r="N84" s="90">
        <v>2</v>
      </c>
      <c r="O84" s="90">
        <v>1</v>
      </c>
      <c r="P84" s="90">
        <v>3</v>
      </c>
      <c r="Q84" s="90">
        <v>3</v>
      </c>
      <c r="S84" s="16">
        <f t="shared" ref="S84:S97" si="21">IF(L84&gt;L$3,0,1)</f>
        <v>0</v>
      </c>
      <c r="T84" s="16">
        <f t="shared" ref="T84:T97" si="22">IF(M84&gt;M$3,0,1)</f>
        <v>0</v>
      </c>
      <c r="U84" s="16">
        <f t="shared" ref="U84:U97" si="23">IF(N84&gt;N$3,0,1)</f>
        <v>0</v>
      </c>
      <c r="V84" s="16">
        <f t="shared" ref="V84:V97" si="24">IF(O84&gt;O$3,0,1)</f>
        <v>0</v>
      </c>
      <c r="W84" s="16">
        <f>IF(P84&gt;LARGE($P$3:$T$3,1),0,1)</f>
        <v>0</v>
      </c>
      <c r="X84" s="16">
        <f t="shared" ref="X84:X97" si="25">IF(Q84&gt;LARGE($P$3:$U$3,2),0,1)</f>
        <v>0</v>
      </c>
      <c r="Z84" s="16">
        <f t="shared" ref="Z84:Z103" si="26">S84*T84*U84*V84*W84*X84</f>
        <v>0</v>
      </c>
      <c r="AA84" s="2"/>
      <c r="AB84" s="16" t="s">
        <v>391</v>
      </c>
      <c r="AC84" s="16" t="s">
        <v>2316</v>
      </c>
      <c r="AD84" s="16" t="s">
        <v>419</v>
      </c>
      <c r="AF84" s="2" t="s">
        <v>394</v>
      </c>
      <c r="AG84" s="2" t="s">
        <v>394</v>
      </c>
      <c r="AI84" s="116"/>
      <c r="AJ84" s="116" t="str">
        <f>Q2</f>
        <v>請選擇第一選修科</v>
      </c>
      <c r="AK84" s="116" t="str">
        <f>R2</f>
        <v>請選擇第二選修科</v>
      </c>
      <c r="AL84" s="116" t="str">
        <f>S2</f>
        <v>請選擇第三選修科</v>
      </c>
      <c r="AM84" s="116" t="str">
        <f>T2</f>
        <v>請選擇第四選修科</v>
      </c>
      <c r="AN84" s="116"/>
      <c r="AO84" s="102"/>
      <c r="AP84" s="116" t="s">
        <v>413</v>
      </c>
      <c r="AQ84" s="116"/>
      <c r="AR84" s="102"/>
    </row>
    <row r="85" spans="1:44">
      <c r="A85" s="2" t="str">
        <f>'Reference Score Calculation'!B76</f>
        <v>JS2060</v>
      </c>
      <c r="B85" s="346" t="str">
        <f>'Reference Score Calculation'!B76</f>
        <v>JS2060</v>
      </c>
      <c r="C85" s="2" t="str">
        <f>'Reference Score Calculation'!E76</f>
        <v>文學士(榮譽) / 音樂學士(榮譽) (音樂 / 創意產業)</v>
      </c>
      <c r="D85" s="16">
        <f>'Reference Score Calculation'!U76</f>
        <v>38</v>
      </c>
      <c r="E85" s="16">
        <v>3</v>
      </c>
      <c r="F85" s="16">
        <v>3</v>
      </c>
      <c r="G85" s="16">
        <v>2</v>
      </c>
      <c r="H85" s="16">
        <v>2</v>
      </c>
      <c r="I85" s="16">
        <v>3</v>
      </c>
      <c r="J85" s="16">
        <v>3</v>
      </c>
      <c r="L85" s="90">
        <v>3</v>
      </c>
      <c r="M85" s="90">
        <v>3</v>
      </c>
      <c r="N85" s="90">
        <v>2</v>
      </c>
      <c r="O85" s="90">
        <v>1</v>
      </c>
      <c r="P85" s="90">
        <v>3</v>
      </c>
      <c r="Q85" s="90">
        <v>3</v>
      </c>
      <c r="S85" s="16">
        <f t="shared" si="21"/>
        <v>0</v>
      </c>
      <c r="T85" s="16">
        <f t="shared" si="22"/>
        <v>0</v>
      </c>
      <c r="U85" s="16">
        <f t="shared" si="23"/>
        <v>0</v>
      </c>
      <c r="V85" s="16">
        <f t="shared" si="24"/>
        <v>0</v>
      </c>
      <c r="W85" s="16">
        <f>IF(P85&gt;LARGE($P$3:$T$3,1),0,1)</f>
        <v>0</v>
      </c>
      <c r="X85" s="16">
        <f t="shared" si="25"/>
        <v>0</v>
      </c>
      <c r="Z85" s="16">
        <f t="shared" si="26"/>
        <v>0</v>
      </c>
      <c r="AB85" s="16" t="s">
        <v>391</v>
      </c>
      <c r="AC85" s="16" t="s">
        <v>2316</v>
      </c>
      <c r="AD85" s="16" t="s">
        <v>391</v>
      </c>
      <c r="AF85" s="2" t="s">
        <v>394</v>
      </c>
      <c r="AG85" s="2" t="s">
        <v>394</v>
      </c>
      <c r="AI85" s="116" t="s">
        <v>414</v>
      </c>
      <c r="AJ85" s="117">
        <f>IF(OR(Q2="化學",Q2="生物"),Q3,0)</f>
        <v>0</v>
      </c>
      <c r="AK85" s="117">
        <f>IF(OR(R2="化學",R2="生物"),R3,0)</f>
        <v>0</v>
      </c>
      <c r="AL85" s="117">
        <f>IF(OR(S2="化學",S2="生物"),S3,0)</f>
        <v>0</v>
      </c>
      <c r="AM85" s="117">
        <f>IF(OR(T2="化學",T2="生物"),T3,0)</f>
        <v>0</v>
      </c>
      <c r="AN85" s="116"/>
      <c r="AO85" s="116"/>
      <c r="AP85" s="117" t="str">
        <f>IF(AQ85&gt;0,INDEX(AJ84:AN84,MATCH(LARGE(AJ85:AN85,1),AJ85:AN85,0)),"無")</f>
        <v>無</v>
      </c>
      <c r="AQ85" s="117">
        <f>LARGE((AJ85:AN85),1)</f>
        <v>0</v>
      </c>
      <c r="AR85" s="102"/>
    </row>
    <row r="86" spans="1:44">
      <c r="A86" s="2" t="str">
        <f>'Reference Score Calculation'!B77</f>
        <v>JS2110</v>
      </c>
      <c r="B86" s="346" t="str">
        <f>'Reference Score Calculation'!B77</f>
        <v>JS2110</v>
      </c>
      <c r="C86" s="2" t="str">
        <f>'Reference Score Calculation'!E77</f>
        <v>工商管理學士(榮譽) - 會計學專修</v>
      </c>
      <c r="D86" s="16">
        <f>'Reference Score Calculation'!U77</f>
        <v>49</v>
      </c>
      <c r="E86" s="16">
        <v>3</v>
      </c>
      <c r="F86" s="16">
        <v>3</v>
      </c>
      <c r="G86" s="16">
        <v>2</v>
      </c>
      <c r="H86" s="16">
        <v>2</v>
      </c>
      <c r="I86" s="16">
        <v>3</v>
      </c>
      <c r="J86" s="16">
        <v>3</v>
      </c>
      <c r="L86" s="90">
        <v>3</v>
      </c>
      <c r="M86" s="90">
        <v>3</v>
      </c>
      <c r="N86" s="90">
        <v>2</v>
      </c>
      <c r="O86" s="90">
        <v>1</v>
      </c>
      <c r="P86" s="90">
        <v>3</v>
      </c>
      <c r="Q86" s="90">
        <v>3</v>
      </c>
      <c r="S86" s="16">
        <f t="shared" si="21"/>
        <v>0</v>
      </c>
      <c r="T86" s="16">
        <f t="shared" si="22"/>
        <v>0</v>
      </c>
      <c r="U86" s="16">
        <f t="shared" si="23"/>
        <v>0</v>
      </c>
      <c r="V86" s="16">
        <f t="shared" si="24"/>
        <v>0</v>
      </c>
      <c r="W86" s="16">
        <f>IF(P86&gt;LARGE($P$3:$T$3,1),0,1)</f>
        <v>0</v>
      </c>
      <c r="X86" s="16">
        <f t="shared" si="25"/>
        <v>0</v>
      </c>
      <c r="Z86" s="16">
        <f t="shared" si="26"/>
        <v>0</v>
      </c>
      <c r="AB86" s="16" t="s">
        <v>391</v>
      </c>
      <c r="AC86" s="16" t="s">
        <v>393</v>
      </c>
      <c r="AD86" s="16" t="s">
        <v>391</v>
      </c>
      <c r="AF86" s="2" t="s">
        <v>394</v>
      </c>
      <c r="AG86" s="2" t="s">
        <v>394</v>
      </c>
      <c r="AI86" s="116"/>
      <c r="AJ86" s="116"/>
      <c r="AK86" s="116"/>
      <c r="AL86" s="116"/>
      <c r="AM86" s="116"/>
      <c r="AN86" s="116"/>
      <c r="AO86" s="116"/>
      <c r="AP86" s="102"/>
      <c r="AQ86" s="102"/>
      <c r="AR86" s="102"/>
    </row>
    <row r="87" spans="1:44">
      <c r="A87" s="2" t="str">
        <f>'Reference Score Calculation'!B78</f>
        <v>JS2120</v>
      </c>
      <c r="B87" s="346" t="str">
        <f>'Reference Score Calculation'!B78</f>
        <v>JS2120</v>
      </c>
      <c r="C87" s="2" t="str">
        <f>'Reference Score Calculation'!E78</f>
        <v>工商管理學士(榮譽)</v>
      </c>
      <c r="D87" s="16">
        <f>'Reference Score Calculation'!U78</f>
        <v>185</v>
      </c>
      <c r="E87" s="16">
        <v>3</v>
      </c>
      <c r="F87" s="16">
        <v>3</v>
      </c>
      <c r="G87" s="16">
        <v>2</v>
      </c>
      <c r="H87" s="16">
        <v>2</v>
      </c>
      <c r="I87" s="16">
        <v>3</v>
      </c>
      <c r="J87" s="16">
        <v>3</v>
      </c>
      <c r="L87" s="90">
        <v>3</v>
      </c>
      <c r="M87" s="90">
        <v>3</v>
      </c>
      <c r="N87" s="90">
        <v>2</v>
      </c>
      <c r="O87" s="90">
        <v>1</v>
      </c>
      <c r="P87" s="90">
        <v>3</v>
      </c>
      <c r="Q87" s="90">
        <v>3</v>
      </c>
      <c r="S87" s="16">
        <f t="shared" si="21"/>
        <v>0</v>
      </c>
      <c r="T87" s="16">
        <f t="shared" si="22"/>
        <v>0</v>
      </c>
      <c r="U87" s="16">
        <f t="shared" si="23"/>
        <v>0</v>
      </c>
      <c r="V87" s="16">
        <f t="shared" si="24"/>
        <v>0</v>
      </c>
      <c r="W87" s="16">
        <f>IF(P87&gt;LARGE($P$3:$T$3,1),0,1)</f>
        <v>0</v>
      </c>
      <c r="X87" s="16">
        <f t="shared" si="25"/>
        <v>0</v>
      </c>
      <c r="Z87" s="16">
        <f t="shared" si="26"/>
        <v>0</v>
      </c>
      <c r="AB87" s="16" t="s">
        <v>391</v>
      </c>
      <c r="AC87" s="16" t="s">
        <v>393</v>
      </c>
      <c r="AD87" s="16" t="s">
        <v>391</v>
      </c>
      <c r="AF87" s="2" t="s">
        <v>394</v>
      </c>
      <c r="AG87" s="2" t="s">
        <v>394</v>
      </c>
      <c r="AI87" s="116"/>
      <c r="AJ87" s="116" t="str">
        <f>Q2</f>
        <v>請選擇第一選修科</v>
      </c>
      <c r="AK87" s="116" t="str">
        <f>R2</f>
        <v>請選擇第二選修科</v>
      </c>
      <c r="AL87" s="116" t="str">
        <f>S2</f>
        <v>請選擇第三選修科</v>
      </c>
      <c r="AM87" s="116" t="str">
        <f>T2</f>
        <v>請選擇第四選修科</v>
      </c>
      <c r="AN87" s="116"/>
      <c r="AO87" s="102"/>
      <c r="AP87" s="116" t="s">
        <v>415</v>
      </c>
      <c r="AQ87" s="116"/>
      <c r="AR87" s="102"/>
    </row>
    <row r="88" spans="1:44">
      <c r="A88" s="2" t="str">
        <f>'Reference Score Calculation'!B79</f>
        <v>JS2310</v>
      </c>
      <c r="B88" s="346" t="str">
        <f>'Reference Score Calculation'!B79</f>
        <v>JS2310</v>
      </c>
      <c r="C88" s="2" t="str">
        <f>'Reference Score Calculation'!E79</f>
        <v>傳理學學士(榮譽) (新聞與數碼媒體 / 公關及廣告)</v>
      </c>
      <c r="D88" s="16">
        <f>'Reference Score Calculation'!U79</f>
        <v>70</v>
      </c>
      <c r="E88" s="16">
        <v>3</v>
      </c>
      <c r="F88" s="16">
        <v>3</v>
      </c>
      <c r="G88" s="16">
        <v>2</v>
      </c>
      <c r="H88" s="16">
        <v>2</v>
      </c>
      <c r="I88" s="16">
        <v>3</v>
      </c>
      <c r="J88" s="16">
        <v>3</v>
      </c>
      <c r="L88" s="90">
        <v>3</v>
      </c>
      <c r="M88" s="90">
        <v>3</v>
      </c>
      <c r="N88" s="90">
        <v>2</v>
      </c>
      <c r="O88" s="90">
        <v>1</v>
      </c>
      <c r="P88" s="90">
        <v>3</v>
      </c>
      <c r="Q88" s="90">
        <v>3</v>
      </c>
      <c r="S88" s="16">
        <f t="shared" si="21"/>
        <v>0</v>
      </c>
      <c r="T88" s="16">
        <f t="shared" si="22"/>
        <v>0</v>
      </c>
      <c r="U88" s="16">
        <f t="shared" si="23"/>
        <v>0</v>
      </c>
      <c r="V88" s="16">
        <f t="shared" si="24"/>
        <v>0</v>
      </c>
      <c r="W88" s="16">
        <f t="shared" ref="W88:W97" si="27">IF(P88&gt;LARGE($P$3:$U$3,1),0,1)</f>
        <v>0</v>
      </c>
      <c r="X88" s="16">
        <f t="shared" si="25"/>
        <v>0</v>
      </c>
      <c r="Z88" s="16">
        <f t="shared" si="26"/>
        <v>0</v>
      </c>
      <c r="AB88" s="16" t="s">
        <v>391</v>
      </c>
      <c r="AC88" s="16" t="s">
        <v>2316</v>
      </c>
      <c r="AD88" s="16" t="s">
        <v>391</v>
      </c>
      <c r="AF88" s="2" t="s">
        <v>394</v>
      </c>
      <c r="AG88" s="2" t="s">
        <v>394</v>
      </c>
      <c r="AI88" s="116" t="s">
        <v>416</v>
      </c>
      <c r="AJ88" s="117">
        <f>IF(Q2="化學",Q3,0)</f>
        <v>0</v>
      </c>
      <c r="AK88" s="117">
        <f>IF(R2="化學",R3,0)</f>
        <v>0</v>
      </c>
      <c r="AL88" s="117">
        <f>IF(S2="化學",S3,0)</f>
        <v>0</v>
      </c>
      <c r="AM88" s="117">
        <f>IF(T2="化學",T3,0)</f>
        <v>0</v>
      </c>
      <c r="AN88" s="116"/>
      <c r="AO88" s="116"/>
      <c r="AP88" s="117" t="str">
        <f>IF(AQ88&gt;0,INDEX(AJ87:AN87,MATCH(LARGE(AJ88:AN88,1),AJ88:AN88,0)),"無")</f>
        <v>無</v>
      </c>
      <c r="AQ88" s="117">
        <f>LARGE((AJ88:AN88),1)</f>
        <v>0</v>
      </c>
      <c r="AR88" s="102"/>
    </row>
    <row r="89" spans="1:44">
      <c r="A89" s="2" t="str">
        <f>'Reference Score Calculation'!B80</f>
        <v>JS2330</v>
      </c>
      <c r="B89" s="346" t="str">
        <f>'Reference Score Calculation'!B80</f>
        <v>JS2330</v>
      </c>
      <c r="C89" s="2" t="str">
        <f>'Reference Score Calculation'!E80</f>
        <v>電影電視文學士(榮譽)</v>
      </c>
      <c r="D89" s="16">
        <f>'Reference Score Calculation'!U80</f>
        <v>18</v>
      </c>
      <c r="E89" s="16">
        <v>3</v>
      </c>
      <c r="F89" s="16">
        <v>3</v>
      </c>
      <c r="G89" s="16">
        <v>2</v>
      </c>
      <c r="H89" s="16">
        <v>2</v>
      </c>
      <c r="I89" s="16">
        <v>3</v>
      </c>
      <c r="J89" s="16">
        <v>3</v>
      </c>
      <c r="L89" s="90">
        <v>3</v>
      </c>
      <c r="M89" s="90">
        <v>3</v>
      </c>
      <c r="N89" s="90">
        <v>2</v>
      </c>
      <c r="O89" s="90">
        <v>1</v>
      </c>
      <c r="P89" s="90">
        <v>3</v>
      </c>
      <c r="Q89" s="90">
        <v>3</v>
      </c>
      <c r="S89" s="16">
        <f t="shared" si="21"/>
        <v>0</v>
      </c>
      <c r="T89" s="16">
        <f t="shared" si="22"/>
        <v>0</v>
      </c>
      <c r="U89" s="16">
        <f t="shared" si="23"/>
        <v>0</v>
      </c>
      <c r="V89" s="16">
        <f t="shared" si="24"/>
        <v>0</v>
      </c>
      <c r="W89" s="16">
        <f t="shared" si="27"/>
        <v>0</v>
      </c>
      <c r="X89" s="16">
        <f t="shared" si="25"/>
        <v>0</v>
      </c>
      <c r="Z89" s="16">
        <f t="shared" si="26"/>
        <v>0</v>
      </c>
      <c r="AB89" s="16" t="s">
        <v>391</v>
      </c>
      <c r="AC89" s="16" t="s">
        <v>2316</v>
      </c>
      <c r="AD89" s="16" t="s">
        <v>391</v>
      </c>
      <c r="AF89" s="2" t="s">
        <v>394</v>
      </c>
      <c r="AG89" s="2" t="s">
        <v>394</v>
      </c>
      <c r="AI89" s="116"/>
      <c r="AJ89" s="116"/>
      <c r="AK89" s="116"/>
      <c r="AL89" s="116"/>
      <c r="AM89" s="116"/>
      <c r="AN89" s="116"/>
      <c r="AO89" s="116"/>
      <c r="AP89" s="102"/>
      <c r="AQ89" s="102"/>
      <c r="AR89" s="102"/>
    </row>
    <row r="90" spans="1:44">
      <c r="A90" s="2" t="str">
        <f>'Reference Score Calculation'!B81</f>
        <v>JS2340</v>
      </c>
      <c r="B90" s="346" t="str">
        <f>'Reference Score Calculation'!B81</f>
        <v>JS2340</v>
      </c>
      <c r="C90" s="2" t="str">
        <f>'Reference Score Calculation'!E81</f>
        <v>環球螢幕演技藝術學士(榮譽)</v>
      </c>
      <c r="D90" s="16">
        <f>'Reference Score Calculation'!U81</f>
        <v>8</v>
      </c>
      <c r="E90" s="16">
        <v>3</v>
      </c>
      <c r="F90" s="16">
        <v>3</v>
      </c>
      <c r="G90" s="16">
        <v>2</v>
      </c>
      <c r="H90" s="16">
        <v>2</v>
      </c>
      <c r="I90" s="16">
        <v>3</v>
      </c>
      <c r="J90" s="16">
        <v>3</v>
      </c>
      <c r="L90" s="90">
        <v>3</v>
      </c>
      <c r="M90" s="90">
        <v>3</v>
      </c>
      <c r="N90" s="90">
        <v>2</v>
      </c>
      <c r="O90" s="90">
        <v>1</v>
      </c>
      <c r="P90" s="90">
        <v>3</v>
      </c>
      <c r="Q90" s="90">
        <v>3</v>
      </c>
      <c r="S90" s="16">
        <f t="shared" si="21"/>
        <v>0</v>
      </c>
      <c r="T90" s="16">
        <f t="shared" si="22"/>
        <v>0</v>
      </c>
      <c r="U90" s="16">
        <f t="shared" si="23"/>
        <v>0</v>
      </c>
      <c r="V90" s="16">
        <f t="shared" si="24"/>
        <v>0</v>
      </c>
      <c r="W90" s="16">
        <f t="shared" si="27"/>
        <v>0</v>
      </c>
      <c r="X90" s="16">
        <f t="shared" si="25"/>
        <v>0</v>
      </c>
      <c r="Z90" s="16">
        <f t="shared" si="26"/>
        <v>0</v>
      </c>
      <c r="AB90" s="16" t="s">
        <v>391</v>
      </c>
      <c r="AC90" s="16" t="s">
        <v>2316</v>
      </c>
      <c r="AD90" s="16" t="s">
        <v>391</v>
      </c>
      <c r="AF90" s="2" t="s">
        <v>394</v>
      </c>
      <c r="AG90" s="2" t="s">
        <v>394</v>
      </c>
    </row>
    <row r="91" spans="1:44">
      <c r="A91" s="2" t="str">
        <f>'Reference Score Calculation'!B82</f>
        <v>JS2370</v>
      </c>
      <c r="B91" s="346" t="str">
        <f>'Reference Score Calculation'!B82</f>
        <v>JS2370</v>
      </c>
      <c r="C91" s="2" t="str">
        <f>'Reference Score Calculation'!E82</f>
        <v>傳理學學士(榮譽) - 遊戲設計與動畫主修</v>
      </c>
      <c r="D91" s="16">
        <f>'Reference Score Calculation'!U82</f>
        <v>20</v>
      </c>
      <c r="E91" s="16">
        <v>3</v>
      </c>
      <c r="F91" s="16">
        <v>3</v>
      </c>
      <c r="G91" s="16">
        <v>2</v>
      </c>
      <c r="H91" s="16">
        <v>2</v>
      </c>
      <c r="I91" s="16">
        <v>3</v>
      </c>
      <c r="J91" s="16">
        <v>3</v>
      </c>
      <c r="L91" s="90">
        <v>3</v>
      </c>
      <c r="M91" s="90">
        <v>3</v>
      </c>
      <c r="N91" s="90">
        <v>2</v>
      </c>
      <c r="O91" s="90">
        <v>1</v>
      </c>
      <c r="P91" s="90">
        <v>3</v>
      </c>
      <c r="Q91" s="90">
        <v>3</v>
      </c>
      <c r="S91" s="16">
        <f t="shared" si="21"/>
        <v>0</v>
      </c>
      <c r="T91" s="16">
        <f t="shared" si="22"/>
        <v>0</v>
      </c>
      <c r="U91" s="16">
        <f t="shared" si="23"/>
        <v>0</v>
      </c>
      <c r="V91" s="16">
        <f t="shared" si="24"/>
        <v>0</v>
      </c>
      <c r="W91" s="16">
        <f t="shared" si="27"/>
        <v>0</v>
      </c>
      <c r="X91" s="16">
        <f>IF(Q91&gt;LARGE($P$3:$U$3,2),0,1)</f>
        <v>0</v>
      </c>
      <c r="Z91" s="16">
        <f t="shared" si="26"/>
        <v>0</v>
      </c>
      <c r="AB91" s="16" t="s">
        <v>391</v>
      </c>
      <c r="AC91" s="16" t="s">
        <v>2316</v>
      </c>
      <c r="AD91" s="16" t="s">
        <v>391</v>
      </c>
      <c r="AF91" s="2" t="s">
        <v>394</v>
      </c>
      <c r="AG91" s="2" t="s">
        <v>394</v>
      </c>
    </row>
    <row r="92" spans="1:44">
      <c r="A92" s="2" t="str">
        <f>'Reference Score Calculation'!B83</f>
        <v>JS2410</v>
      </c>
      <c r="B92" s="346" t="str">
        <f>'Reference Score Calculation'!B83</f>
        <v>JS2410</v>
      </c>
      <c r="C92" s="2" t="str">
        <f>'Reference Score Calculation'!E83</f>
        <v>中醫學學士及生物醫學理學士(榮譽)</v>
      </c>
      <c r="D92" s="16">
        <f>'Reference Score Calculation'!U83</f>
        <v>37</v>
      </c>
      <c r="E92" s="16">
        <v>3</v>
      </c>
      <c r="F92" s="16">
        <v>3</v>
      </c>
      <c r="G92" s="16">
        <v>2</v>
      </c>
      <c r="H92" s="16">
        <v>2</v>
      </c>
      <c r="I92" s="16">
        <v>3</v>
      </c>
      <c r="J92" s="16">
        <v>3</v>
      </c>
      <c r="L92" s="90">
        <v>3</v>
      </c>
      <c r="M92" s="90">
        <v>3</v>
      </c>
      <c r="N92" s="90">
        <v>2</v>
      </c>
      <c r="O92" s="90">
        <v>1</v>
      </c>
      <c r="P92" s="90">
        <v>3</v>
      </c>
      <c r="Q92" s="90">
        <v>3</v>
      </c>
      <c r="S92" s="16">
        <f t="shared" si="21"/>
        <v>0</v>
      </c>
      <c r="T92" s="16">
        <f t="shared" si="22"/>
        <v>0</v>
      </c>
      <c r="U92" s="16">
        <f t="shared" si="23"/>
        <v>0</v>
      </c>
      <c r="V92" s="16">
        <f t="shared" si="24"/>
        <v>0</v>
      </c>
      <c r="W92" s="72">
        <f>IF(AQ85=0,0,IF(P92&gt;AQ85,0,1))</f>
        <v>0</v>
      </c>
      <c r="X92" s="16">
        <f>IF(Q92&gt;LARGE($P$3:$T$3,2),0,1)</f>
        <v>0</v>
      </c>
      <c r="Z92" s="16">
        <f t="shared" si="26"/>
        <v>0</v>
      </c>
      <c r="AB92" s="16" t="s">
        <v>391</v>
      </c>
      <c r="AC92" s="16" t="s">
        <v>393</v>
      </c>
      <c r="AD92" s="16" t="s">
        <v>393</v>
      </c>
      <c r="AF92" s="21" t="s">
        <v>417</v>
      </c>
      <c r="AG92" s="2" t="s">
        <v>394</v>
      </c>
    </row>
    <row r="93" spans="1:44">
      <c r="A93" s="2" t="str">
        <f>'Reference Score Calculation'!B84</f>
        <v>JS2420</v>
      </c>
      <c r="B93" s="346" t="str">
        <f>'Reference Score Calculation'!B84</f>
        <v>JS2420</v>
      </c>
      <c r="C93" s="2" t="str">
        <f>'Reference Score Calculation'!E84</f>
        <v>中藥學學士(榮譽)</v>
      </c>
      <c r="D93" s="16">
        <f>'Reference Score Calculation'!U84</f>
        <v>23</v>
      </c>
      <c r="E93" s="16">
        <v>3</v>
      </c>
      <c r="F93" s="16">
        <v>3</v>
      </c>
      <c r="G93" s="16">
        <v>2</v>
      </c>
      <c r="H93" s="16">
        <v>2</v>
      </c>
      <c r="I93" s="16">
        <v>3</v>
      </c>
      <c r="J93" s="16">
        <v>3</v>
      </c>
      <c r="L93" s="90">
        <v>3</v>
      </c>
      <c r="M93" s="90">
        <v>3</v>
      </c>
      <c r="N93" s="90">
        <v>2</v>
      </c>
      <c r="O93" s="90">
        <v>1</v>
      </c>
      <c r="P93" s="90">
        <v>3</v>
      </c>
      <c r="Q93" s="90">
        <v>3</v>
      </c>
      <c r="S93" s="16">
        <f t="shared" si="21"/>
        <v>0</v>
      </c>
      <c r="T93" s="16">
        <f t="shared" si="22"/>
        <v>0</v>
      </c>
      <c r="U93" s="16">
        <f t="shared" si="23"/>
        <v>0</v>
      </c>
      <c r="V93" s="16">
        <f t="shared" si="24"/>
        <v>0</v>
      </c>
      <c r="W93" s="72">
        <f>IF(AQ88=0,0,IF(P93&gt;AQ88,0,1))</f>
        <v>0</v>
      </c>
      <c r="X93" s="16">
        <f>IF(Q93&gt;LARGE($P$3:$T$3,2),0,1)</f>
        <v>0</v>
      </c>
      <c r="Z93" s="16">
        <f t="shared" si="26"/>
        <v>0</v>
      </c>
      <c r="AB93" s="16" t="s">
        <v>391</v>
      </c>
      <c r="AC93" s="16" t="s">
        <v>393</v>
      </c>
      <c r="AD93" s="16" t="s">
        <v>393</v>
      </c>
      <c r="AF93" s="21" t="s">
        <v>418</v>
      </c>
      <c r="AG93" s="2" t="s">
        <v>394</v>
      </c>
    </row>
    <row r="94" spans="1:44">
      <c r="A94" s="2" t="str">
        <f>'Reference Score Calculation'!B85</f>
        <v>JS2510</v>
      </c>
      <c r="B94" s="346" t="str">
        <f>'Reference Score Calculation'!B85</f>
        <v>JS2510</v>
      </c>
      <c r="C94" s="2" t="str">
        <f>'Reference Score Calculation'!E85</f>
        <v>理學士(榮譽)</v>
      </c>
      <c r="D94" s="16">
        <f>'Reference Score Calculation'!U85</f>
        <v>197</v>
      </c>
      <c r="E94" s="16">
        <v>3</v>
      </c>
      <c r="F94" s="16">
        <v>3</v>
      </c>
      <c r="G94" s="16">
        <v>2</v>
      </c>
      <c r="H94" s="16">
        <v>2</v>
      </c>
      <c r="I94" s="16">
        <v>3</v>
      </c>
      <c r="J94" s="16">
        <v>3</v>
      </c>
      <c r="L94" s="90">
        <v>3</v>
      </c>
      <c r="M94" s="90">
        <v>3</v>
      </c>
      <c r="N94" s="90">
        <v>2</v>
      </c>
      <c r="O94" s="90">
        <v>1</v>
      </c>
      <c r="P94" s="90">
        <v>3</v>
      </c>
      <c r="Q94" s="90">
        <v>3</v>
      </c>
      <c r="S94" s="16">
        <f t="shared" si="21"/>
        <v>0</v>
      </c>
      <c r="T94" s="16">
        <f t="shared" si="22"/>
        <v>0</v>
      </c>
      <c r="U94" s="16">
        <f t="shared" si="23"/>
        <v>0</v>
      </c>
      <c r="V94" s="16">
        <f t="shared" si="24"/>
        <v>0</v>
      </c>
      <c r="W94" s="16">
        <f t="shared" si="27"/>
        <v>0</v>
      </c>
      <c r="X94" s="16">
        <f>IF(Q94&gt;LARGE($P$3:$U$3,2),0,1)</f>
        <v>0</v>
      </c>
      <c r="Z94" s="16">
        <f t="shared" si="26"/>
        <v>0</v>
      </c>
      <c r="AB94" s="16" t="s">
        <v>391</v>
      </c>
      <c r="AC94" s="16" t="s">
        <v>2316</v>
      </c>
      <c r="AD94" s="16" t="s">
        <v>391</v>
      </c>
      <c r="AF94" s="2" t="s">
        <v>394</v>
      </c>
      <c r="AG94" s="2" t="s">
        <v>394</v>
      </c>
    </row>
    <row r="95" spans="1:44">
      <c r="A95" s="2" t="str">
        <f>'Reference Score Calculation'!B86</f>
        <v>JS2610</v>
      </c>
      <c r="B95" s="346" t="str">
        <f>'Reference Score Calculation'!B86</f>
        <v>JS2610</v>
      </c>
      <c r="C95" s="2" t="str">
        <f>'Reference Score Calculation'!E86</f>
        <v>文學士(榮譽) / 社會科學學士(榮譽) (歐洲研究 [法文/德文] / 地理 / 全球及中國研究 / 政治及國際關係學 / 歷史 / 社會學)</v>
      </c>
      <c r="D95" s="16">
        <f>'Reference Score Calculation'!U86</f>
        <v>122</v>
      </c>
      <c r="E95" s="16">
        <v>3</v>
      </c>
      <c r="F95" s="16">
        <v>3</v>
      </c>
      <c r="G95" s="16">
        <v>2</v>
      </c>
      <c r="H95" s="16">
        <v>2</v>
      </c>
      <c r="I95" s="16">
        <v>3</v>
      </c>
      <c r="J95" s="16">
        <v>3</v>
      </c>
      <c r="L95" s="90">
        <v>3</v>
      </c>
      <c r="M95" s="90">
        <v>3</v>
      </c>
      <c r="N95" s="90">
        <v>2</v>
      </c>
      <c r="O95" s="90">
        <v>1</v>
      </c>
      <c r="P95" s="90">
        <v>3</v>
      </c>
      <c r="Q95" s="90">
        <v>3</v>
      </c>
      <c r="S95" s="16">
        <f t="shared" si="21"/>
        <v>0</v>
      </c>
      <c r="T95" s="16">
        <f t="shared" si="22"/>
        <v>0</v>
      </c>
      <c r="U95" s="16">
        <f t="shared" si="23"/>
        <v>0</v>
      </c>
      <c r="V95" s="16">
        <f t="shared" si="24"/>
        <v>0</v>
      </c>
      <c r="W95" s="16">
        <f t="shared" si="27"/>
        <v>0</v>
      </c>
      <c r="X95" s="16">
        <f t="shared" si="25"/>
        <v>0</v>
      </c>
      <c r="Z95" s="16">
        <f t="shared" si="26"/>
        <v>0</v>
      </c>
      <c r="AB95" s="16" t="s">
        <v>391</v>
      </c>
      <c r="AC95" s="16" t="s">
        <v>2316</v>
      </c>
      <c r="AD95" s="16" t="s">
        <v>393</v>
      </c>
      <c r="AF95" s="2" t="s">
        <v>394</v>
      </c>
      <c r="AG95" s="2" t="s">
        <v>394</v>
      </c>
    </row>
    <row r="96" spans="1:44">
      <c r="A96" s="2" t="str">
        <f>'Reference Score Calculation'!B87</f>
        <v>JS2620</v>
      </c>
      <c r="B96" s="346" t="str">
        <f>'Reference Score Calculation'!B87</f>
        <v>JS2620</v>
      </c>
      <c r="C96" s="2" t="str">
        <f>'Reference Score Calculation'!E87</f>
        <v>體育及康樂管理文學士(榮譽)</v>
      </c>
      <c r="D96" s="16">
        <f>'Reference Score Calculation'!U87</f>
        <v>35</v>
      </c>
      <c r="E96" s="16">
        <v>3</v>
      </c>
      <c r="F96" s="16">
        <v>3</v>
      </c>
      <c r="G96" s="16">
        <v>2</v>
      </c>
      <c r="H96" s="16">
        <v>2</v>
      </c>
      <c r="I96" s="16">
        <v>3</v>
      </c>
      <c r="J96" s="16">
        <v>3</v>
      </c>
      <c r="L96" s="90">
        <v>3</v>
      </c>
      <c r="M96" s="90">
        <v>3</v>
      </c>
      <c r="N96" s="90">
        <v>2</v>
      </c>
      <c r="O96" s="90">
        <v>1</v>
      </c>
      <c r="P96" s="90">
        <v>3</v>
      </c>
      <c r="Q96" s="90">
        <v>3</v>
      </c>
      <c r="S96" s="16">
        <f t="shared" si="21"/>
        <v>0</v>
      </c>
      <c r="T96" s="16">
        <f t="shared" si="22"/>
        <v>0</v>
      </c>
      <c r="U96" s="16">
        <f t="shared" si="23"/>
        <v>0</v>
      </c>
      <c r="V96" s="16">
        <f t="shared" si="24"/>
        <v>0</v>
      </c>
      <c r="W96" s="16">
        <f t="shared" si="27"/>
        <v>0</v>
      </c>
      <c r="X96" s="16">
        <f t="shared" si="25"/>
        <v>0</v>
      </c>
      <c r="Z96" s="16">
        <f t="shared" si="26"/>
        <v>0</v>
      </c>
      <c r="AB96" s="16" t="s">
        <v>391</v>
      </c>
      <c r="AC96" s="16" t="s">
        <v>421</v>
      </c>
      <c r="AD96" s="16" t="s">
        <v>391</v>
      </c>
      <c r="AF96" s="2" t="s">
        <v>394</v>
      </c>
      <c r="AG96" s="2" t="s">
        <v>394</v>
      </c>
    </row>
    <row r="97" spans="1:45">
      <c r="A97" s="2" t="str">
        <f>'Reference Score Calculation'!B88</f>
        <v>JS2660</v>
      </c>
      <c r="B97" s="346" t="str">
        <f>'Reference Score Calculation'!B88</f>
        <v>JS2660</v>
      </c>
      <c r="C97" s="2" t="str">
        <f>'Reference Score Calculation'!E88</f>
        <v>社會工作學士(榮譽)</v>
      </c>
      <c r="D97" s="16">
        <f>'Reference Score Calculation'!U88</f>
        <v>30</v>
      </c>
      <c r="E97" s="16">
        <v>3</v>
      </c>
      <c r="F97" s="16">
        <v>3</v>
      </c>
      <c r="G97" s="16">
        <v>2</v>
      </c>
      <c r="H97" s="16">
        <v>2</v>
      </c>
      <c r="I97" s="16">
        <v>3</v>
      </c>
      <c r="J97" s="16">
        <v>3</v>
      </c>
      <c r="L97" s="90">
        <v>3</v>
      </c>
      <c r="M97" s="90">
        <v>3</v>
      </c>
      <c r="N97" s="90">
        <v>2</v>
      </c>
      <c r="O97" s="90">
        <v>1</v>
      </c>
      <c r="P97" s="90">
        <v>3</v>
      </c>
      <c r="Q97" s="90">
        <v>3</v>
      </c>
      <c r="S97" s="16">
        <f t="shared" si="21"/>
        <v>0</v>
      </c>
      <c r="T97" s="16">
        <f t="shared" si="22"/>
        <v>0</v>
      </c>
      <c r="U97" s="16">
        <f t="shared" si="23"/>
        <v>0</v>
      </c>
      <c r="V97" s="16">
        <f t="shared" si="24"/>
        <v>0</v>
      </c>
      <c r="W97" s="16">
        <f t="shared" si="27"/>
        <v>0</v>
      </c>
      <c r="X97" s="16">
        <f t="shared" si="25"/>
        <v>0</v>
      </c>
      <c r="Z97" s="16">
        <f t="shared" si="26"/>
        <v>0</v>
      </c>
      <c r="AB97" s="16" t="s">
        <v>391</v>
      </c>
      <c r="AC97" s="16" t="s">
        <v>2316</v>
      </c>
      <c r="AD97" s="16" t="s">
        <v>391</v>
      </c>
      <c r="AF97" s="2" t="s">
        <v>394</v>
      </c>
      <c r="AG97" s="2" t="s">
        <v>394</v>
      </c>
    </row>
    <row r="98" spans="1:45">
      <c r="A98" s="2" t="str">
        <f>'Reference Score Calculation'!B89</f>
        <v>JS2810</v>
      </c>
      <c r="B98" s="346" t="str">
        <f>'Reference Score Calculation'!B89</f>
        <v>JS2810</v>
      </c>
      <c r="C98" s="2" t="str">
        <f>'Reference Score Calculation'!E89</f>
        <v>視覺藝術文學士(榮譽)</v>
      </c>
      <c r="D98" s="16">
        <f>'Reference Score Calculation'!U89</f>
        <v>35</v>
      </c>
      <c r="E98" s="16">
        <v>3</v>
      </c>
      <c r="F98" s="16">
        <v>3</v>
      </c>
      <c r="G98" s="16">
        <v>2</v>
      </c>
      <c r="H98" s="16">
        <v>2</v>
      </c>
      <c r="I98" s="16">
        <v>3</v>
      </c>
      <c r="J98" s="16">
        <v>3</v>
      </c>
      <c r="L98" s="90">
        <v>3</v>
      </c>
      <c r="M98" s="90">
        <v>3</v>
      </c>
      <c r="N98" s="90">
        <v>2</v>
      </c>
      <c r="O98" s="90">
        <v>1</v>
      </c>
      <c r="P98" s="90">
        <v>3</v>
      </c>
      <c r="Q98" s="90">
        <v>3</v>
      </c>
      <c r="S98" s="16">
        <f t="shared" ref="S98:S103" si="28">IF(L98&gt;L$3,0,1)</f>
        <v>0</v>
      </c>
      <c r="T98" s="16">
        <f t="shared" ref="T98:T103" si="29">IF(M98&gt;M$3,0,1)</f>
        <v>0</v>
      </c>
      <c r="U98" s="16">
        <f t="shared" ref="U98:U103" si="30">IF(N98&gt;N$3,0,1)</f>
        <v>0</v>
      </c>
      <c r="V98" s="16">
        <f t="shared" ref="V98:V103" si="31">IF(O98&gt;O$3,0,1)</f>
        <v>0</v>
      </c>
      <c r="W98" s="16">
        <f t="shared" ref="W98:W104" si="32">IF(P98&gt;LARGE($P$3:$U$3,1),0,1)</f>
        <v>0</v>
      </c>
      <c r="X98" s="16">
        <f t="shared" ref="X98:X103" si="33">IF(Q98&gt;LARGE($P$3:$U$3,2),0,1)</f>
        <v>0</v>
      </c>
      <c r="Z98" s="16">
        <f t="shared" si="26"/>
        <v>0</v>
      </c>
      <c r="AB98" s="16" t="s">
        <v>391</v>
      </c>
      <c r="AC98" s="16" t="s">
        <v>2316</v>
      </c>
      <c r="AD98" s="16" t="s">
        <v>391</v>
      </c>
      <c r="AF98" s="2" t="s">
        <v>394</v>
      </c>
      <c r="AG98" s="2" t="s">
        <v>394</v>
      </c>
    </row>
    <row r="99" spans="1:45">
      <c r="A99" s="2" t="str">
        <f>'Reference Score Calculation'!B90</f>
        <v>JS2910</v>
      </c>
      <c r="B99" s="346" t="str">
        <f>'Reference Score Calculation'!B90</f>
        <v>JS2910</v>
      </c>
      <c r="C99" s="2" t="str">
        <f>'Reference Score Calculation'!E90</f>
        <v>商業計算及數據分析理學士(榮譽)</v>
      </c>
      <c r="D99" s="16">
        <f>'Reference Score Calculation'!U90</f>
        <v>15</v>
      </c>
      <c r="E99" s="16">
        <v>3</v>
      </c>
      <c r="F99" s="16">
        <v>3</v>
      </c>
      <c r="G99" s="16">
        <v>2</v>
      </c>
      <c r="H99" s="16">
        <v>2</v>
      </c>
      <c r="I99" s="16">
        <v>3</v>
      </c>
      <c r="J99" s="16">
        <v>3</v>
      </c>
      <c r="L99" s="90">
        <v>3</v>
      </c>
      <c r="M99" s="90">
        <v>3</v>
      </c>
      <c r="N99" s="90">
        <v>2</v>
      </c>
      <c r="O99" s="90">
        <v>1</v>
      </c>
      <c r="P99" s="90">
        <v>3</v>
      </c>
      <c r="Q99" s="90">
        <v>3</v>
      </c>
      <c r="S99" s="16">
        <f t="shared" si="28"/>
        <v>0</v>
      </c>
      <c r="T99" s="16">
        <f t="shared" si="29"/>
        <v>0</v>
      </c>
      <c r="U99" s="16">
        <f t="shared" si="30"/>
        <v>0</v>
      </c>
      <c r="V99" s="16">
        <f t="shared" si="31"/>
        <v>0</v>
      </c>
      <c r="W99" s="16">
        <f t="shared" si="32"/>
        <v>0</v>
      </c>
      <c r="X99" s="16">
        <f>IF(Q99&gt;LARGE($P$3:$U$3,2),0,1)</f>
        <v>0</v>
      </c>
      <c r="Z99" s="16">
        <f t="shared" si="26"/>
        <v>0</v>
      </c>
      <c r="AB99" s="16" t="s">
        <v>391</v>
      </c>
      <c r="AC99" s="16" t="s">
        <v>2316</v>
      </c>
      <c r="AD99" s="16" t="s">
        <v>391</v>
      </c>
      <c r="AF99" s="2" t="s">
        <v>394</v>
      </c>
      <c r="AG99" s="2" t="s">
        <v>394</v>
      </c>
    </row>
    <row r="100" spans="1:45">
      <c r="A100" s="2" t="str">
        <f>'Reference Score Calculation'!B91</f>
        <v>JS2920</v>
      </c>
      <c r="B100" s="346" t="str">
        <f>'Reference Score Calculation'!B91</f>
        <v>JS2920</v>
      </c>
      <c r="C100" s="2" t="str">
        <f>'Reference Score Calculation'!E91</f>
        <v>藝術及科技文理學士(榮譽)</v>
      </c>
      <c r="D100" s="16">
        <f>'Reference Score Calculation'!U91</f>
        <v>40</v>
      </c>
      <c r="E100" s="16">
        <v>3</v>
      </c>
      <c r="F100" s="16">
        <v>3</v>
      </c>
      <c r="G100" s="16">
        <v>2</v>
      </c>
      <c r="H100" s="16">
        <v>2</v>
      </c>
      <c r="I100" s="16">
        <v>3</v>
      </c>
      <c r="J100" s="16">
        <v>3</v>
      </c>
      <c r="L100" s="90">
        <v>3</v>
      </c>
      <c r="M100" s="90">
        <v>3</v>
      </c>
      <c r="N100" s="90">
        <v>2</v>
      </c>
      <c r="O100" s="90">
        <v>1</v>
      </c>
      <c r="P100" s="90">
        <v>3</v>
      </c>
      <c r="Q100" s="90">
        <v>3</v>
      </c>
      <c r="S100" s="16">
        <f t="shared" si="28"/>
        <v>0</v>
      </c>
      <c r="T100" s="16">
        <f t="shared" si="29"/>
        <v>0</v>
      </c>
      <c r="U100" s="16">
        <f t="shared" si="30"/>
        <v>0</v>
      </c>
      <c r="V100" s="16">
        <f t="shared" si="31"/>
        <v>0</v>
      </c>
      <c r="W100" s="16">
        <f t="shared" si="32"/>
        <v>0</v>
      </c>
      <c r="X100" s="16">
        <f t="shared" si="33"/>
        <v>0</v>
      </c>
      <c r="Z100" s="16">
        <f t="shared" si="26"/>
        <v>0</v>
      </c>
      <c r="AB100" s="16" t="s">
        <v>391</v>
      </c>
      <c r="AC100" s="16" t="s">
        <v>2316</v>
      </c>
      <c r="AD100" s="16" t="s">
        <v>391</v>
      </c>
      <c r="AF100" s="2" t="s">
        <v>394</v>
      </c>
      <c r="AG100" s="2" t="s">
        <v>394</v>
      </c>
    </row>
    <row r="101" spans="1:45">
      <c r="A101" s="2" t="str">
        <f>'Reference Score Calculation'!B92</f>
        <v>JS2930</v>
      </c>
      <c r="B101" s="346" t="str">
        <f>'Reference Score Calculation'!B92</f>
        <v>JS2930</v>
      </c>
      <c r="C101" s="2" t="str">
        <f>'Reference Score Calculation'!E92</f>
        <v>工商管理文學士(榮譽)(全球娛樂)</v>
      </c>
      <c r="D101" s="16">
        <f>'Reference Score Calculation'!U92</f>
        <v>25</v>
      </c>
      <c r="E101" s="16">
        <v>3</v>
      </c>
      <c r="F101" s="16">
        <v>3</v>
      </c>
      <c r="G101" s="16">
        <v>2</v>
      </c>
      <c r="H101" s="16">
        <v>2</v>
      </c>
      <c r="I101" s="16">
        <v>3</v>
      </c>
      <c r="J101" s="16">
        <v>3</v>
      </c>
      <c r="L101" s="90">
        <v>3</v>
      </c>
      <c r="M101" s="90">
        <v>3</v>
      </c>
      <c r="N101" s="90">
        <v>2</v>
      </c>
      <c r="O101" s="90">
        <v>1</v>
      </c>
      <c r="P101" s="90">
        <v>3</v>
      </c>
      <c r="Q101" s="90">
        <v>3</v>
      </c>
      <c r="S101" s="16">
        <f t="shared" si="28"/>
        <v>0</v>
      </c>
      <c r="T101" s="16">
        <f t="shared" si="29"/>
        <v>0</v>
      </c>
      <c r="U101" s="16">
        <f t="shared" si="30"/>
        <v>0</v>
      </c>
      <c r="V101" s="16">
        <f t="shared" si="31"/>
        <v>0</v>
      </c>
      <c r="W101" s="16">
        <f t="shared" si="32"/>
        <v>0</v>
      </c>
      <c r="X101" s="16">
        <f t="shared" si="33"/>
        <v>0</v>
      </c>
      <c r="Z101" s="16">
        <f t="shared" si="26"/>
        <v>0</v>
      </c>
      <c r="AB101" s="16" t="s">
        <v>391</v>
      </c>
      <c r="AC101" s="16" t="s">
        <v>2316</v>
      </c>
      <c r="AD101" s="16" t="s">
        <v>391</v>
      </c>
      <c r="AF101" s="2" t="s">
        <v>394</v>
      </c>
      <c r="AG101" s="2" t="s">
        <v>394</v>
      </c>
    </row>
    <row r="102" spans="1:45">
      <c r="A102" s="2" t="str">
        <f>'Reference Score Calculation'!B93</f>
        <v>JS2940</v>
      </c>
      <c r="B102" s="346" t="str">
        <f>'Reference Score Calculation'!B93</f>
        <v>JS2940</v>
      </c>
      <c r="C102" s="2" t="str">
        <f>'Reference Score Calculation'!E93</f>
        <v>創新醫療及社會健康社會科學學士(榮譽) / 理學士(榮譽)</v>
      </c>
      <c r="D102" s="16">
        <f>'Reference Score Calculation'!U93</f>
        <v>35</v>
      </c>
      <c r="E102" s="16">
        <v>3</v>
      </c>
      <c r="F102" s="16">
        <v>3</v>
      </c>
      <c r="G102" s="16">
        <v>2</v>
      </c>
      <c r="H102" s="16">
        <v>2</v>
      </c>
      <c r="I102" s="16">
        <v>3</v>
      </c>
      <c r="J102" s="16">
        <v>3</v>
      </c>
      <c r="L102" s="90">
        <v>3</v>
      </c>
      <c r="M102" s="90">
        <v>3</v>
      </c>
      <c r="N102" s="90">
        <v>2</v>
      </c>
      <c r="O102" s="90">
        <v>1</v>
      </c>
      <c r="P102" s="90">
        <v>3</v>
      </c>
      <c r="Q102" s="90">
        <v>3</v>
      </c>
      <c r="S102" s="16">
        <f t="shared" si="28"/>
        <v>0</v>
      </c>
      <c r="T102" s="16">
        <f t="shared" si="29"/>
        <v>0</v>
      </c>
      <c r="U102" s="16">
        <f t="shared" si="30"/>
        <v>0</v>
      </c>
      <c r="V102" s="16">
        <f t="shared" si="31"/>
        <v>0</v>
      </c>
      <c r="W102" s="16">
        <f t="shared" si="32"/>
        <v>0</v>
      </c>
      <c r="X102" s="16">
        <f t="shared" si="33"/>
        <v>0</v>
      </c>
      <c r="Z102" s="16">
        <f t="shared" si="26"/>
        <v>0</v>
      </c>
      <c r="AB102" s="16" t="s">
        <v>391</v>
      </c>
      <c r="AC102" s="16" t="s">
        <v>2316</v>
      </c>
      <c r="AD102" s="16" t="s">
        <v>391</v>
      </c>
      <c r="AF102" s="2" t="s">
        <v>394</v>
      </c>
      <c r="AG102" s="2" t="s">
        <v>394</v>
      </c>
    </row>
    <row r="103" spans="1:45">
      <c r="A103" s="2" t="str">
        <f>'Reference Score Calculation'!B94</f>
        <v>JS2950</v>
      </c>
      <c r="B103" s="346" t="str">
        <f>'Reference Score Calculation'!B94</f>
        <v>JS2950</v>
      </c>
      <c r="C103" s="2" t="str">
        <f>'Reference Score Calculation'!E94</f>
        <v>文理及科技學士(榮譽)自訂主修</v>
      </c>
      <c r="D103" s="16">
        <f>'Reference Score Calculation'!U94</f>
        <v>15</v>
      </c>
      <c r="E103" s="16">
        <v>3</v>
      </c>
      <c r="F103" s="16">
        <v>3</v>
      </c>
      <c r="G103" s="16">
        <v>2</v>
      </c>
      <c r="H103" s="16">
        <v>2</v>
      </c>
      <c r="I103" s="16">
        <v>3</v>
      </c>
      <c r="J103" s="16">
        <v>3</v>
      </c>
      <c r="L103" s="90">
        <v>3</v>
      </c>
      <c r="M103" s="90">
        <v>3</v>
      </c>
      <c r="N103" s="90">
        <v>2</v>
      </c>
      <c r="O103" s="90">
        <v>1</v>
      </c>
      <c r="P103" s="90">
        <v>3</v>
      </c>
      <c r="Q103" s="90">
        <v>3</v>
      </c>
      <c r="S103" s="16">
        <f t="shared" si="28"/>
        <v>0</v>
      </c>
      <c r="T103" s="16">
        <f t="shared" si="29"/>
        <v>0</v>
      </c>
      <c r="U103" s="16">
        <f t="shared" si="30"/>
        <v>0</v>
      </c>
      <c r="V103" s="16">
        <f t="shared" si="31"/>
        <v>0</v>
      </c>
      <c r="W103" s="16">
        <f t="shared" si="32"/>
        <v>0</v>
      </c>
      <c r="X103" s="16">
        <f t="shared" si="33"/>
        <v>0</v>
      </c>
      <c r="Z103" s="16">
        <f t="shared" si="26"/>
        <v>0</v>
      </c>
      <c r="AB103" s="16" t="s">
        <v>391</v>
      </c>
      <c r="AC103" s="16" t="s">
        <v>2316</v>
      </c>
      <c r="AD103" s="16" t="s">
        <v>391</v>
      </c>
      <c r="AF103" s="2" t="s">
        <v>394</v>
      </c>
      <c r="AG103" s="2" t="s">
        <v>394</v>
      </c>
    </row>
    <row r="104" spans="1:45">
      <c r="A104" s="2" t="str">
        <f>'Reference Score Calculation'!B95</f>
        <v>JS2960</v>
      </c>
      <c r="B104" s="346" t="str">
        <f>'Reference Score Calculation'!B95</f>
        <v>JS2960</v>
      </c>
      <c r="C104" s="2" t="str">
        <f>'Reference Score Calculation'!E95</f>
        <v>數位未來與人文學科文理學士(榮譽)</v>
      </c>
      <c r="D104" s="16">
        <f>'Reference Score Calculation'!U95</f>
        <v>40</v>
      </c>
      <c r="E104" s="16">
        <v>3</v>
      </c>
      <c r="F104" s="16">
        <v>3</v>
      </c>
      <c r="G104" s="16">
        <v>2</v>
      </c>
      <c r="H104" s="16">
        <v>2</v>
      </c>
      <c r="I104" s="16">
        <v>3</v>
      </c>
      <c r="J104" s="16">
        <v>3</v>
      </c>
      <c r="L104" s="90">
        <v>3</v>
      </c>
      <c r="M104" s="90">
        <v>3</v>
      </c>
      <c r="N104" s="90">
        <v>2</v>
      </c>
      <c r="O104" s="90">
        <v>1</v>
      </c>
      <c r="P104" s="90">
        <v>3</v>
      </c>
      <c r="Q104" s="90">
        <v>3</v>
      </c>
      <c r="S104" s="16">
        <f>IF(L104&gt;L$3,0,1)</f>
        <v>0</v>
      </c>
      <c r="T104" s="16">
        <f>IF(M104&gt;M$3,0,1)</f>
        <v>0</v>
      </c>
      <c r="U104" s="16">
        <f>IF(N104&gt;N$3,0,1)</f>
        <v>0</v>
      </c>
      <c r="V104" s="16">
        <f>IF(O104&gt;O$3,0,1)</f>
        <v>0</v>
      </c>
      <c r="W104" s="16">
        <f t="shared" si="32"/>
        <v>0</v>
      </c>
      <c r="X104" s="16">
        <f>IF(Q104&gt;LARGE($P$3:$U$3,2),0,1)</f>
        <v>0</v>
      </c>
      <c r="Z104" s="16">
        <f>S104*T104*U104*V104*W104*X104</f>
        <v>0</v>
      </c>
      <c r="AB104" s="16" t="s">
        <v>391</v>
      </c>
      <c r="AC104" s="16" t="s">
        <v>2316</v>
      </c>
      <c r="AD104" s="16" t="s">
        <v>391</v>
      </c>
      <c r="AF104" s="2" t="s">
        <v>394</v>
      </c>
      <c r="AG104" s="2" t="s">
        <v>394</v>
      </c>
    </row>
    <row r="105" spans="1:45">
      <c r="B105" s="424" t="s">
        <v>225</v>
      </c>
      <c r="C105" s="360" t="s">
        <v>3030</v>
      </c>
      <c r="L105" s="2"/>
      <c r="M105" s="2"/>
      <c r="N105" s="2"/>
      <c r="O105" s="2"/>
      <c r="P105" s="2"/>
      <c r="Q105" s="2"/>
      <c r="Z105" s="2"/>
      <c r="AA105" s="2"/>
      <c r="AB105" s="2"/>
      <c r="AC105" s="2"/>
      <c r="AD105" s="2"/>
      <c r="AE105" s="2"/>
      <c r="AF105" s="2"/>
      <c r="AG105" s="2"/>
      <c r="AH105" s="2"/>
    </row>
    <row r="106" spans="1:45">
      <c r="B106" s="424" t="s">
        <v>104</v>
      </c>
      <c r="C106" s="11" t="s">
        <v>106</v>
      </c>
      <c r="D106" s="19" t="s">
        <v>36</v>
      </c>
      <c r="E106" s="19"/>
      <c r="F106" s="19"/>
      <c r="G106" s="19"/>
      <c r="H106" s="19"/>
      <c r="I106" s="19"/>
      <c r="J106" s="19"/>
      <c r="K106" s="19"/>
      <c r="L106" s="92" t="s">
        <v>111</v>
      </c>
      <c r="M106" s="92" t="s">
        <v>112</v>
      </c>
      <c r="N106" s="92" t="s">
        <v>113</v>
      </c>
      <c r="O106" s="19" t="s">
        <v>2251</v>
      </c>
      <c r="P106" s="92" t="s">
        <v>115</v>
      </c>
      <c r="Q106" s="92" t="s">
        <v>116</v>
      </c>
      <c r="R106" s="11"/>
      <c r="S106" s="19" t="s">
        <v>111</v>
      </c>
      <c r="T106" s="19" t="s">
        <v>112</v>
      </c>
      <c r="U106" s="19" t="s">
        <v>113</v>
      </c>
      <c r="V106" s="19" t="s">
        <v>2251</v>
      </c>
      <c r="W106" s="19" t="s">
        <v>115</v>
      </c>
      <c r="X106" s="19" t="s">
        <v>116</v>
      </c>
      <c r="Y106" s="16"/>
      <c r="Z106" s="19" t="s">
        <v>110</v>
      </c>
      <c r="AB106" s="19" t="s">
        <v>267</v>
      </c>
      <c r="AC106" s="19" t="s">
        <v>268</v>
      </c>
      <c r="AD106" s="19" t="s">
        <v>269</v>
      </c>
      <c r="AE106" s="2"/>
      <c r="AF106" s="2"/>
      <c r="AG106" s="2"/>
      <c r="AH106" s="2"/>
      <c r="AI106" s="121" t="s">
        <v>1909</v>
      </c>
      <c r="AJ106" s="121" t="s">
        <v>390</v>
      </c>
      <c r="AK106" s="102"/>
      <c r="AL106" s="115"/>
      <c r="AM106" s="115"/>
      <c r="AN106" s="115"/>
      <c r="AO106" s="115"/>
      <c r="AP106" s="115"/>
      <c r="AQ106" s="115"/>
      <c r="AR106" s="115"/>
      <c r="AS106" s="115"/>
    </row>
    <row r="107" spans="1:45">
      <c r="A107" s="2" t="str">
        <f>'Reference Score Calculation'!B98</f>
        <v>JS3000</v>
      </c>
      <c r="B107" s="346" t="str">
        <f>'Reference Score Calculation'!B98</f>
        <v>JS3000</v>
      </c>
      <c r="C107" s="2" t="str">
        <f>'Reference Score Calculation'!E98</f>
        <v>跨學科組合學士課程</v>
      </c>
      <c r="D107" s="16">
        <f>'Reference Score Calculation'!U98</f>
        <v>30</v>
      </c>
      <c r="E107" s="19"/>
      <c r="F107" s="19"/>
      <c r="G107" s="19"/>
      <c r="H107" s="19"/>
      <c r="I107" s="19"/>
      <c r="J107" s="19"/>
      <c r="K107" s="19"/>
      <c r="L107" s="90">
        <v>3</v>
      </c>
      <c r="M107" s="90">
        <v>3</v>
      </c>
      <c r="N107" s="90">
        <v>2</v>
      </c>
      <c r="O107" s="90">
        <v>1</v>
      </c>
      <c r="P107" s="90">
        <v>3</v>
      </c>
      <c r="Q107" s="90">
        <v>3</v>
      </c>
      <c r="R107" s="11"/>
      <c r="S107" s="16">
        <f t="shared" ref="S107:S113" si="34">IF(L107&gt;L$3,0,1)</f>
        <v>0</v>
      </c>
      <c r="T107" s="16">
        <f t="shared" ref="T107:T113" si="35">IF(M107&gt;M$3,0,1)</f>
        <v>0</v>
      </c>
      <c r="U107" s="16">
        <f t="shared" ref="U107:U113" si="36">IF(N107&gt;N$3,0,1)</f>
        <v>0</v>
      </c>
      <c r="V107" s="16">
        <f t="shared" ref="V107:V113" si="37">IF(O107&gt;O$3,0,1)</f>
        <v>0</v>
      </c>
      <c r="W107" s="16">
        <f t="shared" ref="W107:W113" si="38">IF(P107&gt;LARGE($P$3:$U$3,1),0,1)</f>
        <v>0</v>
      </c>
      <c r="X107" s="16">
        <f t="shared" ref="X107:X113" si="39">IF(Q107&gt;LARGE($P$3:$U$3,2),0,1)</f>
        <v>0</v>
      </c>
      <c r="Y107" s="16"/>
      <c r="Z107" s="16">
        <f>S107*T107*U107*V107*W107*X107*AK111</f>
        <v>0</v>
      </c>
      <c r="AB107" s="16" t="s">
        <v>419</v>
      </c>
      <c r="AC107" s="16" t="s">
        <v>420</v>
      </c>
      <c r="AD107" s="16" t="s">
        <v>421</v>
      </c>
      <c r="AE107" s="2"/>
      <c r="AF107" s="2" t="s">
        <v>394</v>
      </c>
      <c r="AG107" s="2" t="s">
        <v>394</v>
      </c>
      <c r="AH107" s="2"/>
      <c r="AI107" s="116"/>
      <c r="AJ107" s="116" t="str">
        <f>L2</f>
        <v>中國語文</v>
      </c>
      <c r="AK107" s="116" t="str">
        <f t="shared" ref="AK107:AS107" si="40">M2</f>
        <v>英國語文</v>
      </c>
      <c r="AL107" s="116" t="str">
        <f t="shared" si="40"/>
        <v>數學</v>
      </c>
      <c r="AM107" s="116" t="str">
        <f t="shared" si="40"/>
        <v>公社科</v>
      </c>
      <c r="AN107" s="116" t="str">
        <f t="shared" si="40"/>
        <v>數學延伸</v>
      </c>
      <c r="AO107" s="116" t="str">
        <f t="shared" si="40"/>
        <v>請選擇第一選修科</v>
      </c>
      <c r="AP107" s="116" t="str">
        <f t="shared" si="40"/>
        <v>請選擇第二選修科</v>
      </c>
      <c r="AQ107" s="116" t="str">
        <f t="shared" si="40"/>
        <v>請選擇第三選修科</v>
      </c>
      <c r="AR107" s="116" t="str">
        <f t="shared" si="40"/>
        <v>請選擇第四選修科</v>
      </c>
      <c r="AS107" s="116" t="str">
        <f t="shared" si="40"/>
        <v>請選擇語言科目</v>
      </c>
    </row>
    <row r="108" spans="1:45">
      <c r="A108" s="2" t="str">
        <f>'Reference Score Calculation'!B99</f>
        <v>JS3003</v>
      </c>
      <c r="B108" s="346" t="str">
        <f>'Reference Score Calculation'!B99</f>
        <v>JS3003</v>
      </c>
      <c r="C108" s="2" t="str">
        <f>'Reference Score Calculation'!E99</f>
        <v>工商管理組合學士課程</v>
      </c>
      <c r="D108" s="16">
        <f>'Reference Score Calculation'!U99</f>
        <v>19</v>
      </c>
      <c r="E108" s="19"/>
      <c r="F108" s="19"/>
      <c r="G108" s="19"/>
      <c r="H108" s="19"/>
      <c r="I108" s="19"/>
      <c r="J108" s="19"/>
      <c r="K108" s="19"/>
      <c r="L108" s="90">
        <v>3</v>
      </c>
      <c r="M108" s="90">
        <v>3</v>
      </c>
      <c r="N108" s="90">
        <v>2</v>
      </c>
      <c r="O108" s="90">
        <v>1</v>
      </c>
      <c r="P108" s="90">
        <v>3</v>
      </c>
      <c r="Q108" s="90">
        <v>3</v>
      </c>
      <c r="R108" s="11"/>
      <c r="S108" s="16">
        <f t="shared" si="34"/>
        <v>0</v>
      </c>
      <c r="T108" s="16">
        <f t="shared" si="35"/>
        <v>0</v>
      </c>
      <c r="U108" s="16">
        <f t="shared" si="36"/>
        <v>0</v>
      </c>
      <c r="V108" s="16">
        <f t="shared" si="37"/>
        <v>0</v>
      </c>
      <c r="W108" s="16">
        <f t="shared" si="38"/>
        <v>0</v>
      </c>
      <c r="X108" s="16">
        <f t="shared" si="39"/>
        <v>0</v>
      </c>
      <c r="Y108" s="16"/>
      <c r="Z108" s="16">
        <f t="shared" ref="Z108:Z113" si="41">S108*T108*U108*V108*W108*X108</f>
        <v>0</v>
      </c>
      <c r="AB108" s="16" t="s">
        <v>419</v>
      </c>
      <c r="AC108" s="16" t="s">
        <v>420</v>
      </c>
      <c r="AD108" s="16" t="s">
        <v>421</v>
      </c>
      <c r="AE108" s="2"/>
      <c r="AF108" s="2" t="s">
        <v>394</v>
      </c>
      <c r="AG108" s="2" t="s">
        <v>394</v>
      </c>
      <c r="AH108" s="2"/>
      <c r="AI108" s="116" t="s">
        <v>2712</v>
      </c>
      <c r="AJ108" s="117">
        <f>計分版!K5</f>
        <v>1E-10</v>
      </c>
      <c r="AK108" s="117">
        <f>計分版!L5</f>
        <v>2.0000000000000001E-10</v>
      </c>
      <c r="AL108" s="117">
        <f>計分版!M5</f>
        <v>3E-10</v>
      </c>
      <c r="AM108" s="117">
        <f>計分版!N5</f>
        <v>0</v>
      </c>
      <c r="AN108" s="117">
        <f>計分版!O5</f>
        <v>5.0000000000000003E-10</v>
      </c>
      <c r="AO108" s="117">
        <f>計分版!P5</f>
        <v>6E-10</v>
      </c>
      <c r="AP108" s="117">
        <f>計分版!Q5</f>
        <v>6.9999999999999996E-10</v>
      </c>
      <c r="AQ108" s="117">
        <f>計分版!R5</f>
        <v>8.0000000000000003E-10</v>
      </c>
      <c r="AR108" s="117">
        <f>計分版!S5</f>
        <v>8.9999999999999999E-10</v>
      </c>
      <c r="AS108" s="117">
        <f>計分版!T5</f>
        <v>0</v>
      </c>
    </row>
    <row r="109" spans="1:45">
      <c r="A109" s="2" t="str">
        <f>'Reference Score Calculation'!B100</f>
        <v>JS3004</v>
      </c>
      <c r="B109" s="346" t="str">
        <f>'Reference Score Calculation'!B100</f>
        <v>JS3004</v>
      </c>
      <c r="C109" s="2" t="str">
        <f>'Reference Score Calculation'!E100</f>
        <v>建設及環境組合學士課程</v>
      </c>
      <c r="D109" s="16">
        <f>'Reference Score Calculation'!U100</f>
        <v>33</v>
      </c>
      <c r="E109" s="19"/>
      <c r="F109" s="19"/>
      <c r="G109" s="19"/>
      <c r="H109" s="19"/>
      <c r="I109" s="19"/>
      <c r="J109" s="19"/>
      <c r="K109" s="19"/>
      <c r="L109" s="90">
        <v>3</v>
      </c>
      <c r="M109" s="90">
        <v>3</v>
      </c>
      <c r="N109" s="90">
        <v>2</v>
      </c>
      <c r="O109" s="90">
        <v>1</v>
      </c>
      <c r="P109" s="90">
        <v>3</v>
      </c>
      <c r="Q109" s="90">
        <v>3</v>
      </c>
      <c r="R109" s="11"/>
      <c r="S109" s="16">
        <f t="shared" si="34"/>
        <v>0</v>
      </c>
      <c r="T109" s="16">
        <f t="shared" si="35"/>
        <v>0</v>
      </c>
      <c r="U109" s="16">
        <f t="shared" si="36"/>
        <v>0</v>
      </c>
      <c r="V109" s="16">
        <f t="shared" si="37"/>
        <v>0</v>
      </c>
      <c r="W109" s="16">
        <f t="shared" si="38"/>
        <v>0</v>
      </c>
      <c r="X109" s="16">
        <f t="shared" si="39"/>
        <v>0</v>
      </c>
      <c r="Y109" s="16"/>
      <c r="Z109" s="16">
        <f t="shared" si="41"/>
        <v>0</v>
      </c>
      <c r="AB109" s="16" t="s">
        <v>419</v>
      </c>
      <c r="AC109" s="16" t="s">
        <v>420</v>
      </c>
      <c r="AD109" s="16" t="s">
        <v>421</v>
      </c>
      <c r="AE109" s="2"/>
      <c r="AF109" s="2" t="s">
        <v>394</v>
      </c>
      <c r="AG109" s="2" t="s">
        <v>394</v>
      </c>
      <c r="AH109" s="2"/>
      <c r="AI109" s="126" t="s">
        <v>785</v>
      </c>
      <c r="AJ109" s="116" t="b">
        <f t="shared" ref="AJ109:AS109" si="42">IF(AJ108&gt;LARGE($AJ$201:$AS$201,6),TRUE)</f>
        <v>0</v>
      </c>
      <c r="AK109" s="116" t="b">
        <f t="shared" si="42"/>
        <v>0</v>
      </c>
      <c r="AL109" s="116" t="b">
        <f t="shared" si="42"/>
        <v>0</v>
      </c>
      <c r="AM109" s="116" t="b">
        <f t="shared" si="42"/>
        <v>0</v>
      </c>
      <c r="AN109" s="116" t="b">
        <f t="shared" si="42"/>
        <v>1</v>
      </c>
      <c r="AO109" s="116" t="b">
        <f t="shared" si="42"/>
        <v>1</v>
      </c>
      <c r="AP109" s="116" t="b">
        <f t="shared" si="42"/>
        <v>1</v>
      </c>
      <c r="AQ109" s="116" t="b">
        <f t="shared" si="42"/>
        <v>1</v>
      </c>
      <c r="AR109" s="116" t="b">
        <f t="shared" si="42"/>
        <v>1</v>
      </c>
      <c r="AS109" s="116" t="b">
        <f t="shared" si="42"/>
        <v>0</v>
      </c>
    </row>
    <row r="110" spans="1:45">
      <c r="A110" s="2" t="str">
        <f>'Reference Score Calculation'!B101</f>
        <v>JS3005</v>
      </c>
      <c r="B110" s="346" t="str">
        <f>'Reference Score Calculation'!B101</f>
        <v>JS3005</v>
      </c>
      <c r="C110" s="2" t="str">
        <f>'Reference Score Calculation'!E101</f>
        <v>工程學科組合學士課程</v>
      </c>
      <c r="D110" s="16">
        <f>'Reference Score Calculation'!U101</f>
        <v>35</v>
      </c>
      <c r="E110" s="19"/>
      <c r="F110" s="19"/>
      <c r="G110" s="19"/>
      <c r="H110" s="19"/>
      <c r="I110" s="19"/>
      <c r="J110" s="19"/>
      <c r="K110" s="19"/>
      <c r="L110" s="90">
        <v>3</v>
      </c>
      <c r="M110" s="90">
        <v>3</v>
      </c>
      <c r="N110" s="90">
        <v>2</v>
      </c>
      <c r="O110" s="90">
        <v>1</v>
      </c>
      <c r="P110" s="90">
        <v>3</v>
      </c>
      <c r="Q110" s="90">
        <v>3</v>
      </c>
      <c r="R110" s="11"/>
      <c r="S110" s="16">
        <f t="shared" si="34"/>
        <v>0</v>
      </c>
      <c r="T110" s="16">
        <f t="shared" si="35"/>
        <v>0</v>
      </c>
      <c r="U110" s="16">
        <f t="shared" si="36"/>
        <v>0</v>
      </c>
      <c r="V110" s="16">
        <f t="shared" si="37"/>
        <v>0</v>
      </c>
      <c r="W110" s="16">
        <f t="shared" si="38"/>
        <v>0</v>
      </c>
      <c r="X110" s="16">
        <f t="shared" si="39"/>
        <v>0</v>
      </c>
      <c r="Y110" s="16"/>
      <c r="Z110" s="16">
        <f t="shared" si="41"/>
        <v>0</v>
      </c>
      <c r="AB110" s="16" t="s">
        <v>419</v>
      </c>
      <c r="AC110" s="16" t="s">
        <v>420</v>
      </c>
      <c r="AD110" s="16" t="s">
        <v>419</v>
      </c>
      <c r="AE110" s="2"/>
      <c r="AF110" s="2" t="s">
        <v>394</v>
      </c>
      <c r="AG110" s="2" t="s">
        <v>394</v>
      </c>
      <c r="AH110" s="2"/>
      <c r="AI110" s="116"/>
      <c r="AJ110" s="116"/>
      <c r="AK110" s="116"/>
      <c r="AL110" s="116"/>
      <c r="AM110" s="116"/>
      <c r="AN110" s="116"/>
      <c r="AO110" s="116"/>
      <c r="AP110" s="102"/>
      <c r="AQ110" s="102"/>
      <c r="AR110" s="102"/>
      <c r="AS110" s="102"/>
    </row>
    <row r="111" spans="1:45">
      <c r="A111" s="2" t="str">
        <f>'Reference Score Calculation'!B102</f>
        <v>JS3006</v>
      </c>
      <c r="B111" s="346" t="str">
        <f>'Reference Score Calculation'!B102</f>
        <v>JS3006</v>
      </c>
      <c r="C111" s="2" t="str">
        <f>'Reference Score Calculation'!E102</f>
        <v>計算機及數學科學組合學士課程</v>
      </c>
      <c r="D111" s="16">
        <f>'Reference Score Calculation'!U102</f>
        <v>14</v>
      </c>
      <c r="E111" s="19"/>
      <c r="F111" s="19"/>
      <c r="G111" s="19"/>
      <c r="H111" s="19"/>
      <c r="I111" s="19"/>
      <c r="J111" s="19"/>
      <c r="K111" s="19"/>
      <c r="L111" s="90">
        <v>3</v>
      </c>
      <c r="M111" s="90">
        <v>3</v>
      </c>
      <c r="N111" s="90">
        <v>2</v>
      </c>
      <c r="O111" s="90">
        <v>1</v>
      </c>
      <c r="P111" s="90">
        <v>3</v>
      </c>
      <c r="Q111" s="90">
        <v>3</v>
      </c>
      <c r="R111" s="11"/>
      <c r="S111" s="16">
        <f t="shared" si="34"/>
        <v>0</v>
      </c>
      <c r="T111" s="16">
        <f t="shared" si="35"/>
        <v>0</v>
      </c>
      <c r="U111" s="16">
        <f t="shared" si="36"/>
        <v>0</v>
      </c>
      <c r="V111" s="16">
        <f t="shared" si="37"/>
        <v>0</v>
      </c>
      <c r="W111" s="16">
        <f t="shared" si="38"/>
        <v>0</v>
      </c>
      <c r="X111" s="16">
        <f t="shared" si="39"/>
        <v>0</v>
      </c>
      <c r="Y111" s="16"/>
      <c r="Z111" s="16">
        <f t="shared" si="41"/>
        <v>0</v>
      </c>
      <c r="AB111" s="16" t="s">
        <v>419</v>
      </c>
      <c r="AC111" s="16" t="s">
        <v>420</v>
      </c>
      <c r="AD111" s="16" t="s">
        <v>421</v>
      </c>
      <c r="AE111" s="2"/>
      <c r="AF111" s="2" t="s">
        <v>394</v>
      </c>
      <c r="AG111" s="2" t="s">
        <v>394</v>
      </c>
      <c r="AH111" s="2"/>
      <c r="AI111" s="116"/>
      <c r="AJ111" s="116" t="s">
        <v>3029</v>
      </c>
      <c r="AK111" s="117">
        <f>IF(SUMIF(AJ109:AS109,TRUE,AJ108:AS108)&lt;34.5,0,1)</f>
        <v>0</v>
      </c>
      <c r="AL111" s="116"/>
      <c r="AM111" s="116"/>
      <c r="AN111" s="116"/>
      <c r="AO111" s="116"/>
      <c r="AP111" s="116"/>
      <c r="AQ111" s="116"/>
      <c r="AR111" s="102"/>
      <c r="AS111" s="102"/>
    </row>
    <row r="112" spans="1:45">
      <c r="A112" s="2" t="str">
        <f>'Reference Score Calculation'!B103</f>
        <v>JS3007</v>
      </c>
      <c r="B112" s="346" t="str">
        <f>'Reference Score Calculation'!B103</f>
        <v>JS3007</v>
      </c>
      <c r="C112" s="2" t="str">
        <f>'Reference Score Calculation'!E103</f>
        <v>人文學科組合學士課程</v>
      </c>
      <c r="D112" s="16">
        <f>'Reference Score Calculation'!U103</f>
        <v>13</v>
      </c>
      <c r="E112" s="19"/>
      <c r="F112" s="19"/>
      <c r="G112" s="19"/>
      <c r="H112" s="19"/>
      <c r="I112" s="19"/>
      <c r="J112" s="19"/>
      <c r="K112" s="19"/>
      <c r="L112" s="90">
        <v>3</v>
      </c>
      <c r="M112" s="90">
        <v>3</v>
      </c>
      <c r="N112" s="90">
        <v>2</v>
      </c>
      <c r="O112" s="90">
        <v>1</v>
      </c>
      <c r="P112" s="90">
        <v>3</v>
      </c>
      <c r="Q112" s="90">
        <v>3</v>
      </c>
      <c r="R112" s="11"/>
      <c r="S112" s="16">
        <f t="shared" si="34"/>
        <v>0</v>
      </c>
      <c r="T112" s="16">
        <f t="shared" si="35"/>
        <v>0</v>
      </c>
      <c r="U112" s="16">
        <f t="shared" si="36"/>
        <v>0</v>
      </c>
      <c r="V112" s="16">
        <f t="shared" si="37"/>
        <v>0</v>
      </c>
      <c r="W112" s="16">
        <f t="shared" si="38"/>
        <v>0</v>
      </c>
      <c r="X112" s="16">
        <f t="shared" si="39"/>
        <v>0</v>
      </c>
      <c r="Y112" s="16"/>
      <c r="Z112" s="16">
        <f t="shared" si="41"/>
        <v>0</v>
      </c>
      <c r="AB112" s="16" t="s">
        <v>419</v>
      </c>
      <c r="AC112" s="16" t="s">
        <v>420</v>
      </c>
      <c r="AD112" s="16" t="s">
        <v>421</v>
      </c>
      <c r="AE112" s="2"/>
      <c r="AF112" s="2" t="s">
        <v>394</v>
      </c>
      <c r="AG112" s="2" t="s">
        <v>394</v>
      </c>
      <c r="AH112" s="2"/>
      <c r="AI112" s="116"/>
      <c r="AJ112" s="116"/>
      <c r="AK112" s="116"/>
      <c r="AL112" s="116"/>
      <c r="AM112" s="116"/>
      <c r="AN112" s="116"/>
      <c r="AO112" s="116"/>
      <c r="AP112" s="116"/>
      <c r="AQ112" s="116"/>
      <c r="AR112" s="116"/>
      <c r="AS112" s="102"/>
    </row>
    <row r="113" spans="1:40">
      <c r="A113" s="2" t="str">
        <f>'Reference Score Calculation'!B104</f>
        <v>JS3008</v>
      </c>
      <c r="B113" s="346" t="str">
        <f>'Reference Score Calculation'!B104</f>
        <v>JS3008</v>
      </c>
      <c r="C113" s="2" t="str">
        <f>'Reference Score Calculation'!E104</f>
        <v>理學組合學士課程</v>
      </c>
      <c r="D113" s="16">
        <f>'Reference Score Calculation'!U104</f>
        <v>15</v>
      </c>
      <c r="E113" s="19"/>
      <c r="F113" s="19"/>
      <c r="G113" s="19"/>
      <c r="H113" s="19"/>
      <c r="I113" s="19"/>
      <c r="J113" s="19"/>
      <c r="K113" s="19"/>
      <c r="L113" s="90">
        <v>3</v>
      </c>
      <c r="M113" s="90">
        <v>3</v>
      </c>
      <c r="N113" s="90">
        <v>2</v>
      </c>
      <c r="O113" s="90">
        <v>1</v>
      </c>
      <c r="P113" s="90">
        <v>3</v>
      </c>
      <c r="Q113" s="90">
        <v>3</v>
      </c>
      <c r="R113" s="11"/>
      <c r="S113" s="16">
        <f t="shared" si="34"/>
        <v>0</v>
      </c>
      <c r="T113" s="16">
        <f t="shared" si="35"/>
        <v>0</v>
      </c>
      <c r="U113" s="16">
        <f t="shared" si="36"/>
        <v>0</v>
      </c>
      <c r="V113" s="16">
        <f t="shared" si="37"/>
        <v>0</v>
      </c>
      <c r="W113" s="16">
        <f t="shared" si="38"/>
        <v>0</v>
      </c>
      <c r="X113" s="16">
        <f t="shared" si="39"/>
        <v>0</v>
      </c>
      <c r="Y113" s="16"/>
      <c r="Z113" s="16">
        <f t="shared" si="41"/>
        <v>0</v>
      </c>
      <c r="AB113" s="16" t="s">
        <v>419</v>
      </c>
      <c r="AC113" s="16" t="s">
        <v>420</v>
      </c>
      <c r="AD113" s="16" t="s">
        <v>419</v>
      </c>
      <c r="AE113" s="2"/>
      <c r="AF113" s="2" t="s">
        <v>394</v>
      </c>
      <c r="AG113" s="2" t="s">
        <v>394</v>
      </c>
      <c r="AH113" s="2"/>
      <c r="AN113" s="19"/>
    </row>
    <row r="114" spans="1:40">
      <c r="A114" s="2" t="str">
        <f>'Reference Score Calculation'!B105</f>
        <v>JS3011</v>
      </c>
      <c r="B114" s="346" t="str">
        <f>'Reference Score Calculation'!B105</f>
        <v>JS3011</v>
      </c>
      <c r="C114" s="2" t="str">
        <f>'Reference Score Calculation'!E105</f>
        <v>生物科技及化學科技(榮譽)理學士組合課程</v>
      </c>
      <c r="D114" s="16">
        <f>'Reference Score Calculation'!U105</f>
        <v>55</v>
      </c>
      <c r="E114" s="16">
        <v>3</v>
      </c>
      <c r="F114" s="16">
        <v>3</v>
      </c>
      <c r="G114" s="16">
        <v>2</v>
      </c>
      <c r="H114" s="16">
        <v>2</v>
      </c>
      <c r="I114" s="16">
        <v>3</v>
      </c>
      <c r="J114" s="16">
        <v>3</v>
      </c>
      <c r="L114" s="90">
        <v>3</v>
      </c>
      <c r="M114" s="90">
        <v>3</v>
      </c>
      <c r="N114" s="90">
        <v>2</v>
      </c>
      <c r="O114" s="90">
        <v>1</v>
      </c>
      <c r="P114" s="90">
        <v>3</v>
      </c>
      <c r="Q114" s="90">
        <v>3</v>
      </c>
      <c r="S114" s="16">
        <f t="shared" ref="S114:S123" si="43">IF(L114&gt;L$3,0,1)</f>
        <v>0</v>
      </c>
      <c r="T114" s="16">
        <f>IF(M114&gt;M$3,0,1)</f>
        <v>0</v>
      </c>
      <c r="U114" s="16">
        <f>IF(N114&gt;N$3,0,1)</f>
        <v>0</v>
      </c>
      <c r="V114" s="16">
        <f>IF(O114&gt;O$3,0,1)</f>
        <v>0</v>
      </c>
      <c r="W114" s="16">
        <f t="shared" ref="W114:W123" si="44">IF(P114&gt;LARGE($P$3:$U$3,1),0,1)</f>
        <v>0</v>
      </c>
      <c r="X114" s="16">
        <f t="shared" ref="X114:X123" si="45">IF(Q114&gt;LARGE($P$3:$U$3,2),0,1)</f>
        <v>0</v>
      </c>
      <c r="Z114" s="16">
        <f>S114*T114*U114*V114*W114*X114</f>
        <v>0</v>
      </c>
      <c r="AB114" s="16" t="s">
        <v>419</v>
      </c>
      <c r="AC114" s="16" t="s">
        <v>420</v>
      </c>
      <c r="AD114" s="16" t="s">
        <v>419</v>
      </c>
      <c r="AF114" s="2" t="s">
        <v>394</v>
      </c>
      <c r="AG114" s="2" t="s">
        <v>394</v>
      </c>
    </row>
    <row r="115" spans="1:40">
      <c r="A115" s="2" t="str">
        <f>'Reference Score Calculation'!B106</f>
        <v>JS3030</v>
      </c>
      <c r="B115" s="346" t="str">
        <f>'Reference Score Calculation'!B106</f>
        <v>JS3030</v>
      </c>
      <c r="C115" s="2" t="str">
        <f>'Reference Score Calculation'!E106</f>
        <v>物理學(榮譽)理學士副主修人工智能及數據分析 / 創新及創業</v>
      </c>
      <c r="D115" s="16">
        <f>'Reference Score Calculation'!U106</f>
        <v>23</v>
      </c>
      <c r="E115" s="16">
        <v>3</v>
      </c>
      <c r="F115" s="16">
        <v>3</v>
      </c>
      <c r="G115" s="16">
        <v>2</v>
      </c>
      <c r="H115" s="16">
        <v>2</v>
      </c>
      <c r="I115" s="16">
        <v>3</v>
      </c>
      <c r="J115" s="16">
        <v>3</v>
      </c>
      <c r="L115" s="90">
        <v>3</v>
      </c>
      <c r="M115" s="90">
        <v>3</v>
      </c>
      <c r="N115" s="90">
        <v>2</v>
      </c>
      <c r="O115" s="90">
        <v>1</v>
      </c>
      <c r="P115" s="90">
        <v>3</v>
      </c>
      <c r="Q115" s="90">
        <v>3</v>
      </c>
      <c r="S115" s="16">
        <f t="shared" si="43"/>
        <v>0</v>
      </c>
      <c r="T115" s="16">
        <f t="shared" ref="T115:T123" si="46">IF(M115&gt;M$3,0,1)</f>
        <v>0</v>
      </c>
      <c r="U115" s="16">
        <f t="shared" ref="U115:U123" si="47">IF(N115&gt;N$3,0,1)</f>
        <v>0</v>
      </c>
      <c r="V115" s="16">
        <f t="shared" ref="V115:V123" si="48">IF(O115&gt;O$3,0,1)</f>
        <v>0</v>
      </c>
      <c r="W115" s="16">
        <f t="shared" si="44"/>
        <v>0</v>
      </c>
      <c r="X115" s="16">
        <f t="shared" si="45"/>
        <v>0</v>
      </c>
      <c r="Z115" s="16">
        <f t="shared" ref="Z115:Z123" si="49">S115*T115*U115*V115*W115*X115</f>
        <v>0</v>
      </c>
      <c r="AB115" s="16" t="s">
        <v>419</v>
      </c>
      <c r="AC115" s="16" t="s">
        <v>420</v>
      </c>
      <c r="AD115" s="16" t="s">
        <v>421</v>
      </c>
      <c r="AF115" s="2" t="s">
        <v>394</v>
      </c>
      <c r="AG115" s="2" t="s">
        <v>394</v>
      </c>
    </row>
    <row r="116" spans="1:40">
      <c r="A116" s="2" t="str">
        <f>'Reference Score Calculation'!B107</f>
        <v>JS3050</v>
      </c>
      <c r="B116" s="346" t="str">
        <f>'Reference Score Calculation'!B107</f>
        <v>JS3050</v>
      </c>
      <c r="C116" s="2" t="str">
        <f>'Reference Score Calculation'!E107</f>
        <v>時裝(榮譽)文學士組合課程 (時裝設計 / 針織時裝設計 / 內衣及運動服裝 / 時裝商務 / 時裝創新及科技)</v>
      </c>
      <c r="D116" s="16">
        <f>'Reference Score Calculation'!U107</f>
        <v>101</v>
      </c>
      <c r="E116" s="16">
        <v>3</v>
      </c>
      <c r="F116" s="16">
        <v>3</v>
      </c>
      <c r="G116" s="16">
        <v>2</v>
      </c>
      <c r="H116" s="16">
        <v>2</v>
      </c>
      <c r="I116" s="16">
        <v>3</v>
      </c>
      <c r="J116" s="16">
        <v>3</v>
      </c>
      <c r="L116" s="90">
        <v>3</v>
      </c>
      <c r="M116" s="90">
        <v>3</v>
      </c>
      <c r="N116" s="90">
        <v>2</v>
      </c>
      <c r="O116" s="90">
        <v>1</v>
      </c>
      <c r="P116" s="90">
        <v>3</v>
      </c>
      <c r="Q116" s="90">
        <v>3</v>
      </c>
      <c r="S116" s="16">
        <f t="shared" si="43"/>
        <v>0</v>
      </c>
      <c r="T116" s="16">
        <f t="shared" si="46"/>
        <v>0</v>
      </c>
      <c r="U116" s="16">
        <f t="shared" si="47"/>
        <v>0</v>
      </c>
      <c r="V116" s="16">
        <f t="shared" si="48"/>
        <v>0</v>
      </c>
      <c r="W116" s="16">
        <f t="shared" si="44"/>
        <v>0</v>
      </c>
      <c r="X116" s="16">
        <f t="shared" si="45"/>
        <v>0</v>
      </c>
      <c r="Z116" s="16">
        <f t="shared" si="49"/>
        <v>0</v>
      </c>
      <c r="AB116" s="16" t="s">
        <v>419</v>
      </c>
      <c r="AC116" s="16" t="s">
        <v>420</v>
      </c>
      <c r="AD116" s="16" t="s">
        <v>419</v>
      </c>
      <c r="AF116" s="2" t="s">
        <v>394</v>
      </c>
      <c r="AG116" s="2" t="s">
        <v>394</v>
      </c>
    </row>
    <row r="117" spans="1:40">
      <c r="A117" s="2" t="str">
        <f>'Reference Score Calculation'!B108</f>
        <v>JS3060</v>
      </c>
      <c r="B117" s="346" t="str">
        <f>'Reference Score Calculation'!B108</f>
        <v>JS3060</v>
      </c>
      <c r="C117" s="2" t="str">
        <f>'Reference Score Calculation'!E108</f>
        <v>會計及金融(榮譽)工商管理學士組合課程 (會計學 / 會計及金融 / 數碼金融及投資學)</v>
      </c>
      <c r="D117" s="16">
        <f>'Reference Score Calculation'!U108</f>
        <v>78</v>
      </c>
      <c r="E117" s="16">
        <v>3</v>
      </c>
      <c r="F117" s="16">
        <v>3</v>
      </c>
      <c r="G117" s="16">
        <v>2</v>
      </c>
      <c r="H117" s="16">
        <v>2</v>
      </c>
      <c r="I117" s="16">
        <v>3</v>
      </c>
      <c r="J117" s="16">
        <v>3</v>
      </c>
      <c r="L117" s="90">
        <v>3</v>
      </c>
      <c r="M117" s="90">
        <v>3</v>
      </c>
      <c r="N117" s="90">
        <v>2</v>
      </c>
      <c r="O117" s="90">
        <v>1</v>
      </c>
      <c r="P117" s="90">
        <v>3</v>
      </c>
      <c r="Q117" s="90">
        <v>3</v>
      </c>
      <c r="S117" s="16">
        <f t="shared" si="43"/>
        <v>0</v>
      </c>
      <c r="T117" s="16">
        <f t="shared" si="46"/>
        <v>0</v>
      </c>
      <c r="U117" s="16">
        <f t="shared" si="47"/>
        <v>0</v>
      </c>
      <c r="V117" s="16">
        <f t="shared" si="48"/>
        <v>0</v>
      </c>
      <c r="W117" s="16">
        <f t="shared" si="44"/>
        <v>0</v>
      </c>
      <c r="X117" s="16">
        <f t="shared" si="45"/>
        <v>0</v>
      </c>
      <c r="Z117" s="16">
        <f t="shared" si="49"/>
        <v>0</v>
      </c>
      <c r="AB117" s="16" t="s">
        <v>419</v>
      </c>
      <c r="AC117" s="16" t="s">
        <v>420</v>
      </c>
      <c r="AD117" s="16" t="s">
        <v>421</v>
      </c>
      <c r="AF117" s="21" t="s">
        <v>324</v>
      </c>
      <c r="AG117" s="21" t="s">
        <v>324</v>
      </c>
    </row>
    <row r="118" spans="1:40">
      <c r="A118" s="2" t="str">
        <f>'Reference Score Calculation'!B109</f>
        <v>JS3070</v>
      </c>
      <c r="B118" s="346" t="str">
        <f>'Reference Score Calculation'!B109</f>
        <v>JS3070</v>
      </c>
      <c r="C118" s="2" t="str">
        <f>'Reference Score Calculation'!E109</f>
        <v>環球商業及物流、航空、航運及供應鏈管理(榮譽)工商管理學士組合課程</v>
      </c>
      <c r="D118" s="16">
        <f>'Reference Score Calculation'!U109</f>
        <v>43</v>
      </c>
      <c r="E118" s="16">
        <v>3</v>
      </c>
      <c r="F118" s="16">
        <v>3</v>
      </c>
      <c r="G118" s="16">
        <v>2</v>
      </c>
      <c r="H118" s="16">
        <v>2</v>
      </c>
      <c r="I118" s="16">
        <v>3</v>
      </c>
      <c r="J118" s="16">
        <v>3</v>
      </c>
      <c r="L118" s="90">
        <v>3</v>
      </c>
      <c r="M118" s="90">
        <v>3</v>
      </c>
      <c r="N118" s="90">
        <v>2</v>
      </c>
      <c r="O118" s="90">
        <v>1</v>
      </c>
      <c r="P118" s="90">
        <v>3</v>
      </c>
      <c r="Q118" s="90">
        <v>3</v>
      </c>
      <c r="S118" s="16">
        <f t="shared" si="43"/>
        <v>0</v>
      </c>
      <c r="T118" s="16">
        <f t="shared" si="46"/>
        <v>0</v>
      </c>
      <c r="U118" s="16">
        <f t="shared" si="47"/>
        <v>0</v>
      </c>
      <c r="V118" s="16">
        <f t="shared" si="48"/>
        <v>0</v>
      </c>
      <c r="W118" s="16">
        <f t="shared" si="44"/>
        <v>0</v>
      </c>
      <c r="X118" s="16">
        <f t="shared" si="45"/>
        <v>0</v>
      </c>
      <c r="Z118" s="16">
        <f t="shared" si="49"/>
        <v>0</v>
      </c>
      <c r="AB118" s="16" t="s">
        <v>419</v>
      </c>
      <c r="AC118" s="16" t="s">
        <v>420</v>
      </c>
      <c r="AD118" s="16" t="s">
        <v>421</v>
      </c>
      <c r="AF118" s="2" t="s">
        <v>394</v>
      </c>
      <c r="AG118" s="2" t="s">
        <v>394</v>
      </c>
    </row>
    <row r="119" spans="1:40">
      <c r="A119" s="2" t="str">
        <f>'Reference Score Calculation'!B110</f>
        <v>JS3080</v>
      </c>
      <c r="B119" s="346" t="str">
        <f>'Reference Score Calculation'!B110</f>
        <v>JS3080</v>
      </c>
      <c r="C119" s="2" t="str">
        <f>'Reference Score Calculation'!E110</f>
        <v>管理及市場學(榮譽)工商管理學士組合課程 (管理學 / 市場學)</v>
      </c>
      <c r="D119" s="16">
        <f>'Reference Score Calculation'!U110</f>
        <v>48</v>
      </c>
      <c r="E119" s="16">
        <v>3</v>
      </c>
      <c r="F119" s="16">
        <v>3</v>
      </c>
      <c r="G119" s="16">
        <v>2</v>
      </c>
      <c r="H119" s="16">
        <v>2</v>
      </c>
      <c r="I119" s="16">
        <v>3</v>
      </c>
      <c r="J119" s="16">
        <v>3</v>
      </c>
      <c r="L119" s="90">
        <v>3</v>
      </c>
      <c r="M119" s="90">
        <v>3</v>
      </c>
      <c r="N119" s="90">
        <v>2</v>
      </c>
      <c r="O119" s="90">
        <v>1</v>
      </c>
      <c r="P119" s="90">
        <v>3</v>
      </c>
      <c r="Q119" s="90">
        <v>3</v>
      </c>
      <c r="S119" s="16">
        <f t="shared" si="43"/>
        <v>0</v>
      </c>
      <c r="T119" s="16">
        <f t="shared" si="46"/>
        <v>0</v>
      </c>
      <c r="U119" s="16">
        <f t="shared" si="47"/>
        <v>0</v>
      </c>
      <c r="V119" s="16">
        <f t="shared" si="48"/>
        <v>0</v>
      </c>
      <c r="W119" s="16">
        <f t="shared" si="44"/>
        <v>0</v>
      </c>
      <c r="X119" s="16">
        <f t="shared" si="45"/>
        <v>0</v>
      </c>
      <c r="Z119" s="16">
        <f t="shared" si="49"/>
        <v>0</v>
      </c>
      <c r="AB119" s="16" t="s">
        <v>419</v>
      </c>
      <c r="AC119" s="16" t="s">
        <v>420</v>
      </c>
      <c r="AD119" s="16" t="s">
        <v>421</v>
      </c>
      <c r="AF119" s="2" t="s">
        <v>394</v>
      </c>
      <c r="AG119" s="2" t="s">
        <v>394</v>
      </c>
    </row>
    <row r="120" spans="1:40">
      <c r="A120" s="2" t="str">
        <f>'Reference Score Calculation'!B111</f>
        <v>JS3130</v>
      </c>
      <c r="B120" s="346" t="str">
        <f>'Reference Score Calculation'!B111</f>
        <v>JS3130</v>
      </c>
      <c r="C120" s="2" t="str">
        <f>'Reference Score Calculation'!E111</f>
        <v>空間數據科學及智慧城市(榮譽)理學士組合課程 (土地測量及地理資訊學 / 城市信息學及智慧城市)</v>
      </c>
      <c r="D120" s="16">
        <f>'Reference Score Calculation'!U111</f>
        <v>35</v>
      </c>
      <c r="E120" s="16">
        <v>3</v>
      </c>
      <c r="F120" s="16">
        <v>3</v>
      </c>
      <c r="G120" s="16">
        <v>2</v>
      </c>
      <c r="H120" s="16">
        <v>2</v>
      </c>
      <c r="I120" s="16">
        <v>3</v>
      </c>
      <c r="J120" s="16">
        <v>3</v>
      </c>
      <c r="L120" s="90">
        <v>3</v>
      </c>
      <c r="M120" s="90">
        <v>3</v>
      </c>
      <c r="N120" s="90">
        <v>2</v>
      </c>
      <c r="O120" s="90">
        <v>1</v>
      </c>
      <c r="P120" s="90">
        <v>3</v>
      </c>
      <c r="Q120" s="90">
        <v>3</v>
      </c>
      <c r="S120" s="16">
        <f t="shared" si="43"/>
        <v>0</v>
      </c>
      <c r="T120" s="16">
        <f t="shared" si="46"/>
        <v>0</v>
      </c>
      <c r="U120" s="16">
        <f t="shared" si="47"/>
        <v>0</v>
      </c>
      <c r="V120" s="16">
        <f t="shared" si="48"/>
        <v>0</v>
      </c>
      <c r="W120" s="16">
        <f t="shared" si="44"/>
        <v>0</v>
      </c>
      <c r="X120" s="16">
        <f t="shared" si="45"/>
        <v>0</v>
      </c>
      <c r="Z120" s="16">
        <f t="shared" si="49"/>
        <v>0</v>
      </c>
      <c r="AB120" s="16" t="s">
        <v>419</v>
      </c>
      <c r="AC120" s="16" t="s">
        <v>420</v>
      </c>
      <c r="AD120" s="16" t="s">
        <v>421</v>
      </c>
      <c r="AF120" s="2" t="s">
        <v>394</v>
      </c>
      <c r="AG120" s="2" t="s">
        <v>394</v>
      </c>
    </row>
    <row r="121" spans="1:40">
      <c r="A121" s="2" t="str">
        <f>'Reference Score Calculation'!B112</f>
        <v>JS3140</v>
      </c>
      <c r="B121" s="346" t="str">
        <f>'Reference Score Calculation'!B112</f>
        <v>JS3140</v>
      </c>
      <c r="C121" s="2" t="str">
        <f>'Reference Score Calculation'!E112</f>
        <v>航空工程學(榮譽)工學士組合課程 (航空工程學 / 民航工程學)</v>
      </c>
      <c r="D121" s="16">
        <f>'Reference Score Calculation'!U112</f>
        <v>49</v>
      </c>
      <c r="E121" s="16">
        <v>3</v>
      </c>
      <c r="F121" s="16">
        <v>3</v>
      </c>
      <c r="G121" s="16">
        <v>2</v>
      </c>
      <c r="H121" s="16">
        <v>2</v>
      </c>
      <c r="I121" s="16">
        <v>3</v>
      </c>
      <c r="J121" s="16">
        <v>3</v>
      </c>
      <c r="L121" s="90">
        <v>3</v>
      </c>
      <c r="M121" s="90">
        <v>3</v>
      </c>
      <c r="N121" s="90">
        <v>2</v>
      </c>
      <c r="O121" s="90">
        <v>1</v>
      </c>
      <c r="P121" s="90">
        <v>3</v>
      </c>
      <c r="Q121" s="90">
        <v>3</v>
      </c>
      <c r="S121" s="16">
        <f t="shared" si="43"/>
        <v>0</v>
      </c>
      <c r="T121" s="16">
        <f t="shared" si="46"/>
        <v>0</v>
      </c>
      <c r="U121" s="16">
        <f t="shared" si="47"/>
        <v>0</v>
      </c>
      <c r="V121" s="16">
        <f t="shared" si="48"/>
        <v>0</v>
      </c>
      <c r="W121" s="16">
        <f t="shared" si="44"/>
        <v>0</v>
      </c>
      <c r="X121" s="16">
        <f t="shared" si="45"/>
        <v>0</v>
      </c>
      <c r="Z121" s="16">
        <f t="shared" si="49"/>
        <v>0</v>
      </c>
      <c r="AA121" s="2"/>
      <c r="AB121" s="16" t="s">
        <v>419</v>
      </c>
      <c r="AC121" s="16" t="s">
        <v>420</v>
      </c>
      <c r="AD121" s="16" t="s">
        <v>421</v>
      </c>
      <c r="AF121" s="2" t="s">
        <v>394</v>
      </c>
      <c r="AG121" s="2" t="s">
        <v>394</v>
      </c>
    </row>
    <row r="122" spans="1:40">
      <c r="A122" s="2" t="str">
        <f>'Reference Score Calculation'!B113</f>
        <v>JS3150</v>
      </c>
      <c r="B122" s="346" t="str">
        <f>'Reference Score Calculation'!B113</f>
        <v>JS3150</v>
      </c>
      <c r="C122" s="2" t="str">
        <f>'Reference Score Calculation'!E113</f>
        <v>生物醫學工程(榮譽)理學士組合課程</v>
      </c>
      <c r="D122" s="16">
        <f>'Reference Score Calculation'!U113</f>
        <v>22</v>
      </c>
      <c r="E122" s="16">
        <v>3</v>
      </c>
      <c r="F122" s="16">
        <v>3</v>
      </c>
      <c r="G122" s="16">
        <v>2</v>
      </c>
      <c r="H122" s="16">
        <v>2</v>
      </c>
      <c r="I122" s="16">
        <v>3</v>
      </c>
      <c r="J122" s="16">
        <v>3</v>
      </c>
      <c r="L122" s="90">
        <v>3</v>
      </c>
      <c r="M122" s="90">
        <v>3</v>
      </c>
      <c r="N122" s="90">
        <v>2</v>
      </c>
      <c r="O122" s="90">
        <v>1</v>
      </c>
      <c r="P122" s="90">
        <v>3</v>
      </c>
      <c r="Q122" s="90">
        <v>3</v>
      </c>
      <c r="S122" s="16">
        <f t="shared" si="43"/>
        <v>0</v>
      </c>
      <c r="T122" s="16">
        <f t="shared" si="46"/>
        <v>0</v>
      </c>
      <c r="U122" s="16">
        <f t="shared" si="47"/>
        <v>0</v>
      </c>
      <c r="V122" s="16">
        <f t="shared" si="48"/>
        <v>0</v>
      </c>
      <c r="W122" s="16">
        <f t="shared" si="44"/>
        <v>0</v>
      </c>
      <c r="X122" s="16">
        <f t="shared" si="45"/>
        <v>0</v>
      </c>
      <c r="Z122" s="16">
        <f t="shared" si="49"/>
        <v>0</v>
      </c>
      <c r="AA122" s="2"/>
      <c r="AB122" s="16" t="s">
        <v>419</v>
      </c>
      <c r="AC122" s="16" t="s">
        <v>420</v>
      </c>
      <c r="AD122" s="16" t="s">
        <v>421</v>
      </c>
      <c r="AF122" s="2" t="s">
        <v>394</v>
      </c>
      <c r="AG122" s="2" t="s">
        <v>394</v>
      </c>
    </row>
    <row r="123" spans="1:40">
      <c r="A123" s="2" t="str">
        <f>'Reference Score Calculation'!B114</f>
        <v>JS3170</v>
      </c>
      <c r="B123" s="346" t="str">
        <f>'Reference Score Calculation'!B114</f>
        <v>JS3170</v>
      </c>
      <c r="C123" s="2" t="str">
        <f>'Reference Score Calculation'!E114</f>
        <v>電機工程學(榮譽)工學士組合課程 (電機工程學 / 運輸系統工程學)</v>
      </c>
      <c r="D123" s="16">
        <f>'Reference Score Calculation'!U114</f>
        <v>49</v>
      </c>
      <c r="E123" s="16">
        <v>3</v>
      </c>
      <c r="F123" s="16">
        <v>3</v>
      </c>
      <c r="G123" s="16">
        <v>2</v>
      </c>
      <c r="H123" s="16">
        <v>2</v>
      </c>
      <c r="I123" s="16">
        <v>3</v>
      </c>
      <c r="J123" s="16">
        <v>3</v>
      </c>
      <c r="L123" s="90">
        <v>3</v>
      </c>
      <c r="M123" s="90">
        <v>3</v>
      </c>
      <c r="N123" s="90">
        <v>2</v>
      </c>
      <c r="O123" s="90">
        <v>1</v>
      </c>
      <c r="P123" s="90">
        <v>3</v>
      </c>
      <c r="Q123" s="90">
        <v>3</v>
      </c>
      <c r="S123" s="16">
        <f t="shared" si="43"/>
        <v>0</v>
      </c>
      <c r="T123" s="16">
        <f t="shared" si="46"/>
        <v>0</v>
      </c>
      <c r="U123" s="16">
        <f t="shared" si="47"/>
        <v>0</v>
      </c>
      <c r="V123" s="16">
        <f t="shared" si="48"/>
        <v>0</v>
      </c>
      <c r="W123" s="16">
        <f t="shared" si="44"/>
        <v>0</v>
      </c>
      <c r="X123" s="16">
        <f t="shared" si="45"/>
        <v>0</v>
      </c>
      <c r="Z123" s="16">
        <f t="shared" si="49"/>
        <v>0</v>
      </c>
      <c r="AB123" s="16" t="s">
        <v>419</v>
      </c>
      <c r="AC123" s="16" t="s">
        <v>420</v>
      </c>
      <c r="AD123" s="16" t="s">
        <v>421</v>
      </c>
      <c r="AF123" s="2" t="s">
        <v>394</v>
      </c>
      <c r="AG123" s="2" t="s">
        <v>394</v>
      </c>
    </row>
    <row r="124" spans="1:40">
      <c r="A124" s="2" t="str">
        <f>'Reference Score Calculation'!B115</f>
        <v>JS3180</v>
      </c>
      <c r="B124" s="346" t="str">
        <f>'Reference Score Calculation'!B115</f>
        <v>JS3180</v>
      </c>
      <c r="C124" s="2" t="str">
        <f>'Reference Score Calculation'!E115</f>
        <v>資訊及人工智能工程學(榮譽)工學士/理學士組合課程 (物聯網 / 人工智能 / 資訊安全)</v>
      </c>
      <c r="D124" s="16">
        <f>'Reference Score Calculation'!U115</f>
        <v>56</v>
      </c>
      <c r="E124" s="16">
        <v>3</v>
      </c>
      <c r="F124" s="16">
        <v>3</v>
      </c>
      <c r="G124" s="16">
        <v>2</v>
      </c>
      <c r="H124" s="16">
        <v>2</v>
      </c>
      <c r="I124" s="16">
        <v>3</v>
      </c>
      <c r="J124" s="16">
        <v>3</v>
      </c>
      <c r="L124" s="90">
        <v>3</v>
      </c>
      <c r="M124" s="90">
        <v>3</v>
      </c>
      <c r="N124" s="90">
        <v>2</v>
      </c>
      <c r="O124" s="90">
        <v>1</v>
      </c>
      <c r="P124" s="90">
        <v>3</v>
      </c>
      <c r="Q124" s="90">
        <v>3</v>
      </c>
      <c r="S124" s="16">
        <f t="shared" ref="S124:S151" si="50">IF(L124&gt;L$3,0,1)</f>
        <v>0</v>
      </c>
      <c r="T124" s="16">
        <f t="shared" ref="T124:T151" si="51">IF(M124&gt;M$3,0,1)</f>
        <v>0</v>
      </c>
      <c r="U124" s="16">
        <f t="shared" ref="U124:U151" si="52">IF(N124&gt;N$3,0,1)</f>
        <v>0</v>
      </c>
      <c r="V124" s="16">
        <f t="shared" ref="V124:V151" si="53">IF(O124&gt;O$3,0,1)</f>
        <v>0</v>
      </c>
      <c r="W124" s="16">
        <f t="shared" ref="W124:W138" si="54">IF(P124&gt;LARGE($P$3:$U$3,1),0,1)</f>
        <v>0</v>
      </c>
      <c r="X124" s="16">
        <f t="shared" ref="X124:X138" si="55">IF(Q124&gt;LARGE($P$3:$U$3,2),0,1)</f>
        <v>0</v>
      </c>
      <c r="Z124" s="16">
        <f t="shared" ref="Z124:Z151" si="56">S124*T124*U124*V124*W124*X124</f>
        <v>0</v>
      </c>
      <c r="AB124" s="16" t="s">
        <v>419</v>
      </c>
      <c r="AC124" s="16" t="s">
        <v>420</v>
      </c>
      <c r="AD124" s="16" t="s">
        <v>419</v>
      </c>
      <c r="AF124" s="2" t="s">
        <v>394</v>
      </c>
      <c r="AG124" s="2" t="s">
        <v>394</v>
      </c>
    </row>
    <row r="125" spans="1:40">
      <c r="A125" s="2" t="str">
        <f>'Reference Score Calculation'!B116</f>
        <v>JS3211</v>
      </c>
      <c r="B125" s="346" t="str">
        <f>'Reference Score Calculation'!B116</f>
        <v>JS3211</v>
      </c>
      <c r="C125" s="2" t="str">
        <f>'Reference Score Calculation'!E116</f>
        <v>建築科學及工程學(榮譽)工學士</v>
      </c>
      <c r="D125" s="16">
        <f>'Reference Score Calculation'!U116</f>
        <v>38</v>
      </c>
      <c r="E125" s="16">
        <v>3</v>
      </c>
      <c r="F125" s="16">
        <v>3</v>
      </c>
      <c r="G125" s="16">
        <v>2</v>
      </c>
      <c r="H125" s="16">
        <v>2</v>
      </c>
      <c r="I125" s="16">
        <v>3</v>
      </c>
      <c r="J125" s="16">
        <v>3</v>
      </c>
      <c r="L125" s="90">
        <v>3</v>
      </c>
      <c r="M125" s="90">
        <v>3</v>
      </c>
      <c r="N125" s="90">
        <v>2</v>
      </c>
      <c r="O125" s="90">
        <v>1</v>
      </c>
      <c r="P125" s="90">
        <v>3</v>
      </c>
      <c r="Q125" s="90">
        <v>3</v>
      </c>
      <c r="S125" s="16">
        <f t="shared" si="50"/>
        <v>0</v>
      </c>
      <c r="T125" s="16">
        <f t="shared" si="51"/>
        <v>0</v>
      </c>
      <c r="U125" s="16">
        <f t="shared" si="52"/>
        <v>0</v>
      </c>
      <c r="V125" s="16">
        <f t="shared" si="53"/>
        <v>0</v>
      </c>
      <c r="W125" s="16">
        <f t="shared" si="54"/>
        <v>0</v>
      </c>
      <c r="X125" s="16">
        <f t="shared" si="55"/>
        <v>0</v>
      </c>
      <c r="Z125" s="16">
        <f t="shared" si="56"/>
        <v>0</v>
      </c>
      <c r="AB125" s="16" t="s">
        <v>419</v>
      </c>
      <c r="AC125" s="16" t="s">
        <v>420</v>
      </c>
      <c r="AD125" s="16" t="s">
        <v>419</v>
      </c>
      <c r="AF125" s="2" t="s">
        <v>394</v>
      </c>
      <c r="AG125" s="2" t="s">
        <v>394</v>
      </c>
    </row>
    <row r="126" spans="1:40">
      <c r="A126" s="2" t="str">
        <f>'Reference Score Calculation'!B117</f>
        <v>JS3214</v>
      </c>
      <c r="B126" s="346" t="str">
        <f>'Reference Score Calculation'!B117</f>
        <v>JS3214</v>
      </c>
      <c r="C126" s="2" t="str">
        <f>'Reference Score Calculation'!E117</f>
        <v>建築學(榮譽)理學士</v>
      </c>
      <c r="D126" s="16">
        <f>'Reference Score Calculation'!U117</f>
        <v>27</v>
      </c>
      <c r="L126" s="90">
        <v>3</v>
      </c>
      <c r="M126" s="90">
        <v>3</v>
      </c>
      <c r="N126" s="90">
        <v>2</v>
      </c>
      <c r="O126" s="90">
        <v>1</v>
      </c>
      <c r="P126" s="90">
        <v>3</v>
      </c>
      <c r="Q126" s="90">
        <v>3</v>
      </c>
      <c r="S126" s="16">
        <f t="shared" si="50"/>
        <v>0</v>
      </c>
      <c r="T126" s="16">
        <f t="shared" si="51"/>
        <v>0</v>
      </c>
      <c r="U126" s="16">
        <f t="shared" si="52"/>
        <v>0</v>
      </c>
      <c r="V126" s="16">
        <f t="shared" si="53"/>
        <v>0</v>
      </c>
      <c r="W126" s="16">
        <f t="shared" si="54"/>
        <v>0</v>
      </c>
      <c r="X126" s="16">
        <f t="shared" si="55"/>
        <v>0</v>
      </c>
      <c r="Z126" s="16">
        <f t="shared" si="56"/>
        <v>0</v>
      </c>
      <c r="AB126" s="16" t="s">
        <v>419</v>
      </c>
      <c r="AC126" s="16" t="s">
        <v>420</v>
      </c>
      <c r="AD126" s="16" t="s">
        <v>421</v>
      </c>
      <c r="AF126" s="2" t="s">
        <v>394</v>
      </c>
      <c r="AG126" s="2" t="s">
        <v>394</v>
      </c>
    </row>
    <row r="127" spans="1:40">
      <c r="A127" s="2" t="str">
        <f>'Reference Score Calculation'!B118</f>
        <v>JS3220</v>
      </c>
      <c r="B127" s="346" t="str">
        <f>'Reference Score Calculation'!B118</f>
        <v>JS3220</v>
      </c>
      <c r="C127" s="2" t="str">
        <f>'Reference Score Calculation'!E118</f>
        <v>應用數學及金融分析(榮譽)理學士組合課程 (應用數學 / 投資科學及金融分析 / 量化金融及金融科技)</v>
      </c>
      <c r="D127" s="16">
        <f>'Reference Score Calculation'!U118</f>
        <v>19</v>
      </c>
      <c r="E127" s="16">
        <v>3</v>
      </c>
      <c r="F127" s="16">
        <v>3</v>
      </c>
      <c r="G127" s="16">
        <v>2</v>
      </c>
      <c r="H127" s="16">
        <v>2</v>
      </c>
      <c r="I127" s="16">
        <v>3</v>
      </c>
      <c r="J127" s="16">
        <v>3</v>
      </c>
      <c r="L127" s="90">
        <v>3</v>
      </c>
      <c r="M127" s="90">
        <v>3</v>
      </c>
      <c r="N127" s="90">
        <v>2</v>
      </c>
      <c r="O127" s="90">
        <v>1</v>
      </c>
      <c r="P127" s="90">
        <v>3</v>
      </c>
      <c r="Q127" s="90">
        <v>3</v>
      </c>
      <c r="S127" s="16">
        <f t="shared" si="50"/>
        <v>0</v>
      </c>
      <c r="T127" s="16">
        <f t="shared" si="51"/>
        <v>0</v>
      </c>
      <c r="U127" s="16">
        <f t="shared" si="52"/>
        <v>0</v>
      </c>
      <c r="V127" s="16">
        <f t="shared" si="53"/>
        <v>0</v>
      </c>
      <c r="W127" s="16">
        <f t="shared" si="54"/>
        <v>0</v>
      </c>
      <c r="X127" s="16">
        <f t="shared" si="55"/>
        <v>0</v>
      </c>
      <c r="Z127" s="16">
        <f t="shared" si="56"/>
        <v>0</v>
      </c>
      <c r="AB127" s="16" t="s">
        <v>419</v>
      </c>
      <c r="AC127" s="16" t="s">
        <v>420</v>
      </c>
      <c r="AD127" s="16" t="s">
        <v>421</v>
      </c>
      <c r="AF127" s="2" t="s">
        <v>394</v>
      </c>
      <c r="AG127" s="2" t="s">
        <v>394</v>
      </c>
    </row>
    <row r="128" spans="1:40">
      <c r="A128" s="2" t="str">
        <f>'Reference Score Calculation'!B119</f>
        <v>JS3223</v>
      </c>
      <c r="B128" s="346" t="str">
        <f>'Reference Score Calculation'!B119</f>
        <v>JS3223</v>
      </c>
      <c r="C128" s="2" t="str">
        <f>'Reference Score Calculation'!E119</f>
        <v>數據科學及人工智能(榮譽)理學士組合課程 (數據科學及分析 / 金融科技及人工智能)</v>
      </c>
      <c r="D128" s="16">
        <f>'Reference Score Calculation'!U119</f>
        <v>32</v>
      </c>
      <c r="E128" s="16">
        <v>3</v>
      </c>
      <c r="F128" s="16">
        <v>3</v>
      </c>
      <c r="G128" s="16">
        <v>2</v>
      </c>
      <c r="H128" s="16">
        <v>2</v>
      </c>
      <c r="I128" s="16">
        <v>3</v>
      </c>
      <c r="J128" s="16">
        <v>3</v>
      </c>
      <c r="L128" s="90">
        <v>3</v>
      </c>
      <c r="M128" s="90">
        <v>3</v>
      </c>
      <c r="N128" s="90">
        <v>2</v>
      </c>
      <c r="O128" s="90">
        <v>1</v>
      </c>
      <c r="P128" s="90">
        <v>3</v>
      </c>
      <c r="Q128" s="90">
        <v>3</v>
      </c>
      <c r="S128" s="16">
        <f t="shared" si="50"/>
        <v>0</v>
      </c>
      <c r="T128" s="16">
        <f t="shared" si="51"/>
        <v>0</v>
      </c>
      <c r="U128" s="16">
        <f t="shared" si="52"/>
        <v>0</v>
      </c>
      <c r="V128" s="16">
        <f t="shared" si="53"/>
        <v>0</v>
      </c>
      <c r="W128" s="16">
        <f t="shared" si="54"/>
        <v>0</v>
      </c>
      <c r="X128" s="16">
        <f t="shared" si="55"/>
        <v>0</v>
      </c>
      <c r="Z128" s="16">
        <f t="shared" si="56"/>
        <v>0</v>
      </c>
      <c r="AB128" s="16" t="s">
        <v>419</v>
      </c>
      <c r="AC128" s="16" t="s">
        <v>420</v>
      </c>
      <c r="AD128" s="16" t="s">
        <v>421</v>
      </c>
      <c r="AF128" s="2" t="s">
        <v>394</v>
      </c>
      <c r="AG128" s="2" t="s">
        <v>394</v>
      </c>
    </row>
    <row r="129" spans="1:33">
      <c r="A129" s="2" t="str">
        <f>'Reference Score Calculation'!B120</f>
        <v>JS3236</v>
      </c>
      <c r="B129" s="346" t="str">
        <f>'Reference Score Calculation'!B120</f>
        <v>JS3236</v>
      </c>
      <c r="C129" s="2" t="str">
        <f>'Reference Score Calculation'!E120</f>
        <v>產品創新及智能製造(榮譽)工學士組合課程 (產品創新兼市場學 / 智能製造)</v>
      </c>
      <c r="D129" s="16">
        <f>'Reference Score Calculation'!U120</f>
        <v>46</v>
      </c>
      <c r="E129" s="16">
        <v>3</v>
      </c>
      <c r="F129" s="16">
        <v>3</v>
      </c>
      <c r="G129" s="16">
        <v>2</v>
      </c>
      <c r="H129" s="16">
        <v>2</v>
      </c>
      <c r="I129" s="16">
        <v>3</v>
      </c>
      <c r="J129" s="16">
        <v>3</v>
      </c>
      <c r="L129" s="90">
        <v>3</v>
      </c>
      <c r="M129" s="90">
        <v>3</v>
      </c>
      <c r="N129" s="90">
        <v>2</v>
      </c>
      <c r="O129" s="90">
        <v>1</v>
      </c>
      <c r="P129" s="90">
        <v>3</v>
      </c>
      <c r="Q129" s="90">
        <v>3</v>
      </c>
      <c r="S129" s="16">
        <f t="shared" si="50"/>
        <v>0</v>
      </c>
      <c r="T129" s="16">
        <f t="shared" si="51"/>
        <v>0</v>
      </c>
      <c r="U129" s="16">
        <f t="shared" si="52"/>
        <v>0</v>
      </c>
      <c r="V129" s="16">
        <f t="shared" si="53"/>
        <v>0</v>
      </c>
      <c r="W129" s="16">
        <f t="shared" si="54"/>
        <v>0</v>
      </c>
      <c r="X129" s="16">
        <f t="shared" si="55"/>
        <v>0</v>
      </c>
      <c r="Z129" s="16">
        <f t="shared" si="56"/>
        <v>0</v>
      </c>
      <c r="AB129" s="16" t="s">
        <v>419</v>
      </c>
      <c r="AC129" s="16" t="s">
        <v>420</v>
      </c>
      <c r="AD129" s="16" t="s">
        <v>419</v>
      </c>
      <c r="AF129" s="2" t="s">
        <v>394</v>
      </c>
      <c r="AG129" s="2" t="s">
        <v>394</v>
      </c>
    </row>
    <row r="130" spans="1:33">
      <c r="A130" s="2" t="str">
        <f>'Reference Score Calculation'!B121</f>
        <v>JS3237</v>
      </c>
      <c r="B130" s="346" t="str">
        <f>'Reference Score Calculation'!B121</f>
        <v>JS3237</v>
      </c>
      <c r="C130" s="2" t="str">
        <f>'Reference Score Calculation'!E121</f>
        <v>智能供應鏈及工程管理(榮譽)理學士組合課程 (智能供應鏈 / 工程管理兼數據分析)</v>
      </c>
      <c r="D130" s="16">
        <f>'Reference Score Calculation'!U121</f>
        <v>43</v>
      </c>
      <c r="E130" s="16">
        <v>3</v>
      </c>
      <c r="F130" s="16">
        <v>3</v>
      </c>
      <c r="G130" s="16">
        <v>2</v>
      </c>
      <c r="H130" s="16">
        <v>2</v>
      </c>
      <c r="I130" s="16">
        <v>3</v>
      </c>
      <c r="J130" s="16">
        <v>3</v>
      </c>
      <c r="L130" s="90">
        <v>3</v>
      </c>
      <c r="M130" s="90">
        <v>3</v>
      </c>
      <c r="N130" s="90">
        <v>2</v>
      </c>
      <c r="O130" s="90">
        <v>1</v>
      </c>
      <c r="P130" s="90">
        <v>3</v>
      </c>
      <c r="Q130" s="90">
        <v>3</v>
      </c>
      <c r="S130" s="16">
        <f t="shared" si="50"/>
        <v>0</v>
      </c>
      <c r="T130" s="16">
        <f t="shared" si="51"/>
        <v>0</v>
      </c>
      <c r="U130" s="16">
        <f t="shared" si="52"/>
        <v>0</v>
      </c>
      <c r="V130" s="16">
        <f t="shared" si="53"/>
        <v>0</v>
      </c>
      <c r="W130" s="16">
        <f t="shared" si="54"/>
        <v>0</v>
      </c>
      <c r="X130" s="16">
        <f t="shared" si="55"/>
        <v>0</v>
      </c>
      <c r="Z130" s="16">
        <f t="shared" si="56"/>
        <v>0</v>
      </c>
      <c r="AB130" s="16" t="s">
        <v>419</v>
      </c>
      <c r="AC130" s="16" t="s">
        <v>420</v>
      </c>
      <c r="AD130" s="16" t="s">
        <v>419</v>
      </c>
      <c r="AF130" s="2" t="s">
        <v>394</v>
      </c>
      <c r="AG130" s="2" t="s">
        <v>394</v>
      </c>
    </row>
    <row r="131" spans="1:33">
      <c r="A131" s="2" t="str">
        <f>'Reference Score Calculation'!B122</f>
        <v>JS3240</v>
      </c>
      <c r="B131" s="346" t="str">
        <f>'Reference Score Calculation'!B122</f>
        <v>JS3240</v>
      </c>
      <c r="C131" s="2" t="str">
        <f>'Reference Score Calculation'!E122</f>
        <v>英文及應用語言學(榮譽)文學士</v>
      </c>
      <c r="D131" s="16">
        <f>'Reference Score Calculation'!U122</f>
        <v>32</v>
      </c>
      <c r="E131" s="16">
        <v>3</v>
      </c>
      <c r="F131" s="16">
        <v>3</v>
      </c>
      <c r="G131" s="16">
        <v>2</v>
      </c>
      <c r="H131" s="16">
        <v>2</v>
      </c>
      <c r="I131" s="16">
        <v>3</v>
      </c>
      <c r="J131" s="16">
        <v>3</v>
      </c>
      <c r="L131" s="90">
        <v>3</v>
      </c>
      <c r="M131" s="90">
        <v>3</v>
      </c>
      <c r="N131" s="90">
        <v>2</v>
      </c>
      <c r="O131" s="90">
        <v>1</v>
      </c>
      <c r="P131" s="90">
        <v>3</v>
      </c>
      <c r="Q131" s="90">
        <v>3</v>
      </c>
      <c r="S131" s="16">
        <f t="shared" si="50"/>
        <v>0</v>
      </c>
      <c r="T131" s="16">
        <f t="shared" si="51"/>
        <v>0</v>
      </c>
      <c r="U131" s="16">
        <f t="shared" si="52"/>
        <v>0</v>
      </c>
      <c r="V131" s="16">
        <f t="shared" si="53"/>
        <v>0</v>
      </c>
      <c r="W131" s="16">
        <f t="shared" si="54"/>
        <v>0</v>
      </c>
      <c r="X131" s="16">
        <f t="shared" si="55"/>
        <v>0</v>
      </c>
      <c r="Z131" s="16">
        <f t="shared" si="56"/>
        <v>0</v>
      </c>
      <c r="AB131" s="16" t="s">
        <v>419</v>
      </c>
      <c r="AC131" s="16" t="s">
        <v>420</v>
      </c>
      <c r="AD131" s="16" t="s">
        <v>419</v>
      </c>
      <c r="AF131" s="2" t="s">
        <v>394</v>
      </c>
      <c r="AG131" s="2" t="s">
        <v>394</v>
      </c>
    </row>
    <row r="132" spans="1:33">
      <c r="A132" s="2" t="str">
        <f>'Reference Score Calculation'!B123</f>
        <v>JS3241</v>
      </c>
      <c r="B132" s="346" t="str">
        <f>'Reference Score Calculation'!B123</f>
        <v>JS3241</v>
      </c>
      <c r="C132" s="2" t="str">
        <f>'Reference Score Calculation'!E123</f>
        <v>翻譯學、語言科學與語言數據分析(榮譽)文學士/理學士組合課程 (語言學及翻譯學 / 語言科學與語言數據分析)</v>
      </c>
      <c r="D132" s="16">
        <f>'Reference Score Calculation'!U123</f>
        <v>15</v>
      </c>
      <c r="E132" s="16">
        <v>3</v>
      </c>
      <c r="F132" s="16">
        <v>3</v>
      </c>
      <c r="G132" s="16">
        <v>2</v>
      </c>
      <c r="H132" s="16">
        <v>2</v>
      </c>
      <c r="I132" s="16">
        <v>3</v>
      </c>
      <c r="J132" s="16">
        <v>3</v>
      </c>
      <c r="L132" s="90">
        <v>3</v>
      </c>
      <c r="M132" s="90">
        <v>3</v>
      </c>
      <c r="N132" s="90">
        <v>2</v>
      </c>
      <c r="O132" s="90">
        <v>1</v>
      </c>
      <c r="P132" s="90">
        <v>3</v>
      </c>
      <c r="Q132" s="90">
        <v>3</v>
      </c>
      <c r="S132" s="16">
        <f t="shared" si="50"/>
        <v>0</v>
      </c>
      <c r="T132" s="16">
        <f t="shared" si="51"/>
        <v>0</v>
      </c>
      <c r="U132" s="16">
        <f t="shared" si="52"/>
        <v>0</v>
      </c>
      <c r="V132" s="16">
        <f t="shared" si="53"/>
        <v>0</v>
      </c>
      <c r="W132" s="16">
        <f t="shared" si="54"/>
        <v>0</v>
      </c>
      <c r="X132" s="16">
        <f t="shared" si="55"/>
        <v>0</v>
      </c>
      <c r="Z132" s="16">
        <f t="shared" si="56"/>
        <v>0</v>
      </c>
      <c r="AB132" s="16" t="s">
        <v>419</v>
      </c>
      <c r="AC132" s="16" t="s">
        <v>420</v>
      </c>
      <c r="AD132" s="16" t="s">
        <v>421</v>
      </c>
      <c r="AF132" s="2" t="s">
        <v>394</v>
      </c>
      <c r="AG132" s="2" t="s">
        <v>394</v>
      </c>
    </row>
    <row r="133" spans="1:33">
      <c r="A133" s="2" t="str">
        <f>'Reference Score Calculation'!B124</f>
        <v>JS3242</v>
      </c>
      <c r="B133" s="346" t="str">
        <f>'Reference Score Calculation'!B124</f>
        <v>JS3242</v>
      </c>
      <c r="C133" s="2" t="str">
        <f>'Reference Score Calculation'!E124</f>
        <v>言語治療(榮譽)理學士</v>
      </c>
      <c r="D133" s="16">
        <f>'Reference Score Calculation'!U124</f>
        <v>30</v>
      </c>
      <c r="E133" s="16">
        <v>3</v>
      </c>
      <c r="F133" s="16">
        <v>3</v>
      </c>
      <c r="G133" s="16">
        <v>2</v>
      </c>
      <c r="H133" s="16">
        <v>2</v>
      </c>
      <c r="I133" s="16">
        <v>3</v>
      </c>
      <c r="J133" s="16">
        <v>3</v>
      </c>
      <c r="L133" s="90">
        <v>3</v>
      </c>
      <c r="M133" s="90">
        <v>3</v>
      </c>
      <c r="N133" s="90">
        <v>2</v>
      </c>
      <c r="O133" s="90">
        <v>1</v>
      </c>
      <c r="P133" s="90">
        <v>3</v>
      </c>
      <c r="Q133" s="90">
        <v>3</v>
      </c>
      <c r="S133" s="16">
        <f t="shared" si="50"/>
        <v>0</v>
      </c>
      <c r="T133" s="16">
        <f t="shared" si="51"/>
        <v>0</v>
      </c>
      <c r="U133" s="16">
        <f t="shared" si="52"/>
        <v>0</v>
      </c>
      <c r="V133" s="16">
        <f t="shared" si="53"/>
        <v>0</v>
      </c>
      <c r="W133" s="16">
        <f t="shared" si="54"/>
        <v>0</v>
      </c>
      <c r="X133" s="16">
        <f t="shared" si="55"/>
        <v>0</v>
      </c>
      <c r="Z133" s="16">
        <f t="shared" si="56"/>
        <v>0</v>
      </c>
      <c r="AB133" s="16" t="s">
        <v>419</v>
      </c>
      <c r="AC133" s="16" t="s">
        <v>420</v>
      </c>
      <c r="AD133" s="16" t="s">
        <v>421</v>
      </c>
      <c r="AF133" s="2" t="s">
        <v>394</v>
      </c>
      <c r="AG133" s="2" t="s">
        <v>394</v>
      </c>
    </row>
    <row r="134" spans="1:33">
      <c r="A134" s="2" t="str">
        <f>'Reference Score Calculation'!B125</f>
        <v>JS3250</v>
      </c>
      <c r="B134" s="346" t="str">
        <f>'Reference Score Calculation'!B125</f>
        <v>JS3250</v>
      </c>
      <c r="C134" s="2" t="str">
        <f>'Reference Score Calculation'!E125</f>
        <v>應用社會科學(榮譽)文學士組合課程 (社會工作 / 社會政策及社會創業)</v>
      </c>
      <c r="D134" s="16">
        <f>'Reference Score Calculation'!U125</f>
        <v>64</v>
      </c>
      <c r="E134" s="16">
        <v>3</v>
      </c>
      <c r="F134" s="16">
        <v>3</v>
      </c>
      <c r="G134" s="16">
        <v>2</v>
      </c>
      <c r="H134" s="16">
        <v>2</v>
      </c>
      <c r="I134" s="16">
        <v>3</v>
      </c>
      <c r="J134" s="16">
        <v>3</v>
      </c>
      <c r="L134" s="90">
        <v>3</v>
      </c>
      <c r="M134" s="90">
        <v>3</v>
      </c>
      <c r="N134" s="90">
        <v>2</v>
      </c>
      <c r="O134" s="90">
        <v>1</v>
      </c>
      <c r="P134" s="90">
        <v>3</v>
      </c>
      <c r="Q134" s="90">
        <v>3</v>
      </c>
      <c r="S134" s="16">
        <f t="shared" si="50"/>
        <v>0</v>
      </c>
      <c r="T134" s="16">
        <f t="shared" si="51"/>
        <v>0</v>
      </c>
      <c r="U134" s="16">
        <f t="shared" si="52"/>
        <v>0</v>
      </c>
      <c r="V134" s="16">
        <f t="shared" si="53"/>
        <v>0</v>
      </c>
      <c r="W134" s="16">
        <f t="shared" si="54"/>
        <v>0</v>
      </c>
      <c r="X134" s="16">
        <f t="shared" si="55"/>
        <v>0</v>
      </c>
      <c r="Z134" s="16">
        <f t="shared" si="56"/>
        <v>0</v>
      </c>
      <c r="AB134" s="16" t="s">
        <v>419</v>
      </c>
      <c r="AC134" s="16" t="s">
        <v>420</v>
      </c>
      <c r="AD134" s="16" t="s">
        <v>421</v>
      </c>
      <c r="AF134" s="2" t="s">
        <v>394</v>
      </c>
      <c r="AG134" s="2" t="s">
        <v>394</v>
      </c>
    </row>
    <row r="135" spans="1:33">
      <c r="A135" s="2" t="str">
        <f>'Reference Score Calculation'!B126</f>
        <v>JS3255</v>
      </c>
      <c r="B135" s="346" t="str">
        <f>'Reference Score Calculation'!B126</f>
        <v>JS3255</v>
      </c>
      <c r="C135" s="2" t="str">
        <f>'Reference Score Calculation'!E126</f>
        <v>食品科學及營養學(榮譽)理學士組合課程 (食品科技與食物安全 / 人類營養學及健康)</v>
      </c>
      <c r="D135" s="16">
        <f>'Reference Score Calculation'!U126</f>
        <v>59</v>
      </c>
      <c r="E135" s="16">
        <v>3</v>
      </c>
      <c r="F135" s="16">
        <v>3</v>
      </c>
      <c r="G135" s="16">
        <v>2</v>
      </c>
      <c r="H135" s="16">
        <v>2</v>
      </c>
      <c r="I135" s="16">
        <v>3</v>
      </c>
      <c r="J135" s="16">
        <v>3</v>
      </c>
      <c r="L135" s="90">
        <v>3</v>
      </c>
      <c r="M135" s="90">
        <v>3</v>
      </c>
      <c r="N135" s="90">
        <v>2</v>
      </c>
      <c r="O135" s="90">
        <v>1</v>
      </c>
      <c r="P135" s="90">
        <v>3</v>
      </c>
      <c r="Q135" s="90">
        <v>3</v>
      </c>
      <c r="S135" s="16">
        <f t="shared" si="50"/>
        <v>0</v>
      </c>
      <c r="T135" s="16">
        <f t="shared" si="51"/>
        <v>0</v>
      </c>
      <c r="U135" s="16">
        <f t="shared" si="52"/>
        <v>0</v>
      </c>
      <c r="V135" s="16">
        <f t="shared" si="53"/>
        <v>0</v>
      </c>
      <c r="W135" s="16">
        <f t="shared" si="54"/>
        <v>0</v>
      </c>
      <c r="X135" s="16">
        <f t="shared" si="55"/>
        <v>0</v>
      </c>
      <c r="Z135" s="16">
        <f t="shared" si="56"/>
        <v>0</v>
      </c>
      <c r="AB135" s="16" t="s">
        <v>419</v>
      </c>
      <c r="AC135" s="16" t="s">
        <v>420</v>
      </c>
      <c r="AD135" s="16" t="s">
        <v>2369</v>
      </c>
      <c r="AF135" s="2" t="s">
        <v>394</v>
      </c>
      <c r="AG135" s="2" t="s">
        <v>394</v>
      </c>
    </row>
    <row r="136" spans="1:33">
      <c r="A136" s="2" t="str">
        <f>'Reference Score Calculation'!B127</f>
        <v>JS3290</v>
      </c>
      <c r="B136" s="346" t="str">
        <f>'Reference Score Calculation'!B127</f>
        <v>JS3290</v>
      </c>
      <c r="C136" s="2" t="str">
        <f>'Reference Score Calculation'!E127</f>
        <v>眼科視光學(榮譽)理學士</v>
      </c>
      <c r="D136" s="16">
        <f>'Reference Score Calculation'!U127</f>
        <v>60</v>
      </c>
      <c r="E136" s="16">
        <v>3</v>
      </c>
      <c r="F136" s="16">
        <v>3</v>
      </c>
      <c r="G136" s="16">
        <v>2</v>
      </c>
      <c r="H136" s="16">
        <v>2</v>
      </c>
      <c r="I136" s="16">
        <v>3</v>
      </c>
      <c r="J136" s="16">
        <v>3</v>
      </c>
      <c r="L136" s="90">
        <v>3</v>
      </c>
      <c r="M136" s="90">
        <v>3</v>
      </c>
      <c r="N136" s="90">
        <v>2</v>
      </c>
      <c r="O136" s="90">
        <v>1</v>
      </c>
      <c r="P136" s="90">
        <v>3</v>
      </c>
      <c r="Q136" s="90">
        <v>3</v>
      </c>
      <c r="S136" s="16">
        <f t="shared" si="50"/>
        <v>0</v>
      </c>
      <c r="T136" s="16">
        <f t="shared" si="51"/>
        <v>0</v>
      </c>
      <c r="U136" s="16">
        <f t="shared" si="52"/>
        <v>0</v>
      </c>
      <c r="V136" s="16">
        <f t="shared" si="53"/>
        <v>0</v>
      </c>
      <c r="W136" s="16">
        <f t="shared" si="54"/>
        <v>0</v>
      </c>
      <c r="X136" s="16">
        <f t="shared" si="55"/>
        <v>0</v>
      </c>
      <c r="Z136" s="16">
        <f t="shared" si="56"/>
        <v>0</v>
      </c>
      <c r="AB136" s="16" t="s">
        <v>419</v>
      </c>
      <c r="AC136" s="16" t="s">
        <v>420</v>
      </c>
      <c r="AD136" s="16" t="s">
        <v>419</v>
      </c>
      <c r="AF136" s="2" t="s">
        <v>394</v>
      </c>
      <c r="AG136" s="2" t="s">
        <v>394</v>
      </c>
    </row>
    <row r="137" spans="1:33">
      <c r="A137" s="2" t="str">
        <f>'Reference Score Calculation'!B128</f>
        <v>JS3310</v>
      </c>
      <c r="B137" s="346" t="str">
        <f>'Reference Score Calculation'!B128</f>
        <v>JS3310</v>
      </c>
      <c r="C137" s="2" t="str">
        <f>'Reference Score Calculation'!E128</f>
        <v>酒店及旅遊管理(榮譽)理學士組合課程 (酒店管理 / 智慧旅遊及酒店產業 / 會展及體驗管理)</v>
      </c>
      <c r="D137" s="16">
        <f>'Reference Score Calculation'!U128</f>
        <v>74</v>
      </c>
      <c r="E137" s="16">
        <v>3</v>
      </c>
      <c r="F137" s="16">
        <v>3</v>
      </c>
      <c r="G137" s="16">
        <v>2</v>
      </c>
      <c r="H137" s="16">
        <v>2</v>
      </c>
      <c r="I137" s="16">
        <v>3</v>
      </c>
      <c r="J137" s="16">
        <v>3</v>
      </c>
      <c r="L137" s="90">
        <v>3</v>
      </c>
      <c r="M137" s="90">
        <v>3</v>
      </c>
      <c r="N137" s="90">
        <v>2</v>
      </c>
      <c r="O137" s="90">
        <v>1</v>
      </c>
      <c r="P137" s="90">
        <v>3</v>
      </c>
      <c r="Q137" s="90">
        <v>3</v>
      </c>
      <c r="S137" s="16">
        <f t="shared" si="50"/>
        <v>0</v>
      </c>
      <c r="T137" s="16">
        <f t="shared" si="51"/>
        <v>0</v>
      </c>
      <c r="U137" s="16">
        <f t="shared" si="52"/>
        <v>0</v>
      </c>
      <c r="V137" s="16">
        <f t="shared" si="53"/>
        <v>0</v>
      </c>
      <c r="W137" s="16">
        <f t="shared" si="54"/>
        <v>0</v>
      </c>
      <c r="X137" s="16">
        <f t="shared" si="55"/>
        <v>0</v>
      </c>
      <c r="Z137" s="16">
        <f t="shared" si="56"/>
        <v>0</v>
      </c>
      <c r="AB137" s="16" t="s">
        <v>419</v>
      </c>
      <c r="AC137" s="16" t="s">
        <v>420</v>
      </c>
      <c r="AD137" s="16" t="s">
        <v>419</v>
      </c>
      <c r="AF137" s="2" t="s">
        <v>394</v>
      </c>
      <c r="AG137" s="2" t="s">
        <v>394</v>
      </c>
    </row>
    <row r="138" spans="1:33">
      <c r="A138" s="2" t="str">
        <f>'Reference Score Calculation'!B129</f>
        <v>JS3320</v>
      </c>
      <c r="B138" s="346" t="str">
        <f>'Reference Score Calculation'!B129</f>
        <v>JS3320</v>
      </c>
      <c r="C138" s="2" t="str">
        <f>'Reference Score Calculation'!E129</f>
        <v>中國歷史及文化(榮譽)文學士</v>
      </c>
      <c r="D138" s="16">
        <f>'Reference Score Calculation'!U129</f>
        <v>16</v>
      </c>
      <c r="E138" s="16">
        <v>3</v>
      </c>
      <c r="F138" s="16">
        <v>3</v>
      </c>
      <c r="G138" s="16">
        <v>2</v>
      </c>
      <c r="H138" s="16">
        <v>2</v>
      </c>
      <c r="I138" s="16">
        <v>3</v>
      </c>
      <c r="J138" s="16">
        <v>3</v>
      </c>
      <c r="L138" s="90">
        <v>3</v>
      </c>
      <c r="M138" s="90">
        <v>3</v>
      </c>
      <c r="N138" s="90">
        <v>2</v>
      </c>
      <c r="O138" s="90">
        <v>1</v>
      </c>
      <c r="P138" s="90">
        <v>3</v>
      </c>
      <c r="Q138" s="90">
        <v>3</v>
      </c>
      <c r="S138" s="16">
        <f t="shared" si="50"/>
        <v>0</v>
      </c>
      <c r="T138" s="16">
        <f t="shared" si="51"/>
        <v>0</v>
      </c>
      <c r="U138" s="16">
        <f t="shared" si="52"/>
        <v>0</v>
      </c>
      <c r="V138" s="16">
        <f t="shared" si="53"/>
        <v>0</v>
      </c>
      <c r="W138" s="16">
        <f t="shared" si="54"/>
        <v>0</v>
      </c>
      <c r="X138" s="16">
        <f t="shared" si="55"/>
        <v>0</v>
      </c>
      <c r="Z138" s="16">
        <f t="shared" si="56"/>
        <v>0</v>
      </c>
      <c r="AB138" s="16" t="s">
        <v>419</v>
      </c>
      <c r="AC138" s="16" t="s">
        <v>420</v>
      </c>
      <c r="AD138" s="16" t="s">
        <v>421</v>
      </c>
      <c r="AF138" s="2" t="s">
        <v>394</v>
      </c>
      <c r="AG138" s="2" t="s">
        <v>394</v>
      </c>
    </row>
    <row r="139" spans="1:33">
      <c r="A139" s="2" t="str">
        <f>'Reference Score Calculation'!B130</f>
        <v>JS3337</v>
      </c>
      <c r="B139" s="346" t="str">
        <f>'Reference Score Calculation'!B130</f>
        <v>JS3337</v>
      </c>
      <c r="C139" s="2" t="str">
        <f>'Reference Score Calculation'!E130</f>
        <v>精神健康護理學(榮譽)理學士</v>
      </c>
      <c r="D139" s="16">
        <f>'Reference Score Calculation'!U130</f>
        <v>70</v>
      </c>
      <c r="E139" s="16">
        <v>3</v>
      </c>
      <c r="F139" s="16">
        <v>3</v>
      </c>
      <c r="G139" s="16">
        <v>2</v>
      </c>
      <c r="H139" s="16">
        <v>2</v>
      </c>
      <c r="I139" s="16">
        <v>3</v>
      </c>
      <c r="J139" s="16">
        <v>3</v>
      </c>
      <c r="L139" s="90">
        <v>3</v>
      </c>
      <c r="M139" s="90">
        <v>3</v>
      </c>
      <c r="N139" s="90">
        <v>2</v>
      </c>
      <c r="O139" s="90">
        <v>1</v>
      </c>
      <c r="P139" s="90">
        <v>3</v>
      </c>
      <c r="Q139" s="90">
        <v>3</v>
      </c>
      <c r="S139" s="16">
        <f t="shared" si="50"/>
        <v>0</v>
      </c>
      <c r="T139" s="16">
        <f t="shared" si="51"/>
        <v>0</v>
      </c>
      <c r="U139" s="16">
        <f t="shared" si="52"/>
        <v>0</v>
      </c>
      <c r="V139" s="16">
        <f t="shared" si="53"/>
        <v>0</v>
      </c>
      <c r="W139" s="16">
        <f>IF(P139&gt;LARGE($P$3:$T$3,1),0,1)</f>
        <v>0</v>
      </c>
      <c r="X139" s="16">
        <f>IF(Q139&gt;LARGE($P$3:$T$3,2),0,1)</f>
        <v>0</v>
      </c>
      <c r="Z139" s="16">
        <f t="shared" si="56"/>
        <v>0</v>
      </c>
      <c r="AB139" s="16" t="s">
        <v>419</v>
      </c>
      <c r="AC139" s="16" t="s">
        <v>421</v>
      </c>
      <c r="AD139" s="16" t="s">
        <v>421</v>
      </c>
      <c r="AF139" s="2" t="s">
        <v>394</v>
      </c>
      <c r="AG139" s="2" t="s">
        <v>394</v>
      </c>
    </row>
    <row r="140" spans="1:33">
      <c r="A140" s="2" t="str">
        <f>'Reference Score Calculation'!B131</f>
        <v>JS3375</v>
      </c>
      <c r="B140" s="346" t="str">
        <f>'Reference Score Calculation'!B131</f>
        <v>JS3375</v>
      </c>
      <c r="C140" s="2" t="str">
        <f>'Reference Score Calculation'!E131</f>
        <v>環境工程及可持續發展學(榮譽)工學士</v>
      </c>
      <c r="D140" s="16">
        <f>'Reference Score Calculation'!U131</f>
        <v>20</v>
      </c>
      <c r="E140" s="16">
        <v>3</v>
      </c>
      <c r="F140" s="16">
        <v>3</v>
      </c>
      <c r="G140" s="16">
        <v>2</v>
      </c>
      <c r="H140" s="16">
        <v>2</v>
      </c>
      <c r="I140" s="16">
        <v>3</v>
      </c>
      <c r="J140" s="16">
        <v>3</v>
      </c>
      <c r="L140" s="90">
        <v>3</v>
      </c>
      <c r="M140" s="90">
        <v>3</v>
      </c>
      <c r="N140" s="90">
        <v>2</v>
      </c>
      <c r="O140" s="90">
        <v>1</v>
      </c>
      <c r="P140" s="90">
        <v>3</v>
      </c>
      <c r="Q140" s="90">
        <v>3</v>
      </c>
      <c r="S140" s="16">
        <f t="shared" si="50"/>
        <v>0</v>
      </c>
      <c r="T140" s="16">
        <f t="shared" si="51"/>
        <v>0</v>
      </c>
      <c r="U140" s="16">
        <f t="shared" si="52"/>
        <v>0</v>
      </c>
      <c r="V140" s="16">
        <f t="shared" si="53"/>
        <v>0</v>
      </c>
      <c r="W140" s="16">
        <f t="shared" ref="W140:W145" si="57">IF(P140&gt;LARGE($P$3:$U$3,1),0,1)</f>
        <v>0</v>
      </c>
      <c r="X140" s="16">
        <f t="shared" ref="X140:X145" si="58">IF(Q140&gt;LARGE($P$3:$U$3,2),0,1)</f>
        <v>0</v>
      </c>
      <c r="Z140" s="16">
        <f t="shared" si="56"/>
        <v>0</v>
      </c>
      <c r="AB140" s="16" t="s">
        <v>419</v>
      </c>
      <c r="AC140" s="16" t="s">
        <v>420</v>
      </c>
      <c r="AD140" s="16" t="s">
        <v>419</v>
      </c>
      <c r="AF140" s="2" t="s">
        <v>394</v>
      </c>
      <c r="AG140" s="2" t="s">
        <v>394</v>
      </c>
    </row>
    <row r="141" spans="1:33">
      <c r="A141" s="2" t="str">
        <f>'Reference Score Calculation'!B132</f>
        <v>JS3478</v>
      </c>
      <c r="B141" s="346" t="str">
        <f>'Reference Score Calculation'!B132</f>
        <v>JS3478</v>
      </c>
      <c r="C141" s="2" t="str">
        <f>'Reference Score Calculation'!E132</f>
        <v>醫療化驗科學(榮譽)理學士</v>
      </c>
      <c r="D141" s="16">
        <f>'Reference Score Calculation'!U132</f>
        <v>60</v>
      </c>
      <c r="E141" s="16">
        <v>3</v>
      </c>
      <c r="F141" s="16">
        <v>3</v>
      </c>
      <c r="G141" s="16">
        <v>2</v>
      </c>
      <c r="H141" s="16">
        <v>2</v>
      </c>
      <c r="I141" s="16">
        <v>3</v>
      </c>
      <c r="J141" s="16">
        <v>3</v>
      </c>
      <c r="L141" s="90">
        <v>3</v>
      </c>
      <c r="M141" s="90">
        <v>3</v>
      </c>
      <c r="N141" s="90">
        <v>2</v>
      </c>
      <c r="O141" s="90">
        <v>1</v>
      </c>
      <c r="P141" s="90">
        <v>3</v>
      </c>
      <c r="Q141" s="90">
        <v>3</v>
      </c>
      <c r="S141" s="16">
        <f t="shared" si="50"/>
        <v>0</v>
      </c>
      <c r="T141" s="16">
        <f t="shared" si="51"/>
        <v>0</v>
      </c>
      <c r="U141" s="16">
        <f t="shared" si="52"/>
        <v>0</v>
      </c>
      <c r="V141" s="16">
        <f t="shared" si="53"/>
        <v>0</v>
      </c>
      <c r="W141" s="16">
        <f t="shared" si="57"/>
        <v>0</v>
      </c>
      <c r="X141" s="16">
        <f t="shared" si="58"/>
        <v>0</v>
      </c>
      <c r="Z141" s="16">
        <f t="shared" si="56"/>
        <v>0</v>
      </c>
      <c r="AB141" s="16" t="s">
        <v>419</v>
      </c>
      <c r="AC141" s="16" t="s">
        <v>420</v>
      </c>
      <c r="AD141" s="16" t="s">
        <v>421</v>
      </c>
      <c r="AF141" s="2" t="s">
        <v>394</v>
      </c>
      <c r="AG141" s="2" t="s">
        <v>394</v>
      </c>
    </row>
    <row r="142" spans="1:33">
      <c r="A142" s="2" t="str">
        <f>'Reference Score Calculation'!B133</f>
        <v>JS3569</v>
      </c>
      <c r="B142" s="346" t="str">
        <f>'Reference Score Calculation'!B133</f>
        <v>JS3569</v>
      </c>
      <c r="C142" s="2" t="str">
        <f>'Reference Score Calculation'!E133</f>
        <v>設計學(榮譽)文學士組合課程 (廣告設計/環境設計/信息設計/交互設計/室内設計/媒體設計/產品設計/服務創新設計/社會創新設計)</v>
      </c>
      <c r="D142" s="16">
        <f>'Reference Score Calculation'!U133</f>
        <v>83</v>
      </c>
      <c r="E142" s="16">
        <v>3</v>
      </c>
      <c r="F142" s="16">
        <v>3</v>
      </c>
      <c r="G142" s="16">
        <v>2</v>
      </c>
      <c r="H142" s="16">
        <v>2</v>
      </c>
      <c r="I142" s="16">
        <v>3</v>
      </c>
      <c r="J142" s="16">
        <v>3</v>
      </c>
      <c r="L142" s="90">
        <v>3</v>
      </c>
      <c r="M142" s="90">
        <v>3</v>
      </c>
      <c r="N142" s="90">
        <v>2</v>
      </c>
      <c r="O142" s="90">
        <v>1</v>
      </c>
      <c r="P142" s="90">
        <v>3</v>
      </c>
      <c r="Q142" s="90">
        <v>3</v>
      </c>
      <c r="S142" s="16">
        <f t="shared" si="50"/>
        <v>0</v>
      </c>
      <c r="T142" s="16">
        <f t="shared" si="51"/>
        <v>0</v>
      </c>
      <c r="U142" s="16">
        <f t="shared" si="52"/>
        <v>0</v>
      </c>
      <c r="V142" s="16">
        <f t="shared" si="53"/>
        <v>0</v>
      </c>
      <c r="W142" s="16">
        <f t="shared" si="57"/>
        <v>0</v>
      </c>
      <c r="X142" s="16">
        <f t="shared" si="58"/>
        <v>0</v>
      </c>
      <c r="Z142" s="16">
        <f t="shared" si="56"/>
        <v>0</v>
      </c>
      <c r="AB142" s="16" t="s">
        <v>419</v>
      </c>
      <c r="AC142" s="16" t="s">
        <v>420</v>
      </c>
      <c r="AD142" s="16" t="s">
        <v>419</v>
      </c>
      <c r="AF142" s="2" t="s">
        <v>394</v>
      </c>
      <c r="AG142" s="2" t="s">
        <v>394</v>
      </c>
    </row>
    <row r="143" spans="1:33">
      <c r="A143" s="2" t="str">
        <f>'Reference Score Calculation'!B134</f>
        <v>JS3612</v>
      </c>
      <c r="B143" s="346" t="str">
        <f>'Reference Score Calculation'!B134</f>
        <v>JS3612</v>
      </c>
      <c r="C143" s="2" t="str">
        <f>'Reference Score Calculation'!E134</f>
        <v>放射學(榮譽)理學士</v>
      </c>
      <c r="D143" s="16">
        <f>'Reference Score Calculation'!U134</f>
        <v>115</v>
      </c>
      <c r="E143" s="16">
        <v>3</v>
      </c>
      <c r="F143" s="16">
        <v>3</v>
      </c>
      <c r="G143" s="16">
        <v>2</v>
      </c>
      <c r="H143" s="16">
        <v>2</v>
      </c>
      <c r="I143" s="16">
        <v>3</v>
      </c>
      <c r="J143" s="16">
        <v>3</v>
      </c>
      <c r="L143" s="90">
        <v>3</v>
      </c>
      <c r="M143" s="90">
        <v>3</v>
      </c>
      <c r="N143" s="90">
        <v>2</v>
      </c>
      <c r="O143" s="90">
        <v>1</v>
      </c>
      <c r="P143" s="90">
        <v>3</v>
      </c>
      <c r="Q143" s="90">
        <v>3</v>
      </c>
      <c r="S143" s="16">
        <f t="shared" si="50"/>
        <v>0</v>
      </c>
      <c r="T143" s="16">
        <f t="shared" si="51"/>
        <v>0</v>
      </c>
      <c r="U143" s="16">
        <f t="shared" si="52"/>
        <v>0</v>
      </c>
      <c r="V143" s="16">
        <f t="shared" si="53"/>
        <v>0</v>
      </c>
      <c r="W143" s="16">
        <f t="shared" si="57"/>
        <v>0</v>
      </c>
      <c r="X143" s="16">
        <f t="shared" si="58"/>
        <v>0</v>
      </c>
      <c r="Z143" s="16">
        <f t="shared" si="56"/>
        <v>0</v>
      </c>
      <c r="AB143" s="16" t="s">
        <v>419</v>
      </c>
      <c r="AC143" s="16" t="s">
        <v>420</v>
      </c>
      <c r="AD143" s="16" t="s">
        <v>421</v>
      </c>
      <c r="AF143" s="2" t="s">
        <v>394</v>
      </c>
      <c r="AG143" s="2" t="s">
        <v>394</v>
      </c>
    </row>
    <row r="144" spans="1:33">
      <c r="A144" s="2" t="str">
        <f>'Reference Score Calculation'!B135</f>
        <v>JS3624</v>
      </c>
      <c r="B144" s="346" t="str">
        <f>'Reference Score Calculation'!B135</f>
        <v>JS3624</v>
      </c>
      <c r="C144" s="2" t="str">
        <f>'Reference Score Calculation'!E135</f>
        <v>職業治療學(榮譽)理學士</v>
      </c>
      <c r="D144" s="16">
        <f>'Reference Score Calculation'!U135</f>
        <v>100</v>
      </c>
      <c r="E144" s="16">
        <v>3</v>
      </c>
      <c r="F144" s="16">
        <v>3</v>
      </c>
      <c r="G144" s="16">
        <v>2</v>
      </c>
      <c r="H144" s="16">
        <v>2</v>
      </c>
      <c r="I144" s="16">
        <v>3</v>
      </c>
      <c r="J144" s="16">
        <v>3</v>
      </c>
      <c r="L144" s="90">
        <v>3</v>
      </c>
      <c r="M144" s="90">
        <v>3</v>
      </c>
      <c r="N144" s="90">
        <v>2</v>
      </c>
      <c r="O144" s="90">
        <v>1</v>
      </c>
      <c r="P144" s="90">
        <v>3</v>
      </c>
      <c r="Q144" s="90">
        <v>3</v>
      </c>
      <c r="S144" s="16">
        <f t="shared" si="50"/>
        <v>0</v>
      </c>
      <c r="T144" s="16">
        <f t="shared" si="51"/>
        <v>0</v>
      </c>
      <c r="U144" s="16">
        <f t="shared" si="52"/>
        <v>0</v>
      </c>
      <c r="V144" s="16">
        <f t="shared" si="53"/>
        <v>0</v>
      </c>
      <c r="W144" s="16">
        <f t="shared" si="57"/>
        <v>0</v>
      </c>
      <c r="X144" s="16">
        <f t="shared" si="58"/>
        <v>0</v>
      </c>
      <c r="Z144" s="16">
        <f t="shared" si="56"/>
        <v>0</v>
      </c>
      <c r="AB144" s="16" t="s">
        <v>419</v>
      </c>
      <c r="AC144" s="16" t="s">
        <v>420</v>
      </c>
      <c r="AD144" s="16" t="s">
        <v>421</v>
      </c>
      <c r="AF144" s="2" t="s">
        <v>394</v>
      </c>
      <c r="AG144" s="2" t="s">
        <v>394</v>
      </c>
    </row>
    <row r="145" spans="1:47">
      <c r="A145" s="2" t="str">
        <f>'Reference Score Calculation'!B136</f>
        <v>JS3636</v>
      </c>
      <c r="B145" s="346" t="str">
        <f>'Reference Score Calculation'!B136</f>
        <v>JS3636</v>
      </c>
      <c r="C145" s="2" t="str">
        <f>'Reference Score Calculation'!E136</f>
        <v>物理治療學(榮譽)理學士</v>
      </c>
      <c r="D145" s="16">
        <f>'Reference Score Calculation'!U136</f>
        <v>150</v>
      </c>
      <c r="E145" s="16">
        <v>3</v>
      </c>
      <c r="F145" s="16">
        <v>3</v>
      </c>
      <c r="G145" s="16">
        <v>2</v>
      </c>
      <c r="H145" s="16">
        <v>2</v>
      </c>
      <c r="I145" s="16">
        <v>3</v>
      </c>
      <c r="J145" s="16">
        <v>3</v>
      </c>
      <c r="L145" s="90">
        <v>3</v>
      </c>
      <c r="M145" s="90">
        <v>3</v>
      </c>
      <c r="N145" s="90">
        <v>2</v>
      </c>
      <c r="O145" s="90">
        <v>1</v>
      </c>
      <c r="P145" s="90">
        <v>3</v>
      </c>
      <c r="Q145" s="90">
        <v>3</v>
      </c>
      <c r="S145" s="16">
        <f t="shared" si="50"/>
        <v>0</v>
      </c>
      <c r="T145" s="16">
        <f t="shared" si="51"/>
        <v>0</v>
      </c>
      <c r="U145" s="16">
        <f t="shared" si="52"/>
        <v>0</v>
      </c>
      <c r="V145" s="16">
        <f t="shared" si="53"/>
        <v>0</v>
      </c>
      <c r="W145" s="16">
        <f t="shared" si="57"/>
        <v>0</v>
      </c>
      <c r="X145" s="16">
        <f t="shared" si="58"/>
        <v>0</v>
      </c>
      <c r="Z145" s="16">
        <f t="shared" si="56"/>
        <v>0</v>
      </c>
      <c r="AB145" s="16" t="s">
        <v>419</v>
      </c>
      <c r="AC145" s="16" t="s">
        <v>420</v>
      </c>
      <c r="AD145" s="16" t="s">
        <v>421</v>
      </c>
      <c r="AF145" s="2" t="s">
        <v>394</v>
      </c>
      <c r="AG145" s="2" t="s">
        <v>394</v>
      </c>
    </row>
    <row r="146" spans="1:47">
      <c r="A146" s="2" t="str">
        <f>'Reference Score Calculation'!B137</f>
        <v>JS3648</v>
      </c>
      <c r="B146" s="346" t="str">
        <f>'Reference Score Calculation'!B137</f>
        <v>JS3648</v>
      </c>
      <c r="C146" s="2" t="str">
        <f>'Reference Score Calculation'!E137</f>
        <v>護理學(榮譽)理學士</v>
      </c>
      <c r="D146" s="16">
        <f>'Reference Score Calculation'!U137</f>
        <v>193</v>
      </c>
      <c r="E146" s="16">
        <v>3</v>
      </c>
      <c r="F146" s="16">
        <v>3</v>
      </c>
      <c r="G146" s="16">
        <v>2</v>
      </c>
      <c r="H146" s="16">
        <v>2</v>
      </c>
      <c r="I146" s="16">
        <v>3</v>
      </c>
      <c r="J146" s="16">
        <v>3</v>
      </c>
      <c r="L146" s="90">
        <v>3</v>
      </c>
      <c r="M146" s="90">
        <v>3</v>
      </c>
      <c r="N146" s="90">
        <v>2</v>
      </c>
      <c r="O146" s="90">
        <v>1</v>
      </c>
      <c r="P146" s="90">
        <v>3</v>
      </c>
      <c r="Q146" s="90">
        <v>3</v>
      </c>
      <c r="S146" s="16">
        <f t="shared" si="50"/>
        <v>0</v>
      </c>
      <c r="T146" s="16">
        <f t="shared" si="51"/>
        <v>0</v>
      </c>
      <c r="U146" s="16">
        <f t="shared" si="52"/>
        <v>0</v>
      </c>
      <c r="V146" s="16">
        <f t="shared" si="53"/>
        <v>0</v>
      </c>
      <c r="W146" s="16">
        <f>IF(P146&gt;LARGE($P$3:$T$3,1),0,1)</f>
        <v>0</v>
      </c>
      <c r="X146" s="16">
        <f>IF(Q146&gt;LARGE($P$3:$T$3,2),0,1)</f>
        <v>0</v>
      </c>
      <c r="Z146" s="16">
        <f t="shared" si="56"/>
        <v>0</v>
      </c>
      <c r="AB146" s="16" t="s">
        <v>419</v>
      </c>
      <c r="AC146" s="16" t="s">
        <v>421</v>
      </c>
      <c r="AD146" s="16" t="s">
        <v>421</v>
      </c>
      <c r="AF146" s="2" t="s">
        <v>394</v>
      </c>
      <c r="AG146" s="2" t="s">
        <v>394</v>
      </c>
    </row>
    <row r="147" spans="1:47">
      <c r="A147" s="2" t="str">
        <f>'Reference Score Calculation'!B138</f>
        <v>JS3739</v>
      </c>
      <c r="B147" s="346" t="str">
        <f>'Reference Score Calculation'!B138</f>
        <v>JS3739</v>
      </c>
      <c r="C147" s="2" t="str">
        <f>'Reference Score Calculation'!E138</f>
        <v>土木工程學(榮譽)工學士</v>
      </c>
      <c r="D147" s="16">
        <f>'Reference Score Calculation'!U138</f>
        <v>87</v>
      </c>
      <c r="E147" s="16">
        <v>3</v>
      </c>
      <c r="F147" s="16">
        <v>3</v>
      </c>
      <c r="G147" s="16">
        <v>2</v>
      </c>
      <c r="H147" s="16">
        <v>2</v>
      </c>
      <c r="I147" s="16">
        <v>3</v>
      </c>
      <c r="J147" s="16">
        <v>3</v>
      </c>
      <c r="L147" s="90">
        <v>3</v>
      </c>
      <c r="M147" s="90">
        <v>3</v>
      </c>
      <c r="N147" s="90">
        <v>2</v>
      </c>
      <c r="O147" s="90">
        <v>1</v>
      </c>
      <c r="P147" s="90">
        <v>3</v>
      </c>
      <c r="Q147" s="90">
        <v>3</v>
      </c>
      <c r="S147" s="16">
        <f t="shared" si="50"/>
        <v>0</v>
      </c>
      <c r="T147" s="16">
        <f t="shared" si="51"/>
        <v>0</v>
      </c>
      <c r="U147" s="16">
        <f t="shared" si="52"/>
        <v>0</v>
      </c>
      <c r="V147" s="16">
        <f t="shared" si="53"/>
        <v>0</v>
      </c>
      <c r="W147" s="16">
        <f>IF(P147&gt;LARGE($P$3:$U$3,1),0,1)</f>
        <v>0</v>
      </c>
      <c r="X147" s="16">
        <f>IF(Q147&gt;LARGE($P$3:$U$3,2),0,1)</f>
        <v>0</v>
      </c>
      <c r="Z147" s="16">
        <f t="shared" si="56"/>
        <v>0</v>
      </c>
      <c r="AB147" s="16" t="s">
        <v>419</v>
      </c>
      <c r="AC147" s="16" t="s">
        <v>420</v>
      </c>
      <c r="AD147" s="16" t="s">
        <v>419</v>
      </c>
      <c r="AF147" s="2" t="s">
        <v>394</v>
      </c>
      <c r="AG147" s="2" t="s">
        <v>394</v>
      </c>
    </row>
    <row r="148" spans="1:47">
      <c r="A148" s="2" t="str">
        <f>'Reference Score Calculation'!B139</f>
        <v>JS3741</v>
      </c>
      <c r="B148" s="346" t="str">
        <f>'Reference Score Calculation'!B139</f>
        <v>JS3741</v>
      </c>
      <c r="C148" s="2" t="str">
        <f>'Reference Score Calculation'!E139</f>
        <v>機械工程學(榮譽)工學士組合課程 (智能機械人工程學 / 機械工程學)</v>
      </c>
      <c r="D148" s="16">
        <f>'Reference Score Calculation'!U139</f>
        <v>51</v>
      </c>
      <c r="E148" s="16">
        <v>3</v>
      </c>
      <c r="F148" s="16">
        <v>3</v>
      </c>
      <c r="G148" s="16">
        <v>2</v>
      </c>
      <c r="H148" s="16">
        <v>2</v>
      </c>
      <c r="I148" s="16">
        <v>3</v>
      </c>
      <c r="J148" s="16">
        <v>3</v>
      </c>
      <c r="L148" s="90">
        <v>3</v>
      </c>
      <c r="M148" s="90">
        <v>3</v>
      </c>
      <c r="N148" s="90">
        <v>2</v>
      </c>
      <c r="O148" s="90">
        <v>1</v>
      </c>
      <c r="P148" s="90">
        <v>3</v>
      </c>
      <c r="Q148" s="90">
        <v>3</v>
      </c>
      <c r="S148" s="16">
        <f t="shared" si="50"/>
        <v>0</v>
      </c>
      <c r="T148" s="16">
        <f t="shared" si="51"/>
        <v>0</v>
      </c>
      <c r="U148" s="16">
        <f t="shared" si="52"/>
        <v>0</v>
      </c>
      <c r="V148" s="16">
        <f t="shared" si="53"/>
        <v>0</v>
      </c>
      <c r="W148" s="16">
        <f>IF(P148&gt;LARGE($P$3:$U$3,1),0,1)</f>
        <v>0</v>
      </c>
      <c r="X148" s="16">
        <f>IF(Q148&gt;LARGE($P$3:$U$3,2),0,1)</f>
        <v>0</v>
      </c>
      <c r="Z148" s="16">
        <f t="shared" si="56"/>
        <v>0</v>
      </c>
      <c r="AB148" s="16" t="s">
        <v>419</v>
      </c>
      <c r="AC148" s="16" t="s">
        <v>420</v>
      </c>
      <c r="AD148" s="16" t="s">
        <v>421</v>
      </c>
      <c r="AF148" s="2" t="s">
        <v>394</v>
      </c>
      <c r="AG148" s="2" t="s">
        <v>394</v>
      </c>
    </row>
    <row r="149" spans="1:47">
      <c r="A149" s="2" t="str">
        <f>'Reference Score Calculation'!B140</f>
        <v>JS3789</v>
      </c>
      <c r="B149" s="346" t="str">
        <f>'Reference Score Calculation'!B140</f>
        <v>JS3789</v>
      </c>
      <c r="C149" s="2" t="str">
        <f>'Reference Score Calculation'!E140</f>
        <v>地產及建設測量學(榮譽)理學士</v>
      </c>
      <c r="D149" s="16">
        <f>'Reference Score Calculation'!U140</f>
        <v>65</v>
      </c>
      <c r="E149" s="16">
        <v>3</v>
      </c>
      <c r="F149" s="16">
        <v>3</v>
      </c>
      <c r="G149" s="16">
        <v>2</v>
      </c>
      <c r="H149" s="16">
        <v>2</v>
      </c>
      <c r="I149" s="16">
        <v>3</v>
      </c>
      <c r="J149" s="16">
        <v>3</v>
      </c>
      <c r="L149" s="90">
        <v>3</v>
      </c>
      <c r="M149" s="90">
        <v>3</v>
      </c>
      <c r="N149" s="90">
        <v>2</v>
      </c>
      <c r="O149" s="90">
        <v>1</v>
      </c>
      <c r="P149" s="90">
        <v>3</v>
      </c>
      <c r="Q149" s="90">
        <v>3</v>
      </c>
      <c r="S149" s="16">
        <f t="shared" si="50"/>
        <v>0</v>
      </c>
      <c r="T149" s="16">
        <f t="shared" si="51"/>
        <v>0</v>
      </c>
      <c r="U149" s="16">
        <f t="shared" si="52"/>
        <v>0</v>
      </c>
      <c r="V149" s="16">
        <f t="shared" si="53"/>
        <v>0</v>
      </c>
      <c r="W149" s="16">
        <f>IF(P149&gt;LARGE($P$3:$U$3,1),0,1)</f>
        <v>0</v>
      </c>
      <c r="X149" s="16">
        <f>IF(Q149&gt;LARGE($P$3:$U$3,2),0,1)</f>
        <v>0</v>
      </c>
      <c r="Z149" s="16">
        <f t="shared" si="56"/>
        <v>0</v>
      </c>
      <c r="AB149" s="16" t="s">
        <v>419</v>
      </c>
      <c r="AC149" s="16" t="s">
        <v>420</v>
      </c>
      <c r="AD149" s="16" t="s">
        <v>421</v>
      </c>
      <c r="AF149" s="2" t="s">
        <v>394</v>
      </c>
      <c r="AG149" s="2" t="s">
        <v>394</v>
      </c>
    </row>
    <row r="150" spans="1:47">
      <c r="A150" s="2" t="str">
        <f>'Reference Score Calculation'!B141</f>
        <v>JS3791</v>
      </c>
      <c r="B150" s="346" t="str">
        <f>'Reference Score Calculation'!B141</f>
        <v>JS3791</v>
      </c>
      <c r="C150" s="2" t="str">
        <f>'Reference Score Calculation'!E141</f>
        <v>建築工程及管理學(榮譽)理學士</v>
      </c>
      <c r="D150" s="16">
        <f>'Reference Score Calculation'!U141</f>
        <v>22</v>
      </c>
      <c r="E150" s="16">
        <v>3</v>
      </c>
      <c r="F150" s="16">
        <v>3</v>
      </c>
      <c r="G150" s="16">
        <v>2</v>
      </c>
      <c r="H150" s="16">
        <v>2</v>
      </c>
      <c r="I150" s="16">
        <v>3</v>
      </c>
      <c r="J150" s="16">
        <v>3</v>
      </c>
      <c r="L150" s="90">
        <v>3</v>
      </c>
      <c r="M150" s="90">
        <v>3</v>
      </c>
      <c r="N150" s="90">
        <v>2</v>
      </c>
      <c r="O150" s="90">
        <v>1</v>
      </c>
      <c r="P150" s="90">
        <v>3</v>
      </c>
      <c r="Q150" s="90">
        <v>3</v>
      </c>
      <c r="S150" s="16">
        <f t="shared" si="50"/>
        <v>0</v>
      </c>
      <c r="T150" s="16">
        <f t="shared" si="51"/>
        <v>0</v>
      </c>
      <c r="U150" s="16">
        <f t="shared" si="52"/>
        <v>0</v>
      </c>
      <c r="V150" s="16">
        <f t="shared" si="53"/>
        <v>0</v>
      </c>
      <c r="W150" s="16">
        <f>IF(P150&gt;LARGE($P$3:$U$3,1),0,1)</f>
        <v>0</v>
      </c>
      <c r="X150" s="16">
        <f>IF(Q150&gt;LARGE($P$3:$U$3,2),0,1)</f>
        <v>0</v>
      </c>
      <c r="Z150" s="16">
        <f t="shared" si="56"/>
        <v>0</v>
      </c>
      <c r="AB150" s="16" t="s">
        <v>419</v>
      </c>
      <c r="AC150" s="16" t="s">
        <v>420</v>
      </c>
      <c r="AD150" s="16" t="s">
        <v>421</v>
      </c>
      <c r="AF150" s="2" t="s">
        <v>394</v>
      </c>
      <c r="AG150" s="2" t="s">
        <v>394</v>
      </c>
    </row>
    <row r="151" spans="1:47">
      <c r="A151" s="2" t="str">
        <f>'Reference Score Calculation'!B142</f>
        <v>JS3868</v>
      </c>
      <c r="B151" s="346" t="str">
        <f>'Reference Score Calculation'!B142</f>
        <v>JS3868</v>
      </c>
      <c r="C151" s="2" t="str">
        <f>'Reference Score Calculation'!E142</f>
        <v>電子計算及人工智能(榮譽)理學士組合課程 (計算機科學 / 企業信息管理)</v>
      </c>
      <c r="D151" s="16">
        <f>'Reference Score Calculation'!U142</f>
        <v>74</v>
      </c>
      <c r="E151" s="16">
        <v>3</v>
      </c>
      <c r="F151" s="16">
        <v>3</v>
      </c>
      <c r="G151" s="16">
        <v>2</v>
      </c>
      <c r="H151" s="16">
        <v>2</v>
      </c>
      <c r="I151" s="16">
        <v>3</v>
      </c>
      <c r="J151" s="16">
        <v>3</v>
      </c>
      <c r="L151" s="90">
        <v>3</v>
      </c>
      <c r="M151" s="90">
        <v>3</v>
      </c>
      <c r="N151" s="90">
        <v>2</v>
      </c>
      <c r="O151" s="90">
        <v>1</v>
      </c>
      <c r="P151" s="90">
        <v>3</v>
      </c>
      <c r="Q151" s="90">
        <v>3</v>
      </c>
      <c r="S151" s="16">
        <f t="shared" si="50"/>
        <v>0</v>
      </c>
      <c r="T151" s="16">
        <f t="shared" si="51"/>
        <v>0</v>
      </c>
      <c r="U151" s="16">
        <f t="shared" si="52"/>
        <v>0</v>
      </c>
      <c r="V151" s="16">
        <f t="shared" si="53"/>
        <v>0</v>
      </c>
      <c r="W151" s="16">
        <f>IF(P151&gt;LARGE($P$3:$U$3,1),0,1)</f>
        <v>0</v>
      </c>
      <c r="X151" s="16">
        <f>IF(Q151&gt;LARGE($P$3:$U$3,2),0,1)</f>
        <v>0</v>
      </c>
      <c r="Z151" s="16">
        <f t="shared" si="56"/>
        <v>0</v>
      </c>
      <c r="AB151" s="16" t="s">
        <v>419</v>
      </c>
      <c r="AC151" s="16" t="s">
        <v>420</v>
      </c>
      <c r="AD151" s="16" t="s">
        <v>421</v>
      </c>
      <c r="AF151" s="2" t="s">
        <v>394</v>
      </c>
      <c r="AG151" s="2" t="s">
        <v>394</v>
      </c>
    </row>
    <row r="152" spans="1:47">
      <c r="B152" s="424" t="s">
        <v>1882</v>
      </c>
      <c r="C152" s="360" t="s">
        <v>3090</v>
      </c>
      <c r="L152" s="90"/>
      <c r="M152" s="90"/>
      <c r="N152" s="90"/>
      <c r="O152" s="90"/>
      <c r="P152" s="90"/>
      <c r="Q152" s="90"/>
      <c r="S152" s="16"/>
      <c r="T152" s="16"/>
      <c r="U152" s="16"/>
      <c r="V152" s="16"/>
      <c r="W152" s="16"/>
      <c r="X152" s="16"/>
      <c r="AF152" s="2"/>
      <c r="AG152" s="2"/>
    </row>
    <row r="153" spans="1:47">
      <c r="B153" s="424" t="s">
        <v>104</v>
      </c>
      <c r="C153" s="11" t="s">
        <v>106</v>
      </c>
      <c r="D153" s="19" t="s">
        <v>36</v>
      </c>
      <c r="E153" s="19"/>
      <c r="F153" s="19"/>
      <c r="G153" s="19"/>
      <c r="H153" s="19"/>
      <c r="I153" s="19"/>
      <c r="J153" s="19"/>
      <c r="K153" s="19"/>
      <c r="L153" s="92" t="s">
        <v>111</v>
      </c>
      <c r="M153" s="92" t="s">
        <v>112</v>
      </c>
      <c r="N153" s="92" t="s">
        <v>113</v>
      </c>
      <c r="O153" s="19" t="s">
        <v>2251</v>
      </c>
      <c r="P153" s="92" t="s">
        <v>115</v>
      </c>
      <c r="Q153" s="92" t="s">
        <v>116</v>
      </c>
      <c r="R153" s="11"/>
      <c r="S153" s="19" t="s">
        <v>111</v>
      </c>
      <c r="T153" s="19" t="s">
        <v>112</v>
      </c>
      <c r="U153" s="19" t="s">
        <v>113</v>
      </c>
      <c r="V153" s="19" t="s">
        <v>2251</v>
      </c>
      <c r="W153" s="19" t="s">
        <v>115</v>
      </c>
      <c r="X153" s="19" t="s">
        <v>116</v>
      </c>
      <c r="Y153" s="16"/>
      <c r="AA153" s="2"/>
      <c r="AB153" s="16" t="s">
        <v>267</v>
      </c>
      <c r="AC153" s="16" t="s">
        <v>268</v>
      </c>
      <c r="AD153" s="16" t="s">
        <v>269</v>
      </c>
      <c r="AE153" s="16" t="s">
        <v>422</v>
      </c>
      <c r="AF153" s="2"/>
      <c r="AG153" s="2"/>
      <c r="AH153" s="2"/>
      <c r="AI153" s="121" t="s">
        <v>227</v>
      </c>
      <c r="AJ153" s="121" t="s">
        <v>390</v>
      </c>
      <c r="AK153" s="102"/>
      <c r="AL153" s="115"/>
      <c r="AM153" s="115"/>
      <c r="AN153" s="115"/>
      <c r="AO153" s="115"/>
      <c r="AP153" s="115"/>
      <c r="AQ153" s="115"/>
      <c r="AR153" s="115"/>
      <c r="AS153" s="102"/>
      <c r="AT153" s="102"/>
      <c r="AU153" s="102"/>
    </row>
    <row r="154" spans="1:47">
      <c r="A154" s="2" t="str">
        <f>'Reference Score Calculation'!B145</f>
        <v>JS4006</v>
      </c>
      <c r="B154" s="346" t="str">
        <f>'Reference Score Calculation'!B145</f>
        <v>JS4006</v>
      </c>
      <c r="C154" s="2" t="str">
        <f>'Reference Score Calculation'!E145</f>
        <v>人類學</v>
      </c>
      <c r="D154" s="16">
        <f>'Reference Score Calculation'!U145</f>
        <v>18</v>
      </c>
      <c r="E154" s="16">
        <v>3</v>
      </c>
      <c r="F154" s="16">
        <v>3</v>
      </c>
      <c r="G154" s="16">
        <v>2</v>
      </c>
      <c r="H154" s="16">
        <v>2</v>
      </c>
      <c r="I154" s="16">
        <v>3</v>
      </c>
      <c r="J154" s="16">
        <v>3</v>
      </c>
      <c r="L154" s="90">
        <v>3</v>
      </c>
      <c r="M154" s="90">
        <v>3</v>
      </c>
      <c r="N154" s="90">
        <v>2</v>
      </c>
      <c r="O154" s="90">
        <v>1</v>
      </c>
      <c r="P154" s="90">
        <v>3</v>
      </c>
      <c r="Q154" s="90">
        <v>3</v>
      </c>
      <c r="S154" s="16">
        <f>IF(L154&gt;L$3,0,1)</f>
        <v>0</v>
      </c>
      <c r="T154" s="16">
        <f>IF(M154&gt;M$3,0,1)</f>
        <v>0</v>
      </c>
      <c r="U154" s="16">
        <f>IF(N154&gt;N$3,0,1)</f>
        <v>0</v>
      </c>
      <c r="V154" s="16">
        <f>IF(O154&gt;O$3,0,1)</f>
        <v>0</v>
      </c>
      <c r="W154" s="16">
        <f>IF(P154&gt;LARGE($P$3:$U$3,1),0,1)</f>
        <v>0</v>
      </c>
      <c r="X154" s="16">
        <f>IF(Q154&gt;LARGE($P$3:$U$3,2),0,1)</f>
        <v>0</v>
      </c>
      <c r="Y154" s="16"/>
      <c r="Z154" s="16">
        <f t="shared" ref="Z154:Z203" si="59">S154*T154*U154*V154*W154*X154</f>
        <v>0</v>
      </c>
      <c r="AA154" s="2"/>
      <c r="AB154" s="16" t="s">
        <v>391</v>
      </c>
      <c r="AC154" s="16" t="s">
        <v>392</v>
      </c>
      <c r="AD154" s="16" t="s">
        <v>393</v>
      </c>
      <c r="AE154" s="16" t="s">
        <v>391</v>
      </c>
      <c r="AF154" s="2" t="s">
        <v>394</v>
      </c>
      <c r="AG154" s="2" t="s">
        <v>394</v>
      </c>
      <c r="AH154" s="2"/>
      <c r="AI154" s="116"/>
      <c r="AJ154" s="116"/>
      <c r="AK154" s="116"/>
      <c r="AL154" s="116"/>
      <c r="AM154" s="116"/>
      <c r="AN154" s="116" t="s">
        <v>423</v>
      </c>
      <c r="AO154" s="102"/>
      <c r="AP154" s="102"/>
      <c r="AQ154" s="102"/>
      <c r="AR154" s="102"/>
      <c r="AS154" s="102"/>
      <c r="AT154" s="102"/>
      <c r="AU154" s="102"/>
    </row>
    <row r="155" spans="1:47">
      <c r="A155" s="2" t="str">
        <f>'Reference Score Calculation'!B146</f>
        <v>JS4018</v>
      </c>
      <c r="B155" s="346" t="str">
        <f>'Reference Score Calculation'!B146</f>
        <v>JS4018</v>
      </c>
      <c r="C155" s="2" t="str">
        <f>'Reference Score Calculation'!E146</f>
        <v>中國語言及文學</v>
      </c>
      <c r="D155" s="16">
        <f>'Reference Score Calculation'!U146</f>
        <v>79</v>
      </c>
      <c r="E155" s="16">
        <v>3</v>
      </c>
      <c r="F155" s="16">
        <v>3</v>
      </c>
      <c r="G155" s="16">
        <v>2</v>
      </c>
      <c r="H155" s="16">
        <v>2</v>
      </c>
      <c r="I155" s="16">
        <v>3</v>
      </c>
      <c r="J155" s="16">
        <v>3</v>
      </c>
      <c r="L155" s="90">
        <v>3</v>
      </c>
      <c r="M155" s="90">
        <v>3</v>
      </c>
      <c r="N155" s="90">
        <v>2</v>
      </c>
      <c r="O155" s="90">
        <v>1</v>
      </c>
      <c r="P155" s="90">
        <v>3</v>
      </c>
      <c r="Q155" s="90">
        <v>3</v>
      </c>
      <c r="S155" s="16">
        <f t="shared" ref="S155:S208" si="60">IF(L155&gt;L$3,0,1)</f>
        <v>0</v>
      </c>
      <c r="T155" s="16">
        <f t="shared" ref="T155:T208" si="61">IF(M155&gt;M$3,0,1)</f>
        <v>0</v>
      </c>
      <c r="U155" s="16">
        <f t="shared" ref="U155:U208" si="62">IF(N155&gt;N$3,0,1)</f>
        <v>0</v>
      </c>
      <c r="V155" s="16">
        <f t="shared" ref="V155:V208" si="63">IF(O155&gt;O$3,0,1)</f>
        <v>0</v>
      </c>
      <c r="W155" s="16">
        <f t="shared" ref="W155:W200" si="64">IF(P155&gt;LARGE($P$3:$U$3,1),0,1)</f>
        <v>0</v>
      </c>
      <c r="X155" s="16">
        <f t="shared" ref="X155:X170" si="65">IF(Q155&gt;LARGE($P$3:$U$3,2),0,1)</f>
        <v>0</v>
      </c>
      <c r="Y155" s="16"/>
      <c r="Z155" s="16">
        <f t="shared" si="59"/>
        <v>0</v>
      </c>
      <c r="AA155" s="2"/>
      <c r="AB155" s="16" t="s">
        <v>391</v>
      </c>
      <c r="AC155" s="16" t="s">
        <v>392</v>
      </c>
      <c r="AD155" s="16" t="s">
        <v>393</v>
      </c>
      <c r="AE155" s="16" t="s">
        <v>419</v>
      </c>
      <c r="AF155" s="2" t="s">
        <v>394</v>
      </c>
      <c r="AG155" s="2" t="s">
        <v>394</v>
      </c>
      <c r="AH155" s="2"/>
      <c r="AI155" s="116"/>
      <c r="AJ155" s="116" t="s">
        <v>424</v>
      </c>
      <c r="AK155" s="116"/>
      <c r="AL155" s="116" t="s">
        <v>425</v>
      </c>
      <c r="AM155" s="116"/>
      <c r="AN155" s="116" t="s">
        <v>17</v>
      </c>
      <c r="AO155" s="116" t="s">
        <v>21</v>
      </c>
      <c r="AP155" s="102"/>
      <c r="AQ155" s="102"/>
      <c r="AR155" s="102"/>
      <c r="AS155" s="102"/>
      <c r="AT155" s="102"/>
      <c r="AU155" s="102"/>
    </row>
    <row r="156" spans="1:47">
      <c r="A156" s="2" t="str">
        <f>'Reference Score Calculation'!B147</f>
        <v>JS4032</v>
      </c>
      <c r="B156" s="346" t="str">
        <f>'Reference Score Calculation'!B147</f>
        <v>JS4032</v>
      </c>
      <c r="C156" s="2" t="str">
        <f>'Reference Score Calculation'!E147</f>
        <v>英文</v>
      </c>
      <c r="D156" s="16">
        <f>'Reference Score Calculation'!U147</f>
        <v>55</v>
      </c>
      <c r="E156" s="16">
        <v>3</v>
      </c>
      <c r="F156" s="16">
        <v>3</v>
      </c>
      <c r="G156" s="16">
        <v>2</v>
      </c>
      <c r="H156" s="16">
        <v>2</v>
      </c>
      <c r="I156" s="16">
        <v>3</v>
      </c>
      <c r="J156" s="16">
        <v>3</v>
      </c>
      <c r="L156" s="90">
        <v>3</v>
      </c>
      <c r="M156" s="90">
        <v>3</v>
      </c>
      <c r="N156" s="90">
        <v>2</v>
      </c>
      <c r="O156" s="90">
        <v>1</v>
      </c>
      <c r="P156" s="90">
        <v>3</v>
      </c>
      <c r="Q156" s="90">
        <v>3</v>
      </c>
      <c r="S156" s="16">
        <f t="shared" si="60"/>
        <v>0</v>
      </c>
      <c r="T156" s="16">
        <f t="shared" si="61"/>
        <v>0</v>
      </c>
      <c r="U156" s="16">
        <f t="shared" si="62"/>
        <v>0</v>
      </c>
      <c r="V156" s="16">
        <f t="shared" si="63"/>
        <v>0</v>
      </c>
      <c r="W156" s="16">
        <f t="shared" si="64"/>
        <v>0</v>
      </c>
      <c r="X156" s="16">
        <f t="shared" si="65"/>
        <v>0</v>
      </c>
      <c r="Y156" s="16"/>
      <c r="Z156" s="16">
        <f t="shared" si="59"/>
        <v>0</v>
      </c>
      <c r="AA156" s="2"/>
      <c r="AB156" s="16" t="s">
        <v>391</v>
      </c>
      <c r="AC156" s="16" t="s">
        <v>392</v>
      </c>
      <c r="AD156" s="16" t="s">
        <v>393</v>
      </c>
      <c r="AE156" s="16" t="s">
        <v>391</v>
      </c>
      <c r="AF156" s="2" t="s">
        <v>394</v>
      </c>
      <c r="AG156" s="2" t="s">
        <v>394</v>
      </c>
      <c r="AH156" s="2"/>
      <c r="AI156" s="116" t="s">
        <v>317</v>
      </c>
      <c r="AJ156" s="117">
        <f>N3</f>
        <v>3E-10</v>
      </c>
      <c r="AK156" s="116"/>
      <c r="AL156" s="117">
        <f>P3</f>
        <v>5.0000000000000003E-10</v>
      </c>
      <c r="AM156" s="116"/>
      <c r="AN156" s="16">
        <f>IF(AJ156&lt;5,IF(AJ156&lt;4,0,2),1)</f>
        <v>0</v>
      </c>
      <c r="AO156" s="117">
        <f>IF(AND(AJ156&lt;5,AL156&lt;5),0,1)</f>
        <v>0</v>
      </c>
      <c r="AP156" s="102"/>
      <c r="AQ156" s="102"/>
      <c r="AR156" s="102"/>
      <c r="AS156" s="102"/>
      <c r="AT156" s="102"/>
      <c r="AU156" s="102"/>
    </row>
    <row r="157" spans="1:47">
      <c r="A157" s="2" t="str">
        <f>'Reference Score Calculation'!B148</f>
        <v>JS4044</v>
      </c>
      <c r="B157" s="346" t="str">
        <f>'Reference Score Calculation'!B148</f>
        <v>JS4044</v>
      </c>
      <c r="C157" s="2" t="str">
        <f>'Reference Score Calculation'!E148</f>
        <v>藝術</v>
      </c>
      <c r="D157" s="16">
        <f>'Reference Score Calculation'!U148</f>
        <v>19</v>
      </c>
      <c r="E157" s="16">
        <v>3</v>
      </c>
      <c r="F157" s="16">
        <v>3</v>
      </c>
      <c r="G157" s="16">
        <v>2</v>
      </c>
      <c r="H157" s="16">
        <v>2</v>
      </c>
      <c r="I157" s="16">
        <v>3</v>
      </c>
      <c r="J157" s="16">
        <v>3</v>
      </c>
      <c r="L157" s="90">
        <v>3</v>
      </c>
      <c r="M157" s="90">
        <v>3</v>
      </c>
      <c r="N157" s="90">
        <v>2</v>
      </c>
      <c r="O157" s="90">
        <v>1</v>
      </c>
      <c r="P157" s="90">
        <v>3</v>
      </c>
      <c r="Q157" s="90">
        <v>3</v>
      </c>
      <c r="S157" s="16">
        <f t="shared" si="60"/>
        <v>0</v>
      </c>
      <c r="T157" s="16">
        <f t="shared" si="61"/>
        <v>0</v>
      </c>
      <c r="U157" s="16">
        <f t="shared" si="62"/>
        <v>0</v>
      </c>
      <c r="V157" s="16">
        <f t="shared" si="63"/>
        <v>0</v>
      </c>
      <c r="W157" s="16">
        <f t="shared" si="64"/>
        <v>0</v>
      </c>
      <c r="X157" s="16">
        <f t="shared" si="65"/>
        <v>0</v>
      </c>
      <c r="Y157" s="16"/>
      <c r="Z157" s="16">
        <f t="shared" si="59"/>
        <v>0</v>
      </c>
      <c r="AA157" s="2"/>
      <c r="AB157" s="16" t="s">
        <v>391</v>
      </c>
      <c r="AC157" s="16" t="s">
        <v>392</v>
      </c>
      <c r="AD157" s="16" t="s">
        <v>393</v>
      </c>
      <c r="AE157" s="16" t="s">
        <v>391</v>
      </c>
      <c r="AF157" s="2" t="s">
        <v>394</v>
      </c>
      <c r="AG157" s="2" t="s">
        <v>394</v>
      </c>
      <c r="AH157" s="2"/>
      <c r="AI157" s="116"/>
      <c r="AJ157" s="116"/>
      <c r="AK157" s="116"/>
      <c r="AL157" s="116"/>
      <c r="AM157" s="116"/>
      <c r="AN157" s="116"/>
      <c r="AO157" s="116"/>
      <c r="AP157" s="102"/>
      <c r="AQ157" s="102"/>
      <c r="AR157" s="102"/>
      <c r="AS157" s="102"/>
      <c r="AT157" s="102"/>
      <c r="AU157" s="102"/>
    </row>
    <row r="158" spans="1:47">
      <c r="A158" s="2" t="str">
        <f>'Reference Score Calculation'!B149</f>
        <v>JS4056</v>
      </c>
      <c r="B158" s="346" t="str">
        <f>'Reference Score Calculation'!B149</f>
        <v>JS4056</v>
      </c>
      <c r="C158" s="2" t="str">
        <f>'Reference Score Calculation'!E149</f>
        <v>歷史</v>
      </c>
      <c r="D158" s="16">
        <f>'Reference Score Calculation'!U149</f>
        <v>48</v>
      </c>
      <c r="E158" s="16">
        <v>3</v>
      </c>
      <c r="F158" s="16">
        <v>3</v>
      </c>
      <c r="G158" s="16">
        <v>2</v>
      </c>
      <c r="H158" s="16">
        <v>2</v>
      </c>
      <c r="I158" s="16">
        <v>3</v>
      </c>
      <c r="J158" s="16">
        <v>3</v>
      </c>
      <c r="L158" s="90">
        <v>3</v>
      </c>
      <c r="M158" s="90">
        <v>3</v>
      </c>
      <c r="N158" s="90">
        <v>2</v>
      </c>
      <c r="O158" s="90">
        <v>1</v>
      </c>
      <c r="P158" s="90">
        <v>3</v>
      </c>
      <c r="Q158" s="90">
        <v>3</v>
      </c>
      <c r="S158" s="16">
        <f t="shared" si="60"/>
        <v>0</v>
      </c>
      <c r="T158" s="16">
        <f t="shared" si="61"/>
        <v>0</v>
      </c>
      <c r="U158" s="16">
        <f t="shared" si="62"/>
        <v>0</v>
      </c>
      <c r="V158" s="16">
        <f t="shared" si="63"/>
        <v>0</v>
      </c>
      <c r="W158" s="16">
        <f t="shared" si="64"/>
        <v>0</v>
      </c>
      <c r="X158" s="16">
        <f t="shared" si="65"/>
        <v>0</v>
      </c>
      <c r="Y158" s="16"/>
      <c r="Z158" s="16">
        <f t="shared" si="59"/>
        <v>0</v>
      </c>
      <c r="AA158" s="2"/>
      <c r="AB158" s="16" t="s">
        <v>391</v>
      </c>
      <c r="AC158" s="16" t="s">
        <v>392</v>
      </c>
      <c r="AD158" s="16" t="s">
        <v>393</v>
      </c>
      <c r="AE158" s="16" t="s">
        <v>419</v>
      </c>
      <c r="AF158" s="2" t="s">
        <v>394</v>
      </c>
      <c r="AG158" s="2" t="s">
        <v>394</v>
      </c>
      <c r="AH158" s="2"/>
      <c r="AI158" s="116"/>
      <c r="AJ158" s="116" t="str">
        <f>Q2</f>
        <v>請選擇第一選修科</v>
      </c>
      <c r="AK158" s="116" t="str">
        <f>R2</f>
        <v>請選擇第二選修科</v>
      </c>
      <c r="AL158" s="116" t="str">
        <f>S2</f>
        <v>請選擇第三選修科</v>
      </c>
      <c r="AM158" s="116" t="str">
        <f>T2</f>
        <v>請選擇第四選修科</v>
      </c>
      <c r="AN158" s="102"/>
      <c r="AO158" s="102"/>
      <c r="AP158" s="116" t="s">
        <v>3057</v>
      </c>
      <c r="AQ158" s="116"/>
      <c r="AR158" s="102"/>
      <c r="AS158" s="102"/>
      <c r="AT158" s="102"/>
      <c r="AU158" s="102"/>
    </row>
    <row r="159" spans="1:47">
      <c r="A159" s="2" t="str">
        <f>'Reference Score Calculation'!B150</f>
        <v>JS4068</v>
      </c>
      <c r="B159" s="346" t="str">
        <f>'Reference Score Calculation'!B150</f>
        <v>JS4068</v>
      </c>
      <c r="C159" s="2" t="str">
        <f>'Reference Score Calculation'!E150</f>
        <v>日本研究</v>
      </c>
      <c r="D159" s="16">
        <f>'Reference Score Calculation'!U150</f>
        <v>22</v>
      </c>
      <c r="E159" s="16">
        <v>3</v>
      </c>
      <c r="F159" s="16">
        <v>3</v>
      </c>
      <c r="G159" s="16">
        <v>2</v>
      </c>
      <c r="H159" s="16">
        <v>2</v>
      </c>
      <c r="I159" s="16">
        <v>3</v>
      </c>
      <c r="J159" s="16">
        <v>3</v>
      </c>
      <c r="L159" s="90">
        <v>3</v>
      </c>
      <c r="M159" s="90">
        <v>3</v>
      </c>
      <c r="N159" s="90">
        <v>2</v>
      </c>
      <c r="O159" s="90">
        <v>1</v>
      </c>
      <c r="P159" s="90">
        <v>3</v>
      </c>
      <c r="Q159" s="90">
        <v>3</v>
      </c>
      <c r="S159" s="16">
        <f t="shared" si="60"/>
        <v>0</v>
      </c>
      <c r="T159" s="16">
        <f t="shared" si="61"/>
        <v>0</v>
      </c>
      <c r="U159" s="16">
        <f t="shared" si="62"/>
        <v>0</v>
      </c>
      <c r="V159" s="16">
        <f t="shared" si="63"/>
        <v>0</v>
      </c>
      <c r="W159" s="16">
        <f t="shared" si="64"/>
        <v>0</v>
      </c>
      <c r="X159" s="16">
        <f t="shared" si="65"/>
        <v>0</v>
      </c>
      <c r="Y159" s="16"/>
      <c r="Z159" s="16">
        <f t="shared" si="59"/>
        <v>0</v>
      </c>
      <c r="AA159" s="2"/>
      <c r="AB159" s="16" t="s">
        <v>391</v>
      </c>
      <c r="AC159" s="16" t="s">
        <v>392</v>
      </c>
      <c r="AD159" s="16" t="s">
        <v>393</v>
      </c>
      <c r="AE159" s="16" t="s">
        <v>391</v>
      </c>
      <c r="AF159" s="2" t="s">
        <v>394</v>
      </c>
      <c r="AG159" s="2" t="s">
        <v>394</v>
      </c>
      <c r="AH159" s="2"/>
      <c r="AI159" s="116" t="s">
        <v>2650</v>
      </c>
      <c r="AJ159" s="117">
        <f>IF(OR(Q2="物理",Q2="生物"),Q3,0)</f>
        <v>0</v>
      </c>
      <c r="AK159" s="117">
        <f>IF(OR(R2="物理",R2="生物"),R3,0)</f>
        <v>0</v>
      </c>
      <c r="AL159" s="117">
        <f>IF(OR(S2="物理",S2="生物"),S3,0)</f>
        <v>0</v>
      </c>
      <c r="AM159" s="117">
        <f>IF(OR(T2="物理",T2="生物"),T3,0)</f>
        <v>0</v>
      </c>
      <c r="AN159" s="116"/>
      <c r="AO159" s="116"/>
      <c r="AP159" s="117" t="str">
        <f>IF(AQ159&gt;0,INDEX(AJ158:AN158,MATCH(LARGE(AJ159:AN159,1),AJ159:AN159,0)),"無")</f>
        <v>無</v>
      </c>
      <c r="AQ159" s="117">
        <f>LARGE((AJ159:AN159),1)</f>
        <v>0</v>
      </c>
      <c r="AR159" s="102"/>
      <c r="AS159" s="102"/>
      <c r="AT159" s="102"/>
      <c r="AU159" s="102"/>
    </row>
    <row r="160" spans="1:47">
      <c r="A160" s="2" t="str">
        <f>'Reference Score Calculation'!B151</f>
        <v>JS4070</v>
      </c>
      <c r="B160" s="346" t="str">
        <f>'Reference Score Calculation'!B151</f>
        <v>JS4070</v>
      </c>
      <c r="C160" s="2" t="str">
        <f>'Reference Score Calculation'!E151</f>
        <v>語言學</v>
      </c>
      <c r="D160" s="16">
        <f>'Reference Score Calculation'!U151</f>
        <v>22</v>
      </c>
      <c r="E160" s="16">
        <v>3</v>
      </c>
      <c r="F160" s="16">
        <v>3</v>
      </c>
      <c r="G160" s="16">
        <v>2</v>
      </c>
      <c r="H160" s="16">
        <v>2</v>
      </c>
      <c r="I160" s="16">
        <v>3</v>
      </c>
      <c r="J160" s="16">
        <v>3</v>
      </c>
      <c r="L160" s="90">
        <v>3</v>
      </c>
      <c r="M160" s="90">
        <v>3</v>
      </c>
      <c r="N160" s="90">
        <v>2</v>
      </c>
      <c r="O160" s="90">
        <v>1</v>
      </c>
      <c r="P160" s="90">
        <v>3</v>
      </c>
      <c r="Q160" s="90">
        <v>3</v>
      </c>
      <c r="S160" s="16">
        <f t="shared" si="60"/>
        <v>0</v>
      </c>
      <c r="T160" s="16">
        <f t="shared" si="61"/>
        <v>0</v>
      </c>
      <c r="U160" s="16">
        <f t="shared" si="62"/>
        <v>0</v>
      </c>
      <c r="V160" s="16">
        <f t="shared" si="63"/>
        <v>0</v>
      </c>
      <c r="W160" s="16">
        <f t="shared" si="64"/>
        <v>0</v>
      </c>
      <c r="X160" s="16">
        <f t="shared" si="65"/>
        <v>0</v>
      </c>
      <c r="Y160" s="16"/>
      <c r="Z160" s="16">
        <f t="shared" si="59"/>
        <v>0</v>
      </c>
      <c r="AA160" s="2"/>
      <c r="AB160" s="16" t="s">
        <v>391</v>
      </c>
      <c r="AC160" s="16" t="s">
        <v>392</v>
      </c>
      <c r="AD160" s="16" t="s">
        <v>393</v>
      </c>
      <c r="AE160" s="16" t="s">
        <v>393</v>
      </c>
      <c r="AF160" s="2" t="s">
        <v>394</v>
      </c>
      <c r="AG160" s="2" t="s">
        <v>394</v>
      </c>
      <c r="AH160" s="2"/>
      <c r="AI160" s="116"/>
      <c r="AJ160" s="158" t="s">
        <v>2480</v>
      </c>
      <c r="AK160" s="116"/>
      <c r="AL160" s="116"/>
      <c r="AM160" s="116"/>
      <c r="AN160" s="116"/>
      <c r="AO160" s="116"/>
      <c r="AP160" s="102"/>
      <c r="AQ160" s="102"/>
      <c r="AR160" s="102"/>
      <c r="AS160" s="102"/>
      <c r="AT160" s="102"/>
      <c r="AU160" s="102"/>
    </row>
    <row r="161" spans="1:47">
      <c r="A161" s="2" t="str">
        <f>'Reference Score Calculation'!B152</f>
        <v>JS4082</v>
      </c>
      <c r="B161" s="346" t="str">
        <f>'Reference Score Calculation'!B152</f>
        <v>JS4082</v>
      </c>
      <c r="C161" s="2" t="str">
        <f>'Reference Score Calculation'!E152</f>
        <v>音樂</v>
      </c>
      <c r="D161" s="16">
        <f>'Reference Score Calculation'!U152</f>
        <v>27</v>
      </c>
      <c r="E161" s="16">
        <v>3</v>
      </c>
      <c r="F161" s="16">
        <v>3</v>
      </c>
      <c r="G161" s="16">
        <v>2</v>
      </c>
      <c r="H161" s="16">
        <v>2</v>
      </c>
      <c r="I161" s="16">
        <v>3</v>
      </c>
      <c r="J161" s="16">
        <v>3</v>
      </c>
      <c r="L161" s="90">
        <v>3</v>
      </c>
      <c r="M161" s="90">
        <v>3</v>
      </c>
      <c r="N161" s="90">
        <v>2</v>
      </c>
      <c r="O161" s="90">
        <v>1</v>
      </c>
      <c r="P161" s="90">
        <v>3</v>
      </c>
      <c r="Q161" s="90">
        <v>3</v>
      </c>
      <c r="S161" s="16">
        <f t="shared" si="60"/>
        <v>0</v>
      </c>
      <c r="T161" s="16">
        <f t="shared" si="61"/>
        <v>0</v>
      </c>
      <c r="U161" s="16">
        <f t="shared" si="62"/>
        <v>0</v>
      </c>
      <c r="V161" s="16">
        <f t="shared" si="63"/>
        <v>0</v>
      </c>
      <c r="W161" s="16">
        <f t="shared" si="64"/>
        <v>0</v>
      </c>
      <c r="X161" s="16">
        <f t="shared" si="65"/>
        <v>0</v>
      </c>
      <c r="Y161" s="16"/>
      <c r="Z161" s="16">
        <f>IF(S161*T161*U161*V161*W161*X161=0,0,2)</f>
        <v>0</v>
      </c>
      <c r="AA161" s="2"/>
      <c r="AB161" s="16" t="s">
        <v>391</v>
      </c>
      <c r="AC161" s="16" t="s">
        <v>392</v>
      </c>
      <c r="AD161" s="16" t="s">
        <v>393</v>
      </c>
      <c r="AE161" s="16" t="s">
        <v>393</v>
      </c>
      <c r="AF161" s="2" t="s">
        <v>431</v>
      </c>
      <c r="AG161" s="2" t="s">
        <v>394</v>
      </c>
      <c r="AH161" s="2"/>
      <c r="AI161" s="116"/>
      <c r="AJ161" s="116"/>
      <c r="AK161" s="116"/>
      <c r="AL161" s="116"/>
      <c r="AM161" s="116"/>
      <c r="AN161" s="116"/>
      <c r="AO161" s="116"/>
      <c r="AP161" s="102"/>
      <c r="AQ161" s="102"/>
      <c r="AR161" s="102"/>
      <c r="AS161" s="102"/>
      <c r="AT161" s="102"/>
      <c r="AU161" s="102"/>
    </row>
    <row r="162" spans="1:47">
      <c r="A162" s="2" t="str">
        <f>'Reference Score Calculation'!B153</f>
        <v>JS4094</v>
      </c>
      <c r="B162" s="346" t="str">
        <f>'Reference Score Calculation'!B153</f>
        <v>JS4094</v>
      </c>
      <c r="C162" s="2" t="str">
        <f>'Reference Score Calculation'!E153</f>
        <v>哲學</v>
      </c>
      <c r="D162" s="16">
        <f>'Reference Score Calculation'!U153</f>
        <v>19</v>
      </c>
      <c r="E162" s="16">
        <v>3</v>
      </c>
      <c r="F162" s="16">
        <v>3</v>
      </c>
      <c r="G162" s="16">
        <v>2</v>
      </c>
      <c r="H162" s="16">
        <v>2</v>
      </c>
      <c r="I162" s="16">
        <v>3</v>
      </c>
      <c r="J162" s="16">
        <v>3</v>
      </c>
      <c r="L162" s="90">
        <v>3</v>
      </c>
      <c r="M162" s="90">
        <v>3</v>
      </c>
      <c r="N162" s="90">
        <v>2</v>
      </c>
      <c r="O162" s="90">
        <v>1</v>
      </c>
      <c r="P162" s="90">
        <v>3</v>
      </c>
      <c r="Q162" s="90">
        <v>3</v>
      </c>
      <c r="S162" s="16">
        <f t="shared" si="60"/>
        <v>0</v>
      </c>
      <c r="T162" s="16">
        <f t="shared" si="61"/>
        <v>0</v>
      </c>
      <c r="U162" s="16">
        <f t="shared" si="62"/>
        <v>0</v>
      </c>
      <c r="V162" s="16">
        <f t="shared" si="63"/>
        <v>0</v>
      </c>
      <c r="W162" s="16">
        <f t="shared" si="64"/>
        <v>0</v>
      </c>
      <c r="X162" s="16">
        <f t="shared" si="65"/>
        <v>0</v>
      </c>
      <c r="Y162" s="16"/>
      <c r="Z162" s="16">
        <f t="shared" si="59"/>
        <v>0</v>
      </c>
      <c r="AA162" s="2"/>
      <c r="AB162" s="16" t="s">
        <v>391</v>
      </c>
      <c r="AC162" s="16" t="s">
        <v>392</v>
      </c>
      <c r="AD162" s="16" t="s">
        <v>393</v>
      </c>
      <c r="AE162" s="16" t="s">
        <v>393</v>
      </c>
      <c r="AF162" s="2" t="s">
        <v>394</v>
      </c>
      <c r="AG162" s="2" t="s">
        <v>394</v>
      </c>
      <c r="AH162" s="2"/>
      <c r="AI162" s="116"/>
      <c r="AJ162" s="116" t="str">
        <f>Q2</f>
        <v>請選擇第一選修科</v>
      </c>
      <c r="AK162" s="116" t="str">
        <f>R2</f>
        <v>請選擇第二選修科</v>
      </c>
      <c r="AL162" s="116" t="str">
        <f>S2</f>
        <v>請選擇第三選修科</v>
      </c>
      <c r="AM162" s="116" t="str">
        <f>T2</f>
        <v>請選擇第四選修科</v>
      </c>
      <c r="AN162" s="116" t="str">
        <f>P2</f>
        <v>數學延伸</v>
      </c>
      <c r="AO162" s="102"/>
      <c r="AP162" s="116" t="s">
        <v>427</v>
      </c>
      <c r="AQ162" s="116"/>
      <c r="AR162" s="102"/>
      <c r="AS162" s="102"/>
      <c r="AT162" s="102"/>
      <c r="AU162" s="102"/>
    </row>
    <row r="163" spans="1:47">
      <c r="A163" s="2" t="str">
        <f>'Reference Score Calculation'!B154</f>
        <v>JS4100</v>
      </c>
      <c r="B163" s="346" t="str">
        <f>'Reference Score Calculation'!B154</f>
        <v>JS4100</v>
      </c>
      <c r="C163" s="2" t="str">
        <f>'Reference Score Calculation'!E154</f>
        <v>公共人文學</v>
      </c>
      <c r="D163" s="16">
        <f>'Reference Score Calculation'!U154</f>
        <v>37</v>
      </c>
      <c r="L163" s="90">
        <v>3</v>
      </c>
      <c r="M163" s="90">
        <v>3</v>
      </c>
      <c r="N163" s="90">
        <v>2</v>
      </c>
      <c r="O163" s="90">
        <v>1</v>
      </c>
      <c r="P163" s="90">
        <v>3</v>
      </c>
      <c r="Q163" s="90">
        <v>3</v>
      </c>
      <c r="S163" s="16">
        <f t="shared" si="60"/>
        <v>0</v>
      </c>
      <c r="T163" s="16">
        <f t="shared" si="61"/>
        <v>0</v>
      </c>
      <c r="U163" s="16">
        <f t="shared" si="62"/>
        <v>0</v>
      </c>
      <c r="V163" s="16">
        <f t="shared" si="63"/>
        <v>0</v>
      </c>
      <c r="W163" s="16">
        <f t="shared" si="64"/>
        <v>0</v>
      </c>
      <c r="X163" s="16">
        <f t="shared" si="65"/>
        <v>0</v>
      </c>
      <c r="Y163" s="16"/>
      <c r="Z163" s="16">
        <f t="shared" si="59"/>
        <v>0</v>
      </c>
      <c r="AA163" s="2"/>
      <c r="AB163" s="16" t="s">
        <v>391</v>
      </c>
      <c r="AC163" s="16" t="s">
        <v>392</v>
      </c>
      <c r="AD163" s="16" t="s">
        <v>393</v>
      </c>
      <c r="AE163" s="16" t="s">
        <v>393</v>
      </c>
      <c r="AF163" s="2" t="s">
        <v>394</v>
      </c>
      <c r="AG163" s="2" t="s">
        <v>394</v>
      </c>
      <c r="AH163" s="2"/>
      <c r="AI163" s="116" t="s">
        <v>426</v>
      </c>
      <c r="AJ163" s="117">
        <f>IF(OR(Q2="物理",Q2="化學",Q2="生物",Q2="地理",Q2="經濟",,Q2="資訊及通訊科技",Q2="科技與生活",Q2="企業、會計與財務概論",Q2="設計與應用科技"),Q3,0)</f>
        <v>0</v>
      </c>
      <c r="AK163" s="117">
        <f>IF(OR(R2="物理",R2="化學",R2="生物",R2="地理",R2="經濟",,R2="資訊及通訊科技",R2="科技與生活",R2="企業、會計與財務概論",R2="設計與應用科技"),R3,0)</f>
        <v>0</v>
      </c>
      <c r="AL163" s="117">
        <f>IF(OR(S2="物理",S2="化學",S2="生物",S2="地理",S2="經濟",,S2="資訊及通訊科技",S2="科技與生活",S2="企業、會計與財務概論",S2="設計與應用科技"),S3,0)</f>
        <v>0</v>
      </c>
      <c r="AM163" s="117">
        <f>IF(OR(T2="物理",T2="化學",T2="生物",T2="地理",T2="經濟",,T2="資訊及通訊科技",T2="科技與生活",T2="企業、會計與財務概論",T2="設計與應用科技"),T3,0)</f>
        <v>0</v>
      </c>
      <c r="AN163" s="117">
        <f>P3</f>
        <v>5.0000000000000003E-10</v>
      </c>
      <c r="AO163" s="116"/>
      <c r="AP163" s="117" t="str">
        <f>IF(AQ163&gt;0,INDEX(AJ162:AN162,MATCH(LARGE(AJ163:AN163,1),AJ163:AN163,0)),"無")</f>
        <v>數學延伸</v>
      </c>
      <c r="AQ163" s="117">
        <f>LARGE((AJ163:AN163),1)</f>
        <v>5.0000000000000003E-10</v>
      </c>
      <c r="AR163" s="102"/>
      <c r="AS163" s="102"/>
      <c r="AT163" s="102"/>
      <c r="AU163" s="102"/>
    </row>
    <row r="164" spans="1:47">
      <c r="A164" s="2" t="str">
        <f>'Reference Score Calculation'!B155</f>
        <v>JS4109</v>
      </c>
      <c r="B164" s="346" t="str">
        <f>'Reference Score Calculation'!B155</f>
        <v>JS4109</v>
      </c>
      <c r="C164" s="2" t="str">
        <f>'Reference Score Calculation'!E155</f>
        <v>宗教研究</v>
      </c>
      <c r="D164" s="16" t="str">
        <f>'Reference Score Calculation'!U155</f>
        <v>18*</v>
      </c>
      <c r="E164" s="16">
        <v>3</v>
      </c>
      <c r="F164" s="16">
        <v>3</v>
      </c>
      <c r="G164" s="16">
        <v>2</v>
      </c>
      <c r="H164" s="16">
        <v>2</v>
      </c>
      <c r="I164" s="16">
        <v>3</v>
      </c>
      <c r="J164" s="16">
        <v>3</v>
      </c>
      <c r="L164" s="90">
        <v>3</v>
      </c>
      <c r="M164" s="90">
        <v>3</v>
      </c>
      <c r="N164" s="90">
        <v>2</v>
      </c>
      <c r="O164" s="90">
        <v>1</v>
      </c>
      <c r="P164" s="90">
        <v>3</v>
      </c>
      <c r="Q164" s="90">
        <v>3</v>
      </c>
      <c r="S164" s="16">
        <f t="shared" si="60"/>
        <v>0</v>
      </c>
      <c r="T164" s="16">
        <f t="shared" si="61"/>
        <v>0</v>
      </c>
      <c r="U164" s="16">
        <f t="shared" si="62"/>
        <v>0</v>
      </c>
      <c r="V164" s="16">
        <f t="shared" si="63"/>
        <v>0</v>
      </c>
      <c r="W164" s="16">
        <f t="shared" si="64"/>
        <v>0</v>
      </c>
      <c r="X164" s="16">
        <f t="shared" si="65"/>
        <v>0</v>
      </c>
      <c r="Y164" s="16"/>
      <c r="Z164" s="16">
        <f t="shared" si="59"/>
        <v>0</v>
      </c>
      <c r="AA164" s="2"/>
      <c r="AB164" s="16" t="s">
        <v>391</v>
      </c>
      <c r="AC164" s="16" t="s">
        <v>392</v>
      </c>
      <c r="AD164" s="16" t="s">
        <v>393</v>
      </c>
      <c r="AE164" s="16" t="s">
        <v>419</v>
      </c>
      <c r="AF164" s="2" t="s">
        <v>394</v>
      </c>
      <c r="AG164" s="2" t="s">
        <v>394</v>
      </c>
      <c r="AH164" s="2"/>
      <c r="AI164" s="116">
        <v>123</v>
      </c>
      <c r="AJ164" s="158" t="s">
        <v>2379</v>
      </c>
      <c r="AK164" s="116"/>
      <c r="AL164" s="116"/>
      <c r="AM164" s="116"/>
      <c r="AN164" s="116"/>
      <c r="AO164" s="116"/>
      <c r="AP164" s="102"/>
      <c r="AQ164" s="102"/>
      <c r="AR164" s="102"/>
      <c r="AS164" s="102"/>
      <c r="AT164" s="102"/>
      <c r="AU164" s="102"/>
    </row>
    <row r="165" spans="1:47">
      <c r="A165" s="2" t="str">
        <f>'Reference Score Calculation'!B156</f>
        <v>JS4111</v>
      </c>
      <c r="B165" s="346" t="str">
        <f>'Reference Score Calculation'!B156</f>
        <v>JS4111</v>
      </c>
      <c r="C165" s="2" t="str">
        <f>'Reference Score Calculation'!E156</f>
        <v>神學</v>
      </c>
      <c r="D165" s="16" t="str">
        <f>'Reference Score Calculation'!U156</f>
        <v>18*</v>
      </c>
      <c r="E165" s="16">
        <v>3</v>
      </c>
      <c r="F165" s="16">
        <v>3</v>
      </c>
      <c r="G165" s="16">
        <v>2</v>
      </c>
      <c r="H165" s="16">
        <v>2</v>
      </c>
      <c r="I165" s="16">
        <v>3</v>
      </c>
      <c r="J165" s="16">
        <v>3</v>
      </c>
      <c r="L165" s="90">
        <v>3</v>
      </c>
      <c r="M165" s="90">
        <v>3</v>
      </c>
      <c r="N165" s="90">
        <v>2</v>
      </c>
      <c r="O165" s="90">
        <v>1</v>
      </c>
      <c r="P165" s="90">
        <v>3</v>
      </c>
      <c r="Q165" s="90">
        <v>3</v>
      </c>
      <c r="S165" s="16">
        <f t="shared" si="60"/>
        <v>0</v>
      </c>
      <c r="T165" s="16">
        <f t="shared" si="61"/>
        <v>0</v>
      </c>
      <c r="U165" s="16">
        <f t="shared" si="62"/>
        <v>0</v>
      </c>
      <c r="V165" s="16">
        <f t="shared" si="63"/>
        <v>0</v>
      </c>
      <c r="W165" s="16">
        <f t="shared" si="64"/>
        <v>0</v>
      </c>
      <c r="X165" s="16">
        <f t="shared" si="65"/>
        <v>0</v>
      </c>
      <c r="Y165" s="16"/>
      <c r="Z165" s="16">
        <f t="shared" si="59"/>
        <v>0</v>
      </c>
      <c r="AA165" s="2"/>
      <c r="AB165" s="16" t="s">
        <v>391</v>
      </c>
      <c r="AC165" s="16" t="s">
        <v>392</v>
      </c>
      <c r="AD165" s="16" t="s">
        <v>393</v>
      </c>
      <c r="AE165" s="16" t="s">
        <v>391</v>
      </c>
      <c r="AF165" s="2" t="s">
        <v>394</v>
      </c>
      <c r="AG165" s="2" t="s">
        <v>394</v>
      </c>
      <c r="AH165" s="2"/>
      <c r="AI165" s="102"/>
      <c r="AJ165" s="102"/>
      <c r="AK165" s="102"/>
      <c r="AL165" s="102"/>
      <c r="AM165" s="102"/>
      <c r="AN165" s="102"/>
      <c r="AO165" s="102"/>
      <c r="AP165" s="102"/>
      <c r="AQ165" s="102"/>
      <c r="AR165" s="102"/>
      <c r="AS165" s="101" t="s">
        <v>3075</v>
      </c>
      <c r="AT165" s="102"/>
      <c r="AU165" s="102"/>
    </row>
    <row r="166" spans="1:47">
      <c r="A166" s="2" t="str">
        <f>'Reference Score Calculation'!B157</f>
        <v>JS4123</v>
      </c>
      <c r="B166" s="346" t="str">
        <f>'Reference Score Calculation'!B157</f>
        <v>JS4123</v>
      </c>
      <c r="C166" s="2" t="str">
        <f>'Reference Score Calculation'!E157</f>
        <v>翻譯</v>
      </c>
      <c r="D166" s="16">
        <f>'Reference Score Calculation'!U157</f>
        <v>32</v>
      </c>
      <c r="E166" s="16">
        <v>3</v>
      </c>
      <c r="F166" s="16">
        <v>3</v>
      </c>
      <c r="G166" s="16">
        <v>2</v>
      </c>
      <c r="H166" s="16">
        <v>2</v>
      </c>
      <c r="I166" s="16">
        <v>3</v>
      </c>
      <c r="J166" s="16">
        <v>3</v>
      </c>
      <c r="L166" s="90">
        <v>3</v>
      </c>
      <c r="M166" s="90">
        <v>3</v>
      </c>
      <c r="N166" s="90">
        <v>2</v>
      </c>
      <c r="O166" s="90">
        <v>1</v>
      </c>
      <c r="P166" s="90">
        <v>3</v>
      </c>
      <c r="Q166" s="90">
        <v>3</v>
      </c>
      <c r="S166" s="16">
        <f t="shared" si="60"/>
        <v>0</v>
      </c>
      <c r="T166" s="16">
        <f t="shared" si="61"/>
        <v>0</v>
      </c>
      <c r="U166" s="16">
        <f t="shared" si="62"/>
        <v>0</v>
      </c>
      <c r="V166" s="16">
        <f t="shared" si="63"/>
        <v>0</v>
      </c>
      <c r="W166" s="16">
        <f t="shared" si="64"/>
        <v>0</v>
      </c>
      <c r="X166" s="16">
        <f t="shared" si="65"/>
        <v>0</v>
      </c>
      <c r="Y166" s="16"/>
      <c r="Z166" s="16">
        <f t="shared" si="59"/>
        <v>0</v>
      </c>
      <c r="AA166" s="2"/>
      <c r="AB166" s="16" t="s">
        <v>391</v>
      </c>
      <c r="AC166" s="16" t="s">
        <v>392</v>
      </c>
      <c r="AD166" s="16" t="s">
        <v>393</v>
      </c>
      <c r="AE166" s="16" t="s">
        <v>393</v>
      </c>
      <c r="AF166" s="2" t="s">
        <v>394</v>
      </c>
      <c r="AG166" s="2" t="s">
        <v>394</v>
      </c>
      <c r="AH166" s="2"/>
      <c r="AI166" s="116" t="s">
        <v>1315</v>
      </c>
      <c r="AJ166" s="116" t="str">
        <f>Q2</f>
        <v>請選擇第一選修科</v>
      </c>
      <c r="AK166" s="116" t="str">
        <f>R2</f>
        <v>請選擇第二選修科</v>
      </c>
      <c r="AL166" s="116" t="str">
        <f>S2</f>
        <v>請選擇第三選修科</v>
      </c>
      <c r="AM166" s="116" t="str">
        <f>T2</f>
        <v>請選擇第四選修科</v>
      </c>
      <c r="AN166" s="116" t="str">
        <f>P2</f>
        <v>數學延伸</v>
      </c>
      <c r="AO166" s="102"/>
      <c r="AP166" s="116" t="s">
        <v>427</v>
      </c>
      <c r="AQ166" s="116"/>
      <c r="AR166" s="102"/>
      <c r="AS166" s="16" t="str">
        <f>IF(AT166&gt;0,INDEX(AJ166:AN166,MATCH(AT166,AJ167:AN167,0)),"無")</f>
        <v>無</v>
      </c>
      <c r="AT166" s="16">
        <f>LARGE((AJ167:AN167),2)</f>
        <v>0</v>
      </c>
      <c r="AU166" s="102"/>
    </row>
    <row r="167" spans="1:47">
      <c r="A167" s="2" t="str">
        <f>'Reference Score Calculation'!B158</f>
        <v>JS4136</v>
      </c>
      <c r="B167" s="346" t="str">
        <f>'Reference Score Calculation'!B158</f>
        <v>JS4136</v>
      </c>
      <c r="C167" s="2" t="str">
        <f>'Reference Score Calculation'!E158</f>
        <v>中國研究</v>
      </c>
      <c r="D167" s="16">
        <f>'Reference Score Calculation'!U158</f>
        <v>10</v>
      </c>
      <c r="E167" s="16">
        <v>3</v>
      </c>
      <c r="F167" s="16">
        <v>3</v>
      </c>
      <c r="G167" s="16">
        <v>2</v>
      </c>
      <c r="H167" s="16">
        <v>2</v>
      </c>
      <c r="I167" s="16">
        <v>3</v>
      </c>
      <c r="J167" s="16">
        <v>3</v>
      </c>
      <c r="L167" s="90">
        <v>3</v>
      </c>
      <c r="M167" s="90">
        <v>3</v>
      </c>
      <c r="N167" s="90">
        <v>2</v>
      </c>
      <c r="O167" s="90">
        <v>1</v>
      </c>
      <c r="P167" s="90">
        <v>3</v>
      </c>
      <c r="Q167" s="90">
        <v>3</v>
      </c>
      <c r="S167" s="16">
        <f t="shared" si="60"/>
        <v>0</v>
      </c>
      <c r="T167" s="16">
        <f t="shared" si="61"/>
        <v>0</v>
      </c>
      <c r="U167" s="16">
        <f t="shared" si="62"/>
        <v>0</v>
      </c>
      <c r="V167" s="16">
        <f t="shared" si="63"/>
        <v>0</v>
      </c>
      <c r="W167" s="16">
        <f t="shared" si="64"/>
        <v>0</v>
      </c>
      <c r="X167" s="16">
        <f t="shared" si="65"/>
        <v>0</v>
      </c>
      <c r="Y167" s="16"/>
      <c r="Z167" s="16">
        <f t="shared" si="59"/>
        <v>0</v>
      </c>
      <c r="AA167" s="2"/>
      <c r="AB167" s="16" t="s">
        <v>391</v>
      </c>
      <c r="AC167" s="16" t="s">
        <v>392</v>
      </c>
      <c r="AD167" s="16" t="s">
        <v>393</v>
      </c>
      <c r="AE167" s="16" t="s">
        <v>419</v>
      </c>
      <c r="AF167" s="2" t="s">
        <v>394</v>
      </c>
      <c r="AG167" s="2" t="s">
        <v>394</v>
      </c>
      <c r="AH167" s="2"/>
      <c r="AI167" s="116" t="s">
        <v>429</v>
      </c>
      <c r="AJ167" s="117">
        <f>IF(OR(Q2="物理",Q2="化學",Q2="生物"),Q3,0)</f>
        <v>0</v>
      </c>
      <c r="AK167" s="117">
        <f>IF(OR(R2="物理",R2="化學",R2="生物"),R3,0)</f>
        <v>0</v>
      </c>
      <c r="AL167" s="117">
        <f>IF(OR(S2="物理",S2="化學",S2="生物"),S3,0)</f>
        <v>0</v>
      </c>
      <c r="AM167" s="117">
        <f>IF(OR(T2="物理",T2="化學",T2="生物"),T3,0)</f>
        <v>0</v>
      </c>
      <c r="AN167" s="117">
        <f>P3</f>
        <v>5.0000000000000003E-10</v>
      </c>
      <c r="AO167" s="116"/>
      <c r="AP167" s="117" t="str">
        <f>IF(AQ167&gt;0,INDEX(AJ166:AN166,MATCH(LARGE(AJ167:AN167,1),AJ167:AN167,0)),"無")</f>
        <v>數學延伸</v>
      </c>
      <c r="AQ167" s="117">
        <f>LARGE((AJ167:AN167),1)</f>
        <v>5.0000000000000003E-10</v>
      </c>
      <c r="AR167" s="102"/>
      <c r="AS167" s="102"/>
      <c r="AT167" s="102"/>
      <c r="AU167" s="102"/>
    </row>
    <row r="168" spans="1:47">
      <c r="A168" s="2" t="str">
        <f>'Reference Score Calculation'!B159</f>
        <v>JS4202</v>
      </c>
      <c r="B168" s="346" t="str">
        <f>'Reference Score Calculation'!B159</f>
        <v>JS4202</v>
      </c>
      <c r="C168" s="2" t="str">
        <f>'Reference Score Calculation'!E159</f>
        <v>工商管理學士綜合課程</v>
      </c>
      <c r="D168" s="16">
        <f>'Reference Score Calculation'!U159</f>
        <v>222</v>
      </c>
      <c r="E168" s="16">
        <v>3</v>
      </c>
      <c r="F168" s="16">
        <v>3</v>
      </c>
      <c r="G168" s="16">
        <v>2</v>
      </c>
      <c r="H168" s="16">
        <v>2</v>
      </c>
      <c r="I168" s="16">
        <v>3</v>
      </c>
      <c r="J168" s="16">
        <v>3</v>
      </c>
      <c r="L168" s="90">
        <v>3</v>
      </c>
      <c r="M168" s="90">
        <v>3</v>
      </c>
      <c r="N168" s="90">
        <v>2</v>
      </c>
      <c r="O168" s="90">
        <v>1</v>
      </c>
      <c r="P168" s="90">
        <v>3</v>
      </c>
      <c r="Q168" s="90">
        <v>3</v>
      </c>
      <c r="S168" s="16">
        <f t="shared" si="60"/>
        <v>0</v>
      </c>
      <c r="T168" s="16">
        <f t="shared" si="61"/>
        <v>0</v>
      </c>
      <c r="U168" s="16">
        <f t="shared" si="62"/>
        <v>0</v>
      </c>
      <c r="V168" s="16">
        <f t="shared" si="63"/>
        <v>0</v>
      </c>
      <c r="W168" s="16">
        <f t="shared" si="64"/>
        <v>0</v>
      </c>
      <c r="X168" s="16">
        <f t="shared" si="65"/>
        <v>0</v>
      </c>
      <c r="Y168" s="16"/>
      <c r="Z168" s="16">
        <f t="shared" si="59"/>
        <v>0</v>
      </c>
      <c r="AA168" s="2"/>
      <c r="AB168" s="16" t="s">
        <v>391</v>
      </c>
      <c r="AC168" s="16" t="s">
        <v>392</v>
      </c>
      <c r="AD168" s="16" t="s">
        <v>393</v>
      </c>
      <c r="AE168" s="16" t="s">
        <v>393</v>
      </c>
      <c r="AF168" s="2" t="s">
        <v>394</v>
      </c>
      <c r="AG168" s="2" t="s">
        <v>394</v>
      </c>
      <c r="AH168" s="2"/>
      <c r="AI168" s="116" t="s">
        <v>430</v>
      </c>
      <c r="AJ168" s="158" t="s">
        <v>2415</v>
      </c>
      <c r="AK168" s="116"/>
      <c r="AL168" s="116"/>
      <c r="AM168" s="116"/>
      <c r="AN168" s="116"/>
      <c r="AO168" s="116"/>
      <c r="AP168" s="102"/>
      <c r="AQ168" s="102"/>
      <c r="AR168" s="102"/>
      <c r="AS168" s="101" t="s">
        <v>2418</v>
      </c>
      <c r="AT168" s="102"/>
      <c r="AU168" s="102"/>
    </row>
    <row r="169" spans="1:47">
      <c r="A169" s="2" t="str">
        <f>'Reference Score Calculation'!B160</f>
        <v>JS4214</v>
      </c>
      <c r="B169" s="346" t="str">
        <f>'Reference Score Calculation'!B160</f>
        <v>JS4214</v>
      </c>
      <c r="C169" s="2" t="str">
        <f>'Reference Score Calculation'!E160</f>
        <v>環球商業學</v>
      </c>
      <c r="D169" s="16">
        <f>'Reference Score Calculation'!U160</f>
        <v>15</v>
      </c>
      <c r="E169" s="16">
        <v>4</v>
      </c>
      <c r="F169" s="16">
        <v>5</v>
      </c>
      <c r="G169" s="16">
        <v>3</v>
      </c>
      <c r="H169" s="16">
        <v>3</v>
      </c>
      <c r="I169" s="16">
        <v>3</v>
      </c>
      <c r="J169" s="16">
        <v>3</v>
      </c>
      <c r="L169" s="90">
        <v>4</v>
      </c>
      <c r="M169" s="90">
        <v>5</v>
      </c>
      <c r="N169" s="90">
        <v>3</v>
      </c>
      <c r="O169" s="90">
        <v>1</v>
      </c>
      <c r="P169" s="90">
        <v>3</v>
      </c>
      <c r="Q169" s="90">
        <v>3</v>
      </c>
      <c r="S169" s="16">
        <f t="shared" si="60"/>
        <v>0</v>
      </c>
      <c r="T169" s="16">
        <f t="shared" si="61"/>
        <v>0</v>
      </c>
      <c r="U169" s="16">
        <f t="shared" si="62"/>
        <v>0</v>
      </c>
      <c r="V169" s="16">
        <f t="shared" si="63"/>
        <v>0</v>
      </c>
      <c r="W169" s="16">
        <f>IF(P169&gt;LARGE($P$3:$U$3,1),0,1)</f>
        <v>0</v>
      </c>
      <c r="X169" s="16">
        <f t="shared" si="65"/>
        <v>0</v>
      </c>
      <c r="Y169" s="16"/>
      <c r="Z169" s="16">
        <f>IF(S169*T169*U169*V169*W169*X169=0,0,1)</f>
        <v>0</v>
      </c>
      <c r="AA169" s="2"/>
      <c r="AB169" s="16" t="s">
        <v>391</v>
      </c>
      <c r="AC169" s="16" t="s">
        <v>392</v>
      </c>
      <c r="AD169" s="16" t="s">
        <v>393</v>
      </c>
      <c r="AE169" s="16" t="s">
        <v>393</v>
      </c>
      <c r="AF169" s="2" t="s">
        <v>394</v>
      </c>
      <c r="AG169" s="2" t="s">
        <v>394</v>
      </c>
      <c r="AH169" s="2"/>
      <c r="AI169" s="116"/>
      <c r="AJ169" s="116"/>
      <c r="AK169" s="116"/>
      <c r="AL169" s="116"/>
      <c r="AM169" s="116"/>
      <c r="AN169" s="116"/>
      <c r="AO169" s="116"/>
      <c r="AP169" s="102"/>
      <c r="AQ169" s="102"/>
      <c r="AR169" s="102"/>
      <c r="AS169" s="21" t="str">
        <f>IF(AT169&gt;0,INDEX(AJ171:AN171,MATCH(AT169,AJ172:AN172,0)),"無")</f>
        <v>無</v>
      </c>
      <c r="AT169" s="119">
        <f>IF(AP172=AP167,LARGE((AJ172:AN172),2),LARGE((AJ172:AN172),1))</f>
        <v>0</v>
      </c>
      <c r="AU169" s="102"/>
    </row>
    <row r="170" spans="1:47">
      <c r="A170" s="2" t="str">
        <f>'Reference Score Calculation'!B161</f>
        <v>JS4226</v>
      </c>
      <c r="B170" s="346" t="str">
        <f>'Reference Score Calculation'!B161</f>
        <v>JS4226</v>
      </c>
      <c r="C170" s="2" t="str">
        <f>'Reference Score Calculation'!E161</f>
        <v>酒店旅遊及房地產</v>
      </c>
      <c r="D170" s="16">
        <f>'Reference Score Calculation'!U161</f>
        <v>60</v>
      </c>
      <c r="E170" s="16">
        <v>3</v>
      </c>
      <c r="F170" s="16">
        <v>3</v>
      </c>
      <c r="G170" s="16">
        <v>2</v>
      </c>
      <c r="H170" s="16">
        <v>2</v>
      </c>
      <c r="I170" s="16">
        <v>3</v>
      </c>
      <c r="J170" s="16">
        <v>3</v>
      </c>
      <c r="L170" s="90">
        <v>3</v>
      </c>
      <c r="M170" s="90">
        <v>3</v>
      </c>
      <c r="N170" s="90">
        <v>2</v>
      </c>
      <c r="O170" s="90">
        <v>1</v>
      </c>
      <c r="P170" s="90">
        <v>3</v>
      </c>
      <c r="Q170" s="90">
        <v>3</v>
      </c>
      <c r="S170" s="16">
        <f t="shared" si="60"/>
        <v>0</v>
      </c>
      <c r="T170" s="16">
        <f t="shared" si="61"/>
        <v>0</v>
      </c>
      <c r="U170" s="16">
        <f t="shared" si="62"/>
        <v>0</v>
      </c>
      <c r="V170" s="16">
        <f t="shared" si="63"/>
        <v>0</v>
      </c>
      <c r="W170" s="16">
        <f t="shared" si="64"/>
        <v>0</v>
      </c>
      <c r="X170" s="16">
        <f t="shared" si="65"/>
        <v>0</v>
      </c>
      <c r="Y170" s="16"/>
      <c r="Z170" s="16">
        <f t="shared" si="59"/>
        <v>0</v>
      </c>
      <c r="AA170" s="2"/>
      <c r="AB170" s="16" t="s">
        <v>391</v>
      </c>
      <c r="AC170" s="16" t="s">
        <v>392</v>
      </c>
      <c r="AD170" s="16" t="s">
        <v>393</v>
      </c>
      <c r="AE170" s="16" t="s">
        <v>391</v>
      </c>
      <c r="AF170" s="2" t="s">
        <v>394</v>
      </c>
      <c r="AG170" s="2" t="s">
        <v>394</v>
      </c>
      <c r="AH170" s="2"/>
      <c r="AI170" s="116"/>
      <c r="AJ170" s="116"/>
      <c r="AK170" s="116"/>
      <c r="AL170" s="116"/>
      <c r="AM170" s="116"/>
      <c r="AN170" s="116"/>
      <c r="AO170" s="116"/>
      <c r="AP170" s="102"/>
      <c r="AQ170" s="102"/>
      <c r="AR170" s="102"/>
      <c r="AS170" s="102"/>
      <c r="AT170" s="102"/>
      <c r="AU170" s="102"/>
    </row>
    <row r="171" spans="1:47">
      <c r="A171" s="2" t="str">
        <f>'Reference Score Calculation'!B162</f>
        <v>JS4238</v>
      </c>
      <c r="B171" s="346" t="str">
        <f>'Reference Score Calculation'!B162</f>
        <v>JS4238</v>
      </c>
      <c r="C171" s="2" t="str">
        <f>'Reference Score Calculation'!E162</f>
        <v>保險、金融與精算學</v>
      </c>
      <c r="D171" s="16">
        <f>'Reference Score Calculation'!U162</f>
        <v>45</v>
      </c>
      <c r="E171" s="16">
        <v>3</v>
      </c>
      <c r="F171" s="16">
        <v>3</v>
      </c>
      <c r="G171" s="16">
        <v>5</v>
      </c>
      <c r="H171" s="16">
        <v>2</v>
      </c>
      <c r="I171" s="16">
        <v>3</v>
      </c>
      <c r="J171" s="16">
        <v>3</v>
      </c>
      <c r="L171" s="90">
        <v>3</v>
      </c>
      <c r="M171" s="90">
        <v>3</v>
      </c>
      <c r="N171" s="90">
        <v>5</v>
      </c>
      <c r="O171" s="90">
        <v>1</v>
      </c>
      <c r="P171" s="90">
        <v>3</v>
      </c>
      <c r="Q171" s="90">
        <v>3</v>
      </c>
      <c r="S171" s="16">
        <f t="shared" si="60"/>
        <v>0</v>
      </c>
      <c r="T171" s="16">
        <f t="shared" si="61"/>
        <v>0</v>
      </c>
      <c r="U171" s="72">
        <f>AN156</f>
        <v>0</v>
      </c>
      <c r="V171" s="16">
        <f t="shared" si="63"/>
        <v>0</v>
      </c>
      <c r="W171" s="16">
        <f>IF(P171&gt;LARGE($P$3:$U$3,1),0,1)</f>
        <v>0</v>
      </c>
      <c r="X171" s="72">
        <f>IF(AN156=2,AO156,IF(Q171&gt;LARGE($P$3:$U$3,2),0,1))</f>
        <v>0</v>
      </c>
      <c r="Y171" s="16"/>
      <c r="Z171" s="16">
        <f t="shared" si="59"/>
        <v>0</v>
      </c>
      <c r="AA171" s="2"/>
      <c r="AB171" s="16" t="s">
        <v>391</v>
      </c>
      <c r="AC171" s="16" t="s">
        <v>392</v>
      </c>
      <c r="AD171" s="16" t="s">
        <v>393</v>
      </c>
      <c r="AE171" s="16" t="s">
        <v>391</v>
      </c>
      <c r="AF171" s="2" t="s">
        <v>435</v>
      </c>
      <c r="AG171" s="2" t="s">
        <v>394</v>
      </c>
      <c r="AH171" s="2" t="s">
        <v>394</v>
      </c>
      <c r="AI171" s="116"/>
      <c r="AJ171" s="116" t="str">
        <f>Q2</f>
        <v>請選擇第一選修科</v>
      </c>
      <c r="AK171" s="116" t="str">
        <f>R2</f>
        <v>請選擇第二選修科</v>
      </c>
      <c r="AL171" s="116" t="str">
        <f>S2</f>
        <v>請選擇第三選修科</v>
      </c>
      <c r="AM171" s="116" t="str">
        <f>T2</f>
        <v>請選擇第四選修科</v>
      </c>
      <c r="AN171" s="116" t="str">
        <f>P2</f>
        <v>數學延伸</v>
      </c>
      <c r="AO171" s="102"/>
      <c r="AP171" s="116" t="s">
        <v>427</v>
      </c>
      <c r="AQ171" s="116"/>
      <c r="AR171" s="102"/>
      <c r="AS171" s="101" t="s">
        <v>2416</v>
      </c>
      <c r="AT171" s="102"/>
      <c r="AU171" s="102"/>
    </row>
    <row r="172" spans="1:47">
      <c r="A172" s="2" t="str">
        <f>'Reference Score Calculation'!B163</f>
        <v>JS4240</v>
      </c>
      <c r="B172" s="346" t="str">
        <f>'Reference Score Calculation'!B163</f>
        <v>JS4240</v>
      </c>
      <c r="C172" s="2" t="str">
        <f>'Reference Score Calculation'!E163</f>
        <v>專業會計學</v>
      </c>
      <c r="D172" s="16">
        <f>'Reference Score Calculation'!U163</f>
        <v>126</v>
      </c>
      <c r="E172" s="16">
        <v>3</v>
      </c>
      <c r="F172" s="16">
        <v>3</v>
      </c>
      <c r="G172" s="16">
        <v>3</v>
      </c>
      <c r="H172" s="16">
        <v>2</v>
      </c>
      <c r="I172" s="16">
        <v>3</v>
      </c>
      <c r="J172" s="16">
        <v>3</v>
      </c>
      <c r="L172" s="90">
        <v>3</v>
      </c>
      <c r="M172" s="90">
        <v>3</v>
      </c>
      <c r="N172" s="90">
        <v>3</v>
      </c>
      <c r="O172" s="90">
        <v>1</v>
      </c>
      <c r="P172" s="90">
        <v>3</v>
      </c>
      <c r="Q172" s="90">
        <v>3</v>
      </c>
      <c r="S172" s="16">
        <f t="shared" si="60"/>
        <v>0</v>
      </c>
      <c r="T172" s="16">
        <f t="shared" si="61"/>
        <v>0</v>
      </c>
      <c r="U172" s="16">
        <f t="shared" si="62"/>
        <v>0</v>
      </c>
      <c r="V172" s="16">
        <f t="shared" si="63"/>
        <v>0</v>
      </c>
      <c r="W172" s="16">
        <f t="shared" si="64"/>
        <v>0</v>
      </c>
      <c r="X172" s="16">
        <f>IF(Q172&gt;LARGE($P$3:$U$3,2),0,1)</f>
        <v>0</v>
      </c>
      <c r="Y172" s="16"/>
      <c r="Z172" s="16">
        <f t="shared" si="59"/>
        <v>0</v>
      </c>
      <c r="AA172" s="2"/>
      <c r="AB172" s="16" t="s">
        <v>391</v>
      </c>
      <c r="AC172" s="16" t="s">
        <v>392</v>
      </c>
      <c r="AD172" s="16" t="s">
        <v>393</v>
      </c>
      <c r="AE172" s="16" t="s">
        <v>391</v>
      </c>
      <c r="AF172" s="2" t="s">
        <v>394</v>
      </c>
      <c r="AG172" s="2" t="s">
        <v>394</v>
      </c>
      <c r="AH172" s="2"/>
      <c r="AI172" s="116" t="s">
        <v>432</v>
      </c>
      <c r="AJ172" s="117">
        <f>IF(OR(Q2="物理",Q2="化學",Q2="生物",Q2="資訊及通訊科技",Q2="設計與應用科技"),Q3,0)</f>
        <v>0</v>
      </c>
      <c r="AK172" s="117">
        <f>IF(OR(R2="物理",R2="化學",R2="生物",R2="資訊及通訊科技",R2="設計與應用科技"),R3,0)</f>
        <v>0</v>
      </c>
      <c r="AL172" s="117">
        <f>IF(OR(S2="物理",S2="化學",S2="生物",S2="資訊及通訊科技",S2="設計與應用科技"),S3,0)</f>
        <v>0</v>
      </c>
      <c r="AM172" s="117">
        <f>IF(OR(T2="物理",T2="化學",T2="生物",T2="資訊及通訊科技",T2="設計與應用科技"),T3,0)</f>
        <v>0</v>
      </c>
      <c r="AN172" s="117">
        <f>P3</f>
        <v>5.0000000000000003E-10</v>
      </c>
      <c r="AO172" s="116"/>
      <c r="AP172" s="117" t="str">
        <f>IF(AQ172&gt;0,INDEX(AJ171:AN171,MATCH(LARGE(AJ172:AN172,1),AJ172:AN172,0)),"無")</f>
        <v>數學延伸</v>
      </c>
      <c r="AQ172" s="117">
        <f>LARGE((AJ172:AN172),1)</f>
        <v>5.0000000000000003E-10</v>
      </c>
      <c r="AR172" s="102"/>
      <c r="AS172" s="117" t="str">
        <f>IF(AT172&gt;0,INDEX(AJ171:AN171,MATCH(AT172,AJ172:AN172,0)),"無")</f>
        <v>無</v>
      </c>
      <c r="AT172" s="117">
        <f>IF(AP172=AP176,LARGE((AJ172:AN172),2),LARGE((AJ172:AN172),1))</f>
        <v>0</v>
      </c>
      <c r="AU172" s="102"/>
    </row>
    <row r="173" spans="1:47">
      <c r="A173" s="2" t="str">
        <f>'Reference Score Calculation'!B164</f>
        <v>JS4252</v>
      </c>
      <c r="B173" s="346" t="str">
        <f>'Reference Score Calculation'!B164</f>
        <v>JS4252</v>
      </c>
      <c r="C173" s="2" t="str">
        <f>'Reference Score Calculation'!E164</f>
        <v>計量金融學</v>
      </c>
      <c r="D173" s="16">
        <f>'Reference Score Calculation'!U164</f>
        <v>37</v>
      </c>
      <c r="E173" s="16">
        <v>3</v>
      </c>
      <c r="F173" s="16">
        <v>3</v>
      </c>
      <c r="G173" s="16">
        <v>3</v>
      </c>
      <c r="H173" s="16">
        <v>2</v>
      </c>
      <c r="I173" s="16">
        <v>3</v>
      </c>
      <c r="J173" s="16">
        <v>3</v>
      </c>
      <c r="L173" s="90">
        <v>3</v>
      </c>
      <c r="M173" s="90">
        <v>3</v>
      </c>
      <c r="N173" s="90">
        <v>3</v>
      </c>
      <c r="O173" s="90">
        <v>1</v>
      </c>
      <c r="P173" s="90">
        <v>3</v>
      </c>
      <c r="Q173" s="90">
        <v>3</v>
      </c>
      <c r="S173" s="16">
        <f t="shared" si="60"/>
        <v>0</v>
      </c>
      <c r="T173" s="16">
        <f t="shared" si="61"/>
        <v>0</v>
      </c>
      <c r="U173" s="16">
        <f t="shared" si="62"/>
        <v>0</v>
      </c>
      <c r="V173" s="16">
        <f t="shared" si="63"/>
        <v>0</v>
      </c>
      <c r="W173" s="16">
        <f t="shared" si="64"/>
        <v>0</v>
      </c>
      <c r="X173" s="16">
        <f t="shared" ref="X173:X180" si="66">IF(Q173&gt;LARGE($P$3:$U$3,2),0,1)</f>
        <v>0</v>
      </c>
      <c r="Y173" s="16"/>
      <c r="Z173" s="16">
        <f t="shared" si="59"/>
        <v>0</v>
      </c>
      <c r="AA173" s="2"/>
      <c r="AB173" s="16" t="s">
        <v>391</v>
      </c>
      <c r="AC173" s="16" t="s">
        <v>392</v>
      </c>
      <c r="AD173" s="16" t="s">
        <v>393</v>
      </c>
      <c r="AE173" s="16" t="s">
        <v>391</v>
      </c>
      <c r="AF173" s="2" t="s">
        <v>394</v>
      </c>
      <c r="AG173" s="2" t="s">
        <v>394</v>
      </c>
      <c r="AH173" s="2"/>
      <c r="AI173" s="116" t="s">
        <v>433</v>
      </c>
      <c r="AJ173" s="158" t="s">
        <v>2382</v>
      </c>
      <c r="AK173" s="116"/>
      <c r="AL173" s="116"/>
      <c r="AM173" s="116"/>
      <c r="AN173" s="116"/>
      <c r="AO173" s="116"/>
      <c r="AP173" s="102"/>
      <c r="AQ173" s="102"/>
      <c r="AR173" s="102"/>
      <c r="AS173" s="102"/>
      <c r="AT173" s="102"/>
      <c r="AU173" s="102"/>
    </row>
    <row r="174" spans="1:47">
      <c r="A174" s="2" t="str">
        <f>'Reference Score Calculation'!B165</f>
        <v>JS4254</v>
      </c>
      <c r="B174" s="346" t="str">
        <f>'Reference Score Calculation'!B165</f>
        <v>JS4254</v>
      </c>
      <c r="C174" s="2" t="str">
        <f>'Reference Score Calculation'!E165</f>
        <v>環球經濟與金融跨學科主修課程</v>
      </c>
      <c r="D174" s="16">
        <f>'Reference Score Calculation'!U165</f>
        <v>24</v>
      </c>
      <c r="E174" s="16">
        <v>4</v>
      </c>
      <c r="F174" s="16">
        <v>5</v>
      </c>
      <c r="G174" s="16">
        <v>3</v>
      </c>
      <c r="H174" s="16">
        <v>2</v>
      </c>
      <c r="I174" s="16">
        <v>3</v>
      </c>
      <c r="J174" s="16">
        <v>3</v>
      </c>
      <c r="L174" s="90">
        <v>4</v>
      </c>
      <c r="M174" s="90">
        <v>5</v>
      </c>
      <c r="N174" s="90">
        <v>4</v>
      </c>
      <c r="O174" s="90">
        <v>1</v>
      </c>
      <c r="P174" s="90">
        <v>3</v>
      </c>
      <c r="Q174" s="90">
        <v>3</v>
      </c>
      <c r="S174" s="16">
        <f t="shared" si="60"/>
        <v>0</v>
      </c>
      <c r="T174" s="16">
        <f t="shared" si="61"/>
        <v>0</v>
      </c>
      <c r="U174" s="16">
        <f t="shared" si="62"/>
        <v>0</v>
      </c>
      <c r="V174" s="16">
        <f t="shared" si="63"/>
        <v>0</v>
      </c>
      <c r="W174" s="16">
        <f t="shared" si="64"/>
        <v>0</v>
      </c>
      <c r="X174" s="16">
        <f t="shared" si="66"/>
        <v>0</v>
      </c>
      <c r="Y174" s="16"/>
      <c r="Z174" s="16">
        <f t="shared" si="59"/>
        <v>0</v>
      </c>
      <c r="AA174" s="2"/>
      <c r="AB174" s="16" t="s">
        <v>391</v>
      </c>
      <c r="AC174" s="16" t="s">
        <v>392</v>
      </c>
      <c r="AD174" s="16" t="s">
        <v>393</v>
      </c>
      <c r="AE174" s="16" t="s">
        <v>393</v>
      </c>
      <c r="AF174" s="2" t="s">
        <v>394</v>
      </c>
      <c r="AG174" s="2" t="s">
        <v>394</v>
      </c>
      <c r="AH174" s="2"/>
      <c r="AI174" s="116"/>
      <c r="AJ174" s="116"/>
      <c r="AK174" s="116"/>
      <c r="AL174" s="116"/>
      <c r="AM174" s="116"/>
      <c r="AN174" s="116"/>
      <c r="AO174" s="116"/>
      <c r="AP174" s="102"/>
      <c r="AQ174" s="102"/>
      <c r="AR174" s="102"/>
      <c r="AS174" s="102"/>
      <c r="AT174" s="102"/>
      <c r="AU174" s="102"/>
    </row>
    <row r="175" spans="1:47">
      <c r="A175" s="2" t="str">
        <f>'Reference Score Calculation'!B166</f>
        <v>JS4264</v>
      </c>
      <c r="B175" s="346" t="str">
        <f>'Reference Score Calculation'!B166</f>
        <v>JS4264</v>
      </c>
      <c r="C175" s="2" t="str">
        <f>'Reference Score Calculation'!E166</f>
        <v>工商管理學士（工商管理學士綜合課程）及法律博士雙學位課程</v>
      </c>
      <c r="D175" s="16">
        <f>'Reference Score Calculation'!U166</f>
        <v>25</v>
      </c>
      <c r="E175" s="16">
        <v>4</v>
      </c>
      <c r="F175" s="16">
        <v>5</v>
      </c>
      <c r="G175" s="16">
        <v>3</v>
      </c>
      <c r="H175" s="16">
        <v>3</v>
      </c>
      <c r="I175" s="16">
        <v>3</v>
      </c>
      <c r="J175" s="16">
        <v>3</v>
      </c>
      <c r="L175" s="90">
        <v>4</v>
      </c>
      <c r="M175" s="90">
        <v>5</v>
      </c>
      <c r="N175" s="90">
        <v>3</v>
      </c>
      <c r="O175" s="90">
        <v>1</v>
      </c>
      <c r="P175" s="90">
        <v>3</v>
      </c>
      <c r="Q175" s="90">
        <v>3</v>
      </c>
      <c r="S175" s="16">
        <f t="shared" si="60"/>
        <v>0</v>
      </c>
      <c r="T175" s="16">
        <f t="shared" si="61"/>
        <v>0</v>
      </c>
      <c r="U175" s="16">
        <f t="shared" si="62"/>
        <v>0</v>
      </c>
      <c r="V175" s="16">
        <f t="shared" si="63"/>
        <v>0</v>
      </c>
      <c r="W175" s="16">
        <f t="shared" si="64"/>
        <v>0</v>
      </c>
      <c r="X175" s="16">
        <f t="shared" si="66"/>
        <v>0</v>
      </c>
      <c r="Y175" s="16"/>
      <c r="Z175" s="16">
        <f t="shared" si="59"/>
        <v>0</v>
      </c>
      <c r="AA175" s="2"/>
      <c r="AB175" s="16" t="s">
        <v>391</v>
      </c>
      <c r="AC175" s="16" t="s">
        <v>392</v>
      </c>
      <c r="AD175" s="16" t="s">
        <v>393</v>
      </c>
      <c r="AE175" s="16" t="s">
        <v>393</v>
      </c>
      <c r="AF175" s="2" t="s">
        <v>394</v>
      </c>
      <c r="AG175" s="2" t="s">
        <v>394</v>
      </c>
      <c r="AH175" s="2"/>
      <c r="AI175" s="116"/>
      <c r="AJ175" s="116" t="str">
        <f>Q2</f>
        <v>請選擇第一選修科</v>
      </c>
      <c r="AK175" s="116" t="str">
        <f>R2</f>
        <v>請選擇第二選修科</v>
      </c>
      <c r="AL175" s="116" t="str">
        <f>S2</f>
        <v>請選擇第三選修科</v>
      </c>
      <c r="AM175" s="116" t="str">
        <f>T2</f>
        <v>請選擇第四選修科</v>
      </c>
      <c r="AN175" s="116" t="str">
        <f>P2</f>
        <v>數學延伸</v>
      </c>
      <c r="AO175" s="102"/>
      <c r="AP175" s="116" t="s">
        <v>427</v>
      </c>
      <c r="AQ175" s="116"/>
      <c r="AR175" s="102"/>
      <c r="AS175" s="101" t="s">
        <v>2421</v>
      </c>
      <c r="AT175" s="102"/>
      <c r="AU175" s="102"/>
    </row>
    <row r="176" spans="1:47">
      <c r="A176" s="2" t="str">
        <f>'Reference Score Calculation'!B167</f>
        <v>JS4276</v>
      </c>
      <c r="B176" s="346" t="str">
        <f>'Reference Score Calculation'!B167</f>
        <v>JS4276</v>
      </c>
      <c r="C176" s="2" t="str">
        <f>'Reference Score Calculation'!E167</f>
        <v>計量金融學及風險管理科學</v>
      </c>
      <c r="D176" s="16">
        <f>'Reference Score Calculation'!U167</f>
        <v>20</v>
      </c>
      <c r="E176" s="16">
        <v>3</v>
      </c>
      <c r="F176" s="16">
        <v>3</v>
      </c>
      <c r="G176" s="16">
        <v>3</v>
      </c>
      <c r="H176" s="16">
        <v>2</v>
      </c>
      <c r="I176" s="16">
        <v>3</v>
      </c>
      <c r="J176" s="16">
        <v>3</v>
      </c>
      <c r="L176" s="90">
        <v>3</v>
      </c>
      <c r="M176" s="90">
        <v>3</v>
      </c>
      <c r="N176" s="90">
        <v>3</v>
      </c>
      <c r="O176" s="90">
        <v>1</v>
      </c>
      <c r="P176" s="90">
        <v>3</v>
      </c>
      <c r="Q176" s="90">
        <v>3</v>
      </c>
      <c r="S176" s="16">
        <f t="shared" si="60"/>
        <v>0</v>
      </c>
      <c r="T176" s="16">
        <f t="shared" si="61"/>
        <v>0</v>
      </c>
      <c r="U176" s="16">
        <f t="shared" si="62"/>
        <v>0</v>
      </c>
      <c r="V176" s="16">
        <f t="shared" si="63"/>
        <v>0</v>
      </c>
      <c r="W176" s="16">
        <f t="shared" si="64"/>
        <v>0</v>
      </c>
      <c r="X176" s="16">
        <f t="shared" si="66"/>
        <v>0</v>
      </c>
      <c r="Y176" s="16"/>
      <c r="Z176" s="16">
        <f t="shared" si="59"/>
        <v>0</v>
      </c>
      <c r="AA176" s="2"/>
      <c r="AB176" s="16" t="s">
        <v>391</v>
      </c>
      <c r="AC176" s="16" t="s">
        <v>392</v>
      </c>
      <c r="AD176" s="16" t="s">
        <v>393</v>
      </c>
      <c r="AE176" s="16" t="s">
        <v>391</v>
      </c>
      <c r="AF176" s="2" t="s">
        <v>394</v>
      </c>
      <c r="AG176" s="2" t="s">
        <v>394</v>
      </c>
      <c r="AH176" s="2"/>
      <c r="AI176" s="116" t="s">
        <v>434</v>
      </c>
      <c r="AJ176" s="117">
        <f>IF(OR(Q2="物理",Q2="化學",Q2="生物",Q2="資訊及通訊科技"),Q3,0)</f>
        <v>0</v>
      </c>
      <c r="AK176" s="117">
        <f>IF(OR(R2="物理",R2="化學",R2="生物",R2="資訊及通訊科技"),R3,0)</f>
        <v>0</v>
      </c>
      <c r="AL176" s="117">
        <f>IF(OR(S2="物理",S2="化學",S2="生物",S2="資訊及通訊科技"),S3,0)</f>
        <v>0</v>
      </c>
      <c r="AM176" s="117">
        <f>IF(OR(T2="物理",T2="化學",T2="生物",T2="資訊及通訊科技"),T3,0)</f>
        <v>0</v>
      </c>
      <c r="AN176" s="117">
        <f>P3</f>
        <v>5.0000000000000003E-10</v>
      </c>
      <c r="AO176" s="116"/>
      <c r="AP176" s="117" t="str">
        <f>IF(AQ176&gt;0,INDEX(AJ175:AN175,MATCH(LARGE(AJ176:AN176,1),AJ176:AN176,0)),"無")</f>
        <v>數學延伸</v>
      </c>
      <c r="AQ176" s="117">
        <f>LARGE((AJ176:AN176),1)</f>
        <v>5.0000000000000003E-10</v>
      </c>
      <c r="AR176" s="102"/>
      <c r="AS176" s="21" t="str">
        <f>IF(AT176&gt;0,INDEX(AJ175:AM175,MATCH(AT176,AJ176:AM176,0)),"無")</f>
        <v>無</v>
      </c>
      <c r="AT176" s="119">
        <f>LARGE((AJ176:AM176),1)</f>
        <v>0</v>
      </c>
      <c r="AU176" s="102"/>
    </row>
    <row r="177" spans="1:47">
      <c r="A177" s="2" t="str">
        <f>'Reference Score Calculation'!B168</f>
        <v>JS4320</v>
      </c>
      <c r="B177" s="346" t="str">
        <f>'Reference Score Calculation'!B168</f>
        <v>JS4320</v>
      </c>
      <c r="C177" s="2" t="str">
        <f>'Reference Score Calculation'!E168</f>
        <v>人體運動科學與健康研究</v>
      </c>
      <c r="D177" s="16">
        <f>'Reference Score Calculation'!U168</f>
        <v>20</v>
      </c>
      <c r="L177" s="90">
        <v>3</v>
      </c>
      <c r="M177" s="90">
        <v>3</v>
      </c>
      <c r="N177" s="90">
        <v>2</v>
      </c>
      <c r="O177" s="90">
        <v>1</v>
      </c>
      <c r="P177" s="90">
        <v>3</v>
      </c>
      <c r="Q177" s="90">
        <v>3</v>
      </c>
      <c r="S177" s="16">
        <f t="shared" si="60"/>
        <v>0</v>
      </c>
      <c r="T177" s="16">
        <f t="shared" si="61"/>
        <v>0</v>
      </c>
      <c r="U177" s="16">
        <f t="shared" si="62"/>
        <v>0</v>
      </c>
      <c r="V177" s="16">
        <f t="shared" si="63"/>
        <v>0</v>
      </c>
      <c r="W177" s="72">
        <f>IF(Q3&lt;3,0,IF(P177&gt;$AQ$159,2,1))</f>
        <v>0</v>
      </c>
      <c r="X177" s="16">
        <f t="shared" si="66"/>
        <v>0</v>
      </c>
      <c r="Y177" s="16"/>
      <c r="Z177" s="16">
        <f t="shared" si="59"/>
        <v>0</v>
      </c>
      <c r="AA177" s="2"/>
      <c r="AB177" s="16" t="s">
        <v>391</v>
      </c>
      <c r="AC177" s="16" t="s">
        <v>392</v>
      </c>
      <c r="AD177" s="16" t="s">
        <v>393</v>
      </c>
      <c r="AE177" s="16" t="s">
        <v>393</v>
      </c>
      <c r="AF177" s="21" t="s">
        <v>2400</v>
      </c>
      <c r="AG177" s="2" t="s">
        <v>2480</v>
      </c>
      <c r="AH177" s="2"/>
      <c r="AI177" s="116" t="s">
        <v>428</v>
      </c>
      <c r="AJ177" s="158" t="s">
        <v>2393</v>
      </c>
      <c r="AK177" s="116"/>
      <c r="AL177" s="116"/>
      <c r="AM177" s="116"/>
      <c r="AN177" s="116"/>
      <c r="AO177" s="116"/>
      <c r="AP177" s="102"/>
      <c r="AQ177" s="102"/>
      <c r="AR177" s="102"/>
      <c r="AS177" s="101" t="s">
        <v>2422</v>
      </c>
      <c r="AT177" s="102"/>
      <c r="AU177" s="102"/>
    </row>
    <row r="178" spans="1:47">
      <c r="A178" s="2" t="str">
        <f>'Reference Score Calculation'!B169</f>
        <v>JS4329</v>
      </c>
      <c r="B178" s="346" t="str">
        <f>'Reference Score Calculation'!B169</f>
        <v>JS4329</v>
      </c>
      <c r="C178" s="2" t="str">
        <f>'Reference Score Calculation'!E169</f>
        <v>健康與體育運動科學</v>
      </c>
      <c r="D178" s="16">
        <f>'Reference Score Calculation'!U169</f>
        <v>17</v>
      </c>
      <c r="E178" s="16">
        <v>3</v>
      </c>
      <c r="F178" s="16">
        <v>3</v>
      </c>
      <c r="G178" s="16">
        <v>2</v>
      </c>
      <c r="H178" s="16">
        <v>2</v>
      </c>
      <c r="I178" s="16">
        <v>3</v>
      </c>
      <c r="J178" s="16">
        <v>3</v>
      </c>
      <c r="L178" s="90">
        <v>3</v>
      </c>
      <c r="M178" s="90">
        <v>3</v>
      </c>
      <c r="N178" s="90">
        <v>2</v>
      </c>
      <c r="O178" s="90">
        <v>1</v>
      </c>
      <c r="P178" s="90">
        <v>3</v>
      </c>
      <c r="Q178" s="90">
        <v>3</v>
      </c>
      <c r="S178" s="16">
        <f t="shared" si="60"/>
        <v>0</v>
      </c>
      <c r="T178" s="16">
        <f t="shared" si="61"/>
        <v>0</v>
      </c>
      <c r="U178" s="16">
        <f t="shared" si="62"/>
        <v>0</v>
      </c>
      <c r="V178" s="16">
        <f t="shared" si="63"/>
        <v>0</v>
      </c>
      <c r="W178" s="16">
        <f t="shared" si="64"/>
        <v>0</v>
      </c>
      <c r="X178" s="16">
        <f t="shared" si="66"/>
        <v>0</v>
      </c>
      <c r="Y178" s="16"/>
      <c r="Z178" s="16">
        <f t="shared" si="59"/>
        <v>0</v>
      </c>
      <c r="AA178" s="2"/>
      <c r="AB178" s="16" t="s">
        <v>391</v>
      </c>
      <c r="AC178" s="16" t="s">
        <v>392</v>
      </c>
      <c r="AD178" s="16" t="s">
        <v>393</v>
      </c>
      <c r="AE178" s="16" t="s">
        <v>393</v>
      </c>
      <c r="AF178" s="2" t="s">
        <v>394</v>
      </c>
      <c r="AG178" s="2" t="s">
        <v>394</v>
      </c>
      <c r="AH178" s="2"/>
      <c r="AI178" s="116" t="s">
        <v>2653</v>
      </c>
      <c r="AJ178" s="116"/>
      <c r="AK178" s="116"/>
      <c r="AL178" s="116" t="s">
        <v>423</v>
      </c>
      <c r="AM178" s="102"/>
      <c r="AN178" s="102"/>
      <c r="AO178" s="102"/>
      <c r="AP178" s="102"/>
      <c r="AQ178" s="102"/>
      <c r="AR178" s="102"/>
      <c r="AS178" s="102"/>
      <c r="AT178" s="102"/>
      <c r="AU178" s="102"/>
    </row>
    <row r="179" spans="1:47">
      <c r="A179" s="2" t="str">
        <f>'Reference Score Calculation'!B170</f>
        <v>JS4331</v>
      </c>
      <c r="B179" s="346" t="str">
        <f>'Reference Score Calculation'!B170</f>
        <v>JS4331</v>
      </c>
      <c r="C179" s="2" t="str">
        <f>'Reference Score Calculation'!E170</f>
        <v>文學士 (中國語文研究) 及教育學士 (中國語文教育)</v>
      </c>
      <c r="D179" s="16">
        <f>'Reference Score Calculation'!U170</f>
        <v>12</v>
      </c>
      <c r="E179" s="16">
        <v>4</v>
      </c>
      <c r="F179" s="16">
        <v>3</v>
      </c>
      <c r="G179" s="16">
        <v>2</v>
      </c>
      <c r="H179" s="16">
        <v>2</v>
      </c>
      <c r="I179" s="16">
        <v>3</v>
      </c>
      <c r="J179" s="16">
        <v>3</v>
      </c>
      <c r="L179" s="90">
        <v>4</v>
      </c>
      <c r="M179" s="90">
        <v>3</v>
      </c>
      <c r="N179" s="90">
        <v>2</v>
      </c>
      <c r="O179" s="90">
        <v>1</v>
      </c>
      <c r="P179" s="90">
        <v>3</v>
      </c>
      <c r="Q179" s="90">
        <v>3</v>
      </c>
      <c r="S179" s="16">
        <f t="shared" si="60"/>
        <v>0</v>
      </c>
      <c r="T179" s="16">
        <f t="shared" si="61"/>
        <v>0</v>
      </c>
      <c r="U179" s="16">
        <f t="shared" si="62"/>
        <v>0</v>
      </c>
      <c r="V179" s="16">
        <f t="shared" si="63"/>
        <v>0</v>
      </c>
      <c r="W179" s="16">
        <f t="shared" si="64"/>
        <v>0</v>
      </c>
      <c r="X179" s="16">
        <f t="shared" si="66"/>
        <v>0</v>
      </c>
      <c r="Y179" s="16"/>
      <c r="Z179" s="16">
        <f t="shared" si="59"/>
        <v>0</v>
      </c>
      <c r="AA179" s="2"/>
      <c r="AB179" s="16" t="s">
        <v>391</v>
      </c>
      <c r="AC179" s="16" t="s">
        <v>392</v>
      </c>
      <c r="AD179" s="16" t="s">
        <v>393</v>
      </c>
      <c r="AE179" s="16" t="s">
        <v>393</v>
      </c>
      <c r="AF179" s="2" t="s">
        <v>394</v>
      </c>
      <c r="AG179" s="2" t="s">
        <v>394</v>
      </c>
      <c r="AH179" s="2"/>
      <c r="AI179" s="116"/>
      <c r="AJ179" s="116" t="s">
        <v>424</v>
      </c>
      <c r="AK179" s="116"/>
      <c r="AL179" s="116" t="s">
        <v>17</v>
      </c>
      <c r="AM179" s="102"/>
      <c r="AN179" s="102"/>
      <c r="AO179" s="102"/>
      <c r="AP179" s="102"/>
      <c r="AQ179" s="102"/>
      <c r="AR179" s="102"/>
      <c r="AS179" s="101" t="s">
        <v>3064</v>
      </c>
      <c r="AT179" s="102"/>
      <c r="AU179" s="102"/>
    </row>
    <row r="180" spans="1:47">
      <c r="A180" s="2" t="str">
        <f>'Reference Score Calculation'!B171</f>
        <v>JS4343</v>
      </c>
      <c r="B180" s="346" t="str">
        <f>'Reference Score Calculation'!B171</f>
        <v>JS4343</v>
      </c>
      <c r="C180" s="2" t="str">
        <f>'Reference Score Calculation'!E171</f>
        <v>文學士(英國語文研究)及教育學士(英國語文教育)</v>
      </c>
      <c r="D180" s="16">
        <f>'Reference Score Calculation'!U171</f>
        <v>12</v>
      </c>
      <c r="E180" s="16">
        <v>3</v>
      </c>
      <c r="F180" s="16">
        <v>4</v>
      </c>
      <c r="G180" s="16">
        <v>2</v>
      </c>
      <c r="H180" s="16">
        <v>2</v>
      </c>
      <c r="I180" s="16">
        <v>3</v>
      </c>
      <c r="J180" s="16">
        <v>3</v>
      </c>
      <c r="L180" s="90">
        <v>3</v>
      </c>
      <c r="M180" s="90">
        <v>4</v>
      </c>
      <c r="N180" s="90">
        <v>2</v>
      </c>
      <c r="O180" s="90">
        <v>1</v>
      </c>
      <c r="P180" s="90">
        <v>3</v>
      </c>
      <c r="Q180" s="90">
        <v>3</v>
      </c>
      <c r="S180" s="16">
        <f t="shared" si="60"/>
        <v>0</v>
      </c>
      <c r="T180" s="16">
        <f t="shared" si="61"/>
        <v>0</v>
      </c>
      <c r="U180" s="16">
        <f t="shared" si="62"/>
        <v>0</v>
      </c>
      <c r="V180" s="16">
        <f t="shared" si="63"/>
        <v>0</v>
      </c>
      <c r="W180" s="16">
        <f t="shared" si="64"/>
        <v>0</v>
      </c>
      <c r="X180" s="16">
        <f t="shared" si="66"/>
        <v>0</v>
      </c>
      <c r="Y180" s="16"/>
      <c r="Z180" s="16">
        <f t="shared" si="59"/>
        <v>0</v>
      </c>
      <c r="AA180" s="2"/>
      <c r="AB180" s="16" t="s">
        <v>391</v>
      </c>
      <c r="AC180" s="16" t="s">
        <v>392</v>
      </c>
      <c r="AD180" s="16" t="s">
        <v>393</v>
      </c>
      <c r="AE180" s="16" t="s">
        <v>391</v>
      </c>
      <c r="AF180" s="2" t="s">
        <v>394</v>
      </c>
      <c r="AG180" s="2" t="s">
        <v>394</v>
      </c>
      <c r="AH180" s="2"/>
      <c r="AI180" s="116" t="s">
        <v>436</v>
      </c>
      <c r="AJ180" s="117">
        <f>N3</f>
        <v>3E-10</v>
      </c>
      <c r="AK180" s="116"/>
      <c r="AL180" s="16">
        <f>IF(AJ180&lt;5,IF(AJ180&lt;4,0,2),1)</f>
        <v>0</v>
      </c>
      <c r="AM180" s="102"/>
      <c r="AN180" s="102"/>
      <c r="AO180" s="102"/>
      <c r="AP180" s="102"/>
      <c r="AQ180" s="102"/>
      <c r="AR180" s="102"/>
      <c r="AS180" s="21" t="str">
        <f>IF(AT180&gt;0,INDEX(AJ175:AN175,MATCH(AT180,AJ176:AN176,0)),"無")</f>
        <v>無</v>
      </c>
      <c r="AT180" s="119">
        <f>LARGE((AJ176:AN176),2)</f>
        <v>0</v>
      </c>
      <c r="AU180" s="102"/>
    </row>
    <row r="181" spans="1:47">
      <c r="A181" s="2" t="str">
        <f>'Reference Score Calculation'!B172</f>
        <v>JS4361</v>
      </c>
      <c r="B181" s="346" t="str">
        <f>'Reference Score Calculation'!B172</f>
        <v>JS4361</v>
      </c>
      <c r="C181" s="2" t="str">
        <f>'Reference Score Calculation'!E172</f>
        <v>教育學士(數學及數學教育)</v>
      </c>
      <c r="D181" s="16">
        <f>'Reference Score Calculation'!U172</f>
        <v>12</v>
      </c>
      <c r="E181" s="16">
        <v>3</v>
      </c>
      <c r="F181" s="16">
        <v>3</v>
      </c>
      <c r="G181" s="16">
        <v>4</v>
      </c>
      <c r="H181" s="16">
        <v>2</v>
      </c>
      <c r="I181" s="16">
        <v>3</v>
      </c>
      <c r="J181" s="16">
        <v>3</v>
      </c>
      <c r="L181" s="90">
        <v>3</v>
      </c>
      <c r="M181" s="90">
        <v>3</v>
      </c>
      <c r="N181" s="90">
        <v>4</v>
      </c>
      <c r="O181" s="90">
        <v>1</v>
      </c>
      <c r="P181" s="90">
        <v>3</v>
      </c>
      <c r="Q181" s="90">
        <v>3</v>
      </c>
      <c r="S181" s="16">
        <f t="shared" si="60"/>
        <v>0</v>
      </c>
      <c r="T181" s="16">
        <f t="shared" si="61"/>
        <v>0</v>
      </c>
      <c r="U181" s="16">
        <f t="shared" si="62"/>
        <v>0</v>
      </c>
      <c r="V181" s="16">
        <f t="shared" si="63"/>
        <v>0</v>
      </c>
      <c r="W181" s="16">
        <f>IF(P181&gt;LARGE($Q$3:$U$3,1),0,1)</f>
        <v>0</v>
      </c>
      <c r="X181" s="72">
        <f>IF(Q181&gt;$P$3,0,1)</f>
        <v>0</v>
      </c>
      <c r="Y181" s="16"/>
      <c r="Z181" s="16">
        <f t="shared" si="59"/>
        <v>0</v>
      </c>
      <c r="AA181" s="2"/>
      <c r="AB181" s="16" t="s">
        <v>391</v>
      </c>
      <c r="AC181" s="16" t="s">
        <v>392</v>
      </c>
      <c r="AD181" s="16" t="s">
        <v>393</v>
      </c>
      <c r="AE181" s="16" t="s">
        <v>393</v>
      </c>
      <c r="AF181" s="2" t="s">
        <v>441</v>
      </c>
      <c r="AG181" s="2" t="s">
        <v>394</v>
      </c>
      <c r="AH181" s="2"/>
      <c r="AI181" s="116"/>
      <c r="AJ181" s="116"/>
      <c r="AK181" s="116"/>
      <c r="AL181" s="116"/>
      <c r="AM181" s="102"/>
      <c r="AN181" s="102"/>
      <c r="AO181" s="102"/>
      <c r="AP181" s="102"/>
      <c r="AQ181" s="102"/>
      <c r="AR181" s="102"/>
      <c r="AS181" s="101" t="s">
        <v>3065</v>
      </c>
      <c r="AT181" s="102"/>
      <c r="AU181" s="102"/>
    </row>
    <row r="182" spans="1:47">
      <c r="A182" s="2" t="str">
        <f>'Reference Score Calculation'!B173</f>
        <v>JS4372</v>
      </c>
      <c r="B182" s="346" t="str">
        <f>'Reference Score Calculation'!B173</f>
        <v>JS4372</v>
      </c>
      <c r="C182" s="2" t="str">
        <f>'Reference Score Calculation'!E173</f>
        <v>教育學士(幼兒教育)</v>
      </c>
      <c r="D182" s="16">
        <f>'Reference Score Calculation'!U173</f>
        <v>21</v>
      </c>
      <c r="E182" s="16">
        <v>3</v>
      </c>
      <c r="F182" s="16">
        <v>3</v>
      </c>
      <c r="G182" s="16">
        <v>2</v>
      </c>
      <c r="H182" s="16">
        <v>2</v>
      </c>
      <c r="I182" s="16">
        <v>3</v>
      </c>
      <c r="J182" s="16">
        <v>3</v>
      </c>
      <c r="L182" s="90">
        <v>3</v>
      </c>
      <c r="M182" s="90">
        <v>3</v>
      </c>
      <c r="N182" s="90">
        <v>2</v>
      </c>
      <c r="O182" s="90">
        <v>1</v>
      </c>
      <c r="P182" s="90">
        <v>3</v>
      </c>
      <c r="Q182" s="90">
        <v>3</v>
      </c>
      <c r="S182" s="16">
        <f t="shared" si="60"/>
        <v>0</v>
      </c>
      <c r="T182" s="16">
        <f t="shared" si="61"/>
        <v>0</v>
      </c>
      <c r="U182" s="16">
        <f t="shared" si="62"/>
        <v>0</v>
      </c>
      <c r="V182" s="16">
        <f t="shared" si="63"/>
        <v>0</v>
      </c>
      <c r="W182" s="16">
        <f t="shared" si="64"/>
        <v>0</v>
      </c>
      <c r="X182" s="16">
        <f>IF(Q182&gt;LARGE($P$3:$U$3,2),0,1)</f>
        <v>0</v>
      </c>
      <c r="Y182" s="16"/>
      <c r="Z182" s="16">
        <f t="shared" si="59"/>
        <v>0</v>
      </c>
      <c r="AA182" s="2"/>
      <c r="AB182" s="16" t="s">
        <v>391</v>
      </c>
      <c r="AC182" s="16" t="s">
        <v>392</v>
      </c>
      <c r="AD182" s="16" t="s">
        <v>393</v>
      </c>
      <c r="AE182" s="16" t="s">
        <v>391</v>
      </c>
      <c r="AF182" s="2" t="s">
        <v>394</v>
      </c>
      <c r="AG182" s="2" t="s">
        <v>394</v>
      </c>
      <c r="AH182" s="2"/>
      <c r="AI182" s="116"/>
      <c r="AJ182" s="116"/>
      <c r="AK182" s="116"/>
      <c r="AL182" s="116"/>
      <c r="AM182" s="116"/>
      <c r="AN182" s="116"/>
      <c r="AO182" s="102"/>
      <c r="AP182" s="102"/>
      <c r="AQ182" s="102"/>
      <c r="AR182" s="102"/>
      <c r="AS182" s="102"/>
      <c r="AT182" s="102"/>
      <c r="AU182" s="102"/>
    </row>
    <row r="183" spans="1:47">
      <c r="A183" s="2" t="str">
        <f>'Reference Score Calculation'!B174</f>
        <v>JS4386</v>
      </c>
      <c r="B183" s="346" t="str">
        <f>'Reference Score Calculation'!B174</f>
        <v>JS4386</v>
      </c>
      <c r="C183" s="2" t="str">
        <f>'Reference Score Calculation'!E174</f>
        <v>理學士（學習設計與科技）</v>
      </c>
      <c r="D183" s="16">
        <f>'Reference Score Calculation'!U174</f>
        <v>20</v>
      </c>
      <c r="E183" s="16">
        <v>3</v>
      </c>
      <c r="F183" s="16">
        <v>3</v>
      </c>
      <c r="G183" s="16">
        <v>3</v>
      </c>
      <c r="H183" s="16">
        <v>2</v>
      </c>
      <c r="I183" s="16">
        <v>3</v>
      </c>
      <c r="J183" s="16">
        <v>3</v>
      </c>
      <c r="L183" s="90">
        <v>3</v>
      </c>
      <c r="M183" s="90">
        <v>3</v>
      </c>
      <c r="N183" s="90">
        <v>3</v>
      </c>
      <c r="O183" s="90">
        <v>1</v>
      </c>
      <c r="P183" s="90">
        <v>3</v>
      </c>
      <c r="Q183" s="90">
        <v>3</v>
      </c>
      <c r="S183" s="16">
        <f t="shared" si="60"/>
        <v>0</v>
      </c>
      <c r="T183" s="16">
        <f t="shared" si="61"/>
        <v>0</v>
      </c>
      <c r="U183" s="16">
        <f t="shared" si="62"/>
        <v>0</v>
      </c>
      <c r="V183" s="16">
        <f t="shared" si="63"/>
        <v>0</v>
      </c>
      <c r="W183" s="72">
        <f>IF(Q3&lt;3,0,IF(P183&gt;$AQ$163,2,1))</f>
        <v>0</v>
      </c>
      <c r="X183" s="16">
        <f>IF(Q183&gt;LARGE($P$3:$U$3,2),0,1)</f>
        <v>0</v>
      </c>
      <c r="Y183" s="16"/>
      <c r="Z183" s="16">
        <f t="shared" si="59"/>
        <v>0</v>
      </c>
      <c r="AA183" s="2"/>
      <c r="AB183" s="16" t="s">
        <v>391</v>
      </c>
      <c r="AC183" s="16" t="s">
        <v>392</v>
      </c>
      <c r="AD183" s="16" t="s">
        <v>393</v>
      </c>
      <c r="AE183" s="16" t="s">
        <v>391</v>
      </c>
      <c r="AF183" s="21" t="s">
        <v>2400</v>
      </c>
      <c r="AG183" s="2" t="s">
        <v>2379</v>
      </c>
      <c r="AH183" s="2"/>
      <c r="AI183" s="116" t="s">
        <v>437</v>
      </c>
      <c r="AJ183" s="116" t="str">
        <f>Q2</f>
        <v>請選擇第一選修科</v>
      </c>
      <c r="AK183" s="116" t="str">
        <f>R2</f>
        <v>請選擇第二選修科</v>
      </c>
      <c r="AL183" s="116" t="str">
        <f>S2</f>
        <v>請選擇第三選修科</v>
      </c>
      <c r="AM183" s="116" t="str">
        <f>T2</f>
        <v>請選擇第四選修科</v>
      </c>
      <c r="AN183" s="102"/>
      <c r="AO183" s="102"/>
      <c r="AP183" s="116" t="s">
        <v>438</v>
      </c>
      <c r="AQ183" s="116"/>
      <c r="AR183" s="102"/>
      <c r="AS183" s="102" t="s">
        <v>3070</v>
      </c>
      <c r="AT183" s="102"/>
      <c r="AU183" s="102"/>
    </row>
    <row r="184" spans="1:47">
      <c r="A184" s="2" t="str">
        <f>'Reference Score Calculation'!B175</f>
        <v>JS4408</v>
      </c>
      <c r="B184" s="346" t="str">
        <f>'Reference Score Calculation'!B175</f>
        <v>JS4408</v>
      </c>
      <c r="C184" s="2" t="str">
        <f>'Reference Score Calculation'!E175</f>
        <v>機械與自動化工程學</v>
      </c>
      <c r="D184" s="16">
        <f>'Reference Score Calculation'!U175</f>
        <v>53</v>
      </c>
      <c r="E184" s="16">
        <v>3</v>
      </c>
      <c r="F184" s="16">
        <v>3</v>
      </c>
      <c r="G184" s="16">
        <v>3</v>
      </c>
      <c r="H184" s="16">
        <v>2</v>
      </c>
      <c r="I184" s="16">
        <v>3</v>
      </c>
      <c r="J184" s="16">
        <v>3</v>
      </c>
      <c r="L184" s="90">
        <v>3</v>
      </c>
      <c r="M184" s="90">
        <v>3</v>
      </c>
      <c r="N184" s="90">
        <v>3</v>
      </c>
      <c r="O184" s="90">
        <v>1</v>
      </c>
      <c r="P184" s="90">
        <v>3</v>
      </c>
      <c r="Q184" s="90">
        <v>3</v>
      </c>
      <c r="S184" s="16">
        <f t="shared" si="60"/>
        <v>0</v>
      </c>
      <c r="T184" s="16">
        <f t="shared" si="61"/>
        <v>0</v>
      </c>
      <c r="U184" s="16">
        <f t="shared" si="62"/>
        <v>0</v>
      </c>
      <c r="V184" s="16">
        <f t="shared" si="63"/>
        <v>0</v>
      </c>
      <c r="W184" s="72">
        <f>IF(P184&gt;$AQ$172,0,1)</f>
        <v>0</v>
      </c>
      <c r="X184" s="16">
        <f t="shared" ref="X184:X199" si="67">IF(Q184&gt;LARGE($P$3:$U$3,2),0,1)</f>
        <v>0</v>
      </c>
      <c r="Y184" s="16"/>
      <c r="Z184" s="16">
        <f t="shared" si="59"/>
        <v>0</v>
      </c>
      <c r="AA184" s="2"/>
      <c r="AB184" s="16" t="s">
        <v>391</v>
      </c>
      <c r="AC184" s="16" t="s">
        <v>392</v>
      </c>
      <c r="AD184" s="16" t="s">
        <v>393</v>
      </c>
      <c r="AE184" s="16" t="s">
        <v>391</v>
      </c>
      <c r="AF184" s="21" t="s">
        <v>3060</v>
      </c>
      <c r="AG184" s="2" t="s">
        <v>394</v>
      </c>
      <c r="AH184" s="2"/>
      <c r="AI184" s="116" t="s">
        <v>439</v>
      </c>
      <c r="AJ184" s="117">
        <f>IF(OR(Q2="化學",Q2="生物"),Q3,0)</f>
        <v>0</v>
      </c>
      <c r="AK184" s="117">
        <f>IF(OR(R2="化學",R2="生物"),R3,0)</f>
        <v>0</v>
      </c>
      <c r="AL184" s="117">
        <f>IF(OR(S2="化學",S2="生物"),S3,0)</f>
        <v>0</v>
      </c>
      <c r="AM184" s="117">
        <f>IF(OR(T2="化學",T2="生物"),T3,0)</f>
        <v>0</v>
      </c>
      <c r="AN184" s="116"/>
      <c r="AO184" s="116"/>
      <c r="AP184" s="117" t="str">
        <f>IF(AQ184&gt;0,INDEX(AJ183:AM183,MATCH(AQ184,AJ184:AM184,0)),"無")</f>
        <v>無</v>
      </c>
      <c r="AQ184" s="117">
        <f>LARGE((AJ184:AM184),1)</f>
        <v>0</v>
      </c>
      <c r="AR184" s="102"/>
      <c r="AS184" s="16" t="str">
        <f>IF(AT184&gt;0,INDEX(AJ183:AM183,MATCH(AT184,AJ184:AM184,0)),"無")</f>
        <v>無</v>
      </c>
      <c r="AT184" s="16">
        <f>LARGE((AJ184:AM184),2)</f>
        <v>0</v>
      </c>
      <c r="AU184" s="102"/>
    </row>
    <row r="185" spans="1:47">
      <c r="A185" s="2" t="str">
        <f>'Reference Score Calculation'!B176</f>
        <v>JS4412</v>
      </c>
      <c r="B185" s="346" t="str">
        <f>'Reference Score Calculation'!B176</f>
        <v>JS4412</v>
      </c>
      <c r="C185" s="2" t="str">
        <f>'Reference Score Calculation'!E176</f>
        <v>計算機科學與工程</v>
      </c>
      <c r="D185" s="16">
        <f>'Reference Score Calculation'!U176</f>
        <v>107</v>
      </c>
      <c r="E185" s="16">
        <v>3</v>
      </c>
      <c r="F185" s="16">
        <v>3</v>
      </c>
      <c r="G185" s="16">
        <v>4</v>
      </c>
      <c r="H185" s="16">
        <v>2</v>
      </c>
      <c r="I185" s="16">
        <v>3</v>
      </c>
      <c r="J185" s="16">
        <v>3</v>
      </c>
      <c r="L185" s="90">
        <v>3</v>
      </c>
      <c r="M185" s="90">
        <v>3</v>
      </c>
      <c r="N185" s="90">
        <v>4</v>
      </c>
      <c r="O185" s="90">
        <v>1</v>
      </c>
      <c r="P185" s="90">
        <v>3</v>
      </c>
      <c r="Q185" s="90">
        <v>3</v>
      </c>
      <c r="S185" s="16">
        <f t="shared" si="60"/>
        <v>0</v>
      </c>
      <c r="T185" s="16">
        <f t="shared" si="61"/>
        <v>0</v>
      </c>
      <c r="U185" s="16">
        <f t="shared" si="62"/>
        <v>0</v>
      </c>
      <c r="V185" s="16">
        <f t="shared" si="63"/>
        <v>0</v>
      </c>
      <c r="W185" s="72">
        <f>IF(P185&gt;$AQ$176,0,1)</f>
        <v>0</v>
      </c>
      <c r="X185" s="16">
        <f>IF(LARGE($P$3:$U$3,2)&lt;3,0,IF(Q185&gt;$AT$172,2,1))</f>
        <v>0</v>
      </c>
      <c r="Y185" s="16"/>
      <c r="Z185" s="16">
        <f t="shared" si="59"/>
        <v>0</v>
      </c>
      <c r="AA185" s="2"/>
      <c r="AB185" s="16" t="s">
        <v>391</v>
      </c>
      <c r="AC185" s="16" t="s">
        <v>392</v>
      </c>
      <c r="AD185" s="16" t="s">
        <v>393</v>
      </c>
      <c r="AE185" s="16" t="s">
        <v>391</v>
      </c>
      <c r="AF185" s="21" t="s">
        <v>3058</v>
      </c>
      <c r="AG185" s="21" t="s">
        <v>2417</v>
      </c>
      <c r="AH185" s="2"/>
      <c r="AI185" s="116" t="s">
        <v>440</v>
      </c>
      <c r="AJ185" s="116"/>
      <c r="AK185" s="116"/>
      <c r="AL185" s="116"/>
      <c r="AM185" s="116"/>
      <c r="AN185" s="116"/>
      <c r="AO185" s="116"/>
      <c r="AP185" s="102"/>
      <c r="AQ185" s="102"/>
      <c r="AR185" s="102"/>
      <c r="AS185" s="102"/>
      <c r="AT185" s="102"/>
      <c r="AU185" s="102"/>
    </row>
    <row r="186" spans="1:47">
      <c r="A186" s="2" t="str">
        <f>'Reference Score Calculation'!B177</f>
        <v>JS4416</v>
      </c>
      <c r="B186" s="346" t="str">
        <f>'Reference Score Calculation'!B177</f>
        <v>JS4416</v>
      </c>
      <c r="C186" s="2" t="str">
        <f>'Reference Score Calculation'!E177</f>
        <v>計算數據科學</v>
      </c>
      <c r="D186" s="16">
        <f>'Reference Score Calculation'!U177</f>
        <v>20</v>
      </c>
      <c r="E186" s="16">
        <v>3</v>
      </c>
      <c r="F186" s="16">
        <v>4</v>
      </c>
      <c r="G186" s="16">
        <v>4</v>
      </c>
      <c r="H186" s="16">
        <v>2</v>
      </c>
      <c r="I186" s="16">
        <v>3</v>
      </c>
      <c r="J186" s="16">
        <v>3</v>
      </c>
      <c r="L186" s="90">
        <v>3</v>
      </c>
      <c r="M186" s="90">
        <v>4</v>
      </c>
      <c r="N186" s="90">
        <v>4</v>
      </c>
      <c r="O186" s="90">
        <v>1</v>
      </c>
      <c r="P186" s="90">
        <v>3</v>
      </c>
      <c r="Q186" s="90">
        <v>3</v>
      </c>
      <c r="S186" s="16">
        <f t="shared" si="60"/>
        <v>0</v>
      </c>
      <c r="T186" s="16">
        <f t="shared" si="61"/>
        <v>0</v>
      </c>
      <c r="U186" s="16">
        <f t="shared" si="62"/>
        <v>0</v>
      </c>
      <c r="V186" s="16">
        <f t="shared" si="63"/>
        <v>0</v>
      </c>
      <c r="W186" s="16">
        <f t="shared" si="64"/>
        <v>0</v>
      </c>
      <c r="X186" s="16">
        <f t="shared" si="67"/>
        <v>0</v>
      </c>
      <c r="Y186" s="16"/>
      <c r="Z186" s="16">
        <f t="shared" si="59"/>
        <v>0</v>
      </c>
      <c r="AA186" s="2"/>
      <c r="AB186" s="16" t="s">
        <v>391</v>
      </c>
      <c r="AC186" s="16" t="s">
        <v>392</v>
      </c>
      <c r="AD186" s="16" t="s">
        <v>393</v>
      </c>
      <c r="AE186" s="16" t="s">
        <v>393</v>
      </c>
      <c r="AF186" s="2" t="s">
        <v>394</v>
      </c>
      <c r="AG186" s="2" t="s">
        <v>394</v>
      </c>
      <c r="AH186" s="2"/>
      <c r="AI186" s="116"/>
      <c r="AJ186" s="116"/>
      <c r="AK186" s="116"/>
      <c r="AL186" s="116"/>
      <c r="AM186" s="116"/>
      <c r="AN186" s="116"/>
      <c r="AO186" s="116"/>
      <c r="AP186" s="102"/>
      <c r="AQ186" s="102"/>
      <c r="AR186" s="102"/>
      <c r="AS186" s="102"/>
      <c r="AT186" s="102"/>
      <c r="AU186" s="102"/>
    </row>
    <row r="187" spans="1:47">
      <c r="A187" s="2" t="str">
        <f>'Reference Score Calculation'!B178</f>
        <v>JS4428</v>
      </c>
      <c r="B187" s="346" t="str">
        <f>'Reference Score Calculation'!B178</f>
        <v>JS4428</v>
      </c>
      <c r="C187" s="2" t="str">
        <f>'Reference Score Calculation'!E178</f>
        <v>金融科技學</v>
      </c>
      <c r="D187" s="16">
        <f>'Reference Score Calculation'!U178</f>
        <v>35</v>
      </c>
      <c r="E187" s="16">
        <v>3</v>
      </c>
      <c r="F187" s="16">
        <v>3</v>
      </c>
      <c r="G187" s="16">
        <v>4</v>
      </c>
      <c r="H187" s="16">
        <v>3</v>
      </c>
      <c r="I187" s="16">
        <v>3</v>
      </c>
      <c r="J187" s="16">
        <v>3</v>
      </c>
      <c r="L187" s="90">
        <v>3</v>
      </c>
      <c r="M187" s="90">
        <v>3</v>
      </c>
      <c r="N187" s="90">
        <v>4</v>
      </c>
      <c r="O187" s="90">
        <v>1</v>
      </c>
      <c r="P187" s="90">
        <v>3</v>
      </c>
      <c r="Q187" s="90">
        <v>3</v>
      </c>
      <c r="S187" s="16">
        <f t="shared" si="60"/>
        <v>0</v>
      </c>
      <c r="T187" s="16">
        <f t="shared" si="61"/>
        <v>0</v>
      </c>
      <c r="U187" s="16">
        <f t="shared" si="62"/>
        <v>0</v>
      </c>
      <c r="V187" s="16">
        <f t="shared" si="63"/>
        <v>0</v>
      </c>
      <c r="W187" s="16">
        <f t="shared" si="64"/>
        <v>0</v>
      </c>
      <c r="X187" s="16">
        <f t="shared" si="67"/>
        <v>0</v>
      </c>
      <c r="Y187" s="16"/>
      <c r="Z187" s="16">
        <f t="shared" si="59"/>
        <v>0</v>
      </c>
      <c r="AA187" s="2"/>
      <c r="AB187" s="16" t="s">
        <v>391</v>
      </c>
      <c r="AC187" s="16" t="s">
        <v>392</v>
      </c>
      <c r="AD187" s="16" t="s">
        <v>393</v>
      </c>
      <c r="AE187" s="16" t="s">
        <v>391</v>
      </c>
      <c r="AF187" s="2" t="s">
        <v>394</v>
      </c>
      <c r="AG187" s="2" t="s">
        <v>394</v>
      </c>
      <c r="AH187" s="2" t="s">
        <v>324</v>
      </c>
      <c r="AI187" s="116"/>
      <c r="AJ187" s="116" t="str">
        <f>Q2</f>
        <v>請選擇第一選修科</v>
      </c>
      <c r="AK187" s="116" t="str">
        <f>R2</f>
        <v>請選擇第二選修科</v>
      </c>
      <c r="AL187" s="116" t="str">
        <f>S2</f>
        <v>請選擇第三選修科</v>
      </c>
      <c r="AM187" s="116" t="str">
        <f>T2</f>
        <v>請選擇第四選修科</v>
      </c>
      <c r="AN187" s="116"/>
      <c r="AO187" s="116"/>
      <c r="AP187" s="116" t="s">
        <v>427</v>
      </c>
      <c r="AQ187" s="116"/>
      <c r="AR187" s="102"/>
      <c r="AS187" s="102"/>
      <c r="AT187" s="102"/>
      <c r="AU187" s="102"/>
    </row>
    <row r="188" spans="1:47">
      <c r="A188" s="2" t="str">
        <f>'Reference Score Calculation'!B179</f>
        <v>JS4434</v>
      </c>
      <c r="B188" s="346" t="str">
        <f>'Reference Score Calculation'!B179</f>
        <v>JS4434</v>
      </c>
      <c r="C188" s="2" t="str">
        <f>'Reference Score Calculation'!E179</f>
        <v>電子工程學</v>
      </c>
      <c r="D188" s="16">
        <f>'Reference Score Calculation'!U179</f>
        <v>53</v>
      </c>
      <c r="E188" s="16">
        <v>3</v>
      </c>
      <c r="F188" s="16">
        <v>3</v>
      </c>
      <c r="G188" s="16">
        <v>3</v>
      </c>
      <c r="H188" s="16">
        <v>2</v>
      </c>
      <c r="I188" s="16">
        <v>3</v>
      </c>
      <c r="J188" s="16">
        <v>3</v>
      </c>
      <c r="L188" s="90">
        <v>3</v>
      </c>
      <c r="M188" s="90">
        <v>3</v>
      </c>
      <c r="N188" s="90">
        <v>3</v>
      </c>
      <c r="O188" s="90">
        <v>1</v>
      </c>
      <c r="P188" s="90">
        <v>3</v>
      </c>
      <c r="Q188" s="90">
        <v>3</v>
      </c>
      <c r="S188" s="16">
        <f t="shared" si="60"/>
        <v>0</v>
      </c>
      <c r="T188" s="16">
        <f t="shared" si="61"/>
        <v>0</v>
      </c>
      <c r="U188" s="16">
        <f t="shared" si="62"/>
        <v>0</v>
      </c>
      <c r="V188" s="16">
        <f t="shared" si="63"/>
        <v>0</v>
      </c>
      <c r="W188" s="72">
        <f>IF(P188&gt;$AQ$176,0,1)</f>
        <v>0</v>
      </c>
      <c r="X188" s="16">
        <f t="shared" si="67"/>
        <v>0</v>
      </c>
      <c r="Y188" s="16"/>
      <c r="Z188" s="16">
        <f t="shared" si="59"/>
        <v>0</v>
      </c>
      <c r="AA188" s="2"/>
      <c r="AB188" s="16" t="s">
        <v>391</v>
      </c>
      <c r="AC188" s="16" t="s">
        <v>392</v>
      </c>
      <c r="AD188" s="16" t="s">
        <v>393</v>
      </c>
      <c r="AE188" s="16" t="s">
        <v>391</v>
      </c>
      <c r="AF188" s="21" t="s">
        <v>3058</v>
      </c>
      <c r="AG188" s="2" t="s">
        <v>394</v>
      </c>
      <c r="AH188" s="2" t="s">
        <v>324</v>
      </c>
      <c r="AI188" s="116" t="s">
        <v>1300</v>
      </c>
      <c r="AJ188" s="117">
        <f>IF(OR(Q2="化學",Q2="生物",Q2="物理"),Q3,0)</f>
        <v>0</v>
      </c>
      <c r="AK188" s="117">
        <f>IF(OR(R2="化學",R2="生物",R2="物理"),R3,0)</f>
        <v>0</v>
      </c>
      <c r="AL188" s="117">
        <f>IF(OR(S2="化學",S2="生物",S2="物理"),S3,0)</f>
        <v>0</v>
      </c>
      <c r="AM188" s="117">
        <f>IF(OR(T2="化學",T2="生物",T2="物理"),T3,0)</f>
        <v>0</v>
      </c>
      <c r="AN188" s="116"/>
      <c r="AO188" s="116"/>
      <c r="AP188" s="117" t="str">
        <f>IF(AQ188&gt;0,INDEX(AJ187:AN187,MATCH(LARGE(AJ188:AN188,1),AJ188:AN188,0)),"無")</f>
        <v>無</v>
      </c>
      <c r="AQ188" s="117">
        <f>LARGE((AJ188:AN188),1)</f>
        <v>0</v>
      </c>
      <c r="AR188" s="102"/>
      <c r="AS188" s="102"/>
      <c r="AT188" s="102"/>
      <c r="AU188" s="102"/>
    </row>
    <row r="189" spans="1:47">
      <c r="A189" s="2" t="str">
        <f>'Reference Score Calculation'!B180</f>
        <v>JS4446</v>
      </c>
      <c r="B189" s="346" t="str">
        <f>'Reference Score Calculation'!B180</f>
        <v>JS4446</v>
      </c>
      <c r="C189" s="2" t="str">
        <f>'Reference Score Calculation'!E180</f>
        <v>信息工程學</v>
      </c>
      <c r="D189" s="16">
        <f>'Reference Score Calculation'!U180</f>
        <v>75</v>
      </c>
      <c r="E189" s="16">
        <v>3</v>
      </c>
      <c r="F189" s="16">
        <v>3</v>
      </c>
      <c r="G189" s="16">
        <v>4</v>
      </c>
      <c r="H189" s="16">
        <v>2</v>
      </c>
      <c r="I189" s="16">
        <v>3</v>
      </c>
      <c r="J189" s="16">
        <v>3</v>
      </c>
      <c r="L189" s="90">
        <v>3</v>
      </c>
      <c r="M189" s="90">
        <v>3</v>
      </c>
      <c r="N189" s="90">
        <v>4</v>
      </c>
      <c r="O189" s="90">
        <v>1</v>
      </c>
      <c r="P189" s="90">
        <v>3</v>
      </c>
      <c r="Q189" s="90">
        <v>3</v>
      </c>
      <c r="S189" s="16">
        <f t="shared" si="60"/>
        <v>0</v>
      </c>
      <c r="T189" s="16">
        <f t="shared" si="61"/>
        <v>0</v>
      </c>
      <c r="U189" s="16">
        <f t="shared" si="62"/>
        <v>0</v>
      </c>
      <c r="V189" s="16">
        <f t="shared" si="63"/>
        <v>0</v>
      </c>
      <c r="W189" s="72">
        <f>IF(P189&gt;$AQ$167,0,1)</f>
        <v>0</v>
      </c>
      <c r="X189" s="467">
        <f>IF(LARGE($P$3:$U$3,2)&lt;3,0,IF(Q189&gt;$AT$169,2,1))</f>
        <v>0</v>
      </c>
      <c r="Y189" s="16"/>
      <c r="Z189" s="16">
        <f t="shared" si="59"/>
        <v>0</v>
      </c>
      <c r="AA189" s="2"/>
      <c r="AB189" s="16" t="s">
        <v>391</v>
      </c>
      <c r="AC189" s="16" t="s">
        <v>392</v>
      </c>
      <c r="AD189" s="16" t="s">
        <v>393</v>
      </c>
      <c r="AE189" s="16" t="s">
        <v>391</v>
      </c>
      <c r="AF189" s="21" t="s">
        <v>3061</v>
      </c>
      <c r="AG189" s="2" t="s">
        <v>2417</v>
      </c>
      <c r="AH189" s="2" t="s">
        <v>324</v>
      </c>
      <c r="AI189" s="116" t="s">
        <v>1309</v>
      </c>
      <c r="AJ189" s="116"/>
      <c r="AK189" s="116"/>
      <c r="AL189" s="116"/>
      <c r="AM189" s="116"/>
      <c r="AN189" s="116"/>
      <c r="AO189" s="116"/>
      <c r="AP189" s="102"/>
      <c r="AQ189" s="102"/>
      <c r="AR189" s="102"/>
      <c r="AS189" s="102"/>
      <c r="AT189" s="102"/>
      <c r="AU189" s="102"/>
    </row>
    <row r="190" spans="1:47">
      <c r="A190" s="2" t="str">
        <f>'Reference Score Calculation'!B181</f>
        <v>JS4458</v>
      </c>
      <c r="B190" s="346" t="str">
        <f>'Reference Score Calculation'!B181</f>
        <v>JS4458</v>
      </c>
      <c r="C190" s="2" t="str">
        <f>'Reference Score Calculation'!E181</f>
        <v>系統工程與工程管理</v>
      </c>
      <c r="D190" s="16">
        <f>'Reference Score Calculation'!U181</f>
        <v>53</v>
      </c>
      <c r="E190" s="16">
        <v>3</v>
      </c>
      <c r="F190" s="16">
        <v>3</v>
      </c>
      <c r="G190" s="16">
        <v>3</v>
      </c>
      <c r="H190" s="16">
        <v>2</v>
      </c>
      <c r="I190" s="16">
        <v>3</v>
      </c>
      <c r="J190" s="16">
        <v>3</v>
      </c>
      <c r="L190" s="90">
        <v>3</v>
      </c>
      <c r="M190" s="90">
        <v>3</v>
      </c>
      <c r="N190" s="90">
        <v>3</v>
      </c>
      <c r="O190" s="90">
        <v>1</v>
      </c>
      <c r="P190" s="90">
        <v>3</v>
      </c>
      <c r="Q190" s="90">
        <v>3</v>
      </c>
      <c r="S190" s="16">
        <f t="shared" si="60"/>
        <v>0</v>
      </c>
      <c r="T190" s="16">
        <f t="shared" si="61"/>
        <v>0</v>
      </c>
      <c r="U190" s="16">
        <f t="shared" si="62"/>
        <v>0</v>
      </c>
      <c r="V190" s="16">
        <f t="shared" si="63"/>
        <v>0</v>
      </c>
      <c r="W190" s="16">
        <f>IF(LARGE($P$3:$U$3,2)&lt;3,0,IF(P190&gt;$AQ$210,2,1))</f>
        <v>0</v>
      </c>
      <c r="X190" s="16">
        <f t="shared" si="67"/>
        <v>0</v>
      </c>
      <c r="Y190" s="16"/>
      <c r="Z190" s="16">
        <f t="shared" si="59"/>
        <v>0</v>
      </c>
      <c r="AA190" s="2"/>
      <c r="AB190" s="16" t="s">
        <v>391</v>
      </c>
      <c r="AC190" s="16" t="s">
        <v>392</v>
      </c>
      <c r="AD190" s="16" t="s">
        <v>393</v>
      </c>
      <c r="AE190" s="16" t="s">
        <v>391</v>
      </c>
      <c r="AF190" s="2" t="s">
        <v>394</v>
      </c>
      <c r="AG190" s="2" t="s">
        <v>394</v>
      </c>
      <c r="AH190" s="2" t="s">
        <v>324</v>
      </c>
      <c r="AI190" s="116"/>
      <c r="AJ190" s="116"/>
      <c r="AK190" s="116"/>
      <c r="AL190" s="116"/>
      <c r="AM190" s="116"/>
      <c r="AN190" s="116"/>
      <c r="AO190" s="116"/>
      <c r="AP190" s="102"/>
      <c r="AQ190" s="102"/>
      <c r="AR190" s="102"/>
      <c r="AS190" s="102"/>
      <c r="AT190" s="102"/>
      <c r="AU190" s="102"/>
    </row>
    <row r="191" spans="1:47">
      <c r="A191" s="2" t="str">
        <f>'Reference Score Calculation'!B182</f>
        <v>JS4460</v>
      </c>
      <c r="B191" s="346" t="str">
        <f>'Reference Score Calculation'!B182</f>
        <v>JS4460</v>
      </c>
      <c r="C191" s="2" t="str">
        <f>'Reference Score Calculation'!E182</f>
        <v>生物醫學工程學</v>
      </c>
      <c r="D191" s="16">
        <f>'Reference Score Calculation'!U182</f>
        <v>44</v>
      </c>
      <c r="E191" s="16">
        <v>3</v>
      </c>
      <c r="F191" s="16">
        <v>3</v>
      </c>
      <c r="G191" s="16">
        <v>3</v>
      </c>
      <c r="H191" s="16">
        <v>2</v>
      </c>
      <c r="I191" s="16">
        <v>3</v>
      </c>
      <c r="J191" s="16">
        <v>3</v>
      </c>
      <c r="L191" s="90">
        <v>3</v>
      </c>
      <c r="M191" s="90">
        <v>3</v>
      </c>
      <c r="N191" s="90">
        <v>3</v>
      </c>
      <c r="O191" s="90">
        <v>1</v>
      </c>
      <c r="P191" s="90">
        <v>3</v>
      </c>
      <c r="Q191" s="90">
        <v>3</v>
      </c>
      <c r="S191" s="16">
        <f t="shared" si="60"/>
        <v>0</v>
      </c>
      <c r="T191" s="16">
        <f t="shared" si="61"/>
        <v>0</v>
      </c>
      <c r="U191" s="16">
        <f t="shared" si="62"/>
        <v>0</v>
      </c>
      <c r="V191" s="16">
        <f t="shared" si="63"/>
        <v>0</v>
      </c>
      <c r="W191" s="72">
        <f>IF(P191&gt;$AQ$167,0,1)</f>
        <v>0</v>
      </c>
      <c r="X191" s="16">
        <f t="shared" si="67"/>
        <v>0</v>
      </c>
      <c r="Y191" s="16"/>
      <c r="Z191" s="16">
        <f t="shared" si="59"/>
        <v>0</v>
      </c>
      <c r="AA191" s="2"/>
      <c r="AB191" s="16" t="s">
        <v>391</v>
      </c>
      <c r="AC191" s="16" t="s">
        <v>392</v>
      </c>
      <c r="AD191" s="16" t="s">
        <v>393</v>
      </c>
      <c r="AE191" s="16" t="s">
        <v>391</v>
      </c>
      <c r="AF191" s="21" t="s">
        <v>3061</v>
      </c>
      <c r="AG191" s="2" t="s">
        <v>394</v>
      </c>
      <c r="AH191" s="2" t="s">
        <v>324</v>
      </c>
      <c r="AI191" s="116"/>
      <c r="AJ191" s="116" t="str">
        <f>Q2</f>
        <v>請選擇第一選修科</v>
      </c>
      <c r="AK191" s="116" t="str">
        <f>R2</f>
        <v>請選擇第二選修科</v>
      </c>
      <c r="AL191" s="116" t="str">
        <f>S2</f>
        <v>請選擇第三選修科</v>
      </c>
      <c r="AM191" s="116" t="str">
        <f>T2</f>
        <v>請選擇第四選修科</v>
      </c>
      <c r="AN191" s="116" t="str">
        <f>P2</f>
        <v>數學延伸</v>
      </c>
      <c r="AO191" s="102"/>
      <c r="AP191" s="116" t="s">
        <v>427</v>
      </c>
      <c r="AQ191" s="116"/>
      <c r="AR191" s="102"/>
      <c r="AS191" s="102"/>
      <c r="AT191" s="102"/>
      <c r="AU191" s="102"/>
    </row>
    <row r="192" spans="1:47">
      <c r="A192" s="2" t="str">
        <f>'Reference Score Calculation'!B183</f>
        <v>JS4462</v>
      </c>
      <c r="B192" s="346" t="str">
        <f>'Reference Score Calculation'!B183</f>
        <v>JS4462</v>
      </c>
      <c r="C192" s="2" t="str">
        <f>'Reference Score Calculation'!E183</f>
        <v>能源與環境工程學</v>
      </c>
      <c r="D192" s="16">
        <f>'Reference Score Calculation'!U183</f>
        <v>28</v>
      </c>
      <c r="E192" s="16">
        <v>3</v>
      </c>
      <c r="F192" s="16">
        <v>3</v>
      </c>
      <c r="G192" s="16">
        <v>3</v>
      </c>
      <c r="H192" s="16">
        <v>2</v>
      </c>
      <c r="I192" s="16">
        <v>3</v>
      </c>
      <c r="J192" s="16">
        <v>3</v>
      </c>
      <c r="L192" s="90">
        <v>3</v>
      </c>
      <c r="M192" s="90">
        <v>3</v>
      </c>
      <c r="N192" s="90">
        <v>3</v>
      </c>
      <c r="O192" s="90">
        <v>1</v>
      </c>
      <c r="P192" s="90">
        <v>3</v>
      </c>
      <c r="Q192" s="90">
        <v>3</v>
      </c>
      <c r="S192" s="16">
        <f t="shared" si="60"/>
        <v>0</v>
      </c>
      <c r="T192" s="16">
        <f t="shared" si="61"/>
        <v>0</v>
      </c>
      <c r="U192" s="16">
        <f t="shared" si="62"/>
        <v>0</v>
      </c>
      <c r="V192" s="16">
        <f t="shared" si="63"/>
        <v>0</v>
      </c>
      <c r="W192" s="72">
        <f>IF(P192&gt;$AQ$172,0,1)</f>
        <v>0</v>
      </c>
      <c r="X192" s="16">
        <f t="shared" si="67"/>
        <v>0</v>
      </c>
      <c r="Y192" s="16"/>
      <c r="Z192" s="16">
        <f t="shared" si="59"/>
        <v>0</v>
      </c>
      <c r="AA192" s="2"/>
      <c r="AB192" s="16" t="s">
        <v>391</v>
      </c>
      <c r="AC192" s="16" t="s">
        <v>392</v>
      </c>
      <c r="AD192" s="16" t="s">
        <v>393</v>
      </c>
      <c r="AE192" s="16" t="s">
        <v>391</v>
      </c>
      <c r="AF192" s="21" t="s">
        <v>3060</v>
      </c>
      <c r="AG192" s="2" t="s">
        <v>394</v>
      </c>
      <c r="AH192" s="2" t="s">
        <v>324</v>
      </c>
      <c r="AI192" s="116" t="s">
        <v>443</v>
      </c>
      <c r="AJ192" s="117">
        <f>IF(OR(Q2="物理",Q2="化學",Q2="生物",Q2="地理"),Q3,0)</f>
        <v>0</v>
      </c>
      <c r="AK192" s="117">
        <f>IF(OR(R2="物理",R2="化學",R2="生物",R2="地理"),R3,0)</f>
        <v>0</v>
      </c>
      <c r="AL192" s="117">
        <f>IF(OR(S2="物理",S2="化學",S2="生物",S2="地理"),S3,0)</f>
        <v>0</v>
      </c>
      <c r="AM192" s="117">
        <f>IF(OR(T2="物理",T2="化學",T2="生物",T2="地理"),T3,0)</f>
        <v>0</v>
      </c>
      <c r="AN192" s="117">
        <f>P3</f>
        <v>5.0000000000000003E-10</v>
      </c>
      <c r="AO192" s="116"/>
      <c r="AP192" s="117" t="str">
        <f>IF(AQ192&gt;0,INDEX(AJ191:AN191,MATCH(LARGE(AJ192:AN192,1),AJ192:AN192,0)),"無")</f>
        <v>數學延伸</v>
      </c>
      <c r="AQ192" s="117">
        <f>LARGE((AJ192:AN192),1)</f>
        <v>5.0000000000000003E-10</v>
      </c>
      <c r="AR192" s="102"/>
      <c r="AS192" s="102"/>
      <c r="AT192" s="102"/>
      <c r="AU192" s="102"/>
    </row>
    <row r="193" spans="1:47">
      <c r="A193" s="2" t="str">
        <f>'Reference Score Calculation'!B184</f>
        <v>JS4468</v>
      </c>
      <c r="B193" s="346" t="str">
        <f>'Reference Score Calculation'!B184</f>
        <v>JS4468</v>
      </c>
      <c r="C193" s="2" t="str">
        <f>'Reference Score Calculation'!E184</f>
        <v>人工智能：系統與科技</v>
      </c>
      <c r="D193" s="16">
        <f>'Reference Score Calculation'!U184</f>
        <v>30</v>
      </c>
      <c r="E193" s="16">
        <v>3</v>
      </c>
      <c r="F193" s="16">
        <v>4</v>
      </c>
      <c r="G193" s="16">
        <v>5</v>
      </c>
      <c r="H193" s="16">
        <v>3</v>
      </c>
      <c r="I193" s="16">
        <v>3</v>
      </c>
      <c r="J193" s="16">
        <v>3</v>
      </c>
      <c r="L193" s="90">
        <v>3</v>
      </c>
      <c r="M193" s="90">
        <v>4</v>
      </c>
      <c r="N193" s="90">
        <v>5</v>
      </c>
      <c r="O193" s="90">
        <v>1</v>
      </c>
      <c r="P193" s="90">
        <v>3</v>
      </c>
      <c r="Q193" s="90">
        <v>3</v>
      </c>
      <c r="S193" s="16">
        <f t="shared" si="60"/>
        <v>0</v>
      </c>
      <c r="T193" s="16">
        <f t="shared" si="61"/>
        <v>0</v>
      </c>
      <c r="U193" s="72">
        <f>AL180</f>
        <v>0</v>
      </c>
      <c r="V193" s="16">
        <f t="shared" si="63"/>
        <v>0</v>
      </c>
      <c r="W193" s="16">
        <f t="shared" si="64"/>
        <v>0</v>
      </c>
      <c r="X193" s="16">
        <f t="shared" si="67"/>
        <v>0</v>
      </c>
      <c r="Y193" s="16"/>
      <c r="Z193" s="16">
        <f t="shared" si="59"/>
        <v>0</v>
      </c>
      <c r="AA193" s="2"/>
      <c r="AB193" s="16" t="s">
        <v>391</v>
      </c>
      <c r="AC193" s="16" t="s">
        <v>392</v>
      </c>
      <c r="AD193" s="16" t="s">
        <v>393</v>
      </c>
      <c r="AE193" s="16" t="s">
        <v>393</v>
      </c>
      <c r="AF193" s="2" t="s">
        <v>447</v>
      </c>
      <c r="AG193" s="2" t="s">
        <v>2420</v>
      </c>
      <c r="AH193" s="2" t="s">
        <v>324</v>
      </c>
      <c r="AI193" s="116"/>
      <c r="AJ193" s="158" t="s">
        <v>2424</v>
      </c>
      <c r="AK193" s="116"/>
      <c r="AL193" s="116"/>
      <c r="AM193" s="116"/>
      <c r="AN193" s="116"/>
      <c r="AO193" s="116"/>
      <c r="AP193" s="102"/>
      <c r="AQ193" s="102"/>
      <c r="AR193" s="102"/>
      <c r="AS193" s="102"/>
      <c r="AT193" s="102"/>
      <c r="AU193" s="102"/>
    </row>
    <row r="194" spans="1:47">
      <c r="A194" s="2" t="str">
        <f>'Reference Score Calculation'!B185</f>
        <v>JS4470</v>
      </c>
      <c r="B194" s="346" t="str">
        <f>'Reference Score Calculation'!B185</f>
        <v>JS4470</v>
      </c>
      <c r="C194" s="2" t="str">
        <f>'Reference Score Calculation'!E185</f>
        <v>材料科學與工程學</v>
      </c>
      <c r="L194" s="90">
        <v>3</v>
      </c>
      <c r="M194" s="90">
        <v>3</v>
      </c>
      <c r="N194" s="90">
        <v>3</v>
      </c>
      <c r="O194" s="90">
        <v>1</v>
      </c>
      <c r="P194" s="90">
        <v>3</v>
      </c>
      <c r="Q194" s="90">
        <v>3</v>
      </c>
      <c r="S194" s="16">
        <f t="shared" si="60"/>
        <v>0</v>
      </c>
      <c r="T194" s="16">
        <f t="shared" si="61"/>
        <v>0</v>
      </c>
      <c r="U194" s="16">
        <f t="shared" si="62"/>
        <v>0</v>
      </c>
      <c r="V194" s="16">
        <f t="shared" si="63"/>
        <v>0</v>
      </c>
      <c r="W194" s="467">
        <f>IF(P194&gt;$AQ$176,0,1)</f>
        <v>0</v>
      </c>
      <c r="X194" s="16">
        <f>IF(LARGE($P$3:$U$3,2)&lt;3,0,IF(Q194&gt;$AT$180,2,1))</f>
        <v>0</v>
      </c>
      <c r="Y194" s="16"/>
      <c r="Z194" s="16">
        <f t="shared" si="59"/>
        <v>0</v>
      </c>
      <c r="AA194" s="2"/>
      <c r="AB194" s="16" t="s">
        <v>391</v>
      </c>
      <c r="AC194" s="16" t="s">
        <v>392</v>
      </c>
      <c r="AD194" s="16" t="s">
        <v>393</v>
      </c>
      <c r="AE194" s="16" t="s">
        <v>393</v>
      </c>
      <c r="AF194" s="21" t="s">
        <v>3058</v>
      </c>
      <c r="AG194" s="21" t="s">
        <v>3059</v>
      </c>
      <c r="AH194" s="2"/>
      <c r="AI194" s="116"/>
      <c r="AJ194" s="116"/>
      <c r="AK194" s="116"/>
      <c r="AL194" s="116"/>
      <c r="AM194" s="116"/>
      <c r="AN194" s="116"/>
      <c r="AO194" s="116"/>
      <c r="AP194" s="102"/>
      <c r="AQ194" s="102"/>
      <c r="AR194" s="102"/>
      <c r="AS194" s="102"/>
      <c r="AT194" s="102"/>
      <c r="AU194" s="102"/>
    </row>
    <row r="195" spans="1:47">
      <c r="A195" s="2" t="str">
        <f>'Reference Score Calculation'!B186</f>
        <v>JS4501</v>
      </c>
      <c r="B195" s="346" t="str">
        <f>'Reference Score Calculation'!B186</f>
        <v>JS4501</v>
      </c>
      <c r="C195" s="2" t="str">
        <f>'Reference Score Calculation'!E186</f>
        <v>內外全科醫學士課程</v>
      </c>
      <c r="D195" s="16">
        <f>'Reference Score Calculation'!U186</f>
        <v>295</v>
      </c>
      <c r="E195" s="16">
        <v>3</v>
      </c>
      <c r="F195" s="16">
        <v>4</v>
      </c>
      <c r="G195" s="16">
        <v>3</v>
      </c>
      <c r="H195" s="16">
        <v>3</v>
      </c>
      <c r="I195" s="16">
        <v>3</v>
      </c>
      <c r="J195" s="16">
        <v>3</v>
      </c>
      <c r="L195" s="90">
        <v>3</v>
      </c>
      <c r="M195" s="90">
        <v>4</v>
      </c>
      <c r="N195" s="90">
        <v>3</v>
      </c>
      <c r="O195" s="90">
        <v>1</v>
      </c>
      <c r="P195" s="90">
        <v>3</v>
      </c>
      <c r="Q195" s="90">
        <v>3</v>
      </c>
      <c r="S195" s="16">
        <f t="shared" si="60"/>
        <v>0</v>
      </c>
      <c r="T195" s="16">
        <f t="shared" si="61"/>
        <v>0</v>
      </c>
      <c r="U195" s="16">
        <f t="shared" si="62"/>
        <v>0</v>
      </c>
      <c r="V195" s="16">
        <f t="shared" si="63"/>
        <v>0</v>
      </c>
      <c r="W195" s="72">
        <f>IF(P195&gt;$AQ$184,0,1)</f>
        <v>0</v>
      </c>
      <c r="X195" s="16">
        <f>IF(LARGE($Q$3:$U$3,2)&lt;3,0,IF(Q195&gt;$AT$184,2,1))</f>
        <v>0</v>
      </c>
      <c r="Y195" s="16"/>
      <c r="Z195" s="16">
        <f t="shared" si="59"/>
        <v>0</v>
      </c>
      <c r="AA195" s="2"/>
      <c r="AB195" s="16" t="s">
        <v>391</v>
      </c>
      <c r="AC195" s="16" t="s">
        <v>392</v>
      </c>
      <c r="AD195" s="16" t="s">
        <v>393</v>
      </c>
      <c r="AE195" s="16" t="s">
        <v>393</v>
      </c>
      <c r="AF195" s="21" t="s">
        <v>417</v>
      </c>
      <c r="AG195" s="2" t="s">
        <v>448</v>
      </c>
      <c r="AH195" s="2" t="s">
        <v>324</v>
      </c>
      <c r="AI195" s="116"/>
      <c r="AJ195" s="116" t="str">
        <f>Q2</f>
        <v>請選擇第一選修科</v>
      </c>
      <c r="AK195" s="116" t="str">
        <f>R2</f>
        <v>請選擇第二選修科</v>
      </c>
      <c r="AL195" s="116" t="str">
        <f>S2</f>
        <v>請選擇第三選修科</v>
      </c>
      <c r="AM195" s="116" t="str">
        <f>T2</f>
        <v>請選擇第四選修科</v>
      </c>
      <c r="AN195" s="102"/>
      <c r="AO195" s="102"/>
      <c r="AP195" s="116" t="s">
        <v>427</v>
      </c>
      <c r="AQ195" s="116"/>
      <c r="AR195" s="102"/>
      <c r="AS195" s="116" t="s">
        <v>445</v>
      </c>
      <c r="AT195" s="116"/>
      <c r="AU195" s="102"/>
    </row>
    <row r="196" spans="1:47">
      <c r="A196" s="2" t="str">
        <f>'Reference Score Calculation'!B187</f>
        <v>JS4502</v>
      </c>
      <c r="B196" s="346" t="str">
        <f>'Reference Score Calculation'!B187</f>
        <v>JS4502</v>
      </c>
      <c r="C196" s="2" t="str">
        <f>'Reference Score Calculation'!E187</f>
        <v>內外全科醫學士課程環球醫學領袖培訓專修組別</v>
      </c>
      <c r="D196" s="16">
        <f>'Reference Score Calculation'!U187</f>
        <v>30</v>
      </c>
      <c r="E196" s="16">
        <v>3</v>
      </c>
      <c r="F196" s="16">
        <v>4</v>
      </c>
      <c r="G196" s="16">
        <v>3</v>
      </c>
      <c r="H196" s="16">
        <v>3</v>
      </c>
      <c r="I196" s="16">
        <v>3</v>
      </c>
      <c r="J196" s="16">
        <v>3</v>
      </c>
      <c r="L196" s="90">
        <v>3</v>
      </c>
      <c r="M196" s="90">
        <v>4</v>
      </c>
      <c r="N196" s="90">
        <v>3</v>
      </c>
      <c r="O196" s="90">
        <v>1</v>
      </c>
      <c r="P196" s="90">
        <v>3</v>
      </c>
      <c r="Q196" s="90">
        <v>3</v>
      </c>
      <c r="S196" s="16">
        <f t="shared" si="60"/>
        <v>0</v>
      </c>
      <c r="T196" s="16">
        <f>IF(M196&gt;M$3,0,1)</f>
        <v>0</v>
      </c>
      <c r="U196" s="16">
        <f t="shared" si="62"/>
        <v>0</v>
      </c>
      <c r="V196" s="16">
        <f t="shared" si="63"/>
        <v>0</v>
      </c>
      <c r="W196" s="72">
        <f>IF(P196&gt;$AQ$184,0,1)</f>
        <v>0</v>
      </c>
      <c r="X196" s="16">
        <f>IF(LARGE($Q$3:$U$3,2)&lt;3,0,IF(Q196&gt;$AT$184,2,1))</f>
        <v>0</v>
      </c>
      <c r="Y196" s="16"/>
      <c r="Z196" s="16">
        <f>S196*T196*U196*V196*W196*X196*AQ204</f>
        <v>0</v>
      </c>
      <c r="AA196" s="2"/>
      <c r="AB196" s="16" t="s">
        <v>391</v>
      </c>
      <c r="AC196" s="16" t="s">
        <v>392</v>
      </c>
      <c r="AD196" s="16" t="s">
        <v>393</v>
      </c>
      <c r="AE196" s="16" t="s">
        <v>393</v>
      </c>
      <c r="AF196" s="21" t="s">
        <v>449</v>
      </c>
      <c r="AG196" s="2" t="s">
        <v>3071</v>
      </c>
      <c r="AH196" s="2" t="s">
        <v>324</v>
      </c>
      <c r="AI196" s="116" t="s">
        <v>444</v>
      </c>
      <c r="AJ196" s="117">
        <f>IF(OR(Q2="物理",Q2="化學",Q2="生物",Q2="地理",Q2="經濟",,Q2="資訊及通訊科技",Q2="科技與生活"),Q3,0)</f>
        <v>0</v>
      </c>
      <c r="AK196" s="117">
        <f>IF(OR(R2="物理",R2="化學",R2="生物",R2="地理",R2="經濟",,R2="資訊及通訊科技",R2="科技與生活"),R3,0)</f>
        <v>0</v>
      </c>
      <c r="AL196" s="117">
        <f>IF(OR(S2="物理",S2="化學",S2="生物",S2="地理",S2="經濟",,S2="資訊及通訊科技",S2="科技與生活"),S3,0)</f>
        <v>0</v>
      </c>
      <c r="AM196" s="117">
        <f>IF(OR(T2="物理",T2="化學",T2="生物",T2="地理",T2="經濟",,T2="資訊及通訊科技",T2="科技與生活"),T3,0)</f>
        <v>0</v>
      </c>
      <c r="AN196" s="116"/>
      <c r="AO196" s="116"/>
      <c r="AP196" s="117" t="str">
        <f>IF(AQ196&gt;0,INDEX(AJ195:AM195,MATCH(LARGE(AJ196:AM196,1),AJ196:AM196,0)),"無")</f>
        <v>無</v>
      </c>
      <c r="AQ196" s="117">
        <f>LARGE((AJ196:AM196),1)</f>
        <v>0</v>
      </c>
      <c r="AR196" s="102"/>
      <c r="AS196" s="117" t="str">
        <f>IF(AT196&gt;0,INDEX(AJ199:AM199,MATCH(LARGE(AJ198:AM198,1),AJ198:AM198,0)),"無")</f>
        <v>無</v>
      </c>
      <c r="AT196" s="117">
        <f>LARGE((AJ198:AM198),1)</f>
        <v>0</v>
      </c>
      <c r="AU196" s="102"/>
    </row>
    <row r="197" spans="1:47">
      <c r="A197" s="2" t="str">
        <f>'Reference Score Calculation'!B188</f>
        <v>JS4513</v>
      </c>
      <c r="B197" s="346" t="str">
        <f>'Reference Score Calculation'!B188</f>
        <v>JS4513</v>
      </c>
      <c r="C197" s="2" t="str">
        <f>'Reference Score Calculation'!E188</f>
        <v>護理學</v>
      </c>
      <c r="D197" s="16">
        <f>'Reference Score Calculation'!U188</f>
        <v>217</v>
      </c>
      <c r="E197" s="16">
        <v>3</v>
      </c>
      <c r="F197" s="16">
        <v>3</v>
      </c>
      <c r="G197" s="16">
        <v>2</v>
      </c>
      <c r="H197" s="16">
        <v>2</v>
      </c>
      <c r="I197" s="16">
        <v>3</v>
      </c>
      <c r="J197" s="16">
        <v>3</v>
      </c>
      <c r="L197" s="90">
        <v>3</v>
      </c>
      <c r="M197" s="90">
        <v>3</v>
      </c>
      <c r="N197" s="90">
        <v>2</v>
      </c>
      <c r="O197" s="90">
        <v>1</v>
      </c>
      <c r="P197" s="90">
        <v>3</v>
      </c>
      <c r="Q197" s="90">
        <v>3</v>
      </c>
      <c r="S197" s="16">
        <f t="shared" si="60"/>
        <v>0</v>
      </c>
      <c r="T197" s="16">
        <f t="shared" si="61"/>
        <v>0</v>
      </c>
      <c r="U197" s="16">
        <f t="shared" si="62"/>
        <v>0</v>
      </c>
      <c r="V197" s="16">
        <f t="shared" si="63"/>
        <v>0</v>
      </c>
      <c r="W197" s="16">
        <f t="shared" si="64"/>
        <v>0</v>
      </c>
      <c r="X197" s="16">
        <f>IF(LARGE($Q$3:$U$3,2)&lt;3,0,IF(Q197&gt;$AQ$188,2,1))</f>
        <v>0</v>
      </c>
      <c r="Y197" s="16"/>
      <c r="Z197" s="16">
        <f t="shared" si="59"/>
        <v>0</v>
      </c>
      <c r="AA197" s="2"/>
      <c r="AB197" s="16" t="s">
        <v>391</v>
      </c>
      <c r="AC197" s="16" t="s">
        <v>392</v>
      </c>
      <c r="AD197" s="16" t="s">
        <v>393</v>
      </c>
      <c r="AE197" s="16" t="s">
        <v>391</v>
      </c>
      <c r="AF197" s="2" t="s">
        <v>394</v>
      </c>
      <c r="AG197" s="2" t="s">
        <v>394</v>
      </c>
      <c r="AH197" s="2" t="s">
        <v>324</v>
      </c>
      <c r="AI197" s="116"/>
      <c r="AJ197" s="158" t="s">
        <v>2426</v>
      </c>
      <c r="AK197" s="116"/>
      <c r="AL197" s="116"/>
      <c r="AM197" s="116"/>
      <c r="AN197" s="116"/>
      <c r="AO197" s="116"/>
      <c r="AP197" s="102"/>
      <c r="AQ197" s="102"/>
      <c r="AR197" s="102"/>
      <c r="AS197" s="102"/>
      <c r="AT197" s="102"/>
      <c r="AU197" s="102"/>
    </row>
    <row r="198" spans="1:47">
      <c r="A198" s="2" t="str">
        <f>'Reference Score Calculation'!B189</f>
        <v>JS4525</v>
      </c>
      <c r="B198" s="346" t="str">
        <f>'Reference Score Calculation'!B189</f>
        <v>JS4525</v>
      </c>
      <c r="C198" s="2" t="str">
        <f>'Reference Score Calculation'!E189</f>
        <v>藥劑學</v>
      </c>
      <c r="D198" s="16">
        <f>'Reference Score Calculation'!U189</f>
        <v>59</v>
      </c>
      <c r="E198" s="16">
        <v>3</v>
      </c>
      <c r="F198" s="16">
        <v>3</v>
      </c>
      <c r="G198" s="16">
        <v>3</v>
      </c>
      <c r="H198" s="16">
        <v>3</v>
      </c>
      <c r="I198" s="16">
        <v>3</v>
      </c>
      <c r="J198" s="16">
        <v>3</v>
      </c>
      <c r="L198" s="90">
        <v>3</v>
      </c>
      <c r="M198" s="90">
        <v>3</v>
      </c>
      <c r="N198" s="90">
        <v>3</v>
      </c>
      <c r="O198" s="90">
        <v>1</v>
      </c>
      <c r="P198" s="90">
        <v>3</v>
      </c>
      <c r="Q198" s="90">
        <v>3</v>
      </c>
      <c r="S198" s="16">
        <f t="shared" si="60"/>
        <v>0</v>
      </c>
      <c r="T198" s="16">
        <f t="shared" si="61"/>
        <v>0</v>
      </c>
      <c r="U198" s="16">
        <f t="shared" si="62"/>
        <v>0</v>
      </c>
      <c r="V198" s="16">
        <f t="shared" si="63"/>
        <v>0</v>
      </c>
      <c r="W198" s="16">
        <f>IF(LARGE($P$3:$U$3,1)&lt;3,0,IF(P198&gt;$AQ$214,2,1))</f>
        <v>0</v>
      </c>
      <c r="X198" s="16">
        <f t="shared" si="67"/>
        <v>0</v>
      </c>
      <c r="Y198" s="16"/>
      <c r="Z198" s="16">
        <f t="shared" si="59"/>
        <v>0</v>
      </c>
      <c r="AA198" s="2"/>
      <c r="AB198" s="16" t="s">
        <v>391</v>
      </c>
      <c r="AC198" s="16" t="s">
        <v>392</v>
      </c>
      <c r="AD198" s="16" t="s">
        <v>393</v>
      </c>
      <c r="AE198" s="16" t="s">
        <v>393</v>
      </c>
      <c r="AF198" s="2" t="s">
        <v>3073</v>
      </c>
      <c r="AG198" s="2" t="s">
        <v>3074</v>
      </c>
      <c r="AH198" s="2" t="s">
        <v>324</v>
      </c>
      <c r="AI198" s="116" t="s">
        <v>446</v>
      </c>
      <c r="AJ198" s="119">
        <f>IF(Q2="物理",Q3,0)</f>
        <v>0</v>
      </c>
      <c r="AK198" s="119">
        <f>IF(R2="物理",R3,0)</f>
        <v>0</v>
      </c>
      <c r="AL198" s="119">
        <f>IF(S2="物理",S3,0)</f>
        <v>0</v>
      </c>
      <c r="AM198" s="119">
        <f>IF(T2="物理",T3,0)</f>
        <v>0</v>
      </c>
      <c r="AN198" s="116"/>
      <c r="AO198" s="116"/>
      <c r="AP198" s="102"/>
      <c r="AQ198" s="102"/>
      <c r="AR198" s="102"/>
      <c r="AS198" s="102"/>
      <c r="AT198" s="102"/>
      <c r="AU198" s="102"/>
    </row>
    <row r="199" spans="1:47">
      <c r="A199" s="2" t="str">
        <f>'Reference Score Calculation'!B190</f>
        <v>JS4537</v>
      </c>
      <c r="B199" s="346" t="str">
        <f>'Reference Score Calculation'!B190</f>
        <v>JS4537</v>
      </c>
      <c r="C199" s="2" t="str">
        <f>'Reference Score Calculation'!E190</f>
        <v>公共衞生</v>
      </c>
      <c r="D199" s="16">
        <f>'Reference Score Calculation'!U190</f>
        <v>31</v>
      </c>
      <c r="E199" s="16">
        <v>3</v>
      </c>
      <c r="F199" s="16">
        <v>3</v>
      </c>
      <c r="G199" s="16">
        <v>2</v>
      </c>
      <c r="H199" s="16">
        <v>2</v>
      </c>
      <c r="I199" s="16">
        <v>3</v>
      </c>
      <c r="J199" s="16">
        <v>3</v>
      </c>
      <c r="L199" s="90">
        <v>3</v>
      </c>
      <c r="M199" s="90">
        <v>3</v>
      </c>
      <c r="N199" s="90">
        <v>2</v>
      </c>
      <c r="O199" s="90">
        <v>1</v>
      </c>
      <c r="P199" s="90">
        <v>3</v>
      </c>
      <c r="Q199" s="90">
        <v>3</v>
      </c>
      <c r="S199" s="16">
        <f t="shared" si="60"/>
        <v>0</v>
      </c>
      <c r="T199" s="16">
        <f t="shared" si="61"/>
        <v>0</v>
      </c>
      <c r="U199" s="16">
        <f t="shared" si="62"/>
        <v>0</v>
      </c>
      <c r="V199" s="16">
        <f t="shared" si="63"/>
        <v>0</v>
      </c>
      <c r="W199" s="16">
        <f t="shared" si="64"/>
        <v>0</v>
      </c>
      <c r="X199" s="16">
        <f t="shared" si="67"/>
        <v>0</v>
      </c>
      <c r="Y199" s="16"/>
      <c r="Z199" s="16">
        <f t="shared" si="59"/>
        <v>0</v>
      </c>
      <c r="AA199" s="2"/>
      <c r="AB199" s="16" t="s">
        <v>391</v>
      </c>
      <c r="AC199" s="16" t="s">
        <v>392</v>
      </c>
      <c r="AD199" s="16" t="s">
        <v>393</v>
      </c>
      <c r="AE199" s="16" t="s">
        <v>391</v>
      </c>
      <c r="AF199" s="2" t="s">
        <v>394</v>
      </c>
      <c r="AG199" s="2" t="s">
        <v>394</v>
      </c>
      <c r="AH199" s="2" t="s">
        <v>324</v>
      </c>
      <c r="AI199" s="185"/>
      <c r="AJ199" s="185"/>
      <c r="AK199" s="185"/>
      <c r="AL199" s="185"/>
      <c r="AM199" s="185"/>
      <c r="AN199" s="185"/>
      <c r="AO199" s="185"/>
      <c r="AP199" s="185"/>
      <c r="AQ199" s="185"/>
      <c r="AR199" s="185"/>
      <c r="AS199" s="185"/>
      <c r="AT199" s="185"/>
      <c r="AU199" s="102"/>
    </row>
    <row r="200" spans="1:47">
      <c r="A200" s="2" t="str">
        <f>'Reference Score Calculation'!B191</f>
        <v>JS4542</v>
      </c>
      <c r="B200" s="346" t="str">
        <f>'Reference Score Calculation'!B191</f>
        <v>JS4542</v>
      </c>
      <c r="C200" s="2" t="str">
        <f>'Reference Score Calculation'!E191</f>
        <v>中醫學</v>
      </c>
      <c r="D200" s="16">
        <f>'Reference Score Calculation'!U191</f>
        <v>20</v>
      </c>
      <c r="E200" s="16">
        <v>3</v>
      </c>
      <c r="F200" s="16">
        <v>3</v>
      </c>
      <c r="G200" s="16">
        <v>2</v>
      </c>
      <c r="H200" s="16">
        <v>2</v>
      </c>
      <c r="I200" s="16">
        <v>3</v>
      </c>
      <c r="J200" s="16">
        <v>3</v>
      </c>
      <c r="L200" s="90">
        <v>3</v>
      </c>
      <c r="M200" s="90">
        <v>3</v>
      </c>
      <c r="N200" s="90">
        <v>2</v>
      </c>
      <c r="O200" s="90">
        <v>1</v>
      </c>
      <c r="P200" s="90">
        <v>3</v>
      </c>
      <c r="Q200" s="90">
        <v>3</v>
      </c>
      <c r="S200" s="16">
        <f t="shared" si="60"/>
        <v>0</v>
      </c>
      <c r="T200" s="16">
        <f t="shared" si="61"/>
        <v>0</v>
      </c>
      <c r="U200" s="16">
        <f t="shared" si="62"/>
        <v>0</v>
      </c>
      <c r="V200" s="16">
        <f t="shared" si="63"/>
        <v>0</v>
      </c>
      <c r="W200" s="16">
        <f t="shared" si="64"/>
        <v>0</v>
      </c>
      <c r="X200" s="16">
        <f>IF(LARGE($Q$3:$U$3,2)&lt;3,0,IF(Q200&gt;$AQ$188,2,1))</f>
        <v>0</v>
      </c>
      <c r="Y200" s="16"/>
      <c r="Z200" s="16">
        <f t="shared" si="59"/>
        <v>0</v>
      </c>
      <c r="AA200" s="2"/>
      <c r="AB200" s="16" t="s">
        <v>391</v>
      </c>
      <c r="AC200" s="16" t="s">
        <v>392</v>
      </c>
      <c r="AD200" s="16" t="s">
        <v>393</v>
      </c>
      <c r="AE200" s="16" t="s">
        <v>391</v>
      </c>
      <c r="AF200" s="2" t="s">
        <v>394</v>
      </c>
      <c r="AG200" s="2" t="s">
        <v>394</v>
      </c>
      <c r="AH200" s="2" t="s">
        <v>324</v>
      </c>
      <c r="AI200" s="185"/>
      <c r="AJ200" s="185" t="str">
        <f t="shared" ref="AJ200:AS201" si="68">L2</f>
        <v>中國語文</v>
      </c>
      <c r="AK200" s="185" t="str">
        <f t="shared" si="68"/>
        <v>英國語文</v>
      </c>
      <c r="AL200" s="185" t="str">
        <f t="shared" si="68"/>
        <v>數學</v>
      </c>
      <c r="AM200" s="185" t="str">
        <f t="shared" si="68"/>
        <v>公社科</v>
      </c>
      <c r="AN200" s="185" t="str">
        <f t="shared" si="68"/>
        <v>數學延伸</v>
      </c>
      <c r="AO200" s="185" t="str">
        <f t="shared" si="68"/>
        <v>請選擇第一選修科</v>
      </c>
      <c r="AP200" s="185" t="str">
        <f t="shared" si="68"/>
        <v>請選擇第二選修科</v>
      </c>
      <c r="AQ200" s="185" t="str">
        <f t="shared" si="68"/>
        <v>請選擇第三選修科</v>
      </c>
      <c r="AR200" s="185" t="str">
        <f t="shared" si="68"/>
        <v>請選擇第四選修科</v>
      </c>
      <c r="AS200" s="185" t="str">
        <f t="shared" si="68"/>
        <v>請選擇語言科目</v>
      </c>
      <c r="AT200" s="188"/>
      <c r="AU200" s="102"/>
    </row>
    <row r="201" spans="1:47">
      <c r="A201" s="2" t="str">
        <f>'Reference Score Calculation'!B192</f>
        <v>JS4550</v>
      </c>
      <c r="B201" s="346" t="str">
        <f>'Reference Score Calculation'!B192</f>
        <v>JS4550</v>
      </c>
      <c r="C201" s="2" t="str">
        <f>'Reference Score Calculation'!E192</f>
        <v>生物醫學</v>
      </c>
      <c r="D201" s="16">
        <f>'Reference Score Calculation'!U192</f>
        <v>19</v>
      </c>
      <c r="E201" s="16">
        <v>3</v>
      </c>
      <c r="F201" s="16">
        <v>3</v>
      </c>
      <c r="G201" s="16">
        <v>3</v>
      </c>
      <c r="H201" s="16">
        <v>2</v>
      </c>
      <c r="I201" s="16">
        <v>3</v>
      </c>
      <c r="J201" s="16">
        <v>3</v>
      </c>
      <c r="L201" s="90">
        <v>3</v>
      </c>
      <c r="M201" s="90">
        <v>3</v>
      </c>
      <c r="N201" s="90">
        <v>3</v>
      </c>
      <c r="O201" s="90">
        <v>1</v>
      </c>
      <c r="P201" s="90">
        <v>3</v>
      </c>
      <c r="Q201" s="90">
        <v>3</v>
      </c>
      <c r="S201" s="16">
        <f t="shared" si="60"/>
        <v>0</v>
      </c>
      <c r="T201" s="16">
        <f t="shared" si="61"/>
        <v>0</v>
      </c>
      <c r="U201" s="16">
        <f t="shared" si="62"/>
        <v>0</v>
      </c>
      <c r="V201" s="16">
        <f t="shared" si="63"/>
        <v>0</v>
      </c>
      <c r="W201" s="72">
        <f>IF(P201&gt;$AQ$184,0,1)</f>
        <v>0</v>
      </c>
      <c r="X201" s="16">
        <f>IF(Q201&gt;LARGE($P$3:$T$3,2),0,1)</f>
        <v>0</v>
      </c>
      <c r="Y201" s="16"/>
      <c r="Z201" s="16">
        <f t="shared" si="59"/>
        <v>0</v>
      </c>
      <c r="AA201" s="2"/>
      <c r="AB201" s="16" t="s">
        <v>391</v>
      </c>
      <c r="AC201" s="16" t="s">
        <v>393</v>
      </c>
      <c r="AD201" s="16" t="s">
        <v>393</v>
      </c>
      <c r="AE201" s="16" t="s">
        <v>391</v>
      </c>
      <c r="AF201" s="21" t="s">
        <v>417</v>
      </c>
      <c r="AG201" s="2" t="s">
        <v>394</v>
      </c>
      <c r="AH201" s="2" t="s">
        <v>324</v>
      </c>
      <c r="AI201" s="185" t="s">
        <v>450</v>
      </c>
      <c r="AJ201" s="139">
        <f t="shared" si="68"/>
        <v>1E-10</v>
      </c>
      <c r="AK201" s="139">
        <f t="shared" si="68"/>
        <v>2.0000000000000001E-10</v>
      </c>
      <c r="AL201" s="139">
        <f t="shared" si="68"/>
        <v>3E-10</v>
      </c>
      <c r="AM201" s="139">
        <f t="shared" si="68"/>
        <v>0</v>
      </c>
      <c r="AN201" s="139">
        <f t="shared" si="68"/>
        <v>5.0000000000000003E-10</v>
      </c>
      <c r="AO201" s="139">
        <f t="shared" si="68"/>
        <v>6E-10</v>
      </c>
      <c r="AP201" s="139">
        <f t="shared" si="68"/>
        <v>6.9999999999999996E-10</v>
      </c>
      <c r="AQ201" s="139">
        <f t="shared" si="68"/>
        <v>8.0000000000000003E-10</v>
      </c>
      <c r="AR201" s="139">
        <f t="shared" si="68"/>
        <v>8.9999999999999999E-10</v>
      </c>
      <c r="AS201" s="139">
        <f t="shared" si="68"/>
        <v>0</v>
      </c>
      <c r="AT201" s="188"/>
      <c r="AU201" s="102"/>
    </row>
    <row r="202" spans="1:47">
      <c r="A202" s="2" t="str">
        <f>'Reference Score Calculation'!B193</f>
        <v>JS4601</v>
      </c>
      <c r="B202" s="346" t="str">
        <f>'Reference Score Calculation'!B193</f>
        <v>JS4601</v>
      </c>
      <c r="C202" s="2" t="str">
        <f>'Reference Score Calculation'!E193</f>
        <v>理學</v>
      </c>
      <c r="D202" s="16">
        <f>'Reference Score Calculation'!U193</f>
        <v>352</v>
      </c>
      <c r="E202" s="16">
        <v>3</v>
      </c>
      <c r="F202" s="16">
        <v>3</v>
      </c>
      <c r="G202" s="16">
        <v>2</v>
      </c>
      <c r="H202" s="16">
        <v>2</v>
      </c>
      <c r="I202" s="16">
        <v>3</v>
      </c>
      <c r="J202" s="16">
        <v>3</v>
      </c>
      <c r="L202" s="90">
        <v>3</v>
      </c>
      <c r="M202" s="90">
        <v>3</v>
      </c>
      <c r="N202" s="90">
        <v>2</v>
      </c>
      <c r="O202" s="90">
        <v>1</v>
      </c>
      <c r="P202" s="90">
        <v>3</v>
      </c>
      <c r="Q202" s="90">
        <v>3</v>
      </c>
      <c r="S202" s="16">
        <f t="shared" si="60"/>
        <v>0</v>
      </c>
      <c r="T202" s="16">
        <f t="shared" si="61"/>
        <v>0</v>
      </c>
      <c r="U202" s="16">
        <f t="shared" si="62"/>
        <v>0</v>
      </c>
      <c r="V202" s="16">
        <f t="shared" si="63"/>
        <v>0</v>
      </c>
      <c r="W202" s="72">
        <f>IF(P202&gt;$AQ$167,0,1)</f>
        <v>0</v>
      </c>
      <c r="X202" s="467">
        <f>IF(LARGE($P$3:$U$3,2)&lt;3,0,IF(Q202&gt;$AT$166,2,1))</f>
        <v>0</v>
      </c>
      <c r="Y202" s="16"/>
      <c r="Z202" s="16">
        <f t="shared" si="59"/>
        <v>0</v>
      </c>
      <c r="AA202" s="2"/>
      <c r="AB202" s="16" t="s">
        <v>391</v>
      </c>
      <c r="AC202" s="16" t="s">
        <v>393</v>
      </c>
      <c r="AD202" s="16" t="s">
        <v>393</v>
      </c>
      <c r="AE202" s="16" t="s">
        <v>391</v>
      </c>
      <c r="AF202" s="21" t="s">
        <v>3061</v>
      </c>
      <c r="AG202" s="2" t="s">
        <v>324</v>
      </c>
      <c r="AH202" s="2" t="s">
        <v>324</v>
      </c>
      <c r="AI202" s="477" t="s">
        <v>451</v>
      </c>
      <c r="AJ202" s="185" t="b">
        <f t="shared" ref="AJ202:AS202" si="69">IF(AJ201&gt;7,TRUE)</f>
        <v>0</v>
      </c>
      <c r="AK202" s="185" t="b">
        <f t="shared" si="69"/>
        <v>0</v>
      </c>
      <c r="AL202" s="185" t="b">
        <f t="shared" si="69"/>
        <v>0</v>
      </c>
      <c r="AM202" s="185" t="b">
        <f t="shared" si="69"/>
        <v>0</v>
      </c>
      <c r="AN202" s="185" t="b">
        <f t="shared" si="69"/>
        <v>0</v>
      </c>
      <c r="AO202" s="185" t="b">
        <f t="shared" si="69"/>
        <v>0</v>
      </c>
      <c r="AP202" s="185" t="b">
        <f t="shared" si="69"/>
        <v>0</v>
      </c>
      <c r="AQ202" s="185" t="b">
        <f t="shared" si="69"/>
        <v>0</v>
      </c>
      <c r="AR202" s="185" t="b">
        <f t="shared" si="69"/>
        <v>0</v>
      </c>
      <c r="AS202" s="185" t="b">
        <f t="shared" si="69"/>
        <v>0</v>
      </c>
      <c r="AT202" s="188"/>
      <c r="AU202" s="102"/>
    </row>
    <row r="203" spans="1:47">
      <c r="A203" s="2" t="str">
        <f>'Reference Score Calculation'!B194</f>
        <v>JS4648</v>
      </c>
      <c r="B203" s="346" t="str">
        <f>'Reference Score Calculation'!B194</f>
        <v>JS4648</v>
      </c>
      <c r="C203" s="2" t="str">
        <f>'Reference Score Calculation'!E194</f>
        <v>地球與環境科學</v>
      </c>
      <c r="D203" s="16">
        <f>'Reference Score Calculation'!U194</f>
        <v>35</v>
      </c>
      <c r="E203" s="16">
        <v>3</v>
      </c>
      <c r="F203" s="16">
        <v>3</v>
      </c>
      <c r="G203" s="16">
        <v>3</v>
      </c>
      <c r="H203" s="16">
        <v>2</v>
      </c>
      <c r="I203" s="16">
        <v>4</v>
      </c>
      <c r="J203" s="16">
        <v>3</v>
      </c>
      <c r="L203" s="90">
        <v>3</v>
      </c>
      <c r="M203" s="90">
        <v>3</v>
      </c>
      <c r="N203" s="90">
        <v>3</v>
      </c>
      <c r="O203" s="90">
        <v>1</v>
      </c>
      <c r="P203" s="90">
        <v>4</v>
      </c>
      <c r="Q203" s="90">
        <v>3</v>
      </c>
      <c r="S203" s="16">
        <f t="shared" si="60"/>
        <v>0</v>
      </c>
      <c r="T203" s="16">
        <f t="shared" si="61"/>
        <v>0</v>
      </c>
      <c r="U203" s="16">
        <f t="shared" si="62"/>
        <v>0</v>
      </c>
      <c r="V203" s="16">
        <f t="shared" si="63"/>
        <v>0</v>
      </c>
      <c r="W203" s="72">
        <f>IF(P203&gt;$AQ$192,0,1)</f>
        <v>0</v>
      </c>
      <c r="X203" s="16">
        <f>IF(Q203&gt;LARGE($P$3:$T$3,2),0,1)</f>
        <v>0</v>
      </c>
      <c r="Y203" s="16"/>
      <c r="Z203" s="16">
        <f t="shared" si="59"/>
        <v>0</v>
      </c>
      <c r="AA203" s="2"/>
      <c r="AB203" s="16" t="s">
        <v>391</v>
      </c>
      <c r="AC203" s="16" t="s">
        <v>393</v>
      </c>
      <c r="AD203" s="16" t="s">
        <v>393</v>
      </c>
      <c r="AE203" s="16" t="s">
        <v>393</v>
      </c>
      <c r="AF203" s="21" t="s">
        <v>3062</v>
      </c>
      <c r="AG203" s="2" t="s">
        <v>394</v>
      </c>
      <c r="AH203" s="2" t="s">
        <v>324</v>
      </c>
      <c r="AI203" s="185"/>
      <c r="AJ203" s="185"/>
      <c r="AK203" s="185"/>
      <c r="AL203" s="185"/>
      <c r="AM203" s="185"/>
      <c r="AN203" s="185"/>
      <c r="AO203" s="185"/>
      <c r="AP203" s="188"/>
      <c r="AQ203" s="188"/>
      <c r="AR203" s="188"/>
      <c r="AS203" s="188"/>
      <c r="AT203" s="188"/>
      <c r="AU203" s="102"/>
    </row>
    <row r="204" spans="1:47">
      <c r="A204" s="2" t="str">
        <f>'Reference Score Calculation'!B195</f>
        <v>JS4682</v>
      </c>
      <c r="B204" s="346" t="str">
        <f>'Reference Score Calculation'!B195</f>
        <v>JS4682</v>
      </c>
      <c r="C204" s="2" t="str">
        <f>'Reference Score Calculation'!E195</f>
        <v>數學精研</v>
      </c>
      <c r="D204" s="16">
        <f>'Reference Score Calculation'!U195</f>
        <v>35</v>
      </c>
      <c r="E204" s="16">
        <v>3</v>
      </c>
      <c r="F204" s="16">
        <v>3</v>
      </c>
      <c r="G204" s="16">
        <v>4</v>
      </c>
      <c r="H204" s="16">
        <v>2</v>
      </c>
      <c r="I204" s="16">
        <v>3</v>
      </c>
      <c r="J204" s="16">
        <v>4</v>
      </c>
      <c r="L204" s="90">
        <v>3</v>
      </c>
      <c r="M204" s="90">
        <v>3</v>
      </c>
      <c r="N204" s="90">
        <v>4</v>
      </c>
      <c r="O204" s="90">
        <v>1</v>
      </c>
      <c r="P204" s="90">
        <v>3</v>
      </c>
      <c r="Q204" s="90">
        <v>4</v>
      </c>
      <c r="S204" s="16">
        <f t="shared" si="60"/>
        <v>0</v>
      </c>
      <c r="T204" s="16">
        <f t="shared" si="61"/>
        <v>0</v>
      </c>
      <c r="U204" s="16">
        <f t="shared" si="62"/>
        <v>0</v>
      </c>
      <c r="V204" s="16">
        <f t="shared" si="63"/>
        <v>0</v>
      </c>
      <c r="W204" s="72">
        <f>IF(P204&gt;$AQ$196,0,1)</f>
        <v>0</v>
      </c>
      <c r="X204" s="16">
        <f>IF(Q204&gt;P3,0,1)</f>
        <v>0</v>
      </c>
      <c r="Y204" s="16"/>
      <c r="Z204" s="16">
        <f t="shared" ref="Z204:Z215" si="70">S204*T204*U204*V204*W204*X204</f>
        <v>0</v>
      </c>
      <c r="AA204" s="2"/>
      <c r="AB204" s="16" t="s">
        <v>391</v>
      </c>
      <c r="AC204" s="16" t="s">
        <v>392</v>
      </c>
      <c r="AD204" s="16" t="s">
        <v>393</v>
      </c>
      <c r="AE204" s="16" t="s">
        <v>393</v>
      </c>
      <c r="AF204" s="21" t="s">
        <v>3063</v>
      </c>
      <c r="AG204" s="2" t="s">
        <v>2419</v>
      </c>
      <c r="AH204" s="2" t="s">
        <v>324</v>
      </c>
      <c r="AI204" s="185"/>
      <c r="AJ204" s="185" t="s">
        <v>3072</v>
      </c>
      <c r="AK204" s="139" t="b">
        <f>IF(計分版!J210&gt;40,TRUE,FALSE)</f>
        <v>0</v>
      </c>
      <c r="AL204" s="185"/>
      <c r="AM204" s="185" t="s">
        <v>452</v>
      </c>
      <c r="AN204" s="139">
        <f>IF(COUNTIF(AJ202:AS202,TRUE)&lt;4,0,1)</f>
        <v>0</v>
      </c>
      <c r="AO204" s="185"/>
      <c r="AP204" s="188" t="s">
        <v>453</v>
      </c>
      <c r="AQ204" s="90">
        <f>AK204*AN204</f>
        <v>0</v>
      </c>
      <c r="AR204" s="188"/>
      <c r="AS204" s="188"/>
      <c r="AT204" s="188"/>
      <c r="AU204" s="102"/>
    </row>
    <row r="205" spans="1:47">
      <c r="A205" s="2" t="str">
        <f>'Reference Score Calculation'!B196</f>
        <v>JS4690</v>
      </c>
      <c r="B205" s="346" t="str">
        <f>'Reference Score Calculation'!B196</f>
        <v>JS4690</v>
      </c>
      <c r="C205" s="2" t="str">
        <f>'Reference Score Calculation'!E196</f>
        <v>理論物理精研</v>
      </c>
      <c r="D205" s="16">
        <f>'Reference Score Calculation'!U196</f>
        <v>20</v>
      </c>
      <c r="E205" s="16">
        <v>3</v>
      </c>
      <c r="F205" s="16">
        <v>3</v>
      </c>
      <c r="G205" s="16">
        <v>4</v>
      </c>
      <c r="H205" s="16">
        <v>2</v>
      </c>
      <c r="I205" s="16">
        <v>4</v>
      </c>
      <c r="J205" s="16">
        <v>3</v>
      </c>
      <c r="L205" s="90">
        <v>3</v>
      </c>
      <c r="M205" s="90">
        <v>3</v>
      </c>
      <c r="N205" s="90">
        <v>4</v>
      </c>
      <c r="O205" s="90">
        <v>1</v>
      </c>
      <c r="P205" s="90">
        <v>4</v>
      </c>
      <c r="Q205" s="90">
        <v>3</v>
      </c>
      <c r="S205" s="16">
        <f t="shared" si="60"/>
        <v>0</v>
      </c>
      <c r="T205" s="16">
        <f t="shared" si="61"/>
        <v>0</v>
      </c>
      <c r="U205" s="16">
        <f t="shared" si="62"/>
        <v>0</v>
      </c>
      <c r="V205" s="16">
        <f t="shared" si="63"/>
        <v>0</v>
      </c>
      <c r="W205" s="16">
        <f>IF(P205&gt;$AT$196,0,1)</f>
        <v>0</v>
      </c>
      <c r="X205" s="16">
        <f>IF(Q205&gt;AQ196,0,1)</f>
        <v>0</v>
      </c>
      <c r="Y205" s="16"/>
      <c r="Z205" s="16">
        <f t="shared" si="70"/>
        <v>0</v>
      </c>
      <c r="AA205" s="2"/>
      <c r="AB205" s="16" t="s">
        <v>391</v>
      </c>
      <c r="AC205" s="16" t="s">
        <v>392</v>
      </c>
      <c r="AD205" s="16" t="s">
        <v>393</v>
      </c>
      <c r="AE205" s="16" t="s">
        <v>393</v>
      </c>
      <c r="AF205" s="2" t="s">
        <v>454</v>
      </c>
      <c r="AG205" s="21" t="s">
        <v>455</v>
      </c>
      <c r="AH205" s="2" t="s">
        <v>324</v>
      </c>
      <c r="AI205" s="185"/>
      <c r="AJ205" s="185"/>
      <c r="AK205" s="185"/>
      <c r="AL205" s="185"/>
      <c r="AM205" s="185"/>
      <c r="AN205" s="185"/>
      <c r="AO205" s="185"/>
      <c r="AP205" s="185"/>
      <c r="AQ205" s="185"/>
      <c r="AR205" s="188"/>
      <c r="AS205" s="188"/>
      <c r="AT205" s="188"/>
      <c r="AU205" s="102"/>
    </row>
    <row r="206" spans="1:47">
      <c r="A206" s="2" t="str">
        <f>'Reference Score Calculation'!B197</f>
        <v>JS4719</v>
      </c>
      <c r="B206" s="346" t="str">
        <f>'Reference Score Calculation'!B197</f>
        <v>JS4719</v>
      </c>
      <c r="C206" s="2" t="str">
        <f>'Reference Score Calculation'!E197</f>
        <v>風險管理科學</v>
      </c>
      <c r="D206" s="16">
        <f>'Reference Score Calculation'!U197</f>
        <v>25</v>
      </c>
      <c r="E206" s="16">
        <v>3</v>
      </c>
      <c r="F206" s="16">
        <v>3</v>
      </c>
      <c r="G206" s="16">
        <v>3</v>
      </c>
      <c r="H206" s="16">
        <v>2</v>
      </c>
      <c r="I206" s="16">
        <v>3</v>
      </c>
      <c r="J206" s="16">
        <v>3</v>
      </c>
      <c r="L206" s="90">
        <v>3</v>
      </c>
      <c r="M206" s="90">
        <v>3</v>
      </c>
      <c r="N206" s="90">
        <v>3</v>
      </c>
      <c r="O206" s="90">
        <v>1</v>
      </c>
      <c r="P206" s="90">
        <v>3</v>
      </c>
      <c r="Q206" s="90">
        <v>3</v>
      </c>
      <c r="S206" s="16">
        <f t="shared" si="60"/>
        <v>0</v>
      </c>
      <c r="T206" s="16">
        <f t="shared" si="61"/>
        <v>0</v>
      </c>
      <c r="U206" s="16">
        <f t="shared" si="62"/>
        <v>0</v>
      </c>
      <c r="V206" s="16">
        <f t="shared" si="63"/>
        <v>0</v>
      </c>
      <c r="W206" s="16">
        <f>IF(P206&gt;LARGE($Q$3:$T$3,1),0,1)</f>
        <v>0</v>
      </c>
      <c r="X206" s="16">
        <f>IF(Q206&gt;P3,0,1)</f>
        <v>0</v>
      </c>
      <c r="Y206" s="16"/>
      <c r="Z206" s="16">
        <f t="shared" si="70"/>
        <v>0</v>
      </c>
      <c r="AA206" s="2"/>
      <c r="AB206" s="16" t="s">
        <v>391</v>
      </c>
      <c r="AC206" s="16" t="s">
        <v>392</v>
      </c>
      <c r="AD206" s="16" t="s">
        <v>393</v>
      </c>
      <c r="AE206" s="16" t="s">
        <v>391</v>
      </c>
      <c r="AF206" s="2" t="s">
        <v>441</v>
      </c>
      <c r="AG206" s="2" t="s">
        <v>394</v>
      </c>
      <c r="AH206" s="2" t="s">
        <v>324</v>
      </c>
      <c r="AI206" s="116"/>
      <c r="AJ206" s="116"/>
      <c r="AK206" s="116"/>
      <c r="AL206" s="116"/>
      <c r="AM206" s="116"/>
      <c r="AN206" s="116"/>
      <c r="AO206" s="116"/>
      <c r="AP206" s="116"/>
      <c r="AQ206" s="116"/>
      <c r="AR206" s="116"/>
      <c r="AS206" s="116"/>
      <c r="AT206" s="102"/>
      <c r="AU206" s="102"/>
    </row>
    <row r="207" spans="1:47">
      <c r="A207" s="2" t="str">
        <f>'Reference Score Calculation'!B198</f>
        <v>JS4725</v>
      </c>
      <c r="B207" s="346" t="str">
        <f>'Reference Score Calculation'!B198</f>
        <v>JS4725</v>
      </c>
      <c r="C207" s="2" t="str">
        <f>'Reference Score Calculation'!E198</f>
        <v>生物科技、創業與醫療管理</v>
      </c>
      <c r="D207" s="16">
        <f>'Reference Score Calculation'!U198</f>
        <v>15</v>
      </c>
      <c r="E207" s="16">
        <v>3</v>
      </c>
      <c r="F207" s="16">
        <v>4</v>
      </c>
      <c r="G207" s="16">
        <v>3</v>
      </c>
      <c r="H207" s="16">
        <v>2</v>
      </c>
      <c r="I207" s="16">
        <v>3</v>
      </c>
      <c r="J207" s="16">
        <v>3</v>
      </c>
      <c r="L207" s="90">
        <v>3</v>
      </c>
      <c r="M207" s="90">
        <v>4</v>
      </c>
      <c r="N207" s="90">
        <v>3</v>
      </c>
      <c r="O207" s="90">
        <v>1</v>
      </c>
      <c r="P207" s="90">
        <v>3</v>
      </c>
      <c r="Q207" s="90">
        <v>3</v>
      </c>
      <c r="S207" s="16">
        <f t="shared" si="60"/>
        <v>0</v>
      </c>
      <c r="T207" s="16">
        <f t="shared" si="61"/>
        <v>0</v>
      </c>
      <c r="U207" s="16">
        <f t="shared" si="62"/>
        <v>0</v>
      </c>
      <c r="V207" s="16">
        <f t="shared" si="63"/>
        <v>0</v>
      </c>
      <c r="W207" s="467">
        <f>IF(P207&gt;$AQ$184,0,1)</f>
        <v>0</v>
      </c>
      <c r="X207" s="16">
        <f>IF(Q207&gt;LARGE($P$3:$U$3,2),0,1)</f>
        <v>0</v>
      </c>
      <c r="Y207" s="16"/>
      <c r="Z207" s="16">
        <f t="shared" si="70"/>
        <v>0</v>
      </c>
      <c r="AA207" s="2"/>
      <c r="AB207" s="16" t="s">
        <v>391</v>
      </c>
      <c r="AC207" s="16" t="s">
        <v>392</v>
      </c>
      <c r="AD207" s="16" t="s">
        <v>393</v>
      </c>
      <c r="AE207" s="16" t="s">
        <v>391</v>
      </c>
      <c r="AF207" s="21" t="s">
        <v>417</v>
      </c>
      <c r="AG207" s="2" t="s">
        <v>394</v>
      </c>
      <c r="AH207" s="2" t="s">
        <v>324</v>
      </c>
      <c r="AI207" s="116"/>
      <c r="AJ207" s="116"/>
      <c r="AK207" s="116"/>
      <c r="AL207" s="116"/>
      <c r="AM207" s="116"/>
      <c r="AN207" s="116"/>
      <c r="AO207" s="116"/>
      <c r="AP207" s="116"/>
      <c r="AQ207" s="116"/>
      <c r="AR207" s="116"/>
      <c r="AS207" s="116"/>
      <c r="AT207" s="102"/>
      <c r="AU207" s="102"/>
    </row>
    <row r="208" spans="1:47">
      <c r="A208" s="2" t="str">
        <f>'Reference Score Calculation'!B199</f>
        <v>JS4733</v>
      </c>
      <c r="B208" s="346" t="str">
        <f>'Reference Score Calculation'!B199</f>
        <v>JS4733</v>
      </c>
      <c r="C208" s="2" t="str">
        <f>'Reference Score Calculation'!E199</f>
        <v>數學與信息工程學</v>
      </c>
      <c r="D208" s="16">
        <f>'Reference Score Calculation'!U199</f>
        <v>13</v>
      </c>
      <c r="E208" s="16">
        <v>3</v>
      </c>
      <c r="F208" s="16">
        <v>4</v>
      </c>
      <c r="G208" s="16">
        <v>5</v>
      </c>
      <c r="H208" s="16">
        <v>3</v>
      </c>
      <c r="I208" s="16">
        <v>5</v>
      </c>
      <c r="J208" s="16">
        <v>4</v>
      </c>
      <c r="L208" s="90">
        <v>3</v>
      </c>
      <c r="M208" s="90">
        <v>4</v>
      </c>
      <c r="N208" s="90">
        <v>5</v>
      </c>
      <c r="O208" s="90">
        <v>1</v>
      </c>
      <c r="P208" s="90">
        <v>5</v>
      </c>
      <c r="Q208" s="90">
        <v>4</v>
      </c>
      <c r="S208" s="16">
        <f t="shared" si="60"/>
        <v>0</v>
      </c>
      <c r="T208" s="16">
        <f t="shared" si="61"/>
        <v>0</v>
      </c>
      <c r="U208" s="16">
        <f t="shared" si="62"/>
        <v>0</v>
      </c>
      <c r="V208" s="16">
        <f t="shared" si="63"/>
        <v>0</v>
      </c>
      <c r="W208" s="16">
        <f>IF(P208&gt;P3,0,1)</f>
        <v>0</v>
      </c>
      <c r="X208" s="16">
        <f>IF(LARGE($P$3:$U$3,2)&lt;3,0,IF(Q208&gt;$AT$176,2,1))</f>
        <v>0</v>
      </c>
      <c r="Y208" s="16"/>
      <c r="Z208" s="16">
        <f t="shared" si="70"/>
        <v>0</v>
      </c>
      <c r="AA208" s="2"/>
      <c r="AB208" s="16" t="s">
        <v>391</v>
      </c>
      <c r="AC208" s="16" t="s">
        <v>392</v>
      </c>
      <c r="AD208" s="16" t="s">
        <v>393</v>
      </c>
      <c r="AE208" s="16" t="s">
        <v>393</v>
      </c>
      <c r="AF208" s="2" t="s">
        <v>456</v>
      </c>
      <c r="AG208" s="2" t="s">
        <v>394</v>
      </c>
      <c r="AH208" s="2" t="s">
        <v>324</v>
      </c>
      <c r="AI208" s="116"/>
      <c r="AJ208" s="116"/>
      <c r="AK208" s="116"/>
      <c r="AL208" s="116"/>
      <c r="AM208" s="116"/>
      <c r="AN208" s="116"/>
      <c r="AO208" s="116"/>
      <c r="AP208" s="102"/>
      <c r="AQ208" s="102"/>
      <c r="AR208" s="102"/>
      <c r="AS208" s="102"/>
      <c r="AT208" s="102"/>
      <c r="AU208" s="102"/>
    </row>
    <row r="209" spans="1:47">
      <c r="A209" s="2" t="str">
        <f>'Reference Score Calculation'!B200</f>
        <v>JS4750</v>
      </c>
      <c r="B209" s="346" t="str">
        <f>'Reference Score Calculation'!B200</f>
        <v>JS4750</v>
      </c>
      <c r="C209" s="2" t="str">
        <f>'Reference Score Calculation'!E200</f>
        <v>航天科學與地球信息學及Ｘ雙主修課程</v>
      </c>
      <c r="D209" s="16">
        <f>'Reference Score Calculation'!U200</f>
        <v>20</v>
      </c>
      <c r="L209" s="90">
        <v>3</v>
      </c>
      <c r="M209" s="90">
        <v>3</v>
      </c>
      <c r="N209" s="90">
        <v>2</v>
      </c>
      <c r="O209" s="90">
        <v>1</v>
      </c>
      <c r="P209" s="90">
        <v>3</v>
      </c>
      <c r="Q209" s="90">
        <v>3</v>
      </c>
      <c r="S209" s="16">
        <f t="shared" ref="S209:S224" si="71">IF(L209&gt;L$3,0,1)</f>
        <v>0</v>
      </c>
      <c r="T209" s="16">
        <f t="shared" ref="T209:T224" si="72">IF(M209&gt;M$3,0,1)</f>
        <v>0</v>
      </c>
      <c r="U209" s="16">
        <f t="shared" ref="U209:U224" si="73">IF(N209&gt;N$3,0,1)</f>
        <v>0</v>
      </c>
      <c r="V209" s="16">
        <f t="shared" ref="V209:V224" si="74">IF(O209&gt;O$3,0,1)</f>
        <v>0</v>
      </c>
      <c r="W209" s="16">
        <f t="shared" ref="W209:W221" si="75">IF(P209&gt;LARGE($P$3:$U$3,1),0,1)</f>
        <v>0</v>
      </c>
      <c r="X209" s="16">
        <f>IF(LARGE($P$3:$U$3,2)&lt;3,0,IF(Q209&gt;$AQ$218,2,1))</f>
        <v>0</v>
      </c>
      <c r="Y209" s="16"/>
      <c r="Z209" s="16">
        <f t="shared" si="70"/>
        <v>0</v>
      </c>
      <c r="AA209" s="2"/>
      <c r="AB209" s="16" t="s">
        <v>419</v>
      </c>
      <c r="AC209" s="16" t="s">
        <v>420</v>
      </c>
      <c r="AD209" s="16" t="s">
        <v>421</v>
      </c>
      <c r="AE209" s="16" t="s">
        <v>421</v>
      </c>
      <c r="AF209" s="21" t="s">
        <v>2400</v>
      </c>
      <c r="AG209" s="2" t="s">
        <v>2395</v>
      </c>
      <c r="AH209" s="2" t="s">
        <v>324</v>
      </c>
      <c r="AI209" s="116"/>
      <c r="AJ209" s="116" t="str">
        <f>Q2</f>
        <v>請選擇第一選修科</v>
      </c>
      <c r="AK209" s="116" t="str">
        <f>R2</f>
        <v>請選擇第二選修科</v>
      </c>
      <c r="AL209" s="116" t="str">
        <f>S2</f>
        <v>請選擇第三選修科</v>
      </c>
      <c r="AM209" s="116" t="str">
        <f>T2</f>
        <v>請選擇第四選修科</v>
      </c>
      <c r="AN209" s="116" t="s">
        <v>294</v>
      </c>
      <c r="AO209" s="116"/>
      <c r="AP209" s="116" t="s">
        <v>427</v>
      </c>
      <c r="AQ209" s="102"/>
      <c r="AR209" s="102"/>
      <c r="AS209" s="102"/>
      <c r="AT209" s="102"/>
      <c r="AU209" s="102"/>
    </row>
    <row r="210" spans="1:47">
      <c r="A210" s="2" t="str">
        <f>'Reference Score Calculation'!B201</f>
        <v>JS4760</v>
      </c>
      <c r="B210" s="346" t="str">
        <f>'Reference Score Calculation'!B201</f>
        <v>JS4760</v>
      </c>
      <c r="C210" s="2" t="str">
        <f>'Reference Score Calculation'!E201</f>
        <v>跨學科數據分析及Ｘ雙主修課程</v>
      </c>
      <c r="D210" s="16">
        <f>'Reference Score Calculation'!U201</f>
        <v>20</v>
      </c>
      <c r="E210" s="16">
        <v>3</v>
      </c>
      <c r="F210" s="16">
        <v>3</v>
      </c>
      <c r="G210" s="16">
        <v>2</v>
      </c>
      <c r="H210" s="16">
        <v>2</v>
      </c>
      <c r="I210" s="16">
        <v>3</v>
      </c>
      <c r="J210" s="16">
        <v>3</v>
      </c>
      <c r="L210" s="90">
        <v>3</v>
      </c>
      <c r="M210" s="90">
        <v>3</v>
      </c>
      <c r="N210" s="90">
        <v>3</v>
      </c>
      <c r="O210" s="90">
        <v>1</v>
      </c>
      <c r="P210" s="90">
        <v>3</v>
      </c>
      <c r="Q210" s="90">
        <v>3</v>
      </c>
      <c r="S210" s="16">
        <f t="shared" si="71"/>
        <v>0</v>
      </c>
      <c r="T210" s="16">
        <f t="shared" si="72"/>
        <v>0</v>
      </c>
      <c r="U210" s="16">
        <f t="shared" si="73"/>
        <v>0</v>
      </c>
      <c r="V210" s="16">
        <f t="shared" si="74"/>
        <v>0</v>
      </c>
      <c r="W210" s="16">
        <f t="shared" si="75"/>
        <v>0</v>
      </c>
      <c r="X210" s="16">
        <f>IF(LARGE($P$3:$U$3,2)&lt;3,0,IF(Q210&gt;$AQ$222,2,1))</f>
        <v>0</v>
      </c>
      <c r="Y210" s="16"/>
      <c r="Z210" s="16">
        <f t="shared" si="70"/>
        <v>0</v>
      </c>
      <c r="AA210" s="2"/>
      <c r="AB210" s="16" t="s">
        <v>419</v>
      </c>
      <c r="AC210" s="16" t="s">
        <v>420</v>
      </c>
      <c r="AD210" s="16" t="s">
        <v>421</v>
      </c>
      <c r="AE210" s="16" t="s">
        <v>421</v>
      </c>
      <c r="AF210" s="21" t="s">
        <v>3066</v>
      </c>
      <c r="AG210" s="2" t="s">
        <v>3067</v>
      </c>
      <c r="AH210" s="2" t="s">
        <v>324</v>
      </c>
      <c r="AI210" s="116" t="s">
        <v>1279</v>
      </c>
      <c r="AJ210" s="117">
        <f>IF(OR(Q2="物理",Q2="化學",Q2="生物",Q2="經濟",Q2="資訊及通訊科技",Q2="企業、會計與財務概論"),Q3,0)</f>
        <v>0</v>
      </c>
      <c r="AK210" s="117">
        <f>IF(OR(R2="物理",R2="化學",R2="生物",R2="經濟",R2="資訊及通訊科技",R2="企業、會計與財務概論"),R3,0)</f>
        <v>0</v>
      </c>
      <c r="AL210" s="117">
        <f>IF(OR(S2="物理",S2="化學",S2="生物",S2="經濟",S2="資訊及通訊科技",S2="企業、會計與財務概論"),S3,0)</f>
        <v>0</v>
      </c>
      <c r="AM210" s="117">
        <f>IF(OR(T2="物理",T2="化學",T2="生物",T2="經濟",T2="資訊及通訊科技",T2="企業、會計與財務概論"),T3,0)</f>
        <v>0</v>
      </c>
      <c r="AN210" s="117">
        <f>P3</f>
        <v>5.0000000000000003E-10</v>
      </c>
      <c r="AO210" s="116"/>
      <c r="AP210" s="16" t="str">
        <f>IF(AQ210&gt;0,INDEX(AJ209:AN209,MATCH(LARGE(AJ210:AN210,1),AJ210:AN210,0)),"無")</f>
        <v>數學延伸</v>
      </c>
      <c r="AQ210" s="16">
        <f>LARGE((AJ210:AN210),1)</f>
        <v>5.0000000000000003E-10</v>
      </c>
      <c r="AR210" s="102"/>
      <c r="AS210" s="102"/>
      <c r="AT210" s="102"/>
      <c r="AU210" s="102"/>
    </row>
    <row r="211" spans="1:47">
      <c r="A211" s="2" t="str">
        <f>'Reference Score Calculation'!B202</f>
        <v>JS4801</v>
      </c>
      <c r="B211" s="346" t="str">
        <f>'Reference Score Calculation'!B202</f>
        <v>JS4801</v>
      </c>
      <c r="C211" s="2" t="str">
        <f>'Reference Score Calculation'!E202</f>
        <v>社會科學</v>
      </c>
      <c r="D211" s="16">
        <f>'Reference Score Calculation'!U202</f>
        <v>63</v>
      </c>
      <c r="E211" s="16">
        <v>3</v>
      </c>
      <c r="F211" s="16">
        <v>3</v>
      </c>
      <c r="G211" s="16">
        <v>2</v>
      </c>
      <c r="H211" s="16">
        <v>2</v>
      </c>
      <c r="I211" s="16">
        <v>3</v>
      </c>
      <c r="J211" s="16">
        <v>3</v>
      </c>
      <c r="L211" s="90">
        <v>3</v>
      </c>
      <c r="M211" s="90">
        <v>3</v>
      </c>
      <c r="N211" s="90">
        <v>2</v>
      </c>
      <c r="O211" s="90">
        <v>1</v>
      </c>
      <c r="P211" s="90">
        <v>3</v>
      </c>
      <c r="Q211" s="90">
        <v>3</v>
      </c>
      <c r="S211" s="16">
        <f t="shared" si="71"/>
        <v>0</v>
      </c>
      <c r="T211" s="16">
        <f t="shared" si="72"/>
        <v>0</v>
      </c>
      <c r="U211" s="16">
        <f t="shared" si="73"/>
        <v>0</v>
      </c>
      <c r="V211" s="16">
        <f t="shared" si="74"/>
        <v>0</v>
      </c>
      <c r="W211" s="16">
        <f t="shared" si="75"/>
        <v>0</v>
      </c>
      <c r="X211" s="16">
        <f t="shared" ref="X211:X224" si="76">IF(Q211&gt;LARGE($P$3:$U$3,2),0,1)</f>
        <v>0</v>
      </c>
      <c r="Y211" s="16"/>
      <c r="Z211" s="16">
        <f t="shared" si="70"/>
        <v>0</v>
      </c>
      <c r="AA211" s="2"/>
      <c r="AB211" s="16" t="s">
        <v>391</v>
      </c>
      <c r="AC211" s="16" t="s">
        <v>392</v>
      </c>
      <c r="AD211" s="16" t="s">
        <v>393</v>
      </c>
      <c r="AE211" s="16" t="s">
        <v>391</v>
      </c>
      <c r="AF211" s="2" t="s">
        <v>394</v>
      </c>
      <c r="AG211" s="2" t="s">
        <v>394</v>
      </c>
      <c r="AH211" s="2" t="s">
        <v>324</v>
      </c>
      <c r="AI211" s="116"/>
      <c r="AJ211" s="158" t="s">
        <v>2423</v>
      </c>
      <c r="AK211" s="116"/>
      <c r="AL211" s="116"/>
      <c r="AM211" s="116"/>
      <c r="AN211" s="116"/>
      <c r="AO211" s="116"/>
      <c r="AP211" s="102"/>
      <c r="AQ211" s="102"/>
      <c r="AR211" s="102"/>
      <c r="AS211" s="102"/>
      <c r="AT211" s="102"/>
      <c r="AU211" s="102"/>
    </row>
    <row r="212" spans="1:47">
      <c r="A212" s="2" t="str">
        <f>'Reference Score Calculation'!B203</f>
        <v>JS4812</v>
      </c>
      <c r="B212" s="346" t="str">
        <f>'Reference Score Calculation'!B203</f>
        <v>JS4812</v>
      </c>
      <c r="C212" s="2" t="str">
        <f>'Reference Score Calculation'!E203</f>
        <v>建築學</v>
      </c>
      <c r="D212" s="16">
        <f>'Reference Score Calculation'!U203</f>
        <v>31</v>
      </c>
      <c r="E212" s="16">
        <v>3</v>
      </c>
      <c r="F212" s="16">
        <v>3</v>
      </c>
      <c r="G212" s="16">
        <v>3</v>
      </c>
      <c r="H212" s="16">
        <v>3</v>
      </c>
      <c r="I212" s="16">
        <v>3</v>
      </c>
      <c r="J212" s="16">
        <v>3</v>
      </c>
      <c r="L212" s="90">
        <v>3</v>
      </c>
      <c r="M212" s="90">
        <v>3</v>
      </c>
      <c r="N212" s="90">
        <v>3</v>
      </c>
      <c r="O212" s="90">
        <v>1</v>
      </c>
      <c r="P212" s="90">
        <v>3</v>
      </c>
      <c r="Q212" s="90">
        <v>3</v>
      </c>
      <c r="S212" s="16">
        <f t="shared" si="71"/>
        <v>0</v>
      </c>
      <c r="T212" s="16">
        <f t="shared" si="72"/>
        <v>0</v>
      </c>
      <c r="U212" s="16">
        <f t="shared" si="73"/>
        <v>0</v>
      </c>
      <c r="V212" s="16">
        <f t="shared" si="74"/>
        <v>0</v>
      </c>
      <c r="W212" s="16">
        <f t="shared" si="75"/>
        <v>0</v>
      </c>
      <c r="X212" s="16">
        <f t="shared" si="76"/>
        <v>0</v>
      </c>
      <c r="Y212" s="16"/>
      <c r="Z212" s="16">
        <f t="shared" si="70"/>
        <v>0</v>
      </c>
      <c r="AA212" s="2"/>
      <c r="AB212" s="16" t="s">
        <v>391</v>
      </c>
      <c r="AC212" s="16" t="s">
        <v>392</v>
      </c>
      <c r="AD212" s="16" t="s">
        <v>393</v>
      </c>
      <c r="AE212" s="16" t="s">
        <v>391</v>
      </c>
      <c r="AF212" s="2" t="s">
        <v>394</v>
      </c>
      <c r="AG212" s="2" t="s">
        <v>394</v>
      </c>
      <c r="AH212" s="2" t="s">
        <v>324</v>
      </c>
      <c r="AI212" s="116"/>
      <c r="AJ212" s="116"/>
      <c r="AK212" s="116"/>
      <c r="AL212" s="116"/>
      <c r="AM212" s="116"/>
      <c r="AN212" s="116"/>
      <c r="AO212" s="116"/>
      <c r="AP212" s="102"/>
      <c r="AQ212" s="102"/>
      <c r="AR212" s="102"/>
      <c r="AS212" s="102"/>
      <c r="AT212" s="102"/>
      <c r="AU212" s="102"/>
    </row>
    <row r="213" spans="1:47">
      <c r="A213" s="2" t="str">
        <f>'Reference Score Calculation'!B204</f>
        <v>JS4824</v>
      </c>
      <c r="B213" s="346" t="str">
        <f>'Reference Score Calculation'!B204</f>
        <v>JS4824</v>
      </c>
      <c r="C213" s="2" t="str">
        <f>'Reference Score Calculation'!E204</f>
        <v>經濟學</v>
      </c>
      <c r="D213" s="16">
        <f>'Reference Score Calculation'!U204</f>
        <v>65</v>
      </c>
      <c r="E213" s="16">
        <v>3</v>
      </c>
      <c r="F213" s="16">
        <v>3</v>
      </c>
      <c r="G213" s="16">
        <v>3</v>
      </c>
      <c r="H213" s="16">
        <v>2</v>
      </c>
      <c r="I213" s="16">
        <v>3</v>
      </c>
      <c r="J213" s="16">
        <v>3</v>
      </c>
      <c r="L213" s="90">
        <v>3</v>
      </c>
      <c r="M213" s="90">
        <v>3</v>
      </c>
      <c r="N213" s="90">
        <v>3</v>
      </c>
      <c r="O213" s="90">
        <v>1</v>
      </c>
      <c r="P213" s="90">
        <v>3</v>
      </c>
      <c r="Q213" s="90">
        <v>3</v>
      </c>
      <c r="S213" s="16">
        <f t="shared" si="71"/>
        <v>0</v>
      </c>
      <c r="T213" s="16">
        <f t="shared" si="72"/>
        <v>0</v>
      </c>
      <c r="U213" s="16">
        <f t="shared" si="73"/>
        <v>0</v>
      </c>
      <c r="V213" s="16">
        <f t="shared" si="74"/>
        <v>0</v>
      </c>
      <c r="W213" s="16">
        <f t="shared" si="75"/>
        <v>0</v>
      </c>
      <c r="X213" s="16">
        <f t="shared" si="76"/>
        <v>0</v>
      </c>
      <c r="Y213" s="16"/>
      <c r="Z213" s="16">
        <f t="shared" si="70"/>
        <v>0</v>
      </c>
      <c r="AA213" s="2"/>
      <c r="AB213" s="16" t="s">
        <v>391</v>
      </c>
      <c r="AC213" s="16" t="s">
        <v>392</v>
      </c>
      <c r="AD213" s="16" t="s">
        <v>393</v>
      </c>
      <c r="AE213" s="16" t="s">
        <v>393</v>
      </c>
      <c r="AF213" s="2" t="s">
        <v>394</v>
      </c>
      <c r="AG213" s="2" t="s">
        <v>394</v>
      </c>
      <c r="AH213" s="2" t="s">
        <v>324</v>
      </c>
      <c r="AI213" s="116"/>
      <c r="AJ213" s="116" t="str">
        <f>Q2</f>
        <v>請選擇第一選修科</v>
      </c>
      <c r="AK213" s="116" t="str">
        <f>R2</f>
        <v>請選擇第二選修科</v>
      </c>
      <c r="AL213" s="116" t="str">
        <f>S2</f>
        <v>請選擇第三選修科</v>
      </c>
      <c r="AM213" s="116" t="str">
        <f>T2</f>
        <v>請選擇第四選修科</v>
      </c>
      <c r="AN213" s="116"/>
      <c r="AO213" s="116"/>
      <c r="AP213" s="116" t="s">
        <v>2425</v>
      </c>
      <c r="AQ213" s="102"/>
      <c r="AR213" s="102"/>
      <c r="AS213" s="102"/>
      <c r="AT213" s="102"/>
      <c r="AU213" s="102"/>
    </row>
    <row r="214" spans="1:47">
      <c r="A214" s="2" t="str">
        <f>'Reference Score Calculation'!B205</f>
        <v>JS4836</v>
      </c>
      <c r="B214" s="346" t="str">
        <f>'Reference Score Calculation'!B205</f>
        <v>JS4836</v>
      </c>
      <c r="C214" s="2" t="str">
        <f>'Reference Score Calculation'!E205</f>
        <v>地理與資源管理學</v>
      </c>
      <c r="D214" s="16">
        <f>'Reference Score Calculation'!U205</f>
        <v>39</v>
      </c>
      <c r="E214" s="16">
        <v>3</v>
      </c>
      <c r="F214" s="16">
        <v>3</v>
      </c>
      <c r="G214" s="16">
        <v>2</v>
      </c>
      <c r="H214" s="16">
        <v>2</v>
      </c>
      <c r="I214" s="16">
        <v>3</v>
      </c>
      <c r="J214" s="16">
        <v>3</v>
      </c>
      <c r="L214" s="90">
        <v>3</v>
      </c>
      <c r="M214" s="90">
        <v>3</v>
      </c>
      <c r="N214" s="90">
        <v>2</v>
      </c>
      <c r="O214" s="90">
        <v>1</v>
      </c>
      <c r="P214" s="90">
        <v>3</v>
      </c>
      <c r="Q214" s="90">
        <v>3</v>
      </c>
      <c r="S214" s="16">
        <f t="shared" si="71"/>
        <v>0</v>
      </c>
      <c r="T214" s="16">
        <f t="shared" si="72"/>
        <v>0</v>
      </c>
      <c r="U214" s="16">
        <f t="shared" si="73"/>
        <v>0</v>
      </c>
      <c r="V214" s="16">
        <f t="shared" si="74"/>
        <v>0</v>
      </c>
      <c r="W214" s="16">
        <f t="shared" si="75"/>
        <v>0</v>
      </c>
      <c r="X214" s="16">
        <f t="shared" si="76"/>
        <v>0</v>
      </c>
      <c r="Y214" s="16"/>
      <c r="Z214" s="16">
        <f t="shared" si="70"/>
        <v>0</v>
      </c>
      <c r="AA214" s="2"/>
      <c r="AB214" s="16" t="s">
        <v>391</v>
      </c>
      <c r="AC214" s="16" t="s">
        <v>392</v>
      </c>
      <c r="AD214" s="16" t="s">
        <v>393</v>
      </c>
      <c r="AE214" s="16" t="s">
        <v>393</v>
      </c>
      <c r="AF214" s="2" t="s">
        <v>394</v>
      </c>
      <c r="AG214" s="2" t="s">
        <v>394</v>
      </c>
      <c r="AH214" s="2" t="s">
        <v>324</v>
      </c>
      <c r="AI214" s="116" t="s">
        <v>1303</v>
      </c>
      <c r="AJ214" s="117">
        <f>IF(Q2="化學",Q3,0)</f>
        <v>0</v>
      </c>
      <c r="AK214" s="117">
        <f>IF(R2="化學",R3,0)</f>
        <v>0</v>
      </c>
      <c r="AL214" s="117">
        <f>IF(S2="化學",S3,0)</f>
        <v>0</v>
      </c>
      <c r="AM214" s="117">
        <f>IF(T2="化學",T3,0)</f>
        <v>0</v>
      </c>
      <c r="AN214" s="116"/>
      <c r="AO214" s="116"/>
      <c r="AP214" s="16" t="str">
        <f>IF(AQ214&gt;0,INDEX(AJ213:AM213,MATCH(LARGE(AJ214:AM214,1),AJ214:AM214,0)),"無")</f>
        <v>無</v>
      </c>
      <c r="AQ214" s="16">
        <f>LARGE((AJ214:AM214),1)</f>
        <v>0</v>
      </c>
      <c r="AR214" s="102"/>
      <c r="AS214" s="102"/>
      <c r="AT214" s="102"/>
      <c r="AU214" s="102"/>
    </row>
    <row r="215" spans="1:47">
      <c r="A215" s="2" t="str">
        <f>'Reference Score Calculation'!B206</f>
        <v>JS4838</v>
      </c>
      <c r="B215" s="346" t="str">
        <f>'Reference Score Calculation'!B206</f>
        <v>JS4838</v>
      </c>
      <c r="C215" s="2" t="str">
        <f>'Reference Score Calculation'!E206</f>
        <v>城市研究</v>
      </c>
      <c r="D215" s="16">
        <f>'Reference Score Calculation'!U206</f>
        <v>19</v>
      </c>
      <c r="E215" s="16">
        <v>3</v>
      </c>
      <c r="F215" s="16">
        <v>3</v>
      </c>
      <c r="G215" s="16">
        <v>2</v>
      </c>
      <c r="H215" s="16">
        <v>2</v>
      </c>
      <c r="I215" s="16">
        <v>3</v>
      </c>
      <c r="J215" s="16">
        <v>3</v>
      </c>
      <c r="L215" s="90">
        <v>3</v>
      </c>
      <c r="M215" s="90">
        <v>3</v>
      </c>
      <c r="N215" s="90">
        <v>2</v>
      </c>
      <c r="O215" s="90">
        <v>1</v>
      </c>
      <c r="P215" s="90">
        <v>3</v>
      </c>
      <c r="Q215" s="90">
        <v>3</v>
      </c>
      <c r="S215" s="16">
        <f t="shared" si="71"/>
        <v>0</v>
      </c>
      <c r="T215" s="16">
        <f t="shared" si="72"/>
        <v>0</v>
      </c>
      <c r="U215" s="16">
        <f t="shared" si="73"/>
        <v>0</v>
      </c>
      <c r="V215" s="16">
        <f t="shared" si="74"/>
        <v>0</v>
      </c>
      <c r="W215" s="16">
        <f t="shared" si="75"/>
        <v>0</v>
      </c>
      <c r="X215" s="16">
        <f t="shared" si="76"/>
        <v>0</v>
      </c>
      <c r="Y215" s="16"/>
      <c r="Z215" s="16">
        <f t="shared" si="70"/>
        <v>0</v>
      </c>
      <c r="AA215" s="2"/>
      <c r="AB215" s="16" t="s">
        <v>391</v>
      </c>
      <c r="AC215" s="16" t="s">
        <v>392</v>
      </c>
      <c r="AD215" s="16" t="s">
        <v>393</v>
      </c>
      <c r="AE215" s="16" t="s">
        <v>391</v>
      </c>
      <c r="AF215" s="2" t="s">
        <v>394</v>
      </c>
      <c r="AG215" s="2" t="s">
        <v>394</v>
      </c>
      <c r="AH215" s="2" t="s">
        <v>324</v>
      </c>
      <c r="AI215" s="116"/>
      <c r="AJ215" s="158" t="s">
        <v>296</v>
      </c>
      <c r="AK215" s="116"/>
      <c r="AL215" s="116"/>
      <c r="AM215" s="116"/>
      <c r="AN215" s="116"/>
      <c r="AO215" s="116"/>
      <c r="AP215" s="102"/>
      <c r="AQ215" s="102"/>
      <c r="AR215" s="102"/>
      <c r="AS215" s="102"/>
      <c r="AT215" s="102"/>
      <c r="AU215" s="102"/>
    </row>
    <row r="216" spans="1:47">
      <c r="A216" s="2" t="str">
        <f>'Reference Score Calculation'!B207</f>
        <v>JS4848</v>
      </c>
      <c r="B216" s="346" t="str">
        <f>'Reference Score Calculation'!B207</f>
        <v>JS4848</v>
      </c>
      <c r="C216" s="2" t="str">
        <f>'Reference Score Calculation'!E207</f>
        <v>政治與行政學</v>
      </c>
      <c r="D216" s="16">
        <f>'Reference Score Calculation'!U207</f>
        <v>37</v>
      </c>
      <c r="E216" s="16">
        <v>3</v>
      </c>
      <c r="F216" s="16">
        <v>3</v>
      </c>
      <c r="G216" s="16">
        <v>2</v>
      </c>
      <c r="H216" s="16">
        <v>3</v>
      </c>
      <c r="I216" s="16">
        <v>3</v>
      </c>
      <c r="J216" s="16">
        <v>3</v>
      </c>
      <c r="L216" s="90">
        <v>3</v>
      </c>
      <c r="M216" s="90">
        <v>3</v>
      </c>
      <c r="N216" s="90">
        <v>2</v>
      </c>
      <c r="O216" s="90">
        <v>1</v>
      </c>
      <c r="P216" s="90">
        <v>3</v>
      </c>
      <c r="Q216" s="90">
        <v>3</v>
      </c>
      <c r="S216" s="16">
        <f t="shared" si="71"/>
        <v>0</v>
      </c>
      <c r="T216" s="16">
        <f t="shared" si="72"/>
        <v>0</v>
      </c>
      <c r="U216" s="16">
        <f t="shared" si="73"/>
        <v>0</v>
      </c>
      <c r="V216" s="16">
        <f t="shared" si="74"/>
        <v>0</v>
      </c>
      <c r="W216" s="16">
        <f t="shared" si="75"/>
        <v>0</v>
      </c>
      <c r="X216" s="16">
        <f t="shared" si="76"/>
        <v>0</v>
      </c>
      <c r="Y216" s="16"/>
      <c r="Z216" s="16">
        <f t="shared" ref="Z216:Z224" si="77">S216*T216*U216*V216*W216*X216</f>
        <v>0</v>
      </c>
      <c r="AA216" s="2"/>
      <c r="AB216" s="16" t="s">
        <v>391</v>
      </c>
      <c r="AC216" s="16" t="s">
        <v>392</v>
      </c>
      <c r="AD216" s="16" t="s">
        <v>393</v>
      </c>
      <c r="AE216" s="16" t="s">
        <v>391</v>
      </c>
      <c r="AF216" s="2" t="s">
        <v>394</v>
      </c>
      <c r="AG216" s="2" t="s">
        <v>394</v>
      </c>
      <c r="AH216" s="2" t="s">
        <v>324</v>
      </c>
      <c r="AI216" s="116"/>
      <c r="AJ216" s="116"/>
      <c r="AK216" s="116"/>
      <c r="AL216" s="116"/>
      <c r="AM216" s="116"/>
      <c r="AN216" s="116"/>
      <c r="AO216" s="116"/>
      <c r="AP216" s="102"/>
      <c r="AQ216" s="102"/>
      <c r="AR216" s="102"/>
      <c r="AS216" s="102"/>
      <c r="AT216" s="102"/>
      <c r="AU216" s="102"/>
    </row>
    <row r="217" spans="1:47">
      <c r="A217" s="2" t="str">
        <f>'Reference Score Calculation'!B208</f>
        <v>JS4850</v>
      </c>
      <c r="B217" s="346" t="str">
        <f>'Reference Score Calculation'!B208</f>
        <v>JS4850</v>
      </c>
      <c r="C217" s="2" t="str">
        <f>'Reference Score Calculation'!E208</f>
        <v>新聞與傳播學</v>
      </c>
      <c r="D217" s="16">
        <f>'Reference Score Calculation'!U208</f>
        <v>43</v>
      </c>
      <c r="E217" s="16">
        <v>3</v>
      </c>
      <c r="F217" s="16">
        <v>3</v>
      </c>
      <c r="G217" s="16">
        <v>2</v>
      </c>
      <c r="H217" s="16">
        <v>2</v>
      </c>
      <c r="I217" s="16">
        <v>3</v>
      </c>
      <c r="J217" s="16">
        <v>3</v>
      </c>
      <c r="L217" s="90">
        <v>3</v>
      </c>
      <c r="M217" s="90">
        <v>3</v>
      </c>
      <c r="N217" s="90">
        <v>2</v>
      </c>
      <c r="O217" s="90">
        <v>1</v>
      </c>
      <c r="P217" s="90">
        <v>3</v>
      </c>
      <c r="Q217" s="90">
        <v>3</v>
      </c>
      <c r="S217" s="16">
        <f t="shared" si="71"/>
        <v>0</v>
      </c>
      <c r="T217" s="16">
        <f t="shared" si="72"/>
        <v>0</v>
      </c>
      <c r="U217" s="16">
        <f t="shared" si="73"/>
        <v>0</v>
      </c>
      <c r="V217" s="16">
        <f t="shared" si="74"/>
        <v>0</v>
      </c>
      <c r="W217" s="16">
        <f t="shared" si="75"/>
        <v>0</v>
      </c>
      <c r="X217" s="16">
        <f t="shared" si="76"/>
        <v>0</v>
      </c>
      <c r="Y217" s="16"/>
      <c r="Z217" s="16">
        <f t="shared" si="77"/>
        <v>0</v>
      </c>
      <c r="AA217" s="2"/>
      <c r="AB217" s="16" t="s">
        <v>391</v>
      </c>
      <c r="AC217" s="16" t="s">
        <v>392</v>
      </c>
      <c r="AD217" s="16" t="s">
        <v>393</v>
      </c>
      <c r="AE217" s="16" t="s">
        <v>393</v>
      </c>
      <c r="AF217" s="2" t="s">
        <v>394</v>
      </c>
      <c r="AG217" s="2" t="s">
        <v>394</v>
      </c>
      <c r="AH217" s="2"/>
      <c r="AI217" s="116"/>
      <c r="AJ217" s="116" t="str">
        <f>Q2</f>
        <v>請選擇第一選修科</v>
      </c>
      <c r="AK217" s="116" t="str">
        <f>R2</f>
        <v>請選擇第二選修科</v>
      </c>
      <c r="AL217" s="116" t="str">
        <f>S2</f>
        <v>請選擇第三選修科</v>
      </c>
      <c r="AM217" s="116" t="str">
        <f>T2</f>
        <v>請選擇第四選修科</v>
      </c>
      <c r="AN217" s="116" t="str">
        <f>P2</f>
        <v>數學延伸</v>
      </c>
      <c r="AO217" s="116"/>
      <c r="AP217" s="116" t="s">
        <v>427</v>
      </c>
      <c r="AQ217" s="102"/>
      <c r="AR217" s="102"/>
      <c r="AS217" s="102"/>
      <c r="AT217" s="102"/>
      <c r="AU217" s="102"/>
    </row>
    <row r="218" spans="1:47">
      <c r="A218" s="2" t="str">
        <f>'Reference Score Calculation'!B209</f>
        <v>JS4858</v>
      </c>
      <c r="B218" s="346" t="str">
        <f>'Reference Score Calculation'!B209</f>
        <v>JS4858</v>
      </c>
      <c r="C218" s="2" t="str">
        <f>'Reference Score Calculation'!E209</f>
        <v>全球傳播</v>
      </c>
      <c r="D218" s="16">
        <f>'Reference Score Calculation'!U209</f>
        <v>9</v>
      </c>
      <c r="E218" s="16">
        <v>3</v>
      </c>
      <c r="F218" s="16">
        <v>4</v>
      </c>
      <c r="G218" s="16">
        <v>2</v>
      </c>
      <c r="H218" s="16">
        <v>2</v>
      </c>
      <c r="I218" s="16">
        <v>3</v>
      </c>
      <c r="J218" s="16">
        <v>3</v>
      </c>
      <c r="L218" s="90">
        <v>3</v>
      </c>
      <c r="M218" s="90">
        <v>4</v>
      </c>
      <c r="N218" s="90">
        <v>2</v>
      </c>
      <c r="O218" s="90">
        <v>1</v>
      </c>
      <c r="P218" s="90">
        <v>3</v>
      </c>
      <c r="Q218" s="90">
        <v>3</v>
      </c>
      <c r="S218" s="16">
        <f t="shared" si="71"/>
        <v>0</v>
      </c>
      <c r="T218" s="16">
        <f t="shared" si="72"/>
        <v>0</v>
      </c>
      <c r="U218" s="16">
        <f t="shared" si="73"/>
        <v>0</v>
      </c>
      <c r="V218" s="16">
        <f t="shared" si="74"/>
        <v>0</v>
      </c>
      <c r="W218" s="16">
        <f t="shared" si="75"/>
        <v>0</v>
      </c>
      <c r="X218" s="16">
        <f t="shared" si="76"/>
        <v>0</v>
      </c>
      <c r="Y218" s="16"/>
      <c r="Z218" s="16">
        <f t="shared" si="77"/>
        <v>0</v>
      </c>
      <c r="AA218" s="2"/>
      <c r="AB218" s="16" t="s">
        <v>391</v>
      </c>
      <c r="AC218" s="16" t="s">
        <v>392</v>
      </c>
      <c r="AD218" s="16" t="s">
        <v>393</v>
      </c>
      <c r="AE218" s="16" t="s">
        <v>393</v>
      </c>
      <c r="AF218" s="2" t="s">
        <v>394</v>
      </c>
      <c r="AG218" s="2" t="s">
        <v>394</v>
      </c>
      <c r="AH218" s="2"/>
      <c r="AI218" s="116" t="s">
        <v>2115</v>
      </c>
      <c r="AJ218" s="117">
        <f>IF(OR(Q2="物理",Q2="地理"),Q3,0)</f>
        <v>0</v>
      </c>
      <c r="AK218" s="117">
        <f>IF(OR(R2="物理",R2="地理"),R3,0)</f>
        <v>0</v>
      </c>
      <c r="AL218" s="117">
        <f>IF(OR(S2="物理",S2="地理"),S3,0)</f>
        <v>0</v>
      </c>
      <c r="AM218" s="117">
        <f>IF(OR(T2="物理",T2="地理"),T3,0)</f>
        <v>0</v>
      </c>
      <c r="AN218" s="117">
        <f>P3</f>
        <v>5.0000000000000003E-10</v>
      </c>
      <c r="AO218" s="116"/>
      <c r="AP218" s="16" t="str">
        <f>IF(AQ218&gt;0,INDEX(AJ217:AN217,MATCH(LARGE(AJ218:AN218,1),AJ218:AN218,0)),"無")</f>
        <v>數學延伸</v>
      </c>
      <c r="AQ218" s="16">
        <f>LARGE((AJ218:AN218),1)</f>
        <v>5.0000000000000003E-10</v>
      </c>
      <c r="AR218" s="102"/>
      <c r="AS218" s="102"/>
      <c r="AT218" s="102"/>
      <c r="AU218" s="102"/>
    </row>
    <row r="219" spans="1:47">
      <c r="A219" s="2" t="str">
        <f>'Reference Score Calculation'!B210</f>
        <v>JS4862</v>
      </c>
      <c r="B219" s="346" t="str">
        <f>'Reference Score Calculation'!B210</f>
        <v>JS4862</v>
      </c>
      <c r="C219" s="2" t="str">
        <f>'Reference Score Calculation'!E210</f>
        <v>心理學</v>
      </c>
      <c r="D219" s="16">
        <f>'Reference Score Calculation'!U210</f>
        <v>56</v>
      </c>
      <c r="E219" s="16">
        <v>3</v>
      </c>
      <c r="F219" s="16">
        <v>3</v>
      </c>
      <c r="G219" s="16">
        <v>2</v>
      </c>
      <c r="H219" s="16">
        <v>2</v>
      </c>
      <c r="I219" s="16">
        <v>3</v>
      </c>
      <c r="J219" s="16">
        <v>3</v>
      </c>
      <c r="L219" s="90">
        <v>3</v>
      </c>
      <c r="M219" s="90">
        <v>3</v>
      </c>
      <c r="N219" s="90">
        <v>2</v>
      </c>
      <c r="O219" s="90">
        <v>1</v>
      </c>
      <c r="P219" s="90">
        <v>3</v>
      </c>
      <c r="Q219" s="90">
        <v>3</v>
      </c>
      <c r="S219" s="16">
        <f t="shared" si="71"/>
        <v>0</v>
      </c>
      <c r="T219" s="16">
        <f t="shared" si="72"/>
        <v>0</v>
      </c>
      <c r="U219" s="16">
        <f t="shared" si="73"/>
        <v>0</v>
      </c>
      <c r="V219" s="16">
        <f t="shared" si="74"/>
        <v>0</v>
      </c>
      <c r="W219" s="16">
        <f t="shared" si="75"/>
        <v>0</v>
      </c>
      <c r="X219" s="16">
        <f t="shared" si="76"/>
        <v>0</v>
      </c>
      <c r="Y219" s="16"/>
      <c r="Z219" s="16">
        <f t="shared" si="77"/>
        <v>0</v>
      </c>
      <c r="AA219" s="2"/>
      <c r="AB219" s="16" t="s">
        <v>391</v>
      </c>
      <c r="AC219" s="16" t="s">
        <v>392</v>
      </c>
      <c r="AD219" s="16" t="s">
        <v>393</v>
      </c>
      <c r="AE219" s="16" t="s">
        <v>391</v>
      </c>
      <c r="AF219" s="2" t="s">
        <v>394</v>
      </c>
      <c r="AG219" s="2" t="s">
        <v>394</v>
      </c>
      <c r="AH219" s="2"/>
      <c r="AI219" s="116"/>
      <c r="AJ219" s="158" t="s">
        <v>3068</v>
      </c>
      <c r="AK219" s="116"/>
      <c r="AL219" s="116"/>
      <c r="AM219" s="116"/>
      <c r="AN219" s="116"/>
      <c r="AO219" s="116"/>
      <c r="AP219" s="102"/>
      <c r="AQ219" s="102"/>
      <c r="AR219" s="102"/>
      <c r="AS219" s="102"/>
      <c r="AT219" s="102"/>
      <c r="AU219" s="102"/>
    </row>
    <row r="220" spans="1:47">
      <c r="A220" s="2" t="str">
        <f>'Reference Score Calculation'!B211</f>
        <v>JS4874</v>
      </c>
      <c r="B220" s="346" t="str">
        <f>'Reference Score Calculation'!B211</f>
        <v>JS4874</v>
      </c>
      <c r="C220" s="2" t="str">
        <f>'Reference Score Calculation'!E211</f>
        <v>社會工作</v>
      </c>
      <c r="D220" s="16">
        <f>'Reference Score Calculation'!U211</f>
        <v>45</v>
      </c>
      <c r="E220" s="16">
        <v>3</v>
      </c>
      <c r="F220" s="16">
        <v>3</v>
      </c>
      <c r="G220" s="16">
        <v>2</v>
      </c>
      <c r="H220" s="16">
        <v>3</v>
      </c>
      <c r="I220" s="16">
        <v>3</v>
      </c>
      <c r="J220" s="16">
        <v>3</v>
      </c>
      <c r="L220" s="90">
        <v>3</v>
      </c>
      <c r="M220" s="90">
        <v>3</v>
      </c>
      <c r="N220" s="90">
        <v>2</v>
      </c>
      <c r="O220" s="90">
        <v>1</v>
      </c>
      <c r="P220" s="90">
        <v>3</v>
      </c>
      <c r="Q220" s="90">
        <v>3</v>
      </c>
      <c r="S220" s="16">
        <f t="shared" si="71"/>
        <v>0</v>
      </c>
      <c r="T220" s="16">
        <f t="shared" si="72"/>
        <v>0</v>
      </c>
      <c r="U220" s="16">
        <f t="shared" si="73"/>
        <v>0</v>
      </c>
      <c r="V220" s="16">
        <f t="shared" si="74"/>
        <v>0</v>
      </c>
      <c r="W220" s="16">
        <f t="shared" si="75"/>
        <v>0</v>
      </c>
      <c r="X220" s="16">
        <f t="shared" si="76"/>
        <v>0</v>
      </c>
      <c r="Y220" s="16"/>
      <c r="Z220" s="16">
        <f t="shared" si="77"/>
        <v>0</v>
      </c>
      <c r="AA220" s="2"/>
      <c r="AB220" s="16" t="s">
        <v>391</v>
      </c>
      <c r="AC220" s="16" t="s">
        <v>392</v>
      </c>
      <c r="AD220" s="16" t="s">
        <v>393</v>
      </c>
      <c r="AE220" s="16" t="s">
        <v>391</v>
      </c>
      <c r="AF220" s="2" t="s">
        <v>394</v>
      </c>
      <c r="AG220" s="2" t="s">
        <v>394</v>
      </c>
      <c r="AH220" s="2"/>
      <c r="AI220" s="116"/>
      <c r="AJ220" s="116"/>
      <c r="AK220" s="116"/>
      <c r="AL220" s="116"/>
      <c r="AM220" s="116"/>
      <c r="AN220" s="116"/>
      <c r="AO220" s="116"/>
      <c r="AP220" s="102"/>
      <c r="AQ220" s="102"/>
      <c r="AR220" s="102"/>
      <c r="AS220" s="102"/>
      <c r="AT220" s="102"/>
      <c r="AU220" s="102"/>
    </row>
    <row r="221" spans="1:47">
      <c r="A221" s="2" t="str">
        <f>'Reference Score Calculation'!B212</f>
        <v>JS4886</v>
      </c>
      <c r="B221" s="346" t="str">
        <f>'Reference Score Calculation'!B212</f>
        <v>JS4886</v>
      </c>
      <c r="C221" s="2" t="str">
        <f>'Reference Score Calculation'!E212</f>
        <v>社會學</v>
      </c>
      <c r="D221" s="16">
        <f>'Reference Score Calculation'!U212</f>
        <v>38</v>
      </c>
      <c r="E221" s="16">
        <v>3</v>
      </c>
      <c r="F221" s="16">
        <v>3</v>
      </c>
      <c r="G221" s="16">
        <v>2</v>
      </c>
      <c r="H221" s="16">
        <v>2</v>
      </c>
      <c r="I221" s="16">
        <v>3</v>
      </c>
      <c r="J221" s="16">
        <v>3</v>
      </c>
      <c r="L221" s="90">
        <v>3</v>
      </c>
      <c r="M221" s="90">
        <v>3</v>
      </c>
      <c r="N221" s="90">
        <v>2</v>
      </c>
      <c r="O221" s="90">
        <v>1</v>
      </c>
      <c r="P221" s="90">
        <v>3</v>
      </c>
      <c r="Q221" s="90">
        <v>3</v>
      </c>
      <c r="S221" s="16">
        <f t="shared" si="71"/>
        <v>0</v>
      </c>
      <c r="T221" s="16">
        <f t="shared" si="72"/>
        <v>0</v>
      </c>
      <c r="U221" s="16">
        <f t="shared" si="73"/>
        <v>0</v>
      </c>
      <c r="V221" s="16">
        <f t="shared" si="74"/>
        <v>0</v>
      </c>
      <c r="W221" s="16">
        <f t="shared" si="75"/>
        <v>0</v>
      </c>
      <c r="X221" s="16">
        <f t="shared" si="76"/>
        <v>0</v>
      </c>
      <c r="Y221" s="16"/>
      <c r="Z221" s="16">
        <f t="shared" si="77"/>
        <v>0</v>
      </c>
      <c r="AA221" s="2"/>
      <c r="AB221" s="16" t="s">
        <v>391</v>
      </c>
      <c r="AC221" s="16" t="s">
        <v>392</v>
      </c>
      <c r="AD221" s="16" t="s">
        <v>393</v>
      </c>
      <c r="AE221" s="16" t="s">
        <v>391</v>
      </c>
      <c r="AF221" s="2" t="s">
        <v>394</v>
      </c>
      <c r="AG221" s="2" t="s">
        <v>394</v>
      </c>
      <c r="AH221" s="2"/>
      <c r="AI221" s="116"/>
      <c r="AJ221" s="116" t="str">
        <f>Q2</f>
        <v>請選擇第一選修科</v>
      </c>
      <c r="AK221" s="116" t="str">
        <f>R2</f>
        <v>請選擇第二選修科</v>
      </c>
      <c r="AL221" s="116" t="str">
        <f>S2</f>
        <v>請選擇第三選修科</v>
      </c>
      <c r="AM221" s="116" t="str">
        <f>T2</f>
        <v>請選擇第四選修科</v>
      </c>
      <c r="AN221" s="116" t="str">
        <f>P2</f>
        <v>數學延伸</v>
      </c>
      <c r="AO221" s="116"/>
      <c r="AP221" s="116" t="s">
        <v>427</v>
      </c>
      <c r="AQ221" s="102"/>
      <c r="AR221" s="102"/>
      <c r="AS221" s="102"/>
      <c r="AT221" s="102"/>
      <c r="AU221" s="102"/>
    </row>
    <row r="222" spans="1:47">
      <c r="A222" s="2" t="str">
        <f>'Reference Score Calculation'!B213</f>
        <v>JS4892</v>
      </c>
      <c r="B222" s="346" t="str">
        <f>'Reference Score Calculation'!B213</f>
        <v>JS4892</v>
      </c>
      <c r="C222" s="2" t="str">
        <f>'Reference Score Calculation'!E213</f>
        <v>全球研究</v>
      </c>
      <c r="D222" s="16">
        <f>'Reference Score Calculation'!U213</f>
        <v>19</v>
      </c>
      <c r="E222" s="16">
        <v>3</v>
      </c>
      <c r="F222" s="16">
        <v>3</v>
      </c>
      <c r="G222" s="16">
        <v>2</v>
      </c>
      <c r="H222" s="16">
        <v>2</v>
      </c>
      <c r="I222" s="16">
        <v>3</v>
      </c>
      <c r="J222" s="16">
        <v>3</v>
      </c>
      <c r="L222" s="90">
        <v>3</v>
      </c>
      <c r="M222" s="90">
        <v>3</v>
      </c>
      <c r="N222" s="90">
        <v>2</v>
      </c>
      <c r="O222" s="90">
        <v>1</v>
      </c>
      <c r="P222" s="90">
        <v>3</v>
      </c>
      <c r="Q222" s="90">
        <v>3</v>
      </c>
      <c r="S222" s="16">
        <f t="shared" si="71"/>
        <v>0</v>
      </c>
      <c r="T222" s="16">
        <f t="shared" si="72"/>
        <v>0</v>
      </c>
      <c r="U222" s="16">
        <f t="shared" si="73"/>
        <v>0</v>
      </c>
      <c r="V222" s="16">
        <f t="shared" si="74"/>
        <v>0</v>
      </c>
      <c r="W222" s="16">
        <f>IF(P222&gt;LARGE($P$3:$U$3,1),0,1)</f>
        <v>0</v>
      </c>
      <c r="X222" s="16">
        <f t="shared" si="76"/>
        <v>0</v>
      </c>
      <c r="Y222" s="16"/>
      <c r="Z222" s="16">
        <f t="shared" si="77"/>
        <v>0</v>
      </c>
      <c r="AA222" s="2"/>
      <c r="AB222" s="16" t="s">
        <v>391</v>
      </c>
      <c r="AC222" s="16" t="s">
        <v>392</v>
      </c>
      <c r="AD222" s="16" t="s">
        <v>393</v>
      </c>
      <c r="AE222" s="16" t="s">
        <v>393</v>
      </c>
      <c r="AF222" s="2" t="s">
        <v>394</v>
      </c>
      <c r="AG222" s="2" t="s">
        <v>394</v>
      </c>
      <c r="AH222" s="2"/>
      <c r="AI222" s="116" t="s">
        <v>2064</v>
      </c>
      <c r="AJ222" s="117">
        <f>IF(OR(Q2="經濟",Q2="資訊及通訊科技"),Q3,0)</f>
        <v>0</v>
      </c>
      <c r="AK222" s="117">
        <f>IF(OR(R2="經濟",R2="資訊及通訊科技"),R3,0)</f>
        <v>0</v>
      </c>
      <c r="AL222" s="117">
        <f>IF(OR(S2="經濟",S2="資訊及通訊科技"),S3,0)</f>
        <v>0</v>
      </c>
      <c r="AM222" s="117">
        <f>IF(OR(T2="經濟",T2="資訊及通訊科技"),T3,0)</f>
        <v>0</v>
      </c>
      <c r="AN222" s="117">
        <f>P3</f>
        <v>5.0000000000000003E-10</v>
      </c>
      <c r="AO222" s="116"/>
      <c r="AP222" s="16" t="str">
        <f>IF(AQ222&gt;0,INDEX(AJ221:AN221,MATCH(LARGE(AJ222:AN222,1),AJ222:AN222,0)),"無")</f>
        <v>數學延伸</v>
      </c>
      <c r="AQ222" s="16">
        <f>LARGE((AJ222:AN222),1)</f>
        <v>5.0000000000000003E-10</v>
      </c>
      <c r="AR222" s="102"/>
      <c r="AS222" s="102"/>
      <c r="AT222" s="102"/>
      <c r="AU222" s="102"/>
    </row>
    <row r="223" spans="1:47">
      <c r="A223" s="2" t="str">
        <f>'Reference Score Calculation'!B214</f>
        <v>JS4893</v>
      </c>
      <c r="B223" s="346" t="str">
        <f>'Reference Score Calculation'!B214</f>
        <v>JS4893</v>
      </c>
      <c r="C223" s="2" t="str">
        <f>'Reference Score Calculation'!E214</f>
        <v>數據科學與政策研究</v>
      </c>
      <c r="D223" s="16">
        <f>'Reference Score Calculation'!U214</f>
        <v>19</v>
      </c>
      <c r="E223" s="16">
        <v>3</v>
      </c>
      <c r="F223" s="16">
        <v>3</v>
      </c>
      <c r="G223" s="16">
        <v>3</v>
      </c>
      <c r="H223" s="16">
        <v>2</v>
      </c>
      <c r="I223" s="16">
        <v>3</v>
      </c>
      <c r="J223" s="16">
        <v>3</v>
      </c>
      <c r="L223" s="90">
        <v>3</v>
      </c>
      <c r="M223" s="90">
        <v>3</v>
      </c>
      <c r="N223" s="90">
        <v>3</v>
      </c>
      <c r="O223" s="90">
        <v>1</v>
      </c>
      <c r="P223" s="90">
        <v>3</v>
      </c>
      <c r="Q223" s="90">
        <v>3</v>
      </c>
      <c r="S223" s="16">
        <f t="shared" si="71"/>
        <v>0</v>
      </c>
      <c r="T223" s="16">
        <f t="shared" si="72"/>
        <v>0</v>
      </c>
      <c r="U223" s="16">
        <f t="shared" si="73"/>
        <v>0</v>
      </c>
      <c r="V223" s="16">
        <f t="shared" si="74"/>
        <v>0</v>
      </c>
      <c r="W223" s="16">
        <f>IF(P223&gt;LARGE($P$3:$U$3,1),0,1)</f>
        <v>0</v>
      </c>
      <c r="X223" s="16">
        <f t="shared" si="76"/>
        <v>0</v>
      </c>
      <c r="Y223" s="16"/>
      <c r="Z223" s="16">
        <f t="shared" si="77"/>
        <v>0</v>
      </c>
      <c r="AA223" s="2"/>
      <c r="AB223" s="16" t="s">
        <v>391</v>
      </c>
      <c r="AC223" s="16" t="s">
        <v>392</v>
      </c>
      <c r="AD223" s="16" t="s">
        <v>393</v>
      </c>
      <c r="AE223" s="16" t="s">
        <v>391</v>
      </c>
      <c r="AF223" s="2" t="s">
        <v>394</v>
      </c>
      <c r="AG223" s="2" t="s">
        <v>394</v>
      </c>
      <c r="AH223" s="2"/>
      <c r="AI223" s="116"/>
      <c r="AJ223" s="158" t="s">
        <v>3069</v>
      </c>
      <c r="AK223" s="116"/>
      <c r="AL223" s="116"/>
      <c r="AM223" s="116"/>
      <c r="AN223" s="116"/>
      <c r="AO223" s="116"/>
      <c r="AP223" s="102"/>
      <c r="AQ223" s="102"/>
      <c r="AR223" s="102"/>
      <c r="AS223" s="102"/>
      <c r="AT223" s="102"/>
      <c r="AU223" s="102"/>
    </row>
    <row r="224" spans="1:47">
      <c r="A224" s="2" t="str">
        <f>'Reference Score Calculation'!B215</f>
        <v>JS4903</v>
      </c>
      <c r="B224" s="346" t="str">
        <f>'Reference Score Calculation'!B215</f>
        <v>JS4903</v>
      </c>
      <c r="C224" s="2" t="str">
        <f>'Reference Score Calculation'!E215</f>
        <v>法學士</v>
      </c>
      <c r="D224" s="16">
        <f>'Reference Score Calculation'!U215</f>
        <v>73</v>
      </c>
      <c r="E224" s="16">
        <v>4</v>
      </c>
      <c r="F224" s="16">
        <v>5</v>
      </c>
      <c r="G224" s="16">
        <v>3</v>
      </c>
      <c r="H224" s="16">
        <v>3</v>
      </c>
      <c r="I224" s="16">
        <v>3</v>
      </c>
      <c r="J224" s="16">
        <v>3</v>
      </c>
      <c r="L224" s="90">
        <v>4</v>
      </c>
      <c r="M224" s="90">
        <v>5</v>
      </c>
      <c r="N224" s="90">
        <v>3</v>
      </c>
      <c r="O224" s="90">
        <v>1</v>
      </c>
      <c r="P224" s="90">
        <v>3</v>
      </c>
      <c r="Q224" s="90">
        <v>3</v>
      </c>
      <c r="S224" s="16">
        <f t="shared" si="71"/>
        <v>0</v>
      </c>
      <c r="T224" s="16">
        <f t="shared" si="72"/>
        <v>0</v>
      </c>
      <c r="U224" s="16">
        <f t="shared" si="73"/>
        <v>0</v>
      </c>
      <c r="V224" s="16">
        <f t="shared" si="74"/>
        <v>0</v>
      </c>
      <c r="W224" s="16">
        <f>IF(P224&gt;LARGE($P$3:$U$3,1),0,1)</f>
        <v>0</v>
      </c>
      <c r="X224" s="16">
        <f t="shared" si="76"/>
        <v>0</v>
      </c>
      <c r="Y224" s="16"/>
      <c r="Z224" s="16">
        <f t="shared" si="77"/>
        <v>0</v>
      </c>
      <c r="AA224" s="2"/>
      <c r="AB224" s="16" t="s">
        <v>391</v>
      </c>
      <c r="AC224" s="16" t="s">
        <v>392</v>
      </c>
      <c r="AD224" s="16" t="s">
        <v>393</v>
      </c>
      <c r="AE224" s="16" t="s">
        <v>393</v>
      </c>
      <c r="AF224" s="2" t="s">
        <v>394</v>
      </c>
      <c r="AG224" s="2" t="s">
        <v>394</v>
      </c>
      <c r="AH224" s="2"/>
      <c r="AI224" s="116"/>
      <c r="AJ224" s="116"/>
      <c r="AK224" s="116"/>
      <c r="AL224" s="116"/>
      <c r="AM224" s="116"/>
      <c r="AN224" s="116"/>
      <c r="AO224" s="116"/>
      <c r="AP224" s="102"/>
      <c r="AQ224" s="102"/>
      <c r="AR224" s="102"/>
      <c r="AS224" s="102"/>
      <c r="AT224" s="102"/>
      <c r="AU224" s="102"/>
    </row>
    <row r="225" spans="1:47">
      <c r="B225" s="424" t="s">
        <v>457</v>
      </c>
      <c r="C225" s="360" t="s">
        <v>3130</v>
      </c>
      <c r="L225" s="90"/>
      <c r="M225" s="90"/>
      <c r="N225" s="90"/>
      <c r="O225" s="90"/>
      <c r="P225" s="90"/>
      <c r="Q225" s="90"/>
      <c r="AH225" s="2"/>
      <c r="AI225" s="2"/>
      <c r="AJ225" s="2"/>
      <c r="AK225" s="2"/>
      <c r="AL225" s="2"/>
      <c r="AM225" s="2"/>
      <c r="AN225" s="2"/>
      <c r="AO225" s="2"/>
      <c r="AP225" s="2"/>
      <c r="AQ225" s="2"/>
      <c r="AR225" s="2"/>
      <c r="AS225" s="2"/>
      <c r="AT225" s="2"/>
      <c r="AU225" s="2"/>
    </row>
    <row r="226" spans="1:47">
      <c r="B226" s="424" t="s">
        <v>104</v>
      </c>
      <c r="C226" s="11" t="s">
        <v>106</v>
      </c>
      <c r="D226" s="19" t="s">
        <v>36</v>
      </c>
      <c r="E226" s="19"/>
      <c r="F226" s="19"/>
      <c r="G226" s="19"/>
      <c r="H226" s="19"/>
      <c r="I226" s="19"/>
      <c r="J226" s="19"/>
      <c r="K226" s="19"/>
      <c r="L226" s="92" t="s">
        <v>111</v>
      </c>
      <c r="M226" s="92" t="s">
        <v>112</v>
      </c>
      <c r="N226" s="92" t="s">
        <v>113</v>
      </c>
      <c r="O226" s="92" t="s">
        <v>114</v>
      </c>
      <c r="P226" s="92" t="s">
        <v>115</v>
      </c>
      <c r="Q226" s="92" t="s">
        <v>116</v>
      </c>
      <c r="R226" s="11"/>
      <c r="S226" s="19" t="s">
        <v>111</v>
      </c>
      <c r="T226" s="19" t="s">
        <v>112</v>
      </c>
      <c r="U226" s="19" t="s">
        <v>113</v>
      </c>
      <c r="V226" s="19" t="s">
        <v>114</v>
      </c>
      <c r="W226" s="19" t="s">
        <v>115</v>
      </c>
      <c r="X226" s="19" t="s">
        <v>116</v>
      </c>
      <c r="Y226" s="16"/>
      <c r="AA226" s="21"/>
      <c r="AB226" s="16" t="s">
        <v>267</v>
      </c>
      <c r="AC226" s="16" t="s">
        <v>268</v>
      </c>
      <c r="AD226" s="16" t="s">
        <v>269</v>
      </c>
      <c r="AH226" s="2"/>
    </row>
    <row r="227" spans="1:47">
      <c r="A227" s="2" t="str">
        <f>'Reference Score Calculation'!A218</f>
        <v>JS5101</v>
      </c>
      <c r="B227" s="346" t="str">
        <f>'Reference Score Calculation'!B218</f>
        <v>JS5101</v>
      </c>
      <c r="C227" s="2" t="str">
        <f>'Reference Score Calculation'!E218</f>
        <v>國際科研</v>
      </c>
      <c r="D227" s="16">
        <f>'Reference Score Calculation'!U218</f>
        <v>20</v>
      </c>
      <c r="E227" s="16">
        <v>3</v>
      </c>
      <c r="F227" s="16">
        <v>3</v>
      </c>
      <c r="G227" s="16">
        <v>2</v>
      </c>
      <c r="H227" s="16">
        <v>2</v>
      </c>
      <c r="I227" s="16">
        <v>3</v>
      </c>
      <c r="J227" s="16">
        <v>3</v>
      </c>
      <c r="L227" s="90">
        <v>3</v>
      </c>
      <c r="M227" s="90">
        <v>3</v>
      </c>
      <c r="N227" s="90">
        <v>2</v>
      </c>
      <c r="O227" s="90">
        <v>1</v>
      </c>
      <c r="P227" s="90">
        <v>3</v>
      </c>
      <c r="Q227" s="90">
        <v>3</v>
      </c>
      <c r="S227" s="16">
        <f t="shared" ref="S227:V229" si="78">IF(L227&gt;L$3,0,1)</f>
        <v>0</v>
      </c>
      <c r="T227" s="16">
        <f t="shared" si="78"/>
        <v>0</v>
      </c>
      <c r="U227" s="16">
        <f t="shared" si="78"/>
        <v>0</v>
      </c>
      <c r="V227" s="16">
        <f t="shared" si="78"/>
        <v>0</v>
      </c>
      <c r="W227" s="16">
        <f>IF(P227&gt;$AQ$231,0,1)</f>
        <v>0</v>
      </c>
      <c r="X227" s="16">
        <f>IF(Q227&gt;LARGE($P$3:$T$3,2),0,1)</f>
        <v>0</v>
      </c>
      <c r="Z227" s="16">
        <f>S227*T227*U227*V227*W227*X227</f>
        <v>0</v>
      </c>
      <c r="AA227" s="21"/>
      <c r="AB227" s="16" t="s">
        <v>391</v>
      </c>
      <c r="AC227" s="16" t="s">
        <v>393</v>
      </c>
      <c r="AD227" s="16" t="s">
        <v>393</v>
      </c>
      <c r="AF227" s="21" t="s">
        <v>442</v>
      </c>
      <c r="AG227" s="2" t="s">
        <v>458</v>
      </c>
    </row>
    <row r="228" spans="1:47">
      <c r="A228" s="2" t="str">
        <f>'Reference Score Calculation'!A219</f>
        <v>JS5102</v>
      </c>
      <c r="B228" s="346" t="str">
        <f>'Reference Score Calculation'!B219</f>
        <v>JS5102</v>
      </c>
      <c r="C228" s="2" t="str">
        <f>'Reference Score Calculation'!E219</f>
        <v>理學Ａ組</v>
      </c>
      <c r="D228" s="16" t="str">
        <f>'Reference Score Calculation'!U219</f>
        <v>408*</v>
      </c>
      <c r="E228" s="16">
        <v>3</v>
      </c>
      <c r="F228" s="16">
        <v>3</v>
      </c>
      <c r="G228" s="16">
        <v>2</v>
      </c>
      <c r="H228" s="16">
        <v>2</v>
      </c>
      <c r="I228" s="16">
        <v>3</v>
      </c>
      <c r="J228" s="16">
        <v>3</v>
      </c>
      <c r="L228" s="90">
        <v>3</v>
      </c>
      <c r="M228" s="90">
        <v>3</v>
      </c>
      <c r="N228" s="90">
        <v>2</v>
      </c>
      <c r="O228" s="90">
        <v>1</v>
      </c>
      <c r="P228" s="90">
        <v>3</v>
      </c>
      <c r="Q228" s="90">
        <v>3</v>
      </c>
      <c r="S228" s="16">
        <f t="shared" si="78"/>
        <v>0</v>
      </c>
      <c r="T228" s="16">
        <f t="shared" si="78"/>
        <v>0</v>
      </c>
      <c r="U228" s="16">
        <f t="shared" si="78"/>
        <v>0</v>
      </c>
      <c r="V228" s="16">
        <f t="shared" si="78"/>
        <v>0</v>
      </c>
      <c r="W228" s="16">
        <f>IF(P228&gt;$AQ$231,0,1)</f>
        <v>0</v>
      </c>
      <c r="X228" s="16">
        <f>IF(Q228&gt;LARGE($P$3:$T$3,2),0,1)</f>
        <v>0</v>
      </c>
      <c r="Z228" s="16">
        <f>S228*T228*U228*V228*W228*X228</f>
        <v>0</v>
      </c>
      <c r="AA228" s="21"/>
      <c r="AB228" s="16" t="s">
        <v>391</v>
      </c>
      <c r="AC228" s="16" t="s">
        <v>393</v>
      </c>
      <c r="AD228" s="16" t="s">
        <v>393</v>
      </c>
      <c r="AF228" s="21" t="s">
        <v>442</v>
      </c>
      <c r="AG228" s="2" t="s">
        <v>394</v>
      </c>
      <c r="AI228" s="121" t="s">
        <v>229</v>
      </c>
      <c r="AJ228" s="121" t="s">
        <v>390</v>
      </c>
      <c r="AK228" s="102"/>
      <c r="AL228" s="115"/>
      <c r="AM228" s="115"/>
      <c r="AN228" s="115"/>
      <c r="AO228" s="115"/>
      <c r="AP228" s="115"/>
      <c r="AQ228" s="115"/>
      <c r="AR228" s="115"/>
      <c r="AS228" s="102"/>
      <c r="AT228" s="102"/>
    </row>
    <row r="229" spans="1:47">
      <c r="A229" s="2" t="str">
        <f>'Reference Score Calculation'!A220</f>
        <v>JS5103</v>
      </c>
      <c r="B229" s="346" t="str">
        <f>'Reference Score Calculation'!B220</f>
        <v>JS5103</v>
      </c>
      <c r="C229" s="2" t="str">
        <f>'Reference Score Calculation'!E220</f>
        <v>理學Ｂ組</v>
      </c>
      <c r="D229" s="16" t="str">
        <f>'Reference Score Calculation'!U220</f>
        <v>408*</v>
      </c>
      <c r="E229" s="16">
        <v>3</v>
      </c>
      <c r="F229" s="16">
        <v>3</v>
      </c>
      <c r="G229" s="16">
        <v>2</v>
      </c>
      <c r="H229" s="16">
        <v>2</v>
      </c>
      <c r="I229" s="16">
        <v>3</v>
      </c>
      <c r="J229" s="16">
        <v>3</v>
      </c>
      <c r="L229" s="90">
        <v>3</v>
      </c>
      <c r="M229" s="90">
        <v>3</v>
      </c>
      <c r="N229" s="90">
        <v>2</v>
      </c>
      <c r="O229" s="90">
        <v>1</v>
      </c>
      <c r="P229" s="90">
        <v>3</v>
      </c>
      <c r="Q229" s="90">
        <v>3</v>
      </c>
      <c r="S229" s="16">
        <f t="shared" si="78"/>
        <v>0</v>
      </c>
      <c r="T229" s="16">
        <f t="shared" si="78"/>
        <v>0</v>
      </c>
      <c r="U229" s="16">
        <f t="shared" si="78"/>
        <v>0</v>
      </c>
      <c r="V229" s="16">
        <f t="shared" si="78"/>
        <v>0</v>
      </c>
      <c r="W229" s="16">
        <f>IF(P229&gt;$AQ$231,0,1)</f>
        <v>0</v>
      </c>
      <c r="X229" s="16">
        <f>IF(Q229&gt;LARGE($P$3:$T$3,2),0,1)</f>
        <v>0</v>
      </c>
      <c r="Z229" s="16">
        <f>S229*T229*U229*V229*W229*X229</f>
        <v>0</v>
      </c>
      <c r="AA229" s="21"/>
      <c r="AB229" s="16" t="s">
        <v>391</v>
      </c>
      <c r="AC229" s="16" t="s">
        <v>393</v>
      </c>
      <c r="AD229" s="16" t="s">
        <v>393</v>
      </c>
      <c r="AF229" s="21" t="s">
        <v>442</v>
      </c>
      <c r="AG229" s="2" t="s">
        <v>394</v>
      </c>
      <c r="AH229" s="21" t="s">
        <v>394</v>
      </c>
      <c r="AI229" s="116"/>
      <c r="AJ229" s="116"/>
      <c r="AK229" s="116"/>
      <c r="AL229" s="116"/>
      <c r="AM229" s="116"/>
      <c r="AN229" s="102"/>
      <c r="AO229" s="102"/>
      <c r="AP229" s="102"/>
      <c r="AQ229" s="102"/>
      <c r="AR229" s="102"/>
      <c r="AS229" s="102"/>
      <c r="AT229" s="102"/>
    </row>
    <row r="230" spans="1:47">
      <c r="A230" s="2" t="str">
        <f>'Reference Score Calculation'!A221</f>
        <v>JS5118</v>
      </c>
      <c r="B230" s="346" t="str">
        <f>'Reference Score Calculation'!B221</f>
        <v>JS5118</v>
      </c>
      <c r="C230" s="2" t="str">
        <f>'Reference Score Calculation'!E221</f>
        <v>理學士（生物醫學及健康科學）</v>
      </c>
      <c r="D230" s="16">
        <f>'Reference Score Calculation'!U221</f>
        <v>25</v>
      </c>
      <c r="L230" s="90">
        <v>3</v>
      </c>
      <c r="M230" s="90">
        <v>3</v>
      </c>
      <c r="N230" s="90">
        <v>2</v>
      </c>
      <c r="O230" s="90">
        <v>1</v>
      </c>
      <c r="P230" s="90">
        <v>3</v>
      </c>
      <c r="Q230" s="90">
        <v>3</v>
      </c>
      <c r="S230" s="16">
        <f t="shared" ref="S230:V231" si="79">IF(L230&gt;L$3,0,1)</f>
        <v>0</v>
      </c>
      <c r="T230" s="16">
        <f t="shared" si="79"/>
        <v>0</v>
      </c>
      <c r="U230" s="16">
        <f t="shared" si="79"/>
        <v>0</v>
      </c>
      <c r="V230" s="16">
        <f t="shared" si="79"/>
        <v>0</v>
      </c>
      <c r="W230" s="16">
        <f>IF(P230&gt;$AQ$231,0,1)</f>
        <v>0</v>
      </c>
      <c r="X230" s="16">
        <f>IF(Q230&gt;LARGE($P$3:$T$3,2),0,1)</f>
        <v>0</v>
      </c>
      <c r="Z230" s="16">
        <f>S230*T230*U230*V230*W230*X230</f>
        <v>0</v>
      </c>
      <c r="AB230" s="16" t="s">
        <v>391</v>
      </c>
      <c r="AC230" s="16" t="s">
        <v>393</v>
      </c>
      <c r="AD230" s="16" t="s">
        <v>393</v>
      </c>
      <c r="AF230" s="21" t="s">
        <v>442</v>
      </c>
      <c r="AG230" s="2" t="s">
        <v>394</v>
      </c>
      <c r="AH230" s="21" t="s">
        <v>394</v>
      </c>
      <c r="AI230" s="116" t="s">
        <v>459</v>
      </c>
      <c r="AJ230" s="116" t="str">
        <f>Q2</f>
        <v>請選擇第一選修科</v>
      </c>
      <c r="AK230" s="116" t="str">
        <f>R2</f>
        <v>請選擇第二選修科</v>
      </c>
      <c r="AL230" s="116" t="str">
        <f>S2</f>
        <v>請選擇第三選修科</v>
      </c>
      <c r="AM230" s="116" t="str">
        <f>T2</f>
        <v>請選擇第四選修科</v>
      </c>
      <c r="AN230" s="116" t="str">
        <f>P$2</f>
        <v>數學延伸</v>
      </c>
      <c r="AO230" s="102"/>
      <c r="AP230" s="116" t="s">
        <v>332</v>
      </c>
      <c r="AQ230" s="116"/>
      <c r="AR230" s="116" t="s">
        <v>333</v>
      </c>
      <c r="AS230" s="116"/>
      <c r="AT230" s="102"/>
    </row>
    <row r="231" spans="1:47">
      <c r="A231" s="2" t="str">
        <f>'Reference Score Calculation'!A222</f>
        <v>JS5181</v>
      </c>
      <c r="B231" s="346" t="str">
        <f>'Reference Score Calculation'!B222</f>
        <v>JS5181</v>
      </c>
      <c r="C231" s="2" t="str">
        <f>'Reference Score Calculation'!E222</f>
        <v>理學Ａ組– 延伸主修人工智能</v>
      </c>
      <c r="D231" s="16">
        <f>'Reference Score Calculation'!U222</f>
        <v>40</v>
      </c>
      <c r="E231" s="16">
        <v>3</v>
      </c>
      <c r="F231" s="16">
        <v>3</v>
      </c>
      <c r="G231" s="16">
        <v>3</v>
      </c>
      <c r="H231" s="16">
        <v>2</v>
      </c>
      <c r="I231" s="16">
        <v>3</v>
      </c>
      <c r="J231" s="16">
        <v>3</v>
      </c>
      <c r="L231" s="90">
        <v>3</v>
      </c>
      <c r="M231" s="90">
        <v>3</v>
      </c>
      <c r="N231" s="90">
        <v>3</v>
      </c>
      <c r="O231" s="90">
        <v>1</v>
      </c>
      <c r="P231" s="90">
        <v>3</v>
      </c>
      <c r="Q231" s="90">
        <v>3</v>
      </c>
      <c r="S231" s="16">
        <f t="shared" si="79"/>
        <v>0</v>
      </c>
      <c r="T231" s="16">
        <f t="shared" si="79"/>
        <v>0</v>
      </c>
      <c r="U231" s="16">
        <f t="shared" si="79"/>
        <v>0</v>
      </c>
      <c r="V231" s="16">
        <f t="shared" si="79"/>
        <v>0</v>
      </c>
      <c r="W231" s="16">
        <f>IF(P231&gt;$AQ$231,0,1)</f>
        <v>0</v>
      </c>
      <c r="X231" s="16">
        <f>IF(Q231&gt;LARGE($P$3:$T$3,2),0,1)</f>
        <v>0</v>
      </c>
      <c r="Z231" s="16">
        <f>S231*T231*U231*V231*W231*X231</f>
        <v>0</v>
      </c>
      <c r="AA231" s="21"/>
      <c r="AB231" s="16" t="s">
        <v>391</v>
      </c>
      <c r="AC231" s="16" t="s">
        <v>393</v>
      </c>
      <c r="AD231" s="16" t="s">
        <v>393</v>
      </c>
      <c r="AF231" s="21" t="s">
        <v>442</v>
      </c>
      <c r="AG231" s="2" t="s">
        <v>394</v>
      </c>
      <c r="AH231" s="21" t="s">
        <v>394</v>
      </c>
      <c r="AI231" s="116" t="s">
        <v>460</v>
      </c>
      <c r="AJ231" s="117">
        <f>IF(OR(Q2="物理",Q2="化學",Q2="生物"),Q3,0)</f>
        <v>0</v>
      </c>
      <c r="AK231" s="117">
        <f>IF(OR(R2="物理",R2="化學",R2="生物"),R3,0)</f>
        <v>0</v>
      </c>
      <c r="AL231" s="117">
        <f>IF(OR(S2="物理",S2="化學",S2="生物"),S3,0)</f>
        <v>0</v>
      </c>
      <c r="AM231" s="117">
        <f>IF(OR(T2="物理",T2="化學",T2="生物"),T3,0)</f>
        <v>0</v>
      </c>
      <c r="AN231" s="117">
        <f>P$3</f>
        <v>5.0000000000000003E-10</v>
      </c>
      <c r="AO231" s="116"/>
      <c r="AP231" s="117" t="str">
        <f>IF(AQ231&gt;0.1,INDEX(AJ230:AN230,MATCH(LARGE(AJ231:AN231,1),AJ231:AN231,0)),"無")</f>
        <v>無</v>
      </c>
      <c r="AQ231" s="117">
        <f>LARGE((AJ231:AN231),1)</f>
        <v>5.0000000000000003E-10</v>
      </c>
      <c r="AR231" s="117" t="str">
        <f>IF(AS231&gt;0.1,INDEX(AJ230:AN230,MATCH(LARGE(AJ231:AN231,2),AJ231:AN231,0)),"無")</f>
        <v>無</v>
      </c>
      <c r="AS231" s="117">
        <f>LARGE((AJ231:AN231),2)</f>
        <v>0</v>
      </c>
      <c r="AT231" s="102"/>
    </row>
    <row r="232" spans="1:47">
      <c r="A232" s="2" t="str">
        <f>'Reference Score Calculation'!A223</f>
        <v>JS5212</v>
      </c>
      <c r="B232" s="346" t="str">
        <f>'Reference Score Calculation'!B223</f>
        <v>JS5212</v>
      </c>
      <c r="C232" s="2" t="str">
        <f>'Reference Score Calculation'!E223</f>
        <v>工學士（計算機工程學）</v>
      </c>
      <c r="D232" s="16">
        <f>'Reference Score Calculation'!U223</f>
        <v>93</v>
      </c>
      <c r="L232" s="90">
        <v>3</v>
      </c>
      <c r="M232" s="90">
        <v>3</v>
      </c>
      <c r="N232" s="90">
        <v>3</v>
      </c>
      <c r="O232" s="90">
        <v>1</v>
      </c>
      <c r="P232" s="90">
        <v>3</v>
      </c>
      <c r="Q232" s="90">
        <v>3</v>
      </c>
      <c r="S232" s="16">
        <f t="shared" ref="S232:S238" si="80">IF(L232&gt;L$3,0,1)</f>
        <v>0</v>
      </c>
      <c r="T232" s="16">
        <f t="shared" ref="T232:T238" si="81">IF(M232&gt;M$3,0,1)</f>
        <v>0</v>
      </c>
      <c r="U232" s="16">
        <f t="shared" ref="U232:U238" si="82">IF(N232&gt;N$3,0,1)</f>
        <v>0</v>
      </c>
      <c r="V232" s="16">
        <f t="shared" ref="V232:V238" si="83">IF(O232&gt;O$3,0,1)</f>
        <v>0</v>
      </c>
      <c r="W232" s="16">
        <f t="shared" ref="W232:W239" si="84">IF(P232&gt;$AQ$237,0,1)</f>
        <v>0</v>
      </c>
      <c r="X232" s="16">
        <f t="shared" ref="X232:X238" si="85">IF(Q232&gt;LARGE($P$3:$T$3,2),0,1)</f>
        <v>0</v>
      </c>
      <c r="Z232" s="16">
        <f t="shared" ref="Z232:Z238" si="86">S232*T232*U232*V232*W232*X232</f>
        <v>0</v>
      </c>
      <c r="AB232" s="16" t="s">
        <v>391</v>
      </c>
      <c r="AC232" s="16" t="s">
        <v>393</v>
      </c>
      <c r="AD232" s="16" t="s">
        <v>393</v>
      </c>
      <c r="AF232" s="21" t="s">
        <v>462</v>
      </c>
      <c r="AG232" s="2" t="s">
        <v>394</v>
      </c>
      <c r="AH232" s="21" t="s">
        <v>394</v>
      </c>
      <c r="AI232" s="116" t="s">
        <v>461</v>
      </c>
      <c r="AJ232" s="158" t="s">
        <v>2415</v>
      </c>
      <c r="AK232" s="116"/>
      <c r="AL232" s="116"/>
      <c r="AM232" s="116"/>
      <c r="AN232" s="116"/>
      <c r="AO232" s="116"/>
      <c r="AP232" s="102"/>
      <c r="AQ232" s="102"/>
      <c r="AR232" s="102"/>
      <c r="AS232" s="102"/>
      <c r="AT232" s="102"/>
    </row>
    <row r="233" spans="1:47">
      <c r="A233" s="2" t="str">
        <f>'Reference Score Calculation'!A224</f>
        <v>JS5220</v>
      </c>
      <c r="B233" s="346" t="str">
        <f>'Reference Score Calculation'!B224</f>
        <v>JS5220</v>
      </c>
      <c r="C233" s="2" t="str">
        <f>'Reference Score Calculation'!E224</f>
        <v>化學及生物工程學系</v>
      </c>
      <c r="D233" s="16">
        <f>'Reference Score Calculation'!U224</f>
        <v>47</v>
      </c>
      <c r="L233" s="90">
        <v>3</v>
      </c>
      <c r="M233" s="90">
        <v>3</v>
      </c>
      <c r="N233" s="90">
        <v>3</v>
      </c>
      <c r="O233" s="90">
        <v>1</v>
      </c>
      <c r="P233" s="90">
        <v>3</v>
      </c>
      <c r="Q233" s="90">
        <v>3</v>
      </c>
      <c r="S233" s="16">
        <f t="shared" si="80"/>
        <v>0</v>
      </c>
      <c r="T233" s="16">
        <f t="shared" si="81"/>
        <v>0</v>
      </c>
      <c r="U233" s="16">
        <f t="shared" si="82"/>
        <v>0</v>
      </c>
      <c r="V233" s="16">
        <f t="shared" si="83"/>
        <v>0</v>
      </c>
      <c r="W233" s="16">
        <f t="shared" si="84"/>
        <v>0</v>
      </c>
      <c r="X233" s="16">
        <f t="shared" si="85"/>
        <v>0</v>
      </c>
      <c r="Z233" s="16">
        <f t="shared" si="86"/>
        <v>0</v>
      </c>
      <c r="AB233" s="16" t="s">
        <v>391</v>
      </c>
      <c r="AC233" s="16" t="s">
        <v>393</v>
      </c>
      <c r="AD233" s="16" t="s">
        <v>393</v>
      </c>
      <c r="AF233" s="21" t="s">
        <v>462</v>
      </c>
      <c r="AG233" s="2" t="s">
        <v>394</v>
      </c>
      <c r="AH233" s="21" t="s">
        <v>394</v>
      </c>
      <c r="AI233" s="116" t="s">
        <v>2782</v>
      </c>
      <c r="AJ233" s="116"/>
      <c r="AK233" s="116"/>
      <c r="AL233" s="116"/>
      <c r="AM233" s="116"/>
      <c r="AN233" s="116"/>
      <c r="AO233" s="116"/>
      <c r="AP233" s="102"/>
      <c r="AQ233" s="102"/>
      <c r="AR233" s="102"/>
      <c r="AS233" s="102"/>
      <c r="AT233" s="102"/>
    </row>
    <row r="234" spans="1:47">
      <c r="A234" s="2" t="str">
        <f>'Reference Score Calculation'!A225</f>
        <v>JS5230</v>
      </c>
      <c r="B234" s="346" t="str">
        <f>'Reference Score Calculation'!B225</f>
        <v>JS5230</v>
      </c>
      <c r="C234" s="2" t="str">
        <f>'Reference Score Calculation'!E225</f>
        <v>土木及環境工程學系</v>
      </c>
      <c r="D234" s="16">
        <f>'Reference Score Calculation'!U225</f>
        <v>121</v>
      </c>
      <c r="L234" s="90">
        <v>3</v>
      </c>
      <c r="M234" s="90">
        <v>3</v>
      </c>
      <c r="N234" s="90">
        <v>3</v>
      </c>
      <c r="O234" s="90">
        <v>1</v>
      </c>
      <c r="P234" s="90">
        <v>3</v>
      </c>
      <c r="Q234" s="90">
        <v>3</v>
      </c>
      <c r="S234" s="16">
        <f t="shared" si="80"/>
        <v>0</v>
      </c>
      <c r="T234" s="16">
        <f t="shared" si="81"/>
        <v>0</v>
      </c>
      <c r="U234" s="16">
        <f t="shared" si="82"/>
        <v>0</v>
      </c>
      <c r="V234" s="16">
        <f t="shared" si="83"/>
        <v>0</v>
      </c>
      <c r="W234" s="16">
        <f t="shared" si="84"/>
        <v>0</v>
      </c>
      <c r="X234" s="16">
        <f t="shared" si="85"/>
        <v>0</v>
      </c>
      <c r="Z234" s="16">
        <f t="shared" si="86"/>
        <v>0</v>
      </c>
      <c r="AB234" s="16" t="s">
        <v>391</v>
      </c>
      <c r="AC234" s="16" t="s">
        <v>393</v>
      </c>
      <c r="AD234" s="16" t="s">
        <v>393</v>
      </c>
      <c r="AF234" s="21" t="s">
        <v>462</v>
      </c>
      <c r="AG234" s="2" t="s">
        <v>394</v>
      </c>
      <c r="AH234" s="21" t="s">
        <v>394</v>
      </c>
      <c r="AI234" s="116" t="s">
        <v>463</v>
      </c>
      <c r="AJ234" s="116"/>
      <c r="AK234" s="116"/>
      <c r="AL234" s="116"/>
      <c r="AM234" s="116"/>
      <c r="AN234" s="116"/>
      <c r="AO234" s="116"/>
      <c r="AP234" s="102"/>
      <c r="AQ234" s="102"/>
      <c r="AR234" s="102"/>
      <c r="AS234" s="102"/>
      <c r="AT234" s="102"/>
    </row>
    <row r="235" spans="1:47">
      <c r="A235" s="2" t="str">
        <f>'Reference Score Calculation'!A226</f>
        <v>JS5240</v>
      </c>
      <c r="B235" s="346" t="str">
        <f>'Reference Score Calculation'!B226</f>
        <v>JS5240</v>
      </c>
      <c r="C235" s="2" t="str">
        <f>'Reference Score Calculation'!E226</f>
        <v>計算機科學及工程學系</v>
      </c>
      <c r="D235" s="16">
        <f>'Reference Score Calculation'!U226</f>
        <v>119</v>
      </c>
      <c r="L235" s="90">
        <v>3</v>
      </c>
      <c r="M235" s="90">
        <v>3</v>
      </c>
      <c r="N235" s="90">
        <v>3</v>
      </c>
      <c r="O235" s="90">
        <v>1</v>
      </c>
      <c r="P235" s="90">
        <v>3</v>
      </c>
      <c r="Q235" s="90">
        <v>3</v>
      </c>
      <c r="S235" s="16">
        <f t="shared" si="80"/>
        <v>0</v>
      </c>
      <c r="T235" s="16">
        <f t="shared" si="81"/>
        <v>0</v>
      </c>
      <c r="U235" s="16">
        <f t="shared" si="82"/>
        <v>0</v>
      </c>
      <c r="V235" s="16">
        <f t="shared" si="83"/>
        <v>0</v>
      </c>
      <c r="W235" s="16">
        <f t="shared" si="84"/>
        <v>0</v>
      </c>
      <c r="X235" s="16">
        <f t="shared" si="85"/>
        <v>0</v>
      </c>
      <c r="Z235" s="16">
        <f t="shared" si="86"/>
        <v>0</v>
      </c>
      <c r="AB235" s="16" t="s">
        <v>391</v>
      </c>
      <c r="AC235" s="16" t="s">
        <v>393</v>
      </c>
      <c r="AD235" s="16" t="s">
        <v>393</v>
      </c>
      <c r="AF235" s="21" t="s">
        <v>462</v>
      </c>
      <c r="AG235" s="2" t="s">
        <v>394</v>
      </c>
      <c r="AH235" s="21" t="s">
        <v>394</v>
      </c>
      <c r="AI235" s="116"/>
      <c r="AJ235" s="116"/>
      <c r="AK235" s="116"/>
      <c r="AL235" s="116"/>
      <c r="AM235" s="116"/>
      <c r="AN235" s="116"/>
      <c r="AO235" s="116"/>
      <c r="AP235" s="102"/>
      <c r="AQ235" s="102"/>
      <c r="AR235" s="102"/>
      <c r="AS235" s="102"/>
      <c r="AT235" s="102"/>
    </row>
    <row r="236" spans="1:47">
      <c r="A236" s="2" t="str">
        <f>'Reference Score Calculation'!A227</f>
        <v>JS5250</v>
      </c>
      <c r="B236" s="346" t="str">
        <f>'Reference Score Calculation'!B227</f>
        <v>JS5250</v>
      </c>
      <c r="C236" s="2" t="str">
        <f>'Reference Score Calculation'!E227</f>
        <v>電子及計算機工程學系</v>
      </c>
      <c r="D236" s="16">
        <f>'Reference Score Calculation'!U227</f>
        <v>72</v>
      </c>
      <c r="L236" s="90">
        <v>3</v>
      </c>
      <c r="M236" s="90">
        <v>3</v>
      </c>
      <c r="N236" s="90">
        <v>3</v>
      </c>
      <c r="O236" s="90">
        <v>1</v>
      </c>
      <c r="P236" s="90">
        <v>3</v>
      </c>
      <c r="Q236" s="90">
        <v>3</v>
      </c>
      <c r="S236" s="16">
        <f t="shared" si="80"/>
        <v>0</v>
      </c>
      <c r="T236" s="16">
        <f t="shared" si="81"/>
        <v>0</v>
      </c>
      <c r="U236" s="16">
        <f t="shared" si="82"/>
        <v>0</v>
      </c>
      <c r="V236" s="16">
        <f t="shared" si="83"/>
        <v>0</v>
      </c>
      <c r="W236" s="16">
        <f t="shared" si="84"/>
        <v>0</v>
      </c>
      <c r="X236" s="16">
        <f t="shared" si="85"/>
        <v>0</v>
      </c>
      <c r="Z236" s="16">
        <f t="shared" si="86"/>
        <v>0</v>
      </c>
      <c r="AB236" s="16" t="s">
        <v>391</v>
      </c>
      <c r="AC236" s="16" t="s">
        <v>393</v>
      </c>
      <c r="AD236" s="16" t="s">
        <v>393</v>
      </c>
      <c r="AF236" s="21" t="s">
        <v>462</v>
      </c>
      <c r="AG236" s="2" t="s">
        <v>394</v>
      </c>
      <c r="AH236" s="21" t="s">
        <v>394</v>
      </c>
      <c r="AI236" s="116" t="s">
        <v>3122</v>
      </c>
      <c r="AJ236" s="116" t="str">
        <f>Q$2</f>
        <v>請選擇第一選修科</v>
      </c>
      <c r="AK236" s="116" t="str">
        <f>R$2</f>
        <v>請選擇第二選修科</v>
      </c>
      <c r="AL236" s="116" t="str">
        <f>S$2</f>
        <v>請選擇第三選修科</v>
      </c>
      <c r="AM236" s="116" t="str">
        <f>T$2</f>
        <v>請選擇第四選修科</v>
      </c>
      <c r="AN236" s="102"/>
      <c r="AO236" s="102"/>
      <c r="AP236" s="116" t="s">
        <v>466</v>
      </c>
      <c r="AQ236" s="116"/>
      <c r="AR236" s="102"/>
      <c r="AS236" s="102"/>
      <c r="AT236" s="102"/>
    </row>
    <row r="237" spans="1:47">
      <c r="A237" s="2" t="str">
        <f>'Reference Score Calculation'!A228</f>
        <v>JS5260</v>
      </c>
      <c r="B237" s="346" t="str">
        <f>'Reference Score Calculation'!B228</f>
        <v>JS5260</v>
      </c>
      <c r="C237" s="2" t="str">
        <f>'Reference Score Calculation'!E228</f>
        <v>工業工程及決策分析學系</v>
      </c>
      <c r="D237" s="16">
        <f>'Reference Score Calculation'!U228</f>
        <v>37</v>
      </c>
      <c r="L237" s="90">
        <v>3</v>
      </c>
      <c r="M237" s="90">
        <v>3</v>
      </c>
      <c r="N237" s="90">
        <v>3</v>
      </c>
      <c r="O237" s="90">
        <v>1</v>
      </c>
      <c r="P237" s="90">
        <v>3</v>
      </c>
      <c r="Q237" s="90">
        <v>3</v>
      </c>
      <c r="S237" s="16">
        <f t="shared" si="80"/>
        <v>0</v>
      </c>
      <c r="T237" s="16">
        <f t="shared" si="81"/>
        <v>0</v>
      </c>
      <c r="U237" s="16">
        <f t="shared" si="82"/>
        <v>0</v>
      </c>
      <c r="V237" s="16">
        <f t="shared" si="83"/>
        <v>0</v>
      </c>
      <c r="W237" s="16">
        <f t="shared" si="84"/>
        <v>0</v>
      </c>
      <c r="X237" s="16">
        <f t="shared" si="85"/>
        <v>0</v>
      </c>
      <c r="Z237" s="16">
        <f t="shared" si="86"/>
        <v>0</v>
      </c>
      <c r="AB237" s="16" t="s">
        <v>391</v>
      </c>
      <c r="AC237" s="16" t="s">
        <v>393</v>
      </c>
      <c r="AD237" s="16" t="s">
        <v>393</v>
      </c>
      <c r="AF237" s="21" t="s">
        <v>462</v>
      </c>
      <c r="AG237" s="2" t="s">
        <v>394</v>
      </c>
      <c r="AH237" s="21" t="s">
        <v>394</v>
      </c>
      <c r="AI237" s="116" t="s">
        <v>338</v>
      </c>
      <c r="AJ237" s="117">
        <f>IF(OR(Q$2="物理",Q$2="化學",Q$2="生物",Q$2="資訊及通訊科技",Q$2="組合科學(物理、化學)",Q$2="組合科學(生物、化學)",Q$2="組合科學(物理、生物)"),Q$3,0)</f>
        <v>0</v>
      </c>
      <c r="AK237" s="117">
        <f>IF(OR(R$2="物理",R$2="化學",R$2="生物",R$2="資訊及通訊科技",R$2="組合科學(物理、化學)",R$2="組合科學(生物、化學)",R$2="組合科學(物理、生物)"),R$3,0)</f>
        <v>0</v>
      </c>
      <c r="AL237" s="117">
        <f>IF(OR(S$2="物理",S$2="化學",S$2="生物",S$2="資訊及通訊科技",S$2="組合科學(物理、化學)",S$2="組合科學(生物、化學)",S$2="組合科學(物理、生物)"),S$3,0)</f>
        <v>0</v>
      </c>
      <c r="AM237" s="117">
        <f>IF(OR(T$2="物理",T$2="化學",T$2="生物",T$2="資訊及通訊科技",T$2="組合科學(物理、化學)",T$2="組合科學(生物、化學)",T$2="組合科學(物理、生物)"),T$3,0)</f>
        <v>0</v>
      </c>
      <c r="AN237" s="116"/>
      <c r="AO237" s="116"/>
      <c r="AP237" s="117" t="str">
        <f>IF(AQ237&gt;0.1,INDEX(AJ236:AM236,MATCH(LARGE(AJ237:AM237,1),AJ237:AM237,0)),"無")</f>
        <v>無</v>
      </c>
      <c r="AQ237" s="117">
        <f>LARGE((AJ237:AM237),1)</f>
        <v>0</v>
      </c>
      <c r="AR237" s="102"/>
      <c r="AS237" s="102"/>
      <c r="AT237" s="102"/>
    </row>
    <row r="238" spans="1:47">
      <c r="A238" s="2" t="str">
        <f>'Reference Score Calculation'!A229</f>
        <v>JS5270</v>
      </c>
      <c r="B238" s="346" t="str">
        <f>'Reference Score Calculation'!B229</f>
        <v>JS5270</v>
      </c>
      <c r="C238" s="2" t="str">
        <f>'Reference Score Calculation'!E229</f>
        <v>機械及航空航天工程學系</v>
      </c>
      <c r="D238" s="16">
        <f>'Reference Score Calculation'!U229</f>
        <v>79</v>
      </c>
      <c r="L238" s="90">
        <v>3</v>
      </c>
      <c r="M238" s="90">
        <v>3</v>
      </c>
      <c r="N238" s="90">
        <v>3</v>
      </c>
      <c r="O238" s="90">
        <v>1</v>
      </c>
      <c r="P238" s="90">
        <v>3</v>
      </c>
      <c r="Q238" s="90">
        <v>3</v>
      </c>
      <c r="S238" s="16">
        <f t="shared" si="80"/>
        <v>0</v>
      </c>
      <c r="T238" s="16">
        <f t="shared" si="81"/>
        <v>0</v>
      </c>
      <c r="U238" s="16">
        <f t="shared" si="82"/>
        <v>0</v>
      </c>
      <c r="V238" s="16">
        <f t="shared" si="83"/>
        <v>0</v>
      </c>
      <c r="W238" s="16">
        <f t="shared" si="84"/>
        <v>0</v>
      </c>
      <c r="X238" s="16">
        <f t="shared" si="85"/>
        <v>0</v>
      </c>
      <c r="Z238" s="16">
        <f t="shared" si="86"/>
        <v>0</v>
      </c>
      <c r="AB238" s="16" t="s">
        <v>391</v>
      </c>
      <c r="AC238" s="16" t="s">
        <v>393</v>
      </c>
      <c r="AD238" s="16" t="s">
        <v>393</v>
      </c>
      <c r="AF238" s="21" t="s">
        <v>462</v>
      </c>
      <c r="AG238" s="2" t="s">
        <v>394</v>
      </c>
      <c r="AH238" s="21" t="s">
        <v>394</v>
      </c>
      <c r="AI238" s="116" t="s">
        <v>1471</v>
      </c>
      <c r="AJ238" s="158" t="s">
        <v>2435</v>
      </c>
      <c r="AK238" s="116"/>
      <c r="AL238" s="116"/>
      <c r="AM238" s="116"/>
      <c r="AN238" s="116"/>
      <c r="AO238" s="116"/>
      <c r="AP238" s="102"/>
      <c r="AQ238" s="102"/>
      <c r="AR238" s="102"/>
      <c r="AS238" s="102"/>
      <c r="AT238" s="102"/>
    </row>
    <row r="239" spans="1:47">
      <c r="A239" s="2" t="str">
        <f>'Reference Score Calculation'!A230</f>
        <v>JS5282</v>
      </c>
      <c r="B239" s="346" t="str">
        <f>'Reference Score Calculation'!B230</f>
        <v>JS5282</v>
      </c>
      <c r="C239" s="2" t="str">
        <f>'Reference Score Calculation'!E230</f>
        <v>工程學– 延伸主修人工智能</v>
      </c>
      <c r="D239" s="16">
        <f>'Reference Score Calculation'!U230</f>
        <v>116</v>
      </c>
      <c r="E239" s="16">
        <v>3</v>
      </c>
      <c r="F239" s="16">
        <v>3</v>
      </c>
      <c r="G239" s="16">
        <v>3</v>
      </c>
      <c r="H239" s="16">
        <v>2</v>
      </c>
      <c r="I239" s="16">
        <v>3</v>
      </c>
      <c r="J239" s="16">
        <v>3</v>
      </c>
      <c r="L239" s="90">
        <v>3</v>
      </c>
      <c r="M239" s="90">
        <v>3</v>
      </c>
      <c r="N239" s="90">
        <v>3</v>
      </c>
      <c r="O239" s="90">
        <v>1</v>
      </c>
      <c r="P239" s="90">
        <v>3</v>
      </c>
      <c r="Q239" s="90">
        <v>3</v>
      </c>
      <c r="S239" s="16">
        <f t="shared" ref="S239:V242" si="87">IF(L239&gt;L$3,0,1)</f>
        <v>0</v>
      </c>
      <c r="T239" s="16">
        <f t="shared" si="87"/>
        <v>0</v>
      </c>
      <c r="U239" s="16">
        <f t="shared" si="87"/>
        <v>0</v>
      </c>
      <c r="V239" s="16">
        <f t="shared" si="87"/>
        <v>0</v>
      </c>
      <c r="W239" s="16">
        <f t="shared" si="84"/>
        <v>0</v>
      </c>
      <c r="X239" s="16">
        <f t="shared" ref="X239:X250" si="88">IF(Q239&gt;LARGE($P$3:$T$3,2),0,1)</f>
        <v>0</v>
      </c>
      <c r="Z239" s="16">
        <f t="shared" ref="Z239:Z252" si="89">S239*T239*U239*V239*W239*X239</f>
        <v>0</v>
      </c>
      <c r="AA239" s="21"/>
      <c r="AB239" s="16" t="s">
        <v>391</v>
      </c>
      <c r="AC239" s="16" t="s">
        <v>393</v>
      </c>
      <c r="AD239" s="16" t="s">
        <v>393</v>
      </c>
      <c r="AF239" s="21" t="s">
        <v>462</v>
      </c>
      <c r="AG239" s="21" t="s">
        <v>394</v>
      </c>
      <c r="AH239" s="21" t="s">
        <v>394</v>
      </c>
      <c r="AI239" s="116"/>
      <c r="AJ239" s="116"/>
      <c r="AK239" s="116"/>
      <c r="AL239" s="116"/>
      <c r="AM239" s="116"/>
      <c r="AN239" s="116"/>
      <c r="AO239" s="116"/>
      <c r="AP239" s="102"/>
      <c r="AQ239" s="102"/>
      <c r="AR239" s="102"/>
      <c r="AS239" s="102"/>
      <c r="AT239" s="102"/>
    </row>
    <row r="240" spans="1:47">
      <c r="A240" s="2" t="str">
        <f>'Reference Score Calculation'!A231</f>
        <v>JS5300</v>
      </c>
      <c r="B240" s="346" t="str">
        <f>'Reference Score Calculation'!B231</f>
        <v>JS5300</v>
      </c>
      <c r="C240" s="2" t="str">
        <f>'Reference Score Calculation'!E231</f>
        <v>工商管理</v>
      </c>
      <c r="D240" s="16">
        <f>'Reference Score Calculation'!U231</f>
        <v>350</v>
      </c>
      <c r="E240" s="16">
        <v>3</v>
      </c>
      <c r="F240" s="16">
        <v>4</v>
      </c>
      <c r="G240" s="16">
        <v>3</v>
      </c>
      <c r="H240" s="16">
        <v>2</v>
      </c>
      <c r="I240" s="16">
        <v>3</v>
      </c>
      <c r="J240" s="16">
        <v>3</v>
      </c>
      <c r="L240" s="90">
        <v>3</v>
      </c>
      <c r="M240" s="90">
        <v>4</v>
      </c>
      <c r="N240" s="90">
        <v>3</v>
      </c>
      <c r="O240" s="90">
        <v>1</v>
      </c>
      <c r="P240" s="90">
        <v>3</v>
      </c>
      <c r="Q240" s="90">
        <v>3</v>
      </c>
      <c r="S240" s="16">
        <f t="shared" si="87"/>
        <v>0</v>
      </c>
      <c r="T240" s="16">
        <f t="shared" si="87"/>
        <v>0</v>
      </c>
      <c r="U240" s="16">
        <f t="shared" si="87"/>
        <v>0</v>
      </c>
      <c r="V240" s="16">
        <f t="shared" si="87"/>
        <v>0</v>
      </c>
      <c r="W240" s="16">
        <f t="shared" ref="W240:W258" si="90">IF(P240&gt;LARGE($P$3:$T$3,1),0,1)</f>
        <v>0</v>
      </c>
      <c r="X240" s="16">
        <f t="shared" si="88"/>
        <v>0</v>
      </c>
      <c r="Z240" s="16">
        <f t="shared" si="89"/>
        <v>0</v>
      </c>
      <c r="AA240" s="21"/>
      <c r="AB240" s="16" t="s">
        <v>391</v>
      </c>
      <c r="AC240" s="16" t="s">
        <v>393</v>
      </c>
      <c r="AD240" s="16" t="s">
        <v>393</v>
      </c>
      <c r="AF240" s="21" t="s">
        <v>394</v>
      </c>
      <c r="AG240" s="21" t="s">
        <v>394</v>
      </c>
      <c r="AH240" s="21" t="s">
        <v>394</v>
      </c>
      <c r="AI240" s="116" t="s">
        <v>2116</v>
      </c>
      <c r="AJ240" s="116" t="str">
        <f>Q$2</f>
        <v>請選擇第一選修科</v>
      </c>
      <c r="AK240" s="116" t="str">
        <f>R$2</f>
        <v>請選擇第二選修科</v>
      </c>
      <c r="AL240" s="116" t="str">
        <f>S$2</f>
        <v>請選擇第三選修科</v>
      </c>
      <c r="AM240" s="116" t="str">
        <f>T$2</f>
        <v>請選擇第四選修科</v>
      </c>
      <c r="AN240" s="102"/>
      <c r="AO240" s="102"/>
      <c r="AP240" s="116" t="s">
        <v>466</v>
      </c>
      <c r="AQ240" s="116"/>
      <c r="AR240" s="102"/>
      <c r="AS240" s="102"/>
      <c r="AT240" s="102"/>
    </row>
    <row r="241" spans="1:46">
      <c r="A241" s="2" t="str">
        <f>'Reference Score Calculation'!A232</f>
        <v>JS5311</v>
      </c>
      <c r="B241" s="346" t="str">
        <f>'Reference Score Calculation'!B232</f>
        <v>JS5311</v>
      </c>
      <c r="C241" s="2" t="str">
        <f>'Reference Score Calculation'!E232</f>
        <v>工商管理學士（經濟學）</v>
      </c>
      <c r="D241" s="16" t="str">
        <f>'Reference Score Calculation'!U232</f>
        <v>125*</v>
      </c>
      <c r="E241" s="16">
        <v>3</v>
      </c>
      <c r="F241" s="16">
        <v>4</v>
      </c>
      <c r="G241" s="16">
        <v>3</v>
      </c>
      <c r="H241" s="16">
        <v>2</v>
      </c>
      <c r="I241" s="16">
        <v>3</v>
      </c>
      <c r="J241" s="16">
        <v>3</v>
      </c>
      <c r="L241" s="90">
        <v>3</v>
      </c>
      <c r="M241" s="90">
        <v>4</v>
      </c>
      <c r="N241" s="90">
        <v>3</v>
      </c>
      <c r="O241" s="90">
        <v>1</v>
      </c>
      <c r="P241" s="90">
        <v>3</v>
      </c>
      <c r="Q241" s="90">
        <v>3</v>
      </c>
      <c r="S241" s="16">
        <f t="shared" si="87"/>
        <v>0</v>
      </c>
      <c r="T241" s="16">
        <f t="shared" si="87"/>
        <v>0</v>
      </c>
      <c r="U241" s="16">
        <f t="shared" si="87"/>
        <v>0</v>
      </c>
      <c r="V241" s="16">
        <f t="shared" si="87"/>
        <v>0</v>
      </c>
      <c r="W241" s="16">
        <f t="shared" si="90"/>
        <v>0</v>
      </c>
      <c r="X241" s="16">
        <f t="shared" si="88"/>
        <v>0</v>
      </c>
      <c r="Z241" s="16">
        <f t="shared" si="89"/>
        <v>0</v>
      </c>
      <c r="AA241" s="21"/>
      <c r="AB241" s="16" t="s">
        <v>391</v>
      </c>
      <c r="AC241" s="16" t="s">
        <v>393</v>
      </c>
      <c r="AD241" s="16" t="s">
        <v>393</v>
      </c>
      <c r="AF241" s="21" t="s">
        <v>394</v>
      </c>
      <c r="AG241" s="21" t="s">
        <v>394</v>
      </c>
      <c r="AH241" s="21" t="s">
        <v>394</v>
      </c>
      <c r="AI241" s="116"/>
      <c r="AJ241" s="117">
        <f>IF(OR(Q$2="物理",Q$2="化學",Q$2="生物",Q$2="資訊及通訊科技",Q$2="設計與應用科技",Q$2="組合科學(物理、化學)",Q$2="組合科學(生物、化學)",Q$2="組合科學(物理、生物)"),Q$3,0)</f>
        <v>0</v>
      </c>
      <c r="AK241" s="117">
        <f>IF(OR(R$2="物理",R$2="化學",R$2="生物",R$2="資訊及通訊科技",R$2="設計與應用科技",R$2="組合科學(物理、化學)",R$2="組合科學(生物、化學)",R$2="組合科學(物理、生物)"),R$3,0)</f>
        <v>0</v>
      </c>
      <c r="AL241" s="117">
        <f>IF(OR(S$2="物理",S$2="化學",S$2="生物",S$2="資訊及通訊科技",S$2="設計與應用科技",S$2="組合科學(物理、化學)",S$2="組合科學(生物、化學)",S$2="組合科學(物理、生物)"),S$3,0)</f>
        <v>0</v>
      </c>
      <c r="AM241" s="117">
        <f>IF(OR(T$2="物理",T$2="化學",T$2="生物",T$2="資訊及通訊科技",T$2="設計與應用科技",T$2="組合科學(物理、化學)",T$2="組合科學(生物、化學)",T$2="組合科學(物理、生物)"),T$3,0)</f>
        <v>0</v>
      </c>
      <c r="AN241" s="116"/>
      <c r="AO241" s="116"/>
      <c r="AP241" s="117" t="str">
        <f>IF(AQ241&gt;0.1,INDEX(AJ240:AM240,MATCH(LARGE(AJ241:AM241,1),AJ241:AM241,0)),"無")</f>
        <v>無</v>
      </c>
      <c r="AQ241" s="117">
        <f>LARGE((AJ241:AM241),1)</f>
        <v>0</v>
      </c>
      <c r="AR241" s="102"/>
      <c r="AS241" s="102"/>
      <c r="AT241" s="102"/>
    </row>
    <row r="242" spans="1:46">
      <c r="A242" s="2" t="str">
        <f>'Reference Score Calculation'!A233</f>
        <v>JS5312</v>
      </c>
      <c r="B242" s="346" t="str">
        <f>'Reference Score Calculation'!B233</f>
        <v>JS5312</v>
      </c>
      <c r="C242" s="2" t="str">
        <f>'Reference Score Calculation'!E233</f>
        <v>工商管理學士（金融學）</v>
      </c>
      <c r="D242" s="16">
        <f>'Reference Score Calculation'!U233</f>
        <v>45</v>
      </c>
      <c r="E242" s="16">
        <v>3</v>
      </c>
      <c r="F242" s="16">
        <v>4</v>
      </c>
      <c r="G242" s="16">
        <v>3</v>
      </c>
      <c r="H242" s="16">
        <v>2</v>
      </c>
      <c r="I242" s="16">
        <v>3</v>
      </c>
      <c r="J242" s="16">
        <v>3</v>
      </c>
      <c r="L242" s="90">
        <v>3</v>
      </c>
      <c r="M242" s="90">
        <v>4</v>
      </c>
      <c r="N242" s="90">
        <v>3</v>
      </c>
      <c r="O242" s="90">
        <v>1</v>
      </c>
      <c r="P242" s="90">
        <v>3</v>
      </c>
      <c r="Q242" s="90">
        <v>3</v>
      </c>
      <c r="S242" s="16">
        <f t="shared" si="87"/>
        <v>0</v>
      </c>
      <c r="T242" s="16">
        <f t="shared" si="87"/>
        <v>0</v>
      </c>
      <c r="U242" s="16">
        <f t="shared" si="87"/>
        <v>0</v>
      </c>
      <c r="V242" s="16">
        <f t="shared" si="87"/>
        <v>0</v>
      </c>
      <c r="W242" s="16">
        <f t="shared" si="90"/>
        <v>0</v>
      </c>
      <c r="X242" s="16">
        <f t="shared" si="88"/>
        <v>0</v>
      </c>
      <c r="Z242" s="16">
        <f t="shared" si="89"/>
        <v>0</v>
      </c>
      <c r="AA242" s="21"/>
      <c r="AB242" s="16" t="s">
        <v>391</v>
      </c>
      <c r="AC242" s="16" t="s">
        <v>393</v>
      </c>
      <c r="AD242" s="16" t="s">
        <v>393</v>
      </c>
      <c r="AF242" s="21" t="s">
        <v>394</v>
      </c>
      <c r="AG242" s="21" t="s">
        <v>394</v>
      </c>
      <c r="AH242" s="21" t="s">
        <v>394</v>
      </c>
      <c r="AI242" s="116"/>
      <c r="AJ242" s="158" t="s">
        <v>2436</v>
      </c>
      <c r="AK242" s="116"/>
      <c r="AL242" s="116"/>
      <c r="AM242" s="116"/>
      <c r="AN242" s="116"/>
      <c r="AO242" s="116"/>
      <c r="AP242" s="102"/>
      <c r="AQ242" s="102"/>
      <c r="AR242" s="102"/>
      <c r="AS242" s="102"/>
      <c r="AT242" s="102"/>
    </row>
    <row r="243" spans="1:46">
      <c r="A243" s="2" t="str">
        <f>'Reference Score Calculation'!A234</f>
        <v>JS5313</v>
      </c>
      <c r="B243" s="346" t="str">
        <f>'Reference Score Calculation'!B234</f>
        <v>JS5313</v>
      </c>
      <c r="C243" s="2" t="str">
        <f>'Reference Score Calculation'!E234</f>
        <v>工商管理學士（環球商業管理）</v>
      </c>
      <c r="D243" s="16">
        <f>'Reference Score Calculation'!U234</f>
        <v>30</v>
      </c>
      <c r="E243" s="16">
        <v>3</v>
      </c>
      <c r="F243" s="16">
        <v>4</v>
      </c>
      <c r="G243" s="16">
        <v>3</v>
      </c>
      <c r="H243" s="16">
        <v>2</v>
      </c>
      <c r="I243" s="16">
        <v>3</v>
      </c>
      <c r="J243" s="16">
        <v>3</v>
      </c>
      <c r="L243" s="90">
        <v>3</v>
      </c>
      <c r="M243" s="90">
        <v>4</v>
      </c>
      <c r="N243" s="90">
        <v>3</v>
      </c>
      <c r="O243" s="90">
        <v>1</v>
      </c>
      <c r="P243" s="90">
        <v>3</v>
      </c>
      <c r="Q243" s="90">
        <v>3</v>
      </c>
      <c r="S243" s="16">
        <f t="shared" ref="S243:S259" si="91">IF(L243&gt;L$3,0,1)</f>
        <v>0</v>
      </c>
      <c r="T243" s="16">
        <f>IF(M243&gt;M$3,0,IF(M$3&lt;5,2,1))</f>
        <v>0</v>
      </c>
      <c r="U243" s="16">
        <f t="shared" ref="U243:U251" si="92">IF(N243&gt;N$3,0,1)</f>
        <v>0</v>
      </c>
      <c r="V243" s="16">
        <f t="shared" ref="V243:V251" si="93">IF(O243&gt;O$3,0,1)</f>
        <v>0</v>
      </c>
      <c r="W243" s="16">
        <f t="shared" si="90"/>
        <v>0</v>
      </c>
      <c r="X243" s="16">
        <f t="shared" si="88"/>
        <v>0</v>
      </c>
      <c r="Z243" s="16">
        <f t="shared" si="89"/>
        <v>0</v>
      </c>
      <c r="AA243" s="21"/>
      <c r="AB243" s="16" t="s">
        <v>391</v>
      </c>
      <c r="AC243" s="16" t="s">
        <v>393</v>
      </c>
      <c r="AD243" s="16" t="s">
        <v>393</v>
      </c>
      <c r="AF243" s="21" t="s">
        <v>467</v>
      </c>
      <c r="AG243" s="2" t="s">
        <v>458</v>
      </c>
      <c r="AH243" s="21" t="s">
        <v>394</v>
      </c>
      <c r="AI243" s="116"/>
      <c r="AJ243" s="116"/>
      <c r="AK243" s="116"/>
      <c r="AL243" s="116"/>
      <c r="AM243" s="116"/>
      <c r="AN243" s="116"/>
      <c r="AO243" s="116"/>
      <c r="AP243" s="102"/>
      <c r="AQ243" s="102"/>
      <c r="AR243" s="102"/>
      <c r="AS243" s="102"/>
      <c r="AT243" s="102"/>
    </row>
    <row r="244" spans="1:46">
      <c r="A244" s="2" t="str">
        <f>'Reference Score Calculation'!A235</f>
        <v>JS5314</v>
      </c>
      <c r="B244" s="346" t="str">
        <f>'Reference Score Calculation'!B235</f>
        <v>JS5314</v>
      </c>
      <c r="C244" s="2" t="str">
        <f>'Reference Score Calculation'!E235</f>
        <v>工商管理學士（資訊系統學）</v>
      </c>
      <c r="D244" s="16" t="str">
        <f>'Reference Score Calculation'!U235</f>
        <v>125*</v>
      </c>
      <c r="E244" s="16">
        <v>3</v>
      </c>
      <c r="F244" s="16">
        <v>4</v>
      </c>
      <c r="G244" s="16">
        <v>3</v>
      </c>
      <c r="H244" s="16">
        <v>2</v>
      </c>
      <c r="I244" s="16">
        <v>3</v>
      </c>
      <c r="J244" s="16">
        <v>3</v>
      </c>
      <c r="L244" s="90">
        <v>3</v>
      </c>
      <c r="M244" s="90">
        <v>4</v>
      </c>
      <c r="N244" s="90">
        <v>3</v>
      </c>
      <c r="O244" s="90">
        <v>1</v>
      </c>
      <c r="P244" s="90">
        <v>3</v>
      </c>
      <c r="Q244" s="90">
        <v>3</v>
      </c>
      <c r="S244" s="16">
        <f t="shared" si="91"/>
        <v>0</v>
      </c>
      <c r="T244" s="16">
        <f t="shared" ref="T244:T259" si="94">IF(M244&gt;M$3,0,1)</f>
        <v>0</v>
      </c>
      <c r="U244" s="16">
        <f t="shared" si="92"/>
        <v>0</v>
      </c>
      <c r="V244" s="16">
        <f t="shared" si="93"/>
        <v>0</v>
      </c>
      <c r="W244" s="16">
        <f t="shared" si="90"/>
        <v>0</v>
      </c>
      <c r="X244" s="16">
        <f t="shared" si="88"/>
        <v>0</v>
      </c>
      <c r="Z244" s="16">
        <f t="shared" si="89"/>
        <v>0</v>
      </c>
      <c r="AA244" s="21"/>
      <c r="AB244" s="16" t="s">
        <v>391</v>
      </c>
      <c r="AC244" s="16" t="s">
        <v>393</v>
      </c>
      <c r="AD244" s="16" t="s">
        <v>393</v>
      </c>
      <c r="AF244" s="21" t="s">
        <v>394</v>
      </c>
      <c r="AG244" s="21" t="s">
        <v>394</v>
      </c>
      <c r="AH244" s="21" t="s">
        <v>394</v>
      </c>
      <c r="AI244" s="116" t="s">
        <v>350</v>
      </c>
      <c r="AJ244" s="116" t="str">
        <f>Q$2</f>
        <v>請選擇第一選修科</v>
      </c>
      <c r="AK244" s="116" t="str">
        <f>R$2</f>
        <v>請選擇第二選修科</v>
      </c>
      <c r="AL244" s="116" t="str">
        <f>S$2</f>
        <v>請選擇第三選修科</v>
      </c>
      <c r="AM244" s="116" t="str">
        <f>T$2</f>
        <v>請選擇第四選修科</v>
      </c>
      <c r="AN244" s="102"/>
      <c r="AO244" s="102"/>
      <c r="AP244" s="116" t="s">
        <v>468</v>
      </c>
      <c r="AQ244" s="116"/>
      <c r="AR244" s="102"/>
      <c r="AS244" s="102"/>
      <c r="AT244" s="102"/>
    </row>
    <row r="245" spans="1:46">
      <c r="A245" s="2" t="str">
        <f>'Reference Score Calculation'!A236</f>
        <v>JS5315</v>
      </c>
      <c r="B245" s="346" t="str">
        <f>'Reference Score Calculation'!B236</f>
        <v>JS5315</v>
      </c>
      <c r="C245" s="2" t="str">
        <f>'Reference Score Calculation'!E236</f>
        <v>工商管理學士（管理學）</v>
      </c>
      <c r="D245" s="16" t="str">
        <f>'Reference Score Calculation'!U236</f>
        <v>125*</v>
      </c>
      <c r="E245" s="16">
        <v>3</v>
      </c>
      <c r="F245" s="16">
        <v>4</v>
      </c>
      <c r="G245" s="16">
        <v>3</v>
      </c>
      <c r="H245" s="16">
        <v>2</v>
      </c>
      <c r="I245" s="16">
        <v>3</v>
      </c>
      <c r="J245" s="16">
        <v>3</v>
      </c>
      <c r="L245" s="90">
        <v>3</v>
      </c>
      <c r="M245" s="90">
        <v>4</v>
      </c>
      <c r="N245" s="90">
        <v>3</v>
      </c>
      <c r="O245" s="90">
        <v>1</v>
      </c>
      <c r="P245" s="90">
        <v>3</v>
      </c>
      <c r="Q245" s="90">
        <v>3</v>
      </c>
      <c r="S245" s="16">
        <f t="shared" si="91"/>
        <v>0</v>
      </c>
      <c r="T245" s="16">
        <f t="shared" si="94"/>
        <v>0</v>
      </c>
      <c r="U245" s="16">
        <f t="shared" si="92"/>
        <v>0</v>
      </c>
      <c r="V245" s="16">
        <f t="shared" si="93"/>
        <v>0</v>
      </c>
      <c r="W245" s="16">
        <f t="shared" si="90"/>
        <v>0</v>
      </c>
      <c r="X245" s="16">
        <f t="shared" si="88"/>
        <v>0</v>
      </c>
      <c r="Z245" s="16">
        <f t="shared" si="89"/>
        <v>0</v>
      </c>
      <c r="AA245" s="21"/>
      <c r="AB245" s="16" t="s">
        <v>391</v>
      </c>
      <c r="AC245" s="16" t="s">
        <v>393</v>
      </c>
      <c r="AD245" s="16" t="s">
        <v>393</v>
      </c>
      <c r="AF245" s="21" t="s">
        <v>394</v>
      </c>
      <c r="AG245" s="21" t="s">
        <v>394</v>
      </c>
      <c r="AH245" s="21" t="s">
        <v>394</v>
      </c>
      <c r="AI245" s="116"/>
      <c r="AJ245" s="117">
        <f>IF(OR(Q$2="化學",Q$2="生物"),Q$3,0)</f>
        <v>0</v>
      </c>
      <c r="AK245" s="117">
        <f>IF(OR(R$2="化學",R$2="生物"),R$3,0)</f>
        <v>0</v>
      </c>
      <c r="AL245" s="117">
        <f>IF(OR(S$2="化學",S$2="生物"),S$3,0)</f>
        <v>0</v>
      </c>
      <c r="AM245" s="117">
        <f>IF(OR(T$2="化學",T$2="生物"),T$3,0)</f>
        <v>0</v>
      </c>
      <c r="AN245" s="116"/>
      <c r="AO245" s="116"/>
      <c r="AP245" s="117" t="str">
        <f>IF(AQ245&gt;0.1,INDEX(AJ244:AM244,MATCH(LARGE(AJ245:AM245,1),AJ245:AM245,0)),"無")</f>
        <v>無</v>
      </c>
      <c r="AQ245" s="117">
        <f>LARGE((AJ245:AM245),1)</f>
        <v>0</v>
      </c>
      <c r="AR245" s="102"/>
      <c r="AS245" s="102"/>
      <c r="AT245" s="102"/>
    </row>
    <row r="246" spans="1:46">
      <c r="A246" s="2" t="str">
        <f>'Reference Score Calculation'!A237</f>
        <v>JS5316</v>
      </c>
      <c r="B246" s="346" t="str">
        <f>'Reference Score Calculation'!B237</f>
        <v>JS5316</v>
      </c>
      <c r="C246" s="2" t="str">
        <f>'Reference Score Calculation'!E237</f>
        <v>工商管理學士（市場學）</v>
      </c>
      <c r="D246" s="16" t="str">
        <f>'Reference Score Calculation'!U237</f>
        <v>125*</v>
      </c>
      <c r="E246" s="16">
        <v>3</v>
      </c>
      <c r="F246" s="16">
        <v>4</v>
      </c>
      <c r="G246" s="16">
        <v>3</v>
      </c>
      <c r="H246" s="16">
        <v>2</v>
      </c>
      <c r="I246" s="16">
        <v>3</v>
      </c>
      <c r="J246" s="16">
        <v>3</v>
      </c>
      <c r="L246" s="90">
        <v>3</v>
      </c>
      <c r="M246" s="90">
        <v>4</v>
      </c>
      <c r="N246" s="90">
        <v>3</v>
      </c>
      <c r="O246" s="90">
        <v>1</v>
      </c>
      <c r="P246" s="90">
        <v>3</v>
      </c>
      <c r="Q246" s="90">
        <v>3</v>
      </c>
      <c r="S246" s="16">
        <f t="shared" si="91"/>
        <v>0</v>
      </c>
      <c r="T246" s="16">
        <f t="shared" si="94"/>
        <v>0</v>
      </c>
      <c r="U246" s="16">
        <f t="shared" si="92"/>
        <v>0</v>
      </c>
      <c r="V246" s="16">
        <f t="shared" si="93"/>
        <v>0</v>
      </c>
      <c r="W246" s="16">
        <f t="shared" si="90"/>
        <v>0</v>
      </c>
      <c r="X246" s="16">
        <f t="shared" si="88"/>
        <v>0</v>
      </c>
      <c r="Z246" s="16">
        <f t="shared" si="89"/>
        <v>0</v>
      </c>
      <c r="AA246" s="21"/>
      <c r="AB246" s="16" t="s">
        <v>391</v>
      </c>
      <c r="AC246" s="16" t="s">
        <v>393</v>
      </c>
      <c r="AD246" s="16" t="s">
        <v>393</v>
      </c>
      <c r="AF246" s="21" t="s">
        <v>394</v>
      </c>
      <c r="AG246" s="21" t="s">
        <v>394</v>
      </c>
      <c r="AH246" s="21" t="s">
        <v>394</v>
      </c>
      <c r="AI246" s="116"/>
      <c r="AJ246" s="158" t="s">
        <v>469</v>
      </c>
      <c r="AK246" s="116"/>
      <c r="AL246" s="116"/>
      <c r="AM246" s="116"/>
      <c r="AN246" s="116"/>
      <c r="AO246" s="116"/>
      <c r="AP246" s="102"/>
      <c r="AQ246" s="102"/>
      <c r="AR246" s="102"/>
      <c r="AS246" s="102"/>
      <c r="AT246" s="102"/>
    </row>
    <row r="247" spans="1:46">
      <c r="A247" s="2" t="str">
        <f>'Reference Score Calculation'!A238</f>
        <v>JS5317</v>
      </c>
      <c r="B247" s="346" t="str">
        <f>'Reference Score Calculation'!B238</f>
        <v>JS5317</v>
      </c>
      <c r="C247" s="2" t="str">
        <f>'Reference Score Calculation'!E238</f>
        <v>工商管理學士（營運管理學）</v>
      </c>
      <c r="D247" s="16" t="str">
        <f>'Reference Score Calculation'!U238</f>
        <v>125*</v>
      </c>
      <c r="E247" s="16">
        <v>3</v>
      </c>
      <c r="F247" s="16">
        <v>4</v>
      </c>
      <c r="G247" s="16">
        <v>3</v>
      </c>
      <c r="H247" s="16">
        <v>2</v>
      </c>
      <c r="I247" s="16">
        <v>3</v>
      </c>
      <c r="J247" s="16">
        <v>3</v>
      </c>
      <c r="L247" s="90">
        <v>3</v>
      </c>
      <c r="M247" s="90">
        <v>4</v>
      </c>
      <c r="N247" s="90">
        <v>3</v>
      </c>
      <c r="O247" s="90">
        <v>1</v>
      </c>
      <c r="P247" s="90">
        <v>3</v>
      </c>
      <c r="Q247" s="90">
        <v>3</v>
      </c>
      <c r="S247" s="16">
        <f t="shared" si="91"/>
        <v>0</v>
      </c>
      <c r="T247" s="16">
        <f t="shared" si="94"/>
        <v>0</v>
      </c>
      <c r="U247" s="16">
        <f t="shared" si="92"/>
        <v>0</v>
      </c>
      <c r="V247" s="16">
        <f t="shared" si="93"/>
        <v>0</v>
      </c>
      <c r="W247" s="16">
        <f t="shared" si="90"/>
        <v>0</v>
      </c>
      <c r="X247" s="16">
        <f t="shared" si="88"/>
        <v>0</v>
      </c>
      <c r="Z247" s="16">
        <f t="shared" si="89"/>
        <v>0</v>
      </c>
      <c r="AB247" s="16" t="s">
        <v>391</v>
      </c>
      <c r="AC247" s="16" t="s">
        <v>393</v>
      </c>
      <c r="AD247" s="16" t="s">
        <v>393</v>
      </c>
      <c r="AF247" s="21" t="s">
        <v>394</v>
      </c>
      <c r="AG247" s="21" t="s">
        <v>394</v>
      </c>
      <c r="AH247" s="21" t="s">
        <v>394</v>
      </c>
      <c r="AI247" s="116"/>
      <c r="AJ247" s="116"/>
      <c r="AK247" s="116"/>
      <c r="AL247" s="116"/>
      <c r="AM247" s="116"/>
      <c r="AN247" s="116"/>
      <c r="AO247" s="116"/>
      <c r="AP247" s="102"/>
      <c r="AQ247" s="102"/>
      <c r="AR247" s="102"/>
      <c r="AS247" s="102"/>
      <c r="AT247" s="102"/>
    </row>
    <row r="248" spans="1:46">
      <c r="A248" s="2" t="str">
        <f>'Reference Score Calculation'!A239</f>
        <v>JS5318</v>
      </c>
      <c r="B248" s="346" t="str">
        <f>'Reference Score Calculation'!B239</f>
        <v>JS5318</v>
      </c>
      <c r="C248" s="2" t="str">
        <f>'Reference Score Calculation'!E239</f>
        <v>工商管理學士（專業會計學）</v>
      </c>
      <c r="D248" s="16">
        <f>'Reference Score Calculation'!U239</f>
        <v>60</v>
      </c>
      <c r="E248" s="16">
        <v>3</v>
      </c>
      <c r="F248" s="16">
        <v>4</v>
      </c>
      <c r="G248" s="16">
        <v>3</v>
      </c>
      <c r="H248" s="16">
        <v>2</v>
      </c>
      <c r="I248" s="16">
        <v>3</v>
      </c>
      <c r="J248" s="16">
        <v>3</v>
      </c>
      <c r="L248" s="90">
        <v>3</v>
      </c>
      <c r="M248" s="90">
        <v>4</v>
      </c>
      <c r="N248" s="90">
        <v>3</v>
      </c>
      <c r="O248" s="90">
        <v>1</v>
      </c>
      <c r="P248" s="90">
        <v>3</v>
      </c>
      <c r="Q248" s="90">
        <v>3</v>
      </c>
      <c r="S248" s="16">
        <f t="shared" si="91"/>
        <v>0</v>
      </c>
      <c r="T248" s="16">
        <f t="shared" si="94"/>
        <v>0</v>
      </c>
      <c r="U248" s="16">
        <f t="shared" si="92"/>
        <v>0</v>
      </c>
      <c r="V248" s="16">
        <f t="shared" si="93"/>
        <v>0</v>
      </c>
      <c r="W248" s="16">
        <f t="shared" si="90"/>
        <v>0</v>
      </c>
      <c r="X248" s="16">
        <f t="shared" si="88"/>
        <v>0</v>
      </c>
      <c r="Z248" s="16">
        <f t="shared" si="89"/>
        <v>0</v>
      </c>
      <c r="AB248" s="16" t="s">
        <v>391</v>
      </c>
      <c r="AC248" s="16" t="s">
        <v>393</v>
      </c>
      <c r="AD248" s="16" t="s">
        <v>393</v>
      </c>
      <c r="AF248" s="21" t="s">
        <v>394</v>
      </c>
      <c r="AG248" s="21" t="s">
        <v>394</v>
      </c>
      <c r="AH248" s="21" t="s">
        <v>394</v>
      </c>
      <c r="AI248" s="116" t="s">
        <v>352</v>
      </c>
      <c r="AJ248" s="116" t="str">
        <f>Q$2</f>
        <v>請選擇第一選修科</v>
      </c>
      <c r="AK248" s="116" t="str">
        <f>R$2</f>
        <v>請選擇第二選修科</v>
      </c>
      <c r="AL248" s="116" t="str">
        <f>S$2</f>
        <v>請選擇第三選修科</v>
      </c>
      <c r="AM248" s="116" t="str">
        <f>T$2</f>
        <v>請選擇第四選修科</v>
      </c>
      <c r="AN248" s="116" t="str">
        <f>P$2</f>
        <v>數學延伸</v>
      </c>
      <c r="AO248" s="102"/>
      <c r="AP248" s="116" t="s">
        <v>466</v>
      </c>
      <c r="AQ248" s="116"/>
      <c r="AR248" s="102"/>
      <c r="AS248" s="102"/>
      <c r="AT248" s="102"/>
    </row>
    <row r="249" spans="1:46">
      <c r="A249" s="2" t="str">
        <f>'Reference Score Calculation'!A240</f>
        <v>JS5331</v>
      </c>
      <c r="B249" s="346" t="str">
        <f>'Reference Score Calculation'!B240</f>
        <v>JS5331</v>
      </c>
      <c r="C249" s="2" t="str">
        <f>'Reference Score Calculation'!E240</f>
        <v>理學士（經濟及金融學）</v>
      </c>
      <c r="D249" s="16">
        <f>'Reference Score Calculation'!U240</f>
        <v>30</v>
      </c>
      <c r="E249" s="16">
        <v>3</v>
      </c>
      <c r="F249" s="16">
        <v>4</v>
      </c>
      <c r="G249" s="16">
        <v>3</v>
      </c>
      <c r="H249" s="16">
        <v>2</v>
      </c>
      <c r="I249" s="16">
        <v>3</v>
      </c>
      <c r="J249" s="16">
        <v>3</v>
      </c>
      <c r="L249" s="90">
        <v>3</v>
      </c>
      <c r="M249" s="90">
        <v>4</v>
      </c>
      <c r="N249" s="90">
        <v>3</v>
      </c>
      <c r="O249" s="90">
        <v>1</v>
      </c>
      <c r="P249" s="90">
        <v>3</v>
      </c>
      <c r="Q249" s="90">
        <v>3</v>
      </c>
      <c r="S249" s="16">
        <f t="shared" si="91"/>
        <v>0</v>
      </c>
      <c r="T249" s="16">
        <f t="shared" si="94"/>
        <v>0</v>
      </c>
      <c r="U249" s="16">
        <f t="shared" si="92"/>
        <v>0</v>
      </c>
      <c r="V249" s="16">
        <f t="shared" si="93"/>
        <v>0</v>
      </c>
      <c r="W249" s="16">
        <f>IF(P249&gt;LARGE($P$3:$T$3,1),0,1)</f>
        <v>0</v>
      </c>
      <c r="X249" s="16">
        <f t="shared" si="88"/>
        <v>0</v>
      </c>
      <c r="Z249" s="16">
        <f t="shared" si="89"/>
        <v>0</v>
      </c>
      <c r="AB249" s="16" t="s">
        <v>391</v>
      </c>
      <c r="AC249" s="16" t="s">
        <v>393</v>
      </c>
      <c r="AD249" s="16" t="s">
        <v>393</v>
      </c>
      <c r="AF249" s="2" t="s">
        <v>458</v>
      </c>
      <c r="AG249" s="21" t="s">
        <v>394</v>
      </c>
      <c r="AH249" s="21" t="s">
        <v>394</v>
      </c>
      <c r="AI249" s="116"/>
      <c r="AJ249" s="117">
        <f>IF(OR(Q$2="物理",Q$2="化學",Q$2="生物",Q$2="經濟"),Q$3,0)</f>
        <v>0</v>
      </c>
      <c r="AK249" s="117">
        <f>IF(OR(R$2="物理",R$2="化學",R$2="生物",R$2="經濟"),R$3,0)</f>
        <v>0</v>
      </c>
      <c r="AL249" s="117">
        <f>IF(OR(S$2="物理",S$2="化學",S$2="生物",S$2="經濟"),S$3,0)</f>
        <v>0</v>
      </c>
      <c r="AM249" s="117">
        <f>IF(OR(T$2="物理",T$2="化學",T$2="生物",T$2="經濟"),T$3,0)</f>
        <v>0</v>
      </c>
      <c r="AN249" s="117">
        <f>P$3</f>
        <v>5.0000000000000003E-10</v>
      </c>
      <c r="AO249" s="116"/>
      <c r="AP249" s="117" t="str">
        <f>IF(AQ249&gt;0.1,INDEX(AJ248:AN248,MATCH(LARGE(AJ249:AN249,1),AJ249:AN249,0)),"無")</f>
        <v>無</v>
      </c>
      <c r="AQ249" s="117">
        <f>LARGE((AJ249:AN249),1)</f>
        <v>5.0000000000000003E-10</v>
      </c>
      <c r="AR249" s="102"/>
      <c r="AS249" s="102"/>
      <c r="AT249" s="102"/>
    </row>
    <row r="250" spans="1:46">
      <c r="A250" s="2" t="str">
        <f>'Reference Score Calculation'!A241</f>
        <v>JS5332</v>
      </c>
      <c r="B250" s="346" t="str">
        <f>'Reference Score Calculation'!B241</f>
        <v>JS5332</v>
      </c>
      <c r="C250" s="2" t="str">
        <f>'Reference Score Calculation'!E241</f>
        <v>理學士（量化金融學）</v>
      </c>
      <c r="D250" s="16">
        <f>'Reference Score Calculation'!U241</f>
        <v>20</v>
      </c>
      <c r="E250" s="16">
        <v>3</v>
      </c>
      <c r="F250" s="16">
        <v>4</v>
      </c>
      <c r="G250" s="16">
        <v>3</v>
      </c>
      <c r="H250" s="16">
        <v>2</v>
      </c>
      <c r="I250" s="16">
        <v>3</v>
      </c>
      <c r="J250" s="16">
        <v>3</v>
      </c>
      <c r="L250" s="90">
        <v>3</v>
      </c>
      <c r="M250" s="90">
        <v>4</v>
      </c>
      <c r="N250" s="90">
        <v>3</v>
      </c>
      <c r="O250" s="90">
        <v>1</v>
      </c>
      <c r="P250" s="90">
        <v>3</v>
      </c>
      <c r="Q250" s="90">
        <v>3</v>
      </c>
      <c r="S250" s="16">
        <f t="shared" si="91"/>
        <v>0</v>
      </c>
      <c r="T250" s="16">
        <f t="shared" si="94"/>
        <v>0</v>
      </c>
      <c r="U250" s="16">
        <f t="shared" si="92"/>
        <v>0</v>
      </c>
      <c r="V250" s="16">
        <f t="shared" si="93"/>
        <v>0</v>
      </c>
      <c r="W250" s="16">
        <f t="shared" si="90"/>
        <v>0</v>
      </c>
      <c r="X250" s="16">
        <f t="shared" si="88"/>
        <v>0</v>
      </c>
      <c r="Z250" s="16">
        <f t="shared" si="89"/>
        <v>0</v>
      </c>
      <c r="AB250" s="16" t="s">
        <v>391</v>
      </c>
      <c r="AC250" s="16" t="s">
        <v>393</v>
      </c>
      <c r="AD250" s="16" t="s">
        <v>393</v>
      </c>
      <c r="AF250" s="2" t="s">
        <v>458</v>
      </c>
      <c r="AG250" s="21" t="s">
        <v>394</v>
      </c>
      <c r="AH250" s="21" t="s">
        <v>394</v>
      </c>
      <c r="AI250" s="116"/>
      <c r="AJ250" s="158" t="s">
        <v>2434</v>
      </c>
      <c r="AK250" s="116"/>
      <c r="AL250" s="116"/>
      <c r="AM250" s="116"/>
      <c r="AN250" s="116"/>
      <c r="AO250" s="116"/>
      <c r="AP250" s="102"/>
      <c r="AQ250" s="102"/>
      <c r="AR250" s="102"/>
      <c r="AS250" s="102"/>
      <c r="AT250" s="102"/>
    </row>
    <row r="251" spans="1:46">
      <c r="A251" s="2" t="str">
        <f>'Reference Score Calculation'!A242</f>
        <v>JS5411</v>
      </c>
      <c r="B251" s="346" t="str">
        <f>'Reference Score Calculation'!B242</f>
        <v>JS5411</v>
      </c>
      <c r="C251" s="2" t="str">
        <f>'Reference Score Calculation'!E242</f>
        <v>理學士（環球中國研究）</v>
      </c>
      <c r="D251" s="16">
        <f>'Reference Score Calculation'!U242</f>
        <v>50</v>
      </c>
      <c r="E251" s="16">
        <v>3</v>
      </c>
      <c r="F251" s="16">
        <v>3</v>
      </c>
      <c r="G251" s="16">
        <v>2</v>
      </c>
      <c r="H251" s="16">
        <v>2</v>
      </c>
      <c r="I251" s="16">
        <v>3</v>
      </c>
      <c r="J251" s="16">
        <v>3</v>
      </c>
      <c r="L251" s="90">
        <v>3</v>
      </c>
      <c r="M251" s="90">
        <v>3</v>
      </c>
      <c r="N251" s="90">
        <v>2</v>
      </c>
      <c r="O251" s="90">
        <v>1</v>
      </c>
      <c r="P251" s="90">
        <v>3</v>
      </c>
      <c r="Q251" s="90">
        <v>3</v>
      </c>
      <c r="S251" s="16">
        <f t="shared" si="91"/>
        <v>0</v>
      </c>
      <c r="T251" s="16">
        <f t="shared" si="94"/>
        <v>0</v>
      </c>
      <c r="U251" s="16">
        <f t="shared" si="92"/>
        <v>0</v>
      </c>
      <c r="V251" s="16">
        <f t="shared" si="93"/>
        <v>0</v>
      </c>
      <c r="W251" s="16">
        <f>IF(P251&gt;LARGE($P$3:$T$3,1),0,1)</f>
        <v>0</v>
      </c>
      <c r="X251" s="16">
        <f>IF(OR(OR($V$3="A",$V$3="B",$V$3="C"),Q251&lt;LARGE($P$3:$T$3,2)),1,0)</f>
        <v>0</v>
      </c>
      <c r="Z251" s="16">
        <f t="shared" si="89"/>
        <v>0</v>
      </c>
      <c r="AB251" s="16" t="s">
        <v>391</v>
      </c>
      <c r="AC251" s="16" t="s">
        <v>2316</v>
      </c>
      <c r="AD251" s="16" t="s">
        <v>393</v>
      </c>
      <c r="AF251" s="21" t="s">
        <v>394</v>
      </c>
      <c r="AG251" s="21" t="s">
        <v>394</v>
      </c>
      <c r="AH251" s="21" t="s">
        <v>394</v>
      </c>
      <c r="AI251" s="116"/>
      <c r="AJ251" s="116"/>
      <c r="AK251" s="116"/>
      <c r="AL251" s="116"/>
      <c r="AM251" s="116"/>
      <c r="AN251" s="116"/>
      <c r="AO251" s="116"/>
      <c r="AP251" s="116"/>
      <c r="AQ251" s="116"/>
      <c r="AR251" s="116"/>
      <c r="AS251" s="102"/>
      <c r="AT251" s="102"/>
    </row>
    <row r="252" spans="1:46">
      <c r="A252" s="2" t="str">
        <f>'Reference Score Calculation'!A243</f>
        <v>JS5412</v>
      </c>
      <c r="B252" s="346" t="str">
        <f>'Reference Score Calculation'!B243</f>
        <v>JS5412</v>
      </c>
      <c r="C252" s="2" t="str">
        <f>'Reference Score Calculation'!E243</f>
        <v>理學士（定量社會數據分析）</v>
      </c>
      <c r="D252" s="16">
        <f>'Reference Score Calculation'!U243</f>
        <v>26</v>
      </c>
      <c r="E252" s="16">
        <v>3</v>
      </c>
      <c r="F252" s="16">
        <v>3</v>
      </c>
      <c r="G252" s="16">
        <v>3</v>
      </c>
      <c r="H252" s="16">
        <v>2</v>
      </c>
      <c r="I252" s="16">
        <v>3</v>
      </c>
      <c r="J252" s="16">
        <v>3</v>
      </c>
      <c r="L252" s="90">
        <v>3</v>
      </c>
      <c r="M252" s="90">
        <v>3</v>
      </c>
      <c r="N252" s="90">
        <v>3</v>
      </c>
      <c r="O252" s="90">
        <v>1</v>
      </c>
      <c r="P252" s="90">
        <v>3</v>
      </c>
      <c r="Q252" s="90">
        <v>3</v>
      </c>
      <c r="S252" s="16">
        <f t="shared" si="91"/>
        <v>0</v>
      </c>
      <c r="T252" s="16">
        <f t="shared" si="94"/>
        <v>0</v>
      </c>
      <c r="U252" s="16">
        <f>IF(N252&gt;N$3,0,IF(N$3&lt;4,2,1))</f>
        <v>0</v>
      </c>
      <c r="V252" s="16">
        <f t="shared" ref="V252:V259" si="95">IF(O252&gt;O$3,0,1)</f>
        <v>0</v>
      </c>
      <c r="W252" s="16">
        <f t="shared" si="90"/>
        <v>0</v>
      </c>
      <c r="X252" s="16">
        <f>IF(Q252&gt;LARGE($P$3:$T$3,2),0,1)</f>
        <v>0</v>
      </c>
      <c r="Z252" s="16">
        <f t="shared" si="89"/>
        <v>0</v>
      </c>
      <c r="AB252" s="16" t="s">
        <v>391</v>
      </c>
      <c r="AC252" s="16" t="s">
        <v>393</v>
      </c>
      <c r="AD252" s="16" t="s">
        <v>393</v>
      </c>
      <c r="AF252" s="21" t="s">
        <v>470</v>
      </c>
      <c r="AG252" s="21" t="s">
        <v>394</v>
      </c>
      <c r="AH252" s="21" t="s">
        <v>394</v>
      </c>
      <c r="AI252" s="116"/>
      <c r="AJ252" s="116"/>
      <c r="AK252" s="116"/>
      <c r="AL252" s="116"/>
      <c r="AM252" s="116"/>
      <c r="AN252" s="116"/>
      <c r="AO252" s="116"/>
      <c r="AP252" s="116"/>
      <c r="AQ252" s="116"/>
      <c r="AR252" s="116"/>
      <c r="AS252" s="102"/>
      <c r="AT252" s="102"/>
    </row>
    <row r="253" spans="1:46">
      <c r="A253" s="2" t="str">
        <f>'Reference Score Calculation'!A244</f>
        <v>JS5711</v>
      </c>
      <c r="B253" s="346" t="str">
        <f>'Reference Score Calculation'!B244</f>
        <v>JS5711</v>
      </c>
      <c r="C253" s="2" t="str">
        <f>'Reference Score Calculation'!E244</f>
        <v>理學士（綜合系統與設計）</v>
      </c>
      <c r="D253" s="16">
        <f>'Reference Score Calculation'!U244</f>
        <v>20</v>
      </c>
      <c r="E253" s="16">
        <v>3</v>
      </c>
      <c r="F253" s="16">
        <v>3</v>
      </c>
      <c r="G253" s="16">
        <v>3</v>
      </c>
      <c r="H253" s="16">
        <v>2</v>
      </c>
      <c r="I253" s="16">
        <v>3</v>
      </c>
      <c r="J253" s="16">
        <v>3</v>
      </c>
      <c r="L253" s="90">
        <v>3</v>
      </c>
      <c r="M253" s="90">
        <v>3</v>
      </c>
      <c r="N253" s="90">
        <v>3</v>
      </c>
      <c r="O253" s="90">
        <v>1</v>
      </c>
      <c r="P253" s="90">
        <v>3</v>
      </c>
      <c r="Q253" s="90">
        <v>3</v>
      </c>
      <c r="S253" s="16">
        <f t="shared" si="91"/>
        <v>0</v>
      </c>
      <c r="T253" s="16">
        <f t="shared" si="94"/>
        <v>0</v>
      </c>
      <c r="U253" s="16">
        <f t="shared" ref="U253:U259" si="96">IF(N253&gt;N$3,0,1)</f>
        <v>0</v>
      </c>
      <c r="V253" s="16">
        <f t="shared" si="95"/>
        <v>0</v>
      </c>
      <c r="W253" s="16">
        <f>IF(P253&gt;$AQ$241,0,1)</f>
        <v>0</v>
      </c>
      <c r="X253" s="16">
        <f>IF(Q253&gt;LARGE($P$3:$T$3,2),0,1)</f>
        <v>0</v>
      </c>
      <c r="Z253" s="16">
        <f>IF(S253*T253*U253*V253*W253*X253=0,0,2)</f>
        <v>0</v>
      </c>
      <c r="AB253" s="16" t="s">
        <v>391</v>
      </c>
      <c r="AC253" s="16" t="s">
        <v>393</v>
      </c>
      <c r="AD253" s="16" t="s">
        <v>393</v>
      </c>
      <c r="AF253" s="21" t="s">
        <v>464</v>
      </c>
      <c r="AG253" s="2" t="s">
        <v>465</v>
      </c>
      <c r="AH253" s="21" t="s">
        <v>394</v>
      </c>
      <c r="AI253" s="116"/>
      <c r="AJ253" s="116"/>
      <c r="AK253" s="116"/>
      <c r="AL253" s="116"/>
      <c r="AM253" s="116"/>
      <c r="AN253" s="116"/>
      <c r="AO253" s="116"/>
      <c r="AP253" s="116"/>
      <c r="AQ253" s="116"/>
      <c r="AR253" s="116"/>
      <c r="AS253" s="102"/>
      <c r="AT253" s="102"/>
    </row>
    <row r="254" spans="1:46">
      <c r="A254" s="2" t="str">
        <f>'Reference Score Calculation'!A245</f>
        <v>JS5811</v>
      </c>
      <c r="B254" s="346" t="str">
        <f>'Reference Score Calculation'!B245</f>
        <v>JS5811</v>
      </c>
      <c r="C254" s="2" t="str">
        <f>'Reference Score Calculation'!E245</f>
        <v>理學士（生物科技及商學）</v>
      </c>
      <c r="D254" s="16">
        <f>'Reference Score Calculation'!U245</f>
        <v>25</v>
      </c>
      <c r="E254" s="16">
        <v>3</v>
      </c>
      <c r="F254" s="16">
        <v>4</v>
      </c>
      <c r="G254" s="16">
        <v>3</v>
      </c>
      <c r="H254" s="16">
        <v>2</v>
      </c>
      <c r="I254" s="16">
        <v>3</v>
      </c>
      <c r="J254" s="16">
        <v>3</v>
      </c>
      <c r="L254" s="90">
        <v>3</v>
      </c>
      <c r="M254" s="90">
        <v>4</v>
      </c>
      <c r="N254" s="90">
        <v>3</v>
      </c>
      <c r="O254" s="90">
        <v>1</v>
      </c>
      <c r="P254" s="90">
        <v>3</v>
      </c>
      <c r="Q254" s="90">
        <v>3</v>
      </c>
      <c r="S254" s="16">
        <f t="shared" si="91"/>
        <v>0</v>
      </c>
      <c r="T254" s="16">
        <f t="shared" si="94"/>
        <v>0</v>
      </c>
      <c r="U254" s="16">
        <f t="shared" si="96"/>
        <v>0</v>
      </c>
      <c r="V254" s="16">
        <f t="shared" si="95"/>
        <v>0</v>
      </c>
      <c r="W254" s="16">
        <f>IF(P254&gt;$AQ$245,0,1)</f>
        <v>0</v>
      </c>
      <c r="X254" s="16">
        <f>IF(Q254&gt;LARGE($P$3:$T$3,2),0,1)</f>
        <v>0</v>
      </c>
      <c r="Z254" s="16">
        <f t="shared" ref="Z254:Z259" si="97">S254*T254*U254*V254*W254*X254</f>
        <v>0</v>
      </c>
      <c r="AB254" s="16" t="s">
        <v>391</v>
      </c>
      <c r="AC254" s="16" t="s">
        <v>393</v>
      </c>
      <c r="AD254" s="16" t="s">
        <v>393</v>
      </c>
      <c r="AF254" s="21" t="s">
        <v>417</v>
      </c>
      <c r="AG254" s="21" t="s">
        <v>394</v>
      </c>
      <c r="AH254" s="21" t="s">
        <v>394</v>
      </c>
    </row>
    <row r="255" spans="1:46">
      <c r="A255" s="2" t="str">
        <f>'Reference Score Calculation'!A246</f>
        <v>JS5812</v>
      </c>
      <c r="B255" s="346" t="str">
        <f>'Reference Score Calculation'!B246</f>
        <v>JS5812</v>
      </c>
      <c r="C255" s="2" t="str">
        <f>'Reference Score Calculation'!E246</f>
        <v>理學士（環境管理及科技）</v>
      </c>
      <c r="D255" s="16">
        <f>'Reference Score Calculation'!U246</f>
        <v>21</v>
      </c>
      <c r="E255" s="16">
        <v>3</v>
      </c>
      <c r="F255" s="16">
        <v>4</v>
      </c>
      <c r="G255" s="16">
        <v>3</v>
      </c>
      <c r="H255" s="16">
        <v>2</v>
      </c>
      <c r="I255" s="16">
        <v>3</v>
      </c>
      <c r="J255" s="16">
        <v>3</v>
      </c>
      <c r="L255" s="90">
        <v>3</v>
      </c>
      <c r="M255" s="90">
        <v>4</v>
      </c>
      <c r="N255" s="90">
        <v>3</v>
      </c>
      <c r="O255" s="90">
        <v>1</v>
      </c>
      <c r="P255" s="90">
        <v>3</v>
      </c>
      <c r="Q255" s="90">
        <v>3</v>
      </c>
      <c r="S255" s="16">
        <f t="shared" si="91"/>
        <v>0</v>
      </c>
      <c r="T255" s="16">
        <f t="shared" si="94"/>
        <v>0</v>
      </c>
      <c r="U255" s="16">
        <f t="shared" si="96"/>
        <v>0</v>
      </c>
      <c r="V255" s="16">
        <f t="shared" si="95"/>
        <v>0</v>
      </c>
      <c r="W255" s="16">
        <f>IF(P255&gt;LARGE($P$3:$T$3,1),0,1)</f>
        <v>0</v>
      </c>
      <c r="X255" s="16">
        <f>IF(OR(OR($V$3="A",$V$3="B",$V$3="C"),Q255&lt;LARGE($P$3:$T$3,2)),1,0)</f>
        <v>0</v>
      </c>
      <c r="Z255" s="16">
        <f t="shared" si="97"/>
        <v>0</v>
      </c>
      <c r="AB255" s="16" t="s">
        <v>391</v>
      </c>
      <c r="AC255" s="16" t="s">
        <v>2316</v>
      </c>
      <c r="AD255" s="16" t="s">
        <v>393</v>
      </c>
      <c r="AF255" s="21" t="s">
        <v>394</v>
      </c>
      <c r="AG255" s="21" t="s">
        <v>394</v>
      </c>
      <c r="AH255" s="21" t="s">
        <v>394</v>
      </c>
    </row>
    <row r="256" spans="1:46">
      <c r="A256" s="2" t="str">
        <f>'Reference Score Calculation'!A247</f>
        <v>JS5813</v>
      </c>
      <c r="B256" s="346" t="str">
        <f>'Reference Score Calculation'!B247</f>
        <v>JS5813</v>
      </c>
      <c r="C256" s="2" t="str">
        <f>'Reference Score Calculation'!E247</f>
        <v>理學士（數學與經濟學）</v>
      </c>
      <c r="D256" s="16">
        <f>'Reference Score Calculation'!U247</f>
        <v>15</v>
      </c>
      <c r="E256" s="16">
        <v>3</v>
      </c>
      <c r="F256" s="16">
        <v>4</v>
      </c>
      <c r="G256" s="16">
        <v>3</v>
      </c>
      <c r="H256" s="16">
        <v>2</v>
      </c>
      <c r="I256" s="16">
        <v>3</v>
      </c>
      <c r="J256" s="16">
        <v>3</v>
      </c>
      <c r="L256" s="90">
        <v>3</v>
      </c>
      <c r="M256" s="90">
        <v>4</v>
      </c>
      <c r="N256" s="90">
        <v>3</v>
      </c>
      <c r="O256" s="90">
        <v>1</v>
      </c>
      <c r="P256" s="90">
        <v>3</v>
      </c>
      <c r="Q256" s="90">
        <v>3</v>
      </c>
      <c r="S256" s="16">
        <f t="shared" si="91"/>
        <v>0</v>
      </c>
      <c r="T256" s="16">
        <f t="shared" si="94"/>
        <v>0</v>
      </c>
      <c r="U256" s="16">
        <f t="shared" si="96"/>
        <v>0</v>
      </c>
      <c r="V256" s="16">
        <f t="shared" si="95"/>
        <v>0</v>
      </c>
      <c r="W256" s="16">
        <f>IF(P256&gt;$AQ$249,0,1)</f>
        <v>0</v>
      </c>
      <c r="X256" s="16">
        <f>IF(Q256&gt;LARGE($P$3:$T$3,2),0,1)</f>
        <v>0</v>
      </c>
      <c r="Z256" s="16">
        <f t="shared" si="97"/>
        <v>0</v>
      </c>
      <c r="AB256" s="16" t="s">
        <v>391</v>
      </c>
      <c r="AC256" s="16" t="s">
        <v>393</v>
      </c>
      <c r="AD256" s="16" t="s">
        <v>393</v>
      </c>
      <c r="AF256" s="21" t="s">
        <v>471</v>
      </c>
      <c r="AG256" s="21" t="s">
        <v>394</v>
      </c>
      <c r="AH256" s="21" t="s">
        <v>394</v>
      </c>
    </row>
    <row r="257" spans="1:46">
      <c r="A257" s="2" t="str">
        <f>'Reference Score Calculation'!A248</f>
        <v>JS5814</v>
      </c>
      <c r="B257" s="346" t="str">
        <f>'Reference Score Calculation'!B248</f>
        <v>JS5814</v>
      </c>
      <c r="C257" s="2" t="str">
        <f>'Reference Score Calculation'!E248</f>
        <v>理學士（風險管理及商業智能學）</v>
      </c>
      <c r="D257" s="16">
        <f>'Reference Score Calculation'!U248</f>
        <v>22</v>
      </c>
      <c r="E257" s="16">
        <v>3</v>
      </c>
      <c r="F257" s="16">
        <v>4</v>
      </c>
      <c r="G257" s="16">
        <v>3</v>
      </c>
      <c r="H257" s="16">
        <v>2</v>
      </c>
      <c r="I257" s="16">
        <v>3</v>
      </c>
      <c r="J257" s="16">
        <v>3</v>
      </c>
      <c r="L257" s="90">
        <v>3</v>
      </c>
      <c r="M257" s="90">
        <v>4</v>
      </c>
      <c r="N257" s="90">
        <v>3</v>
      </c>
      <c r="O257" s="90">
        <v>1</v>
      </c>
      <c r="P257" s="90">
        <v>3</v>
      </c>
      <c r="Q257" s="90">
        <v>3</v>
      </c>
      <c r="S257" s="16">
        <f t="shared" si="91"/>
        <v>0</v>
      </c>
      <c r="T257" s="16">
        <f t="shared" si="94"/>
        <v>0</v>
      </c>
      <c r="U257" s="16">
        <f t="shared" si="96"/>
        <v>0</v>
      </c>
      <c r="V257" s="16">
        <f t="shared" si="95"/>
        <v>0</v>
      </c>
      <c r="W257" s="16">
        <f t="shared" si="90"/>
        <v>0</v>
      </c>
      <c r="X257" s="16">
        <f>IF(Q257&gt;LARGE($P$3:$T$3,2),0,1)</f>
        <v>0</v>
      </c>
      <c r="Z257" s="16">
        <f t="shared" si="97"/>
        <v>0</v>
      </c>
      <c r="AB257" s="16" t="s">
        <v>391</v>
      </c>
      <c r="AC257" s="16" t="s">
        <v>393</v>
      </c>
      <c r="AD257" s="16" t="s">
        <v>393</v>
      </c>
      <c r="AF257" s="2" t="s">
        <v>458</v>
      </c>
      <c r="AG257" s="21" t="s">
        <v>394</v>
      </c>
      <c r="AH257" s="21" t="s">
        <v>394</v>
      </c>
    </row>
    <row r="258" spans="1:46">
      <c r="A258" s="2" t="str">
        <f>'Reference Score Calculation'!A249</f>
        <v>JS5822</v>
      </c>
      <c r="B258" s="346" t="str">
        <f>'Reference Score Calculation'!B249</f>
        <v>JS5822</v>
      </c>
      <c r="C258" s="2" t="str">
        <f>'Reference Score Calculation'!E249</f>
        <v>理學士（可持續發展及綠色金融）</v>
      </c>
      <c r="D258" s="16">
        <f>'Reference Score Calculation'!U249</f>
        <v>18</v>
      </c>
      <c r="E258" s="16">
        <v>3</v>
      </c>
      <c r="F258" s="16">
        <v>4</v>
      </c>
      <c r="G258" s="16">
        <v>3</v>
      </c>
      <c r="H258" s="16">
        <v>2</v>
      </c>
      <c r="I258" s="16">
        <v>3</v>
      </c>
      <c r="J258" s="16">
        <v>3</v>
      </c>
      <c r="L258" s="90">
        <v>3</v>
      </c>
      <c r="M258" s="90">
        <v>4</v>
      </c>
      <c r="N258" s="90">
        <v>3</v>
      </c>
      <c r="O258" s="90">
        <v>1</v>
      </c>
      <c r="P258" s="90">
        <v>3</v>
      </c>
      <c r="Q258" s="90">
        <v>3</v>
      </c>
      <c r="S258" s="16">
        <f t="shared" si="91"/>
        <v>0</v>
      </c>
      <c r="T258" s="16">
        <f t="shared" si="94"/>
        <v>0</v>
      </c>
      <c r="U258" s="16">
        <f t="shared" si="96"/>
        <v>0</v>
      </c>
      <c r="V258" s="16">
        <f t="shared" si="95"/>
        <v>0</v>
      </c>
      <c r="W258" s="16">
        <f t="shared" si="90"/>
        <v>0</v>
      </c>
      <c r="X258" s="16">
        <f>IF(Q258&gt;LARGE($P$3:$T$3,2),0,1)</f>
        <v>0</v>
      </c>
      <c r="Z258" s="16">
        <f t="shared" si="97"/>
        <v>0</v>
      </c>
      <c r="AB258" s="16" t="s">
        <v>391</v>
      </c>
      <c r="AC258" s="16" t="s">
        <v>393</v>
      </c>
      <c r="AD258" s="16" t="s">
        <v>393</v>
      </c>
      <c r="AF258" s="2" t="s">
        <v>458</v>
      </c>
      <c r="AG258" s="21" t="s">
        <v>394</v>
      </c>
      <c r="AH258" s="21" t="s">
        <v>394</v>
      </c>
    </row>
    <row r="259" spans="1:46">
      <c r="A259" s="2" t="str">
        <f>'Reference Score Calculation'!A250</f>
        <v>JS5901</v>
      </c>
      <c r="B259" s="346" t="str">
        <f>'Reference Score Calculation'!B250</f>
        <v>JS5901</v>
      </c>
      <c r="C259" s="2" t="str">
        <f>'Reference Score Calculation'!E250</f>
        <v>科技及管理學雙學位課程</v>
      </c>
      <c r="D259" s="16">
        <f>'Reference Score Calculation'!U250</f>
        <v>22</v>
      </c>
      <c r="E259" s="16">
        <v>3</v>
      </c>
      <c r="F259" s="16">
        <v>4</v>
      </c>
      <c r="G259" s="16">
        <v>3</v>
      </c>
      <c r="H259" s="16">
        <v>2</v>
      </c>
      <c r="I259" s="16">
        <v>3</v>
      </c>
      <c r="J259" s="16">
        <v>3</v>
      </c>
      <c r="L259" s="90">
        <v>3</v>
      </c>
      <c r="M259" s="90">
        <v>4</v>
      </c>
      <c r="N259" s="90">
        <v>3</v>
      </c>
      <c r="O259" s="90">
        <v>1</v>
      </c>
      <c r="P259" s="90">
        <v>3</v>
      </c>
      <c r="Q259" s="90">
        <v>3</v>
      </c>
      <c r="S259" s="16">
        <f t="shared" si="91"/>
        <v>0</v>
      </c>
      <c r="T259" s="16">
        <f t="shared" si="94"/>
        <v>0</v>
      </c>
      <c r="U259" s="16">
        <f t="shared" si="96"/>
        <v>0</v>
      </c>
      <c r="V259" s="16">
        <f t="shared" si="95"/>
        <v>0</v>
      </c>
      <c r="W259" s="16">
        <f>IF(P259&gt;$AQ$237,0,1)</f>
        <v>0</v>
      </c>
      <c r="X259" s="16">
        <f>IF(Q259&gt;LARGE($P$3:$T$3,2),0,1)</f>
        <v>0</v>
      </c>
      <c r="Z259" s="16">
        <f t="shared" si="97"/>
        <v>0</v>
      </c>
      <c r="AB259" s="16" t="s">
        <v>391</v>
      </c>
      <c r="AC259" s="16" t="s">
        <v>393</v>
      </c>
      <c r="AD259" s="16" t="s">
        <v>393</v>
      </c>
      <c r="AF259" s="21" t="s">
        <v>462</v>
      </c>
      <c r="AG259" s="21" t="s">
        <v>394</v>
      </c>
      <c r="AH259" s="21" t="s">
        <v>394</v>
      </c>
    </row>
    <row r="260" spans="1:46">
      <c r="B260" s="424" t="s">
        <v>231</v>
      </c>
      <c r="C260" s="424" t="s">
        <v>3155</v>
      </c>
      <c r="L260" s="90"/>
      <c r="M260" s="90"/>
      <c r="N260" s="90"/>
      <c r="O260" s="90"/>
      <c r="P260" s="90"/>
      <c r="Q260" s="90"/>
      <c r="AH260" s="21" t="s">
        <v>394</v>
      </c>
    </row>
    <row r="261" spans="1:46">
      <c r="B261" s="424" t="s">
        <v>104</v>
      </c>
      <c r="C261" s="11" t="s">
        <v>106</v>
      </c>
      <c r="D261" s="19" t="s">
        <v>36</v>
      </c>
      <c r="E261" s="19"/>
      <c r="F261" s="19"/>
      <c r="G261" s="19"/>
      <c r="H261" s="19"/>
      <c r="I261" s="19"/>
      <c r="J261" s="19"/>
      <c r="K261" s="19"/>
      <c r="L261" s="92" t="s">
        <v>111</v>
      </c>
      <c r="M261" s="92" t="s">
        <v>112</v>
      </c>
      <c r="N261" s="92" t="s">
        <v>113</v>
      </c>
      <c r="O261" s="92" t="s">
        <v>114</v>
      </c>
      <c r="P261" s="92" t="s">
        <v>115</v>
      </c>
      <c r="Q261" s="92" t="s">
        <v>116</v>
      </c>
      <c r="R261" s="16"/>
      <c r="S261" s="19" t="s">
        <v>111</v>
      </c>
      <c r="T261" s="19" t="s">
        <v>112</v>
      </c>
      <c r="U261" s="19" t="s">
        <v>113</v>
      </c>
      <c r="V261" s="19" t="s">
        <v>114</v>
      </c>
      <c r="W261" s="19" t="s">
        <v>115</v>
      </c>
      <c r="X261" s="19" t="s">
        <v>116</v>
      </c>
      <c r="Z261" s="2"/>
      <c r="AB261" s="16" t="s">
        <v>267</v>
      </c>
      <c r="AC261" s="16" t="s">
        <v>268</v>
      </c>
      <c r="AD261" s="16" t="s">
        <v>269</v>
      </c>
      <c r="AH261" s="21" t="s">
        <v>394</v>
      </c>
    </row>
    <row r="262" spans="1:46">
      <c r="A262" s="2" t="str">
        <f>'Reference Score Calculation'!A253</f>
        <v>JS6004</v>
      </c>
      <c r="B262" s="346" t="str">
        <f>'Reference Score Calculation'!B253</f>
        <v>JS6004</v>
      </c>
      <c r="C262" s="2" t="str">
        <f>'Reference Score Calculation'!E253</f>
        <v>建築學文學士</v>
      </c>
      <c r="D262" s="16">
        <f>'Reference Score Calculation'!U253</f>
        <v>56</v>
      </c>
      <c r="E262" s="16">
        <v>3</v>
      </c>
      <c r="F262" s="16">
        <v>3</v>
      </c>
      <c r="G262" s="16">
        <v>2</v>
      </c>
      <c r="H262" s="16">
        <v>2</v>
      </c>
      <c r="I262" s="16">
        <v>3</v>
      </c>
      <c r="J262" s="16">
        <v>3</v>
      </c>
      <c r="L262" s="407">
        <v>3</v>
      </c>
      <c r="M262" s="407">
        <v>3</v>
      </c>
      <c r="N262" s="407">
        <v>2</v>
      </c>
      <c r="O262" s="407">
        <v>1</v>
      </c>
      <c r="P262" s="407">
        <v>3</v>
      </c>
      <c r="Q262" s="407">
        <v>3</v>
      </c>
      <c r="R262" s="16"/>
      <c r="S262" s="16">
        <f t="shared" ref="S262:S284" si="98">IF(L262&gt;L$3,0,1)</f>
        <v>0</v>
      </c>
      <c r="T262" s="16">
        <f t="shared" ref="T262:T284" si="99">IF(M262&gt;M$3,0,1)</f>
        <v>0</v>
      </c>
      <c r="U262" s="16">
        <f t="shared" ref="U262:U284" si="100">IF(N262&gt;N$3,0,1)</f>
        <v>0</v>
      </c>
      <c r="V262" s="16">
        <f t="shared" ref="V262:V284" si="101">IF(O262&gt;O$3,0,1)</f>
        <v>0</v>
      </c>
      <c r="W262" s="16">
        <f t="shared" ref="W262:W270" si="102">IF(P262&gt;LARGE($Q$3:$T$3,1),0,1)</f>
        <v>0</v>
      </c>
      <c r="X262" s="16">
        <f t="shared" ref="X262:X270" si="103">IF(OR($P$3&gt;Q262,$U$3&gt;Q262),1,IF(Q262&gt;LARGE($Q$3:$T$3,2),0,1))</f>
        <v>0</v>
      </c>
      <c r="Z262" s="16">
        <f>IF(S262*T262*U262*V262*W262*X262=0,0,2)</f>
        <v>0</v>
      </c>
      <c r="AB262" s="16" t="s">
        <v>391</v>
      </c>
      <c r="AC262" s="16" t="s">
        <v>420</v>
      </c>
      <c r="AD262" s="16" t="s">
        <v>393</v>
      </c>
      <c r="AF262" s="21" t="s">
        <v>472</v>
      </c>
      <c r="AG262" s="21" t="s">
        <v>473</v>
      </c>
      <c r="AI262" s="121" t="s">
        <v>231</v>
      </c>
      <c r="AJ262" s="121" t="s">
        <v>390</v>
      </c>
      <c r="AK262" s="102"/>
      <c r="AL262" s="115"/>
      <c r="AM262" s="115"/>
      <c r="AN262" s="115"/>
      <c r="AO262" s="115"/>
      <c r="AP262" s="115"/>
      <c r="AQ262" s="115"/>
      <c r="AR262" s="115"/>
      <c r="AS262" s="102"/>
      <c r="AT262" s="102"/>
    </row>
    <row r="263" spans="1:46">
      <c r="A263" s="2" t="str">
        <f>'Reference Score Calculation'!A254</f>
        <v>JS6016</v>
      </c>
      <c r="B263" s="346" t="str">
        <f>'Reference Score Calculation'!B254</f>
        <v>JS6016</v>
      </c>
      <c r="C263" s="2" t="str">
        <f>'Reference Score Calculation'!E254</f>
        <v>理學士(測量學)</v>
      </c>
      <c r="D263" s="16">
        <f>'Reference Score Calculation'!U254</f>
        <v>42</v>
      </c>
      <c r="E263" s="16">
        <v>3</v>
      </c>
      <c r="F263" s="16">
        <v>3</v>
      </c>
      <c r="G263" s="16">
        <v>2</v>
      </c>
      <c r="H263" s="16">
        <v>2</v>
      </c>
      <c r="I263" s="16">
        <v>3</v>
      </c>
      <c r="J263" s="16">
        <v>3</v>
      </c>
      <c r="L263" s="407">
        <v>3</v>
      </c>
      <c r="M263" s="407">
        <v>3</v>
      </c>
      <c r="N263" s="407">
        <v>2</v>
      </c>
      <c r="O263" s="407">
        <v>1</v>
      </c>
      <c r="P263" s="407">
        <v>3</v>
      </c>
      <c r="Q263" s="407">
        <v>3</v>
      </c>
      <c r="R263" s="16"/>
      <c r="S263" s="16">
        <f t="shared" si="98"/>
        <v>0</v>
      </c>
      <c r="T263" s="16">
        <f t="shared" si="99"/>
        <v>0</v>
      </c>
      <c r="U263" s="16">
        <f t="shared" si="100"/>
        <v>0</v>
      </c>
      <c r="V263" s="16">
        <f t="shared" si="101"/>
        <v>0</v>
      </c>
      <c r="W263" s="16">
        <f t="shared" si="102"/>
        <v>0</v>
      </c>
      <c r="X263" s="16">
        <f t="shared" si="103"/>
        <v>0</v>
      </c>
      <c r="Z263" s="16">
        <f t="shared" ref="Z263:Z284" si="104">S263*T263*U263*V263*W263*X263</f>
        <v>0</v>
      </c>
      <c r="AB263" s="16" t="s">
        <v>391</v>
      </c>
      <c r="AC263" s="16" t="s">
        <v>420</v>
      </c>
      <c r="AD263" s="16" t="s">
        <v>393</v>
      </c>
      <c r="AF263" s="21" t="s">
        <v>394</v>
      </c>
      <c r="AG263" s="21" t="s">
        <v>394</v>
      </c>
      <c r="AI263" s="116"/>
      <c r="AJ263" s="116"/>
      <c r="AK263" s="116"/>
      <c r="AL263" s="116"/>
      <c r="AM263" s="116"/>
      <c r="AN263" s="102"/>
      <c r="AO263" s="102"/>
      <c r="AP263" s="102"/>
      <c r="AQ263" s="102"/>
      <c r="AR263" s="102"/>
      <c r="AS263" s="102"/>
      <c r="AT263" s="102"/>
    </row>
    <row r="264" spans="1:46">
      <c r="A264" s="2" t="str">
        <f>'Reference Score Calculation'!A255</f>
        <v>JS6028</v>
      </c>
      <c r="B264" s="346" t="str">
        <f>'Reference Score Calculation'!B255</f>
        <v>JS6028</v>
      </c>
      <c r="C264" s="2" t="str">
        <f>'Reference Score Calculation'!E255</f>
        <v>園境學文學士</v>
      </c>
      <c r="D264" s="16">
        <f>'Reference Score Calculation'!U255</f>
        <v>12</v>
      </c>
      <c r="E264" s="16">
        <v>3</v>
      </c>
      <c r="F264" s="16">
        <v>3</v>
      </c>
      <c r="G264" s="16">
        <v>2</v>
      </c>
      <c r="H264" s="16">
        <v>2</v>
      </c>
      <c r="I264" s="16">
        <v>3</v>
      </c>
      <c r="J264" s="16">
        <v>3</v>
      </c>
      <c r="L264" s="407">
        <v>3</v>
      </c>
      <c r="M264" s="407">
        <v>3</v>
      </c>
      <c r="N264" s="407">
        <v>2</v>
      </c>
      <c r="O264" s="407">
        <v>1</v>
      </c>
      <c r="P264" s="407">
        <v>3</v>
      </c>
      <c r="Q264" s="407">
        <v>3</v>
      </c>
      <c r="R264" s="16"/>
      <c r="S264" s="16">
        <f t="shared" si="98"/>
        <v>0</v>
      </c>
      <c r="T264" s="16">
        <f t="shared" si="99"/>
        <v>0</v>
      </c>
      <c r="U264" s="16">
        <f t="shared" si="100"/>
        <v>0</v>
      </c>
      <c r="V264" s="16">
        <f t="shared" si="101"/>
        <v>0</v>
      </c>
      <c r="W264" s="16">
        <f t="shared" si="102"/>
        <v>0</v>
      </c>
      <c r="X264" s="16">
        <f t="shared" si="103"/>
        <v>0</v>
      </c>
      <c r="Z264" s="16">
        <f>IF(S264*T264*U264*V264*W264*X264=0,0,2)</f>
        <v>0</v>
      </c>
      <c r="AB264" s="16" t="s">
        <v>391</v>
      </c>
      <c r="AC264" s="16" t="s">
        <v>420</v>
      </c>
      <c r="AD264" s="16" t="s">
        <v>393</v>
      </c>
      <c r="AF264" s="21" t="s">
        <v>478</v>
      </c>
      <c r="AG264" s="21" t="s">
        <v>473</v>
      </c>
      <c r="AH264" s="21" t="s">
        <v>394</v>
      </c>
      <c r="AI264" s="116"/>
      <c r="AJ264" s="116" t="str">
        <f>Q$2</f>
        <v>請選擇第一選修科</v>
      </c>
      <c r="AK264" s="116" t="str">
        <f>R$2</f>
        <v>請選擇第二選修科</v>
      </c>
      <c r="AL264" s="116" t="str">
        <f>S$2</f>
        <v>請選擇第三選修科</v>
      </c>
      <c r="AM264" s="116" t="str">
        <f>T$2</f>
        <v>請選擇第四選修科</v>
      </c>
      <c r="AN264" s="116"/>
      <c r="AO264" s="102"/>
      <c r="AP264" s="116" t="s">
        <v>466</v>
      </c>
      <c r="AQ264" s="116"/>
      <c r="AR264" s="102"/>
      <c r="AS264" s="102"/>
      <c r="AT264" s="102"/>
    </row>
    <row r="265" spans="1:46">
      <c r="A265" s="2" t="str">
        <f>'Reference Score Calculation'!A256</f>
        <v>JS6042</v>
      </c>
      <c r="B265" s="346" t="str">
        <f>'Reference Score Calculation'!B256</f>
        <v>JS6042</v>
      </c>
      <c r="C265" s="2" t="str">
        <f>'Reference Score Calculation'!E256</f>
        <v>文學士(城市研究)</v>
      </c>
      <c r="D265" s="16">
        <f>'Reference Score Calculation'!U256</f>
        <v>17</v>
      </c>
      <c r="E265" s="16">
        <v>3</v>
      </c>
      <c r="F265" s="16">
        <v>3</v>
      </c>
      <c r="G265" s="16">
        <v>2</v>
      </c>
      <c r="H265" s="16">
        <v>2</v>
      </c>
      <c r="I265" s="16">
        <v>3</v>
      </c>
      <c r="J265" s="16">
        <v>3</v>
      </c>
      <c r="L265" s="407">
        <v>3</v>
      </c>
      <c r="M265" s="407">
        <v>3</v>
      </c>
      <c r="N265" s="407">
        <v>2</v>
      </c>
      <c r="O265" s="407">
        <v>1</v>
      </c>
      <c r="P265" s="407">
        <v>3</v>
      </c>
      <c r="Q265" s="407">
        <v>3</v>
      </c>
      <c r="R265" s="16"/>
      <c r="S265" s="16">
        <f t="shared" si="98"/>
        <v>0</v>
      </c>
      <c r="T265" s="16">
        <f t="shared" si="99"/>
        <v>0</v>
      </c>
      <c r="U265" s="16">
        <f t="shared" si="100"/>
        <v>0</v>
      </c>
      <c r="V265" s="16">
        <f t="shared" si="101"/>
        <v>0</v>
      </c>
      <c r="W265" s="16">
        <f t="shared" si="102"/>
        <v>0</v>
      </c>
      <c r="X265" s="16">
        <f t="shared" si="103"/>
        <v>0</v>
      </c>
      <c r="Z265" s="16">
        <f t="shared" si="104"/>
        <v>0</v>
      </c>
      <c r="AB265" s="16" t="s">
        <v>391</v>
      </c>
      <c r="AC265" s="16" t="s">
        <v>420</v>
      </c>
      <c r="AD265" s="16" t="s">
        <v>393</v>
      </c>
      <c r="AF265" s="21" t="s">
        <v>394</v>
      </c>
      <c r="AG265" s="21" t="s">
        <v>394</v>
      </c>
      <c r="AH265" s="21" t="s">
        <v>394</v>
      </c>
      <c r="AI265" s="116" t="s">
        <v>358</v>
      </c>
      <c r="AJ265" s="117">
        <f>IF(OR(Q$2="物理",Q$2="化學",Q$2="生物",Q$2="組合科學(物理、化學)",Q$2="組合科學(生物、化學)",Q$2="組合科學(物理、生物)",Q$2="資訊及通訊科技",Q$2="綜合科學"),Q$3,0)</f>
        <v>0</v>
      </c>
      <c r="AK265" s="117">
        <f>IF(OR(R$2="物理",R$2="化學",R$2="生物",R$2="組合科學(物理、化學)",R$2="組合科學(生物、化學)",R$2="組合科學(物理、生物)",R$2="資訊及通訊科技",R$2="綜合科學"),R$3,0)</f>
        <v>0</v>
      </c>
      <c r="AL265" s="117">
        <f>IF(OR(S$2="物理",S$2="化學",S$2="生物",S$2="組合科學(物理、化學)",S$2="組合科學(生物、化學)",S$2="組合科學(物理、生物)",S$2="資訊及通訊科技",S$2="綜合科學"),S$3,0)</f>
        <v>0</v>
      </c>
      <c r="AM265" s="117">
        <f>IF(OR(T$2="物理",T$2="化學",T$2="生物",T$2="組合科學(物理、化學)",T$2="組合科學(生物、化學)",T$2="組合科學(物理、生物)",T$2="資訊及通訊科技",T$2="綜合科學"),T$3,0)</f>
        <v>0</v>
      </c>
      <c r="AN265" s="116"/>
      <c r="AO265" s="116"/>
      <c r="AP265" s="117" t="str">
        <f>IF(AQ265&gt;0.1,INDEX(AJ264:AM264,MATCH(LARGE(AJ265:AM265,1),AJ265:AM265,0)),"無")</f>
        <v>無</v>
      </c>
      <c r="AQ265" s="117">
        <f>LARGE((AJ265:AM265),1)</f>
        <v>0</v>
      </c>
      <c r="AR265" s="102"/>
      <c r="AS265" s="102"/>
      <c r="AT265" s="102"/>
    </row>
    <row r="266" spans="1:46">
      <c r="A266" s="2" t="str">
        <f>'Reference Score Calculation'!A257</f>
        <v>JS6054</v>
      </c>
      <c r="B266" s="346" t="str">
        <f>'Reference Score Calculation'!B257</f>
        <v>JS6054</v>
      </c>
      <c r="C266" s="2" t="str">
        <f>'Reference Score Calculation'!E257</f>
        <v>文學士</v>
      </c>
      <c r="D266" s="16">
        <f>'Reference Score Calculation'!U257</f>
        <v>217</v>
      </c>
      <c r="E266" s="16">
        <v>3</v>
      </c>
      <c r="F266" s="16">
        <v>3</v>
      </c>
      <c r="G266" s="16">
        <v>2</v>
      </c>
      <c r="H266" s="16">
        <v>2</v>
      </c>
      <c r="I266" s="16">
        <v>3</v>
      </c>
      <c r="J266" s="16">
        <v>3</v>
      </c>
      <c r="L266" s="90">
        <v>3</v>
      </c>
      <c r="M266" s="90">
        <v>3</v>
      </c>
      <c r="N266" s="90">
        <v>2</v>
      </c>
      <c r="O266" s="90">
        <v>1</v>
      </c>
      <c r="P266" s="90">
        <v>3</v>
      </c>
      <c r="Q266" s="90">
        <v>3</v>
      </c>
      <c r="R266" s="16"/>
      <c r="S266" s="16">
        <f t="shared" si="98"/>
        <v>0</v>
      </c>
      <c r="T266" s="16">
        <f t="shared" si="99"/>
        <v>0</v>
      </c>
      <c r="U266" s="16">
        <f t="shared" si="100"/>
        <v>0</v>
      </c>
      <c r="V266" s="16">
        <f t="shared" si="101"/>
        <v>0</v>
      </c>
      <c r="W266" s="16">
        <f t="shared" si="102"/>
        <v>0</v>
      </c>
      <c r="X266" s="16">
        <f t="shared" si="103"/>
        <v>0</v>
      </c>
      <c r="Z266" s="16">
        <f t="shared" si="104"/>
        <v>0</v>
      </c>
      <c r="AB266" s="16" t="s">
        <v>391</v>
      </c>
      <c r="AC266" s="16" t="s">
        <v>420</v>
      </c>
      <c r="AD266" s="16" t="s">
        <v>393</v>
      </c>
      <c r="AF266" s="21" t="s">
        <v>394</v>
      </c>
      <c r="AG266" s="21" t="s">
        <v>394</v>
      </c>
      <c r="AH266" s="21" t="s">
        <v>394</v>
      </c>
      <c r="AI266" s="116"/>
      <c r="AJ266" s="158" t="s">
        <v>481</v>
      </c>
      <c r="AK266" s="116"/>
      <c r="AL266" s="116"/>
      <c r="AM266" s="116"/>
      <c r="AN266" s="116"/>
      <c r="AO266" s="116"/>
      <c r="AP266" s="102"/>
      <c r="AQ266" s="102"/>
      <c r="AR266" s="102"/>
      <c r="AS266" s="102"/>
      <c r="AT266" s="102"/>
    </row>
    <row r="267" spans="1:46">
      <c r="A267" s="2" t="str">
        <f>'Reference Score Calculation'!A258</f>
        <v>JS6274</v>
      </c>
      <c r="B267" s="346" t="str">
        <f>'Reference Score Calculation'!B258</f>
        <v>JS6274</v>
      </c>
      <c r="C267" s="2" t="str">
        <f>'Reference Score Calculation'!E258</f>
        <v>文學士（全球創意產業）</v>
      </c>
      <c r="D267" s="16">
        <f>'Reference Score Calculation'!U258</f>
        <v>20</v>
      </c>
      <c r="L267" s="90">
        <v>3</v>
      </c>
      <c r="M267" s="90">
        <v>4</v>
      </c>
      <c r="N267" s="90">
        <v>3</v>
      </c>
      <c r="O267" s="90">
        <v>1</v>
      </c>
      <c r="P267" s="90">
        <v>3</v>
      </c>
      <c r="Q267" s="90">
        <v>3</v>
      </c>
      <c r="R267" s="16"/>
      <c r="S267" s="16">
        <f t="shared" si="98"/>
        <v>0</v>
      </c>
      <c r="T267" s="16">
        <f t="shared" si="99"/>
        <v>0</v>
      </c>
      <c r="U267" s="16">
        <f t="shared" si="100"/>
        <v>0</v>
      </c>
      <c r="V267" s="16">
        <f t="shared" si="101"/>
        <v>0</v>
      </c>
      <c r="W267" s="16">
        <f t="shared" si="102"/>
        <v>0</v>
      </c>
      <c r="X267" s="16">
        <f t="shared" si="103"/>
        <v>0</v>
      </c>
      <c r="Z267" s="16">
        <f t="shared" si="104"/>
        <v>0</v>
      </c>
      <c r="AB267" s="16" t="s">
        <v>391</v>
      </c>
      <c r="AC267" s="16" t="s">
        <v>420</v>
      </c>
      <c r="AD267" s="16" t="s">
        <v>393</v>
      </c>
      <c r="AF267" s="21" t="s">
        <v>394</v>
      </c>
      <c r="AG267" s="21" t="s">
        <v>394</v>
      </c>
      <c r="AH267" s="21" t="s">
        <v>394</v>
      </c>
      <c r="AI267" s="102"/>
      <c r="AJ267" s="102"/>
      <c r="AK267" s="102"/>
      <c r="AL267" s="102"/>
      <c r="AM267" s="102"/>
      <c r="AN267" s="102"/>
      <c r="AO267" s="102"/>
      <c r="AP267" s="102"/>
      <c r="AQ267" s="102"/>
      <c r="AR267" s="102"/>
      <c r="AS267" s="102"/>
      <c r="AT267" s="102"/>
    </row>
    <row r="268" spans="1:46">
      <c r="A268" s="2" t="str">
        <f>'Reference Score Calculation'!A259</f>
        <v>JS6286</v>
      </c>
      <c r="B268" s="346" t="str">
        <f>'Reference Score Calculation'!B259</f>
        <v>JS6286</v>
      </c>
      <c r="C268" s="2" t="str">
        <f>'Reference Score Calculation'!E259</f>
        <v>文學士(人文及數碼科技)</v>
      </c>
      <c r="D268" s="16">
        <f>'Reference Score Calculation'!U259</f>
        <v>30</v>
      </c>
      <c r="E268" s="16">
        <v>3</v>
      </c>
      <c r="F268" s="16">
        <v>3</v>
      </c>
      <c r="G268" s="16">
        <v>3</v>
      </c>
      <c r="H268" s="16">
        <v>2</v>
      </c>
      <c r="I268" s="16">
        <v>3</v>
      </c>
      <c r="J268" s="16">
        <v>3</v>
      </c>
      <c r="L268" s="90">
        <v>3</v>
      </c>
      <c r="M268" s="90">
        <v>3</v>
      </c>
      <c r="N268" s="90">
        <v>3</v>
      </c>
      <c r="O268" s="90">
        <v>1</v>
      </c>
      <c r="P268" s="90">
        <v>3</v>
      </c>
      <c r="Q268" s="90">
        <v>3</v>
      </c>
      <c r="R268" s="16"/>
      <c r="S268" s="16">
        <f t="shared" si="98"/>
        <v>0</v>
      </c>
      <c r="T268" s="16">
        <f t="shared" si="99"/>
        <v>0</v>
      </c>
      <c r="U268" s="16">
        <f t="shared" si="100"/>
        <v>0</v>
      </c>
      <c r="V268" s="16">
        <f t="shared" si="101"/>
        <v>0</v>
      </c>
      <c r="W268" s="16">
        <f t="shared" si="102"/>
        <v>0</v>
      </c>
      <c r="X268" s="16">
        <f t="shared" si="103"/>
        <v>0</v>
      </c>
      <c r="Z268" s="16">
        <f t="shared" si="104"/>
        <v>0</v>
      </c>
      <c r="AB268" s="16" t="s">
        <v>391</v>
      </c>
      <c r="AC268" s="16" t="s">
        <v>420</v>
      </c>
      <c r="AD268" s="16" t="s">
        <v>393</v>
      </c>
      <c r="AF268" s="21" t="s">
        <v>394</v>
      </c>
      <c r="AG268" s="21" t="s">
        <v>394</v>
      </c>
      <c r="AH268" s="21" t="s">
        <v>394</v>
      </c>
      <c r="AI268" s="116"/>
      <c r="AJ268" s="116" t="str">
        <f>Q$2</f>
        <v>請選擇第一選修科</v>
      </c>
      <c r="AK268" s="116" t="str">
        <f>R$2</f>
        <v>請選擇第二選修科</v>
      </c>
      <c r="AL268" s="116" t="str">
        <f>S$2</f>
        <v>請選擇第三選修科</v>
      </c>
      <c r="AM268" s="116" t="str">
        <f>T$2</f>
        <v>請選擇第四選修科</v>
      </c>
      <c r="AN268" s="116"/>
      <c r="AO268" s="116"/>
      <c r="AP268" s="116" t="s">
        <v>466</v>
      </c>
      <c r="AQ268" s="116"/>
      <c r="AR268" s="102"/>
      <c r="AS268" s="102"/>
      <c r="AT268" s="102"/>
    </row>
    <row r="269" spans="1:46">
      <c r="A269" s="2" t="str">
        <f>'Reference Score Calculation'!A260</f>
        <v>JS6298</v>
      </c>
      <c r="B269" s="346" t="str">
        <f>'Reference Score Calculation'!B260</f>
        <v>JS6298</v>
      </c>
      <c r="C269" s="2" t="str">
        <f>'Reference Score Calculation'!E260</f>
        <v>文學士及工學學士(人工智能及數據科學)</v>
      </c>
      <c r="D269" s="16">
        <f>'Reference Score Calculation'!U260</f>
        <v>20</v>
      </c>
      <c r="L269" s="90">
        <v>3</v>
      </c>
      <c r="M269" s="90">
        <v>3</v>
      </c>
      <c r="N269" s="90">
        <v>3</v>
      </c>
      <c r="O269" s="90">
        <v>1</v>
      </c>
      <c r="P269" s="90">
        <v>3</v>
      </c>
      <c r="Q269" s="90">
        <v>3</v>
      </c>
      <c r="R269" s="16"/>
      <c r="S269" s="16">
        <f t="shared" si="98"/>
        <v>0</v>
      </c>
      <c r="T269" s="16">
        <f t="shared" si="99"/>
        <v>0</v>
      </c>
      <c r="U269" s="16">
        <f t="shared" si="100"/>
        <v>0</v>
      </c>
      <c r="V269" s="16">
        <f t="shared" si="101"/>
        <v>0</v>
      </c>
      <c r="W269" s="16">
        <f>IF(P269&gt;AQ269,0,1)</f>
        <v>0</v>
      </c>
      <c r="X269" s="16">
        <f>IF(OR($P$3&gt;Q269,$U$3&gt;Q269),1,IF(Q269&gt;LARGE($Q$3:$T$3,2),0,1))</f>
        <v>0</v>
      </c>
      <c r="Z269" s="16">
        <f t="shared" si="104"/>
        <v>0</v>
      </c>
      <c r="AB269" s="16" t="s">
        <v>391</v>
      </c>
      <c r="AC269" s="16" t="s">
        <v>420</v>
      </c>
      <c r="AD269" s="16" t="s">
        <v>393</v>
      </c>
      <c r="AF269" s="21" t="s">
        <v>3138</v>
      </c>
      <c r="AG269" s="21" t="s">
        <v>394</v>
      </c>
      <c r="AH269" s="21" t="s">
        <v>394</v>
      </c>
      <c r="AI269" s="116" t="s">
        <v>2813</v>
      </c>
      <c r="AJ269" s="117">
        <f>IF(OR(Q$2="物理",Q$2="化學",Q$2="生物",Q$2="資訊及通訊科技",Q$2="經濟"),Q$3,0)</f>
        <v>0</v>
      </c>
      <c r="AK269" s="117">
        <f>IF(OR(R$2="物理",R$2="化學",R$2="生物",R$2="資訊及通訊科技",R$2="經濟"),R$3,0)</f>
        <v>0</v>
      </c>
      <c r="AL269" s="117">
        <f>IF(OR(S$2="物理",S$2="化學",S$2="生物",S$2="資訊及通訊科技",S$2="經濟"),S$3,0)</f>
        <v>0</v>
      </c>
      <c r="AM269" s="117">
        <f>IF(OR(T$2="物理",T$2="化學",T$2="生物",T$2="資訊及通訊科技",T$2="經濟"),T$3,0)</f>
        <v>0</v>
      </c>
      <c r="AN269" s="116"/>
      <c r="AO269" s="116"/>
      <c r="AP269" s="117" t="str">
        <f>IF(AQ269&gt;0.1,INDEX(AJ268:AM268,MATCH(LARGE(AJ269:AM269,1),AJ269:AM269,0)),"無")</f>
        <v>無</v>
      </c>
      <c r="AQ269" s="117">
        <f>LARGE((AJ269:AM269),1)</f>
        <v>0</v>
      </c>
      <c r="AR269" s="102"/>
      <c r="AS269" s="102"/>
      <c r="AT269" s="102"/>
    </row>
    <row r="270" spans="1:46">
      <c r="A270" s="2" t="str">
        <f>'Reference Score Calculation'!A261</f>
        <v>JS6755</v>
      </c>
      <c r="B270" s="346" t="str">
        <f>'Reference Score Calculation'!B261</f>
        <v>JS6755</v>
      </c>
      <c r="C270" s="2" t="str">
        <f>'Reference Score Calculation'!E261</f>
        <v>工商管理學學士</v>
      </c>
      <c r="D270" s="16" t="str">
        <f>'Reference Score Calculation'!U261</f>
        <v>226*</v>
      </c>
      <c r="E270" s="16">
        <v>3</v>
      </c>
      <c r="F270" s="16">
        <v>4</v>
      </c>
      <c r="G270" s="16">
        <v>3</v>
      </c>
      <c r="H270" s="16">
        <v>2</v>
      </c>
      <c r="I270" s="16">
        <v>3</v>
      </c>
      <c r="J270" s="16">
        <v>3</v>
      </c>
      <c r="L270" s="90">
        <v>3</v>
      </c>
      <c r="M270" s="90">
        <v>4</v>
      </c>
      <c r="N270" s="90">
        <v>3</v>
      </c>
      <c r="O270" s="90">
        <v>1</v>
      </c>
      <c r="P270" s="90">
        <v>3</v>
      </c>
      <c r="Q270" s="90">
        <v>3</v>
      </c>
      <c r="R270" s="16"/>
      <c r="S270" s="16">
        <f t="shared" si="98"/>
        <v>0</v>
      </c>
      <c r="T270" s="16">
        <f t="shared" si="99"/>
        <v>0</v>
      </c>
      <c r="U270" s="16">
        <f t="shared" si="100"/>
        <v>0</v>
      </c>
      <c r="V270" s="16">
        <f t="shared" si="101"/>
        <v>0</v>
      </c>
      <c r="W270" s="16">
        <f t="shared" si="102"/>
        <v>0</v>
      </c>
      <c r="X270" s="16">
        <f t="shared" si="103"/>
        <v>0</v>
      </c>
      <c r="Z270" s="16">
        <f t="shared" si="104"/>
        <v>0</v>
      </c>
      <c r="AB270" s="16" t="s">
        <v>391</v>
      </c>
      <c r="AC270" s="16" t="s">
        <v>393</v>
      </c>
      <c r="AD270" s="16" t="s">
        <v>393</v>
      </c>
      <c r="AF270" s="21" t="s">
        <v>324</v>
      </c>
      <c r="AG270" s="21" t="s">
        <v>324</v>
      </c>
      <c r="AH270" s="21" t="s">
        <v>394</v>
      </c>
      <c r="AI270" s="116" t="s">
        <v>2847</v>
      </c>
      <c r="AJ270" s="158" t="s">
        <v>3137</v>
      </c>
      <c r="AK270" s="116"/>
      <c r="AL270" s="116"/>
      <c r="AM270" s="116"/>
      <c r="AN270" s="116"/>
      <c r="AO270" s="115"/>
      <c r="AP270" s="102"/>
      <c r="AQ270" s="102"/>
      <c r="AR270" s="102"/>
      <c r="AS270" s="102"/>
      <c r="AT270" s="102"/>
    </row>
    <row r="271" spans="1:46">
      <c r="A271" s="2" t="str">
        <f>'Reference Score Calculation'!A262</f>
        <v>JS6767</v>
      </c>
      <c r="B271" s="346" t="str">
        <f>'Reference Score Calculation'!B262</f>
        <v>JS6767</v>
      </c>
      <c r="C271" s="2" t="str">
        <f>'Reference Score Calculation'!E262</f>
        <v>經濟學學士 / 經濟金融學學士</v>
      </c>
      <c r="D271" s="16" t="str">
        <f>'Reference Score Calculation'!U262</f>
        <v>226*</v>
      </c>
      <c r="E271" s="16">
        <v>3</v>
      </c>
      <c r="F271" s="16">
        <v>4</v>
      </c>
      <c r="G271" s="16">
        <v>3</v>
      </c>
      <c r="H271" s="16">
        <v>2</v>
      </c>
      <c r="I271" s="16">
        <v>3</v>
      </c>
      <c r="J271" s="16">
        <v>3</v>
      </c>
      <c r="L271" s="90">
        <v>3</v>
      </c>
      <c r="M271" s="90">
        <v>4</v>
      </c>
      <c r="N271" s="90">
        <v>3</v>
      </c>
      <c r="O271" s="90">
        <v>1</v>
      </c>
      <c r="P271" s="90">
        <v>3</v>
      </c>
      <c r="Q271" s="90">
        <v>3</v>
      </c>
      <c r="R271" s="16"/>
      <c r="S271" s="16">
        <f t="shared" si="98"/>
        <v>0</v>
      </c>
      <c r="T271" s="16">
        <f t="shared" si="99"/>
        <v>0</v>
      </c>
      <c r="U271" s="16">
        <f t="shared" si="100"/>
        <v>0</v>
      </c>
      <c r="V271" s="16">
        <f t="shared" si="101"/>
        <v>0</v>
      </c>
      <c r="W271" s="16">
        <f>IF(P271&gt;LARGE($P$3:$T$3,1),0,1)</f>
        <v>0</v>
      </c>
      <c r="X271" s="16">
        <f>IF(Q271&gt;LARGE($P$3:$T$3,2),0,1)</f>
        <v>0</v>
      </c>
      <c r="Z271" s="16">
        <f t="shared" si="104"/>
        <v>0</v>
      </c>
      <c r="AB271" s="16" t="s">
        <v>391</v>
      </c>
      <c r="AC271" s="16" t="s">
        <v>393</v>
      </c>
      <c r="AD271" s="16" t="s">
        <v>393</v>
      </c>
      <c r="AF271" s="21" t="s">
        <v>394</v>
      </c>
      <c r="AG271" s="21" t="s">
        <v>394</v>
      </c>
      <c r="AH271" s="21" t="s">
        <v>394</v>
      </c>
      <c r="AI271" s="102"/>
      <c r="AJ271" s="102"/>
      <c r="AK271" s="102"/>
      <c r="AL271" s="102"/>
      <c r="AM271" s="102"/>
      <c r="AN271" s="102"/>
      <c r="AO271" s="102"/>
      <c r="AP271" s="102"/>
      <c r="AQ271" s="102"/>
      <c r="AR271" s="102"/>
      <c r="AS271" s="102"/>
      <c r="AT271" s="102"/>
    </row>
    <row r="272" spans="1:46">
      <c r="A272" s="2" t="str">
        <f>'Reference Score Calculation'!A263</f>
        <v>JS6781</v>
      </c>
      <c r="B272" s="346" t="str">
        <f>'Reference Score Calculation'!B263</f>
        <v>JS6781</v>
      </c>
      <c r="C272" s="2" t="str">
        <f>'Reference Score Calculation'!E263</f>
        <v>工商管理學學士(會計及財務) / 工商管理學學士(會計數據分析)</v>
      </c>
      <c r="D272" s="16" t="str">
        <f>'Reference Score Calculation'!U263</f>
        <v>226*</v>
      </c>
      <c r="E272" s="16">
        <v>3</v>
      </c>
      <c r="F272" s="16">
        <v>4</v>
      </c>
      <c r="G272" s="16">
        <v>3</v>
      </c>
      <c r="H272" s="16">
        <v>2</v>
      </c>
      <c r="I272" s="16">
        <v>3</v>
      </c>
      <c r="J272" s="16">
        <v>3</v>
      </c>
      <c r="L272" s="90">
        <v>3</v>
      </c>
      <c r="M272" s="90">
        <v>4</v>
      </c>
      <c r="N272" s="90">
        <v>3</v>
      </c>
      <c r="O272" s="90">
        <v>1</v>
      </c>
      <c r="P272" s="90">
        <v>3</v>
      </c>
      <c r="Q272" s="90">
        <v>3</v>
      </c>
      <c r="R272" s="16"/>
      <c r="S272" s="16">
        <f t="shared" si="98"/>
        <v>0</v>
      </c>
      <c r="T272" s="16">
        <f t="shared" si="99"/>
        <v>0</v>
      </c>
      <c r="U272" s="16">
        <f t="shared" si="100"/>
        <v>0</v>
      </c>
      <c r="V272" s="16">
        <f t="shared" si="101"/>
        <v>0</v>
      </c>
      <c r="W272" s="16">
        <f>IF(P272&gt;LARGE($P$3:$T$3,1),0,1)</f>
        <v>0</v>
      </c>
      <c r="X272" s="16">
        <f>IF(Q272&gt;LARGE($P$3:$T$3,2),0,1)</f>
        <v>0</v>
      </c>
      <c r="Z272" s="16">
        <f t="shared" si="104"/>
        <v>0</v>
      </c>
      <c r="AB272" s="16" t="s">
        <v>391</v>
      </c>
      <c r="AC272" s="16" t="s">
        <v>393</v>
      </c>
      <c r="AD272" s="16" t="s">
        <v>393</v>
      </c>
      <c r="AF272" s="21" t="s">
        <v>394</v>
      </c>
      <c r="AG272" s="21" t="s">
        <v>394</v>
      </c>
      <c r="AH272" s="21" t="s">
        <v>324</v>
      </c>
      <c r="AI272" s="116"/>
      <c r="AJ272" s="116"/>
      <c r="AK272" s="116"/>
      <c r="AL272" s="116"/>
      <c r="AM272" s="116"/>
      <c r="AN272" s="116"/>
      <c r="AO272" s="115"/>
      <c r="AP272" s="102"/>
      <c r="AQ272" s="116"/>
      <c r="AR272" s="102"/>
      <c r="AS272" s="102"/>
      <c r="AT272" s="102"/>
    </row>
    <row r="273" spans="1:46">
      <c r="A273" s="2" t="str">
        <f>'Reference Score Calculation'!A264</f>
        <v>JS6860</v>
      </c>
      <c r="B273" s="346" t="str">
        <f>'Reference Score Calculation'!B264</f>
        <v>JS6860</v>
      </c>
      <c r="C273" s="2" t="str">
        <f>'Reference Score Calculation'!E264</f>
        <v>金融學學士(資產管理及私人銀行)</v>
      </c>
      <c r="D273" s="16">
        <f>'Reference Score Calculation'!U264</f>
        <v>30</v>
      </c>
      <c r="E273" s="16">
        <v>3</v>
      </c>
      <c r="F273" s="16">
        <v>4</v>
      </c>
      <c r="G273" s="16">
        <v>3</v>
      </c>
      <c r="H273" s="16">
        <v>2</v>
      </c>
      <c r="I273" s="16">
        <v>3</v>
      </c>
      <c r="J273" s="16">
        <v>3</v>
      </c>
      <c r="L273" s="90">
        <v>3</v>
      </c>
      <c r="M273" s="90">
        <v>4</v>
      </c>
      <c r="N273" s="90">
        <v>3</v>
      </c>
      <c r="O273" s="90">
        <v>1</v>
      </c>
      <c r="P273" s="90">
        <v>3</v>
      </c>
      <c r="Q273" s="90">
        <v>3</v>
      </c>
      <c r="R273" s="16"/>
      <c r="S273" s="16">
        <f t="shared" si="98"/>
        <v>0</v>
      </c>
      <c r="T273" s="16">
        <f t="shared" si="99"/>
        <v>0</v>
      </c>
      <c r="U273" s="16">
        <f t="shared" si="100"/>
        <v>0</v>
      </c>
      <c r="V273" s="16">
        <f t="shared" si="101"/>
        <v>0</v>
      </c>
      <c r="W273" s="16">
        <f>IF(P273&gt;LARGE($P$3:$T$3,1),0,1)</f>
        <v>0</v>
      </c>
      <c r="X273" s="16">
        <f>IF(Q273&gt;LARGE($P$3:$T$3,2),0,1)</f>
        <v>0</v>
      </c>
      <c r="Z273" s="16">
        <f t="shared" si="104"/>
        <v>0</v>
      </c>
      <c r="AB273" s="16" t="s">
        <v>391</v>
      </c>
      <c r="AC273" s="16" t="s">
        <v>393</v>
      </c>
      <c r="AD273" s="16" t="s">
        <v>393</v>
      </c>
      <c r="AF273" s="21" t="s">
        <v>394</v>
      </c>
      <c r="AG273" s="21" t="s">
        <v>394</v>
      </c>
      <c r="AH273" s="21" t="s">
        <v>394</v>
      </c>
      <c r="AI273" s="116"/>
      <c r="AJ273" s="116" t="str">
        <f>Q$2</f>
        <v>請選擇第一選修科</v>
      </c>
      <c r="AK273" s="116" t="str">
        <f>R$2</f>
        <v>請選擇第二選修科</v>
      </c>
      <c r="AL273" s="116" t="str">
        <f>S$2</f>
        <v>請選擇第三選修科</v>
      </c>
      <c r="AM273" s="116" t="str">
        <f>T$2</f>
        <v>請選擇第四選修科</v>
      </c>
      <c r="AN273" s="116"/>
      <c r="AO273" s="102"/>
      <c r="AP273" s="116" t="s">
        <v>466</v>
      </c>
      <c r="AQ273" s="116"/>
      <c r="AR273" s="102"/>
      <c r="AS273" s="102"/>
      <c r="AT273" s="102"/>
    </row>
    <row r="274" spans="1:46">
      <c r="A274" s="2" t="str">
        <f>'Reference Score Calculation'!A265</f>
        <v>JS6793</v>
      </c>
      <c r="B274" s="346" t="str">
        <f>'Reference Score Calculation'!B265</f>
        <v>JS6793</v>
      </c>
      <c r="C274" s="2" t="str">
        <f>'Reference Score Calculation'!E265</f>
        <v>工商管理學學士(商業分析)</v>
      </c>
      <c r="D274" s="16">
        <f>'Reference Score Calculation'!U265</f>
        <v>15</v>
      </c>
      <c r="E274" s="16">
        <v>3</v>
      </c>
      <c r="F274" s="16">
        <v>4</v>
      </c>
      <c r="G274" s="16">
        <v>3</v>
      </c>
      <c r="H274" s="16">
        <v>2</v>
      </c>
      <c r="I274" s="16">
        <v>3</v>
      </c>
      <c r="J274" s="16">
        <v>3</v>
      </c>
      <c r="L274" s="90">
        <v>3</v>
      </c>
      <c r="M274" s="90">
        <v>4</v>
      </c>
      <c r="N274" s="90">
        <v>3</v>
      </c>
      <c r="O274" s="90">
        <v>1</v>
      </c>
      <c r="P274" s="90">
        <v>3</v>
      </c>
      <c r="Q274" s="90">
        <v>3</v>
      </c>
      <c r="R274" s="16"/>
      <c r="S274" s="16">
        <f t="shared" si="98"/>
        <v>0</v>
      </c>
      <c r="T274" s="16">
        <f t="shared" si="99"/>
        <v>0</v>
      </c>
      <c r="U274" s="16">
        <f t="shared" si="100"/>
        <v>0</v>
      </c>
      <c r="V274" s="16">
        <f t="shared" si="101"/>
        <v>0</v>
      </c>
      <c r="W274" s="16">
        <f>IF(P274&gt;AQ265,0,1)</f>
        <v>0</v>
      </c>
      <c r="X274" s="16">
        <f>IF(Q274&gt;LARGE($P$3:$T$3,2),0,IF($P$3&lt;3,2,1))</f>
        <v>0</v>
      </c>
      <c r="Z274" s="16">
        <f t="shared" si="104"/>
        <v>0</v>
      </c>
      <c r="AB274" s="16" t="s">
        <v>391</v>
      </c>
      <c r="AC274" s="16" t="s">
        <v>393</v>
      </c>
      <c r="AD274" s="16" t="s">
        <v>393</v>
      </c>
      <c r="AF274" s="21" t="s">
        <v>494</v>
      </c>
      <c r="AG274" s="21" t="s">
        <v>495</v>
      </c>
      <c r="AH274" s="21" t="s">
        <v>394</v>
      </c>
      <c r="AI274" s="116" t="s">
        <v>491</v>
      </c>
      <c r="AJ274" s="117">
        <f>IF(OR(Q$2="物理",Q$2="化學",Q$2="生物",Q$2="組合科學(物理、化學)",Q$2="組合科學(生物、化學)",Q$2="組合科學(物理、生物)",Q$2="綜合科學"),Q$3,0)</f>
        <v>0</v>
      </c>
      <c r="AK274" s="117">
        <f>IF(OR(R$2="物理",R$2="化學",R$2="生物",R$2="組合科學(物理、化學)",R$2="組合科學(生物、化學)",R$2="組合科學(物理、生物)",R$2="綜合科學"),R$3,0)</f>
        <v>0</v>
      </c>
      <c r="AL274" s="117">
        <f>IF(OR(S$2="物理",S$2="化學",S$2="生物",S$2="組合科學(物理、化學)",S$2="組合科學(生物、化學)",S$2="組合科學(物理、生物)",S$2="綜合科學"),S$3,0)</f>
        <v>0</v>
      </c>
      <c r="AM274" s="117">
        <f>IF(OR(T$2="物理",T$2="化學",T$2="生物",T$2="組合科學(物理、化學)",T$2="組合科學(生物、化學)",T$2="組合科學(物理、生物)",T$2="綜合科學"),T$3,0)</f>
        <v>0</v>
      </c>
      <c r="AN274" s="116"/>
      <c r="AO274" s="116"/>
      <c r="AP274" s="117" t="str">
        <f>IF(AQ274&gt;0.1,INDEX(AJ273:AM273,MATCH(LARGE(AJ274:AM274,1),AJ274:AM274,0)),"無")</f>
        <v>無</v>
      </c>
      <c r="AQ274" s="117">
        <f>LARGE((AJ274:AM274),1)</f>
        <v>0</v>
      </c>
      <c r="AR274" s="102"/>
      <c r="AS274" s="102"/>
      <c r="AT274" s="102"/>
    </row>
    <row r="275" spans="1:46">
      <c r="A275" s="2" t="str">
        <f>'Reference Score Calculation'!A266</f>
        <v>JS6808</v>
      </c>
      <c r="B275" s="346" t="str">
        <f>'Reference Score Calculation'!B266</f>
        <v>JS6808</v>
      </c>
      <c r="C275" s="2" t="str">
        <f>'Reference Score Calculation'!E266</f>
        <v>工商管理學學士(法學)及法學士</v>
      </c>
      <c r="D275" s="16">
        <f>'Reference Score Calculation'!U266</f>
        <v>80</v>
      </c>
      <c r="E275" s="16">
        <v>4</v>
      </c>
      <c r="F275" s="16">
        <v>5</v>
      </c>
      <c r="G275" s="16">
        <v>4</v>
      </c>
      <c r="H275" s="16">
        <v>2</v>
      </c>
      <c r="I275" s="16">
        <v>3</v>
      </c>
      <c r="J275" s="16">
        <v>3</v>
      </c>
      <c r="L275" s="90">
        <v>4</v>
      </c>
      <c r="M275" s="90">
        <v>5</v>
      </c>
      <c r="N275" s="90">
        <v>4</v>
      </c>
      <c r="O275" s="90">
        <v>1</v>
      </c>
      <c r="P275" s="90">
        <v>3</v>
      </c>
      <c r="Q275" s="90">
        <v>3</v>
      </c>
      <c r="R275" s="16"/>
      <c r="S275" s="16">
        <f t="shared" si="98"/>
        <v>0</v>
      </c>
      <c r="T275" s="16">
        <f t="shared" si="99"/>
        <v>0</v>
      </c>
      <c r="U275" s="16">
        <f t="shared" si="100"/>
        <v>0</v>
      </c>
      <c r="V275" s="16">
        <f t="shared" si="101"/>
        <v>0</v>
      </c>
      <c r="W275" s="16">
        <f>IF(P275&gt;LARGE($P$3:$T$3,1),0,1)</f>
        <v>0</v>
      </c>
      <c r="X275" s="16">
        <f>IF(Q275&gt;LARGE($P$3:$T$3,2),0,1)</f>
        <v>0</v>
      </c>
      <c r="Z275" s="16">
        <f t="shared" si="104"/>
        <v>0</v>
      </c>
      <c r="AB275" s="16" t="s">
        <v>391</v>
      </c>
      <c r="AC275" s="16" t="s">
        <v>393</v>
      </c>
      <c r="AD275" s="16" t="s">
        <v>393</v>
      </c>
      <c r="AF275" s="21" t="s">
        <v>394</v>
      </c>
      <c r="AG275" s="21" t="s">
        <v>394</v>
      </c>
      <c r="AH275" s="21" t="s">
        <v>394</v>
      </c>
      <c r="AI275" s="116"/>
      <c r="AJ275" s="158" t="s">
        <v>489</v>
      </c>
      <c r="AK275" s="116"/>
      <c r="AL275" s="116"/>
      <c r="AM275" s="116"/>
      <c r="AN275" s="116"/>
      <c r="AO275" s="116"/>
      <c r="AP275" s="102"/>
      <c r="AQ275" s="102"/>
      <c r="AR275" s="102"/>
      <c r="AS275" s="102"/>
      <c r="AT275" s="102"/>
    </row>
    <row r="276" spans="1:46">
      <c r="A276" s="2" t="str">
        <f>'Reference Score Calculation'!A267</f>
        <v>JS6846</v>
      </c>
      <c r="B276" s="346" t="str">
        <f>'Reference Score Calculation'!B267</f>
        <v>JS6846</v>
      </c>
      <c r="C276" s="2" t="str">
        <f>'Reference Score Calculation'!E267</f>
        <v>理學士(營銷分析及科技)</v>
      </c>
      <c r="D276" s="16">
        <f>'Reference Score Calculation'!U267</f>
        <v>25</v>
      </c>
      <c r="E276" s="16">
        <v>3</v>
      </c>
      <c r="F276" s="16">
        <v>4</v>
      </c>
      <c r="G276" s="16">
        <v>3</v>
      </c>
      <c r="H276" s="16">
        <v>2</v>
      </c>
      <c r="I276" s="16">
        <v>3</v>
      </c>
      <c r="J276" s="16">
        <v>3</v>
      </c>
      <c r="L276" s="90">
        <v>3</v>
      </c>
      <c r="M276" s="90">
        <v>4</v>
      </c>
      <c r="N276" s="90">
        <v>3</v>
      </c>
      <c r="O276" s="90">
        <v>1</v>
      </c>
      <c r="P276" s="90">
        <v>3</v>
      </c>
      <c r="Q276" s="90">
        <v>3</v>
      </c>
      <c r="R276" s="16"/>
      <c r="S276" s="16">
        <f t="shared" si="98"/>
        <v>0</v>
      </c>
      <c r="T276" s="16">
        <f t="shared" si="99"/>
        <v>0</v>
      </c>
      <c r="U276" s="16">
        <f t="shared" si="100"/>
        <v>0</v>
      </c>
      <c r="V276" s="16">
        <f t="shared" si="101"/>
        <v>0</v>
      </c>
      <c r="W276" s="16">
        <f>IF(P276&gt;$AQ$310,0,1)</f>
        <v>0</v>
      </c>
      <c r="X276" s="16">
        <f>IF($P$3&gt;Q276,1,IF(Q276&gt;LARGE($Q$3:$T$3,2),0,IF($P$3&lt;3,2,1)))</f>
        <v>0</v>
      </c>
      <c r="Z276" s="16">
        <f t="shared" si="104"/>
        <v>0</v>
      </c>
      <c r="AB276" s="16" t="s">
        <v>391</v>
      </c>
      <c r="AC276" s="16" t="s">
        <v>393</v>
      </c>
      <c r="AD276" s="16" t="s">
        <v>393</v>
      </c>
      <c r="AF276" s="21" t="s">
        <v>499</v>
      </c>
      <c r="AG276" s="21" t="s">
        <v>495</v>
      </c>
      <c r="AH276" s="21" t="s">
        <v>394</v>
      </c>
      <c r="AI276" s="116"/>
      <c r="AJ276" s="116"/>
      <c r="AK276" s="116"/>
      <c r="AL276" s="116"/>
      <c r="AM276" s="116"/>
      <c r="AN276" s="116"/>
      <c r="AO276" s="116"/>
      <c r="AP276" s="102"/>
      <c r="AQ276" s="102"/>
      <c r="AR276" s="102"/>
      <c r="AS276" s="102"/>
      <c r="AT276" s="102"/>
    </row>
    <row r="277" spans="1:46">
      <c r="A277" s="2" t="str">
        <f>'Reference Score Calculation'!A268</f>
        <v>JS6884</v>
      </c>
      <c r="B277" s="346" t="str">
        <f>'Reference Score Calculation'!B268</f>
        <v>JS6884</v>
      </c>
      <c r="C277" s="2" t="str">
        <f>'Reference Score Calculation'!E268</f>
        <v>理學士(計量金融)</v>
      </c>
      <c r="D277" s="16">
        <f>'Reference Score Calculation'!U268</f>
        <v>25</v>
      </c>
      <c r="E277" s="16">
        <v>3</v>
      </c>
      <c r="F277" s="16">
        <v>4</v>
      </c>
      <c r="G277" s="16">
        <v>3</v>
      </c>
      <c r="H277" s="16">
        <v>2</v>
      </c>
      <c r="I277" s="16">
        <v>3</v>
      </c>
      <c r="J277" s="16">
        <v>3</v>
      </c>
      <c r="L277" s="90">
        <v>3</v>
      </c>
      <c r="M277" s="90">
        <v>4</v>
      </c>
      <c r="N277" s="90">
        <v>3</v>
      </c>
      <c r="O277" s="90">
        <v>1</v>
      </c>
      <c r="P277" s="90">
        <v>3</v>
      </c>
      <c r="Q277" s="90">
        <v>3</v>
      </c>
      <c r="R277" s="16"/>
      <c r="S277" s="16">
        <f t="shared" si="98"/>
        <v>0</v>
      </c>
      <c r="T277" s="16">
        <f t="shared" si="99"/>
        <v>0</v>
      </c>
      <c r="U277" s="16">
        <f t="shared" si="100"/>
        <v>0</v>
      </c>
      <c r="V277" s="16">
        <f t="shared" si="101"/>
        <v>0</v>
      </c>
      <c r="W277" s="16">
        <f>IF(P277&gt;LARGE($P$3:$T$3,1),0,1)</f>
        <v>0</v>
      </c>
      <c r="X277" s="16">
        <f>IF(Q271&gt;LARGE($P$3:$T$3,2),0,IF($P$3&lt;3,0,1))</f>
        <v>0</v>
      </c>
      <c r="Z277" s="16">
        <f t="shared" si="104"/>
        <v>0</v>
      </c>
      <c r="AB277" s="16" t="s">
        <v>391</v>
      </c>
      <c r="AC277" s="16" t="s">
        <v>393</v>
      </c>
      <c r="AD277" s="16" t="s">
        <v>393</v>
      </c>
      <c r="AF277" s="21" t="s">
        <v>501</v>
      </c>
      <c r="AG277" s="21" t="s">
        <v>394</v>
      </c>
      <c r="AH277" s="21" t="s">
        <v>394</v>
      </c>
      <c r="AI277" s="102"/>
      <c r="AJ277" s="102"/>
      <c r="AK277" s="102"/>
      <c r="AL277" s="102"/>
      <c r="AM277" s="102"/>
      <c r="AN277" s="102"/>
      <c r="AO277" s="102"/>
      <c r="AP277" s="102"/>
      <c r="AQ277" s="102"/>
      <c r="AR277" s="102"/>
      <c r="AS277" s="102"/>
      <c r="AT277" s="102"/>
    </row>
    <row r="278" spans="1:46">
      <c r="A278" s="2" t="str">
        <f>'Reference Score Calculation'!A269</f>
        <v>JS6896</v>
      </c>
      <c r="B278" s="346" t="str">
        <f>'Reference Score Calculation'!B269</f>
        <v>JS6896</v>
      </c>
      <c r="C278" s="2" t="str">
        <f>'Reference Score Calculation'!E269</f>
        <v>工商管理學學士(國際商業及環球管理)</v>
      </c>
      <c r="D278" s="16">
        <f>'Reference Score Calculation'!U269</f>
        <v>25</v>
      </c>
      <c r="E278" s="16">
        <v>3</v>
      </c>
      <c r="F278" s="16">
        <v>5</v>
      </c>
      <c r="G278" s="16">
        <v>4</v>
      </c>
      <c r="H278" s="16">
        <v>2</v>
      </c>
      <c r="I278" s="16">
        <v>3</v>
      </c>
      <c r="J278" s="16">
        <v>3</v>
      </c>
      <c r="L278" s="90">
        <v>3</v>
      </c>
      <c r="M278" s="90">
        <v>5</v>
      </c>
      <c r="N278" s="90">
        <v>4</v>
      </c>
      <c r="O278" s="90">
        <v>1</v>
      </c>
      <c r="P278" s="90">
        <v>3</v>
      </c>
      <c r="Q278" s="90">
        <v>3</v>
      </c>
      <c r="R278" s="16"/>
      <c r="S278" s="16">
        <f t="shared" si="98"/>
        <v>0</v>
      </c>
      <c r="T278" s="16">
        <f t="shared" si="99"/>
        <v>0</v>
      </c>
      <c r="U278" s="16">
        <f t="shared" si="100"/>
        <v>0</v>
      </c>
      <c r="V278" s="16">
        <f t="shared" si="101"/>
        <v>0</v>
      </c>
      <c r="W278" s="16">
        <f>IF(P278&gt;LARGE($P$3:$T$3,1),0,1)</f>
        <v>0</v>
      </c>
      <c r="X278" s="16">
        <f t="shared" ref="X278:X284" si="105">IF(Q278&gt;LARGE($P$3:$T$3,2),0,1)</f>
        <v>0</v>
      </c>
      <c r="Z278" s="16">
        <f t="shared" si="104"/>
        <v>0</v>
      </c>
      <c r="AB278" s="16" t="s">
        <v>391</v>
      </c>
      <c r="AC278" s="16" t="s">
        <v>393</v>
      </c>
      <c r="AD278" s="16" t="s">
        <v>393</v>
      </c>
      <c r="AF278" s="21" t="s">
        <v>394</v>
      </c>
      <c r="AG278" s="21" t="s">
        <v>394</v>
      </c>
      <c r="AH278" s="21" t="s">
        <v>394</v>
      </c>
      <c r="AI278" s="116" t="s">
        <v>367</v>
      </c>
      <c r="AJ278" s="116" t="str">
        <f>Q$2</f>
        <v>請選擇第一選修科</v>
      </c>
      <c r="AK278" s="116" t="str">
        <f>R$2</f>
        <v>請選擇第二選修科</v>
      </c>
      <c r="AL278" s="116" t="str">
        <f>S$2</f>
        <v>請選擇第三選修科</v>
      </c>
      <c r="AM278" s="116" t="str">
        <f>T$2</f>
        <v>請選擇第四選修科</v>
      </c>
      <c r="AN278" s="116"/>
      <c r="AO278" s="102"/>
      <c r="AP278" s="116" t="s">
        <v>466</v>
      </c>
      <c r="AQ278" s="116"/>
      <c r="AR278" s="102"/>
      <c r="AS278" s="102"/>
      <c r="AT278" s="102"/>
    </row>
    <row r="279" spans="1:46">
      <c r="A279" s="2" t="str">
        <f>'Reference Score Calculation'!A270</f>
        <v>JS6107</v>
      </c>
      <c r="B279" s="346" t="str">
        <f>'Reference Score Calculation'!B270</f>
        <v>JS6107</v>
      </c>
      <c r="C279" s="2" t="str">
        <f>'Reference Score Calculation'!E270</f>
        <v>牙醫學士</v>
      </c>
      <c r="D279" s="16">
        <f>'Reference Score Calculation'!U270</f>
        <v>90</v>
      </c>
      <c r="E279" s="16">
        <v>3</v>
      </c>
      <c r="F279" s="16">
        <v>4</v>
      </c>
      <c r="G279" s="16">
        <v>3</v>
      </c>
      <c r="H279" s="16">
        <v>3</v>
      </c>
      <c r="I279" s="16">
        <v>3</v>
      </c>
      <c r="J279" s="16">
        <v>3</v>
      </c>
      <c r="L279" s="90">
        <v>3</v>
      </c>
      <c r="M279" s="90">
        <v>4</v>
      </c>
      <c r="N279" s="90">
        <v>3</v>
      </c>
      <c r="O279" s="90">
        <v>1</v>
      </c>
      <c r="P279" s="90">
        <v>3</v>
      </c>
      <c r="Q279" s="90">
        <v>3</v>
      </c>
      <c r="R279" s="16"/>
      <c r="S279" s="16">
        <f t="shared" si="98"/>
        <v>0</v>
      </c>
      <c r="T279" s="16">
        <f t="shared" si="99"/>
        <v>0</v>
      </c>
      <c r="U279" s="16">
        <f t="shared" si="100"/>
        <v>0</v>
      </c>
      <c r="V279" s="16">
        <f t="shared" si="101"/>
        <v>0</v>
      </c>
      <c r="W279" s="16">
        <f>IF(P279&gt;$AQ$298,0,1)</f>
        <v>0</v>
      </c>
      <c r="X279" s="16">
        <f t="shared" si="105"/>
        <v>0</v>
      </c>
      <c r="Z279" s="16">
        <f t="shared" si="104"/>
        <v>0</v>
      </c>
      <c r="AB279" s="16" t="s">
        <v>391</v>
      </c>
      <c r="AC279" s="16" t="s">
        <v>393</v>
      </c>
      <c r="AD279" s="16" t="s">
        <v>393</v>
      </c>
      <c r="AF279" s="21" t="s">
        <v>2311</v>
      </c>
      <c r="AG279" s="21" t="s">
        <v>394</v>
      </c>
      <c r="AH279" s="21" t="s">
        <v>394</v>
      </c>
      <c r="AI279" s="116" t="s">
        <v>506</v>
      </c>
      <c r="AJ279" s="117">
        <f>IF(OR(Q$2="化學",Q$2="組合科學(物理、化學)",Q$2="組合科學(生物、化學)"),Q$3,0)</f>
        <v>0</v>
      </c>
      <c r="AK279" s="117">
        <f>IF(OR(R$2="化學",R$2="組合科學(物理、化學)",R$2="組合科學(生物、化學)"),R$3,0)</f>
        <v>0</v>
      </c>
      <c r="AL279" s="117">
        <f>IF(OR(S$2="化學",S$2="組合科學(物理、化學)",S$2="組合科學(生物、化學)"),S$3,0)</f>
        <v>0</v>
      </c>
      <c r="AM279" s="117">
        <f>IF(OR(T$2="化學",T$2="組合科學(物理、化學)",T$2="組合科學(生物、化學)"),T$3,0)</f>
        <v>0</v>
      </c>
      <c r="AN279" s="116"/>
      <c r="AO279" s="116"/>
      <c r="AP279" s="117" t="str">
        <f>IF(AQ279&gt;0.1,INDEX(AJ278:AM278,MATCH(LARGE(AJ279:AM279,1),AJ279:AM279,0)),"無")</f>
        <v>無</v>
      </c>
      <c r="AQ279" s="117">
        <f>LARGE((AJ279:AM279),1)</f>
        <v>0</v>
      </c>
      <c r="AR279" s="102"/>
      <c r="AS279" s="102"/>
      <c r="AT279" s="102"/>
    </row>
    <row r="280" spans="1:46">
      <c r="A280" s="2" t="str">
        <f>'Reference Score Calculation'!A271</f>
        <v>JS6066</v>
      </c>
      <c r="B280" s="346" t="str">
        <f>'Reference Score Calculation'!B271</f>
        <v>JS6066</v>
      </c>
      <c r="C280" s="2" t="str">
        <f>'Reference Score Calculation'!E271</f>
        <v>文學士及教育學士(語文教育) - 英文教育</v>
      </c>
      <c r="D280" s="16">
        <f>'Reference Score Calculation'!U271</f>
        <v>17</v>
      </c>
      <c r="E280" s="16">
        <v>3</v>
      </c>
      <c r="F280" s="16">
        <v>3</v>
      </c>
      <c r="G280" s="16">
        <v>2</v>
      </c>
      <c r="H280" s="16">
        <v>2</v>
      </c>
      <c r="I280" s="16">
        <v>3</v>
      </c>
      <c r="J280" s="16">
        <v>3</v>
      </c>
      <c r="L280" s="90">
        <v>3</v>
      </c>
      <c r="M280" s="90">
        <v>3</v>
      </c>
      <c r="N280" s="90">
        <v>2</v>
      </c>
      <c r="O280" s="90">
        <v>1</v>
      </c>
      <c r="P280" s="90">
        <v>3</v>
      </c>
      <c r="Q280" s="90">
        <v>3</v>
      </c>
      <c r="R280" s="16"/>
      <c r="S280" s="16">
        <f t="shared" si="98"/>
        <v>0</v>
      </c>
      <c r="T280" s="16">
        <f t="shared" si="99"/>
        <v>0</v>
      </c>
      <c r="U280" s="16">
        <f t="shared" si="100"/>
        <v>0</v>
      </c>
      <c r="V280" s="16">
        <f t="shared" si="101"/>
        <v>0</v>
      </c>
      <c r="W280" s="16">
        <f>IF(P280&gt;LARGE($P$3:$T$3,1),0,1)</f>
        <v>0</v>
      </c>
      <c r="X280" s="16">
        <f t="shared" si="105"/>
        <v>0</v>
      </c>
      <c r="Z280" s="16">
        <f t="shared" si="104"/>
        <v>0</v>
      </c>
      <c r="AB280" s="16" t="s">
        <v>391</v>
      </c>
      <c r="AC280" s="16" t="s">
        <v>393</v>
      </c>
      <c r="AD280" s="16" t="s">
        <v>393</v>
      </c>
      <c r="AF280" s="21" t="s">
        <v>2487</v>
      </c>
      <c r="AG280" s="21" t="s">
        <v>2488</v>
      </c>
      <c r="AH280" s="21" t="s">
        <v>394</v>
      </c>
      <c r="AI280" s="116" t="s">
        <v>509</v>
      </c>
      <c r="AJ280" s="158" t="s">
        <v>510</v>
      </c>
      <c r="AK280" s="116"/>
      <c r="AL280" s="116"/>
      <c r="AM280" s="116"/>
      <c r="AN280" s="116"/>
      <c r="AO280" s="116"/>
      <c r="AP280" s="102"/>
      <c r="AQ280" s="102"/>
      <c r="AR280" s="102"/>
      <c r="AS280" s="102"/>
      <c r="AT280" s="102"/>
    </row>
    <row r="281" spans="1:46">
      <c r="A281" s="2" t="str">
        <f>'Reference Score Calculation'!A272</f>
        <v>JS6080</v>
      </c>
      <c r="B281" s="346" t="str">
        <f>'Reference Score Calculation'!B272</f>
        <v>JS6080</v>
      </c>
      <c r="C281" s="2" t="str">
        <f>'Reference Score Calculation'!E272</f>
        <v>文學士及教育學士(語文教育) - 中文教育</v>
      </c>
      <c r="D281" s="16">
        <f>'Reference Score Calculation'!U272</f>
        <v>17</v>
      </c>
      <c r="E281" s="16">
        <v>3</v>
      </c>
      <c r="F281" s="16">
        <v>3</v>
      </c>
      <c r="G281" s="16">
        <v>2</v>
      </c>
      <c r="H281" s="16">
        <v>2</v>
      </c>
      <c r="I281" s="16">
        <v>3</v>
      </c>
      <c r="J281" s="16">
        <v>3</v>
      </c>
      <c r="L281" s="90">
        <v>3</v>
      </c>
      <c r="M281" s="90">
        <v>3</v>
      </c>
      <c r="N281" s="90">
        <v>2</v>
      </c>
      <c r="O281" s="90">
        <v>1</v>
      </c>
      <c r="P281" s="90">
        <v>3</v>
      </c>
      <c r="Q281" s="90">
        <v>3</v>
      </c>
      <c r="R281" s="16"/>
      <c r="S281" s="16">
        <f t="shared" si="98"/>
        <v>0</v>
      </c>
      <c r="T281" s="16">
        <f t="shared" si="99"/>
        <v>0</v>
      </c>
      <c r="U281" s="16">
        <f t="shared" si="100"/>
        <v>0</v>
      </c>
      <c r="V281" s="16">
        <f t="shared" si="101"/>
        <v>0</v>
      </c>
      <c r="W281" s="16">
        <f>IF(P281&gt;LARGE($P$3:$T$3,1),0,1)</f>
        <v>0</v>
      </c>
      <c r="X281" s="16">
        <f t="shared" si="105"/>
        <v>0</v>
      </c>
      <c r="Z281" s="16">
        <f t="shared" si="104"/>
        <v>0</v>
      </c>
      <c r="AB281" s="16" t="s">
        <v>391</v>
      </c>
      <c r="AC281" s="16" t="s">
        <v>393</v>
      </c>
      <c r="AD281" s="16" t="s">
        <v>393</v>
      </c>
      <c r="AF281" s="21" t="s">
        <v>394</v>
      </c>
      <c r="AG281" s="21" t="s">
        <v>394</v>
      </c>
      <c r="AH281" s="21" t="s">
        <v>394</v>
      </c>
      <c r="AI281" s="116"/>
      <c r="AJ281" s="158"/>
      <c r="AK281" s="116"/>
      <c r="AL281" s="116"/>
      <c r="AM281" s="116"/>
      <c r="AN281" s="116"/>
      <c r="AO281" s="116"/>
      <c r="AP281" s="102"/>
      <c r="AQ281" s="102"/>
      <c r="AR281" s="102"/>
      <c r="AS281" s="102"/>
      <c r="AT281" s="102"/>
    </row>
    <row r="282" spans="1:46">
      <c r="A282" s="2" t="str">
        <f>'Reference Score Calculation'!A273</f>
        <v>JS6092</v>
      </c>
      <c r="B282" s="346" t="str">
        <f>'Reference Score Calculation'!B273</f>
        <v>JS6092</v>
      </c>
      <c r="C282" s="2" t="str">
        <f>'Reference Score Calculation'!E273</f>
        <v>教育學士(幼兒教育及特殊教育)</v>
      </c>
      <c r="D282" s="16">
        <f>'Reference Score Calculation'!U273</f>
        <v>16</v>
      </c>
      <c r="E282" s="16">
        <v>3</v>
      </c>
      <c r="F282" s="16">
        <v>3</v>
      </c>
      <c r="G282" s="16">
        <v>2</v>
      </c>
      <c r="H282" s="16">
        <v>2</v>
      </c>
      <c r="I282" s="16">
        <v>3</v>
      </c>
      <c r="J282" s="16">
        <v>3</v>
      </c>
      <c r="L282" s="90">
        <v>3</v>
      </c>
      <c r="M282" s="90">
        <v>3</v>
      </c>
      <c r="N282" s="90">
        <v>2</v>
      </c>
      <c r="O282" s="90">
        <v>1</v>
      </c>
      <c r="P282" s="90">
        <v>3</v>
      </c>
      <c r="Q282" s="90">
        <v>3</v>
      </c>
      <c r="R282" s="16"/>
      <c r="S282" s="16">
        <f t="shared" si="98"/>
        <v>0</v>
      </c>
      <c r="T282" s="16">
        <f t="shared" si="99"/>
        <v>0</v>
      </c>
      <c r="U282" s="16">
        <f t="shared" si="100"/>
        <v>0</v>
      </c>
      <c r="V282" s="16">
        <f t="shared" si="101"/>
        <v>0</v>
      </c>
      <c r="W282" s="16">
        <f>IF(P282&gt;LARGE($P$3:$T$3,1),0,1)</f>
        <v>0</v>
      </c>
      <c r="X282" s="16">
        <f t="shared" si="105"/>
        <v>0</v>
      </c>
      <c r="Z282" s="16">
        <f t="shared" si="104"/>
        <v>0</v>
      </c>
      <c r="AB282" s="16" t="s">
        <v>391</v>
      </c>
      <c r="AC282" s="16" t="s">
        <v>393</v>
      </c>
      <c r="AD282" s="16" t="s">
        <v>393</v>
      </c>
      <c r="AF282" s="21" t="s">
        <v>394</v>
      </c>
      <c r="AG282" s="21" t="s">
        <v>394</v>
      </c>
      <c r="AH282" s="21" t="s">
        <v>394</v>
      </c>
      <c r="AI282" s="116"/>
      <c r="AJ282" s="116" t="str">
        <f>Q$2</f>
        <v>請選擇第一選修科</v>
      </c>
      <c r="AK282" s="116" t="str">
        <f>R$2</f>
        <v>請選擇第二選修科</v>
      </c>
      <c r="AL282" s="116" t="str">
        <f>S$2</f>
        <v>請選擇第三選修科</v>
      </c>
      <c r="AM282" s="116" t="str">
        <f>T$2</f>
        <v>請選擇第四選修科</v>
      </c>
      <c r="AN282" s="116"/>
      <c r="AO282" s="102"/>
      <c r="AP282" s="116" t="s">
        <v>466</v>
      </c>
      <c r="AQ282" s="116"/>
      <c r="AR282" s="102"/>
      <c r="AS282" s="102"/>
      <c r="AT282" s="102"/>
    </row>
    <row r="283" spans="1:46">
      <c r="A283" s="2" t="str">
        <f>'Reference Score Calculation'!A274</f>
        <v>JS6119</v>
      </c>
      <c r="B283" s="346" t="str">
        <f>'Reference Score Calculation'!B274</f>
        <v>JS6119</v>
      </c>
      <c r="C283" s="2" t="str">
        <f>'Reference Score Calculation'!E274</f>
        <v>教育學士及理學士</v>
      </c>
      <c r="D283" s="16">
        <f>'Reference Score Calculation'!U274</f>
        <v>16</v>
      </c>
      <c r="E283" s="16">
        <v>3</v>
      </c>
      <c r="F283" s="16">
        <v>3</v>
      </c>
      <c r="G283" s="16">
        <v>2</v>
      </c>
      <c r="H283" s="16">
        <v>2</v>
      </c>
      <c r="I283" s="16">
        <v>3</v>
      </c>
      <c r="J283" s="16">
        <v>3</v>
      </c>
      <c r="L283" s="90">
        <v>3</v>
      </c>
      <c r="M283" s="90">
        <v>3</v>
      </c>
      <c r="N283" s="90">
        <v>2</v>
      </c>
      <c r="O283" s="90">
        <v>1</v>
      </c>
      <c r="P283" s="90">
        <v>3</v>
      </c>
      <c r="Q283" s="90">
        <v>3</v>
      </c>
      <c r="R283" s="16"/>
      <c r="S283" s="16">
        <f t="shared" si="98"/>
        <v>0</v>
      </c>
      <c r="T283" s="16">
        <f t="shared" si="99"/>
        <v>0</v>
      </c>
      <c r="U283" s="16">
        <f t="shared" si="100"/>
        <v>0</v>
      </c>
      <c r="V283" s="16">
        <f t="shared" si="101"/>
        <v>0</v>
      </c>
      <c r="W283" s="16">
        <f>IF(P283&gt;$AQ$294,0,1)</f>
        <v>0</v>
      </c>
      <c r="X283" s="16">
        <f t="shared" si="105"/>
        <v>0</v>
      </c>
      <c r="Z283" s="16">
        <f t="shared" si="104"/>
        <v>0</v>
      </c>
      <c r="AB283" s="16" t="s">
        <v>391</v>
      </c>
      <c r="AC283" s="16" t="s">
        <v>393</v>
      </c>
      <c r="AD283" s="16" t="s">
        <v>393</v>
      </c>
      <c r="AF283" s="21" t="s">
        <v>2309</v>
      </c>
      <c r="AG283" s="21" t="s">
        <v>394</v>
      </c>
      <c r="AH283" s="21" t="s">
        <v>394</v>
      </c>
      <c r="AI283" s="116" t="s">
        <v>518</v>
      </c>
      <c r="AJ283" s="117">
        <f>IF(OR(Q$2="化學",Q$2="生物",Q$2="組合科學(物理、化學)",Q$2="組合科學(生物、化學)",Q$2="組合科學(物理、生物)"),Q$3,0)</f>
        <v>0</v>
      </c>
      <c r="AK283" s="117">
        <f>IF(OR(R$2="化學",R$2="生物",R$2="組合科學(物理、化學)",R$2="組合科學(生物、化學)",R$2="組合科學(物理、生物)"),R$3,0)</f>
        <v>0</v>
      </c>
      <c r="AL283" s="117">
        <f>IF(OR(S$2="化學",S$2="生物",S$2="組合科學(物理、化學)",S$2="組合科學(生物、化學)",S$2="組合科學(物理、生物)"),S$3,0)</f>
        <v>0</v>
      </c>
      <c r="AM283" s="117">
        <f>IF(OR(T$2="化學",T$2="生物",T$2="組合科學(物理、化學)",T$2="組合科學(生物、化學)",T$2="組合科學(物理、生物)"),T$3,0)</f>
        <v>0</v>
      </c>
      <c r="AN283" s="116"/>
      <c r="AO283" s="116"/>
      <c r="AP283" s="117" t="str">
        <f>IF(AQ283&gt;0.1,INDEX(AJ282:AM282,MATCH(LARGE(AJ283:AM283,1),AJ283:AM283,0)),"無")</f>
        <v>無</v>
      </c>
      <c r="AQ283" s="117">
        <f>LARGE((AJ283:AM283),1)</f>
        <v>0</v>
      </c>
      <c r="AR283" s="102"/>
      <c r="AS283" s="102"/>
      <c r="AT283" s="102"/>
    </row>
    <row r="284" spans="1:46">
      <c r="A284" s="2" t="str">
        <f>'Reference Score Calculation'!A275</f>
        <v>JS6157</v>
      </c>
      <c r="B284" s="346" t="str">
        <f>'Reference Score Calculation'!B275</f>
        <v>JS6157</v>
      </c>
      <c r="C284" s="2" t="str">
        <f>'Reference Score Calculation'!E275</f>
        <v>理學士(言語及語言病理學)</v>
      </c>
      <c r="D284" s="16">
        <f>'Reference Score Calculation'!U275</f>
        <v>48</v>
      </c>
      <c r="E284" s="16">
        <v>3</v>
      </c>
      <c r="F284" s="16">
        <v>4</v>
      </c>
      <c r="G284" s="16">
        <v>2</v>
      </c>
      <c r="H284" s="16">
        <v>2</v>
      </c>
      <c r="I284" s="16">
        <v>3</v>
      </c>
      <c r="J284" s="16">
        <v>3</v>
      </c>
      <c r="L284" s="90">
        <v>3</v>
      </c>
      <c r="M284" s="90">
        <v>4</v>
      </c>
      <c r="N284" s="90">
        <v>2</v>
      </c>
      <c r="O284" s="90">
        <v>1</v>
      </c>
      <c r="P284" s="90">
        <v>3</v>
      </c>
      <c r="Q284" s="90">
        <v>3</v>
      </c>
      <c r="R284" s="16"/>
      <c r="S284" s="16">
        <f t="shared" si="98"/>
        <v>0</v>
      </c>
      <c r="T284" s="16">
        <f t="shared" si="99"/>
        <v>0</v>
      </c>
      <c r="U284" s="16">
        <f t="shared" si="100"/>
        <v>0</v>
      </c>
      <c r="V284" s="16">
        <f t="shared" si="101"/>
        <v>0</v>
      </c>
      <c r="W284" s="16">
        <f>IF(P284&gt;LARGE($P$3:$T$3,1),0,1)</f>
        <v>0</v>
      </c>
      <c r="X284" s="16">
        <f t="shared" si="105"/>
        <v>0</v>
      </c>
      <c r="Z284" s="16">
        <f t="shared" si="104"/>
        <v>0</v>
      </c>
      <c r="AB284" s="16" t="s">
        <v>391</v>
      </c>
      <c r="AC284" s="16" t="s">
        <v>393</v>
      </c>
      <c r="AD284" s="16" t="s">
        <v>393</v>
      </c>
      <c r="AF284" s="21" t="s">
        <v>517</v>
      </c>
      <c r="AG284" s="21" t="s">
        <v>394</v>
      </c>
      <c r="AH284" s="21" t="s">
        <v>394</v>
      </c>
      <c r="AI284" s="116"/>
      <c r="AJ284" s="158" t="s">
        <v>521</v>
      </c>
      <c r="AK284" s="116"/>
      <c r="AL284" s="116"/>
      <c r="AM284" s="116"/>
      <c r="AN284" s="116"/>
      <c r="AO284" s="116"/>
      <c r="AP284" s="102"/>
      <c r="AQ284" s="102"/>
      <c r="AR284" s="102"/>
      <c r="AS284" s="102"/>
      <c r="AT284" s="102"/>
    </row>
    <row r="285" spans="1:46">
      <c r="A285" s="2" t="str">
        <f>'Reference Score Calculation'!A276</f>
        <v>JS6303</v>
      </c>
      <c r="B285" s="346" t="str">
        <f>'Reference Score Calculation'!B276</f>
        <v>JS6303</v>
      </c>
      <c r="C285" s="2" t="str">
        <f>'Reference Score Calculation'!E276</f>
        <v>工學學士精英課程</v>
      </c>
      <c r="D285" s="16" t="str">
        <f>'Reference Score Calculation'!U276</f>
        <v>327*</v>
      </c>
      <c r="L285" s="90">
        <v>3</v>
      </c>
      <c r="M285" s="90">
        <v>4</v>
      </c>
      <c r="N285" s="90">
        <v>4</v>
      </c>
      <c r="O285" s="90">
        <v>1</v>
      </c>
      <c r="P285" s="90">
        <v>3</v>
      </c>
      <c r="Q285" s="90">
        <v>3</v>
      </c>
      <c r="R285" s="16"/>
      <c r="S285" s="16">
        <f t="shared" ref="S285:S300" si="106">IF(L285&gt;L$3,0,1)</f>
        <v>0</v>
      </c>
      <c r="T285" s="16">
        <f t="shared" ref="T285:T300" si="107">IF(M285&gt;M$3,0,1)</f>
        <v>0</v>
      </c>
      <c r="U285" s="16">
        <f t="shared" ref="U285:U300" si="108">IF(N285&gt;N$3,0,1)</f>
        <v>0</v>
      </c>
      <c r="V285" s="16">
        <f t="shared" ref="V285:V300" si="109">IF(O285&gt;O$3,0,1)</f>
        <v>0</v>
      </c>
      <c r="W285" s="16">
        <f>IF(P285&gt;$AQ$305,0,1)</f>
        <v>0</v>
      </c>
      <c r="X285" s="16">
        <f t="shared" ref="X285:X291" si="110">IF(OR($P$3&gt;Q285,$U$3&gt;Q285),1,IF(Q285&gt;LARGE($Q$3:$T$3,2),0,IF($P$3&lt;3,2,1)))</f>
        <v>0</v>
      </c>
      <c r="Z285" s="16">
        <f t="shared" ref="Z285:Z312" si="111">S285*T285*U285*V285*W285*X285</f>
        <v>0</v>
      </c>
      <c r="AB285" s="16" t="s">
        <v>391</v>
      </c>
      <c r="AC285" s="16" t="s">
        <v>420</v>
      </c>
      <c r="AD285" s="16" t="s">
        <v>393</v>
      </c>
      <c r="AF285" s="21" t="s">
        <v>3139</v>
      </c>
      <c r="AG285" s="21" t="s">
        <v>495</v>
      </c>
      <c r="AH285" s="21" t="s">
        <v>394</v>
      </c>
      <c r="AI285" s="116"/>
      <c r="AJ285" s="158"/>
      <c r="AK285" s="116"/>
      <c r="AL285" s="116"/>
      <c r="AM285" s="116"/>
      <c r="AN285" s="116"/>
      <c r="AO285" s="116"/>
      <c r="AP285" s="102"/>
      <c r="AQ285" s="102"/>
      <c r="AR285" s="102"/>
      <c r="AS285" s="102"/>
      <c r="AT285" s="102"/>
    </row>
    <row r="286" spans="1:46">
      <c r="A286" s="2" t="str">
        <f>'Reference Score Calculation'!A277</f>
        <v>JS6315</v>
      </c>
      <c r="B286" s="346" t="str">
        <f>'Reference Score Calculation'!B277</f>
        <v>JS6315</v>
      </c>
      <c r="C286" s="2" t="str">
        <f>'Reference Score Calculation'!E277</f>
        <v>工學學士(數據與系統工程)</v>
      </c>
      <c r="D286" s="16" t="str">
        <f>'Reference Score Calculation'!U277</f>
        <v>327*</v>
      </c>
      <c r="L286" s="90">
        <v>3</v>
      </c>
      <c r="M286" s="90">
        <v>3</v>
      </c>
      <c r="N286" s="90">
        <v>3</v>
      </c>
      <c r="O286" s="90">
        <v>1</v>
      </c>
      <c r="P286" s="90">
        <v>3</v>
      </c>
      <c r="Q286" s="90">
        <v>3</v>
      </c>
      <c r="R286" s="16"/>
      <c r="S286" s="16">
        <f t="shared" si="106"/>
        <v>0</v>
      </c>
      <c r="T286" s="16">
        <f t="shared" si="107"/>
        <v>0</v>
      </c>
      <c r="U286" s="16">
        <f t="shared" si="108"/>
        <v>0</v>
      </c>
      <c r="V286" s="16">
        <f t="shared" si="109"/>
        <v>0</v>
      </c>
      <c r="W286" s="16">
        <f>IF(P286&gt;$AQ$305,0,1)</f>
        <v>0</v>
      </c>
      <c r="X286" s="16">
        <f t="shared" si="110"/>
        <v>0</v>
      </c>
      <c r="Z286" s="16">
        <f t="shared" si="111"/>
        <v>0</v>
      </c>
      <c r="AB286" s="16" t="s">
        <v>391</v>
      </c>
      <c r="AC286" s="16" t="s">
        <v>420</v>
      </c>
      <c r="AD286" s="16" t="s">
        <v>393</v>
      </c>
      <c r="AF286" s="21" t="s">
        <v>3139</v>
      </c>
      <c r="AG286" s="21" t="s">
        <v>495</v>
      </c>
      <c r="AH286" s="21" t="s">
        <v>394</v>
      </c>
      <c r="AI286" s="116"/>
      <c r="AJ286" s="116" t="str">
        <f>Q$2</f>
        <v>請選擇第一選修科</v>
      </c>
      <c r="AK286" s="116" t="str">
        <f>R$2</f>
        <v>請選擇第二選修科</v>
      </c>
      <c r="AL286" s="116" t="str">
        <f>S$2</f>
        <v>請選擇第三選修科</v>
      </c>
      <c r="AM286" s="116" t="str">
        <f>T$2</f>
        <v>請選擇第四選修科</v>
      </c>
      <c r="AN286" s="116" t="str">
        <f>P$2</f>
        <v>數學延伸</v>
      </c>
      <c r="AO286" s="116"/>
      <c r="AP286" s="116" t="s">
        <v>332</v>
      </c>
      <c r="AQ286" s="116"/>
      <c r="AR286" s="116" t="s">
        <v>333</v>
      </c>
      <c r="AS286" s="116"/>
      <c r="AT286" s="102"/>
    </row>
    <row r="287" spans="1:46">
      <c r="A287" s="2" t="str">
        <f>'Reference Score Calculation'!A278</f>
        <v>JS6339</v>
      </c>
      <c r="B287" s="346" t="str">
        <f>'Reference Score Calculation'!B278</f>
        <v>JS6339</v>
      </c>
      <c r="C287" s="2" t="str">
        <f>'Reference Score Calculation'!E278</f>
        <v>工學學士(機械工程)</v>
      </c>
      <c r="D287" s="16" t="str">
        <f>'Reference Score Calculation'!U278</f>
        <v>327*</v>
      </c>
      <c r="L287" s="90">
        <v>3</v>
      </c>
      <c r="M287" s="90">
        <v>3</v>
      </c>
      <c r="N287" s="90">
        <v>3</v>
      </c>
      <c r="O287" s="90">
        <v>1</v>
      </c>
      <c r="P287" s="90">
        <v>3</v>
      </c>
      <c r="Q287" s="90">
        <v>3</v>
      </c>
      <c r="R287" s="16"/>
      <c r="S287" s="16">
        <f t="shared" si="106"/>
        <v>0</v>
      </c>
      <c r="T287" s="16">
        <f t="shared" si="107"/>
        <v>0</v>
      </c>
      <c r="U287" s="16">
        <f t="shared" si="108"/>
        <v>0</v>
      </c>
      <c r="V287" s="16">
        <f t="shared" si="109"/>
        <v>0</v>
      </c>
      <c r="W287" s="16">
        <f>IF(P287&gt;$AQ$305,0,1)</f>
        <v>0</v>
      </c>
      <c r="X287" s="16">
        <f t="shared" si="110"/>
        <v>0</v>
      </c>
      <c r="Z287" s="16">
        <f t="shared" si="111"/>
        <v>0</v>
      </c>
      <c r="AB287" s="16" t="s">
        <v>391</v>
      </c>
      <c r="AC287" s="16" t="s">
        <v>420</v>
      </c>
      <c r="AD287" s="16" t="s">
        <v>393</v>
      </c>
      <c r="AF287" s="21" t="s">
        <v>3139</v>
      </c>
      <c r="AG287" s="21" t="s">
        <v>495</v>
      </c>
      <c r="AH287" s="21" t="s">
        <v>394</v>
      </c>
      <c r="AI287" s="116" t="s">
        <v>363</v>
      </c>
      <c r="AJ287" s="117">
        <f>IF(OR(Q$2="物理",Q$2="化學",Q$2="生物"),Q$3,0)</f>
        <v>0</v>
      </c>
      <c r="AK287" s="117">
        <f>IF(OR(R$2="物理",R$2="化學",R$2="生物"),R$3,0)</f>
        <v>0</v>
      </c>
      <c r="AL287" s="117">
        <f>IF(OR(S$2="物理",S$2="化學",S$2="生物"),S$3,0)</f>
        <v>0</v>
      </c>
      <c r="AM287" s="117">
        <f>IF(OR(T$2="物理",T$2="化學",T$2="生物"),T$3,0)</f>
        <v>0</v>
      </c>
      <c r="AN287" s="117">
        <f>P$3</f>
        <v>5.0000000000000003E-10</v>
      </c>
      <c r="AO287" s="116"/>
      <c r="AP287" s="117" t="str">
        <f>IF(AQ287&gt;0.1,INDEX(AJ286:AN286,MATCH(LARGE(AJ287:AN287,1),AJ287:AN287,0)),"無")</f>
        <v>無</v>
      </c>
      <c r="AQ287" s="117">
        <f>LARGE((AJ287:AN287),1)</f>
        <v>5.0000000000000003E-10</v>
      </c>
      <c r="AR287" s="117" t="str">
        <f>IF(AS287&gt;0.1,INDEX(AJ286:AN286,MATCH(LARGE(AJ287:AN287,2),AJ287:AN287,0)),"無")</f>
        <v>無</v>
      </c>
      <c r="AS287" s="117">
        <f>LARGE((AJ287:AN287),2)</f>
        <v>0</v>
      </c>
      <c r="AT287" s="102"/>
    </row>
    <row r="288" spans="1:46">
      <c r="A288" s="2" t="str">
        <f>'Reference Score Calculation'!A279</f>
        <v>JS6353</v>
      </c>
      <c r="B288" s="346" t="str">
        <f>'Reference Score Calculation'!B279</f>
        <v>JS6353</v>
      </c>
      <c r="C288" s="2" t="str">
        <f>'Reference Score Calculation'!E279</f>
        <v>工學學士(土木工程)</v>
      </c>
      <c r="D288" s="16" t="str">
        <f>'Reference Score Calculation'!U279</f>
        <v>327*</v>
      </c>
      <c r="L288" s="90">
        <v>3</v>
      </c>
      <c r="M288" s="90">
        <v>3</v>
      </c>
      <c r="N288" s="90">
        <v>3</v>
      </c>
      <c r="O288" s="90">
        <v>1</v>
      </c>
      <c r="P288" s="90">
        <v>3</v>
      </c>
      <c r="Q288" s="90">
        <v>3</v>
      </c>
      <c r="R288" s="16"/>
      <c r="S288" s="16">
        <f t="shared" si="106"/>
        <v>0</v>
      </c>
      <c r="T288" s="16">
        <f t="shared" si="107"/>
        <v>0</v>
      </c>
      <c r="U288" s="16">
        <f t="shared" si="108"/>
        <v>0</v>
      </c>
      <c r="V288" s="16">
        <f t="shared" si="109"/>
        <v>0</v>
      </c>
      <c r="W288" s="16">
        <f>IF(P288&gt;$AQ$305,0,1)</f>
        <v>0</v>
      </c>
      <c r="X288" s="16">
        <f t="shared" si="110"/>
        <v>0</v>
      </c>
      <c r="Z288" s="16">
        <f t="shared" si="111"/>
        <v>0</v>
      </c>
      <c r="AB288" s="16" t="s">
        <v>391</v>
      </c>
      <c r="AC288" s="16" t="s">
        <v>420</v>
      </c>
      <c r="AD288" s="16" t="s">
        <v>393</v>
      </c>
      <c r="AF288" s="21" t="s">
        <v>3139</v>
      </c>
      <c r="AG288" s="21" t="s">
        <v>495</v>
      </c>
      <c r="AH288" s="21" t="s">
        <v>394</v>
      </c>
      <c r="AI288" s="116"/>
      <c r="AJ288" s="158" t="s">
        <v>3149</v>
      </c>
      <c r="AK288" s="116"/>
      <c r="AL288" s="116"/>
      <c r="AM288" s="116"/>
      <c r="AN288" s="116"/>
      <c r="AO288" s="116"/>
      <c r="AP288" s="116"/>
      <c r="AQ288" s="102"/>
      <c r="AR288" s="102"/>
      <c r="AS288" s="102"/>
      <c r="AT288" s="102"/>
    </row>
    <row r="289" spans="1:46">
      <c r="A289" s="2" t="str">
        <f>'Reference Score Calculation'!A280</f>
        <v>JS6377</v>
      </c>
      <c r="B289" s="346" t="str">
        <f>'Reference Score Calculation'!B280</f>
        <v>JS6377</v>
      </c>
      <c r="C289" s="2" t="str">
        <f>'Reference Score Calculation'!E280</f>
        <v>工學學士與人工智能理學碩士聯合課程</v>
      </c>
      <c r="D289" s="16" t="str">
        <f>'Reference Score Calculation'!U280</f>
        <v>327*</v>
      </c>
      <c r="L289" s="90">
        <v>3</v>
      </c>
      <c r="M289" s="90">
        <v>4</v>
      </c>
      <c r="N289" s="90">
        <v>4</v>
      </c>
      <c r="O289" s="90">
        <v>1</v>
      </c>
      <c r="P289" s="90">
        <v>3</v>
      </c>
      <c r="Q289" s="90">
        <v>3</v>
      </c>
      <c r="R289" s="16"/>
      <c r="S289" s="16">
        <f t="shared" si="106"/>
        <v>0</v>
      </c>
      <c r="T289" s="16">
        <f t="shared" si="107"/>
        <v>0</v>
      </c>
      <c r="U289" s="16">
        <f t="shared" si="108"/>
        <v>0</v>
      </c>
      <c r="V289" s="16">
        <f t="shared" si="109"/>
        <v>0</v>
      </c>
      <c r="W289" s="16">
        <f>IF(P289&gt;$AQ$305,0,1)</f>
        <v>0</v>
      </c>
      <c r="X289" s="16">
        <f t="shared" si="110"/>
        <v>0</v>
      </c>
      <c r="Z289" s="16">
        <f t="shared" si="111"/>
        <v>0</v>
      </c>
      <c r="AB289" s="16" t="s">
        <v>391</v>
      </c>
      <c r="AC289" s="16" t="s">
        <v>420</v>
      </c>
      <c r="AD289" s="16" t="s">
        <v>393</v>
      </c>
      <c r="AF289" s="21" t="s">
        <v>3139</v>
      </c>
      <c r="AG289" s="21" t="s">
        <v>495</v>
      </c>
      <c r="AH289" s="21" t="s">
        <v>394</v>
      </c>
      <c r="AI289" s="158"/>
      <c r="AJ289" s="158"/>
      <c r="AK289" s="116"/>
      <c r="AL289" s="116"/>
      <c r="AM289" s="116"/>
      <c r="AN289" s="116"/>
      <c r="AO289" s="116"/>
      <c r="AP289" s="116"/>
      <c r="AQ289" s="102"/>
      <c r="AR289" s="102"/>
      <c r="AS289" s="102"/>
      <c r="AT289" s="102"/>
    </row>
    <row r="290" spans="1:46">
      <c r="A290" s="2" t="str">
        <f>'Reference Score Calculation'!A281</f>
        <v>JS6925</v>
      </c>
      <c r="B290" s="346" t="str">
        <f>'Reference Score Calculation'!B281</f>
        <v>JS6925</v>
      </c>
      <c r="C290" s="2" t="str">
        <f>'Reference Score Calculation'!E281</f>
        <v>工學學士(生物醫學工程)</v>
      </c>
      <c r="D290" s="16">
        <f>'Reference Score Calculation'!U281</f>
        <v>75</v>
      </c>
      <c r="E290" s="16">
        <v>3</v>
      </c>
      <c r="F290" s="16">
        <v>3</v>
      </c>
      <c r="G290" s="16">
        <v>3</v>
      </c>
      <c r="H290" s="16">
        <v>2</v>
      </c>
      <c r="I290" s="16">
        <v>3</v>
      </c>
      <c r="J290" s="16">
        <v>3</v>
      </c>
      <c r="L290" s="90">
        <v>3</v>
      </c>
      <c r="M290" s="90">
        <v>3</v>
      </c>
      <c r="N290" s="90">
        <v>3</v>
      </c>
      <c r="O290" s="90">
        <v>1</v>
      </c>
      <c r="P290" s="90">
        <v>3</v>
      </c>
      <c r="Q290" s="90">
        <v>3</v>
      </c>
      <c r="R290" s="16"/>
      <c r="S290" s="16">
        <f t="shared" si="106"/>
        <v>0</v>
      </c>
      <c r="T290" s="16">
        <f t="shared" si="107"/>
        <v>0</v>
      </c>
      <c r="U290" s="16">
        <f t="shared" si="108"/>
        <v>0</v>
      </c>
      <c r="V290" s="16">
        <f t="shared" si="109"/>
        <v>0</v>
      </c>
      <c r="W290" s="16">
        <f>IF(P290&gt;AQ305,0,1)</f>
        <v>0</v>
      </c>
      <c r="X290" s="16">
        <f t="shared" si="110"/>
        <v>0</v>
      </c>
      <c r="Z290" s="16">
        <f t="shared" si="111"/>
        <v>0</v>
      </c>
      <c r="AB290" s="16" t="s">
        <v>391</v>
      </c>
      <c r="AC290" s="16" t="s">
        <v>420</v>
      </c>
      <c r="AD290" s="16" t="s">
        <v>393</v>
      </c>
      <c r="AF290" s="21" t="s">
        <v>3139</v>
      </c>
      <c r="AG290" s="21" t="s">
        <v>495</v>
      </c>
      <c r="AH290" s="21" t="s">
        <v>394</v>
      </c>
      <c r="AI290" s="158"/>
      <c r="AJ290" s="158"/>
      <c r="AK290" s="116"/>
      <c r="AL290" s="116"/>
      <c r="AM290" s="116"/>
      <c r="AN290" s="116"/>
      <c r="AO290" s="116"/>
      <c r="AP290" s="116"/>
      <c r="AQ290" s="102"/>
      <c r="AR290" s="102"/>
      <c r="AS290" s="102"/>
      <c r="AT290" s="102"/>
    </row>
    <row r="291" spans="1:46">
      <c r="A291" s="2" t="str">
        <f>'Reference Score Calculation'!A282</f>
        <v>JS6937</v>
      </c>
      <c r="B291" s="346" t="str">
        <f>'Reference Score Calculation'!B282</f>
        <v>JS6937</v>
      </c>
      <c r="C291" s="2" t="str">
        <f>'Reference Score Calculation'!E282</f>
        <v>環球工程與商業課程</v>
      </c>
      <c r="D291" s="16" t="str">
        <f>'Reference Score Calculation'!U282</f>
        <v>327*</v>
      </c>
      <c r="E291" s="16">
        <v>3</v>
      </c>
      <c r="F291" s="16">
        <v>4</v>
      </c>
      <c r="G291" s="16">
        <v>4</v>
      </c>
      <c r="H291" s="16">
        <v>2</v>
      </c>
      <c r="I291" s="16">
        <v>3</v>
      </c>
      <c r="J291" s="16">
        <v>3</v>
      </c>
      <c r="L291" s="90">
        <v>3</v>
      </c>
      <c r="M291" s="90">
        <v>4</v>
      </c>
      <c r="N291" s="90">
        <v>4</v>
      </c>
      <c r="O291" s="90">
        <v>1</v>
      </c>
      <c r="P291" s="90">
        <v>3</v>
      </c>
      <c r="Q291" s="90">
        <v>3</v>
      </c>
      <c r="R291" s="16"/>
      <c r="S291" s="16">
        <f t="shared" si="106"/>
        <v>0</v>
      </c>
      <c r="T291" s="16">
        <f t="shared" si="107"/>
        <v>0</v>
      </c>
      <c r="U291" s="16">
        <f t="shared" si="108"/>
        <v>0</v>
      </c>
      <c r="V291" s="16">
        <f t="shared" si="109"/>
        <v>0</v>
      </c>
      <c r="W291" s="16">
        <f>IF(P291&gt;AQ294,0,1)</f>
        <v>0</v>
      </c>
      <c r="X291" s="16">
        <f t="shared" si="110"/>
        <v>0</v>
      </c>
      <c r="Z291" s="16">
        <f t="shared" si="111"/>
        <v>0</v>
      </c>
      <c r="AB291" s="16" t="s">
        <v>391</v>
      </c>
      <c r="AC291" s="16" t="s">
        <v>420</v>
      </c>
      <c r="AD291" s="16" t="s">
        <v>393</v>
      </c>
      <c r="AF291" s="21" t="s">
        <v>2309</v>
      </c>
      <c r="AG291" s="21" t="s">
        <v>495</v>
      </c>
      <c r="AH291" s="21" t="s">
        <v>394</v>
      </c>
      <c r="AI291" s="158"/>
      <c r="AJ291" s="158"/>
      <c r="AK291" s="116"/>
      <c r="AL291" s="116"/>
      <c r="AM291" s="116"/>
      <c r="AN291" s="116"/>
      <c r="AO291" s="116"/>
      <c r="AP291" s="116"/>
      <c r="AQ291" s="102"/>
      <c r="AR291" s="102"/>
      <c r="AS291" s="102"/>
      <c r="AT291" s="102"/>
    </row>
    <row r="292" spans="1:46">
      <c r="A292" s="2" t="str">
        <f>'Reference Score Calculation'!A283</f>
        <v>JS6987</v>
      </c>
      <c r="B292" s="346" t="str">
        <f>'Reference Score Calculation'!B283</f>
        <v>JS6987</v>
      </c>
      <c r="C292" s="2" t="str">
        <f>'Reference Score Calculation'!E283</f>
        <v>工學學士(計算機工程/電機工程/電子工程)</v>
      </c>
      <c r="D292" s="16" t="str">
        <f>'Reference Score Calculation'!U283</f>
        <v>327*</v>
      </c>
      <c r="L292" s="90">
        <v>3</v>
      </c>
      <c r="M292" s="90">
        <v>3</v>
      </c>
      <c r="N292" s="90">
        <v>3</v>
      </c>
      <c r="O292" s="90">
        <v>1</v>
      </c>
      <c r="P292" s="90">
        <v>3</v>
      </c>
      <c r="Q292" s="90">
        <v>3</v>
      </c>
      <c r="R292" s="16"/>
      <c r="S292" s="16">
        <f t="shared" si="106"/>
        <v>0</v>
      </c>
      <c r="T292" s="16">
        <f t="shared" si="107"/>
        <v>0</v>
      </c>
      <c r="U292" s="16">
        <f t="shared" si="108"/>
        <v>0</v>
      </c>
      <c r="V292" s="16">
        <f t="shared" si="109"/>
        <v>0</v>
      </c>
      <c r="W292" s="16">
        <f>IF(P292&gt;$AQ$305,0,1)</f>
        <v>0</v>
      </c>
      <c r="X292" s="16">
        <f>IF(OR($P$3&gt;Q292,$U$3&gt;Q292),1,IF(Q292&gt;LARGE($Q$3:$T$3,2),0,IF($P$3&lt;3,2,1)))</f>
        <v>0</v>
      </c>
      <c r="Z292" s="16">
        <f t="shared" si="111"/>
        <v>0</v>
      </c>
      <c r="AB292" s="16" t="s">
        <v>391</v>
      </c>
      <c r="AC292" s="16" t="s">
        <v>420</v>
      </c>
      <c r="AD292" s="16" t="s">
        <v>393</v>
      </c>
      <c r="AF292" s="21" t="s">
        <v>3139</v>
      </c>
      <c r="AG292" s="21" t="s">
        <v>495</v>
      </c>
      <c r="AH292" s="21" t="s">
        <v>394</v>
      </c>
      <c r="AI292" s="116" t="s">
        <v>519</v>
      </c>
      <c r="AJ292" s="158"/>
      <c r="AK292" s="116"/>
      <c r="AL292" s="116"/>
      <c r="AM292" s="116"/>
      <c r="AN292" s="116"/>
      <c r="AO292" s="116"/>
      <c r="AP292" s="116"/>
      <c r="AQ292" s="102"/>
      <c r="AR292" s="102"/>
      <c r="AS292" s="102"/>
      <c r="AT292" s="102"/>
    </row>
    <row r="293" spans="1:46">
      <c r="A293" s="2" t="str">
        <f>'Reference Score Calculation'!A284</f>
        <v>JS6078</v>
      </c>
      <c r="B293" s="346" t="str">
        <f>'Reference Score Calculation'!B284</f>
        <v>JS6078</v>
      </c>
      <c r="C293" s="2" t="str">
        <f>'Reference Score Calculation'!E284</f>
        <v>文學士及法學士</v>
      </c>
      <c r="D293" s="16">
        <f>'Reference Score Calculation'!U284</f>
        <v>20</v>
      </c>
      <c r="E293" s="16">
        <v>4</v>
      </c>
      <c r="F293" s="16">
        <v>5</v>
      </c>
      <c r="G293" s="16">
        <v>3</v>
      </c>
      <c r="H293" s="16">
        <v>3</v>
      </c>
      <c r="I293" s="16">
        <v>3</v>
      </c>
      <c r="J293" s="16">
        <v>3</v>
      </c>
      <c r="L293" s="90">
        <v>4</v>
      </c>
      <c r="M293" s="90">
        <v>5</v>
      </c>
      <c r="N293" s="90">
        <v>3</v>
      </c>
      <c r="O293" s="90">
        <v>1</v>
      </c>
      <c r="P293" s="90">
        <v>3</v>
      </c>
      <c r="Q293" s="90">
        <v>3</v>
      </c>
      <c r="R293" s="16"/>
      <c r="S293" s="16">
        <f t="shared" si="106"/>
        <v>0</v>
      </c>
      <c r="T293" s="16">
        <f t="shared" si="107"/>
        <v>0</v>
      </c>
      <c r="U293" s="16">
        <f t="shared" si="108"/>
        <v>0</v>
      </c>
      <c r="V293" s="16">
        <f t="shared" si="109"/>
        <v>0</v>
      </c>
      <c r="W293" s="16">
        <f>IF(P293&gt;LARGE($P$3:$T$3,1),0,1)</f>
        <v>0</v>
      </c>
      <c r="X293" s="16">
        <f>IF(Q293&gt;LARGE($P$3:$T$3,2),0,1)</f>
        <v>0</v>
      </c>
      <c r="Z293" s="16">
        <f t="shared" si="111"/>
        <v>0</v>
      </c>
      <c r="AB293" s="16" t="s">
        <v>391</v>
      </c>
      <c r="AC293" s="16" t="s">
        <v>393</v>
      </c>
      <c r="AD293" s="16" t="s">
        <v>393</v>
      </c>
      <c r="AF293" s="21" t="s">
        <v>394</v>
      </c>
      <c r="AG293" s="21" t="s">
        <v>394</v>
      </c>
      <c r="AH293" s="21" t="s">
        <v>394</v>
      </c>
      <c r="AI293" s="116" t="s">
        <v>492</v>
      </c>
      <c r="AJ293" s="116" t="str">
        <f>Q$2</f>
        <v>請選擇第一選修科</v>
      </c>
      <c r="AK293" s="116" t="str">
        <f>R$2</f>
        <v>請選擇第二選修科</v>
      </c>
      <c r="AL293" s="116" t="str">
        <f>S$2</f>
        <v>請選擇第三選修科</v>
      </c>
      <c r="AM293" s="116" t="str">
        <f>T$2</f>
        <v>請選擇第四選修科</v>
      </c>
      <c r="AN293" s="116"/>
      <c r="AO293" s="102"/>
      <c r="AP293" s="116" t="s">
        <v>466</v>
      </c>
      <c r="AQ293" s="116"/>
      <c r="AR293" s="102"/>
      <c r="AS293" s="102"/>
      <c r="AT293" s="102"/>
    </row>
    <row r="294" spans="1:46">
      <c r="A294" s="2" t="str">
        <f>'Reference Score Calculation'!A285</f>
        <v>JS6406</v>
      </c>
      <c r="B294" s="346" t="str">
        <f>'Reference Score Calculation'!B285</f>
        <v>JS6406</v>
      </c>
      <c r="C294" s="2" t="str">
        <f>'Reference Score Calculation'!E285</f>
        <v>法學士</v>
      </c>
      <c r="D294" s="16">
        <f>'Reference Score Calculation'!U285</f>
        <v>92</v>
      </c>
      <c r="E294" s="16">
        <v>4</v>
      </c>
      <c r="F294" s="16">
        <v>5</v>
      </c>
      <c r="G294" s="16">
        <v>3</v>
      </c>
      <c r="H294" s="16">
        <v>3</v>
      </c>
      <c r="I294" s="16">
        <v>3</v>
      </c>
      <c r="J294" s="16">
        <v>3</v>
      </c>
      <c r="L294" s="90">
        <v>4</v>
      </c>
      <c r="M294" s="90">
        <v>5</v>
      </c>
      <c r="N294" s="90">
        <v>3</v>
      </c>
      <c r="O294" s="90">
        <v>1</v>
      </c>
      <c r="P294" s="90">
        <v>3</v>
      </c>
      <c r="Q294" s="90">
        <v>3</v>
      </c>
      <c r="R294" s="16"/>
      <c r="S294" s="16">
        <f t="shared" si="106"/>
        <v>0</v>
      </c>
      <c r="T294" s="16">
        <f t="shared" si="107"/>
        <v>0</v>
      </c>
      <c r="U294" s="16">
        <f t="shared" si="108"/>
        <v>0</v>
      </c>
      <c r="V294" s="16">
        <f t="shared" si="109"/>
        <v>0</v>
      </c>
      <c r="W294" s="16">
        <f>IF(P294&gt;LARGE($P$3:$T$3,1),0,1)</f>
        <v>0</v>
      </c>
      <c r="X294" s="16">
        <f>IF(Q294&gt;LARGE($P$3:$T$3,2),0,1)</f>
        <v>0</v>
      </c>
      <c r="Z294" s="16">
        <f t="shared" si="111"/>
        <v>0</v>
      </c>
      <c r="AB294" s="16" t="s">
        <v>391</v>
      </c>
      <c r="AC294" s="16" t="s">
        <v>393</v>
      </c>
      <c r="AD294" s="16" t="s">
        <v>393</v>
      </c>
      <c r="AF294" s="21" t="s">
        <v>394</v>
      </c>
      <c r="AG294" s="21" t="s">
        <v>394</v>
      </c>
      <c r="AH294" s="21" t="s">
        <v>394</v>
      </c>
      <c r="AI294" s="116" t="s">
        <v>525</v>
      </c>
      <c r="AJ294" s="117">
        <f>IF(OR(Q$2="物理",Q$2="化學",Q$2="生物"),Q$3,0)</f>
        <v>0</v>
      </c>
      <c r="AK294" s="117">
        <f>IF(OR(R$2="物理",R$2="化學",R$2="生物"),R$3,0)</f>
        <v>0</v>
      </c>
      <c r="AL294" s="117">
        <f>IF(OR(S$2="物理",S$2="化學",S$2="生物"),S$3,0)</f>
        <v>0</v>
      </c>
      <c r="AM294" s="117">
        <f>IF(OR(T$2="物理",T$2="化學",T$2="生物"),T$3,0)</f>
        <v>0</v>
      </c>
      <c r="AN294" s="116"/>
      <c r="AO294" s="116"/>
      <c r="AP294" s="117" t="str">
        <f>IF(AQ294&gt;0.1,INDEX(AJ293:AM293,MATCH(LARGE(AJ294:AM294,1),AJ294:AM294,0)),"無")</f>
        <v>無</v>
      </c>
      <c r="AQ294" s="117">
        <f>LARGE((AJ294:AM294),1)</f>
        <v>0</v>
      </c>
      <c r="AR294" s="102"/>
      <c r="AS294" s="102"/>
      <c r="AT294" s="102"/>
    </row>
    <row r="295" spans="1:46">
      <c r="A295" s="2" t="str">
        <f>'Reference Score Calculation'!A286</f>
        <v>JS6418</v>
      </c>
      <c r="B295" s="346" t="str">
        <f>'Reference Score Calculation'!B286</f>
        <v>JS6418</v>
      </c>
      <c r="C295" s="2" t="str">
        <f>'Reference Score Calculation'!E286</f>
        <v>護理學學士菁英領袖培育專修組別</v>
      </c>
      <c r="D295" s="16" t="str">
        <f>'Reference Score Calculation'!U286</f>
        <v>210*</v>
      </c>
      <c r="E295" s="16">
        <v>3</v>
      </c>
      <c r="F295" s="16">
        <v>3</v>
      </c>
      <c r="G295" s="16">
        <v>2</v>
      </c>
      <c r="H295" s="16">
        <v>2</v>
      </c>
      <c r="I295" s="16">
        <v>3</v>
      </c>
      <c r="J295" s="16">
        <v>3</v>
      </c>
      <c r="L295" s="90">
        <v>3</v>
      </c>
      <c r="M295" s="90">
        <v>3</v>
      </c>
      <c r="N295" s="90">
        <v>2</v>
      </c>
      <c r="O295" s="90">
        <v>1</v>
      </c>
      <c r="P295" s="90">
        <v>3</v>
      </c>
      <c r="Q295" s="90">
        <v>3</v>
      </c>
      <c r="R295" s="16"/>
      <c r="S295" s="16">
        <f t="shared" si="106"/>
        <v>0</v>
      </c>
      <c r="T295" s="16">
        <f t="shared" si="107"/>
        <v>0</v>
      </c>
      <c r="U295" s="16">
        <f t="shared" si="108"/>
        <v>0</v>
      </c>
      <c r="V295" s="16">
        <f t="shared" si="109"/>
        <v>0</v>
      </c>
      <c r="W295" s="16">
        <f>IF(P295&gt;LARGE($P$3:$T$3,1),0,1)</f>
        <v>0</v>
      </c>
      <c r="X295" s="16">
        <f>IF(Q295&gt;LARGE($P$3:$T$3,2),0,1)</f>
        <v>0</v>
      </c>
      <c r="Z295" s="16">
        <f t="shared" si="111"/>
        <v>0</v>
      </c>
      <c r="AB295" s="16" t="s">
        <v>391</v>
      </c>
      <c r="AC295" s="16" t="s">
        <v>420</v>
      </c>
      <c r="AD295" s="16" t="s">
        <v>393</v>
      </c>
      <c r="AF295" s="21" t="s">
        <v>533</v>
      </c>
      <c r="AG295" s="21" t="s">
        <v>394</v>
      </c>
      <c r="AH295" s="21" t="s">
        <v>394</v>
      </c>
      <c r="AI295" s="116" t="s">
        <v>553</v>
      </c>
      <c r="AJ295" s="158" t="s">
        <v>2274</v>
      </c>
      <c r="AK295" s="116"/>
      <c r="AL295" s="116"/>
      <c r="AM295" s="116"/>
      <c r="AN295" s="116"/>
      <c r="AO295" s="116"/>
      <c r="AP295" s="102"/>
      <c r="AQ295" s="102"/>
      <c r="AR295" s="102"/>
      <c r="AS295" s="102"/>
      <c r="AT295" s="102"/>
    </row>
    <row r="296" spans="1:46">
      <c r="A296" s="2" t="str">
        <f>'Reference Score Calculation'!A287</f>
        <v>JS6456</v>
      </c>
      <c r="B296" s="346" t="str">
        <f>'Reference Score Calculation'!B287</f>
        <v>JS6456</v>
      </c>
      <c r="C296" s="2" t="str">
        <f>'Reference Score Calculation'!E287</f>
        <v>內外全科醫學士</v>
      </c>
      <c r="D296" s="16">
        <f>'Reference Score Calculation'!U287</f>
        <v>300</v>
      </c>
      <c r="E296" s="16">
        <v>3</v>
      </c>
      <c r="F296" s="16">
        <v>4</v>
      </c>
      <c r="G296" s="16">
        <v>2</v>
      </c>
      <c r="H296" s="16">
        <v>2</v>
      </c>
      <c r="I296" s="16">
        <v>3</v>
      </c>
      <c r="J296" s="16">
        <v>3</v>
      </c>
      <c r="L296" s="90">
        <v>3</v>
      </c>
      <c r="M296" s="90">
        <v>4</v>
      </c>
      <c r="N296" s="90">
        <v>2</v>
      </c>
      <c r="O296" s="90">
        <v>1</v>
      </c>
      <c r="P296" s="90">
        <v>3</v>
      </c>
      <c r="Q296" s="90">
        <v>3</v>
      </c>
      <c r="R296" s="16"/>
      <c r="S296" s="16">
        <f t="shared" si="106"/>
        <v>0</v>
      </c>
      <c r="T296" s="16">
        <f t="shared" si="107"/>
        <v>0</v>
      </c>
      <c r="U296" s="16">
        <f t="shared" si="108"/>
        <v>0</v>
      </c>
      <c r="V296" s="16">
        <f t="shared" si="109"/>
        <v>0</v>
      </c>
      <c r="W296" s="16">
        <f>IF(P296&gt;$AQ$279,0,1)</f>
        <v>0</v>
      </c>
      <c r="X296" s="16">
        <f>IF(Q296&gt;LARGE($P$3:$T$3,2),0,1)</f>
        <v>0</v>
      </c>
      <c r="Z296" s="16">
        <f t="shared" si="111"/>
        <v>0</v>
      </c>
      <c r="AB296" s="16" t="s">
        <v>391</v>
      </c>
      <c r="AC296" s="16" t="s">
        <v>393</v>
      </c>
      <c r="AD296" s="16" t="s">
        <v>393</v>
      </c>
      <c r="AF296" s="21" t="s">
        <v>409</v>
      </c>
      <c r="AG296" s="21" t="s">
        <v>394</v>
      </c>
      <c r="AH296" s="21" t="s">
        <v>394</v>
      </c>
      <c r="AI296" s="116"/>
      <c r="AJ296" s="158"/>
      <c r="AK296" s="116"/>
      <c r="AL296" s="116"/>
      <c r="AM296" s="116"/>
      <c r="AN296" s="116"/>
      <c r="AO296" s="116"/>
      <c r="AP296" s="116"/>
      <c r="AQ296" s="102"/>
      <c r="AR296" s="102"/>
      <c r="AS296" s="102"/>
      <c r="AT296" s="102"/>
    </row>
    <row r="297" spans="1:46">
      <c r="A297" s="2" t="str">
        <f>'Reference Score Calculation'!A288</f>
        <v>JS6468</v>
      </c>
      <c r="B297" s="346" t="str">
        <f>'Reference Score Calculation'!B288</f>
        <v>JS6468</v>
      </c>
      <c r="C297" s="2" t="str">
        <f>'Reference Score Calculation'!E288</f>
        <v>護理學學士</v>
      </c>
      <c r="D297" s="16" t="str">
        <f>'Reference Score Calculation'!U288</f>
        <v>210*</v>
      </c>
      <c r="E297" s="16">
        <v>3</v>
      </c>
      <c r="F297" s="16">
        <v>3</v>
      </c>
      <c r="G297" s="16">
        <v>2</v>
      </c>
      <c r="H297" s="16">
        <v>2</v>
      </c>
      <c r="I297" s="16">
        <v>3</v>
      </c>
      <c r="J297" s="16">
        <v>3</v>
      </c>
      <c r="L297" s="90">
        <v>3</v>
      </c>
      <c r="M297" s="90">
        <v>3</v>
      </c>
      <c r="N297" s="90">
        <v>2</v>
      </c>
      <c r="O297" s="90">
        <v>1</v>
      </c>
      <c r="P297" s="90">
        <v>3</v>
      </c>
      <c r="Q297" s="90">
        <v>3</v>
      </c>
      <c r="R297" s="16"/>
      <c r="S297" s="16">
        <f t="shared" si="106"/>
        <v>0</v>
      </c>
      <c r="T297" s="16">
        <f t="shared" si="107"/>
        <v>0</v>
      </c>
      <c r="U297" s="16">
        <f t="shared" si="108"/>
        <v>0</v>
      </c>
      <c r="V297" s="16">
        <f t="shared" si="109"/>
        <v>0</v>
      </c>
      <c r="W297" s="16">
        <f>IF(P297&gt;LARGE($Q$3:$T$3,1),0,1)</f>
        <v>0</v>
      </c>
      <c r="X297" s="16">
        <f>IF(Q297&gt;LARGE($P$3:$T$3,2),0,1)</f>
        <v>0</v>
      </c>
      <c r="Z297" s="16">
        <f t="shared" si="111"/>
        <v>0</v>
      </c>
      <c r="AB297" s="16" t="s">
        <v>391</v>
      </c>
      <c r="AC297" s="16" t="s">
        <v>420</v>
      </c>
      <c r="AD297" s="16" t="s">
        <v>393</v>
      </c>
      <c r="AF297" s="21" t="s">
        <v>394</v>
      </c>
      <c r="AG297" s="21" t="s">
        <v>394</v>
      </c>
      <c r="AH297" s="21" t="s">
        <v>394</v>
      </c>
      <c r="AI297" s="116"/>
      <c r="AJ297" s="116" t="str">
        <f>Q$2</f>
        <v>請選擇第一選修科</v>
      </c>
      <c r="AK297" s="116" t="str">
        <f>R$2</f>
        <v>請選擇第二選修科</v>
      </c>
      <c r="AL297" s="116" t="str">
        <f>S$2</f>
        <v>請選擇第三選修科</v>
      </c>
      <c r="AM297" s="116" t="str">
        <f>T$2</f>
        <v>請選擇第四選修科</v>
      </c>
      <c r="AN297" s="116"/>
      <c r="AO297" s="116"/>
      <c r="AP297" s="116" t="s">
        <v>466</v>
      </c>
      <c r="AQ297" s="116"/>
      <c r="AR297" s="102"/>
      <c r="AS297" s="102"/>
      <c r="AT297" s="102"/>
    </row>
    <row r="298" spans="1:46">
      <c r="A298" s="2" t="str">
        <f>'Reference Score Calculation'!A289</f>
        <v>JS6482</v>
      </c>
      <c r="B298" s="346" t="str">
        <f>'Reference Score Calculation'!B289</f>
        <v>JS6482</v>
      </c>
      <c r="C298" s="2" t="str">
        <f>'Reference Score Calculation'!E289</f>
        <v>中醫全科學士</v>
      </c>
      <c r="D298" s="16">
        <f>'Reference Score Calculation'!U289</f>
        <v>25</v>
      </c>
      <c r="E298" s="16">
        <v>3</v>
      </c>
      <c r="F298" s="16">
        <v>3</v>
      </c>
      <c r="G298" s="16">
        <v>2</v>
      </c>
      <c r="H298" s="16">
        <v>2</v>
      </c>
      <c r="I298" s="16">
        <v>3</v>
      </c>
      <c r="J298" s="16">
        <v>3</v>
      </c>
      <c r="L298" s="90">
        <v>3</v>
      </c>
      <c r="M298" s="90">
        <v>3</v>
      </c>
      <c r="N298" s="90">
        <v>2</v>
      </c>
      <c r="O298" s="90">
        <v>1</v>
      </c>
      <c r="P298" s="90">
        <v>3</v>
      </c>
      <c r="Q298" s="90">
        <v>3</v>
      </c>
      <c r="R298" s="16"/>
      <c r="S298" s="16">
        <f t="shared" si="106"/>
        <v>0</v>
      </c>
      <c r="T298" s="16">
        <f t="shared" si="107"/>
        <v>0</v>
      </c>
      <c r="U298" s="16">
        <f t="shared" si="108"/>
        <v>0</v>
      </c>
      <c r="V298" s="16">
        <f t="shared" si="109"/>
        <v>0</v>
      </c>
      <c r="W298" s="16">
        <f>IF(P298&gt;$AQ$274,0,1)</f>
        <v>0</v>
      </c>
      <c r="X298" s="16">
        <f>IF(OR($P$3&gt;Q298,$U$3&gt;Q298),1,IF(Q298&gt;LARGE($Q$3:$T$3,2),0,1))</f>
        <v>0</v>
      </c>
      <c r="Z298" s="16">
        <f t="shared" si="111"/>
        <v>0</v>
      </c>
      <c r="AB298" s="16" t="s">
        <v>391</v>
      </c>
      <c r="AC298" s="16" t="s">
        <v>420</v>
      </c>
      <c r="AD298" s="16" t="s">
        <v>393</v>
      </c>
      <c r="AF298" s="21" t="s">
        <v>504</v>
      </c>
      <c r="AG298" s="21" t="s">
        <v>394</v>
      </c>
      <c r="AH298" s="21" t="s">
        <v>394</v>
      </c>
      <c r="AI298" s="116" t="s">
        <v>507</v>
      </c>
      <c r="AJ298" s="117">
        <f>IF(OR(Q$2="化學",Q$2="生物"),Q$3,0)</f>
        <v>0</v>
      </c>
      <c r="AK298" s="117">
        <f>IF(OR(R$2="化學",R$2="生物"),R$3,0)</f>
        <v>0</v>
      </c>
      <c r="AL298" s="117">
        <f>IF(OR(S$2="化學",S$2="生物"),S$3,0)</f>
        <v>0</v>
      </c>
      <c r="AM298" s="117">
        <f>IF(OR(T$2="化學",T$2="生物"),T$3,0)</f>
        <v>0</v>
      </c>
      <c r="AN298" s="116"/>
      <c r="AO298" s="116"/>
      <c r="AP298" s="117" t="str">
        <f>IF(AQ298&gt;0.1,INDEX(AJ297:AM297,MATCH(LARGE(AJ298:AM298,1),AJ298:AM298,0)),"無")</f>
        <v>無</v>
      </c>
      <c r="AQ298" s="117">
        <f>LARGE((AJ298:AM298),1)</f>
        <v>0</v>
      </c>
      <c r="AR298" s="102"/>
      <c r="AS298" s="102"/>
      <c r="AT298" s="102"/>
    </row>
    <row r="299" spans="1:46">
      <c r="A299" s="2" t="str">
        <f>'Reference Score Calculation'!A290</f>
        <v>JS6494</v>
      </c>
      <c r="B299" s="346" t="str">
        <f>'Reference Score Calculation'!B290</f>
        <v>JS6494</v>
      </c>
      <c r="C299" s="2" t="str">
        <f>'Reference Score Calculation'!E290</f>
        <v>藥劑學學士</v>
      </c>
      <c r="D299" s="16">
        <f>'Reference Score Calculation'!U290</f>
        <v>35</v>
      </c>
      <c r="E299" s="16">
        <v>3</v>
      </c>
      <c r="F299" s="16">
        <v>4</v>
      </c>
      <c r="G299" s="16">
        <v>2</v>
      </c>
      <c r="H299" s="16">
        <v>2</v>
      </c>
      <c r="I299" s="16">
        <v>3</v>
      </c>
      <c r="J299" s="16">
        <v>3</v>
      </c>
      <c r="L299" s="90">
        <v>3</v>
      </c>
      <c r="M299" s="90">
        <v>4</v>
      </c>
      <c r="N299" s="90">
        <v>2</v>
      </c>
      <c r="O299" s="90">
        <v>1</v>
      </c>
      <c r="P299" s="90">
        <v>3</v>
      </c>
      <c r="Q299" s="90">
        <v>3</v>
      </c>
      <c r="R299" s="16"/>
      <c r="S299" s="16">
        <f t="shared" si="106"/>
        <v>0</v>
      </c>
      <c r="T299" s="16">
        <f t="shared" si="107"/>
        <v>0</v>
      </c>
      <c r="U299" s="16">
        <f t="shared" si="108"/>
        <v>0</v>
      </c>
      <c r="V299" s="16">
        <f t="shared" si="109"/>
        <v>0</v>
      </c>
      <c r="W299" s="16">
        <f>IF(P299&gt;$AQ$279,0,1)</f>
        <v>0</v>
      </c>
      <c r="X299" s="16">
        <f>IF(Q299&gt;LARGE($P$3:$T$3,2),0,1)</f>
        <v>0</v>
      </c>
      <c r="Z299" s="16">
        <f t="shared" si="111"/>
        <v>0</v>
      </c>
      <c r="AB299" s="16" t="s">
        <v>391</v>
      </c>
      <c r="AC299" s="16" t="s">
        <v>393</v>
      </c>
      <c r="AD299" s="16" t="s">
        <v>393</v>
      </c>
      <c r="AF299" s="21" t="s">
        <v>409</v>
      </c>
      <c r="AG299" s="21" t="s">
        <v>394</v>
      </c>
      <c r="AH299" s="21" t="s">
        <v>394</v>
      </c>
      <c r="AI299" s="116"/>
      <c r="AJ299" s="158" t="s">
        <v>2480</v>
      </c>
      <c r="AK299" s="116"/>
      <c r="AL299" s="116"/>
      <c r="AM299" s="116"/>
      <c r="AN299" s="116"/>
      <c r="AO299" s="116"/>
      <c r="AP299" s="102"/>
      <c r="AQ299" s="102"/>
      <c r="AR299" s="102"/>
      <c r="AS299" s="102"/>
      <c r="AT299" s="102"/>
    </row>
    <row r="300" spans="1:46">
      <c r="A300" s="2" t="str">
        <f>'Reference Score Calculation'!A291</f>
        <v>JS6949</v>
      </c>
      <c r="B300" s="346" t="str">
        <f>'Reference Score Calculation'!B291</f>
        <v>JS6949</v>
      </c>
      <c r="C300" s="2" t="str">
        <f>'Reference Score Calculation'!E291</f>
        <v>生物醫學學士</v>
      </c>
      <c r="D300" s="16">
        <f>'Reference Score Calculation'!U291</f>
        <v>53</v>
      </c>
      <c r="E300" s="16">
        <v>3</v>
      </c>
      <c r="F300" s="16">
        <v>4</v>
      </c>
      <c r="G300" s="16">
        <v>2</v>
      </c>
      <c r="H300" s="16">
        <v>2</v>
      </c>
      <c r="I300" s="16">
        <v>3</v>
      </c>
      <c r="J300" s="16">
        <v>3</v>
      </c>
      <c r="L300" s="90">
        <v>3</v>
      </c>
      <c r="M300" s="90">
        <v>4</v>
      </c>
      <c r="N300" s="90">
        <v>2</v>
      </c>
      <c r="O300" s="90">
        <v>1</v>
      </c>
      <c r="P300" s="90">
        <v>3</v>
      </c>
      <c r="Q300" s="90">
        <v>3</v>
      </c>
      <c r="R300" s="16"/>
      <c r="S300" s="16">
        <f t="shared" si="106"/>
        <v>0</v>
      </c>
      <c r="T300" s="16">
        <f t="shared" si="107"/>
        <v>0</v>
      </c>
      <c r="U300" s="16">
        <f t="shared" si="108"/>
        <v>0</v>
      </c>
      <c r="V300" s="16">
        <f t="shared" si="109"/>
        <v>0</v>
      </c>
      <c r="W300" s="16">
        <f>IF(P300&gt;$AQ$283,0,1)</f>
        <v>0</v>
      </c>
      <c r="X300" s="16">
        <f>IF(Q300&gt;LARGE($P$3:$T$3,2),0,1)</f>
        <v>0</v>
      </c>
      <c r="Z300" s="16">
        <f t="shared" si="111"/>
        <v>0</v>
      </c>
      <c r="AB300" s="16" t="s">
        <v>391</v>
      </c>
      <c r="AC300" s="16" t="s">
        <v>393</v>
      </c>
      <c r="AD300" s="16" t="s">
        <v>393</v>
      </c>
      <c r="AF300" s="21" t="s">
        <v>412</v>
      </c>
      <c r="AG300" s="21" t="s">
        <v>394</v>
      </c>
      <c r="AH300" s="21" t="s">
        <v>394</v>
      </c>
      <c r="AI300" s="116"/>
      <c r="AJ300" s="158"/>
      <c r="AK300" s="116"/>
      <c r="AL300" s="116"/>
      <c r="AM300" s="116"/>
      <c r="AN300" s="116"/>
      <c r="AO300" s="116"/>
      <c r="AP300" s="116"/>
      <c r="AQ300" s="102"/>
      <c r="AR300" s="102"/>
      <c r="AS300" s="102"/>
      <c r="AT300" s="102"/>
    </row>
    <row r="301" spans="1:46">
      <c r="A301" s="2" t="str">
        <f>'Reference Score Calculation'!A292</f>
        <v>JS6688</v>
      </c>
      <c r="B301" s="346" t="str">
        <f>'Reference Score Calculation'!B292</f>
        <v>JS6688</v>
      </c>
      <c r="C301" s="2" t="str">
        <f>'Reference Score Calculation'!E292</f>
        <v>科研專才啟導課程(雙學位課程)</v>
      </c>
      <c r="D301" s="16">
        <f>'Reference Score Calculation'!U292</f>
        <v>26</v>
      </c>
      <c r="E301" s="16">
        <v>3</v>
      </c>
      <c r="F301" s="16">
        <v>5</v>
      </c>
      <c r="G301" s="16">
        <v>4</v>
      </c>
      <c r="H301" s="16">
        <v>2</v>
      </c>
      <c r="I301" s="16">
        <v>3</v>
      </c>
      <c r="J301" s="16">
        <v>3</v>
      </c>
      <c r="L301" s="90">
        <v>3</v>
      </c>
      <c r="M301" s="90">
        <v>5</v>
      </c>
      <c r="N301" s="90">
        <v>4</v>
      </c>
      <c r="O301" s="90">
        <v>1</v>
      </c>
      <c r="P301" s="90">
        <v>3</v>
      </c>
      <c r="Q301" s="90">
        <v>3</v>
      </c>
      <c r="R301" s="16"/>
      <c r="S301" s="16">
        <f t="shared" ref="S301:S316" si="112">IF(L301&gt;L$3,0,1)</f>
        <v>0</v>
      </c>
      <c r="T301" s="16">
        <f>IF($M$3&lt;3,0,IF($M$3&lt;5,2,1))</f>
        <v>0</v>
      </c>
      <c r="U301" s="16">
        <f t="shared" ref="U301:U316" si="113">IF(N301&gt;N$3,0,1)</f>
        <v>0</v>
      </c>
      <c r="V301" s="16">
        <f t="shared" ref="V301:V316" si="114">IF(O301&gt;O$3,0,1)</f>
        <v>0</v>
      </c>
      <c r="W301" s="16">
        <f>IF(AQ287&gt;3,1,0)</f>
        <v>0</v>
      </c>
      <c r="X301" s="16">
        <f>IF(AS287&gt;3,1,0)</f>
        <v>0</v>
      </c>
      <c r="Z301" s="16">
        <f t="shared" si="111"/>
        <v>0</v>
      </c>
      <c r="AB301" s="16" t="s">
        <v>391</v>
      </c>
      <c r="AC301" s="16" t="s">
        <v>393</v>
      </c>
      <c r="AD301" s="16" t="s">
        <v>393</v>
      </c>
      <c r="AF301" s="21" t="s">
        <v>3148</v>
      </c>
      <c r="AG301" s="21" t="s">
        <v>324</v>
      </c>
      <c r="AH301" s="21" t="s">
        <v>394</v>
      </c>
      <c r="AI301" s="116" t="s">
        <v>2816</v>
      </c>
      <c r="AJ301" s="158"/>
      <c r="AK301" s="116"/>
      <c r="AL301" s="116"/>
      <c r="AM301" s="116"/>
      <c r="AN301" s="116"/>
      <c r="AO301" s="116"/>
      <c r="AP301" s="116"/>
      <c r="AQ301" s="116"/>
      <c r="AR301" s="116"/>
      <c r="AS301" s="102"/>
      <c r="AT301" s="102"/>
    </row>
    <row r="302" spans="1:46">
      <c r="A302" s="2" t="str">
        <f>'Reference Score Calculation'!A293</f>
        <v>JS6729</v>
      </c>
      <c r="B302" s="346" t="str">
        <f>'Reference Score Calculation'!B293</f>
        <v>JS6729</v>
      </c>
      <c r="C302" s="2" t="str">
        <f>'Reference Score Calculation'!E293</f>
        <v>理學士(精算學)</v>
      </c>
      <c r="D302" s="16">
        <f>'Reference Score Calculation'!U293</f>
        <v>50</v>
      </c>
      <c r="E302" s="16">
        <v>3</v>
      </c>
      <c r="F302" s="16">
        <v>3</v>
      </c>
      <c r="G302" s="16">
        <v>4</v>
      </c>
      <c r="H302" s="16">
        <v>2</v>
      </c>
      <c r="I302" s="16">
        <v>3</v>
      </c>
      <c r="J302" s="16">
        <v>4</v>
      </c>
      <c r="L302" s="90">
        <v>3</v>
      </c>
      <c r="M302" s="90">
        <v>3</v>
      </c>
      <c r="N302" s="90">
        <v>4</v>
      </c>
      <c r="O302" s="90">
        <v>1</v>
      </c>
      <c r="P302" s="90">
        <v>3</v>
      </c>
      <c r="Q302" s="90">
        <v>4</v>
      </c>
      <c r="R302" s="16"/>
      <c r="S302" s="16">
        <f t="shared" si="112"/>
        <v>0</v>
      </c>
      <c r="T302" s="16">
        <f t="shared" ref="T302:T316" si="115">IF(M302&gt;M$3,0,1)</f>
        <v>0</v>
      </c>
      <c r="U302" s="16">
        <f t="shared" si="113"/>
        <v>0</v>
      </c>
      <c r="V302" s="16">
        <f t="shared" si="114"/>
        <v>0</v>
      </c>
      <c r="W302" s="16">
        <f>IF(P302&gt;LARGE($Q$3:$T$3,1),0,1)</f>
        <v>0</v>
      </c>
      <c r="X302" s="16">
        <f>IF($P$3&lt;4,0,1)</f>
        <v>0</v>
      </c>
      <c r="Z302" s="16">
        <f t="shared" si="111"/>
        <v>0</v>
      </c>
      <c r="AB302" s="16" t="s">
        <v>391</v>
      </c>
      <c r="AC302" s="16" t="s">
        <v>393</v>
      </c>
      <c r="AD302" s="16" t="s">
        <v>393</v>
      </c>
      <c r="AF302" s="21" t="s">
        <v>548</v>
      </c>
      <c r="AG302" s="21" t="s">
        <v>394</v>
      </c>
      <c r="AH302" s="21" t="s">
        <v>394</v>
      </c>
      <c r="AI302" s="116" t="s">
        <v>2819</v>
      </c>
      <c r="AJ302" s="158"/>
      <c r="AK302" s="116"/>
      <c r="AL302" s="116"/>
      <c r="AM302" s="116"/>
      <c r="AN302" s="116"/>
      <c r="AO302" s="116"/>
      <c r="AP302" s="116"/>
      <c r="AQ302" s="116"/>
      <c r="AR302" s="116"/>
      <c r="AS302" s="102"/>
      <c r="AT302" s="102"/>
    </row>
    <row r="303" spans="1:46">
      <c r="A303" s="2" t="str">
        <f>'Reference Score Calculation'!A294</f>
        <v>JS6858</v>
      </c>
      <c r="B303" s="346" t="str">
        <f>'Reference Score Calculation'!B294</f>
        <v>JS6858</v>
      </c>
      <c r="C303" s="2" t="str">
        <f>'Reference Score Calculation'!E294</f>
        <v>理學士及法學士(雙學位課程)</v>
      </c>
      <c r="D303" s="16">
        <f>'Reference Score Calculation'!U294</f>
        <v>20</v>
      </c>
      <c r="E303" s="16">
        <v>4</v>
      </c>
      <c r="F303" s="16">
        <v>5</v>
      </c>
      <c r="G303" s="16">
        <v>2</v>
      </c>
      <c r="H303" s="16">
        <v>2</v>
      </c>
      <c r="I303" s="16">
        <v>3</v>
      </c>
      <c r="J303" s="16">
        <v>3</v>
      </c>
      <c r="L303" s="90">
        <v>4</v>
      </c>
      <c r="M303" s="90">
        <v>5</v>
      </c>
      <c r="N303" s="90">
        <v>2</v>
      </c>
      <c r="O303" s="90">
        <v>1</v>
      </c>
      <c r="P303" s="90">
        <v>3</v>
      </c>
      <c r="Q303" s="90">
        <v>3</v>
      </c>
      <c r="R303" s="16"/>
      <c r="S303" s="16">
        <f t="shared" si="112"/>
        <v>0</v>
      </c>
      <c r="T303" s="16">
        <f t="shared" si="115"/>
        <v>0</v>
      </c>
      <c r="U303" s="16">
        <f t="shared" si="113"/>
        <v>0</v>
      </c>
      <c r="V303" s="16">
        <f t="shared" si="114"/>
        <v>0</v>
      </c>
      <c r="W303" s="16">
        <f>IF(P303&gt;$AQ$294,0,1)</f>
        <v>0</v>
      </c>
      <c r="X303" s="16">
        <f>IF(Q303&gt;LARGE($P$3:$T$3,2),0,1)</f>
        <v>0</v>
      </c>
      <c r="Z303" s="16">
        <f t="shared" si="111"/>
        <v>0</v>
      </c>
      <c r="AB303" s="16" t="s">
        <v>391</v>
      </c>
      <c r="AC303" s="16" t="s">
        <v>393</v>
      </c>
      <c r="AD303" s="16" t="s">
        <v>393</v>
      </c>
      <c r="AF303" s="21" t="s">
        <v>2309</v>
      </c>
      <c r="AG303" s="21" t="s">
        <v>394</v>
      </c>
      <c r="AH303" s="21" t="s">
        <v>394</v>
      </c>
      <c r="AI303" s="116" t="s">
        <v>2822</v>
      </c>
      <c r="AJ303" s="158"/>
      <c r="AK303" s="116"/>
      <c r="AL303" s="116"/>
      <c r="AM303" s="116"/>
      <c r="AN303" s="116"/>
      <c r="AO303" s="116"/>
      <c r="AP303" s="116"/>
      <c r="AQ303" s="116"/>
      <c r="AR303" s="116"/>
      <c r="AS303" s="102"/>
      <c r="AT303" s="102"/>
    </row>
    <row r="304" spans="1:46">
      <c r="A304" s="2" t="str">
        <f>'Reference Score Calculation'!A295</f>
        <v>JS6901</v>
      </c>
      <c r="B304" s="346" t="str">
        <f>'Reference Score Calculation'!B295</f>
        <v>JS6901</v>
      </c>
      <c r="C304" s="2" t="str">
        <f>'Reference Score Calculation'!E295</f>
        <v>理學士</v>
      </c>
      <c r="D304" s="16">
        <f>'Reference Score Calculation'!U295</f>
        <v>253</v>
      </c>
      <c r="E304" s="16">
        <v>3</v>
      </c>
      <c r="F304" s="16">
        <v>3</v>
      </c>
      <c r="G304" s="16">
        <v>2</v>
      </c>
      <c r="H304" s="16">
        <v>2</v>
      </c>
      <c r="I304" s="16">
        <v>3</v>
      </c>
      <c r="J304" s="16">
        <v>3</v>
      </c>
      <c r="L304" s="90">
        <v>3</v>
      </c>
      <c r="M304" s="90">
        <v>3</v>
      </c>
      <c r="N304" s="90">
        <v>2</v>
      </c>
      <c r="O304" s="90">
        <v>1</v>
      </c>
      <c r="P304" s="90">
        <v>3</v>
      </c>
      <c r="Q304" s="90">
        <v>3</v>
      </c>
      <c r="R304" s="16"/>
      <c r="S304" s="16">
        <f t="shared" si="112"/>
        <v>0</v>
      </c>
      <c r="T304" s="16">
        <f t="shared" si="115"/>
        <v>0</v>
      </c>
      <c r="U304" s="16">
        <f t="shared" si="113"/>
        <v>0</v>
      </c>
      <c r="V304" s="16">
        <f t="shared" si="114"/>
        <v>0</v>
      </c>
      <c r="W304" s="16">
        <f>IF(P304&gt;$AQ$294,0,1)</f>
        <v>0</v>
      </c>
      <c r="X304" s="16">
        <f>IF(Q304&gt;LARGE($P$3:$T$3,2),0,1)</f>
        <v>0</v>
      </c>
      <c r="Z304" s="16">
        <f t="shared" si="111"/>
        <v>0</v>
      </c>
      <c r="AB304" s="16" t="s">
        <v>391</v>
      </c>
      <c r="AC304" s="16" t="s">
        <v>393</v>
      </c>
      <c r="AD304" s="16" t="s">
        <v>393</v>
      </c>
      <c r="AF304" s="21" t="s">
        <v>2309</v>
      </c>
      <c r="AG304" s="21" t="s">
        <v>394</v>
      </c>
      <c r="AH304" s="21" t="s">
        <v>394</v>
      </c>
      <c r="AI304" s="116" t="s">
        <v>2825</v>
      </c>
      <c r="AJ304" s="116" t="str">
        <f>Q$2</f>
        <v>請選擇第一選修科</v>
      </c>
      <c r="AK304" s="116" t="str">
        <f>R$2</f>
        <v>請選擇第二選修科</v>
      </c>
      <c r="AL304" s="116" t="str">
        <f>S$2</f>
        <v>請選擇第三選修科</v>
      </c>
      <c r="AM304" s="116" t="str">
        <f>T$2</f>
        <v>請選擇第四選修科</v>
      </c>
      <c r="AN304" s="116"/>
      <c r="AO304" s="116"/>
      <c r="AP304" s="116" t="s">
        <v>466</v>
      </c>
      <c r="AQ304" s="116"/>
      <c r="AR304" s="102"/>
      <c r="AS304" s="102"/>
      <c r="AT304" s="102"/>
    </row>
    <row r="305" spans="1:46">
      <c r="A305" s="2" t="str">
        <f>'Reference Score Calculation'!A296</f>
        <v>JS6705</v>
      </c>
      <c r="B305" s="346" t="str">
        <f>'Reference Score Calculation'!B296</f>
        <v>JS6705</v>
      </c>
      <c r="C305" s="2" t="str">
        <f>'Reference Score Calculation'!E296</f>
        <v>心理學學士</v>
      </c>
      <c r="D305" s="16">
        <f>'Reference Score Calculation'!U296</f>
        <v>74</v>
      </c>
      <c r="E305" s="16">
        <v>3</v>
      </c>
      <c r="F305" s="16">
        <v>3</v>
      </c>
      <c r="G305" s="16">
        <v>2</v>
      </c>
      <c r="H305" s="16">
        <v>2</v>
      </c>
      <c r="I305" s="16">
        <v>3</v>
      </c>
      <c r="J305" s="16">
        <v>3</v>
      </c>
      <c r="L305" s="90">
        <v>3</v>
      </c>
      <c r="M305" s="90">
        <v>3</v>
      </c>
      <c r="N305" s="90">
        <v>2</v>
      </c>
      <c r="O305" s="90">
        <v>1</v>
      </c>
      <c r="P305" s="90">
        <v>3</v>
      </c>
      <c r="Q305" s="90">
        <v>3</v>
      </c>
      <c r="R305" s="16"/>
      <c r="S305" s="16">
        <f t="shared" si="112"/>
        <v>0</v>
      </c>
      <c r="T305" s="16">
        <f t="shared" si="115"/>
        <v>0</v>
      </c>
      <c r="U305" s="16">
        <f t="shared" si="113"/>
        <v>0</v>
      </c>
      <c r="V305" s="16">
        <f t="shared" si="114"/>
        <v>0</v>
      </c>
      <c r="W305" s="16">
        <f>IF(P305&gt;LARGE($Q$3:$T$3,1),0,1)</f>
        <v>0</v>
      </c>
      <c r="X305" s="16">
        <f>IF(OR($P$3&gt;Q305,$U$3&gt;Q305),1,IF(Q305&gt;LARGE($Q$3:$T$3,2),0,1))</f>
        <v>0</v>
      </c>
      <c r="Z305" s="16">
        <f t="shared" si="111"/>
        <v>0</v>
      </c>
      <c r="AB305" s="16" t="s">
        <v>391</v>
      </c>
      <c r="AC305" s="16" t="s">
        <v>420</v>
      </c>
      <c r="AD305" s="16" t="s">
        <v>393</v>
      </c>
      <c r="AF305" s="21" t="s">
        <v>394</v>
      </c>
      <c r="AG305" s="21" t="s">
        <v>394</v>
      </c>
      <c r="AH305" s="21" t="s">
        <v>394</v>
      </c>
      <c r="AI305" s="116" t="s">
        <v>2828</v>
      </c>
      <c r="AJ305" s="117">
        <f>IF(OR(Q$2="物理",Q$2="化學",Q$2="生物",Q$2="組合科學(物理、化學)",Q$2="組合科學(生物、化學)",Q$2="組合科學(物理、生物)"),Q$3,0)</f>
        <v>0</v>
      </c>
      <c r="AK305" s="117">
        <f>IF(OR(R$2="物理",R$2="化學",R$2="生物",R$2="組合科學(物理、化學)",R$2="組合科學(生物、化學)",R$2="組合科學(物理、生物)"),R$3,0)</f>
        <v>0</v>
      </c>
      <c r="AL305" s="117">
        <f>IF(OR(S$2="物理",S$2="化學",S$2="生物",S$2="組合科學(物理、化學)",S$2="組合科學(生物、化學)",S$2="組合科學(物理、生物)"),S$3,0)</f>
        <v>0</v>
      </c>
      <c r="AM305" s="117">
        <f>IF(OR(T$2="物理",T$2="化學",T$2="生物",T$2="組合科學(物理、化學)",T$2="組合科學(生物、化學)",T$2="組合科學(物理、生物)"),T$3,0)</f>
        <v>0</v>
      </c>
      <c r="AN305" s="116"/>
      <c r="AO305" s="116"/>
      <c r="AP305" s="117" t="str">
        <f>IF(AQ305&gt;0.1,INDEX(AJ304:AM304,MATCH(LARGE(AJ305:AM305,1),AJ305:AM305,0)),"無")</f>
        <v>無</v>
      </c>
      <c r="AQ305" s="117">
        <f>LARGE((AJ305:AM305),1)</f>
        <v>0</v>
      </c>
      <c r="AR305" s="102"/>
      <c r="AS305" s="102"/>
      <c r="AT305" s="102"/>
    </row>
    <row r="306" spans="1:46">
      <c r="A306" s="2" t="str">
        <f>'Reference Score Calculation'!A297</f>
        <v>JS6717</v>
      </c>
      <c r="B306" s="346" t="str">
        <f>'Reference Score Calculation'!B297</f>
        <v>JS6717</v>
      </c>
      <c r="C306" s="2" t="str">
        <f>'Reference Score Calculation'!E297</f>
        <v>社會科學學士</v>
      </c>
      <c r="D306" s="16">
        <f>'Reference Score Calculation'!U297</f>
        <v>72</v>
      </c>
      <c r="E306" s="16">
        <v>3</v>
      </c>
      <c r="F306" s="16">
        <v>3</v>
      </c>
      <c r="G306" s="16">
        <v>2</v>
      </c>
      <c r="H306" s="16">
        <v>2</v>
      </c>
      <c r="I306" s="16">
        <v>3</v>
      </c>
      <c r="J306" s="16">
        <v>3</v>
      </c>
      <c r="L306" s="90">
        <v>3</v>
      </c>
      <c r="M306" s="90">
        <v>3</v>
      </c>
      <c r="N306" s="90">
        <v>2</v>
      </c>
      <c r="O306" s="90">
        <v>1</v>
      </c>
      <c r="P306" s="90">
        <v>3</v>
      </c>
      <c r="Q306" s="90">
        <v>3</v>
      </c>
      <c r="R306" s="16"/>
      <c r="S306" s="16">
        <f t="shared" si="112"/>
        <v>0</v>
      </c>
      <c r="T306" s="16">
        <f t="shared" si="115"/>
        <v>0</v>
      </c>
      <c r="U306" s="16">
        <f t="shared" si="113"/>
        <v>0</v>
      </c>
      <c r="V306" s="16">
        <f t="shared" si="114"/>
        <v>0</v>
      </c>
      <c r="W306" s="16">
        <f>IF(P306&gt;LARGE($Q$3:$T$3,1),0,1)</f>
        <v>0</v>
      </c>
      <c r="X306" s="16">
        <f>IF(OR($P$3&gt;Q306,$U$3&gt;Q306),1,IF(Q306&gt;LARGE($Q$3:$T$3,2),0,1))</f>
        <v>0</v>
      </c>
      <c r="Z306" s="16">
        <f t="shared" si="111"/>
        <v>0</v>
      </c>
      <c r="AB306" s="16" t="s">
        <v>391</v>
      </c>
      <c r="AC306" s="16" t="s">
        <v>420</v>
      </c>
      <c r="AD306" s="16" t="s">
        <v>393</v>
      </c>
      <c r="AF306" s="21" t="s">
        <v>394</v>
      </c>
      <c r="AG306" s="21" t="s">
        <v>394</v>
      </c>
      <c r="AH306" s="21" t="s">
        <v>394</v>
      </c>
      <c r="AI306" s="116" t="s">
        <v>497</v>
      </c>
      <c r="AJ306" s="158" t="s">
        <v>2489</v>
      </c>
      <c r="AK306" s="116"/>
      <c r="AL306" s="116"/>
      <c r="AM306" s="116"/>
      <c r="AN306" s="116"/>
      <c r="AO306" s="116"/>
      <c r="AP306" s="102"/>
      <c r="AQ306" s="102"/>
      <c r="AR306" s="102"/>
      <c r="AS306" s="102"/>
      <c r="AT306" s="102"/>
    </row>
    <row r="307" spans="1:46">
      <c r="A307" s="2" t="str">
        <f>'Reference Score Calculation'!A298</f>
        <v>JS6731</v>
      </c>
      <c r="B307" s="346" t="str">
        <f>'Reference Score Calculation'!B298</f>
        <v>JS6731</v>
      </c>
      <c r="C307" s="2" t="str">
        <f>'Reference Score Calculation'!E298</f>
        <v>社會工作學學士</v>
      </c>
      <c r="D307" s="16">
        <f>'Reference Score Calculation'!U298</f>
        <v>35</v>
      </c>
      <c r="E307" s="16">
        <v>3</v>
      </c>
      <c r="F307" s="16">
        <v>3</v>
      </c>
      <c r="G307" s="16">
        <v>2</v>
      </c>
      <c r="H307" s="16">
        <v>2</v>
      </c>
      <c r="I307" s="16">
        <v>3</v>
      </c>
      <c r="J307" s="16">
        <v>3</v>
      </c>
      <c r="L307" s="90">
        <v>3</v>
      </c>
      <c r="M307" s="90">
        <v>3</v>
      </c>
      <c r="N307" s="90">
        <v>2</v>
      </c>
      <c r="O307" s="90">
        <v>1</v>
      </c>
      <c r="P307" s="90">
        <v>3</v>
      </c>
      <c r="Q307" s="90">
        <v>3</v>
      </c>
      <c r="R307" s="16"/>
      <c r="S307" s="16">
        <f t="shared" si="112"/>
        <v>0</v>
      </c>
      <c r="T307" s="16">
        <f t="shared" si="115"/>
        <v>0</v>
      </c>
      <c r="U307" s="16">
        <f t="shared" si="113"/>
        <v>0</v>
      </c>
      <c r="V307" s="16">
        <f t="shared" si="114"/>
        <v>0</v>
      </c>
      <c r="W307" s="16">
        <f>IF(P307&gt;LARGE($Q$3:$T$3,1),0,1)</f>
        <v>0</v>
      </c>
      <c r="X307" s="16">
        <f>IF(OR($P$3&gt;Q307,$U$3&gt;Q307),1,IF(Q307&gt;LARGE($Q$3:$T$3,2),0,1))</f>
        <v>0</v>
      </c>
      <c r="Z307" s="16">
        <f t="shared" si="111"/>
        <v>0</v>
      </c>
      <c r="AB307" s="16" t="s">
        <v>391</v>
      </c>
      <c r="AC307" s="16" t="s">
        <v>420</v>
      </c>
      <c r="AD307" s="16" t="s">
        <v>393</v>
      </c>
      <c r="AF307" s="21" t="s">
        <v>394</v>
      </c>
      <c r="AG307" s="21" t="s">
        <v>394</v>
      </c>
      <c r="AH307" s="21" t="s">
        <v>394</v>
      </c>
      <c r="AI307" s="116" t="s">
        <v>2844</v>
      </c>
      <c r="AJ307" s="158"/>
      <c r="AK307" s="116"/>
      <c r="AL307" s="116"/>
      <c r="AM307" s="116"/>
      <c r="AN307" s="116"/>
      <c r="AO307" s="116"/>
      <c r="AP307" s="116"/>
      <c r="AQ307" s="116"/>
      <c r="AR307" s="116"/>
      <c r="AS307" s="102"/>
      <c r="AT307" s="102"/>
    </row>
    <row r="308" spans="1:46">
      <c r="A308" s="2" t="str">
        <f>'Reference Score Calculation'!A299</f>
        <v>JS6810</v>
      </c>
      <c r="B308" s="346" t="str">
        <f>'Reference Score Calculation'!B299</f>
        <v>JS6810</v>
      </c>
      <c r="C308" s="2" t="str">
        <f>'Reference Score Calculation'!E299</f>
        <v>社會科學學士(政治學與法學)及法學士(雙學位課程)</v>
      </c>
      <c r="D308" s="16">
        <f>'Reference Score Calculation'!U299</f>
        <v>40</v>
      </c>
      <c r="E308" s="16">
        <v>4</v>
      </c>
      <c r="F308" s="16">
        <v>5</v>
      </c>
      <c r="G308" s="16">
        <v>3</v>
      </c>
      <c r="H308" s="16">
        <v>3</v>
      </c>
      <c r="I308" s="16">
        <v>3</v>
      </c>
      <c r="J308" s="16">
        <v>3</v>
      </c>
      <c r="L308" s="90">
        <v>4</v>
      </c>
      <c r="M308" s="90">
        <v>5</v>
      </c>
      <c r="N308" s="90">
        <v>3</v>
      </c>
      <c r="O308" s="90">
        <v>1</v>
      </c>
      <c r="P308" s="90">
        <v>3</v>
      </c>
      <c r="Q308" s="90">
        <v>3</v>
      </c>
      <c r="R308" s="16"/>
      <c r="S308" s="16">
        <f t="shared" si="112"/>
        <v>0</v>
      </c>
      <c r="T308" s="16">
        <f t="shared" si="115"/>
        <v>0</v>
      </c>
      <c r="U308" s="16">
        <f t="shared" si="113"/>
        <v>0</v>
      </c>
      <c r="V308" s="16">
        <f t="shared" si="114"/>
        <v>0</v>
      </c>
      <c r="W308" s="16">
        <f>IF(P308&gt;LARGE($P$3:$T$3,1),0,1)</f>
        <v>0</v>
      </c>
      <c r="X308" s="16">
        <f>IF(Q308&gt;LARGE($P$3:$T$3,2),0,1)</f>
        <v>0</v>
      </c>
      <c r="Z308" s="16">
        <f t="shared" si="111"/>
        <v>0</v>
      </c>
      <c r="AB308" s="16" t="s">
        <v>391</v>
      </c>
      <c r="AC308" s="16" t="s">
        <v>393</v>
      </c>
      <c r="AD308" s="16" t="s">
        <v>393</v>
      </c>
      <c r="AF308" s="21" t="s">
        <v>394</v>
      </c>
      <c r="AG308" s="21" t="s">
        <v>394</v>
      </c>
      <c r="AH308" s="21" t="s">
        <v>394</v>
      </c>
      <c r="AI308" s="158"/>
      <c r="AJ308" s="158"/>
      <c r="AK308" s="116"/>
      <c r="AL308" s="116"/>
      <c r="AM308" s="116"/>
      <c r="AN308" s="116"/>
      <c r="AO308" s="116"/>
      <c r="AP308" s="102"/>
      <c r="AQ308" s="102"/>
      <c r="AR308" s="102"/>
      <c r="AS308" s="102"/>
      <c r="AT308" s="102"/>
    </row>
    <row r="309" spans="1:46">
      <c r="A309" s="2" t="str">
        <f>'Reference Score Calculation'!A300</f>
        <v>JS6822</v>
      </c>
      <c r="B309" s="346" t="str">
        <f>'Reference Score Calculation'!B300</f>
        <v>JS6822</v>
      </c>
      <c r="C309" s="2" t="str">
        <f>'Reference Score Calculation'!E300</f>
        <v>新聞學學士</v>
      </c>
      <c r="D309" s="16">
        <f>'Reference Score Calculation'!U300</f>
        <v>19</v>
      </c>
      <c r="E309" s="16">
        <v>3</v>
      </c>
      <c r="F309" s="16">
        <v>3</v>
      </c>
      <c r="G309" s="16">
        <v>2</v>
      </c>
      <c r="H309" s="16">
        <v>2</v>
      </c>
      <c r="I309" s="16">
        <v>3</v>
      </c>
      <c r="J309" s="16">
        <v>3</v>
      </c>
      <c r="L309" s="90">
        <v>3</v>
      </c>
      <c r="M309" s="90">
        <v>3</v>
      </c>
      <c r="N309" s="90">
        <v>2</v>
      </c>
      <c r="O309" s="90">
        <v>1</v>
      </c>
      <c r="P309" s="90">
        <v>3</v>
      </c>
      <c r="Q309" s="90">
        <v>3</v>
      </c>
      <c r="R309" s="16"/>
      <c r="S309" s="16">
        <f t="shared" si="112"/>
        <v>0</v>
      </c>
      <c r="T309" s="16">
        <f t="shared" si="115"/>
        <v>0</v>
      </c>
      <c r="U309" s="16">
        <f t="shared" si="113"/>
        <v>0</v>
      </c>
      <c r="V309" s="16">
        <f t="shared" si="114"/>
        <v>0</v>
      </c>
      <c r="W309" s="16">
        <f>IF(P309&gt;LARGE($P$3:$T$3,1),0,1)</f>
        <v>0</v>
      </c>
      <c r="X309" s="16">
        <f>IF(OR($P$3&gt;Q309,$U$3&gt;Q309),1,IF(Q309&gt;LARGE($Q$3:$T$3,2),0,1))</f>
        <v>0</v>
      </c>
      <c r="Z309" s="16">
        <f t="shared" si="111"/>
        <v>0</v>
      </c>
      <c r="AB309" s="16" t="s">
        <v>391</v>
      </c>
      <c r="AC309" s="16" t="s">
        <v>420</v>
      </c>
      <c r="AD309" s="16" t="s">
        <v>393</v>
      </c>
      <c r="AF309" s="21" t="s">
        <v>394</v>
      </c>
      <c r="AG309" s="21" t="s">
        <v>394</v>
      </c>
      <c r="AH309" s="21" t="s">
        <v>394</v>
      </c>
      <c r="AI309" s="116"/>
      <c r="AJ309" s="116" t="str">
        <f>Q$2</f>
        <v>請選擇第一選修科</v>
      </c>
      <c r="AK309" s="116" t="str">
        <f>R$2</f>
        <v>請選擇第二選修科</v>
      </c>
      <c r="AL309" s="116" t="str">
        <f>S$2</f>
        <v>請選擇第三選修科</v>
      </c>
      <c r="AM309" s="116" t="str">
        <f>T$2</f>
        <v>請選擇第四選修科</v>
      </c>
      <c r="AN309" s="116"/>
      <c r="AO309" s="102"/>
      <c r="AP309" s="116" t="s">
        <v>466</v>
      </c>
      <c r="AQ309" s="116"/>
      <c r="AR309" s="102"/>
      <c r="AS309" s="102"/>
      <c r="AT309" s="102"/>
    </row>
    <row r="310" spans="1:46">
      <c r="A310" s="2" t="str">
        <f>'Reference Score Calculation'!A301</f>
        <v>JS6779</v>
      </c>
      <c r="B310" s="346" t="str">
        <f>'Reference Score Calculation'!B301</f>
        <v>JS6779</v>
      </c>
      <c r="C310" s="2" t="str">
        <f>'Reference Score Calculation'!E301</f>
        <v>統計決策科學</v>
      </c>
      <c r="D310" s="16">
        <f>'Reference Score Calculation'!U301</f>
        <v>30</v>
      </c>
      <c r="L310" s="90">
        <v>3</v>
      </c>
      <c r="M310" s="90">
        <v>3</v>
      </c>
      <c r="N310" s="90">
        <v>4</v>
      </c>
      <c r="O310" s="90">
        <v>1</v>
      </c>
      <c r="P310" s="90">
        <v>3</v>
      </c>
      <c r="Q310" s="90">
        <v>3</v>
      </c>
      <c r="R310" s="16"/>
      <c r="S310" s="16">
        <f t="shared" si="112"/>
        <v>0</v>
      </c>
      <c r="T310" s="16">
        <f t="shared" si="115"/>
        <v>0</v>
      </c>
      <c r="U310" s="16">
        <f t="shared" si="113"/>
        <v>0</v>
      </c>
      <c r="V310" s="16">
        <f t="shared" si="114"/>
        <v>0</v>
      </c>
      <c r="W310" s="16">
        <f>IF(P310&gt;LARGE($Q$3:$T$3,1),0,1)</f>
        <v>0</v>
      </c>
      <c r="X310" s="16">
        <f>IF(OR($P$3&gt;Q310,$U$3&gt;Q310),1,IF(Q310&gt;LARGE($Q$3:$T$3,2),0,1))</f>
        <v>0</v>
      </c>
      <c r="Z310" s="16">
        <f t="shared" si="111"/>
        <v>0</v>
      </c>
      <c r="AB310" s="16" t="s">
        <v>391</v>
      </c>
      <c r="AC310" s="16" t="s">
        <v>421</v>
      </c>
      <c r="AD310" s="16" t="s">
        <v>393</v>
      </c>
      <c r="AH310" s="21" t="s">
        <v>394</v>
      </c>
      <c r="AI310" s="116" t="s">
        <v>536</v>
      </c>
      <c r="AJ310" s="117">
        <f>IF(OR(Q$2="物理",Q$2="化學",Q$2="生物",Q$2="組合科學(物理、化學)",Q$2="組合科學(生物、化學)",Q$2="組合科學(物理、生物)",Q$2="資訊及通訊科技",Q$2="綜合科學",Q$2="經濟",Q$2="企業、會計與財務概論"),Q$3,0)</f>
        <v>0</v>
      </c>
      <c r="AK310" s="117">
        <f>IF(OR(R$2="物理",R$2="化學",R$2="生物",R$2="組合科學(物理、化學)",R$2="組合科學(生物、化學)",R$2="組合科學(物理、生物)",R$2="資訊及通訊科技",R$2="綜合科學",R$2="經濟",R$2="企業、會計與財務概論"),R$3,0)</f>
        <v>0</v>
      </c>
      <c r="AL310" s="117">
        <f>IF(OR(S$2="物理",S$2="化學",S$2="生物",S$2="組合科學(物理、化學)",S$2="組合科學(生物、化學)",S$2="組合科學(物理、生物)",S$2="資訊及通訊科技",S$2="綜合科學",S$2="經濟",S$2="企業、會計與財務概論"),S$3,0)</f>
        <v>0</v>
      </c>
      <c r="AM310" s="117">
        <f>IF(OR(T$2="物理",T$2="化學",T$2="生物",T$2="組合科學(物理、化學)",T$2="組合科學(生物、化學)",T$2="組合科學(物理、生物)",T$2="資訊及通訊科技",T$2="綜合科學",T$2="經濟",T$2="企業、會計與財務概論"),T$3,0)</f>
        <v>0</v>
      </c>
      <c r="AN310" s="116"/>
      <c r="AO310" s="116"/>
      <c r="AP310" s="117" t="str">
        <f>IF(AQ310&gt;0.1,INDEX(AJ309:AM309,MATCH(LARGE(AJ310:AM310,1),AJ310:AM310,0)),"無")</f>
        <v>無</v>
      </c>
      <c r="AQ310" s="117">
        <f>LARGE((AJ310:AM310),1)</f>
        <v>0</v>
      </c>
      <c r="AR310" s="102"/>
      <c r="AS310" s="102"/>
      <c r="AT310" s="102"/>
    </row>
    <row r="311" spans="1:46">
      <c r="A311" s="2" t="str">
        <f>'Reference Score Calculation'!A302</f>
        <v>JS6999</v>
      </c>
      <c r="B311" s="346" t="str">
        <f>'Reference Score Calculation'!B302</f>
        <v>JS6999</v>
      </c>
      <c r="C311" s="2" t="str">
        <f>'Reference Score Calculation'!E302</f>
        <v>計算與數據科學</v>
      </c>
      <c r="D311" s="16">
        <f>'Reference Score Calculation'!U302</f>
        <v>91</v>
      </c>
      <c r="L311" s="90">
        <v>3</v>
      </c>
      <c r="M311" s="90">
        <v>3</v>
      </c>
      <c r="N311" s="90">
        <v>3</v>
      </c>
      <c r="O311" s="90">
        <v>1</v>
      </c>
      <c r="P311" s="90">
        <v>3</v>
      </c>
      <c r="Q311" s="90">
        <v>3</v>
      </c>
      <c r="R311" s="16"/>
      <c r="S311" s="16">
        <f t="shared" si="112"/>
        <v>0</v>
      </c>
      <c r="T311" s="16">
        <f t="shared" si="115"/>
        <v>0</v>
      </c>
      <c r="U311" s="16">
        <f t="shared" si="113"/>
        <v>0</v>
      </c>
      <c r="V311" s="16">
        <f t="shared" si="114"/>
        <v>0</v>
      </c>
      <c r="W311" s="16">
        <f>IF(P311&gt;AQ269,0,1)</f>
        <v>0</v>
      </c>
      <c r="X311" s="16">
        <f>IF(OR($P$3&gt;Q311,$U$3&gt;Q311),1,IF(Q311&gt;LARGE($Q$3:$T$3,2),0,IF($P$3&lt;3,2,1)))</f>
        <v>0</v>
      </c>
      <c r="Z311" s="16">
        <f t="shared" si="111"/>
        <v>0</v>
      </c>
      <c r="AB311" s="16" t="s">
        <v>391</v>
      </c>
      <c r="AC311" s="16" t="s">
        <v>421</v>
      </c>
      <c r="AD311" s="16" t="s">
        <v>393</v>
      </c>
      <c r="AF311" s="21" t="s">
        <v>3138</v>
      </c>
      <c r="AG311" s="21" t="s">
        <v>495</v>
      </c>
      <c r="AH311" s="21" t="s">
        <v>394</v>
      </c>
      <c r="AI311" s="116"/>
      <c r="AJ311" s="158" t="s">
        <v>538</v>
      </c>
      <c r="AK311" s="116"/>
      <c r="AL311" s="116"/>
      <c r="AM311" s="116"/>
      <c r="AN311" s="116"/>
      <c r="AO311" s="116"/>
      <c r="AP311" s="102"/>
      <c r="AQ311" s="102"/>
      <c r="AR311" s="102"/>
      <c r="AS311" s="102"/>
      <c r="AT311" s="102"/>
    </row>
    <row r="312" spans="1:46">
      <c r="A312" s="2" t="str">
        <f>'Reference Score Calculation'!A303</f>
        <v>JS6224</v>
      </c>
      <c r="B312" s="346" t="str">
        <f>'Reference Score Calculation'!B303</f>
        <v>JS6224</v>
      </c>
      <c r="C312" s="2" t="str">
        <f>'Reference Score Calculation'!E303</f>
        <v>文理學士(應用人工智能)</v>
      </c>
      <c r="D312" s="16">
        <f>'Reference Score Calculation'!U303</f>
        <v>37</v>
      </c>
      <c r="E312" s="16">
        <v>3</v>
      </c>
      <c r="F312" s="16">
        <v>4</v>
      </c>
      <c r="G312" s="16">
        <v>4</v>
      </c>
      <c r="H312" s="16">
        <v>2</v>
      </c>
      <c r="I312" s="16">
        <v>3</v>
      </c>
      <c r="J312" s="16">
        <v>4</v>
      </c>
      <c r="L312" s="90">
        <v>3</v>
      </c>
      <c r="M312" s="90">
        <v>4</v>
      </c>
      <c r="N312" s="90">
        <v>4</v>
      </c>
      <c r="O312" s="90">
        <v>1</v>
      </c>
      <c r="P312" s="90">
        <v>3</v>
      </c>
      <c r="Q312" s="90">
        <v>4</v>
      </c>
      <c r="R312" s="16"/>
      <c r="S312" s="16">
        <f t="shared" si="112"/>
        <v>0</v>
      </c>
      <c r="T312" s="16">
        <f t="shared" si="115"/>
        <v>0</v>
      </c>
      <c r="U312" s="16">
        <f t="shared" si="113"/>
        <v>0</v>
      </c>
      <c r="V312" s="16">
        <f t="shared" si="114"/>
        <v>0</v>
      </c>
      <c r="W312" s="16">
        <f>IF(P312&gt;LARGE($Q$3:$T$3,1),0,1)</f>
        <v>0</v>
      </c>
      <c r="X312" s="16">
        <f>IF($P$3&lt;4,0,1)</f>
        <v>0</v>
      </c>
      <c r="Z312" s="16">
        <f t="shared" si="111"/>
        <v>0</v>
      </c>
      <c r="AB312" s="16" t="s">
        <v>391</v>
      </c>
      <c r="AC312" s="16" t="s">
        <v>393</v>
      </c>
      <c r="AD312" s="16" t="s">
        <v>393</v>
      </c>
      <c r="AF312" s="21" t="s">
        <v>548</v>
      </c>
      <c r="AG312" s="21" t="s">
        <v>394</v>
      </c>
      <c r="AH312" s="21" t="s">
        <v>394</v>
      </c>
      <c r="AI312" s="116"/>
      <c r="AJ312" s="158"/>
      <c r="AK312" s="116"/>
      <c r="AL312" s="116"/>
      <c r="AM312" s="116"/>
      <c r="AN312" s="116"/>
      <c r="AO312" s="116"/>
      <c r="AP312" s="102"/>
      <c r="AQ312" s="102"/>
      <c r="AR312" s="102"/>
      <c r="AS312" s="102"/>
      <c r="AT312" s="102"/>
    </row>
    <row r="313" spans="1:46">
      <c r="A313" s="2" t="str">
        <f>'Reference Score Calculation'!A304</f>
        <v>JS6236</v>
      </c>
      <c r="B313" s="346" t="str">
        <f>'Reference Score Calculation'!B304</f>
        <v>JS6236</v>
      </c>
      <c r="C313" s="2" t="str">
        <f>'Reference Score Calculation'!E304</f>
        <v>文理學士(設計＋)</v>
      </c>
      <c r="D313" s="16">
        <f>'Reference Score Calculation'!U304</f>
        <v>20</v>
      </c>
      <c r="E313" s="16">
        <v>3</v>
      </c>
      <c r="F313" s="16">
        <v>4</v>
      </c>
      <c r="G313" s="16">
        <v>2</v>
      </c>
      <c r="H313" s="16">
        <v>2</v>
      </c>
      <c r="I313" s="16">
        <v>3</v>
      </c>
      <c r="J313" s="16">
        <v>3</v>
      </c>
      <c r="L313" s="90">
        <v>3</v>
      </c>
      <c r="M313" s="90">
        <v>4</v>
      </c>
      <c r="N313" s="90">
        <v>2</v>
      </c>
      <c r="O313" s="90">
        <v>1</v>
      </c>
      <c r="P313" s="90">
        <v>3</v>
      </c>
      <c r="Q313" s="90">
        <v>3</v>
      </c>
      <c r="R313" s="16"/>
      <c r="S313" s="16">
        <f t="shared" si="112"/>
        <v>0</v>
      </c>
      <c r="T313" s="16">
        <f t="shared" si="115"/>
        <v>0</v>
      </c>
      <c r="U313" s="16">
        <f t="shared" si="113"/>
        <v>0</v>
      </c>
      <c r="V313" s="16">
        <f t="shared" si="114"/>
        <v>0</v>
      </c>
      <c r="W313" s="16">
        <f>IF(P313&gt;LARGE($Q$3:$T$3,1),0,1)</f>
        <v>0</v>
      </c>
      <c r="X313" s="16">
        <f>IF(OR($P$3&gt;Q313,$U$3&gt;Q313),1,IF(Q313&gt;LARGE($Q$3:$T$3,2),0,1))</f>
        <v>0</v>
      </c>
      <c r="Z313" s="16">
        <f>IF(S313*T313*U313*V313*W313*X313=0,0,2)</f>
        <v>0</v>
      </c>
      <c r="AB313" s="16" t="s">
        <v>391</v>
      </c>
      <c r="AC313" s="16" t="s">
        <v>420</v>
      </c>
      <c r="AD313" s="16" t="s">
        <v>393</v>
      </c>
      <c r="AF313" s="21" t="s">
        <v>567</v>
      </c>
      <c r="AG313" s="21" t="s">
        <v>568</v>
      </c>
      <c r="AH313" s="21" t="s">
        <v>394</v>
      </c>
      <c r="AI313" s="116"/>
      <c r="AJ313" s="158"/>
      <c r="AK313" s="116"/>
      <c r="AL313" s="116"/>
      <c r="AM313" s="116"/>
      <c r="AN313" s="116"/>
      <c r="AO313" s="116"/>
      <c r="AP313" s="102"/>
      <c r="AQ313" s="102"/>
      <c r="AR313" s="102"/>
      <c r="AS313" s="102"/>
      <c r="AT313" s="102"/>
    </row>
    <row r="314" spans="1:46">
      <c r="A314" s="2" t="str">
        <f>'Reference Score Calculation'!A305</f>
        <v>JS6248</v>
      </c>
      <c r="B314" s="346" t="str">
        <f>'Reference Score Calculation'!B305</f>
        <v>JS6248</v>
      </c>
      <c r="C314" s="2" t="str">
        <f>'Reference Score Calculation'!E305</f>
        <v>文理學士(金融科技)</v>
      </c>
      <c r="D314" s="16">
        <f>'Reference Score Calculation'!U305</f>
        <v>24</v>
      </c>
      <c r="E314" s="16">
        <v>3</v>
      </c>
      <c r="F314" s="16">
        <v>4</v>
      </c>
      <c r="G314" s="16">
        <v>3</v>
      </c>
      <c r="H314" s="16">
        <v>2</v>
      </c>
      <c r="I314" s="16">
        <v>3</v>
      </c>
      <c r="J314" s="16">
        <v>3</v>
      </c>
      <c r="L314" s="90">
        <v>3</v>
      </c>
      <c r="M314" s="90">
        <v>4</v>
      </c>
      <c r="N314" s="90">
        <v>3</v>
      </c>
      <c r="O314" s="90">
        <v>1</v>
      </c>
      <c r="P314" s="90">
        <v>3</v>
      </c>
      <c r="Q314" s="90">
        <v>3</v>
      </c>
      <c r="R314" s="16"/>
      <c r="S314" s="16">
        <f t="shared" si="112"/>
        <v>0</v>
      </c>
      <c r="T314" s="16">
        <f t="shared" si="115"/>
        <v>0</v>
      </c>
      <c r="U314" s="16">
        <f t="shared" si="113"/>
        <v>0</v>
      </c>
      <c r="V314" s="16">
        <f t="shared" si="114"/>
        <v>0</v>
      </c>
      <c r="W314" s="16">
        <f>IF(P314&gt;LARGE($Q$3:$T$3,1),0,1)</f>
        <v>0</v>
      </c>
      <c r="X314" s="16">
        <f>IF(OR($P$3&gt;Q314,$U$3&gt;Q314),1,IF(Q314&gt;LARGE($Q$3:$T$3,2),0,1))</f>
        <v>0</v>
      </c>
      <c r="Z314" s="16">
        <f>S314*T314*U314*V314*W314*X314</f>
        <v>0</v>
      </c>
      <c r="AB314" s="16" t="s">
        <v>391</v>
      </c>
      <c r="AC314" s="16" t="s">
        <v>420</v>
      </c>
      <c r="AD314" s="16" t="s">
        <v>393</v>
      </c>
      <c r="AF314" s="21" t="s">
        <v>394</v>
      </c>
      <c r="AG314" s="21" t="s">
        <v>394</v>
      </c>
      <c r="AH314" s="21" t="s">
        <v>394</v>
      </c>
      <c r="AI314" s="116"/>
      <c r="AJ314" s="116" t="str">
        <f>Q$2</f>
        <v>請選擇第一選修科</v>
      </c>
      <c r="AK314" s="116" t="str">
        <f>R$2</f>
        <v>請選擇第二選修科</v>
      </c>
      <c r="AL314" s="116" t="str">
        <f>S$2</f>
        <v>請選擇第三選修科</v>
      </c>
      <c r="AM314" s="116" t="str">
        <f>T$2</f>
        <v>請選擇第四選修科</v>
      </c>
      <c r="AN314" s="116" t="str">
        <f>P$2</f>
        <v>數學延伸</v>
      </c>
      <c r="AO314" s="102"/>
      <c r="AP314" s="116" t="s">
        <v>466</v>
      </c>
      <c r="AQ314" s="116"/>
      <c r="AR314" s="102"/>
      <c r="AS314" s="102"/>
      <c r="AT314" s="102"/>
    </row>
    <row r="315" spans="1:46">
      <c r="A315" s="2" t="str">
        <f>'Reference Score Calculation'!A306</f>
        <v>JS6250</v>
      </c>
      <c r="B315" s="346" t="str">
        <f>'Reference Score Calculation'!B306</f>
        <v>JS6250</v>
      </c>
      <c r="C315" s="2" t="str">
        <f>'Reference Score Calculation'!E306</f>
        <v>文理學士(環球衞生及發展)</v>
      </c>
      <c r="D315" s="16">
        <f>'Reference Score Calculation'!U306</f>
        <v>18</v>
      </c>
      <c r="E315" s="16">
        <v>3</v>
      </c>
      <c r="F315" s="16">
        <v>4</v>
      </c>
      <c r="G315" s="16">
        <v>2</v>
      </c>
      <c r="H315" s="16">
        <v>2</v>
      </c>
      <c r="I315" s="16">
        <v>3</v>
      </c>
      <c r="J315" s="16">
        <v>3</v>
      </c>
      <c r="L315" s="90">
        <v>3</v>
      </c>
      <c r="M315" s="90">
        <v>4</v>
      </c>
      <c r="N315" s="90">
        <v>2</v>
      </c>
      <c r="O315" s="90">
        <v>1</v>
      </c>
      <c r="P315" s="90">
        <v>3</v>
      </c>
      <c r="Q315" s="90">
        <v>3</v>
      </c>
      <c r="R315" s="16"/>
      <c r="S315" s="16">
        <f t="shared" si="112"/>
        <v>0</v>
      </c>
      <c r="T315" s="16">
        <f t="shared" si="115"/>
        <v>0</v>
      </c>
      <c r="U315" s="16">
        <f t="shared" si="113"/>
        <v>0</v>
      </c>
      <c r="V315" s="16">
        <f t="shared" si="114"/>
        <v>0</v>
      </c>
      <c r="W315" s="16">
        <f>IF(P315&gt;LARGE($Q$3:$T$3,1),0,1)</f>
        <v>0</v>
      </c>
      <c r="X315" s="16">
        <f>IF(OR($P$3&gt;Q315,$U$3&gt;Q315),1,IF(Q315&gt;LARGE($Q$3:$T$3,2),0,1))</f>
        <v>0</v>
      </c>
      <c r="Z315" s="16">
        <f>S315*T315*U315*V315*W315*X315</f>
        <v>0</v>
      </c>
      <c r="AB315" s="16" t="s">
        <v>391</v>
      </c>
      <c r="AC315" s="16" t="s">
        <v>420</v>
      </c>
      <c r="AD315" s="16" t="s">
        <v>393</v>
      </c>
      <c r="AF315" s="21" t="s">
        <v>394</v>
      </c>
      <c r="AG315" s="21" t="s">
        <v>394</v>
      </c>
      <c r="AH315" s="21" t="s">
        <v>394</v>
      </c>
      <c r="AI315" s="116" t="s">
        <v>2831</v>
      </c>
      <c r="AJ315" s="117">
        <f>IF(OR(Q$2="物理",Q$2="化學",Q$2="生物",Q$2="組合科學(物理、化學)",Q$2="組合科學(生物、化學)",Q$2="組合科學(物理、生物)",Q$2="資訊及通訊科技",Q$2="綜合科學",Q$2="科技與生活",Q$2="設計與應用科技"),Q$3,0)</f>
        <v>0</v>
      </c>
      <c r="AK315" s="117">
        <f>IF(OR(R$2="物理",R$2="化學",R$2="生物",R$2="組合科學(物理、化學)",R$2="組合科學(生物、化學)",R$2="組合科學(物理、生物)",R$2="資訊及通訊科技",R$2="綜合科學",R$2="科技與生活",R$2="設計與應用科技"),R$3,0)</f>
        <v>0</v>
      </c>
      <c r="AL315" s="117">
        <f>IF(OR(S$2="物理",S$2="化學",S$2="生物",S$2="組合科學(物理、化學)",S$2="組合科學(生物、化學)",S$2="組合科學(物理、生物)",S$2="資訊及通訊科技",S$2="綜合科學",S$2="科技與生活",S$2="設計與應用科技"),S$3,0)</f>
        <v>0</v>
      </c>
      <c r="AM315" s="117">
        <f>IF(OR(T$2="物理",T$2="化學",T$2="生物",T$2="組合科學(物理、化學)",T$2="組合科學(生物、化學)",T$2="組合科學(物理、生物)",T$2="資訊及通訊科技",T$2="綜合科學",T$2="科技與生活",T$2="設計與應用科技"),T$3,0)</f>
        <v>0</v>
      </c>
      <c r="AN315" s="117">
        <f>P$3</f>
        <v>5.0000000000000003E-10</v>
      </c>
      <c r="AO315" s="116"/>
      <c r="AP315" s="117" t="str">
        <f>IF(AQ315&gt;0.1,INDEX(AJ314:AN314,MATCH(LARGE(AJ315:AN315,1),AJ315:AN315,0)),"無")</f>
        <v>無</v>
      </c>
      <c r="AQ315" s="117">
        <f>LARGE((AJ315:AM315),1)</f>
        <v>0</v>
      </c>
      <c r="AR315" s="102"/>
      <c r="AS315" s="102"/>
      <c r="AT315" s="102"/>
    </row>
    <row r="316" spans="1:46">
      <c r="A316" s="2" t="str">
        <f>'Reference Score Calculation'!A307</f>
        <v>JS6602</v>
      </c>
      <c r="B316" s="346" t="str">
        <f>'Reference Score Calculation'!B307</f>
        <v>JS6602</v>
      </c>
      <c r="C316" s="2" t="str">
        <f>'Reference Score Calculation'!E307</f>
        <v>理學士(創新與科技)</v>
      </c>
      <c r="D316" s="16">
        <f>'Reference Score Calculation'!U307</f>
        <v>25</v>
      </c>
      <c r="L316" s="90">
        <v>3</v>
      </c>
      <c r="M316" s="90">
        <v>3</v>
      </c>
      <c r="N316" s="90">
        <v>3</v>
      </c>
      <c r="O316" s="90">
        <v>1</v>
      </c>
      <c r="P316" s="90">
        <v>3</v>
      </c>
      <c r="Q316" s="90">
        <v>3</v>
      </c>
      <c r="R316" s="16"/>
      <c r="S316" s="16">
        <f t="shared" si="112"/>
        <v>0</v>
      </c>
      <c r="T316" s="16">
        <f t="shared" si="115"/>
        <v>0</v>
      </c>
      <c r="U316" s="16">
        <f t="shared" si="113"/>
        <v>0</v>
      </c>
      <c r="V316" s="16">
        <f t="shared" si="114"/>
        <v>0</v>
      </c>
      <c r="W316" s="16">
        <f>IF(P316&gt;AQ315,0,1)</f>
        <v>0</v>
      </c>
      <c r="X316" s="16">
        <f>IF(OR($P$3&gt;Q316,$U$3&gt;Q316),1,IF(Q316&gt;LARGE($Q$3:$T$3,2),0,IF($P$3&lt;3,2,1)))</f>
        <v>0</v>
      </c>
      <c r="Z316" s="16">
        <f>S316*T316*U316*V316*W316*X316</f>
        <v>0</v>
      </c>
      <c r="AB316" s="16" t="s">
        <v>391</v>
      </c>
      <c r="AC316" s="16" t="s">
        <v>420</v>
      </c>
      <c r="AD316" s="16" t="s">
        <v>393</v>
      </c>
      <c r="AG316" s="21" t="s">
        <v>495</v>
      </c>
      <c r="AH316" s="21" t="s">
        <v>394</v>
      </c>
      <c r="AI316" s="116"/>
      <c r="AJ316" s="158" t="s">
        <v>3150</v>
      </c>
      <c r="AK316" s="116"/>
      <c r="AL316" s="116"/>
      <c r="AM316" s="116"/>
      <c r="AN316" s="116"/>
      <c r="AO316" s="116"/>
      <c r="AP316" s="102"/>
      <c r="AQ316" s="102"/>
      <c r="AR316" s="102"/>
      <c r="AS316" s="102"/>
      <c r="AT316" s="102"/>
    </row>
    <row r="317" spans="1:46">
      <c r="A317" s="2">
        <f>'Reference Score Calculation'!A308</f>
        <v>0</v>
      </c>
      <c r="B317" s="424" t="s">
        <v>232</v>
      </c>
      <c r="C317" s="425" t="s">
        <v>3166</v>
      </c>
      <c r="L317" s="93"/>
      <c r="M317" s="93"/>
      <c r="N317" s="93"/>
      <c r="O317" s="93"/>
      <c r="P317" s="93"/>
      <c r="Q317" s="93"/>
      <c r="Z317" s="2"/>
      <c r="AH317" s="21" t="s">
        <v>394</v>
      </c>
      <c r="AI317" s="116"/>
      <c r="AJ317" s="158"/>
      <c r="AK317" s="116"/>
      <c r="AL317" s="116"/>
      <c r="AM317" s="116"/>
      <c r="AN317" s="116"/>
      <c r="AO317" s="116"/>
      <c r="AP317" s="102"/>
      <c r="AQ317" s="102"/>
      <c r="AR317" s="102"/>
      <c r="AS317" s="102"/>
      <c r="AT317" s="102"/>
    </row>
    <row r="318" spans="1:46">
      <c r="A318" s="2">
        <f>'Reference Score Calculation'!A309</f>
        <v>0</v>
      </c>
      <c r="B318" s="424" t="s">
        <v>104</v>
      </c>
      <c r="C318" s="11" t="s">
        <v>106</v>
      </c>
      <c r="D318" s="19" t="s">
        <v>36</v>
      </c>
      <c r="E318" s="19"/>
      <c r="F318" s="19"/>
      <c r="G318" s="19"/>
      <c r="H318" s="19"/>
      <c r="I318" s="19"/>
      <c r="J318" s="19"/>
      <c r="K318" s="19"/>
      <c r="L318" s="92" t="s">
        <v>111</v>
      </c>
      <c r="M318" s="92" t="s">
        <v>112</v>
      </c>
      <c r="N318" s="92" t="s">
        <v>113</v>
      </c>
      <c r="O318" s="92" t="s">
        <v>114</v>
      </c>
      <c r="P318" s="92" t="s">
        <v>115</v>
      </c>
      <c r="Q318" s="92" t="s">
        <v>116</v>
      </c>
      <c r="R318" s="16"/>
      <c r="S318" s="19" t="s">
        <v>111</v>
      </c>
      <c r="T318" s="19" t="s">
        <v>112</v>
      </c>
      <c r="U318" s="19" t="s">
        <v>113</v>
      </c>
      <c r="V318" s="19" t="s">
        <v>114</v>
      </c>
      <c r="W318" s="19" t="s">
        <v>115</v>
      </c>
      <c r="X318" s="19" t="s">
        <v>116</v>
      </c>
      <c r="Y318" s="11"/>
      <c r="AB318" s="19" t="s">
        <v>267</v>
      </c>
      <c r="AC318" s="19" t="s">
        <v>268</v>
      </c>
      <c r="AD318" s="19" t="s">
        <v>269</v>
      </c>
      <c r="AH318" s="21" t="s">
        <v>394</v>
      </c>
    </row>
    <row r="319" spans="1:46">
      <c r="A319" s="2" t="str">
        <f>'Reference Score Calculation'!A310</f>
        <v>JS7101</v>
      </c>
      <c r="B319" s="346" t="str">
        <f>'Reference Score Calculation'!B310</f>
        <v>JS7101</v>
      </c>
      <c r="C319" s="2" t="str">
        <f>'Reference Score Calculation'!E310</f>
        <v>中文(榮譽)文學士</v>
      </c>
      <c r="D319" s="16">
        <f>'Reference Score Calculation'!U310</f>
        <v>39</v>
      </c>
      <c r="E319" s="16">
        <v>3</v>
      </c>
      <c r="F319" s="16">
        <v>3</v>
      </c>
      <c r="G319" s="16">
        <v>2</v>
      </c>
      <c r="H319" s="16">
        <v>2</v>
      </c>
      <c r="I319" s="16">
        <v>2</v>
      </c>
      <c r="L319" s="90">
        <v>3</v>
      </c>
      <c r="M319" s="90">
        <v>3</v>
      </c>
      <c r="N319" s="90">
        <v>2</v>
      </c>
      <c r="O319" s="90">
        <v>1</v>
      </c>
      <c r="P319" s="90">
        <v>2</v>
      </c>
      <c r="Q319" s="90">
        <v>2</v>
      </c>
      <c r="S319" s="16">
        <f t="shared" ref="S319:V322" si="116">IF(L319&gt;L$3,0,1)</f>
        <v>0</v>
      </c>
      <c r="T319" s="16">
        <f t="shared" si="116"/>
        <v>0</v>
      </c>
      <c r="U319" s="16">
        <f t="shared" si="116"/>
        <v>0</v>
      </c>
      <c r="V319" s="16">
        <f t="shared" si="116"/>
        <v>0</v>
      </c>
      <c r="W319" s="16">
        <f>IF(P319&gt;LARGE($P$3:$U$3,1),0,1)</f>
        <v>0</v>
      </c>
      <c r="X319" s="16">
        <f>IF(Q319&gt;LARGE($P$3:$U$3,2),0,1)</f>
        <v>0</v>
      </c>
      <c r="Y319" s="16"/>
      <c r="Z319" s="16">
        <f>S319*T319*U319*V319*W319*X319</f>
        <v>0</v>
      </c>
      <c r="AB319" s="16" t="s">
        <v>419</v>
      </c>
      <c r="AC319" s="16" t="s">
        <v>420</v>
      </c>
      <c r="AD319" s="16" t="s">
        <v>393</v>
      </c>
      <c r="AG319" s="21" t="s">
        <v>394</v>
      </c>
    </row>
    <row r="320" spans="1:46">
      <c r="A320" s="2" t="str">
        <f>'Reference Score Calculation'!A311</f>
        <v>JS7123</v>
      </c>
      <c r="B320" s="346" t="str">
        <f>'Reference Score Calculation'!B311</f>
        <v>JS7123</v>
      </c>
      <c r="C320" s="2" t="str">
        <f>'Reference Score Calculation'!E311</f>
        <v>環球可持續發展(榮譽)博雅學士</v>
      </c>
      <c r="D320" s="16">
        <f>'Reference Score Calculation'!U311</f>
        <v>20</v>
      </c>
      <c r="E320" s="16">
        <v>3</v>
      </c>
      <c r="F320" s="16">
        <v>3</v>
      </c>
      <c r="G320" s="16">
        <v>2</v>
      </c>
      <c r="H320" s="16">
        <v>2</v>
      </c>
      <c r="I320" s="16">
        <v>2</v>
      </c>
      <c r="L320" s="90">
        <v>3</v>
      </c>
      <c r="M320" s="90">
        <v>3</v>
      </c>
      <c r="N320" s="90">
        <v>2</v>
      </c>
      <c r="O320" s="90">
        <v>1</v>
      </c>
      <c r="P320" s="90">
        <v>2</v>
      </c>
      <c r="Q320" s="90">
        <v>2</v>
      </c>
      <c r="S320" s="16">
        <f t="shared" si="116"/>
        <v>0</v>
      </c>
      <c r="T320" s="16">
        <f t="shared" si="116"/>
        <v>0</v>
      </c>
      <c r="U320" s="16">
        <f t="shared" si="116"/>
        <v>0</v>
      </c>
      <c r="V320" s="16">
        <f t="shared" si="116"/>
        <v>0</v>
      </c>
      <c r="W320" s="16">
        <f t="shared" ref="W320:W323" si="117">IF(P320&gt;LARGE($P$3:$U$3,1),0,1)</f>
        <v>0</v>
      </c>
      <c r="X320" s="16">
        <f t="shared" ref="X320:X323" si="118">IF(Q320&gt;LARGE($P$3:$U$3,2),0,1)</f>
        <v>0</v>
      </c>
      <c r="Y320" s="16"/>
      <c r="Z320" s="16">
        <f t="shared" ref="Z320:Z323" si="119">S320*T320*U320*V320*W320*X320</f>
        <v>0</v>
      </c>
      <c r="AB320" s="16" t="s">
        <v>419</v>
      </c>
      <c r="AC320" s="16" t="s">
        <v>420</v>
      </c>
      <c r="AD320" s="16" t="s">
        <v>393</v>
      </c>
      <c r="AG320" s="21" t="s">
        <v>394</v>
      </c>
    </row>
    <row r="321" spans="1:33">
      <c r="A321" s="2" t="str">
        <f>'Reference Score Calculation'!A312</f>
        <v>JS7133</v>
      </c>
      <c r="B321" s="346" t="str">
        <f>'Reference Score Calculation'!B312</f>
        <v>JS7133</v>
      </c>
      <c r="C321" s="2" t="str">
        <f>'Reference Score Calculation'!E312</f>
        <v>動畫及數碼藝術(榮譽)文學士</v>
      </c>
      <c r="D321" s="16">
        <f>'Reference Score Calculation'!U312</f>
        <v>20</v>
      </c>
      <c r="E321" s="16">
        <v>3</v>
      </c>
      <c r="F321" s="16">
        <v>3</v>
      </c>
      <c r="G321" s="16">
        <v>2</v>
      </c>
      <c r="H321" s="16">
        <v>2</v>
      </c>
      <c r="I321" s="16">
        <v>2</v>
      </c>
      <c r="L321" s="90">
        <v>3</v>
      </c>
      <c r="M321" s="90">
        <v>3</v>
      </c>
      <c r="N321" s="90">
        <v>2</v>
      </c>
      <c r="O321" s="90">
        <v>1</v>
      </c>
      <c r="P321" s="90">
        <v>2</v>
      </c>
      <c r="Q321" s="90">
        <v>2</v>
      </c>
      <c r="S321" s="16">
        <f t="shared" si="116"/>
        <v>0</v>
      </c>
      <c r="T321" s="16">
        <f t="shared" si="116"/>
        <v>0</v>
      </c>
      <c r="U321" s="16">
        <f t="shared" si="116"/>
        <v>0</v>
      </c>
      <c r="V321" s="16">
        <f t="shared" si="116"/>
        <v>0</v>
      </c>
      <c r="W321" s="16">
        <f t="shared" si="117"/>
        <v>0</v>
      </c>
      <c r="X321" s="16">
        <f t="shared" si="118"/>
        <v>0</v>
      </c>
      <c r="Y321" s="16"/>
      <c r="Z321" s="16">
        <f t="shared" si="119"/>
        <v>0</v>
      </c>
      <c r="AB321" s="16" t="s">
        <v>419</v>
      </c>
      <c r="AC321" s="16" t="s">
        <v>420</v>
      </c>
      <c r="AD321" s="16" t="s">
        <v>393</v>
      </c>
      <c r="AG321" s="21" t="s">
        <v>394</v>
      </c>
    </row>
    <row r="322" spans="1:33">
      <c r="A322" s="2" t="str">
        <f>'Reference Score Calculation'!A313</f>
        <v>JS7204</v>
      </c>
      <c r="B322" s="346" t="str">
        <f>'Reference Score Calculation'!B313</f>
        <v>JS7204</v>
      </c>
      <c r="C322" s="2" t="str">
        <f>'Reference Score Calculation'!E313</f>
        <v>翻譯(榮譽)文學士</v>
      </c>
      <c r="D322" s="16">
        <f>'Reference Score Calculation'!U313</f>
        <v>34</v>
      </c>
      <c r="E322" s="16">
        <v>3</v>
      </c>
      <c r="F322" s="16">
        <v>3</v>
      </c>
      <c r="G322" s="16">
        <v>2</v>
      </c>
      <c r="H322" s="16">
        <v>2</v>
      </c>
      <c r="I322" s="16">
        <v>2</v>
      </c>
      <c r="L322" s="90">
        <v>3</v>
      </c>
      <c r="M322" s="90">
        <v>3</v>
      </c>
      <c r="N322" s="90">
        <v>2</v>
      </c>
      <c r="O322" s="90">
        <v>1</v>
      </c>
      <c r="P322" s="90">
        <v>2</v>
      </c>
      <c r="Q322" s="90">
        <v>2</v>
      </c>
      <c r="S322" s="16">
        <f t="shared" si="116"/>
        <v>0</v>
      </c>
      <c r="T322" s="16">
        <f t="shared" si="116"/>
        <v>0</v>
      </c>
      <c r="U322" s="16">
        <f t="shared" si="116"/>
        <v>0</v>
      </c>
      <c r="V322" s="16">
        <f t="shared" si="116"/>
        <v>0</v>
      </c>
      <c r="W322" s="16">
        <f t="shared" si="117"/>
        <v>0</v>
      </c>
      <c r="X322" s="16">
        <f t="shared" si="118"/>
        <v>0</v>
      </c>
      <c r="Y322" s="16"/>
      <c r="Z322" s="16">
        <f t="shared" si="119"/>
        <v>0</v>
      </c>
      <c r="AB322" s="16" t="s">
        <v>419</v>
      </c>
      <c r="AC322" s="16" t="s">
        <v>420</v>
      </c>
      <c r="AD322" s="16" t="s">
        <v>393</v>
      </c>
      <c r="AG322" s="21" t="s">
        <v>394</v>
      </c>
    </row>
    <row r="323" spans="1:33">
      <c r="A323" s="2" t="str">
        <f>'Reference Score Calculation'!A314</f>
        <v>JS7211</v>
      </c>
      <c r="B323" s="346" t="str">
        <f>'Reference Score Calculation'!B314</f>
        <v>JS7211</v>
      </c>
      <c r="C323" s="2" t="str">
        <f>'Reference Score Calculation'!E314</f>
        <v>工商管理(榮譽)學士 – 會計與企業管治</v>
      </c>
      <c r="L323" s="90">
        <v>3</v>
      </c>
      <c r="M323" s="90">
        <v>3</v>
      </c>
      <c r="N323" s="90">
        <v>2</v>
      </c>
      <c r="O323" s="90">
        <v>1</v>
      </c>
      <c r="P323" s="90">
        <v>2</v>
      </c>
      <c r="Q323" s="90">
        <v>2</v>
      </c>
      <c r="S323" s="16">
        <f t="shared" ref="S323:S341" si="120">IF(L323&gt;L$3,0,1)</f>
        <v>0</v>
      </c>
      <c r="T323" s="16">
        <f t="shared" ref="T323:T341" si="121">IF(M323&gt;M$3,0,1)</f>
        <v>0</v>
      </c>
      <c r="U323" s="16">
        <f t="shared" ref="U323:U341" si="122">IF(N323&gt;N$3,0,1)</f>
        <v>0</v>
      </c>
      <c r="V323" s="16">
        <f t="shared" ref="V323:V341" si="123">IF(O323&gt;O$3,0,1)</f>
        <v>0</v>
      </c>
      <c r="W323" s="16">
        <f t="shared" si="117"/>
        <v>0</v>
      </c>
      <c r="X323" s="16">
        <f t="shared" si="118"/>
        <v>0</v>
      </c>
      <c r="Y323" s="16"/>
      <c r="Z323" s="16">
        <f t="shared" si="119"/>
        <v>0</v>
      </c>
      <c r="AB323" s="16" t="s">
        <v>419</v>
      </c>
      <c r="AC323" s="16" t="s">
        <v>420</v>
      </c>
      <c r="AD323" s="16" t="s">
        <v>393</v>
      </c>
      <c r="AG323" s="21" t="s">
        <v>394</v>
      </c>
    </row>
    <row r="324" spans="1:33">
      <c r="A324" s="2" t="str">
        <f>'Reference Score Calculation'!A315</f>
        <v>JS7212</v>
      </c>
      <c r="B324" s="346" t="str">
        <f>'Reference Score Calculation'!B315</f>
        <v>JS7212</v>
      </c>
      <c r="C324" s="2" t="str">
        <f>'Reference Score Calculation'!E315</f>
        <v>工商管理(榮譽)學士 – 商業分析與創新</v>
      </c>
      <c r="L324" s="90">
        <v>3</v>
      </c>
      <c r="M324" s="90">
        <v>3</v>
      </c>
      <c r="N324" s="90">
        <v>2</v>
      </c>
      <c r="O324" s="90">
        <v>1</v>
      </c>
      <c r="P324" s="90">
        <v>2</v>
      </c>
      <c r="Q324" s="90">
        <v>2</v>
      </c>
      <c r="S324" s="16">
        <f t="shared" si="120"/>
        <v>0</v>
      </c>
      <c r="T324" s="16">
        <f t="shared" si="121"/>
        <v>0</v>
      </c>
      <c r="U324" s="16">
        <f t="shared" si="122"/>
        <v>0</v>
      </c>
      <c r="V324" s="16">
        <f t="shared" si="123"/>
        <v>0</v>
      </c>
      <c r="W324" s="16">
        <f t="shared" ref="W324:W341" si="124">IF(P324&gt;LARGE($P$3:$U$3,1),0,1)</f>
        <v>0</v>
      </c>
      <c r="X324" s="16">
        <f t="shared" ref="X324:X341" si="125">IF(Q324&gt;LARGE($P$3:$U$3,2),0,1)</f>
        <v>0</v>
      </c>
      <c r="Y324" s="16"/>
      <c r="Z324" s="16">
        <f t="shared" ref="Z324:Z341" si="126">S324*T324*U324*V324*W324*X324</f>
        <v>0</v>
      </c>
      <c r="AB324" s="16" t="s">
        <v>419</v>
      </c>
      <c r="AC324" s="16" t="s">
        <v>420</v>
      </c>
      <c r="AD324" s="16" t="s">
        <v>393</v>
      </c>
      <c r="AG324" s="21" t="s">
        <v>394</v>
      </c>
    </row>
    <row r="325" spans="1:33">
      <c r="A325" s="2" t="str">
        <f>'Reference Score Calculation'!A316</f>
        <v>JS7213</v>
      </c>
      <c r="B325" s="346" t="str">
        <f>'Reference Score Calculation'!B316</f>
        <v>JS7213</v>
      </c>
      <c r="C325" s="2" t="str">
        <f>'Reference Score Calculation'!E316</f>
        <v>工商管理(榮譽)學士 – 金融</v>
      </c>
      <c r="L325" s="90">
        <v>3</v>
      </c>
      <c r="M325" s="90">
        <v>3</v>
      </c>
      <c r="N325" s="90">
        <v>2</v>
      </c>
      <c r="O325" s="90">
        <v>1</v>
      </c>
      <c r="P325" s="90">
        <v>2</v>
      </c>
      <c r="Q325" s="90">
        <v>2</v>
      </c>
      <c r="S325" s="16">
        <f t="shared" si="120"/>
        <v>0</v>
      </c>
      <c r="T325" s="16">
        <f t="shared" si="121"/>
        <v>0</v>
      </c>
      <c r="U325" s="16">
        <f t="shared" si="122"/>
        <v>0</v>
      </c>
      <c r="V325" s="16">
        <f t="shared" si="123"/>
        <v>0</v>
      </c>
      <c r="W325" s="16">
        <f t="shared" si="124"/>
        <v>0</v>
      </c>
      <c r="X325" s="16">
        <f t="shared" si="125"/>
        <v>0</v>
      </c>
      <c r="Y325" s="16"/>
      <c r="Z325" s="16">
        <f t="shared" si="126"/>
        <v>0</v>
      </c>
      <c r="AB325" s="16" t="s">
        <v>419</v>
      </c>
      <c r="AC325" s="16" t="s">
        <v>420</v>
      </c>
      <c r="AD325" s="16" t="s">
        <v>393</v>
      </c>
      <c r="AG325" s="21" t="s">
        <v>394</v>
      </c>
    </row>
    <row r="326" spans="1:33">
      <c r="A326" s="2" t="str">
        <f>'Reference Score Calculation'!A317</f>
        <v>JS7214</v>
      </c>
      <c r="B326" s="346" t="str">
        <f>'Reference Score Calculation'!B317</f>
        <v>JS7214</v>
      </c>
      <c r="C326" s="2" t="str">
        <f>'Reference Score Calculation'!E317</f>
        <v>工商管理(榮譽)學士 – 人力資源管理與分析</v>
      </c>
      <c r="L326" s="90">
        <v>3</v>
      </c>
      <c r="M326" s="90">
        <v>3</v>
      </c>
      <c r="N326" s="90">
        <v>2</v>
      </c>
      <c r="O326" s="90">
        <v>1</v>
      </c>
      <c r="P326" s="90">
        <v>2</v>
      </c>
      <c r="Q326" s="90">
        <v>2</v>
      </c>
      <c r="S326" s="16">
        <f t="shared" si="120"/>
        <v>0</v>
      </c>
      <c r="T326" s="16">
        <f t="shared" si="121"/>
        <v>0</v>
      </c>
      <c r="U326" s="16">
        <f t="shared" si="122"/>
        <v>0</v>
      </c>
      <c r="V326" s="16">
        <f t="shared" si="123"/>
        <v>0</v>
      </c>
      <c r="W326" s="16">
        <f t="shared" si="124"/>
        <v>0</v>
      </c>
      <c r="X326" s="16">
        <f t="shared" si="125"/>
        <v>0</v>
      </c>
      <c r="Y326" s="16"/>
      <c r="Z326" s="16">
        <f t="shared" si="126"/>
        <v>0</v>
      </c>
      <c r="AB326" s="16" t="s">
        <v>419</v>
      </c>
      <c r="AC326" s="16" t="s">
        <v>420</v>
      </c>
      <c r="AD326" s="16" t="s">
        <v>393</v>
      </c>
      <c r="AG326" s="21" t="s">
        <v>394</v>
      </c>
    </row>
    <row r="327" spans="1:33">
      <c r="A327" s="2" t="str">
        <f>'Reference Score Calculation'!A318</f>
        <v>JS7215</v>
      </c>
      <c r="B327" s="346" t="str">
        <f>'Reference Score Calculation'!B318</f>
        <v>JS7215</v>
      </c>
      <c r="C327" s="2" t="str">
        <f>'Reference Score Calculation'!E318</f>
        <v>工商管理(榮譽)學士 – 市場學與社交媒體</v>
      </c>
      <c r="L327" s="90">
        <v>3</v>
      </c>
      <c r="M327" s="90">
        <v>3</v>
      </c>
      <c r="N327" s="90">
        <v>2</v>
      </c>
      <c r="O327" s="90">
        <v>1</v>
      </c>
      <c r="P327" s="90">
        <v>2</v>
      </c>
      <c r="Q327" s="90">
        <v>2</v>
      </c>
      <c r="S327" s="16">
        <f t="shared" si="120"/>
        <v>0</v>
      </c>
      <c r="T327" s="16">
        <f t="shared" si="121"/>
        <v>0</v>
      </c>
      <c r="U327" s="16">
        <f t="shared" si="122"/>
        <v>0</v>
      </c>
      <c r="V327" s="16">
        <f t="shared" si="123"/>
        <v>0</v>
      </c>
      <c r="W327" s="16">
        <f t="shared" si="124"/>
        <v>0</v>
      </c>
      <c r="X327" s="16">
        <f t="shared" si="125"/>
        <v>0</v>
      </c>
      <c r="Y327" s="16"/>
      <c r="Z327" s="16">
        <f t="shared" si="126"/>
        <v>0</v>
      </c>
      <c r="AB327" s="16" t="s">
        <v>419</v>
      </c>
      <c r="AC327" s="16" t="s">
        <v>420</v>
      </c>
      <c r="AD327" s="16" t="s">
        <v>393</v>
      </c>
      <c r="AG327" s="21" t="s">
        <v>394</v>
      </c>
    </row>
    <row r="328" spans="1:33">
      <c r="A328" s="2" t="str">
        <f>'Reference Score Calculation'!A319</f>
        <v>JS7216</v>
      </c>
      <c r="B328" s="346" t="str">
        <f>'Reference Score Calculation'!B319</f>
        <v>JS7216</v>
      </c>
      <c r="C328" s="2" t="str">
        <f>'Reference Score Calculation'!E319</f>
        <v>工商管理(榮譽)學士 - 風險及保險管理</v>
      </c>
      <c r="D328" s="16">
        <f>'Reference Score Calculation'!U319</f>
        <v>30</v>
      </c>
      <c r="E328" s="16">
        <v>3</v>
      </c>
      <c r="F328" s="16">
        <v>3</v>
      </c>
      <c r="G328" s="16">
        <v>2</v>
      </c>
      <c r="H328" s="16">
        <v>2</v>
      </c>
      <c r="I328" s="16">
        <v>2</v>
      </c>
      <c r="L328" s="90">
        <v>3</v>
      </c>
      <c r="M328" s="90">
        <v>3</v>
      </c>
      <c r="N328" s="90">
        <v>2</v>
      </c>
      <c r="O328" s="90">
        <v>1</v>
      </c>
      <c r="P328" s="90">
        <v>2</v>
      </c>
      <c r="Q328" s="90">
        <v>2</v>
      </c>
      <c r="S328" s="16">
        <f t="shared" si="120"/>
        <v>0</v>
      </c>
      <c r="T328" s="16">
        <f t="shared" si="121"/>
        <v>0</v>
      </c>
      <c r="U328" s="16">
        <f t="shared" si="122"/>
        <v>0</v>
      </c>
      <c r="V328" s="16">
        <f t="shared" si="123"/>
        <v>0</v>
      </c>
      <c r="W328" s="16">
        <f t="shared" si="124"/>
        <v>0</v>
      </c>
      <c r="X328" s="16">
        <f t="shared" si="125"/>
        <v>0</v>
      </c>
      <c r="Y328" s="16"/>
      <c r="Z328" s="16">
        <f t="shared" si="126"/>
        <v>0</v>
      </c>
      <c r="AB328" s="16" t="s">
        <v>419</v>
      </c>
      <c r="AC328" s="16" t="s">
        <v>420</v>
      </c>
      <c r="AD328" s="16" t="s">
        <v>393</v>
      </c>
      <c r="AG328" s="21" t="s">
        <v>394</v>
      </c>
    </row>
    <row r="329" spans="1:33">
      <c r="A329" s="2" t="str">
        <f>'Reference Score Calculation'!A320</f>
        <v>JS7225</v>
      </c>
      <c r="B329" s="346" t="str">
        <f>'Reference Score Calculation'!B320</f>
        <v>JS7225</v>
      </c>
      <c r="C329" s="2" t="str">
        <f>'Reference Score Calculation'!E320</f>
        <v>數據科學(榮譽)理學士</v>
      </c>
      <c r="D329" s="16">
        <f>'Reference Score Calculation'!U320</f>
        <v>25</v>
      </c>
      <c r="E329" s="16">
        <v>3</v>
      </c>
      <c r="F329" s="16">
        <v>3</v>
      </c>
      <c r="G329" s="16">
        <v>3</v>
      </c>
      <c r="H329" s="16">
        <v>2</v>
      </c>
      <c r="I329" s="16">
        <v>2</v>
      </c>
      <c r="L329" s="90">
        <v>3</v>
      </c>
      <c r="M329" s="90">
        <v>3</v>
      </c>
      <c r="N329" s="90">
        <v>2</v>
      </c>
      <c r="O329" s="90">
        <v>1</v>
      </c>
      <c r="P329" s="90">
        <v>2</v>
      </c>
      <c r="Q329" s="90">
        <v>2</v>
      </c>
      <c r="S329" s="16">
        <f t="shared" si="120"/>
        <v>0</v>
      </c>
      <c r="T329" s="16">
        <f t="shared" si="121"/>
        <v>0</v>
      </c>
      <c r="U329" s="16">
        <f t="shared" si="122"/>
        <v>0</v>
      </c>
      <c r="V329" s="16">
        <f t="shared" si="123"/>
        <v>0</v>
      </c>
      <c r="W329" s="16">
        <f t="shared" si="124"/>
        <v>0</v>
      </c>
      <c r="X329" s="16">
        <f t="shared" si="125"/>
        <v>0</v>
      </c>
      <c r="Y329" s="16"/>
      <c r="Z329" s="16">
        <f t="shared" si="126"/>
        <v>0</v>
      </c>
      <c r="AB329" s="16" t="s">
        <v>419</v>
      </c>
      <c r="AC329" s="16" t="s">
        <v>420</v>
      </c>
      <c r="AD329" s="16" t="s">
        <v>393</v>
      </c>
      <c r="AG329" s="21" t="s">
        <v>394</v>
      </c>
    </row>
    <row r="330" spans="1:33">
      <c r="A330" s="2" t="str">
        <f>'Reference Score Calculation'!A321</f>
        <v>JS7301</v>
      </c>
      <c r="B330" s="346" t="str">
        <f>'Reference Score Calculation'!B321</f>
        <v>JS7301</v>
      </c>
      <c r="C330" s="2" t="str">
        <f>'Reference Score Calculation'!E321</f>
        <v>社會科學(榮譽)學士 - 經濟學</v>
      </c>
      <c r="D330" s="16">
        <f>'Reference Score Calculation'!U321</f>
        <v>14</v>
      </c>
      <c r="E330" s="16">
        <v>3</v>
      </c>
      <c r="F330" s="16">
        <v>3</v>
      </c>
      <c r="G330" s="16">
        <v>2</v>
      </c>
      <c r="H330" s="16">
        <v>2</v>
      </c>
      <c r="I330" s="16">
        <v>2</v>
      </c>
      <c r="L330" s="90">
        <v>3</v>
      </c>
      <c r="M330" s="90">
        <v>3</v>
      </c>
      <c r="N330" s="90">
        <v>2</v>
      </c>
      <c r="O330" s="90">
        <v>1</v>
      </c>
      <c r="P330" s="90">
        <v>2</v>
      </c>
      <c r="Q330" s="90">
        <v>2</v>
      </c>
      <c r="S330" s="16">
        <f t="shared" si="120"/>
        <v>0</v>
      </c>
      <c r="T330" s="16">
        <f t="shared" si="121"/>
        <v>0</v>
      </c>
      <c r="U330" s="16">
        <f t="shared" si="122"/>
        <v>0</v>
      </c>
      <c r="V330" s="16">
        <f t="shared" si="123"/>
        <v>0</v>
      </c>
      <c r="W330" s="16">
        <f t="shared" si="124"/>
        <v>0</v>
      </c>
      <c r="X330" s="16">
        <f t="shared" si="125"/>
        <v>0</v>
      </c>
      <c r="Y330" s="16"/>
      <c r="Z330" s="16">
        <f t="shared" si="126"/>
        <v>0</v>
      </c>
      <c r="AB330" s="16" t="s">
        <v>419</v>
      </c>
      <c r="AC330" s="16" t="s">
        <v>420</v>
      </c>
      <c r="AD330" s="16" t="s">
        <v>393</v>
      </c>
      <c r="AG330" s="21" t="s">
        <v>394</v>
      </c>
    </row>
    <row r="331" spans="1:33">
      <c r="A331" s="2" t="str">
        <f>'Reference Score Calculation'!A322</f>
        <v>JS7302</v>
      </c>
      <c r="B331" s="346" t="str">
        <f>'Reference Score Calculation'!B322</f>
        <v>JS7302</v>
      </c>
      <c r="C331" s="2" t="str">
        <f>'Reference Score Calculation'!E322</f>
        <v>社會科學(榮譽)學士 - 政府與國際事務學</v>
      </c>
      <c r="D331" s="16">
        <f>'Reference Score Calculation'!U322</f>
        <v>14</v>
      </c>
      <c r="E331" s="16">
        <v>3</v>
      </c>
      <c r="F331" s="16">
        <v>3</v>
      </c>
      <c r="G331" s="16">
        <v>2</v>
      </c>
      <c r="H331" s="16">
        <v>2</v>
      </c>
      <c r="I331" s="16">
        <v>2</v>
      </c>
      <c r="L331" s="90">
        <v>3</v>
      </c>
      <c r="M331" s="90">
        <v>3</v>
      </c>
      <c r="N331" s="90">
        <v>2</v>
      </c>
      <c r="O331" s="90">
        <v>1</v>
      </c>
      <c r="P331" s="90">
        <v>2</v>
      </c>
      <c r="Q331" s="90">
        <v>2</v>
      </c>
      <c r="S331" s="16">
        <f t="shared" si="120"/>
        <v>0</v>
      </c>
      <c r="T331" s="16">
        <f t="shared" si="121"/>
        <v>0</v>
      </c>
      <c r="U331" s="16">
        <f t="shared" si="122"/>
        <v>0</v>
      </c>
      <c r="V331" s="16">
        <f t="shared" si="123"/>
        <v>0</v>
      </c>
      <c r="W331" s="16">
        <f t="shared" si="124"/>
        <v>0</v>
      </c>
      <c r="X331" s="16">
        <f t="shared" si="125"/>
        <v>0</v>
      </c>
      <c r="Y331" s="16"/>
      <c r="Z331" s="16">
        <f t="shared" si="126"/>
        <v>0</v>
      </c>
      <c r="AB331" s="16" t="s">
        <v>419</v>
      </c>
      <c r="AC331" s="16" t="s">
        <v>420</v>
      </c>
      <c r="AD331" s="16" t="s">
        <v>393</v>
      </c>
      <c r="AG331" s="21" t="s">
        <v>394</v>
      </c>
    </row>
    <row r="332" spans="1:33">
      <c r="A332" s="2" t="str">
        <f>'Reference Score Calculation'!A323</f>
        <v>JS7303</v>
      </c>
      <c r="B332" s="346" t="str">
        <f>'Reference Score Calculation'!B323</f>
        <v>JS7303</v>
      </c>
      <c r="C332" s="2" t="str">
        <f>'Reference Score Calculation'!E323</f>
        <v>社會科學(榮譽)學士 - 心理學</v>
      </c>
      <c r="D332" s="16">
        <f>'Reference Score Calculation'!U323</f>
        <v>20</v>
      </c>
      <c r="E332" s="16">
        <v>3</v>
      </c>
      <c r="F332" s="16">
        <v>3</v>
      </c>
      <c r="G332" s="16">
        <v>2</v>
      </c>
      <c r="H332" s="16">
        <v>2</v>
      </c>
      <c r="I332" s="16">
        <v>2</v>
      </c>
      <c r="L332" s="90">
        <v>3</v>
      </c>
      <c r="M332" s="90">
        <v>3</v>
      </c>
      <c r="N332" s="90">
        <v>2</v>
      </c>
      <c r="O332" s="90">
        <v>1</v>
      </c>
      <c r="P332" s="90">
        <v>2</v>
      </c>
      <c r="Q332" s="90">
        <v>2</v>
      </c>
      <c r="S332" s="16">
        <f t="shared" si="120"/>
        <v>0</v>
      </c>
      <c r="T332" s="16">
        <f t="shared" si="121"/>
        <v>0</v>
      </c>
      <c r="U332" s="16">
        <f t="shared" si="122"/>
        <v>0</v>
      </c>
      <c r="V332" s="16">
        <f t="shared" si="123"/>
        <v>0</v>
      </c>
      <c r="W332" s="16">
        <f t="shared" si="124"/>
        <v>0</v>
      </c>
      <c r="X332" s="16">
        <f t="shared" si="125"/>
        <v>0</v>
      </c>
      <c r="Y332" s="16"/>
      <c r="Z332" s="16">
        <f t="shared" si="126"/>
        <v>0</v>
      </c>
      <c r="AB332" s="16" t="s">
        <v>419</v>
      </c>
      <c r="AC332" s="16" t="s">
        <v>420</v>
      </c>
      <c r="AD332" s="16" t="s">
        <v>393</v>
      </c>
      <c r="AG332" s="21" t="s">
        <v>394</v>
      </c>
    </row>
    <row r="333" spans="1:33">
      <c r="A333" s="2" t="str">
        <f>'Reference Score Calculation'!A324</f>
        <v>JS7304</v>
      </c>
      <c r="B333" s="346" t="str">
        <f>'Reference Score Calculation'!B324</f>
        <v>JS7304</v>
      </c>
      <c r="C333" s="2" t="str">
        <f>'Reference Score Calculation'!E324</f>
        <v>社會科學(榮譽)學士 - 社會學</v>
      </c>
      <c r="D333" s="16">
        <f>'Reference Score Calculation'!U324</f>
        <v>18</v>
      </c>
      <c r="E333" s="16">
        <v>3</v>
      </c>
      <c r="F333" s="16">
        <v>3</v>
      </c>
      <c r="G333" s="16">
        <v>2</v>
      </c>
      <c r="H333" s="16">
        <v>2</v>
      </c>
      <c r="I333" s="16">
        <v>2</v>
      </c>
      <c r="L333" s="90">
        <v>3</v>
      </c>
      <c r="M333" s="90">
        <v>3</v>
      </c>
      <c r="N333" s="90">
        <v>2</v>
      </c>
      <c r="O333" s="90">
        <v>1</v>
      </c>
      <c r="P333" s="90">
        <v>2</v>
      </c>
      <c r="Q333" s="90">
        <v>2</v>
      </c>
      <c r="S333" s="16">
        <f t="shared" si="120"/>
        <v>0</v>
      </c>
      <c r="T333" s="16">
        <f t="shared" si="121"/>
        <v>0</v>
      </c>
      <c r="U333" s="16">
        <f t="shared" si="122"/>
        <v>0</v>
      </c>
      <c r="V333" s="16">
        <f t="shared" si="123"/>
        <v>0</v>
      </c>
      <c r="W333" s="16">
        <f t="shared" si="124"/>
        <v>0</v>
      </c>
      <c r="X333" s="16">
        <f t="shared" si="125"/>
        <v>0</v>
      </c>
      <c r="Y333" s="16"/>
      <c r="Z333" s="16">
        <f t="shared" si="126"/>
        <v>0</v>
      </c>
      <c r="AB333" s="16" t="s">
        <v>419</v>
      </c>
      <c r="AC333" s="16" t="s">
        <v>420</v>
      </c>
      <c r="AD333" s="16" t="s">
        <v>393</v>
      </c>
      <c r="AG333" s="21" t="s">
        <v>394</v>
      </c>
    </row>
    <row r="334" spans="1:33">
      <c r="A334" s="2" t="str">
        <f>'Reference Score Calculation'!A325</f>
        <v>JS7305</v>
      </c>
      <c r="B334" s="346" t="str">
        <f>'Reference Score Calculation'!B325</f>
        <v>JS7305</v>
      </c>
      <c r="C334" s="2" t="str">
        <f>'Reference Score Calculation'!E325</f>
        <v>社會科學(榮譽)學士 - 健康及社會服務管理</v>
      </c>
      <c r="D334" s="16">
        <f>'Reference Score Calculation'!U325</f>
        <v>8</v>
      </c>
      <c r="E334" s="16">
        <v>3</v>
      </c>
      <c r="F334" s="16">
        <v>3</v>
      </c>
      <c r="G334" s="16">
        <v>2</v>
      </c>
      <c r="H334" s="16">
        <v>2</v>
      </c>
      <c r="I334" s="16">
        <v>2</v>
      </c>
      <c r="L334" s="90">
        <v>3</v>
      </c>
      <c r="M334" s="90">
        <v>3</v>
      </c>
      <c r="N334" s="90">
        <v>2</v>
      </c>
      <c r="O334" s="90">
        <v>1</v>
      </c>
      <c r="P334" s="90">
        <v>2</v>
      </c>
      <c r="Q334" s="90">
        <v>2</v>
      </c>
      <c r="S334" s="16">
        <f t="shared" si="120"/>
        <v>0</v>
      </c>
      <c r="T334" s="16">
        <f t="shared" si="121"/>
        <v>0</v>
      </c>
      <c r="U334" s="16">
        <f t="shared" si="122"/>
        <v>0</v>
      </c>
      <c r="V334" s="16">
        <f t="shared" si="123"/>
        <v>0</v>
      </c>
      <c r="W334" s="16">
        <f t="shared" si="124"/>
        <v>0</v>
      </c>
      <c r="X334" s="16">
        <f t="shared" si="125"/>
        <v>0</v>
      </c>
      <c r="Y334" s="16"/>
      <c r="Z334" s="16">
        <f t="shared" si="126"/>
        <v>0</v>
      </c>
      <c r="AB334" s="16" t="s">
        <v>419</v>
      </c>
      <c r="AC334" s="16" t="s">
        <v>420</v>
      </c>
      <c r="AD334" s="16" t="s">
        <v>393</v>
      </c>
      <c r="AG334" s="21" t="s">
        <v>394</v>
      </c>
    </row>
    <row r="335" spans="1:33">
      <c r="A335" s="2" t="str">
        <f>'Reference Score Calculation'!A326</f>
        <v>JS7306</v>
      </c>
      <c r="B335" s="346" t="str">
        <f>'Reference Score Calculation'!B326</f>
        <v>JS7306</v>
      </c>
      <c r="C335" s="2" t="str">
        <f>'Reference Score Calculation'!E326</f>
        <v>社會科學(榮譽)學士 - 社會與公共政策研究</v>
      </c>
      <c r="D335" s="16">
        <f>'Reference Score Calculation'!U326</f>
        <v>16</v>
      </c>
      <c r="E335" s="16">
        <v>3</v>
      </c>
      <c r="F335" s="16">
        <v>3</v>
      </c>
      <c r="G335" s="16">
        <v>2</v>
      </c>
      <c r="H335" s="16">
        <v>2</v>
      </c>
      <c r="I335" s="16">
        <v>2</v>
      </c>
      <c r="L335" s="90">
        <v>3</v>
      </c>
      <c r="M335" s="90">
        <v>3</v>
      </c>
      <c r="N335" s="90">
        <v>2</v>
      </c>
      <c r="O335" s="90">
        <v>1</v>
      </c>
      <c r="P335" s="90">
        <v>2</v>
      </c>
      <c r="Q335" s="90">
        <v>2</v>
      </c>
      <c r="S335" s="16">
        <f t="shared" si="120"/>
        <v>0</v>
      </c>
      <c r="T335" s="16">
        <f t="shared" si="121"/>
        <v>0</v>
      </c>
      <c r="U335" s="16">
        <f t="shared" si="122"/>
        <v>0</v>
      </c>
      <c r="V335" s="16">
        <f t="shared" si="123"/>
        <v>0</v>
      </c>
      <c r="W335" s="16">
        <f t="shared" si="124"/>
        <v>0</v>
      </c>
      <c r="X335" s="16">
        <f t="shared" si="125"/>
        <v>0</v>
      </c>
      <c r="Y335" s="16"/>
      <c r="Z335" s="16">
        <f t="shared" si="126"/>
        <v>0</v>
      </c>
      <c r="AB335" s="16" t="s">
        <v>419</v>
      </c>
      <c r="AC335" s="16" t="s">
        <v>420</v>
      </c>
      <c r="AD335" s="16" t="s">
        <v>393</v>
      </c>
      <c r="AG335" s="21" t="s">
        <v>394</v>
      </c>
    </row>
    <row r="336" spans="1:33">
      <c r="A336" s="2" t="str">
        <f>'Reference Score Calculation'!A327</f>
        <v>JS7307</v>
      </c>
      <c r="B336" s="346" t="str">
        <f>'Reference Score Calculation'!B327</f>
        <v>JS7307</v>
      </c>
      <c r="C336" s="2" t="str">
        <f>'Reference Score Calculation'!E327</f>
        <v>社會科學(榮譽)學士 - 社會數據科學</v>
      </c>
      <c r="L336" s="90">
        <v>3</v>
      </c>
      <c r="M336" s="90">
        <v>3</v>
      </c>
      <c r="N336" s="90">
        <v>2</v>
      </c>
      <c r="O336" s="90">
        <v>1</v>
      </c>
      <c r="P336" s="90">
        <v>2</v>
      </c>
      <c r="Q336" s="90">
        <v>2</v>
      </c>
      <c r="S336" s="16">
        <f t="shared" si="120"/>
        <v>0</v>
      </c>
      <c r="T336" s="16">
        <f t="shared" si="121"/>
        <v>0</v>
      </c>
      <c r="U336" s="16">
        <f t="shared" si="122"/>
        <v>0</v>
      </c>
      <c r="V336" s="16">
        <f t="shared" si="123"/>
        <v>0</v>
      </c>
      <c r="W336" s="16">
        <f t="shared" si="124"/>
        <v>0</v>
      </c>
      <c r="X336" s="16">
        <f t="shared" si="125"/>
        <v>0</v>
      </c>
      <c r="Y336" s="16"/>
      <c r="Z336" s="16">
        <f t="shared" si="126"/>
        <v>0</v>
      </c>
      <c r="AB336" s="16" t="s">
        <v>419</v>
      </c>
      <c r="AC336" s="16" t="s">
        <v>420</v>
      </c>
      <c r="AD336" s="16" t="s">
        <v>393</v>
      </c>
      <c r="AG336" s="21" t="s">
        <v>394</v>
      </c>
    </row>
    <row r="337" spans="1:44">
      <c r="A337" s="2" t="str">
        <f>'Reference Score Calculation'!A328</f>
        <v>JS7503</v>
      </c>
      <c r="B337" s="346" t="str">
        <f>'Reference Score Calculation'!B328</f>
        <v>JS7503</v>
      </c>
      <c r="C337" s="2" t="str">
        <f>'Reference Score Calculation'!E328</f>
        <v>英語語言文學課程(榮譽)文學士</v>
      </c>
      <c r="D337" s="16">
        <f>'Reference Score Calculation'!U328</f>
        <v>20</v>
      </c>
      <c r="E337" s="16">
        <v>3</v>
      </c>
      <c r="F337" s="16">
        <v>3</v>
      </c>
      <c r="G337" s="16">
        <v>2</v>
      </c>
      <c r="H337" s="16">
        <v>2</v>
      </c>
      <c r="I337" s="16">
        <v>2</v>
      </c>
      <c r="L337" s="90">
        <v>3</v>
      </c>
      <c r="M337" s="90">
        <v>3</v>
      </c>
      <c r="N337" s="90">
        <v>2</v>
      </c>
      <c r="O337" s="90">
        <v>1</v>
      </c>
      <c r="P337" s="90">
        <v>2</v>
      </c>
      <c r="Q337" s="90">
        <v>2</v>
      </c>
      <c r="S337" s="16">
        <f t="shared" si="120"/>
        <v>0</v>
      </c>
      <c r="T337" s="16">
        <f t="shared" si="121"/>
        <v>0</v>
      </c>
      <c r="U337" s="16">
        <f t="shared" si="122"/>
        <v>0</v>
      </c>
      <c r="V337" s="16">
        <f t="shared" si="123"/>
        <v>0</v>
      </c>
      <c r="W337" s="16">
        <f t="shared" si="124"/>
        <v>0</v>
      </c>
      <c r="X337" s="16">
        <f t="shared" si="125"/>
        <v>0</v>
      </c>
      <c r="Y337" s="16"/>
      <c r="Z337" s="16">
        <f t="shared" si="126"/>
        <v>0</v>
      </c>
      <c r="AB337" s="16" t="s">
        <v>419</v>
      </c>
      <c r="AC337" s="16" t="s">
        <v>420</v>
      </c>
      <c r="AD337" s="16" t="s">
        <v>393</v>
      </c>
      <c r="AG337" s="21" t="s">
        <v>394</v>
      </c>
    </row>
    <row r="338" spans="1:44">
      <c r="A338" s="2" t="str">
        <f>'Reference Score Calculation'!A329</f>
        <v>JS7606</v>
      </c>
      <c r="B338" s="346" t="str">
        <f>'Reference Score Calculation'!B329</f>
        <v>JS7606</v>
      </c>
      <c r="C338" s="2" t="str">
        <f>'Reference Score Calculation'!E329</f>
        <v>文化研究(榮譽)文學士</v>
      </c>
      <c r="D338" s="16">
        <f>'Reference Score Calculation'!U329</f>
        <v>28</v>
      </c>
      <c r="E338" s="16">
        <v>3</v>
      </c>
      <c r="F338" s="16">
        <v>3</v>
      </c>
      <c r="G338" s="16">
        <v>2</v>
      </c>
      <c r="H338" s="16">
        <v>2</v>
      </c>
      <c r="I338" s="16">
        <v>2</v>
      </c>
      <c r="L338" s="90">
        <v>3</v>
      </c>
      <c r="M338" s="90">
        <v>3</v>
      </c>
      <c r="N338" s="90">
        <v>2</v>
      </c>
      <c r="O338" s="90">
        <v>1</v>
      </c>
      <c r="P338" s="90">
        <v>2</v>
      </c>
      <c r="Q338" s="90">
        <v>2</v>
      </c>
      <c r="S338" s="16">
        <f t="shared" si="120"/>
        <v>0</v>
      </c>
      <c r="T338" s="16">
        <f t="shared" si="121"/>
        <v>0</v>
      </c>
      <c r="U338" s="16">
        <f t="shared" si="122"/>
        <v>0</v>
      </c>
      <c r="V338" s="16">
        <f t="shared" si="123"/>
        <v>0</v>
      </c>
      <c r="W338" s="16">
        <f t="shared" si="124"/>
        <v>0</v>
      </c>
      <c r="X338" s="16">
        <f t="shared" si="125"/>
        <v>0</v>
      </c>
      <c r="Y338" s="16"/>
      <c r="Z338" s="16">
        <f t="shared" si="126"/>
        <v>0</v>
      </c>
      <c r="AB338" s="16" t="s">
        <v>419</v>
      </c>
      <c r="AC338" s="16" t="s">
        <v>420</v>
      </c>
      <c r="AD338" s="16" t="s">
        <v>393</v>
      </c>
      <c r="AG338" s="21" t="s">
        <v>394</v>
      </c>
    </row>
    <row r="339" spans="1:44">
      <c r="A339" s="2" t="str">
        <f>'Reference Score Calculation'!A330</f>
        <v>JS7709</v>
      </c>
      <c r="B339" s="346" t="str">
        <f>'Reference Score Calculation'!B330</f>
        <v>JS7709</v>
      </c>
      <c r="C339" s="2" t="str">
        <f>'Reference Score Calculation'!E330</f>
        <v>歷史(榮譽)文學士</v>
      </c>
      <c r="D339" s="16">
        <f>'Reference Score Calculation'!U330</f>
        <v>29</v>
      </c>
      <c r="E339" s="16">
        <v>3</v>
      </c>
      <c r="F339" s="16">
        <v>3</v>
      </c>
      <c r="G339" s="16">
        <v>2</v>
      </c>
      <c r="H339" s="16">
        <v>2</v>
      </c>
      <c r="I339" s="16">
        <v>2</v>
      </c>
      <c r="L339" s="90">
        <v>3</v>
      </c>
      <c r="M339" s="90">
        <v>3</v>
      </c>
      <c r="N339" s="90">
        <v>2</v>
      </c>
      <c r="O339" s="90">
        <v>1</v>
      </c>
      <c r="P339" s="90">
        <v>2</v>
      </c>
      <c r="Q339" s="90">
        <v>2</v>
      </c>
      <c r="S339" s="16">
        <f t="shared" si="120"/>
        <v>0</v>
      </c>
      <c r="T339" s="16">
        <f t="shared" si="121"/>
        <v>0</v>
      </c>
      <c r="U339" s="16">
        <f t="shared" si="122"/>
        <v>0</v>
      </c>
      <c r="V339" s="16">
        <f t="shared" si="123"/>
        <v>0</v>
      </c>
      <c r="W339" s="16">
        <f t="shared" si="124"/>
        <v>0</v>
      </c>
      <c r="X339" s="16">
        <f t="shared" si="125"/>
        <v>0</v>
      </c>
      <c r="Y339" s="16"/>
      <c r="Z339" s="16">
        <f t="shared" si="126"/>
        <v>0</v>
      </c>
      <c r="AB339" s="16" t="s">
        <v>419</v>
      </c>
      <c r="AC339" s="16" t="s">
        <v>420</v>
      </c>
      <c r="AD339" s="16" t="s">
        <v>393</v>
      </c>
      <c r="AG339" s="21" t="s">
        <v>394</v>
      </c>
    </row>
    <row r="340" spans="1:44">
      <c r="A340" s="2" t="str">
        <f>'Reference Score Calculation'!A331</f>
        <v>JS7802</v>
      </c>
      <c r="B340" s="346" t="str">
        <f>'Reference Score Calculation'!B331</f>
        <v>JS7802</v>
      </c>
      <c r="C340" s="2" t="str">
        <f>'Reference Score Calculation'!E331</f>
        <v>哲學(榮譽)文學士</v>
      </c>
      <c r="D340" s="16">
        <f>'Reference Score Calculation'!U331</f>
        <v>25</v>
      </c>
      <c r="E340" s="16">
        <v>3</v>
      </c>
      <c r="F340" s="16">
        <v>3</v>
      </c>
      <c r="G340" s="16">
        <v>2</v>
      </c>
      <c r="H340" s="16">
        <v>2</v>
      </c>
      <c r="I340" s="16">
        <v>2</v>
      </c>
      <c r="L340" s="90">
        <v>3</v>
      </c>
      <c r="M340" s="90">
        <v>3</v>
      </c>
      <c r="N340" s="90">
        <v>2</v>
      </c>
      <c r="O340" s="90">
        <v>1</v>
      </c>
      <c r="P340" s="90">
        <v>2</v>
      </c>
      <c r="Q340" s="90">
        <v>2</v>
      </c>
      <c r="S340" s="16">
        <f t="shared" si="120"/>
        <v>0</v>
      </c>
      <c r="T340" s="16">
        <f t="shared" si="121"/>
        <v>0</v>
      </c>
      <c r="U340" s="16">
        <f t="shared" si="122"/>
        <v>0</v>
      </c>
      <c r="V340" s="16">
        <f t="shared" si="123"/>
        <v>0</v>
      </c>
      <c r="W340" s="16">
        <f t="shared" si="124"/>
        <v>0</v>
      </c>
      <c r="X340" s="16">
        <f t="shared" si="125"/>
        <v>0</v>
      </c>
      <c r="Y340" s="16"/>
      <c r="Z340" s="16">
        <f t="shared" si="126"/>
        <v>0</v>
      </c>
      <c r="AB340" s="16" t="s">
        <v>419</v>
      </c>
      <c r="AC340" s="16" t="s">
        <v>420</v>
      </c>
      <c r="AD340" s="16" t="s">
        <v>393</v>
      </c>
      <c r="AG340" s="21" t="s">
        <v>394</v>
      </c>
    </row>
    <row r="341" spans="1:44">
      <c r="A341" s="2" t="str">
        <f>'Reference Score Calculation'!A332</f>
        <v>JS7905</v>
      </c>
      <c r="B341" s="346" t="str">
        <f>'Reference Score Calculation'!B332</f>
        <v>JS7905</v>
      </c>
      <c r="C341" s="2" t="str">
        <f>'Reference Score Calculation'!E332</f>
        <v>電影與視覺藝術(榮譽)文學士</v>
      </c>
      <c r="D341" s="16">
        <f>'Reference Score Calculation'!U332</f>
        <v>20</v>
      </c>
      <c r="E341" s="16">
        <v>3</v>
      </c>
      <c r="F341" s="16">
        <v>3</v>
      </c>
      <c r="G341" s="16">
        <v>2</v>
      </c>
      <c r="H341" s="16">
        <v>2</v>
      </c>
      <c r="I341" s="16">
        <v>2</v>
      </c>
      <c r="L341" s="90">
        <v>3</v>
      </c>
      <c r="M341" s="90">
        <v>3</v>
      </c>
      <c r="N341" s="90">
        <v>2</v>
      </c>
      <c r="O341" s="90">
        <v>1</v>
      </c>
      <c r="P341" s="90">
        <v>2</v>
      </c>
      <c r="Q341" s="90">
        <v>2</v>
      </c>
      <c r="S341" s="16">
        <f t="shared" si="120"/>
        <v>0</v>
      </c>
      <c r="T341" s="16">
        <f t="shared" si="121"/>
        <v>0</v>
      </c>
      <c r="U341" s="16">
        <f t="shared" si="122"/>
        <v>0</v>
      </c>
      <c r="V341" s="16">
        <f t="shared" si="123"/>
        <v>0</v>
      </c>
      <c r="W341" s="16">
        <f t="shared" si="124"/>
        <v>0</v>
      </c>
      <c r="X341" s="16">
        <f t="shared" si="125"/>
        <v>0</v>
      </c>
      <c r="Y341" s="16"/>
      <c r="Z341" s="16">
        <f t="shared" si="126"/>
        <v>0</v>
      </c>
      <c r="AB341" s="16" t="s">
        <v>419</v>
      </c>
      <c r="AC341" s="16" t="s">
        <v>420</v>
      </c>
      <c r="AD341" s="16" t="s">
        <v>393</v>
      </c>
      <c r="AG341" s="21" t="s">
        <v>394</v>
      </c>
    </row>
    <row r="342" spans="1:44">
      <c r="A342" s="2">
        <f>'Reference Score Calculation'!A333</f>
        <v>0</v>
      </c>
      <c r="B342" s="425" t="s">
        <v>233</v>
      </c>
      <c r="C342" s="425" t="s">
        <v>3245</v>
      </c>
      <c r="L342" s="90"/>
      <c r="M342" s="90"/>
      <c r="N342" s="90"/>
      <c r="O342" s="90"/>
      <c r="P342" s="90"/>
      <c r="Q342" s="90"/>
      <c r="AH342" s="21" t="s">
        <v>394</v>
      </c>
      <c r="AI342" s="121" t="s">
        <v>575</v>
      </c>
      <c r="AJ342" s="121" t="s">
        <v>390</v>
      </c>
      <c r="AK342" s="102"/>
      <c r="AL342" s="115"/>
      <c r="AM342" s="115"/>
      <c r="AN342" s="115"/>
      <c r="AO342" s="115"/>
      <c r="AP342" s="115"/>
      <c r="AQ342" s="115"/>
      <c r="AR342" s="115"/>
    </row>
    <row r="343" spans="1:44">
      <c r="A343" s="2">
        <f>'Reference Score Calculation'!A334</f>
        <v>0</v>
      </c>
      <c r="B343" s="424" t="s">
        <v>104</v>
      </c>
      <c r="C343" s="11" t="s">
        <v>106</v>
      </c>
      <c r="D343" s="19" t="s">
        <v>36</v>
      </c>
      <c r="E343" s="19"/>
      <c r="F343" s="19"/>
      <c r="G343" s="19"/>
      <c r="H343" s="19"/>
      <c r="I343" s="19"/>
      <c r="J343" s="19"/>
      <c r="K343" s="19"/>
      <c r="L343" s="92" t="s">
        <v>2490</v>
      </c>
      <c r="M343" s="92" t="s">
        <v>2491</v>
      </c>
      <c r="N343" s="92" t="s">
        <v>2492</v>
      </c>
      <c r="O343" s="92" t="s">
        <v>2493</v>
      </c>
      <c r="P343" s="92" t="s">
        <v>2058</v>
      </c>
      <c r="Q343" s="408" t="s">
        <v>2059</v>
      </c>
      <c r="R343" s="16"/>
      <c r="S343" s="92" t="s">
        <v>2490</v>
      </c>
      <c r="T343" s="92" t="s">
        <v>2491</v>
      </c>
      <c r="U343" s="92" t="s">
        <v>2492</v>
      </c>
      <c r="V343" s="92" t="s">
        <v>2493</v>
      </c>
      <c r="W343" s="92" t="s">
        <v>2058</v>
      </c>
      <c r="X343" s="408" t="s">
        <v>2059</v>
      </c>
      <c r="AB343" s="19" t="s">
        <v>267</v>
      </c>
      <c r="AC343" s="19" t="s">
        <v>268</v>
      </c>
      <c r="AD343" s="19" t="s">
        <v>269</v>
      </c>
      <c r="AH343" s="21" t="s">
        <v>394</v>
      </c>
      <c r="AI343" s="116"/>
      <c r="AJ343" s="116"/>
      <c r="AK343" s="116"/>
      <c r="AL343" s="116"/>
      <c r="AM343" s="116"/>
      <c r="AN343" s="116"/>
      <c r="AO343" s="116"/>
      <c r="AP343" s="102"/>
      <c r="AQ343" s="102"/>
      <c r="AR343" s="102"/>
    </row>
    <row r="344" spans="1:44">
      <c r="A344" s="2" t="str">
        <f>'Reference Score Calculation'!A335</f>
        <v>JS8003</v>
      </c>
      <c r="B344" s="346" t="str">
        <f>'Reference Score Calculation'!B335</f>
        <v>JS8003</v>
      </c>
      <c r="C344" s="2" t="str">
        <f>'Reference Score Calculation'!E335</f>
        <v>數碼中國文化與傳意榮譽文學士及中文教育榮譽學士</v>
      </c>
      <c r="D344" s="16">
        <f>'Reference Score Calculation'!U335</f>
        <v>64</v>
      </c>
      <c r="E344" s="16">
        <v>3</v>
      </c>
      <c r="F344" s="16">
        <v>3</v>
      </c>
      <c r="G344" s="16">
        <v>2</v>
      </c>
      <c r="H344" s="16">
        <v>2</v>
      </c>
      <c r="I344" s="16">
        <v>2</v>
      </c>
      <c r="L344" s="90">
        <v>3</v>
      </c>
      <c r="M344" s="90">
        <v>3</v>
      </c>
      <c r="N344" s="90">
        <v>2</v>
      </c>
      <c r="O344" s="90">
        <v>1</v>
      </c>
      <c r="P344" s="90">
        <v>2</v>
      </c>
      <c r="Q344" s="90">
        <v>2</v>
      </c>
      <c r="S344" s="16">
        <f t="shared" ref="S344:S354" si="127">IF(L344&gt;L$3,0,1)</f>
        <v>0</v>
      </c>
      <c r="T344" s="16">
        <f t="shared" ref="T344:T354" si="128">IF(M344&gt;M$3,0,1)</f>
        <v>0</v>
      </c>
      <c r="U344" s="16">
        <f t="shared" ref="U344:U354" si="129">IF(N344&gt;N$3,0,1)</f>
        <v>0</v>
      </c>
      <c r="V344" s="16">
        <f t="shared" ref="V344:V354" si="130">IF(O344&gt;O$3,0,1)</f>
        <v>0</v>
      </c>
      <c r="W344" s="16">
        <f>IF(P344&gt;LARGE($P$3:$U$3,1),0,1)</f>
        <v>0</v>
      </c>
      <c r="X344" s="16">
        <f>IF(Q344&gt;LARGE($P$3:$U$3,2),0,1)</f>
        <v>0</v>
      </c>
      <c r="Z344" s="16">
        <f>S344*T344*U344*V344*W344*X344</f>
        <v>0</v>
      </c>
      <c r="AB344" s="16" t="s">
        <v>391</v>
      </c>
      <c r="AC344" s="16" t="s">
        <v>420</v>
      </c>
      <c r="AD344" s="16" t="s">
        <v>391</v>
      </c>
      <c r="AF344" s="434" t="s">
        <v>577</v>
      </c>
      <c r="AG344" s="400" t="s">
        <v>324</v>
      </c>
      <c r="AH344" s="400" t="s">
        <v>394</v>
      </c>
      <c r="AI344" s="116"/>
      <c r="AJ344" s="116" t="str">
        <f>Q$2</f>
        <v>請選擇第一選修科</v>
      </c>
      <c r="AK344" s="116" t="str">
        <f>R$2</f>
        <v>請選擇第二選修科</v>
      </c>
      <c r="AL344" s="116" t="str">
        <f>S$2</f>
        <v>請選擇第三選修科</v>
      </c>
      <c r="AM344" s="116" t="str">
        <f>T$2</f>
        <v>請選擇第四選修科</v>
      </c>
      <c r="AN344" s="116"/>
      <c r="AO344" s="116"/>
      <c r="AP344" s="116" t="s">
        <v>466</v>
      </c>
      <c r="AQ344" s="116"/>
      <c r="AR344" s="102"/>
    </row>
    <row r="345" spans="1:44">
      <c r="A345" s="2" t="str">
        <f>'Reference Score Calculation'!A336</f>
        <v>JS8004</v>
      </c>
      <c r="B345" s="346" t="str">
        <f>'Reference Score Calculation'!B336</f>
        <v>JS8004</v>
      </c>
      <c r="C345" s="2" t="str">
        <f>'Reference Score Calculation'!E336</f>
        <v>英語研究及數碼傳訊榮譽文學士及英文教育榮譽學士</v>
      </c>
      <c r="D345" s="16">
        <f>'Reference Score Calculation'!U336</f>
        <v>33</v>
      </c>
      <c r="E345" s="16">
        <v>3</v>
      </c>
      <c r="F345" s="16">
        <v>3</v>
      </c>
      <c r="G345" s="16">
        <v>2</v>
      </c>
      <c r="H345" s="16">
        <v>2</v>
      </c>
      <c r="I345" s="16">
        <v>2</v>
      </c>
      <c r="L345" s="90">
        <v>3</v>
      </c>
      <c r="M345" s="90">
        <v>3</v>
      </c>
      <c r="N345" s="90">
        <v>2</v>
      </c>
      <c r="O345" s="90">
        <v>1</v>
      </c>
      <c r="P345" s="90">
        <v>2</v>
      </c>
      <c r="Q345" s="90">
        <v>2</v>
      </c>
      <c r="S345" s="16">
        <f t="shared" si="127"/>
        <v>0</v>
      </c>
      <c r="T345" s="16">
        <f t="shared" si="128"/>
        <v>0</v>
      </c>
      <c r="U345" s="16">
        <f t="shared" si="129"/>
        <v>0</v>
      </c>
      <c r="V345" s="16">
        <f t="shared" si="130"/>
        <v>0</v>
      </c>
      <c r="W345" s="16">
        <f>IF(P345&gt;LARGE($P$3:$U$3,1),0,1)</f>
        <v>0</v>
      </c>
      <c r="X345" s="16">
        <f t="shared" ref="X345:X362" si="131">IF(Q345&gt;LARGE($P$3:$U$3,2),0,1)</f>
        <v>0</v>
      </c>
      <c r="Z345" s="16">
        <f>S345*T345*U345*V345*W345*X345</f>
        <v>0</v>
      </c>
      <c r="AB345" s="16" t="s">
        <v>391</v>
      </c>
      <c r="AC345" s="16" t="s">
        <v>420</v>
      </c>
      <c r="AD345" s="16" t="s">
        <v>391</v>
      </c>
      <c r="AF345" s="434" t="s">
        <v>3231</v>
      </c>
      <c r="AG345" s="400" t="s">
        <v>324</v>
      </c>
      <c r="AH345" s="400" t="s">
        <v>394</v>
      </c>
      <c r="AI345" s="116" t="s">
        <v>2679</v>
      </c>
      <c r="AJ345" s="117">
        <f>IF(OR(Q$2="物理",Q$2="化學",Q$2="生物",Q$2="資訊及通訊科技"),Q$3,0)</f>
        <v>0</v>
      </c>
      <c r="AK345" s="117">
        <f t="shared" ref="AK345:AM345" si="132">IF(OR(R$2="物理",R$2="化學",R$2="生物",R$2="資訊及通訊科技"),R$3,0)</f>
        <v>0</v>
      </c>
      <c r="AL345" s="117">
        <f t="shared" si="132"/>
        <v>0</v>
      </c>
      <c r="AM345" s="117">
        <f t="shared" si="132"/>
        <v>0</v>
      </c>
      <c r="AN345" s="116"/>
      <c r="AO345" s="116"/>
      <c r="AP345" s="117" t="str">
        <f>IF(AQ345&gt;0.1,INDEX(AJ344:AM344,MATCH(LARGE(AJ345:AM345,1),AJ345:AM345,0)),"無")</f>
        <v>無</v>
      </c>
      <c r="AQ345" s="117">
        <f>LARGE((AJ345:AM345),1)</f>
        <v>0</v>
      </c>
      <c r="AR345" s="102"/>
    </row>
    <row r="346" spans="1:44">
      <c r="A346" s="2" t="str">
        <f>'Reference Score Calculation'!A337</f>
        <v>JS8013</v>
      </c>
      <c r="B346" s="346" t="str">
        <f>'Reference Score Calculation'!B337</f>
        <v>JS8013</v>
      </c>
      <c r="C346" s="2" t="str">
        <f>'Reference Score Calculation'!E337</f>
        <v>社會學與社區研究榮譽社會科學學士及小學人文科教育榮譽學士</v>
      </c>
      <c r="D346" s="16">
        <f>'Reference Score Calculation'!U337</f>
        <v>20</v>
      </c>
      <c r="E346" s="16">
        <v>3</v>
      </c>
      <c r="F346" s="16">
        <v>3</v>
      </c>
      <c r="G346" s="16">
        <v>2</v>
      </c>
      <c r="H346" s="16">
        <v>2</v>
      </c>
      <c r="I346" s="16">
        <v>2</v>
      </c>
      <c r="L346" s="90">
        <v>3</v>
      </c>
      <c r="M346" s="90">
        <v>3</v>
      </c>
      <c r="N346" s="90">
        <v>2</v>
      </c>
      <c r="O346" s="90">
        <v>1</v>
      </c>
      <c r="P346" s="90">
        <v>2</v>
      </c>
      <c r="Q346" s="90">
        <v>2</v>
      </c>
      <c r="S346" s="16">
        <f t="shared" si="127"/>
        <v>0</v>
      </c>
      <c r="T346" s="16">
        <f t="shared" si="128"/>
        <v>0</v>
      </c>
      <c r="U346" s="16">
        <f t="shared" si="129"/>
        <v>0</v>
      </c>
      <c r="V346" s="16">
        <f t="shared" si="130"/>
        <v>0</v>
      </c>
      <c r="W346" s="16">
        <f>IF(P346&gt;LARGE($P$3:$U$3,1),0,1)</f>
        <v>0</v>
      </c>
      <c r="X346" s="16">
        <f t="shared" si="131"/>
        <v>0</v>
      </c>
      <c r="Z346" s="16">
        <f>S346*T346*U346*V346*W346*X346</f>
        <v>0</v>
      </c>
      <c r="AB346" s="16" t="s">
        <v>391</v>
      </c>
      <c r="AC346" s="16" t="s">
        <v>420</v>
      </c>
      <c r="AD346" s="16" t="s">
        <v>391</v>
      </c>
      <c r="AF346" s="434" t="s">
        <v>324</v>
      </c>
      <c r="AG346" s="434" t="s">
        <v>324</v>
      </c>
      <c r="AH346" s="400" t="s">
        <v>394</v>
      </c>
      <c r="AI346" s="116"/>
      <c r="AJ346" s="158" t="s">
        <v>3233</v>
      </c>
      <c r="AK346" s="116"/>
      <c r="AL346" s="116"/>
      <c r="AM346" s="116"/>
      <c r="AN346" s="116"/>
      <c r="AO346" s="116"/>
      <c r="AP346" s="116"/>
      <c r="AQ346" s="102"/>
      <c r="AR346" s="102"/>
    </row>
    <row r="347" spans="1:44">
      <c r="A347" s="2" t="str">
        <f>'Reference Score Calculation'!A338</f>
        <v>JS8009</v>
      </c>
      <c r="B347" s="346" t="str">
        <f>'Reference Score Calculation'!B338</f>
        <v>JS8009</v>
      </c>
      <c r="C347" s="2" t="str">
        <f>'Reference Score Calculation'!E338</f>
        <v>人工智能與教育科技榮譽理學士及小學數學教育榮譽學士</v>
      </c>
      <c r="D347" s="16">
        <f>'Reference Score Calculation'!U338</f>
        <v>44</v>
      </c>
      <c r="E347" s="16">
        <v>3</v>
      </c>
      <c r="F347" s="16">
        <v>3</v>
      </c>
      <c r="G347" s="16">
        <v>3</v>
      </c>
      <c r="H347" s="16">
        <v>2</v>
      </c>
      <c r="I347" s="16">
        <v>2</v>
      </c>
      <c r="L347" s="90">
        <v>3</v>
      </c>
      <c r="M347" s="90">
        <v>3</v>
      </c>
      <c r="N347" s="90">
        <v>3</v>
      </c>
      <c r="O347" s="90">
        <v>1</v>
      </c>
      <c r="P347" s="90">
        <v>2</v>
      </c>
      <c r="Q347" s="90">
        <v>2</v>
      </c>
      <c r="S347" s="16">
        <f t="shared" si="127"/>
        <v>0</v>
      </c>
      <c r="T347" s="16">
        <f t="shared" si="128"/>
        <v>0</v>
      </c>
      <c r="U347" s="16">
        <f t="shared" si="129"/>
        <v>0</v>
      </c>
      <c r="V347" s="16">
        <f t="shared" si="130"/>
        <v>0</v>
      </c>
      <c r="W347" s="16">
        <f>IF(P347&gt;AQ362,0,1)</f>
        <v>0</v>
      </c>
      <c r="X347" s="16">
        <f t="shared" si="131"/>
        <v>0</v>
      </c>
      <c r="Z347" s="16">
        <f>S347*T347*U347*V347*W347*X347</f>
        <v>0</v>
      </c>
      <c r="AB347" s="16" t="s">
        <v>391</v>
      </c>
      <c r="AC347" s="16" t="s">
        <v>420</v>
      </c>
      <c r="AD347" s="16" t="s">
        <v>391</v>
      </c>
      <c r="AF347" s="434" t="s">
        <v>3234</v>
      </c>
      <c r="AG347" s="434" t="s">
        <v>2515</v>
      </c>
      <c r="AH347" s="400" t="s">
        <v>394</v>
      </c>
      <c r="AI347" s="116"/>
      <c r="AJ347" s="116"/>
      <c r="AK347" s="116"/>
      <c r="AL347" s="116"/>
      <c r="AM347" s="116"/>
      <c r="AN347" s="116"/>
      <c r="AO347" s="116"/>
      <c r="AP347" s="102"/>
      <c r="AQ347" s="102"/>
      <c r="AR347" s="102"/>
    </row>
    <row r="348" spans="1:44">
      <c r="A348" s="2" t="str">
        <f>'Reference Score Calculation'!A339</f>
        <v>JS8010</v>
      </c>
      <c r="B348" s="346" t="str">
        <f>'Reference Score Calculation'!B339</f>
        <v>JS8010</v>
      </c>
      <c r="C348" s="2" t="str">
        <f>'Reference Score Calculation'!E339</f>
        <v>運動科學及教練榮譽理學士及體育教育榮譽學士</v>
      </c>
      <c r="D348" s="16">
        <f>'Reference Score Calculation'!U339</f>
        <v>25</v>
      </c>
      <c r="E348" s="16">
        <v>3</v>
      </c>
      <c r="F348" s="16">
        <v>3</v>
      </c>
      <c r="G348" s="16">
        <v>2</v>
      </c>
      <c r="H348" s="16">
        <v>2</v>
      </c>
      <c r="I348" s="16">
        <v>2</v>
      </c>
      <c r="L348" s="90">
        <v>3</v>
      </c>
      <c r="M348" s="90">
        <v>3</v>
      </c>
      <c r="N348" s="90">
        <v>2</v>
      </c>
      <c r="O348" s="90">
        <v>1</v>
      </c>
      <c r="P348" s="90">
        <v>2</v>
      </c>
      <c r="Q348" s="90">
        <v>2</v>
      </c>
      <c r="S348" s="16">
        <f t="shared" si="127"/>
        <v>0</v>
      </c>
      <c r="T348" s="16">
        <f t="shared" si="128"/>
        <v>0</v>
      </c>
      <c r="U348" s="16">
        <f t="shared" si="129"/>
        <v>0</v>
      </c>
      <c r="V348" s="16">
        <f t="shared" si="130"/>
        <v>0</v>
      </c>
      <c r="W348" s="16">
        <f>IF(P348&gt;LARGE($P$3:$U$3,1),0,1)</f>
        <v>0</v>
      </c>
      <c r="X348" s="16">
        <f t="shared" si="131"/>
        <v>0</v>
      </c>
      <c r="Z348" s="16">
        <f>IF(S348*T348*U348*V348*W348=0,0,2)</f>
        <v>0</v>
      </c>
      <c r="AB348" s="16" t="s">
        <v>391</v>
      </c>
      <c r="AC348" s="16" t="s">
        <v>420</v>
      </c>
      <c r="AD348" s="16" t="s">
        <v>391</v>
      </c>
      <c r="AF348" s="434" t="s">
        <v>2517</v>
      </c>
      <c r="AG348" s="434" t="s">
        <v>3237</v>
      </c>
      <c r="AH348" s="400" t="s">
        <v>394</v>
      </c>
      <c r="AI348" s="116"/>
      <c r="AJ348" s="116" t="str">
        <f>Q$2</f>
        <v>請選擇第一選修科</v>
      </c>
      <c r="AK348" s="116" t="str">
        <f>R$2</f>
        <v>請選擇第二選修科</v>
      </c>
      <c r="AL348" s="116" t="str">
        <f>S$2</f>
        <v>請選擇第三選修科</v>
      </c>
      <c r="AM348" s="116" t="str">
        <f>T$2</f>
        <v>請選擇第四選修科</v>
      </c>
      <c r="AN348" s="116"/>
      <c r="AO348" s="116"/>
      <c r="AP348" s="116" t="s">
        <v>466</v>
      </c>
      <c r="AQ348" s="116"/>
      <c r="AR348" s="102"/>
    </row>
    <row r="349" spans="1:44">
      <c r="A349" s="2" t="str">
        <f>'Reference Score Calculation'!A340</f>
        <v>JS8008</v>
      </c>
      <c r="B349" s="346" t="str">
        <f>'Reference Score Calculation'!B340</f>
        <v>JS8008</v>
      </c>
      <c r="C349" s="2" t="str">
        <f>'Reference Score Calculation'!E340</f>
        <v>人工智能與教育科技榮譽理學士及資訊及通訊科技及小學科學教育榮譽學士</v>
      </c>
      <c r="D349" s="16">
        <f>'Reference Score Calculation'!U340</f>
        <v>13</v>
      </c>
      <c r="E349" s="16">
        <v>3</v>
      </c>
      <c r="F349" s="16">
        <v>3</v>
      </c>
      <c r="G349" s="16">
        <v>2</v>
      </c>
      <c r="H349" s="16">
        <v>2</v>
      </c>
      <c r="I349" s="16">
        <v>2</v>
      </c>
      <c r="L349" s="90">
        <v>3</v>
      </c>
      <c r="M349" s="90">
        <v>3</v>
      </c>
      <c r="N349" s="90">
        <v>2</v>
      </c>
      <c r="O349" s="90">
        <v>1</v>
      </c>
      <c r="P349" s="90">
        <v>3</v>
      </c>
      <c r="Q349" s="90">
        <v>2</v>
      </c>
      <c r="S349" s="16">
        <f t="shared" si="127"/>
        <v>0</v>
      </c>
      <c r="T349" s="16">
        <f t="shared" si="128"/>
        <v>0</v>
      </c>
      <c r="U349" s="16">
        <f t="shared" si="129"/>
        <v>0</v>
      </c>
      <c r="V349" s="16">
        <f t="shared" si="130"/>
        <v>0</v>
      </c>
      <c r="W349" s="16">
        <f>IF(P349&gt;AQ345,0,1)</f>
        <v>0</v>
      </c>
      <c r="X349" s="16">
        <f t="shared" si="131"/>
        <v>0</v>
      </c>
      <c r="Z349" s="16">
        <f>S349*T349*U349*V349*W349*X349</f>
        <v>0</v>
      </c>
      <c r="AB349" s="16" t="s">
        <v>391</v>
      </c>
      <c r="AC349" s="16" t="s">
        <v>420</v>
      </c>
      <c r="AD349" s="16" t="s">
        <v>391</v>
      </c>
      <c r="AF349" s="434" t="s">
        <v>3232</v>
      </c>
      <c r="AG349" s="400" t="s">
        <v>324</v>
      </c>
      <c r="AH349" s="400" t="s">
        <v>394</v>
      </c>
      <c r="AI349" s="116" t="s">
        <v>2688</v>
      </c>
      <c r="AJ349" s="117">
        <f>IF(OR(Q$2="物理",Q$2="化學",Q$2="生物"),Q$3,0)</f>
        <v>0</v>
      </c>
      <c r="AK349" s="117">
        <f t="shared" ref="AK349:AM349" si="133">IF(OR(R$2="物理",R$2="化學",R$2="生物"),R$3,0)</f>
        <v>0</v>
      </c>
      <c r="AL349" s="117">
        <f t="shared" si="133"/>
        <v>0</v>
      </c>
      <c r="AM349" s="117">
        <f t="shared" si="133"/>
        <v>0</v>
      </c>
      <c r="AN349" s="116"/>
      <c r="AO349" s="116"/>
      <c r="AP349" s="117" t="str">
        <f>IF(AQ349&gt;0.1,INDEX(AJ348:AM348,MATCH(LARGE(AJ349:AM349,1),AJ349:AM349,0)),"無")</f>
        <v>無</v>
      </c>
      <c r="AQ349" s="117">
        <f>LARGE((AJ349:AM349),1)</f>
        <v>0</v>
      </c>
      <c r="AR349" s="102"/>
    </row>
    <row r="350" spans="1:44">
      <c r="A350" s="2" t="str">
        <f>'Reference Score Calculation'!A341</f>
        <v>JS8007</v>
      </c>
      <c r="B350" s="346" t="str">
        <f>'Reference Score Calculation'!B341</f>
        <v>JS8007</v>
      </c>
      <c r="C350" s="2" t="str">
        <f>'Reference Score Calculation'!E341</f>
        <v>個人理財榮譽文學士及企業、會計與財務概論教育榮譽學士</v>
      </c>
      <c r="D350" s="16">
        <f>'Reference Score Calculation'!U341</f>
        <v>12</v>
      </c>
      <c r="E350" s="16">
        <v>3</v>
      </c>
      <c r="F350" s="16">
        <v>3</v>
      </c>
      <c r="G350" s="16">
        <v>2</v>
      </c>
      <c r="H350" s="16">
        <v>2</v>
      </c>
      <c r="I350" s="16">
        <v>2</v>
      </c>
      <c r="L350" s="90">
        <v>3</v>
      </c>
      <c r="M350" s="90">
        <v>3</v>
      </c>
      <c r="N350" s="90">
        <v>2</v>
      </c>
      <c r="O350" s="90">
        <v>1</v>
      </c>
      <c r="P350" s="90">
        <v>3</v>
      </c>
      <c r="Q350" s="90">
        <v>2</v>
      </c>
      <c r="S350" s="16">
        <f t="shared" si="127"/>
        <v>0</v>
      </c>
      <c r="T350" s="16">
        <f t="shared" si="128"/>
        <v>0</v>
      </c>
      <c r="U350" s="16">
        <f t="shared" si="129"/>
        <v>0</v>
      </c>
      <c r="V350" s="16">
        <f t="shared" si="130"/>
        <v>0</v>
      </c>
      <c r="W350" s="16">
        <f>IF(P350&gt;AQ366,0,1)</f>
        <v>0</v>
      </c>
      <c r="X350" s="16">
        <f t="shared" si="131"/>
        <v>0</v>
      </c>
      <c r="Z350" s="16">
        <f t="shared" ref="Z350:Z354" si="134">S350*T350*U350*V350*W350*X350</f>
        <v>0</v>
      </c>
      <c r="AB350" s="16" t="s">
        <v>391</v>
      </c>
      <c r="AC350" s="16" t="s">
        <v>420</v>
      </c>
      <c r="AD350" s="16" t="s">
        <v>391</v>
      </c>
      <c r="AF350" s="434" t="s">
        <v>3226</v>
      </c>
      <c r="AG350" s="434" t="s">
        <v>324</v>
      </c>
      <c r="AH350" s="21" t="s">
        <v>394</v>
      </c>
      <c r="AI350" s="116"/>
      <c r="AJ350" s="158" t="s">
        <v>2274</v>
      </c>
      <c r="AK350" s="116"/>
      <c r="AL350" s="116"/>
      <c r="AM350" s="116"/>
      <c r="AN350" s="116"/>
      <c r="AO350" s="116"/>
      <c r="AP350" s="116"/>
      <c r="AQ350" s="102"/>
      <c r="AR350" s="102"/>
    </row>
    <row r="351" spans="1:44">
      <c r="A351" s="2" t="str">
        <f>'Reference Score Calculation'!A342</f>
        <v>JS8005</v>
      </c>
      <c r="B351" s="346" t="str">
        <f>'Reference Score Calculation'!B342</f>
        <v>JS8005</v>
      </c>
      <c r="C351" s="2" t="str">
        <f>'Reference Score Calculation'!E342</f>
        <v>文化傳承教育與藝術管理榮譽文學士及中國歷史教育榮譽學士</v>
      </c>
      <c r="D351" s="16">
        <f>'Reference Score Calculation'!U342</f>
        <v>12</v>
      </c>
      <c r="L351" s="90">
        <v>3</v>
      </c>
      <c r="M351" s="90">
        <v>3</v>
      </c>
      <c r="N351" s="90">
        <v>2</v>
      </c>
      <c r="O351" s="90">
        <v>1</v>
      </c>
      <c r="P351" s="90">
        <v>2</v>
      </c>
      <c r="Q351" s="90">
        <v>2</v>
      </c>
      <c r="S351" s="16">
        <f t="shared" si="127"/>
        <v>0</v>
      </c>
      <c r="T351" s="16">
        <f t="shared" si="128"/>
        <v>0</v>
      </c>
      <c r="U351" s="16">
        <f t="shared" si="129"/>
        <v>0</v>
      </c>
      <c r="V351" s="16">
        <f t="shared" si="130"/>
        <v>0</v>
      </c>
      <c r="W351" s="16">
        <f>IF(P351&gt;LARGE($P$3:$U$3,1),0,1)</f>
        <v>0</v>
      </c>
      <c r="X351" s="16">
        <f t="shared" si="131"/>
        <v>0</v>
      </c>
      <c r="Z351" s="16">
        <f t="shared" si="134"/>
        <v>0</v>
      </c>
      <c r="AB351" s="16" t="s">
        <v>391</v>
      </c>
      <c r="AC351" s="16" t="s">
        <v>420</v>
      </c>
      <c r="AD351" s="16" t="s">
        <v>391</v>
      </c>
      <c r="AF351" s="434" t="s">
        <v>577</v>
      </c>
      <c r="AG351" s="400" t="s">
        <v>324</v>
      </c>
      <c r="AH351" s="400" t="s">
        <v>394</v>
      </c>
      <c r="AI351" s="116"/>
      <c r="AJ351" s="116"/>
      <c r="AK351" s="116"/>
      <c r="AL351" s="116"/>
      <c r="AM351" s="116"/>
      <c r="AN351" s="116"/>
      <c r="AO351" s="116"/>
      <c r="AP351" s="102"/>
      <c r="AQ351" s="102"/>
      <c r="AR351" s="102"/>
    </row>
    <row r="352" spans="1:44">
      <c r="A352" s="2" t="str">
        <f>'Reference Score Calculation'!A343</f>
        <v>JS8006</v>
      </c>
      <c r="B352" s="346" t="str">
        <f>'Reference Score Calculation'!B343</f>
        <v>JS8006</v>
      </c>
      <c r="C352" s="2" t="str">
        <f>'Reference Score Calculation'!E343</f>
        <v>心理學榮譽社會科學學士及幼兒教育榮譽學士</v>
      </c>
      <c r="D352" s="16">
        <f>'Reference Score Calculation'!U343</f>
        <v>45</v>
      </c>
      <c r="E352" s="16">
        <v>3</v>
      </c>
      <c r="F352" s="16">
        <v>3</v>
      </c>
      <c r="G352" s="16">
        <v>2</v>
      </c>
      <c r="H352" s="16">
        <v>2</v>
      </c>
      <c r="I352" s="16">
        <v>2</v>
      </c>
      <c r="L352" s="90">
        <v>3</v>
      </c>
      <c r="M352" s="90">
        <v>3</v>
      </c>
      <c r="N352" s="90">
        <v>2</v>
      </c>
      <c r="O352" s="90">
        <v>1</v>
      </c>
      <c r="P352" s="90">
        <v>2</v>
      </c>
      <c r="Q352" s="90">
        <v>2</v>
      </c>
      <c r="S352" s="16">
        <f t="shared" si="127"/>
        <v>0</v>
      </c>
      <c r="T352" s="16">
        <f t="shared" si="128"/>
        <v>0</v>
      </c>
      <c r="U352" s="16">
        <f t="shared" si="129"/>
        <v>0</v>
      </c>
      <c r="V352" s="16">
        <f t="shared" si="130"/>
        <v>0</v>
      </c>
      <c r="W352" s="16">
        <f>IF(P352&gt;LARGE($P$3:$U$3,1),0,1)</f>
        <v>0</v>
      </c>
      <c r="X352" s="16">
        <f t="shared" si="131"/>
        <v>0</v>
      </c>
      <c r="Z352" s="16">
        <f t="shared" si="134"/>
        <v>0</v>
      </c>
      <c r="AB352" s="16" t="s">
        <v>391</v>
      </c>
      <c r="AC352" s="16" t="s">
        <v>420</v>
      </c>
      <c r="AD352" s="16" t="s">
        <v>391</v>
      </c>
      <c r="AF352" s="434" t="s">
        <v>324</v>
      </c>
      <c r="AG352" s="400" t="s">
        <v>324</v>
      </c>
      <c r="AH352" s="400" t="s">
        <v>394</v>
      </c>
      <c r="AI352" s="116"/>
      <c r="AJ352" s="116" t="str">
        <f>Q$2</f>
        <v>請選擇第一選修科</v>
      </c>
      <c r="AK352" s="116" t="str">
        <f>R$2</f>
        <v>請選擇第二選修科</v>
      </c>
      <c r="AL352" s="116" t="str">
        <f>S$2</f>
        <v>請選擇第三選修科</v>
      </c>
      <c r="AM352" s="116" t="str">
        <f>T$2</f>
        <v>請選擇第四選修科</v>
      </c>
      <c r="AN352" s="116"/>
      <c r="AO352" s="116"/>
      <c r="AP352" s="116" t="s">
        <v>3228</v>
      </c>
      <c r="AQ352" s="116"/>
      <c r="AR352" s="102"/>
    </row>
    <row r="353" spans="1:44">
      <c r="A353" s="2" t="str">
        <f>'Reference Score Calculation'!A344</f>
        <v>JS8012</v>
      </c>
      <c r="B353" s="346" t="str">
        <f>'Reference Score Calculation'!B344</f>
        <v>JS8012</v>
      </c>
      <c r="C353" s="2" t="str">
        <f>'Reference Score Calculation'!E344</f>
        <v>社會學與社區研究榮譽社會科學學士及地理教育榮譽學士</v>
      </c>
      <c r="D353" s="16">
        <f>'Reference Score Calculation'!U344</f>
        <v>12</v>
      </c>
      <c r="E353" s="16">
        <v>3</v>
      </c>
      <c r="F353" s="16">
        <v>3</v>
      </c>
      <c r="G353" s="16">
        <v>2</v>
      </c>
      <c r="H353" s="16">
        <v>2</v>
      </c>
      <c r="I353" s="16">
        <v>2</v>
      </c>
      <c r="L353" s="90">
        <v>3</v>
      </c>
      <c r="M353" s="90">
        <v>3</v>
      </c>
      <c r="N353" s="90">
        <v>2</v>
      </c>
      <c r="O353" s="90">
        <v>1</v>
      </c>
      <c r="P353" s="90">
        <v>3</v>
      </c>
      <c r="Q353" s="90">
        <v>2</v>
      </c>
      <c r="S353" s="16">
        <f t="shared" si="127"/>
        <v>0</v>
      </c>
      <c r="T353" s="16">
        <f t="shared" si="128"/>
        <v>0</v>
      </c>
      <c r="U353" s="16">
        <f t="shared" si="129"/>
        <v>0</v>
      </c>
      <c r="V353" s="16">
        <f t="shared" si="130"/>
        <v>0</v>
      </c>
      <c r="W353" s="16">
        <f>IF(P353&gt;AQ353,0,1)</f>
        <v>0</v>
      </c>
      <c r="X353" s="16">
        <f t="shared" si="131"/>
        <v>0</v>
      </c>
      <c r="Z353" s="16">
        <f t="shared" si="134"/>
        <v>0</v>
      </c>
      <c r="AB353" s="16" t="s">
        <v>391</v>
      </c>
      <c r="AC353" s="16" t="s">
        <v>420</v>
      </c>
      <c r="AD353" s="16" t="s">
        <v>391</v>
      </c>
      <c r="AF353" s="434" t="s">
        <v>3240</v>
      </c>
      <c r="AG353" s="434" t="s">
        <v>324</v>
      </c>
      <c r="AH353" s="434" t="s">
        <v>394</v>
      </c>
      <c r="AI353" s="116" t="s">
        <v>2691</v>
      </c>
      <c r="AJ353" s="117">
        <f>IF(OR(Q$2="地理",Q$2="旅遊與款待"),Q$3,0)</f>
        <v>0</v>
      </c>
      <c r="AK353" s="117">
        <f t="shared" ref="AK353:AM353" si="135">IF(OR(R$2="地理",R$2="旅遊與款待"),R$3,0)</f>
        <v>0</v>
      </c>
      <c r="AL353" s="117">
        <f t="shared" si="135"/>
        <v>0</v>
      </c>
      <c r="AM353" s="117">
        <f t="shared" si="135"/>
        <v>0</v>
      </c>
      <c r="AN353" s="116"/>
      <c r="AO353" s="116"/>
      <c r="AP353" s="117" t="str">
        <f>IF(AQ353&gt;0.1,INDEX(AJ352:AM352,MATCH(LARGE(AJ353:AM353,1),AJ353:AM353,0)),"無")</f>
        <v>無</v>
      </c>
      <c r="AQ353" s="117">
        <f>LARGE((AJ353:AM353),1)</f>
        <v>0</v>
      </c>
      <c r="AR353" s="102"/>
    </row>
    <row r="354" spans="1:44">
      <c r="A354" s="2" t="str">
        <f>'Reference Score Calculation'!A345</f>
        <v>JS8011</v>
      </c>
      <c r="B354" s="346" t="str">
        <f>'Reference Score Calculation'!B345</f>
        <v>JS8011</v>
      </c>
      <c r="C354" s="2" t="str">
        <f>'Reference Score Calculation'!E345</f>
        <v>綜合環境管理榮譽理學士及科學教育榮譽學士</v>
      </c>
      <c r="D354" s="16">
        <f>'Reference Score Calculation'!U345</f>
        <v>29</v>
      </c>
      <c r="E354" s="16">
        <v>3</v>
      </c>
      <c r="F354" s="16">
        <v>3</v>
      </c>
      <c r="G354" s="16">
        <v>2</v>
      </c>
      <c r="H354" s="16">
        <v>2</v>
      </c>
      <c r="I354" s="16">
        <v>4</v>
      </c>
      <c r="L354" s="90">
        <v>3</v>
      </c>
      <c r="M354" s="90">
        <v>3</v>
      </c>
      <c r="N354" s="90">
        <v>2</v>
      </c>
      <c r="O354" s="90">
        <v>1</v>
      </c>
      <c r="P354" s="90">
        <v>4</v>
      </c>
      <c r="Q354" s="90">
        <v>2</v>
      </c>
      <c r="S354" s="16">
        <f t="shared" si="127"/>
        <v>0</v>
      </c>
      <c r="T354" s="16">
        <f t="shared" si="128"/>
        <v>0</v>
      </c>
      <c r="U354" s="16">
        <f t="shared" si="129"/>
        <v>0</v>
      </c>
      <c r="V354" s="16">
        <f t="shared" si="130"/>
        <v>0</v>
      </c>
      <c r="W354" s="16">
        <f>IF(P354&gt;AQ349,0,1)</f>
        <v>0</v>
      </c>
      <c r="X354" s="16">
        <f t="shared" si="131"/>
        <v>0</v>
      </c>
      <c r="Z354" s="16">
        <f t="shared" si="134"/>
        <v>0</v>
      </c>
      <c r="AB354" s="16" t="s">
        <v>391</v>
      </c>
      <c r="AC354" s="16" t="s">
        <v>420</v>
      </c>
      <c r="AD354" s="16" t="s">
        <v>391</v>
      </c>
      <c r="AF354" s="434" t="s">
        <v>3238</v>
      </c>
      <c r="AG354" s="434" t="s">
        <v>324</v>
      </c>
      <c r="AH354" s="434" t="s">
        <v>324</v>
      </c>
      <c r="AI354" s="116"/>
      <c r="AJ354" s="158" t="s">
        <v>3239</v>
      </c>
      <c r="AK354" s="116"/>
      <c r="AL354" s="116"/>
      <c r="AM354" s="116"/>
      <c r="AN354" s="116"/>
      <c r="AO354" s="116"/>
      <c r="AP354" s="116"/>
      <c r="AQ354" s="102"/>
      <c r="AR354" s="102"/>
    </row>
    <row r="355" spans="1:44">
      <c r="A355" s="2" t="str">
        <f>'Reference Score Calculation'!A346</f>
        <v>JS8507</v>
      </c>
      <c r="B355" s="346" t="str">
        <f>'Reference Score Calculation'!B346</f>
        <v>JS8507</v>
      </c>
      <c r="C355" s="2" t="str">
        <f>'Reference Score Calculation'!E346</f>
        <v>幼兒教育高級文憑</v>
      </c>
      <c r="D355" s="16">
        <f>'Reference Score Calculation'!U346</f>
        <v>264</v>
      </c>
      <c r="E355" s="16">
        <v>2</v>
      </c>
      <c r="F355" s="16">
        <v>2</v>
      </c>
      <c r="G355" s="16">
        <v>2</v>
      </c>
      <c r="H355" s="16">
        <v>2</v>
      </c>
      <c r="I355" s="16">
        <v>2</v>
      </c>
      <c r="L355" s="90">
        <v>2</v>
      </c>
      <c r="M355" s="90">
        <v>2</v>
      </c>
      <c r="N355" s="90">
        <v>2</v>
      </c>
      <c r="O355" s="90">
        <v>2</v>
      </c>
      <c r="P355" s="90">
        <v>2</v>
      </c>
      <c r="Q355" s="2"/>
      <c r="S355" s="16">
        <f t="shared" ref="S355:S369" si="136">IF(L355&gt;L$3,0,1)</f>
        <v>0</v>
      </c>
      <c r="T355" s="16">
        <f t="shared" ref="T355:T369" si="137">IF(M355&gt;M$3,0,1)</f>
        <v>0</v>
      </c>
      <c r="U355" s="16">
        <f>IF(N355&gt;LARGE($AJ$370:$AQ$370,1),0,1)</f>
        <v>0</v>
      </c>
      <c r="V355" s="16">
        <f>IF(O355&gt;LARGE($AJ$370:$AQ$370,2),0,1)</f>
        <v>0</v>
      </c>
      <c r="W355" s="16">
        <f>IF(P355&gt;LARGE($AJ$370:$AQ$370,3),0,1)</f>
        <v>0</v>
      </c>
      <c r="Y355" s="435"/>
      <c r="Z355" s="433">
        <f>S355*T355*U355*V355*W355</f>
        <v>0</v>
      </c>
      <c r="AA355" s="433"/>
      <c r="AB355" s="433" t="s">
        <v>391</v>
      </c>
      <c r="AC355" s="433" t="s">
        <v>420</v>
      </c>
      <c r="AD355" s="433" t="s">
        <v>391</v>
      </c>
      <c r="AE355" s="433"/>
      <c r="AF355" s="434" t="s">
        <v>324</v>
      </c>
      <c r="AG355" s="434" t="s">
        <v>324</v>
      </c>
      <c r="AH355" s="434" t="s">
        <v>394</v>
      </c>
      <c r="AI355" s="116"/>
      <c r="AJ355" s="116"/>
      <c r="AK355" s="116"/>
      <c r="AL355" s="116"/>
      <c r="AM355" s="116"/>
      <c r="AN355" s="116"/>
      <c r="AO355" s="116"/>
      <c r="AP355" s="102"/>
      <c r="AQ355" s="102"/>
      <c r="AR355" s="102"/>
    </row>
    <row r="356" spans="1:44">
      <c r="A356" s="2" t="str">
        <f>'Reference Score Calculation'!A347</f>
        <v>JS8674</v>
      </c>
      <c r="B356" s="346" t="str">
        <f>'Reference Score Calculation'!B347</f>
        <v>JS8674</v>
      </c>
      <c r="C356" s="2" t="str">
        <f>'Reference Score Calculation'!E347</f>
        <v>數碼中國文化與傳意榮譽文學士</v>
      </c>
      <c r="D356" s="16">
        <f>'Reference Score Calculation'!U347</f>
        <v>21</v>
      </c>
      <c r="E356" s="16">
        <v>3</v>
      </c>
      <c r="F356" s="16">
        <v>3</v>
      </c>
      <c r="G356" s="16">
        <v>2</v>
      </c>
      <c r="H356" s="16">
        <v>2</v>
      </c>
      <c r="I356" s="16">
        <v>2</v>
      </c>
      <c r="L356" s="90">
        <v>3</v>
      </c>
      <c r="M356" s="90">
        <v>3</v>
      </c>
      <c r="N356" s="90">
        <v>2</v>
      </c>
      <c r="O356" s="90">
        <v>1</v>
      </c>
      <c r="P356" s="90">
        <v>2</v>
      </c>
      <c r="Q356" s="90">
        <v>2</v>
      </c>
      <c r="S356" s="16">
        <f t="shared" si="136"/>
        <v>0</v>
      </c>
      <c r="T356" s="16">
        <f t="shared" si="137"/>
        <v>0</v>
      </c>
      <c r="U356" s="16">
        <f t="shared" ref="U356:U369" si="138">IF(N356&gt;N$3,0,1)</f>
        <v>0</v>
      </c>
      <c r="V356" s="16">
        <f t="shared" ref="V356:V369" si="139">IF(O356&gt;O$3,0,1)</f>
        <v>0</v>
      </c>
      <c r="W356" s="16">
        <f t="shared" ref="W356:W360" si="140">IF(P356&gt;LARGE($P$3:$U$3,1),0,1)</f>
        <v>0</v>
      </c>
      <c r="X356" s="16">
        <f t="shared" si="131"/>
        <v>0</v>
      </c>
      <c r="Z356" s="16">
        <f>S356*T356*U356*V356*W356*X356</f>
        <v>0</v>
      </c>
      <c r="AB356" s="16" t="s">
        <v>391</v>
      </c>
      <c r="AC356" s="16" t="s">
        <v>420</v>
      </c>
      <c r="AD356" s="16" t="s">
        <v>391</v>
      </c>
      <c r="AF356" s="434" t="s">
        <v>577</v>
      </c>
      <c r="AG356" s="434" t="s">
        <v>3236</v>
      </c>
      <c r="AH356" s="400" t="s">
        <v>394</v>
      </c>
      <c r="AI356" s="116"/>
      <c r="AJ356" s="116"/>
      <c r="AK356" s="116"/>
      <c r="AL356" s="116"/>
      <c r="AM356" s="116"/>
      <c r="AN356" s="116"/>
      <c r="AO356" s="116"/>
      <c r="AP356" s="102"/>
      <c r="AQ356" s="102"/>
      <c r="AR356" s="102"/>
    </row>
    <row r="357" spans="1:44">
      <c r="A357" s="2" t="str">
        <f>'Reference Score Calculation'!A348</f>
        <v>JS8685</v>
      </c>
      <c r="B357" s="346" t="str">
        <f>'Reference Score Calculation'!B348</f>
        <v>JS8685</v>
      </c>
      <c r="C357" s="2" t="str">
        <f>'Reference Score Calculation'!E348</f>
        <v>創意藝術與數碼藝術榮譽文學士 (音樂)</v>
      </c>
      <c r="D357" s="16">
        <f>'Reference Score Calculation'!U348</f>
        <v>10</v>
      </c>
      <c r="E357" s="16">
        <v>3</v>
      </c>
      <c r="F357" s="16">
        <v>3</v>
      </c>
      <c r="G357" s="16">
        <v>2</v>
      </c>
      <c r="H357" s="16">
        <v>2</v>
      </c>
      <c r="I357" s="16">
        <v>2</v>
      </c>
      <c r="L357" s="90">
        <v>3</v>
      </c>
      <c r="M357" s="90">
        <v>3</v>
      </c>
      <c r="N357" s="90">
        <v>2</v>
      </c>
      <c r="O357" s="90">
        <v>1</v>
      </c>
      <c r="P357" s="90">
        <v>2</v>
      </c>
      <c r="Q357" s="90">
        <v>2</v>
      </c>
      <c r="S357" s="16">
        <f t="shared" si="136"/>
        <v>0</v>
      </c>
      <c r="T357" s="16">
        <f t="shared" si="137"/>
        <v>0</v>
      </c>
      <c r="U357" s="16">
        <f t="shared" si="138"/>
        <v>0</v>
      </c>
      <c r="V357" s="16">
        <f t="shared" si="139"/>
        <v>0</v>
      </c>
      <c r="W357" s="16">
        <f t="shared" si="140"/>
        <v>0</v>
      </c>
      <c r="X357" s="16">
        <f t="shared" si="131"/>
        <v>0</v>
      </c>
      <c r="Z357" s="16">
        <f>IF(S357*T357*U357*V357*W357*X357=0,0,2)</f>
        <v>0</v>
      </c>
      <c r="AB357" s="16" t="s">
        <v>391</v>
      </c>
      <c r="AC357" s="16" t="s">
        <v>420</v>
      </c>
      <c r="AD357" s="16" t="s">
        <v>391</v>
      </c>
      <c r="AF357" s="434" t="s">
        <v>2514</v>
      </c>
      <c r="AG357" s="434" t="s">
        <v>3230</v>
      </c>
      <c r="AH357" s="400" t="s">
        <v>394</v>
      </c>
      <c r="AI357" s="116"/>
      <c r="AJ357" s="116" t="str">
        <f>Q$2</f>
        <v>請選擇第一選修科</v>
      </c>
      <c r="AK357" s="116" t="str">
        <f>R$2</f>
        <v>請選擇第二選修科</v>
      </c>
      <c r="AL357" s="116" t="str">
        <f>S$2</f>
        <v>請選擇第三選修科</v>
      </c>
      <c r="AM357" s="116" t="str">
        <f>T$2</f>
        <v>請選擇第四選修科</v>
      </c>
      <c r="AN357" s="116"/>
      <c r="AO357" s="116"/>
      <c r="AP357" s="116" t="s">
        <v>466</v>
      </c>
      <c r="AQ357" s="116"/>
      <c r="AR357" s="102"/>
    </row>
    <row r="358" spans="1:44">
      <c r="A358" s="2" t="str">
        <f>'Reference Score Calculation'!A349</f>
        <v>JS8686</v>
      </c>
      <c r="B358" s="346" t="str">
        <f>'Reference Score Calculation'!B349</f>
        <v>JS8686</v>
      </c>
      <c r="C358" s="2" t="str">
        <f>'Reference Score Calculation'!E349</f>
        <v>創意藝術與數碼藝術榮譽文學士 (視覺藝術)</v>
      </c>
      <c r="D358" s="16">
        <f>'Reference Score Calculation'!U349</f>
        <v>10</v>
      </c>
      <c r="E358" s="16">
        <v>3</v>
      </c>
      <c r="F358" s="16">
        <v>3</v>
      </c>
      <c r="G358" s="16">
        <v>2</v>
      </c>
      <c r="H358" s="16">
        <v>2</v>
      </c>
      <c r="I358" s="16">
        <v>2</v>
      </c>
      <c r="L358" s="90">
        <v>3</v>
      </c>
      <c r="M358" s="90">
        <v>3</v>
      </c>
      <c r="N358" s="90">
        <v>2</v>
      </c>
      <c r="O358" s="90">
        <v>1</v>
      </c>
      <c r="P358" s="90">
        <v>2</v>
      </c>
      <c r="Q358" s="90">
        <v>2</v>
      </c>
      <c r="S358" s="16">
        <f t="shared" si="136"/>
        <v>0</v>
      </c>
      <c r="T358" s="16">
        <f t="shared" si="137"/>
        <v>0</v>
      </c>
      <c r="U358" s="16">
        <f t="shared" si="138"/>
        <v>0</v>
      </c>
      <c r="V358" s="16">
        <f t="shared" si="139"/>
        <v>0</v>
      </c>
      <c r="W358" s="16">
        <f t="shared" si="140"/>
        <v>0</v>
      </c>
      <c r="X358" s="16">
        <f t="shared" si="131"/>
        <v>0</v>
      </c>
      <c r="Z358" s="16">
        <f>IF(S358*T358*U358*V358*W358*X358=0,0,2)</f>
        <v>0</v>
      </c>
      <c r="AB358" s="16" t="s">
        <v>391</v>
      </c>
      <c r="AC358" s="16" t="s">
        <v>420</v>
      </c>
      <c r="AD358" s="16" t="s">
        <v>391</v>
      </c>
      <c r="AF358" s="434" t="s">
        <v>2514</v>
      </c>
      <c r="AG358" s="434" t="s">
        <v>3229</v>
      </c>
      <c r="AH358" s="400" t="s">
        <v>394</v>
      </c>
      <c r="AI358" s="116" t="s">
        <v>576</v>
      </c>
      <c r="AJ358" s="117">
        <f>IF(OR(Q$2="物理",Q$2="化學",Q$2="生物",Q$2="地理"),Q$3,0)</f>
        <v>0</v>
      </c>
      <c r="AK358" s="117">
        <f t="shared" ref="AK358:AM358" si="141">IF(OR(R$2="物理",R$2="化學",R$2="生物",R$2="地理"),R$3,0)</f>
        <v>0</v>
      </c>
      <c r="AL358" s="117">
        <f t="shared" si="141"/>
        <v>0</v>
      </c>
      <c r="AM358" s="117">
        <f t="shared" si="141"/>
        <v>0</v>
      </c>
      <c r="AN358" s="116"/>
      <c r="AO358" s="116"/>
      <c r="AP358" s="117" t="str">
        <f>IF(AQ358&gt;0.1,INDEX(AJ357:AM357,MATCH(LARGE(AJ358:AM358,1),AJ358:AM358,0)),"無")</f>
        <v>無</v>
      </c>
      <c r="AQ358" s="117">
        <f>LARGE((AJ358:AM358),1)</f>
        <v>0</v>
      </c>
      <c r="AR358" s="102"/>
    </row>
    <row r="359" spans="1:44">
      <c r="A359" s="2" t="str">
        <f>'Reference Score Calculation'!A350</f>
        <v>JS8651</v>
      </c>
      <c r="B359" s="346" t="str">
        <f>'Reference Score Calculation'!B350</f>
        <v>JS8651</v>
      </c>
      <c r="C359" s="2" t="str">
        <f>'Reference Score Calculation'!E350</f>
        <v>心理學榮譽社會科學學士</v>
      </c>
      <c r="D359" s="16">
        <f>'Reference Score Calculation'!U350</f>
        <v>20</v>
      </c>
      <c r="E359" s="16">
        <v>3</v>
      </c>
      <c r="F359" s="16">
        <v>3</v>
      </c>
      <c r="G359" s="16">
        <v>2</v>
      </c>
      <c r="H359" s="16">
        <v>2</v>
      </c>
      <c r="I359" s="16">
        <v>2</v>
      </c>
      <c r="L359" s="90">
        <v>3</v>
      </c>
      <c r="M359" s="90">
        <v>3</v>
      </c>
      <c r="N359" s="90">
        <v>2</v>
      </c>
      <c r="O359" s="90">
        <v>1</v>
      </c>
      <c r="P359" s="90">
        <v>2</v>
      </c>
      <c r="Q359" s="90">
        <v>2</v>
      </c>
      <c r="S359" s="16">
        <f t="shared" si="136"/>
        <v>0</v>
      </c>
      <c r="T359" s="16">
        <f t="shared" si="137"/>
        <v>0</v>
      </c>
      <c r="U359" s="16">
        <f t="shared" si="138"/>
        <v>0</v>
      </c>
      <c r="V359" s="16">
        <f t="shared" si="139"/>
        <v>0</v>
      </c>
      <c r="W359" s="16">
        <f t="shared" si="140"/>
        <v>0</v>
      </c>
      <c r="X359" s="16">
        <f t="shared" si="131"/>
        <v>0</v>
      </c>
      <c r="Z359" s="16">
        <f>S359*T359*U359*V359*W359*X359</f>
        <v>0</v>
      </c>
      <c r="AB359" s="16" t="s">
        <v>391</v>
      </c>
      <c r="AC359" s="16" t="s">
        <v>420</v>
      </c>
      <c r="AD359" s="16" t="s">
        <v>391</v>
      </c>
      <c r="AF359" s="400" t="s">
        <v>324</v>
      </c>
      <c r="AG359" s="400" t="s">
        <v>324</v>
      </c>
      <c r="AH359" s="400" t="s">
        <v>394</v>
      </c>
      <c r="AI359" s="116"/>
      <c r="AJ359" s="158" t="s">
        <v>3243</v>
      </c>
      <c r="AK359" s="116"/>
      <c r="AL359" s="116"/>
      <c r="AM359" s="116"/>
      <c r="AN359" s="116"/>
      <c r="AO359" s="116"/>
      <c r="AP359" s="116"/>
      <c r="AQ359" s="102"/>
      <c r="AR359" s="102"/>
    </row>
    <row r="360" spans="1:44">
      <c r="A360" s="2" t="str">
        <f>'Reference Score Calculation'!A351</f>
        <v>JS8663</v>
      </c>
      <c r="B360" s="346" t="str">
        <f>'Reference Score Calculation'!B351</f>
        <v>JS8663</v>
      </c>
      <c r="C360" s="2" t="str">
        <f>'Reference Score Calculation'!E351</f>
        <v>特殊教育榮譽文學士</v>
      </c>
      <c r="D360" s="16">
        <f>'Reference Score Calculation'!U351</f>
        <v>20</v>
      </c>
      <c r="E360" s="16">
        <v>3</v>
      </c>
      <c r="F360" s="16">
        <v>3</v>
      </c>
      <c r="G360" s="16">
        <v>2</v>
      </c>
      <c r="H360" s="16">
        <v>2</v>
      </c>
      <c r="I360" s="16">
        <v>2</v>
      </c>
      <c r="L360" s="90">
        <v>3</v>
      </c>
      <c r="M360" s="90">
        <v>3</v>
      </c>
      <c r="N360" s="90">
        <v>2</v>
      </c>
      <c r="O360" s="90">
        <v>1</v>
      </c>
      <c r="P360" s="90">
        <v>2</v>
      </c>
      <c r="Q360" s="90">
        <v>2</v>
      </c>
      <c r="S360" s="16">
        <f t="shared" si="136"/>
        <v>0</v>
      </c>
      <c r="T360" s="16">
        <f t="shared" si="137"/>
        <v>0</v>
      </c>
      <c r="U360" s="16">
        <f t="shared" si="138"/>
        <v>0</v>
      </c>
      <c r="V360" s="16">
        <f t="shared" si="139"/>
        <v>0</v>
      </c>
      <c r="W360" s="16">
        <f t="shared" si="140"/>
        <v>0</v>
      </c>
      <c r="X360" s="16">
        <f t="shared" si="131"/>
        <v>0</v>
      </c>
      <c r="Z360" s="16">
        <f t="shared" ref="Z360:Z362" si="142">S360*T360*U360*V360*W360*X360</f>
        <v>0</v>
      </c>
      <c r="AB360" s="16" t="s">
        <v>391</v>
      </c>
      <c r="AC360" s="16" t="s">
        <v>420</v>
      </c>
      <c r="AD360" s="16" t="s">
        <v>391</v>
      </c>
      <c r="AF360" s="400" t="s">
        <v>324</v>
      </c>
      <c r="AG360" s="400" t="s">
        <v>324</v>
      </c>
      <c r="AH360" s="400" t="s">
        <v>394</v>
      </c>
      <c r="AI360" s="116"/>
      <c r="AJ360" s="116"/>
      <c r="AK360" s="116"/>
      <c r="AL360" s="116"/>
      <c r="AM360" s="116"/>
      <c r="AN360" s="116"/>
      <c r="AO360" s="116"/>
      <c r="AP360" s="102"/>
      <c r="AQ360" s="102"/>
      <c r="AR360" s="102"/>
    </row>
    <row r="361" spans="1:44">
      <c r="A361" s="2" t="str">
        <f>'Reference Score Calculation'!A352</f>
        <v>JS8675</v>
      </c>
      <c r="B361" s="346" t="str">
        <f>'Reference Score Calculation'!B352</f>
        <v>JS8675</v>
      </c>
      <c r="C361" s="2" t="str">
        <f>'Reference Score Calculation'!E352</f>
        <v>英語研究及數碼傳訊榮譽文學士</v>
      </c>
      <c r="D361" s="16">
        <f>'Reference Score Calculation'!U352</f>
        <v>17</v>
      </c>
      <c r="E361" s="16">
        <v>3</v>
      </c>
      <c r="F361" s="16">
        <v>3</v>
      </c>
      <c r="G361" s="16">
        <v>2</v>
      </c>
      <c r="H361" s="16">
        <v>2</v>
      </c>
      <c r="I361" s="16">
        <v>2</v>
      </c>
      <c r="L361" s="90">
        <v>3</v>
      </c>
      <c r="M361" s="90">
        <v>3</v>
      </c>
      <c r="N361" s="90">
        <v>2</v>
      </c>
      <c r="O361" s="90">
        <v>1</v>
      </c>
      <c r="P361" s="90">
        <v>2</v>
      </c>
      <c r="Q361" s="90">
        <v>2</v>
      </c>
      <c r="S361" s="16">
        <f t="shared" si="136"/>
        <v>0</v>
      </c>
      <c r="T361" s="16">
        <f t="shared" si="137"/>
        <v>0</v>
      </c>
      <c r="U361" s="16">
        <f t="shared" si="138"/>
        <v>0</v>
      </c>
      <c r="V361" s="16">
        <f t="shared" si="139"/>
        <v>0</v>
      </c>
      <c r="W361" s="16">
        <f>IF(P361&gt;LARGE($P$3:$U$3,1),0,1)</f>
        <v>0</v>
      </c>
      <c r="X361" s="16">
        <f>IF(Q361&gt;LARGE($P$3:$U$3,2),0,1)</f>
        <v>0</v>
      </c>
      <c r="Z361" s="16">
        <f t="shared" si="142"/>
        <v>0</v>
      </c>
      <c r="AB361" s="16" t="s">
        <v>391</v>
      </c>
      <c r="AC361" s="16" t="s">
        <v>420</v>
      </c>
      <c r="AD361" s="16" t="s">
        <v>391</v>
      </c>
      <c r="AF361" s="400" t="s">
        <v>324</v>
      </c>
      <c r="AG361" s="400" t="s">
        <v>324</v>
      </c>
      <c r="AH361" s="400" t="s">
        <v>394</v>
      </c>
      <c r="AI361" s="116"/>
      <c r="AJ361" s="116" t="str">
        <f>Q$2</f>
        <v>請選擇第一選修科</v>
      </c>
      <c r="AK361" s="116" t="str">
        <f>R$2</f>
        <v>請選擇第二選修科</v>
      </c>
      <c r="AL361" s="116" t="str">
        <f>S$2</f>
        <v>請選擇第三選修科</v>
      </c>
      <c r="AM361" s="116" t="str">
        <f>T$2</f>
        <v>請選擇第四選修科</v>
      </c>
      <c r="AN361" s="116" t="str">
        <f>P$2</f>
        <v>數學延伸</v>
      </c>
      <c r="AO361" s="116"/>
      <c r="AP361" s="116" t="s">
        <v>466</v>
      </c>
      <c r="AQ361" s="116"/>
      <c r="AR361" s="102"/>
    </row>
    <row r="362" spans="1:44">
      <c r="A362" s="2" t="str">
        <f>'Reference Score Calculation'!A353</f>
        <v>JS8687</v>
      </c>
      <c r="B362" s="346" t="str">
        <f>'Reference Score Calculation'!B353</f>
        <v>JS8687</v>
      </c>
      <c r="C362" s="2" t="str">
        <f>'Reference Score Calculation'!E353</f>
        <v>文化傳承教育與藝術管理榮譽文學士</v>
      </c>
      <c r="D362" s="16">
        <f>'Reference Score Calculation'!U353</f>
        <v>22</v>
      </c>
      <c r="E362" s="16">
        <v>3</v>
      </c>
      <c r="F362" s="16">
        <v>3</v>
      </c>
      <c r="G362" s="16">
        <v>2</v>
      </c>
      <c r="H362" s="16">
        <v>2</v>
      </c>
      <c r="I362" s="16">
        <v>2</v>
      </c>
      <c r="L362" s="90">
        <v>3</v>
      </c>
      <c r="M362" s="90">
        <v>3</v>
      </c>
      <c r="N362" s="90">
        <v>2</v>
      </c>
      <c r="O362" s="90">
        <v>1</v>
      </c>
      <c r="P362" s="90">
        <v>2</v>
      </c>
      <c r="Q362" s="90">
        <v>2</v>
      </c>
      <c r="S362" s="16">
        <f t="shared" si="136"/>
        <v>0</v>
      </c>
      <c r="T362" s="16">
        <f t="shared" si="137"/>
        <v>0</v>
      </c>
      <c r="U362" s="16">
        <f t="shared" si="138"/>
        <v>0</v>
      </c>
      <c r="V362" s="16">
        <f t="shared" si="139"/>
        <v>0</v>
      </c>
      <c r="W362" s="16">
        <f>IF(P362&gt;LARGE($P$3:$U$3,1),0,1)</f>
        <v>0</v>
      </c>
      <c r="X362" s="16">
        <f t="shared" si="131"/>
        <v>0</v>
      </c>
      <c r="Z362" s="16">
        <f t="shared" si="142"/>
        <v>0</v>
      </c>
      <c r="AB362" s="16" t="s">
        <v>391</v>
      </c>
      <c r="AC362" s="16" t="s">
        <v>420</v>
      </c>
      <c r="AD362" s="16" t="s">
        <v>391</v>
      </c>
      <c r="AF362" s="434" t="s">
        <v>2516</v>
      </c>
      <c r="AG362" s="400" t="s">
        <v>324</v>
      </c>
      <c r="AH362" s="400" t="s">
        <v>394</v>
      </c>
      <c r="AI362" s="116" t="s">
        <v>578</v>
      </c>
      <c r="AJ362" s="117">
        <f>IF(OR(Q$2="物理",Q$2="化學",Q$2="生物",Q$2="資訊及通訊科技"),Q$3,0)</f>
        <v>0</v>
      </c>
      <c r="AK362" s="117">
        <f t="shared" ref="AK362:AM362" si="143">IF(OR(R$2="物理",R$2="化學",R$2="生物",R$2="資訊及通訊科技"),R$3,0)</f>
        <v>0</v>
      </c>
      <c r="AL362" s="117">
        <f t="shared" si="143"/>
        <v>0</v>
      </c>
      <c r="AM362" s="117">
        <f t="shared" si="143"/>
        <v>0</v>
      </c>
      <c r="AN362" s="117">
        <f>P$3</f>
        <v>5.0000000000000003E-10</v>
      </c>
      <c r="AO362" s="116"/>
      <c r="AP362" s="117" t="str">
        <f>IF(AQ362&gt;0.1,INDEX(AJ361:AN361,MATCH(LARGE(AJ362:AN362,1),AJ362:AN362,0)),"無")</f>
        <v>無</v>
      </c>
      <c r="AQ362" s="117">
        <f>LARGE((AJ362:AN362),1)</f>
        <v>5.0000000000000003E-10</v>
      </c>
      <c r="AR362" s="102"/>
    </row>
    <row r="363" spans="1:44">
      <c r="A363" s="2" t="str">
        <f>'Reference Score Calculation'!A354</f>
        <v>JS8688</v>
      </c>
      <c r="B363" s="346" t="str">
        <f>'Reference Score Calculation'!B354</f>
        <v>JS8688</v>
      </c>
      <c r="C363" s="2" t="str">
        <f>'Reference Score Calculation'!E354</f>
        <v>個人理財榮譽文學士</v>
      </c>
      <c r="D363" s="16">
        <f>'Reference Score Calculation'!U354</f>
        <v>10</v>
      </c>
      <c r="E363" s="16">
        <v>3</v>
      </c>
      <c r="F363" s="16">
        <v>3</v>
      </c>
      <c r="G363" s="16">
        <v>2</v>
      </c>
      <c r="H363" s="16">
        <v>2</v>
      </c>
      <c r="I363" s="16">
        <v>2</v>
      </c>
      <c r="L363" s="90">
        <v>3</v>
      </c>
      <c r="M363" s="90">
        <v>3</v>
      </c>
      <c r="N363" s="90">
        <v>2</v>
      </c>
      <c r="O363" s="90">
        <v>1</v>
      </c>
      <c r="P363" s="90">
        <v>2</v>
      </c>
      <c r="Q363" s="90">
        <v>2</v>
      </c>
      <c r="S363" s="16">
        <f t="shared" si="136"/>
        <v>0</v>
      </c>
      <c r="T363" s="16">
        <f t="shared" si="137"/>
        <v>0</v>
      </c>
      <c r="U363" s="16">
        <f t="shared" si="138"/>
        <v>0</v>
      </c>
      <c r="V363" s="16">
        <f t="shared" si="139"/>
        <v>0</v>
      </c>
      <c r="W363" s="16">
        <f>IF(P363&gt;LARGE($P$3:$U$3,1),0,1)</f>
        <v>0</v>
      </c>
      <c r="X363" s="16">
        <f t="shared" ref="X363" si="144">IF(Q363&gt;LARGE($P$3:$U$3,2),0,1)</f>
        <v>0</v>
      </c>
      <c r="Z363" s="16">
        <f t="shared" ref="Z363" si="145">S363*T363*U363*V363*W363*X363</f>
        <v>0</v>
      </c>
      <c r="AB363" s="16" t="s">
        <v>391</v>
      </c>
      <c r="AC363" s="16" t="s">
        <v>420</v>
      </c>
      <c r="AD363" s="16" t="s">
        <v>391</v>
      </c>
      <c r="AF363" s="400"/>
      <c r="AG363" s="400"/>
      <c r="AH363" s="400"/>
      <c r="AI363" s="116" t="s">
        <v>2682</v>
      </c>
      <c r="AJ363" s="158" t="s">
        <v>3235</v>
      </c>
      <c r="AK363" s="116"/>
      <c r="AL363" s="116"/>
      <c r="AM363" s="116"/>
      <c r="AN363" s="116"/>
      <c r="AO363" s="116"/>
      <c r="AP363" s="116"/>
      <c r="AQ363" s="102"/>
      <c r="AR363" s="102"/>
    </row>
    <row r="364" spans="1:44">
      <c r="A364" s="2" t="str">
        <f>'Reference Score Calculation'!A355</f>
        <v>JS8702</v>
      </c>
      <c r="B364" s="346" t="str">
        <f>'Reference Score Calculation'!B355</f>
        <v>JS8702</v>
      </c>
      <c r="C364" s="2" t="str">
        <f>'Reference Score Calculation'!E355</f>
        <v>綜合環境管理榮譽理學士</v>
      </c>
      <c r="D364" s="16">
        <f>'Reference Score Calculation'!U355</f>
        <v>21</v>
      </c>
      <c r="E364" s="16">
        <v>3</v>
      </c>
      <c r="F364" s="16">
        <v>3</v>
      </c>
      <c r="G364" s="16">
        <v>2</v>
      </c>
      <c r="H364" s="16">
        <v>2</v>
      </c>
      <c r="I364" s="16">
        <v>2</v>
      </c>
      <c r="L364" s="90">
        <v>3</v>
      </c>
      <c r="M364" s="90">
        <v>3</v>
      </c>
      <c r="N364" s="90">
        <v>2</v>
      </c>
      <c r="O364" s="90">
        <v>1</v>
      </c>
      <c r="P364" s="90">
        <v>2</v>
      </c>
      <c r="Q364" s="90">
        <v>2</v>
      </c>
      <c r="S364" s="16">
        <f t="shared" si="136"/>
        <v>0</v>
      </c>
      <c r="T364" s="16">
        <f t="shared" si="137"/>
        <v>0</v>
      </c>
      <c r="U364" s="16">
        <f t="shared" si="138"/>
        <v>0</v>
      </c>
      <c r="V364" s="16">
        <f t="shared" si="139"/>
        <v>0</v>
      </c>
      <c r="W364" s="16">
        <f>IF(P364&gt;AQ358,0,1)</f>
        <v>0</v>
      </c>
      <c r="X364" s="16">
        <f t="shared" ref="X364:X369" si="146">IF(Q364&gt;LARGE($P$3:$U$3,2),0,1)</f>
        <v>0</v>
      </c>
      <c r="Z364" s="16">
        <f>S364*T364*U364*V364*W364*X364</f>
        <v>0</v>
      </c>
      <c r="AB364" s="16" t="s">
        <v>391</v>
      </c>
      <c r="AC364" s="16" t="s">
        <v>420</v>
      </c>
      <c r="AD364" s="16" t="s">
        <v>391</v>
      </c>
      <c r="AF364" s="434" t="s">
        <v>3242</v>
      </c>
      <c r="AG364" s="400" t="s">
        <v>324</v>
      </c>
      <c r="AH364" s="400" t="s">
        <v>394</v>
      </c>
      <c r="AI364" s="116"/>
      <c r="AJ364" s="116"/>
      <c r="AK364" s="116"/>
      <c r="AL364" s="116"/>
      <c r="AM364" s="116"/>
      <c r="AN364" s="116"/>
      <c r="AO364" s="116"/>
      <c r="AP364" s="102"/>
      <c r="AQ364" s="102"/>
      <c r="AR364" s="102"/>
    </row>
    <row r="365" spans="1:44">
      <c r="A365" s="2" t="str">
        <f>'Reference Score Calculation'!A356</f>
        <v>JS8714</v>
      </c>
      <c r="B365" s="346" t="str">
        <f>'Reference Score Calculation'!B356</f>
        <v>JS8714</v>
      </c>
      <c r="C365" s="2" t="str">
        <f>'Reference Score Calculation'!E356</f>
        <v>人工智能與教育科技榮譽理學士</v>
      </c>
      <c r="D365" s="16">
        <f>'Reference Score Calculation'!U356</f>
        <v>30</v>
      </c>
      <c r="E365" s="16">
        <v>3</v>
      </c>
      <c r="F365" s="16">
        <v>3</v>
      </c>
      <c r="G365" s="16">
        <v>3</v>
      </c>
      <c r="H365" s="16">
        <v>2</v>
      </c>
      <c r="I365" s="16">
        <v>2</v>
      </c>
      <c r="L365" s="90">
        <v>3</v>
      </c>
      <c r="M365" s="90">
        <v>3</v>
      </c>
      <c r="N365" s="90">
        <v>3</v>
      </c>
      <c r="O365" s="90">
        <v>1</v>
      </c>
      <c r="P365" s="90">
        <v>2</v>
      </c>
      <c r="Q365" s="90">
        <v>2</v>
      </c>
      <c r="S365" s="16">
        <f t="shared" si="136"/>
        <v>0</v>
      </c>
      <c r="T365" s="16">
        <f t="shared" si="137"/>
        <v>0</v>
      </c>
      <c r="U365" s="16">
        <f t="shared" si="138"/>
        <v>0</v>
      </c>
      <c r="V365" s="16">
        <f t="shared" si="139"/>
        <v>0</v>
      </c>
      <c r="W365" s="16">
        <f>IF(P365&gt;AQ362,0,1)</f>
        <v>0</v>
      </c>
      <c r="X365" s="16">
        <f t="shared" si="146"/>
        <v>0</v>
      </c>
      <c r="Z365" s="16">
        <f>S365*T365*U365*V365*W365*X365</f>
        <v>0</v>
      </c>
      <c r="AB365" s="16" t="s">
        <v>391</v>
      </c>
      <c r="AC365" s="16" t="s">
        <v>420</v>
      </c>
      <c r="AD365" s="16" t="s">
        <v>391</v>
      </c>
      <c r="AF365" s="434" t="s">
        <v>3234</v>
      </c>
      <c r="AG365" s="434" t="s">
        <v>2515</v>
      </c>
      <c r="AH365" s="400" t="s">
        <v>394</v>
      </c>
      <c r="AI365" s="116"/>
      <c r="AJ365" s="116" t="str">
        <f>Q$2</f>
        <v>請選擇第一選修科</v>
      </c>
      <c r="AK365" s="116" t="str">
        <f>R$2</f>
        <v>請選擇第二選修科</v>
      </c>
      <c r="AL365" s="116" t="str">
        <f>S$2</f>
        <v>請選擇第三選修科</v>
      </c>
      <c r="AM365" s="116" t="str">
        <f>T$2</f>
        <v>請選擇第四選修科</v>
      </c>
      <c r="AN365" s="116"/>
      <c r="AO365" s="116"/>
      <c r="AP365" s="116" t="s">
        <v>3228</v>
      </c>
      <c r="AQ365" s="116"/>
      <c r="AR365" s="102"/>
    </row>
    <row r="366" spans="1:44">
      <c r="A366" s="2" t="str">
        <f>'Reference Score Calculation'!A357</f>
        <v>JS8726</v>
      </c>
      <c r="B366" s="346" t="str">
        <f>'Reference Score Calculation'!B357</f>
        <v>JS8726</v>
      </c>
      <c r="C366" s="2" t="str">
        <f>'Reference Score Calculation'!E357</f>
        <v>運動科學及教練榮譽理學士</v>
      </c>
      <c r="D366" s="16">
        <f>'Reference Score Calculation'!U357</f>
        <v>29</v>
      </c>
      <c r="E366" s="16">
        <v>3</v>
      </c>
      <c r="F366" s="16">
        <v>3</v>
      </c>
      <c r="G366" s="16">
        <v>2</v>
      </c>
      <c r="H366" s="16">
        <v>2</v>
      </c>
      <c r="I366" s="16">
        <v>2</v>
      </c>
      <c r="L366" s="90">
        <v>3</v>
      </c>
      <c r="M366" s="90">
        <v>3</v>
      </c>
      <c r="N366" s="90">
        <v>2</v>
      </c>
      <c r="O366" s="90">
        <v>1</v>
      </c>
      <c r="P366" s="90">
        <v>2</v>
      </c>
      <c r="Q366" s="90">
        <v>2</v>
      </c>
      <c r="S366" s="16">
        <f t="shared" si="136"/>
        <v>0</v>
      </c>
      <c r="T366" s="16">
        <f t="shared" si="137"/>
        <v>0</v>
      </c>
      <c r="U366" s="16">
        <f t="shared" si="138"/>
        <v>0</v>
      </c>
      <c r="V366" s="16">
        <f t="shared" si="139"/>
        <v>0</v>
      </c>
      <c r="W366" s="16">
        <f>IF(P366&gt;LARGE($P$3:$U$3,1),0,1)</f>
        <v>0</v>
      </c>
      <c r="X366" s="16">
        <f t="shared" si="146"/>
        <v>0</v>
      </c>
      <c r="Z366" s="16">
        <f>S366*T366*U366*V366*W366*X366</f>
        <v>0</v>
      </c>
      <c r="AB366" s="16" t="s">
        <v>391</v>
      </c>
      <c r="AC366" s="16" t="s">
        <v>420</v>
      </c>
      <c r="AD366" s="16" t="s">
        <v>391</v>
      </c>
      <c r="AF366" s="400"/>
      <c r="AG366" s="400" t="s">
        <v>324</v>
      </c>
      <c r="AH366" s="400" t="s">
        <v>394</v>
      </c>
      <c r="AI366" s="116" t="s">
        <v>2676</v>
      </c>
      <c r="AJ366" s="117">
        <f>IF(OR(Q2="經濟",Q2="企業、會計與財務概論"),Q3,0)</f>
        <v>0</v>
      </c>
      <c r="AK366" s="117">
        <f>IF(OR(R2="經濟",R2="企業、會計與財務概論"),R3,0)</f>
        <v>0</v>
      </c>
      <c r="AL366" s="117">
        <f>IF(OR(S2="經濟",S2="企業、會計與財務概論"),S3,0)</f>
        <v>0</v>
      </c>
      <c r="AM366" s="117">
        <f>IF(OR(T2="經濟",T2="企業、會計與財務概論"),T3,0)</f>
        <v>0</v>
      </c>
      <c r="AN366" s="116"/>
      <c r="AO366" s="116"/>
      <c r="AP366" s="117" t="str">
        <f>IF(AQ366&gt;0.1,INDEX(AJ365:AM365,MATCH(LARGE(AJ366:AM366,1),AJ366:AM366,0)),"無")</f>
        <v>無</v>
      </c>
      <c r="AQ366" s="117">
        <f>LARGE((AJ366:AM366),1)</f>
        <v>0</v>
      </c>
      <c r="AR366" s="102"/>
    </row>
    <row r="367" spans="1:44">
      <c r="A367" s="2" t="str">
        <f>'Reference Score Calculation'!A358</f>
        <v>JS8727</v>
      </c>
      <c r="B367" s="346" t="str">
        <f>'Reference Score Calculation'!B358</f>
        <v>JS8727</v>
      </c>
      <c r="C367" s="2" t="str">
        <f>'Reference Score Calculation'!E358</f>
        <v>言語病理學及復康榮譽理學士</v>
      </c>
      <c r="L367" s="90">
        <v>3</v>
      </c>
      <c r="M367" s="90">
        <v>3</v>
      </c>
      <c r="N367" s="90">
        <v>2</v>
      </c>
      <c r="O367" s="90">
        <v>1</v>
      </c>
      <c r="P367" s="90">
        <v>2</v>
      </c>
      <c r="Q367" s="90">
        <v>2</v>
      </c>
      <c r="S367" s="16">
        <f t="shared" si="136"/>
        <v>0</v>
      </c>
      <c r="T367" s="16">
        <f t="shared" si="137"/>
        <v>0</v>
      </c>
      <c r="U367" s="16">
        <f t="shared" si="138"/>
        <v>0</v>
      </c>
      <c r="V367" s="16">
        <f t="shared" si="139"/>
        <v>0</v>
      </c>
      <c r="W367" s="16">
        <f>IF(P367&gt;LARGE($P$3:$U$3,1),0,1)</f>
        <v>0</v>
      </c>
      <c r="X367" s="16">
        <f t="shared" si="146"/>
        <v>0</v>
      </c>
      <c r="Z367" s="16">
        <f>S367*T367*U367*V367*W367*X367</f>
        <v>0</v>
      </c>
      <c r="AB367" s="16" t="s">
        <v>391</v>
      </c>
      <c r="AC367" s="16" t="s">
        <v>420</v>
      </c>
      <c r="AD367" s="16" t="s">
        <v>391</v>
      </c>
      <c r="AF367" s="434" t="s">
        <v>3244</v>
      </c>
      <c r="AG367" s="400"/>
      <c r="AH367" s="400"/>
      <c r="AI367" s="116"/>
      <c r="AJ367" s="158" t="s">
        <v>3227</v>
      </c>
      <c r="AK367" s="116"/>
      <c r="AL367" s="116"/>
      <c r="AM367" s="116"/>
      <c r="AN367" s="116"/>
      <c r="AO367" s="116"/>
      <c r="AP367" s="116"/>
      <c r="AQ367" s="102"/>
      <c r="AR367" s="102"/>
    </row>
    <row r="368" spans="1:44">
      <c r="A368" s="2" t="str">
        <f>'Reference Score Calculation'!A359</f>
        <v>JS8001</v>
      </c>
      <c r="B368" s="346" t="str">
        <f>'Reference Score Calculation'!B359</f>
        <v>JS8001</v>
      </c>
      <c r="C368" s="2" t="str">
        <f>'Reference Score Calculation'!E359</f>
        <v>創意藝術與數碼藝術榮譽文學士及音樂教育榮譽學士</v>
      </c>
      <c r="D368" s="16">
        <f>'Reference Score Calculation'!U359</f>
        <v>32</v>
      </c>
      <c r="E368" s="16">
        <v>3</v>
      </c>
      <c r="F368" s="16">
        <v>3</v>
      </c>
      <c r="G368" s="16">
        <v>2</v>
      </c>
      <c r="H368" s="16">
        <v>2</v>
      </c>
      <c r="I368" s="16">
        <v>2</v>
      </c>
      <c r="L368" s="90">
        <v>3</v>
      </c>
      <c r="M368" s="90">
        <v>3</v>
      </c>
      <c r="N368" s="90">
        <v>2</v>
      </c>
      <c r="O368" s="90">
        <v>1</v>
      </c>
      <c r="P368" s="90">
        <v>2</v>
      </c>
      <c r="Q368" s="90">
        <v>2</v>
      </c>
      <c r="S368" s="16">
        <f t="shared" si="136"/>
        <v>0</v>
      </c>
      <c r="T368" s="16">
        <f t="shared" si="137"/>
        <v>0</v>
      </c>
      <c r="U368" s="16">
        <f t="shared" si="138"/>
        <v>0</v>
      </c>
      <c r="V368" s="16">
        <f t="shared" si="139"/>
        <v>0</v>
      </c>
      <c r="W368" s="16">
        <f>IF(P368&gt;LARGE($P$3:$U$3,1),0,1)</f>
        <v>0</v>
      </c>
      <c r="X368" s="16">
        <f t="shared" si="146"/>
        <v>0</v>
      </c>
      <c r="Z368" s="16">
        <f>IF(S368*T368*U368*V368*W368*X368=0,0,2)</f>
        <v>0</v>
      </c>
      <c r="AB368" s="16" t="s">
        <v>391</v>
      </c>
      <c r="AC368" s="16" t="s">
        <v>420</v>
      </c>
      <c r="AD368" s="16" t="s">
        <v>391</v>
      </c>
      <c r="AF368" s="434" t="s">
        <v>2514</v>
      </c>
      <c r="AG368" s="434" t="s">
        <v>3230</v>
      </c>
      <c r="AH368" s="434" t="s">
        <v>394</v>
      </c>
      <c r="AI368" s="116"/>
      <c r="AJ368" s="116"/>
      <c r="AK368" s="116"/>
      <c r="AL368" s="116"/>
      <c r="AM368" s="116"/>
      <c r="AN368" s="116"/>
      <c r="AO368" s="116"/>
      <c r="AP368" s="102"/>
      <c r="AQ368" s="102"/>
      <c r="AR368" s="102"/>
    </row>
    <row r="369" spans="1:44">
      <c r="A369" s="2" t="str">
        <f>'Reference Score Calculation'!A360</f>
        <v>JS8002</v>
      </c>
      <c r="B369" s="346" t="str">
        <f>'Reference Score Calculation'!B360</f>
        <v>JS8002</v>
      </c>
      <c r="C369" s="2" t="str">
        <f>'Reference Score Calculation'!E360</f>
        <v>創意藝術與數碼藝術榮譽文學士及視覺藝術教育榮譽學士</v>
      </c>
      <c r="D369" s="16">
        <f>'Reference Score Calculation'!U360</f>
        <v>32</v>
      </c>
      <c r="E369" s="16">
        <v>3</v>
      </c>
      <c r="F369" s="16">
        <v>3</v>
      </c>
      <c r="G369" s="16">
        <v>2</v>
      </c>
      <c r="H369" s="16">
        <v>2</v>
      </c>
      <c r="I369" s="16">
        <v>2</v>
      </c>
      <c r="L369" s="90">
        <v>3</v>
      </c>
      <c r="M369" s="90">
        <v>3</v>
      </c>
      <c r="N369" s="90">
        <v>2</v>
      </c>
      <c r="O369" s="90">
        <v>1</v>
      </c>
      <c r="P369" s="90">
        <v>2</v>
      </c>
      <c r="Q369" s="90">
        <v>2</v>
      </c>
      <c r="S369" s="16">
        <f t="shared" si="136"/>
        <v>0</v>
      </c>
      <c r="T369" s="16">
        <f t="shared" si="137"/>
        <v>0</v>
      </c>
      <c r="U369" s="16">
        <f t="shared" si="138"/>
        <v>0</v>
      </c>
      <c r="V369" s="16">
        <f t="shared" si="139"/>
        <v>0</v>
      </c>
      <c r="W369" s="16">
        <f>IF(P369&gt;LARGE($P$3:$U$3,1),0,1)</f>
        <v>0</v>
      </c>
      <c r="X369" s="16">
        <f t="shared" si="146"/>
        <v>0</v>
      </c>
      <c r="Z369" s="16">
        <f>IF(S369*T369*U369*V369*W369*X369=0,0,2)</f>
        <v>0</v>
      </c>
      <c r="AB369" s="16" t="s">
        <v>391</v>
      </c>
      <c r="AC369" s="16" t="s">
        <v>420</v>
      </c>
      <c r="AD369" s="16" t="s">
        <v>391</v>
      </c>
      <c r="AF369" s="434" t="s">
        <v>2514</v>
      </c>
      <c r="AG369" s="434" t="s">
        <v>3229</v>
      </c>
      <c r="AH369" s="434" t="s">
        <v>394</v>
      </c>
      <c r="AI369" s="116"/>
      <c r="AJ369" s="116" t="str">
        <f t="shared" ref="AJ369:AQ369" si="147">N2</f>
        <v>數學</v>
      </c>
      <c r="AK369" s="116" t="str">
        <f t="shared" si="147"/>
        <v>公社科</v>
      </c>
      <c r="AL369" s="116" t="str">
        <f t="shared" si="147"/>
        <v>數學延伸</v>
      </c>
      <c r="AM369" s="116" t="str">
        <f t="shared" si="147"/>
        <v>請選擇第一選修科</v>
      </c>
      <c r="AN369" s="116" t="str">
        <f t="shared" si="147"/>
        <v>請選擇第二選修科</v>
      </c>
      <c r="AO369" s="116" t="str">
        <f t="shared" si="147"/>
        <v>請選擇第三選修科</v>
      </c>
      <c r="AP369" s="116" t="str">
        <f t="shared" si="147"/>
        <v>請選擇第四選修科</v>
      </c>
      <c r="AQ369" s="116" t="str">
        <f t="shared" si="147"/>
        <v>請選擇語言科目</v>
      </c>
      <c r="AR369" s="116"/>
    </row>
    <row r="370" spans="1:44">
      <c r="A370" s="346">
        <f>'Reference Score Calculation'!A361</f>
        <v>0</v>
      </c>
      <c r="B370" s="424" t="s">
        <v>237</v>
      </c>
      <c r="C370" s="425" t="s">
        <v>3256</v>
      </c>
      <c r="L370" s="90"/>
      <c r="M370" s="90"/>
      <c r="N370" s="90"/>
      <c r="O370" s="90"/>
      <c r="P370" s="90"/>
      <c r="Q370" s="90"/>
      <c r="AH370" s="21" t="s">
        <v>394</v>
      </c>
      <c r="AI370" s="116" t="s">
        <v>3241</v>
      </c>
      <c r="AJ370" s="117">
        <f>N3</f>
        <v>3E-10</v>
      </c>
      <c r="AK370" s="117">
        <f>IF(計分版!N2="達標",2,0)</f>
        <v>0</v>
      </c>
      <c r="AL370" s="117">
        <f t="shared" ref="AL370:AQ370" si="148">P3</f>
        <v>5.0000000000000003E-10</v>
      </c>
      <c r="AM370" s="117">
        <f t="shared" si="148"/>
        <v>6E-10</v>
      </c>
      <c r="AN370" s="117">
        <f t="shared" si="148"/>
        <v>6.9999999999999996E-10</v>
      </c>
      <c r="AO370" s="117">
        <f t="shared" si="148"/>
        <v>8.0000000000000003E-10</v>
      </c>
      <c r="AP370" s="117">
        <f t="shared" si="148"/>
        <v>8.9999999999999999E-10</v>
      </c>
      <c r="AQ370" s="117">
        <f t="shared" si="148"/>
        <v>0</v>
      </c>
      <c r="AR370" s="115"/>
    </row>
    <row r="371" spans="1:44">
      <c r="A371" s="346">
        <f>'Reference Score Calculation'!A362</f>
        <v>0</v>
      </c>
      <c r="B371" s="424" t="s">
        <v>104</v>
      </c>
      <c r="C371" s="11" t="s">
        <v>106</v>
      </c>
      <c r="D371" s="19" t="s">
        <v>36</v>
      </c>
      <c r="E371" s="19"/>
      <c r="F371" s="19"/>
      <c r="G371" s="19"/>
      <c r="H371" s="19"/>
      <c r="I371" s="19"/>
      <c r="J371" s="19"/>
      <c r="K371" s="19"/>
      <c r="L371" s="92" t="s">
        <v>111</v>
      </c>
      <c r="M371" s="92" t="s">
        <v>112</v>
      </c>
      <c r="N371" s="92" t="s">
        <v>113</v>
      </c>
      <c r="O371" s="92" t="s">
        <v>114</v>
      </c>
      <c r="P371" s="92" t="s">
        <v>115</v>
      </c>
      <c r="Q371" s="408" t="s">
        <v>2059</v>
      </c>
      <c r="R371" s="16"/>
      <c r="S371" s="19" t="s">
        <v>111</v>
      </c>
      <c r="T371" s="19" t="s">
        <v>112</v>
      </c>
      <c r="U371" s="19" t="s">
        <v>113</v>
      </c>
      <c r="V371" s="19" t="s">
        <v>114</v>
      </c>
      <c r="W371" s="19" t="s">
        <v>115</v>
      </c>
      <c r="X371" s="19" t="s">
        <v>2059</v>
      </c>
      <c r="AB371" s="16" t="s">
        <v>267</v>
      </c>
      <c r="AC371" s="16" t="s">
        <v>268</v>
      </c>
      <c r="AD371" s="16" t="s">
        <v>269</v>
      </c>
      <c r="AH371" s="21" t="s">
        <v>394</v>
      </c>
      <c r="AI371" s="116"/>
      <c r="AJ371" s="116"/>
      <c r="AK371" s="116"/>
      <c r="AL371" s="116"/>
      <c r="AM371" s="116"/>
      <c r="AN371" s="116"/>
      <c r="AO371" s="116"/>
      <c r="AP371" s="102"/>
      <c r="AQ371" s="102"/>
      <c r="AR371" s="102"/>
    </row>
    <row r="372" spans="1:44">
      <c r="A372" s="346" t="str">
        <f>'Reference Score Calculation'!A363</f>
        <v>JS9009</v>
      </c>
      <c r="B372" s="346" t="str">
        <f>'Reference Score Calculation'!B363</f>
        <v>JS9009</v>
      </c>
      <c r="C372" s="2" t="str">
        <f>'Reference Score Calculation'!E363</f>
        <v>社會科學榮譽學士</v>
      </c>
      <c r="D372" s="2">
        <f>'Reference Score Calculation'!U363</f>
        <v>100</v>
      </c>
      <c r="E372" s="2">
        <v>3</v>
      </c>
      <c r="F372" s="2">
        <v>3</v>
      </c>
      <c r="G372" s="2">
        <v>2</v>
      </c>
      <c r="H372" s="2">
        <v>2</v>
      </c>
      <c r="I372" s="2">
        <v>2</v>
      </c>
      <c r="J372" s="2"/>
      <c r="K372" s="2"/>
      <c r="L372" s="90">
        <v>3</v>
      </c>
      <c r="M372" s="90">
        <v>3</v>
      </c>
      <c r="N372" s="90">
        <v>2</v>
      </c>
      <c r="O372" s="90">
        <v>1</v>
      </c>
      <c r="P372" s="90">
        <v>2</v>
      </c>
      <c r="Q372" s="90">
        <v>2</v>
      </c>
      <c r="S372" s="16">
        <f>IF(L372&gt;L$3,0,1)</f>
        <v>0</v>
      </c>
      <c r="T372" s="16">
        <f>IF(M372&gt;M$3,0,1)</f>
        <v>0</v>
      </c>
      <c r="U372" s="16">
        <f>IF(N372&gt;N$3,0,1)</f>
        <v>0</v>
      </c>
      <c r="V372" s="16">
        <f>IF(O372&gt;O$3,0,1)</f>
        <v>0</v>
      </c>
      <c r="W372" s="16">
        <f>IF(P372&gt;LARGE($P$3:$U$3,1),0,1)</f>
        <v>0</v>
      </c>
      <c r="X372" s="16">
        <f>IF(Q372&gt;LARGE($P$3:$U$3,2),0,1)</f>
        <v>0</v>
      </c>
      <c r="Z372" s="16">
        <f>S372*T372*U372*V372*W372*X372</f>
        <v>0</v>
      </c>
      <c r="AB372" s="16" t="s">
        <v>391</v>
      </c>
      <c r="AC372" s="16" t="s">
        <v>392</v>
      </c>
      <c r="AD372" s="16" t="s">
        <v>391</v>
      </c>
      <c r="AF372" s="21" t="s">
        <v>324</v>
      </c>
      <c r="AG372" s="21" t="s">
        <v>324</v>
      </c>
      <c r="AH372" s="21" t="s">
        <v>394</v>
      </c>
    </row>
    <row r="373" spans="1:44">
      <c r="A373" s="346" t="str">
        <f>'Reference Score Calculation'!A364</f>
        <v>JS9010</v>
      </c>
      <c r="B373" s="346" t="str">
        <f>'Reference Score Calculation'!B364</f>
        <v>JS9010</v>
      </c>
      <c r="C373" s="2" t="str">
        <f>'Reference Score Calculation'!E364</f>
        <v>心理學榮譽社會科學學士</v>
      </c>
      <c r="D373" s="2">
        <f>'Reference Score Calculation'!U364</f>
        <v>120</v>
      </c>
      <c r="E373" s="2">
        <v>3</v>
      </c>
      <c r="F373" s="2">
        <v>3</v>
      </c>
      <c r="G373" s="2">
        <v>2</v>
      </c>
      <c r="H373" s="2">
        <v>2</v>
      </c>
      <c r="I373" s="2">
        <v>2</v>
      </c>
      <c r="J373" s="2"/>
      <c r="K373" s="2"/>
      <c r="L373" s="90">
        <v>3</v>
      </c>
      <c r="M373" s="90">
        <v>3</v>
      </c>
      <c r="N373" s="90">
        <v>2</v>
      </c>
      <c r="O373" s="90">
        <v>1</v>
      </c>
      <c r="P373" s="90">
        <v>2</v>
      </c>
      <c r="Q373" s="90">
        <v>2</v>
      </c>
      <c r="S373" s="16">
        <f t="shared" ref="S373:S399" si="149">IF(L373&gt;L$3,0,1)</f>
        <v>0</v>
      </c>
      <c r="T373" s="16">
        <f t="shared" ref="T373:T399" si="150">IF(M373&gt;M$3,0,1)</f>
        <v>0</v>
      </c>
      <c r="U373" s="16">
        <f t="shared" ref="U373:U399" si="151">IF(N373&gt;N$3,0,1)</f>
        <v>0</v>
      </c>
      <c r="V373" s="16">
        <f t="shared" ref="V373:V399" si="152">IF(O373&gt;O$3,0,1)</f>
        <v>0</v>
      </c>
      <c r="W373" s="16">
        <f t="shared" ref="W373:W399" si="153">IF(P373&gt;LARGE($P$3:$U$3,1),0,1)</f>
        <v>0</v>
      </c>
      <c r="X373" s="16">
        <f t="shared" ref="X373:X399" si="154">IF(Q373&gt;LARGE($P$3:$U$3,2),0,1)</f>
        <v>0</v>
      </c>
      <c r="Z373" s="16">
        <f t="shared" ref="Z373:Z399" si="155">S373*T373*U373*V373*W373*X373</f>
        <v>0</v>
      </c>
      <c r="AB373" s="16" t="s">
        <v>391</v>
      </c>
      <c r="AC373" s="16" t="s">
        <v>392</v>
      </c>
      <c r="AD373" s="16" t="s">
        <v>391</v>
      </c>
      <c r="AF373" s="21" t="s">
        <v>324</v>
      </c>
      <c r="AG373" s="21" t="s">
        <v>324</v>
      </c>
      <c r="AH373" s="21" t="s">
        <v>394</v>
      </c>
    </row>
    <row r="374" spans="1:44">
      <c r="A374" s="346" t="str">
        <f>'Reference Score Calculation'!A365</f>
        <v>JS9011</v>
      </c>
      <c r="B374" s="346" t="str">
        <f>'Reference Score Calculation'!B365</f>
        <v>JS9011</v>
      </c>
      <c r="C374" s="2" t="str">
        <f>'Reference Score Calculation'!E365</f>
        <v>中文榮譽文學士</v>
      </c>
      <c r="D374" s="2">
        <f>'Reference Score Calculation'!U365</f>
        <v>40</v>
      </c>
      <c r="E374" s="2">
        <v>3</v>
      </c>
      <c r="F374" s="2">
        <v>3</v>
      </c>
      <c r="G374" s="2">
        <v>2</v>
      </c>
      <c r="H374" s="2">
        <v>2</v>
      </c>
      <c r="I374" s="2">
        <v>2</v>
      </c>
      <c r="J374" s="2"/>
      <c r="K374" s="2"/>
      <c r="L374" s="90">
        <v>3</v>
      </c>
      <c r="M374" s="90">
        <v>3</v>
      </c>
      <c r="N374" s="90">
        <v>2</v>
      </c>
      <c r="O374" s="90">
        <v>1</v>
      </c>
      <c r="P374" s="90">
        <v>2</v>
      </c>
      <c r="Q374" s="90">
        <v>2</v>
      </c>
      <c r="S374" s="16">
        <f t="shared" si="149"/>
        <v>0</v>
      </c>
      <c r="T374" s="16">
        <f t="shared" si="150"/>
        <v>0</v>
      </c>
      <c r="U374" s="16">
        <f t="shared" si="151"/>
        <v>0</v>
      </c>
      <c r="V374" s="16">
        <f t="shared" si="152"/>
        <v>0</v>
      </c>
      <c r="W374" s="16">
        <f t="shared" si="153"/>
        <v>0</v>
      </c>
      <c r="X374" s="16">
        <f t="shared" si="154"/>
        <v>0</v>
      </c>
      <c r="Z374" s="16">
        <f t="shared" si="155"/>
        <v>0</v>
      </c>
      <c r="AB374" s="16" t="s">
        <v>391</v>
      </c>
      <c r="AC374" s="16" t="s">
        <v>392</v>
      </c>
      <c r="AD374" s="16" t="s">
        <v>391</v>
      </c>
      <c r="AF374" s="21" t="s">
        <v>324</v>
      </c>
      <c r="AG374" s="21" t="s">
        <v>324</v>
      </c>
      <c r="AH374" s="21" t="s">
        <v>394</v>
      </c>
    </row>
    <row r="375" spans="1:44">
      <c r="A375" s="346" t="str">
        <f>'Reference Score Calculation'!A366</f>
        <v>JS9013</v>
      </c>
      <c r="B375" s="346" t="str">
        <f>'Reference Score Calculation'!B366</f>
        <v>JS9013</v>
      </c>
      <c r="C375" s="2" t="str">
        <f>'Reference Score Calculation'!E366</f>
        <v>語言研究與翻譯榮譽文學士</v>
      </c>
      <c r="D375" s="2">
        <f>'Reference Score Calculation'!U366</f>
        <v>45</v>
      </c>
      <c r="E375" s="2">
        <v>3</v>
      </c>
      <c r="F375" s="2">
        <v>3</v>
      </c>
      <c r="G375" s="2">
        <v>2</v>
      </c>
      <c r="H375" s="2">
        <v>2</v>
      </c>
      <c r="I375" s="2">
        <v>2</v>
      </c>
      <c r="J375" s="2"/>
      <c r="K375" s="2"/>
      <c r="L375" s="90">
        <v>3</v>
      </c>
      <c r="M375" s="90">
        <v>3</v>
      </c>
      <c r="N375" s="90">
        <v>2</v>
      </c>
      <c r="O375" s="90">
        <v>1</v>
      </c>
      <c r="P375" s="90">
        <v>2</v>
      </c>
      <c r="Q375" s="90">
        <v>2</v>
      </c>
      <c r="S375" s="16">
        <f t="shared" si="149"/>
        <v>0</v>
      </c>
      <c r="T375" s="16">
        <f t="shared" si="150"/>
        <v>0</v>
      </c>
      <c r="U375" s="16">
        <f t="shared" si="151"/>
        <v>0</v>
      </c>
      <c r="V375" s="16">
        <f t="shared" si="152"/>
        <v>0</v>
      </c>
      <c r="W375" s="16">
        <f t="shared" si="153"/>
        <v>0</v>
      </c>
      <c r="X375" s="16">
        <f t="shared" si="154"/>
        <v>0</v>
      </c>
      <c r="Z375" s="16">
        <f t="shared" si="155"/>
        <v>0</v>
      </c>
      <c r="AB375" s="16" t="s">
        <v>391</v>
      </c>
      <c r="AC375" s="16" t="s">
        <v>392</v>
      </c>
      <c r="AD375" s="16" t="s">
        <v>391</v>
      </c>
      <c r="AF375" s="21" t="s">
        <v>324</v>
      </c>
      <c r="AG375" s="21" t="s">
        <v>324</v>
      </c>
      <c r="AH375" s="21" t="s">
        <v>394</v>
      </c>
    </row>
    <row r="376" spans="1:44">
      <c r="A376" s="346" t="str">
        <f>'Reference Score Calculation'!A367</f>
        <v>JS9016</v>
      </c>
      <c r="B376" s="346" t="str">
        <f>'Reference Score Calculation'!B367</f>
        <v>JS9016</v>
      </c>
      <c r="C376" s="2" t="str">
        <f>'Reference Score Calculation'!E367</f>
        <v>創意廣告及媒體設計榮譽文學士</v>
      </c>
      <c r="D376" s="2">
        <f>'Reference Score Calculation'!U367</f>
        <v>70</v>
      </c>
      <c r="E376" s="2">
        <v>3</v>
      </c>
      <c r="F376" s="2">
        <v>3</v>
      </c>
      <c r="G376" s="2">
        <v>2</v>
      </c>
      <c r="H376" s="2">
        <v>2</v>
      </c>
      <c r="I376" s="2">
        <v>2</v>
      </c>
      <c r="J376" s="2"/>
      <c r="K376" s="2"/>
      <c r="L376" s="90">
        <v>3</v>
      </c>
      <c r="M376" s="90">
        <v>3</v>
      </c>
      <c r="N376" s="90">
        <v>2</v>
      </c>
      <c r="O376" s="90">
        <v>1</v>
      </c>
      <c r="P376" s="90">
        <v>2</v>
      </c>
      <c r="Q376" s="90">
        <v>2</v>
      </c>
      <c r="S376" s="16">
        <f t="shared" si="149"/>
        <v>0</v>
      </c>
      <c r="T376" s="16">
        <f t="shared" si="150"/>
        <v>0</v>
      </c>
      <c r="U376" s="16">
        <f t="shared" si="151"/>
        <v>0</v>
      </c>
      <c r="V376" s="16">
        <f t="shared" si="152"/>
        <v>0</v>
      </c>
      <c r="W376" s="16">
        <f t="shared" si="153"/>
        <v>0</v>
      </c>
      <c r="X376" s="16">
        <f t="shared" si="154"/>
        <v>0</v>
      </c>
      <c r="Z376" s="16">
        <f t="shared" si="155"/>
        <v>0</v>
      </c>
      <c r="AB376" s="16" t="s">
        <v>391</v>
      </c>
      <c r="AC376" s="16" t="s">
        <v>392</v>
      </c>
      <c r="AD376" s="16" t="s">
        <v>391</v>
      </c>
      <c r="AF376" s="21" t="s">
        <v>324</v>
      </c>
      <c r="AG376" s="21" t="s">
        <v>324</v>
      </c>
      <c r="AH376" s="21" t="s">
        <v>394</v>
      </c>
    </row>
    <row r="377" spans="1:44">
      <c r="A377" s="346" t="str">
        <f>'Reference Score Calculation'!A368</f>
        <v>JS9019</v>
      </c>
      <c r="B377" s="346" t="str">
        <f>'Reference Score Calculation'!B368</f>
        <v>JS9019</v>
      </c>
      <c r="C377" s="2" t="str">
        <f>'Reference Score Calculation'!E368</f>
        <v>英語及文化榮譽文學士</v>
      </c>
      <c r="D377" s="2">
        <f>'Reference Score Calculation'!U368</f>
        <v>30</v>
      </c>
      <c r="E377" s="2">
        <v>3</v>
      </c>
      <c r="F377" s="2">
        <v>3</v>
      </c>
      <c r="G377" s="2">
        <v>2</v>
      </c>
      <c r="H377" s="2">
        <v>2</v>
      </c>
      <c r="I377" s="2">
        <v>2</v>
      </c>
      <c r="J377" s="2"/>
      <c r="K377" s="2"/>
      <c r="L377" s="90">
        <v>3</v>
      </c>
      <c r="M377" s="90">
        <v>3</v>
      </c>
      <c r="N377" s="90">
        <v>2</v>
      </c>
      <c r="O377" s="90">
        <v>1</v>
      </c>
      <c r="P377" s="90">
        <v>2</v>
      </c>
      <c r="Q377" s="90">
        <v>2</v>
      </c>
      <c r="S377" s="16">
        <f t="shared" si="149"/>
        <v>0</v>
      </c>
      <c r="T377" s="16">
        <f t="shared" si="150"/>
        <v>0</v>
      </c>
      <c r="U377" s="16">
        <f t="shared" si="151"/>
        <v>0</v>
      </c>
      <c r="V377" s="16">
        <f t="shared" si="152"/>
        <v>0</v>
      </c>
      <c r="W377" s="16">
        <f t="shared" si="153"/>
        <v>0</v>
      </c>
      <c r="X377" s="16">
        <f t="shared" si="154"/>
        <v>0</v>
      </c>
      <c r="Z377" s="16">
        <f t="shared" si="155"/>
        <v>0</v>
      </c>
      <c r="AB377" s="16" t="s">
        <v>391</v>
      </c>
      <c r="AC377" s="16" t="s">
        <v>392</v>
      </c>
      <c r="AD377" s="16" t="s">
        <v>391</v>
      </c>
      <c r="AF377" s="21" t="s">
        <v>324</v>
      </c>
      <c r="AG377" s="21" t="s">
        <v>324</v>
      </c>
      <c r="AH377" s="21" t="s">
        <v>394</v>
      </c>
    </row>
    <row r="378" spans="1:44">
      <c r="A378" s="346" t="str">
        <f>'Reference Score Calculation'!A369</f>
        <v>JS9220</v>
      </c>
      <c r="B378" s="346" t="str">
        <f>'Reference Score Calculation'!B369</f>
        <v>JS9220</v>
      </c>
      <c r="C378" s="2" t="str">
        <f>'Reference Score Calculation'!E369</f>
        <v>專業會計榮譽工商管理學士</v>
      </c>
      <c r="D378" s="2">
        <f>'Reference Score Calculation'!U369</f>
        <v>40</v>
      </c>
      <c r="E378" s="2">
        <v>3</v>
      </c>
      <c r="F378" s="2">
        <v>3</v>
      </c>
      <c r="G378" s="2">
        <v>2</v>
      </c>
      <c r="H378" s="2">
        <v>2</v>
      </c>
      <c r="I378" s="2">
        <v>2</v>
      </c>
      <c r="J378" s="2"/>
      <c r="K378" s="2"/>
      <c r="L378" s="90">
        <v>3</v>
      </c>
      <c r="M378" s="90">
        <v>3</v>
      </c>
      <c r="N378" s="90">
        <v>2</v>
      </c>
      <c r="O378" s="90">
        <v>1</v>
      </c>
      <c r="P378" s="90">
        <v>2</v>
      </c>
      <c r="Q378" s="90">
        <v>2</v>
      </c>
      <c r="S378" s="16">
        <f t="shared" si="149"/>
        <v>0</v>
      </c>
      <c r="T378" s="16">
        <f t="shared" si="150"/>
        <v>0</v>
      </c>
      <c r="U378" s="16">
        <f t="shared" si="151"/>
        <v>0</v>
      </c>
      <c r="V378" s="16">
        <f t="shared" si="152"/>
        <v>0</v>
      </c>
      <c r="W378" s="16">
        <f t="shared" si="153"/>
        <v>0</v>
      </c>
      <c r="X378" s="16">
        <f t="shared" si="154"/>
        <v>0</v>
      </c>
      <c r="Z378" s="16">
        <f t="shared" si="155"/>
        <v>0</v>
      </c>
      <c r="AB378" s="16" t="s">
        <v>391</v>
      </c>
      <c r="AC378" s="16" t="s">
        <v>392</v>
      </c>
      <c r="AD378" s="16" t="s">
        <v>391</v>
      </c>
      <c r="AF378" s="21" t="s">
        <v>324</v>
      </c>
      <c r="AG378" s="21" t="s">
        <v>324</v>
      </c>
      <c r="AH378" s="21" t="s">
        <v>394</v>
      </c>
    </row>
    <row r="379" spans="1:44">
      <c r="A379" s="346" t="str">
        <f>'Reference Score Calculation'!A370</f>
        <v>JS9230</v>
      </c>
      <c r="B379" s="346" t="str">
        <f>'Reference Score Calculation'!B370</f>
        <v>JS9230</v>
      </c>
      <c r="C379" s="2" t="str">
        <f>'Reference Score Calculation'!E370</f>
        <v>商業管理學榮譽工商管理學士</v>
      </c>
      <c r="D379" s="2">
        <f>'Reference Score Calculation'!U370</f>
        <v>40</v>
      </c>
      <c r="E379" s="2">
        <v>3</v>
      </c>
      <c r="F379" s="2">
        <v>3</v>
      </c>
      <c r="G379" s="2">
        <v>2</v>
      </c>
      <c r="H379" s="2">
        <v>2</v>
      </c>
      <c r="I379" s="2">
        <v>2</v>
      </c>
      <c r="J379" s="2"/>
      <c r="K379" s="2"/>
      <c r="L379" s="90">
        <v>3</v>
      </c>
      <c r="M379" s="90">
        <v>3</v>
      </c>
      <c r="N379" s="90">
        <v>2</v>
      </c>
      <c r="O379" s="90">
        <v>1</v>
      </c>
      <c r="P379" s="90">
        <v>2</v>
      </c>
      <c r="Q379" s="90">
        <v>2</v>
      </c>
      <c r="S379" s="16">
        <f t="shared" si="149"/>
        <v>0</v>
      </c>
      <c r="T379" s="16">
        <f t="shared" si="150"/>
        <v>0</v>
      </c>
      <c r="U379" s="16">
        <f t="shared" si="151"/>
        <v>0</v>
      </c>
      <c r="V379" s="16">
        <f t="shared" si="152"/>
        <v>0</v>
      </c>
      <c r="W379" s="16">
        <f t="shared" si="153"/>
        <v>0</v>
      </c>
      <c r="X379" s="16">
        <f t="shared" si="154"/>
        <v>0</v>
      </c>
      <c r="Z379" s="16">
        <f t="shared" si="155"/>
        <v>0</v>
      </c>
      <c r="AB379" s="16" t="s">
        <v>391</v>
      </c>
      <c r="AC379" s="16" t="s">
        <v>392</v>
      </c>
      <c r="AD379" s="16" t="s">
        <v>391</v>
      </c>
      <c r="AF379" s="21" t="s">
        <v>324</v>
      </c>
      <c r="AG379" s="21" t="s">
        <v>324</v>
      </c>
      <c r="AH379" s="21" t="s">
        <v>394</v>
      </c>
    </row>
    <row r="380" spans="1:44">
      <c r="A380" s="346" t="str">
        <f>'Reference Score Calculation'!A371</f>
        <v>JS9240</v>
      </c>
      <c r="B380" s="346" t="str">
        <f>'Reference Score Calculation'!B371</f>
        <v>JS9240</v>
      </c>
      <c r="C380" s="2" t="str">
        <f>'Reference Score Calculation'!E371</f>
        <v>環球商業及市場學榮譽工商管理學士</v>
      </c>
      <c r="D380" s="2">
        <f>'Reference Score Calculation'!U371</f>
        <v>10</v>
      </c>
      <c r="E380" s="2">
        <v>3</v>
      </c>
      <c r="F380" s="2">
        <v>3</v>
      </c>
      <c r="G380" s="2">
        <v>2</v>
      </c>
      <c r="H380" s="2">
        <v>2</v>
      </c>
      <c r="I380" s="2">
        <v>2</v>
      </c>
      <c r="J380" s="2"/>
      <c r="K380" s="2"/>
      <c r="L380" s="90">
        <v>3</v>
      </c>
      <c r="M380" s="90">
        <v>3</v>
      </c>
      <c r="N380" s="90">
        <v>2</v>
      </c>
      <c r="O380" s="90">
        <v>1</v>
      </c>
      <c r="P380" s="90">
        <v>2</v>
      </c>
      <c r="Q380" s="90">
        <v>2</v>
      </c>
      <c r="S380" s="16">
        <f t="shared" si="149"/>
        <v>0</v>
      </c>
      <c r="T380" s="16">
        <f t="shared" si="150"/>
        <v>0</v>
      </c>
      <c r="U380" s="16">
        <f t="shared" si="151"/>
        <v>0</v>
      </c>
      <c r="V380" s="16">
        <f t="shared" si="152"/>
        <v>0</v>
      </c>
      <c r="W380" s="16">
        <f t="shared" si="153"/>
        <v>0</v>
      </c>
      <c r="X380" s="16">
        <f t="shared" si="154"/>
        <v>0</v>
      </c>
      <c r="Z380" s="16">
        <f t="shared" si="155"/>
        <v>0</v>
      </c>
      <c r="AB380" s="16" t="s">
        <v>391</v>
      </c>
      <c r="AC380" s="16" t="s">
        <v>392</v>
      </c>
      <c r="AD380" s="16" t="s">
        <v>391</v>
      </c>
      <c r="AF380" s="21" t="s">
        <v>324</v>
      </c>
      <c r="AG380" s="21" t="s">
        <v>324</v>
      </c>
      <c r="AH380" s="21" t="s">
        <v>394</v>
      </c>
    </row>
    <row r="381" spans="1:44">
      <c r="A381" s="346" t="str">
        <f>'Reference Score Calculation'!A372</f>
        <v>JS9262</v>
      </c>
      <c r="B381" s="346" t="str">
        <f>'Reference Score Calculation'!B372</f>
        <v>JS9262</v>
      </c>
      <c r="C381" s="2" t="str">
        <f>'Reference Score Calculation'!E372</f>
        <v>人力資源管理學榮譽工商管理學士</v>
      </c>
      <c r="D381" s="2">
        <f>'Reference Score Calculation'!U372</f>
        <v>20</v>
      </c>
      <c r="E381" s="2">
        <v>3</v>
      </c>
      <c r="F381" s="2">
        <v>3</v>
      </c>
      <c r="G381" s="2">
        <v>2</v>
      </c>
      <c r="H381" s="2">
        <v>2</v>
      </c>
      <c r="I381" s="2">
        <v>2</v>
      </c>
      <c r="J381" s="2"/>
      <c r="K381" s="2"/>
      <c r="L381" s="90">
        <v>3</v>
      </c>
      <c r="M381" s="90">
        <v>3</v>
      </c>
      <c r="N381" s="90">
        <v>2</v>
      </c>
      <c r="O381" s="90">
        <v>1</v>
      </c>
      <c r="P381" s="90">
        <v>2</v>
      </c>
      <c r="Q381" s="90">
        <v>2</v>
      </c>
      <c r="S381" s="16">
        <f t="shared" si="149"/>
        <v>0</v>
      </c>
      <c r="T381" s="16">
        <f t="shared" si="150"/>
        <v>0</v>
      </c>
      <c r="U381" s="16">
        <f t="shared" si="151"/>
        <v>0</v>
      </c>
      <c r="V381" s="16">
        <f t="shared" si="152"/>
        <v>0</v>
      </c>
      <c r="W381" s="16">
        <f t="shared" si="153"/>
        <v>0</v>
      </c>
      <c r="X381" s="16">
        <f t="shared" si="154"/>
        <v>0</v>
      </c>
      <c r="Z381" s="16">
        <f t="shared" si="155"/>
        <v>0</v>
      </c>
      <c r="AB381" s="16" t="s">
        <v>391</v>
      </c>
      <c r="AC381" s="16" t="s">
        <v>392</v>
      </c>
      <c r="AD381" s="16" t="s">
        <v>391</v>
      </c>
      <c r="AF381" s="21" t="s">
        <v>324</v>
      </c>
      <c r="AG381" s="21" t="s">
        <v>324</v>
      </c>
      <c r="AH381" s="21" t="s">
        <v>394</v>
      </c>
    </row>
    <row r="382" spans="1:44">
      <c r="A382" s="346" t="str">
        <f>'Reference Score Calculation'!A373</f>
        <v>JS9266</v>
      </c>
      <c r="B382" s="346" t="str">
        <f>'Reference Score Calculation'!B373</f>
        <v>JS9266</v>
      </c>
      <c r="C382" s="2" t="str">
        <f>'Reference Score Calculation'!E373</f>
        <v>市場學榮譽工商管理學士</v>
      </c>
      <c r="D382" s="2">
        <f>'Reference Score Calculation'!U373</f>
        <v>20</v>
      </c>
      <c r="E382" s="2">
        <v>3</v>
      </c>
      <c r="F382" s="2">
        <v>3</v>
      </c>
      <c r="G382" s="2">
        <v>2</v>
      </c>
      <c r="H382" s="2">
        <v>2</v>
      </c>
      <c r="I382" s="2">
        <v>2</v>
      </c>
      <c r="J382" s="2"/>
      <c r="K382" s="2"/>
      <c r="L382" s="90">
        <v>3</v>
      </c>
      <c r="M382" s="90">
        <v>3</v>
      </c>
      <c r="N382" s="90">
        <v>2</v>
      </c>
      <c r="O382" s="90">
        <v>1</v>
      </c>
      <c r="P382" s="90">
        <v>2</v>
      </c>
      <c r="Q382" s="90">
        <v>2</v>
      </c>
      <c r="S382" s="16">
        <f t="shared" si="149"/>
        <v>0</v>
      </c>
      <c r="T382" s="16">
        <f t="shared" si="150"/>
        <v>0</v>
      </c>
      <c r="U382" s="16">
        <f t="shared" si="151"/>
        <v>0</v>
      </c>
      <c r="V382" s="16">
        <f t="shared" si="152"/>
        <v>0</v>
      </c>
      <c r="W382" s="16">
        <f t="shared" si="153"/>
        <v>0</v>
      </c>
      <c r="X382" s="16">
        <f t="shared" si="154"/>
        <v>0</v>
      </c>
      <c r="Z382" s="16">
        <f t="shared" si="155"/>
        <v>0</v>
      </c>
      <c r="AB382" s="16" t="s">
        <v>391</v>
      </c>
      <c r="AC382" s="16" t="s">
        <v>392</v>
      </c>
      <c r="AD382" s="16" t="s">
        <v>391</v>
      </c>
      <c r="AF382" s="21" t="s">
        <v>324</v>
      </c>
      <c r="AG382" s="21" t="s">
        <v>324</v>
      </c>
      <c r="AH382" s="21" t="s">
        <v>394</v>
      </c>
    </row>
    <row r="383" spans="1:44">
      <c r="A383" s="346" t="str">
        <f>'Reference Score Calculation'!A374</f>
        <v>JS9276</v>
      </c>
      <c r="B383" s="346" t="str">
        <f>'Reference Score Calculation'!B374</f>
        <v>JS9276</v>
      </c>
      <c r="C383" s="2" t="str">
        <f>'Reference Score Calculation'!E374</f>
        <v>房地產及測量學榮譽工商管理學士</v>
      </c>
      <c r="D383" s="2">
        <f>'Reference Score Calculation'!U374</f>
        <v>20</v>
      </c>
      <c r="E383" s="2"/>
      <c r="F383" s="2"/>
      <c r="G383" s="2"/>
      <c r="H383" s="2"/>
      <c r="I383" s="2"/>
      <c r="J383" s="2"/>
      <c r="K383" s="2"/>
      <c r="L383" s="90">
        <v>3</v>
      </c>
      <c r="M383" s="90">
        <v>3</v>
      </c>
      <c r="N383" s="90">
        <v>2</v>
      </c>
      <c r="O383" s="90">
        <v>1</v>
      </c>
      <c r="P383" s="90">
        <v>2</v>
      </c>
      <c r="Q383" s="90">
        <v>2</v>
      </c>
      <c r="S383" s="16">
        <f t="shared" si="149"/>
        <v>0</v>
      </c>
      <c r="T383" s="16">
        <f t="shared" si="150"/>
        <v>0</v>
      </c>
      <c r="U383" s="16">
        <f t="shared" si="151"/>
        <v>0</v>
      </c>
      <c r="V383" s="16">
        <f t="shared" si="152"/>
        <v>0</v>
      </c>
      <c r="W383" s="16">
        <f t="shared" si="153"/>
        <v>0</v>
      </c>
      <c r="X383" s="16">
        <f t="shared" si="154"/>
        <v>0</v>
      </c>
      <c r="Z383" s="16">
        <f t="shared" si="155"/>
        <v>0</v>
      </c>
      <c r="AB383" s="16" t="s">
        <v>391</v>
      </c>
      <c r="AC383" s="16" t="s">
        <v>392</v>
      </c>
      <c r="AD383" s="16" t="s">
        <v>391</v>
      </c>
      <c r="AF383" s="21" t="s">
        <v>324</v>
      </c>
      <c r="AG383" s="21" t="s">
        <v>324</v>
      </c>
      <c r="AH383" s="21" t="s">
        <v>394</v>
      </c>
    </row>
    <row r="384" spans="1:44">
      <c r="A384" s="346" t="str">
        <f>'Reference Score Calculation'!A375</f>
        <v>JS9280</v>
      </c>
      <c r="B384" s="346" t="str">
        <f>'Reference Score Calculation'!B375</f>
        <v>JS9280</v>
      </c>
      <c r="C384" s="2" t="str">
        <f>'Reference Score Calculation'!E375</f>
        <v>應用心理學榮譽學士，商業管理榮譽學士</v>
      </c>
      <c r="D384" s="2">
        <f>'Reference Score Calculation'!U375</f>
        <v>25</v>
      </c>
      <c r="E384" s="2">
        <v>3</v>
      </c>
      <c r="F384" s="2">
        <v>3</v>
      </c>
      <c r="G384" s="2">
        <v>2</v>
      </c>
      <c r="H384" s="2">
        <v>2</v>
      </c>
      <c r="I384" s="2">
        <v>2</v>
      </c>
      <c r="J384" s="2"/>
      <c r="K384" s="2"/>
      <c r="L384" s="90">
        <v>3</v>
      </c>
      <c r="M384" s="90">
        <v>3</v>
      </c>
      <c r="N384" s="90">
        <v>2</v>
      </c>
      <c r="O384" s="90">
        <v>1</v>
      </c>
      <c r="P384" s="90">
        <v>2</v>
      </c>
      <c r="Q384" s="90">
        <v>2</v>
      </c>
      <c r="S384" s="16">
        <f t="shared" si="149"/>
        <v>0</v>
      </c>
      <c r="T384" s="16">
        <f t="shared" si="150"/>
        <v>0</v>
      </c>
      <c r="U384" s="16">
        <f t="shared" si="151"/>
        <v>0</v>
      </c>
      <c r="V384" s="16">
        <f t="shared" si="152"/>
        <v>0</v>
      </c>
      <c r="W384" s="16">
        <f t="shared" si="153"/>
        <v>0</v>
      </c>
      <c r="X384" s="16">
        <f t="shared" si="154"/>
        <v>0</v>
      </c>
      <c r="Z384" s="16">
        <f t="shared" si="155"/>
        <v>0</v>
      </c>
      <c r="AB384" s="16" t="s">
        <v>391</v>
      </c>
      <c r="AC384" s="16" t="s">
        <v>392</v>
      </c>
      <c r="AD384" s="16" t="s">
        <v>391</v>
      </c>
      <c r="AF384" s="21" t="s">
        <v>324</v>
      </c>
      <c r="AG384" s="21" t="s">
        <v>324</v>
      </c>
      <c r="AH384" s="21" t="s">
        <v>394</v>
      </c>
    </row>
    <row r="385" spans="1:34">
      <c r="A385" s="346" t="str">
        <f>'Reference Score Calculation'!A376</f>
        <v>JS9291</v>
      </c>
      <c r="B385" s="346" t="str">
        <f>'Reference Score Calculation'!B376</f>
        <v>JS9291</v>
      </c>
      <c r="C385" s="2" t="str">
        <f>'Reference Score Calculation'!E376</f>
        <v>酒店及可持續旅遊管理榮譽工商管理學士</v>
      </c>
      <c r="D385" s="2">
        <f>'Reference Score Calculation'!U376</f>
        <v>25</v>
      </c>
      <c r="E385" s="2">
        <v>3</v>
      </c>
      <c r="F385" s="2">
        <v>3</v>
      </c>
      <c r="G385" s="2">
        <v>2</v>
      </c>
      <c r="H385" s="2">
        <v>2</v>
      </c>
      <c r="I385" s="2">
        <v>2</v>
      </c>
      <c r="J385" s="2"/>
      <c r="K385" s="2"/>
      <c r="L385" s="90">
        <v>3</v>
      </c>
      <c r="M385" s="90">
        <v>3</v>
      </c>
      <c r="N385" s="90">
        <v>2</v>
      </c>
      <c r="O385" s="90">
        <v>1</v>
      </c>
      <c r="P385" s="90">
        <v>2</v>
      </c>
      <c r="Q385" s="90">
        <v>2</v>
      </c>
      <c r="S385" s="16">
        <f t="shared" si="149"/>
        <v>0</v>
      </c>
      <c r="T385" s="16">
        <f t="shared" si="150"/>
        <v>0</v>
      </c>
      <c r="U385" s="16">
        <f t="shared" si="151"/>
        <v>0</v>
      </c>
      <c r="V385" s="16">
        <f t="shared" si="152"/>
        <v>0</v>
      </c>
      <c r="W385" s="16">
        <f t="shared" si="153"/>
        <v>0</v>
      </c>
      <c r="X385" s="16">
        <f t="shared" si="154"/>
        <v>0</v>
      </c>
      <c r="Z385" s="16">
        <f t="shared" si="155"/>
        <v>0</v>
      </c>
      <c r="AB385" s="16" t="s">
        <v>391</v>
      </c>
      <c r="AC385" s="16" t="s">
        <v>392</v>
      </c>
      <c r="AD385" s="16" t="s">
        <v>391</v>
      </c>
      <c r="AF385" s="21" t="s">
        <v>324</v>
      </c>
      <c r="AG385" s="21" t="s">
        <v>324</v>
      </c>
      <c r="AH385" s="21" t="s">
        <v>394</v>
      </c>
    </row>
    <row r="386" spans="1:34">
      <c r="A386" s="346" t="str">
        <f>'Reference Score Calculation'!A377</f>
        <v>JS9294</v>
      </c>
      <c r="B386" s="346" t="str">
        <f>'Reference Score Calculation'!B377</f>
        <v>JS9294</v>
      </c>
      <c r="C386" s="2" t="str">
        <f>'Reference Score Calculation'!E377</f>
        <v>運動及電競運動管理榮譽工商管理學士</v>
      </c>
      <c r="D386" s="2">
        <f>'Reference Score Calculation'!U377</f>
        <v>25</v>
      </c>
      <c r="E386" s="2">
        <v>3</v>
      </c>
      <c r="F386" s="2">
        <v>3</v>
      </c>
      <c r="G386" s="2">
        <v>2</v>
      </c>
      <c r="H386" s="2">
        <v>2</v>
      </c>
      <c r="I386" s="2">
        <v>2</v>
      </c>
      <c r="J386" s="2"/>
      <c r="K386" s="2"/>
      <c r="L386" s="90">
        <v>3</v>
      </c>
      <c r="M386" s="90">
        <v>3</v>
      </c>
      <c r="N386" s="90">
        <v>2</v>
      </c>
      <c r="O386" s="90">
        <v>1</v>
      </c>
      <c r="P386" s="90">
        <v>2</v>
      </c>
      <c r="Q386" s="90">
        <v>2</v>
      </c>
      <c r="S386" s="16">
        <f t="shared" si="149"/>
        <v>0</v>
      </c>
      <c r="T386" s="16">
        <f t="shared" si="150"/>
        <v>0</v>
      </c>
      <c r="U386" s="16">
        <f t="shared" si="151"/>
        <v>0</v>
      </c>
      <c r="V386" s="16">
        <f t="shared" si="152"/>
        <v>0</v>
      </c>
      <c r="W386" s="16">
        <f t="shared" si="153"/>
        <v>0</v>
      </c>
      <c r="X386" s="16">
        <f t="shared" si="154"/>
        <v>0</v>
      </c>
      <c r="Z386" s="16">
        <f t="shared" si="155"/>
        <v>0</v>
      </c>
      <c r="AB386" s="16" t="s">
        <v>391</v>
      </c>
      <c r="AC386" s="16" t="s">
        <v>392</v>
      </c>
      <c r="AD386" s="16" t="s">
        <v>391</v>
      </c>
      <c r="AF386" s="21" t="s">
        <v>324</v>
      </c>
      <c r="AG386" s="21" t="s">
        <v>324</v>
      </c>
      <c r="AH386" s="21" t="s">
        <v>394</v>
      </c>
    </row>
    <row r="387" spans="1:34">
      <c r="A387" s="346" t="str">
        <f>'Reference Score Calculation'!A378</f>
        <v>JS9520</v>
      </c>
      <c r="B387" s="346" t="str">
        <f>'Reference Score Calculation'!B378</f>
        <v>JS9520</v>
      </c>
      <c r="C387" s="2" t="str">
        <f>'Reference Score Calculation'!E378</f>
        <v>教育榮譽學士（普通話及中文教育）及語言研究榮譽學士（漢語語言學研究）</v>
      </c>
      <c r="D387" s="2">
        <f>'Reference Score Calculation'!U378</f>
        <v>30</v>
      </c>
      <c r="E387" s="2">
        <v>3</v>
      </c>
      <c r="F387" s="2">
        <v>3</v>
      </c>
      <c r="G387" s="2">
        <v>2</v>
      </c>
      <c r="H387" s="2">
        <v>2</v>
      </c>
      <c r="I387" s="2">
        <v>2</v>
      </c>
      <c r="J387" s="2"/>
      <c r="K387" s="2"/>
      <c r="L387" s="90">
        <v>3</v>
      </c>
      <c r="M387" s="90">
        <v>3</v>
      </c>
      <c r="N387" s="90">
        <v>2</v>
      </c>
      <c r="O387" s="90">
        <v>1</v>
      </c>
      <c r="P387" s="90">
        <v>2</v>
      </c>
      <c r="Q387" s="90">
        <v>2</v>
      </c>
      <c r="S387" s="16">
        <f t="shared" si="149"/>
        <v>0</v>
      </c>
      <c r="T387" s="16">
        <f t="shared" si="150"/>
        <v>0</v>
      </c>
      <c r="U387" s="16">
        <f t="shared" si="151"/>
        <v>0</v>
      </c>
      <c r="V387" s="16">
        <f t="shared" si="152"/>
        <v>0</v>
      </c>
      <c r="W387" s="16">
        <f t="shared" si="153"/>
        <v>0</v>
      </c>
      <c r="X387" s="16">
        <f t="shared" si="154"/>
        <v>0</v>
      </c>
      <c r="Z387" s="16">
        <f t="shared" si="155"/>
        <v>0</v>
      </c>
      <c r="AB387" s="16" t="s">
        <v>391</v>
      </c>
      <c r="AC387" s="16" t="s">
        <v>392</v>
      </c>
      <c r="AD387" s="16" t="s">
        <v>391</v>
      </c>
      <c r="AF387" s="21" t="s">
        <v>324</v>
      </c>
      <c r="AG387" s="21" t="s">
        <v>324</v>
      </c>
      <c r="AH387" s="21" t="s">
        <v>394</v>
      </c>
    </row>
    <row r="388" spans="1:34">
      <c r="A388" s="346" t="str">
        <f>'Reference Score Calculation'!A379</f>
        <v>JS9530</v>
      </c>
      <c r="B388" s="346" t="str">
        <f>'Reference Score Calculation'!B379</f>
        <v>JS9530</v>
      </c>
      <c r="C388" s="2" t="str">
        <f>'Reference Score Calculation'!E379</f>
        <v>英語教學榮譽教育學士及英語研究榮譽學士</v>
      </c>
      <c r="D388" s="2">
        <f>'Reference Score Calculation'!U379</f>
        <v>30</v>
      </c>
      <c r="E388" s="2">
        <v>3</v>
      </c>
      <c r="F388" s="2">
        <v>3</v>
      </c>
      <c r="G388" s="2">
        <v>2</v>
      </c>
      <c r="H388" s="2">
        <v>2</v>
      </c>
      <c r="I388" s="2">
        <v>2</v>
      </c>
      <c r="J388" s="2"/>
      <c r="K388" s="2"/>
      <c r="L388" s="90">
        <v>3</v>
      </c>
      <c r="M388" s="90">
        <v>3</v>
      </c>
      <c r="N388" s="90">
        <v>2</v>
      </c>
      <c r="O388" s="90">
        <v>1</v>
      </c>
      <c r="P388" s="90">
        <v>2</v>
      </c>
      <c r="Q388" s="90">
        <v>2</v>
      </c>
      <c r="S388" s="16">
        <f t="shared" si="149"/>
        <v>0</v>
      </c>
      <c r="T388" s="16">
        <f t="shared" si="150"/>
        <v>0</v>
      </c>
      <c r="U388" s="16">
        <f t="shared" si="151"/>
        <v>0</v>
      </c>
      <c r="V388" s="16">
        <f t="shared" si="152"/>
        <v>0</v>
      </c>
      <c r="W388" s="16">
        <f t="shared" si="153"/>
        <v>0</v>
      </c>
      <c r="X388" s="16">
        <f t="shared" si="154"/>
        <v>0</v>
      </c>
      <c r="Z388" s="16">
        <f t="shared" si="155"/>
        <v>0</v>
      </c>
      <c r="AB388" s="16" t="s">
        <v>391</v>
      </c>
      <c r="AC388" s="16" t="s">
        <v>392</v>
      </c>
      <c r="AD388" s="16" t="s">
        <v>391</v>
      </c>
      <c r="AF388" s="21" t="s">
        <v>324</v>
      </c>
      <c r="AG388" s="21" t="s">
        <v>324</v>
      </c>
      <c r="AH388" s="21" t="s">
        <v>394</v>
      </c>
    </row>
    <row r="389" spans="1:34">
      <c r="A389" s="346" t="str">
        <f>'Reference Score Calculation'!A380</f>
        <v>JS9540</v>
      </c>
      <c r="B389" s="346" t="str">
        <f>'Reference Score Calculation'!B380</f>
        <v>JS9540</v>
      </c>
      <c r="C389" s="2" t="str">
        <f>'Reference Score Calculation'!E380</f>
        <v>英語研究榮譽學士</v>
      </c>
      <c r="D389" s="2">
        <f>'Reference Score Calculation'!U380</f>
        <v>20</v>
      </c>
      <c r="E389" s="2">
        <v>3</v>
      </c>
      <c r="F389" s="2">
        <v>3</v>
      </c>
      <c r="G389" s="2">
        <v>2</v>
      </c>
      <c r="H389" s="2">
        <v>2</v>
      </c>
      <c r="I389" s="2">
        <v>2</v>
      </c>
      <c r="J389" s="2"/>
      <c r="K389" s="2"/>
      <c r="L389" s="90">
        <v>3</v>
      </c>
      <c r="M389" s="90">
        <v>3</v>
      </c>
      <c r="N389" s="90">
        <v>2</v>
      </c>
      <c r="O389" s="90">
        <v>1</v>
      </c>
      <c r="P389" s="90">
        <v>2</v>
      </c>
      <c r="Q389" s="90">
        <v>2</v>
      </c>
      <c r="S389" s="16">
        <f t="shared" si="149"/>
        <v>0</v>
      </c>
      <c r="T389" s="16">
        <f t="shared" si="150"/>
        <v>0</v>
      </c>
      <c r="U389" s="16">
        <f t="shared" si="151"/>
        <v>0</v>
      </c>
      <c r="V389" s="16">
        <f t="shared" si="152"/>
        <v>0</v>
      </c>
      <c r="W389" s="16">
        <f t="shared" si="153"/>
        <v>0</v>
      </c>
      <c r="X389" s="16">
        <f t="shared" si="154"/>
        <v>0</v>
      </c>
      <c r="Z389" s="16">
        <f t="shared" si="155"/>
        <v>0</v>
      </c>
      <c r="AB389" s="16" t="s">
        <v>391</v>
      </c>
      <c r="AC389" s="16" t="s">
        <v>392</v>
      </c>
      <c r="AD389" s="16" t="s">
        <v>391</v>
      </c>
      <c r="AF389" s="21" t="s">
        <v>324</v>
      </c>
      <c r="AG389" s="21" t="s">
        <v>324</v>
      </c>
      <c r="AH389" s="21" t="s">
        <v>394</v>
      </c>
    </row>
    <row r="390" spans="1:34">
      <c r="A390" s="346" t="str">
        <f>'Reference Score Calculation'!A381</f>
        <v>JS9550</v>
      </c>
      <c r="B390" s="346" t="str">
        <f>'Reference Score Calculation'!B381</f>
        <v>JS9550</v>
      </c>
      <c r="C390" s="2" t="str">
        <f>'Reference Score Calculation'!E381</f>
        <v>語言研究榮譽學士（應用中國語言）</v>
      </c>
      <c r="D390" s="2">
        <f>'Reference Score Calculation'!U381</f>
        <v>20</v>
      </c>
      <c r="E390" s="2">
        <v>3</v>
      </c>
      <c r="F390" s="2">
        <v>3</v>
      </c>
      <c r="G390" s="2">
        <v>2</v>
      </c>
      <c r="H390" s="2">
        <v>2</v>
      </c>
      <c r="I390" s="2">
        <v>2</v>
      </c>
      <c r="J390" s="2"/>
      <c r="K390" s="2"/>
      <c r="L390" s="90">
        <v>3</v>
      </c>
      <c r="M390" s="90">
        <v>3</v>
      </c>
      <c r="N390" s="90">
        <v>2</v>
      </c>
      <c r="O390" s="90">
        <v>1</v>
      </c>
      <c r="P390" s="90">
        <v>2</v>
      </c>
      <c r="Q390" s="90">
        <v>2</v>
      </c>
      <c r="S390" s="16">
        <f t="shared" si="149"/>
        <v>0</v>
      </c>
      <c r="T390" s="16">
        <f t="shared" si="150"/>
        <v>0</v>
      </c>
      <c r="U390" s="16">
        <f t="shared" si="151"/>
        <v>0</v>
      </c>
      <c r="V390" s="16">
        <f t="shared" si="152"/>
        <v>0</v>
      </c>
      <c r="W390" s="16">
        <f t="shared" si="153"/>
        <v>0</v>
      </c>
      <c r="X390" s="16">
        <f t="shared" si="154"/>
        <v>0</v>
      </c>
      <c r="Z390" s="16">
        <f t="shared" si="155"/>
        <v>0</v>
      </c>
      <c r="AB390" s="16" t="s">
        <v>391</v>
      </c>
      <c r="AC390" s="16" t="s">
        <v>392</v>
      </c>
      <c r="AD390" s="16" t="s">
        <v>391</v>
      </c>
      <c r="AF390" s="21" t="s">
        <v>324</v>
      </c>
      <c r="AG390" s="21" t="s">
        <v>324</v>
      </c>
      <c r="AH390" s="21" t="s">
        <v>394</v>
      </c>
    </row>
    <row r="391" spans="1:34">
      <c r="A391" s="346" t="str">
        <f>'Reference Score Calculation'!A382</f>
        <v>JS9555</v>
      </c>
      <c r="B391" s="346" t="str">
        <f>'Reference Score Calculation'!B382</f>
        <v>JS9555</v>
      </c>
      <c r="C391" s="2" t="str">
        <f>'Reference Score Calculation'!E382</f>
        <v>雙語研究及應用戲劇語言研究榮譽學士</v>
      </c>
      <c r="D391" s="2">
        <f>'Reference Score Calculation'!U382</f>
        <v>20</v>
      </c>
      <c r="E391" s="2"/>
      <c r="F391" s="2"/>
      <c r="G391" s="2"/>
      <c r="H391" s="2"/>
      <c r="I391" s="2"/>
      <c r="J391" s="2"/>
      <c r="K391" s="2"/>
      <c r="L391" s="90">
        <v>3</v>
      </c>
      <c r="M391" s="90">
        <v>3</v>
      </c>
      <c r="N391" s="90">
        <v>2</v>
      </c>
      <c r="O391" s="90">
        <v>1</v>
      </c>
      <c r="P391" s="90">
        <v>2</v>
      </c>
      <c r="Q391" s="90">
        <v>2</v>
      </c>
      <c r="S391" s="16">
        <f t="shared" si="149"/>
        <v>0</v>
      </c>
      <c r="T391" s="16">
        <f t="shared" si="150"/>
        <v>0</v>
      </c>
      <c r="U391" s="16">
        <f t="shared" si="151"/>
        <v>0</v>
      </c>
      <c r="V391" s="16">
        <f t="shared" si="152"/>
        <v>0</v>
      </c>
      <c r="W391" s="16">
        <f t="shared" si="153"/>
        <v>0</v>
      </c>
      <c r="X391" s="16">
        <f t="shared" si="154"/>
        <v>0</v>
      </c>
      <c r="Z391" s="16">
        <f t="shared" si="155"/>
        <v>0</v>
      </c>
      <c r="AB391" s="16" t="s">
        <v>391</v>
      </c>
      <c r="AC391" s="16" t="s">
        <v>392</v>
      </c>
      <c r="AD391" s="16" t="s">
        <v>391</v>
      </c>
      <c r="AF391" s="21" t="s">
        <v>324</v>
      </c>
      <c r="AG391" s="21" t="s">
        <v>324</v>
      </c>
      <c r="AH391" s="21" t="s">
        <v>394</v>
      </c>
    </row>
    <row r="392" spans="1:34">
      <c r="A392" s="346" t="str">
        <f>'Reference Score Calculation'!A383</f>
        <v>JS9560</v>
      </c>
      <c r="B392" s="346" t="str">
        <f>'Reference Score Calculation'!B383</f>
        <v>JS9560</v>
      </c>
      <c r="C392" s="2" t="str">
        <f>'Reference Score Calculation'!E383</f>
        <v>教育榮譽學士（中國語文教學）及語言研究榮譽學士（應用中國語言）</v>
      </c>
      <c r="D392" s="2">
        <f>'Reference Score Calculation'!U383</f>
        <v>30</v>
      </c>
      <c r="E392" s="2">
        <v>3</v>
      </c>
      <c r="F392" s="2">
        <v>3</v>
      </c>
      <c r="G392" s="2">
        <v>2</v>
      </c>
      <c r="H392" s="2">
        <v>2</v>
      </c>
      <c r="I392" s="2">
        <v>2</v>
      </c>
      <c r="J392" s="2"/>
      <c r="K392" s="2"/>
      <c r="L392" s="90">
        <v>3</v>
      </c>
      <c r="M392" s="90">
        <v>3</v>
      </c>
      <c r="N392" s="90">
        <v>2</v>
      </c>
      <c r="O392" s="90">
        <v>1</v>
      </c>
      <c r="P392" s="90">
        <v>2</v>
      </c>
      <c r="Q392" s="90">
        <v>2</v>
      </c>
      <c r="S392" s="16">
        <f t="shared" si="149"/>
        <v>0</v>
      </c>
      <c r="T392" s="16">
        <f t="shared" si="150"/>
        <v>0</v>
      </c>
      <c r="U392" s="16">
        <f t="shared" si="151"/>
        <v>0</v>
      </c>
      <c r="V392" s="16">
        <f t="shared" si="152"/>
        <v>0</v>
      </c>
      <c r="W392" s="16">
        <f t="shared" si="153"/>
        <v>0</v>
      </c>
      <c r="X392" s="16">
        <f t="shared" si="154"/>
        <v>0</v>
      </c>
      <c r="Z392" s="16">
        <f t="shared" si="155"/>
        <v>0</v>
      </c>
      <c r="AB392" s="16" t="s">
        <v>391</v>
      </c>
      <c r="AC392" s="16" t="s">
        <v>392</v>
      </c>
      <c r="AD392" s="16" t="s">
        <v>391</v>
      </c>
      <c r="AF392" s="21" t="s">
        <v>324</v>
      </c>
      <c r="AG392" s="21" t="s">
        <v>324</v>
      </c>
      <c r="AH392" s="21" t="s">
        <v>394</v>
      </c>
    </row>
    <row r="393" spans="1:34">
      <c r="A393" s="346" t="str">
        <f>'Reference Score Calculation'!A384</f>
        <v>JS9580</v>
      </c>
      <c r="B393" s="346" t="str">
        <f>'Reference Score Calculation'!B384</f>
        <v>JS9580</v>
      </c>
      <c r="C393" s="2" t="str">
        <f>'Reference Score Calculation'!E384</f>
        <v>教育榮譽學士（幼兒教育：領導及特殊教育需要）</v>
      </c>
      <c r="D393" s="2">
        <f>'Reference Score Calculation'!U384</f>
        <v>25</v>
      </c>
      <c r="E393" s="2">
        <v>3</v>
      </c>
      <c r="F393" s="2">
        <v>3</v>
      </c>
      <c r="G393" s="2">
        <v>2</v>
      </c>
      <c r="H393" s="2">
        <v>2</v>
      </c>
      <c r="I393" s="2">
        <v>2</v>
      </c>
      <c r="J393" s="2"/>
      <c r="K393" s="2"/>
      <c r="L393" s="90">
        <v>3</v>
      </c>
      <c r="M393" s="90">
        <v>3</v>
      </c>
      <c r="N393" s="90">
        <v>2</v>
      </c>
      <c r="O393" s="90">
        <v>1</v>
      </c>
      <c r="P393" s="90">
        <v>2</v>
      </c>
      <c r="Q393" s="90">
        <v>2</v>
      </c>
      <c r="S393" s="16">
        <f t="shared" si="149"/>
        <v>0</v>
      </c>
      <c r="T393" s="16">
        <f t="shared" si="150"/>
        <v>0</v>
      </c>
      <c r="U393" s="16">
        <f t="shared" si="151"/>
        <v>0</v>
      </c>
      <c r="V393" s="16">
        <f t="shared" si="152"/>
        <v>0</v>
      </c>
      <c r="W393" s="16">
        <f t="shared" si="153"/>
        <v>0</v>
      </c>
      <c r="X393" s="16">
        <f t="shared" si="154"/>
        <v>0</v>
      </c>
      <c r="Z393" s="16">
        <f t="shared" si="155"/>
        <v>0</v>
      </c>
      <c r="AB393" s="16" t="s">
        <v>391</v>
      </c>
      <c r="AC393" s="16" t="s">
        <v>392</v>
      </c>
      <c r="AD393" s="16" t="s">
        <v>391</v>
      </c>
      <c r="AF393" s="21" t="s">
        <v>324</v>
      </c>
      <c r="AG393" s="21" t="s">
        <v>324</v>
      </c>
      <c r="AH393" s="21" t="s">
        <v>394</v>
      </c>
    </row>
    <row r="394" spans="1:34">
      <c r="A394" s="346" t="str">
        <f>'Reference Score Calculation'!A385</f>
        <v>JS9719</v>
      </c>
      <c r="B394" s="346" t="str">
        <f>'Reference Score Calculation'!B385</f>
        <v>JS9719</v>
      </c>
      <c r="C394" s="2" t="str">
        <f>'Reference Score Calculation'!E385</f>
        <v>網路及電腦安全榮譽理學士</v>
      </c>
      <c r="D394" s="2">
        <f>'Reference Score Calculation'!U385</f>
        <v>30</v>
      </c>
      <c r="E394" s="2">
        <v>3</v>
      </c>
      <c r="F394" s="2">
        <v>3</v>
      </c>
      <c r="G394" s="2">
        <v>2</v>
      </c>
      <c r="H394" s="2">
        <v>2</v>
      </c>
      <c r="I394" s="2">
        <v>2</v>
      </c>
      <c r="J394" s="2"/>
      <c r="K394" s="2"/>
      <c r="L394" s="90">
        <v>3</v>
      </c>
      <c r="M394" s="90">
        <v>3</v>
      </c>
      <c r="N394" s="90">
        <v>2</v>
      </c>
      <c r="O394" s="90">
        <v>1</v>
      </c>
      <c r="P394" s="90">
        <v>2</v>
      </c>
      <c r="Q394" s="90">
        <v>2</v>
      </c>
      <c r="S394" s="16">
        <f t="shared" si="149"/>
        <v>0</v>
      </c>
      <c r="T394" s="16">
        <f t="shared" si="150"/>
        <v>0</v>
      </c>
      <c r="U394" s="16">
        <f t="shared" si="151"/>
        <v>0</v>
      </c>
      <c r="V394" s="16">
        <f t="shared" si="152"/>
        <v>0</v>
      </c>
      <c r="W394" s="16">
        <f t="shared" si="153"/>
        <v>0</v>
      </c>
      <c r="X394" s="16">
        <f t="shared" si="154"/>
        <v>0</v>
      </c>
      <c r="Z394" s="16">
        <f t="shared" si="155"/>
        <v>0</v>
      </c>
      <c r="AB394" s="16" t="s">
        <v>391</v>
      </c>
      <c r="AC394" s="16" t="s">
        <v>392</v>
      </c>
      <c r="AD394" s="16" t="s">
        <v>391</v>
      </c>
      <c r="AF394" s="21" t="s">
        <v>324</v>
      </c>
      <c r="AG394" s="21" t="s">
        <v>324</v>
      </c>
      <c r="AH394" s="21" t="s">
        <v>394</v>
      </c>
    </row>
    <row r="395" spans="1:34">
      <c r="A395" s="346" t="str">
        <f>'Reference Score Calculation'!A386</f>
        <v>JS9720</v>
      </c>
      <c r="B395" s="346" t="str">
        <f>'Reference Score Calculation'!B386</f>
        <v>JS9720</v>
      </c>
      <c r="C395" s="2" t="str">
        <f>'Reference Score Calculation'!E386</f>
        <v>電子及電腦工程學榮譽工學士</v>
      </c>
      <c r="D395" s="2">
        <f>'Reference Score Calculation'!U386</f>
        <v>30</v>
      </c>
      <c r="E395" s="2">
        <v>3</v>
      </c>
      <c r="F395" s="2">
        <v>3</v>
      </c>
      <c r="G395" s="2">
        <v>2</v>
      </c>
      <c r="H395" s="2">
        <v>2</v>
      </c>
      <c r="I395" s="2">
        <v>2</v>
      </c>
      <c r="J395" s="2"/>
      <c r="K395" s="2"/>
      <c r="L395" s="90">
        <v>3</v>
      </c>
      <c r="M395" s="90">
        <v>3</v>
      </c>
      <c r="N395" s="90">
        <v>2</v>
      </c>
      <c r="O395" s="90">
        <v>1</v>
      </c>
      <c r="P395" s="90">
        <v>2</v>
      </c>
      <c r="Q395" s="90">
        <v>2</v>
      </c>
      <c r="S395" s="16">
        <f t="shared" si="149"/>
        <v>0</v>
      </c>
      <c r="T395" s="16">
        <f t="shared" si="150"/>
        <v>0</v>
      </c>
      <c r="U395" s="16">
        <f t="shared" si="151"/>
        <v>0</v>
      </c>
      <c r="V395" s="16">
        <f t="shared" si="152"/>
        <v>0</v>
      </c>
      <c r="W395" s="16">
        <f t="shared" si="153"/>
        <v>0</v>
      </c>
      <c r="X395" s="16">
        <f t="shared" si="154"/>
        <v>0</v>
      </c>
      <c r="Z395" s="16">
        <f t="shared" si="155"/>
        <v>0</v>
      </c>
      <c r="AB395" s="16" t="s">
        <v>391</v>
      </c>
      <c r="AC395" s="16" t="s">
        <v>392</v>
      </c>
      <c r="AD395" s="16" t="s">
        <v>391</v>
      </c>
      <c r="AF395" s="21" t="s">
        <v>324</v>
      </c>
      <c r="AG395" s="21" t="s">
        <v>324</v>
      </c>
      <c r="AH395" s="21" t="s">
        <v>394</v>
      </c>
    </row>
    <row r="396" spans="1:34">
      <c r="A396" s="346" t="str">
        <f>'Reference Score Calculation'!A387</f>
        <v>JS9731</v>
      </c>
      <c r="B396" s="346" t="str">
        <f>'Reference Score Calculation'!B387</f>
        <v>JS9731</v>
      </c>
      <c r="C396" s="2" t="str">
        <f>'Reference Score Calculation'!E387</f>
        <v>環境科學與綠色管理榮譽理學士</v>
      </c>
      <c r="D396" s="2">
        <f>'Reference Score Calculation'!U387</f>
        <v>35</v>
      </c>
      <c r="E396" s="2">
        <v>3</v>
      </c>
      <c r="F396" s="2">
        <v>3</v>
      </c>
      <c r="G396" s="2">
        <v>2</v>
      </c>
      <c r="H396" s="2">
        <v>2</v>
      </c>
      <c r="I396" s="2">
        <v>2</v>
      </c>
      <c r="J396" s="2"/>
      <c r="K396" s="2"/>
      <c r="L396" s="90">
        <v>3</v>
      </c>
      <c r="M396" s="90">
        <v>3</v>
      </c>
      <c r="N396" s="90">
        <v>2</v>
      </c>
      <c r="O396" s="90">
        <v>1</v>
      </c>
      <c r="P396" s="90">
        <v>2</v>
      </c>
      <c r="Q396" s="90">
        <v>2</v>
      </c>
      <c r="S396" s="16">
        <f t="shared" si="149"/>
        <v>0</v>
      </c>
      <c r="T396" s="16">
        <f t="shared" si="150"/>
        <v>0</v>
      </c>
      <c r="U396" s="16">
        <f t="shared" si="151"/>
        <v>0</v>
      </c>
      <c r="V396" s="16">
        <f t="shared" si="152"/>
        <v>0</v>
      </c>
      <c r="W396" s="16">
        <f t="shared" si="153"/>
        <v>0</v>
      </c>
      <c r="X396" s="16">
        <f t="shared" si="154"/>
        <v>0</v>
      </c>
      <c r="Z396" s="16">
        <f t="shared" si="155"/>
        <v>0</v>
      </c>
      <c r="AB396" s="16" t="s">
        <v>391</v>
      </c>
      <c r="AC396" s="16" t="s">
        <v>392</v>
      </c>
      <c r="AD396" s="16" t="s">
        <v>391</v>
      </c>
      <c r="AF396" s="21" t="s">
        <v>324</v>
      </c>
      <c r="AG396" s="21" t="s">
        <v>324</v>
      </c>
      <c r="AH396" s="21" t="s">
        <v>394</v>
      </c>
    </row>
    <row r="397" spans="1:34">
      <c r="A397" s="346" t="str">
        <f>'Reference Score Calculation'!A388</f>
        <v>JS9732</v>
      </c>
      <c r="B397" s="346" t="str">
        <f>'Reference Score Calculation'!B388</f>
        <v>JS9732</v>
      </c>
      <c r="C397" s="2" t="str">
        <f>'Reference Score Calculation'!E388</f>
        <v>生命科學榮譽理學士</v>
      </c>
      <c r="D397" s="2">
        <f>'Reference Score Calculation'!U388</f>
        <v>30</v>
      </c>
      <c r="E397" s="2">
        <v>3</v>
      </c>
      <c r="F397" s="2">
        <v>3</v>
      </c>
      <c r="G397" s="2">
        <v>2</v>
      </c>
      <c r="H397" s="2">
        <v>2</v>
      </c>
      <c r="I397" s="2">
        <v>2</v>
      </c>
      <c r="J397" s="2"/>
      <c r="K397" s="2"/>
      <c r="L397" s="90">
        <v>3</v>
      </c>
      <c r="M397" s="90">
        <v>3</v>
      </c>
      <c r="N397" s="90">
        <v>2</v>
      </c>
      <c r="O397" s="90">
        <v>1</v>
      </c>
      <c r="P397" s="90">
        <v>2</v>
      </c>
      <c r="Q397" s="90">
        <v>2</v>
      </c>
      <c r="S397" s="16">
        <f t="shared" si="149"/>
        <v>0</v>
      </c>
      <c r="T397" s="16">
        <f t="shared" si="150"/>
        <v>0</v>
      </c>
      <c r="U397" s="16">
        <f t="shared" si="151"/>
        <v>0</v>
      </c>
      <c r="V397" s="16">
        <f t="shared" si="152"/>
        <v>0</v>
      </c>
      <c r="W397" s="16">
        <f t="shared" si="153"/>
        <v>0</v>
      </c>
      <c r="X397" s="16">
        <f t="shared" si="154"/>
        <v>0</v>
      </c>
      <c r="Z397" s="16">
        <f t="shared" si="155"/>
        <v>0</v>
      </c>
      <c r="AB397" s="16" t="s">
        <v>391</v>
      </c>
      <c r="AC397" s="16" t="s">
        <v>392</v>
      </c>
      <c r="AD397" s="16" t="s">
        <v>391</v>
      </c>
      <c r="AF397" s="21" t="s">
        <v>324</v>
      </c>
      <c r="AG397" s="21" t="s">
        <v>324</v>
      </c>
      <c r="AH397" s="21" t="s">
        <v>394</v>
      </c>
    </row>
    <row r="398" spans="1:34">
      <c r="A398" s="346" t="str">
        <f>'Reference Score Calculation'!A389</f>
        <v>JS9733</v>
      </c>
      <c r="B398" s="346" t="str">
        <f>'Reference Score Calculation'!B389</f>
        <v>JS9733</v>
      </c>
      <c r="C398" s="2" t="str">
        <f>'Reference Score Calculation'!E389</f>
        <v>科學（ＳＴＥＭ）榮譽理學士</v>
      </c>
      <c r="D398" s="2">
        <f>'Reference Score Calculation'!U389</f>
        <v>30</v>
      </c>
      <c r="E398" s="2">
        <v>3</v>
      </c>
      <c r="F398" s="2">
        <v>3</v>
      </c>
      <c r="G398" s="2">
        <v>2</v>
      </c>
      <c r="H398" s="2">
        <v>2</v>
      </c>
      <c r="I398" s="2">
        <v>2</v>
      </c>
      <c r="J398" s="2"/>
      <c r="K398" s="2"/>
      <c r="L398" s="90">
        <v>3</v>
      </c>
      <c r="M398" s="90">
        <v>3</v>
      </c>
      <c r="N398" s="90">
        <v>2</v>
      </c>
      <c r="O398" s="90">
        <v>1</v>
      </c>
      <c r="P398" s="90">
        <v>2</v>
      </c>
      <c r="Q398" s="90">
        <v>2</v>
      </c>
      <c r="S398" s="16">
        <f t="shared" si="149"/>
        <v>0</v>
      </c>
      <c r="T398" s="16">
        <f t="shared" si="150"/>
        <v>0</v>
      </c>
      <c r="U398" s="16">
        <f t="shared" si="151"/>
        <v>0</v>
      </c>
      <c r="V398" s="16">
        <f t="shared" si="152"/>
        <v>0</v>
      </c>
      <c r="W398" s="16">
        <f t="shared" si="153"/>
        <v>0</v>
      </c>
      <c r="X398" s="16">
        <f t="shared" si="154"/>
        <v>0</v>
      </c>
      <c r="Z398" s="16">
        <f t="shared" si="155"/>
        <v>0</v>
      </c>
      <c r="AB398" s="16" t="s">
        <v>391</v>
      </c>
      <c r="AC398" s="16" t="s">
        <v>392</v>
      </c>
      <c r="AD398" s="16" t="s">
        <v>391</v>
      </c>
      <c r="AF398" s="21" t="s">
        <v>324</v>
      </c>
      <c r="AG398" s="21" t="s">
        <v>324</v>
      </c>
      <c r="AH398" s="21" t="s">
        <v>394</v>
      </c>
    </row>
    <row r="399" spans="1:34">
      <c r="A399" s="346" t="str">
        <f>'Reference Score Calculation'!A390</f>
        <v>JS9776</v>
      </c>
      <c r="B399" s="346" t="str">
        <f>'Reference Score Calculation'!B390</f>
        <v>JS9776</v>
      </c>
      <c r="C399" s="2" t="str">
        <f>'Reference Score Calculation'!E390</f>
        <v>建造工程與管理榮譽理學士</v>
      </c>
      <c r="D399" s="2">
        <f>'Reference Score Calculation'!U390</f>
        <v>30</v>
      </c>
      <c r="E399" s="2"/>
      <c r="F399" s="2"/>
      <c r="G399" s="2"/>
      <c r="H399" s="2"/>
      <c r="I399" s="2"/>
      <c r="J399" s="2"/>
      <c r="K399" s="2"/>
      <c r="L399" s="90">
        <v>3</v>
      </c>
      <c r="M399" s="90">
        <v>3</v>
      </c>
      <c r="N399" s="90">
        <v>2</v>
      </c>
      <c r="O399" s="90">
        <v>1</v>
      </c>
      <c r="P399" s="90">
        <v>2</v>
      </c>
      <c r="Q399" s="90">
        <v>2</v>
      </c>
      <c r="S399" s="16">
        <f t="shared" si="149"/>
        <v>0</v>
      </c>
      <c r="T399" s="16">
        <f t="shared" si="150"/>
        <v>0</v>
      </c>
      <c r="U399" s="16">
        <f t="shared" si="151"/>
        <v>0</v>
      </c>
      <c r="V399" s="16">
        <f t="shared" si="152"/>
        <v>0</v>
      </c>
      <c r="W399" s="16">
        <f t="shared" si="153"/>
        <v>0</v>
      </c>
      <c r="X399" s="16">
        <f t="shared" si="154"/>
        <v>0</v>
      </c>
      <c r="Z399" s="16">
        <f t="shared" si="155"/>
        <v>0</v>
      </c>
      <c r="AB399" s="16" t="s">
        <v>391</v>
      </c>
      <c r="AC399" s="16" t="s">
        <v>392</v>
      </c>
      <c r="AD399" s="16" t="s">
        <v>391</v>
      </c>
      <c r="AF399" s="21" t="s">
        <v>324</v>
      </c>
      <c r="AG399" s="21" t="s">
        <v>324</v>
      </c>
      <c r="AH399" s="21" t="s">
        <v>394</v>
      </c>
    </row>
    <row r="400" spans="1:34">
      <c r="A400" s="2">
        <f>'Reference Score Calculation'!A391</f>
        <v>0</v>
      </c>
      <c r="B400" s="424" t="s">
        <v>579</v>
      </c>
      <c r="C400" s="424" t="s">
        <v>3257</v>
      </c>
      <c r="L400" s="90"/>
      <c r="M400" s="90"/>
      <c r="N400" s="90"/>
      <c r="O400" s="90"/>
      <c r="P400" s="90"/>
      <c r="Q400" s="90"/>
      <c r="AH400" s="21" t="s">
        <v>394</v>
      </c>
    </row>
    <row r="401" spans="1:55">
      <c r="A401" s="2">
        <f>'Reference Score Calculation'!A392</f>
        <v>0</v>
      </c>
      <c r="B401" s="423" t="s">
        <v>104</v>
      </c>
      <c r="C401" s="11" t="s">
        <v>106</v>
      </c>
      <c r="D401" s="19" t="s">
        <v>36</v>
      </c>
      <c r="E401" s="19"/>
      <c r="F401" s="19"/>
      <c r="G401" s="19"/>
      <c r="H401" s="19"/>
      <c r="I401" s="19"/>
      <c r="J401" s="19"/>
      <c r="K401" s="19"/>
      <c r="L401" s="92" t="s">
        <v>111</v>
      </c>
      <c r="M401" s="92" t="s">
        <v>112</v>
      </c>
      <c r="N401" s="92" t="s">
        <v>113</v>
      </c>
      <c r="O401" s="92" t="s">
        <v>114</v>
      </c>
      <c r="P401" s="92" t="s">
        <v>115</v>
      </c>
      <c r="Q401" s="92"/>
      <c r="R401" s="16"/>
      <c r="S401" s="19" t="s">
        <v>111</v>
      </c>
      <c r="T401" s="19" t="s">
        <v>112</v>
      </c>
      <c r="U401" s="19" t="s">
        <v>113</v>
      </c>
      <c r="V401" s="19" t="s">
        <v>114</v>
      </c>
      <c r="W401" s="19" t="s">
        <v>115</v>
      </c>
      <c r="AB401" s="16" t="s">
        <v>267</v>
      </c>
      <c r="AC401" s="16" t="s">
        <v>268</v>
      </c>
      <c r="AD401" s="16" t="s">
        <v>269</v>
      </c>
      <c r="AH401" s="21" t="s">
        <v>394</v>
      </c>
    </row>
    <row r="402" spans="1:55">
      <c r="A402" s="2" t="str">
        <f>'Reference Score Calculation'!A393</f>
        <v>JSSA01</v>
      </c>
      <c r="B402" s="346" t="str">
        <f>'Reference Score Calculation'!B393</f>
        <v>JSSA01</v>
      </c>
      <c r="C402" s="21" t="str">
        <f>'Reference Score Calculation'!E393</f>
        <v>護理學（榮譽）學士</v>
      </c>
      <c r="D402" s="16">
        <f>'Reference Score Calculation'!U393</f>
        <v>640</v>
      </c>
      <c r="E402" s="16">
        <v>3</v>
      </c>
      <c r="F402" s="16">
        <v>3</v>
      </c>
      <c r="G402" s="16">
        <v>2</v>
      </c>
      <c r="H402" s="16">
        <v>2</v>
      </c>
      <c r="I402" s="16">
        <v>2</v>
      </c>
      <c r="L402" s="90">
        <v>3</v>
      </c>
      <c r="M402" s="90">
        <v>3</v>
      </c>
      <c r="N402" s="90">
        <v>2</v>
      </c>
      <c r="O402" s="90">
        <v>1</v>
      </c>
      <c r="P402" s="90">
        <v>2</v>
      </c>
      <c r="Q402" s="90"/>
      <c r="S402" s="16">
        <f t="shared" ref="S402:V403" si="156">IF(L402&gt;L$3,0,1)</f>
        <v>0</v>
      </c>
      <c r="T402" s="16">
        <f t="shared" si="156"/>
        <v>0</v>
      </c>
      <c r="U402" s="16">
        <f t="shared" si="156"/>
        <v>0</v>
      </c>
      <c r="V402" s="16">
        <f t="shared" si="156"/>
        <v>0</v>
      </c>
      <c r="W402" s="16">
        <f>IF(P402&gt;LARGE($P$3:$T$3,1),0,IF($AQ$405&lt;2,2,1))</f>
        <v>0</v>
      </c>
      <c r="Z402" s="16">
        <f>S402*T402*U402*V402*W402</f>
        <v>0</v>
      </c>
      <c r="AB402" s="16" t="s">
        <v>419</v>
      </c>
      <c r="AC402" s="16" t="s">
        <v>393</v>
      </c>
      <c r="AD402" s="16" t="s">
        <v>393</v>
      </c>
      <c r="AF402" s="401" t="s">
        <v>3258</v>
      </c>
      <c r="AG402" s="21" t="s">
        <v>394</v>
      </c>
      <c r="AH402" s="21" t="s">
        <v>389</v>
      </c>
      <c r="AI402" s="121" t="s">
        <v>579</v>
      </c>
      <c r="AJ402" s="121" t="s">
        <v>390</v>
      </c>
      <c r="AK402" s="102"/>
      <c r="AL402" s="115"/>
      <c r="AM402" s="115"/>
      <c r="AN402" s="115"/>
      <c r="AO402" s="115"/>
      <c r="AP402" s="115"/>
      <c r="AQ402" s="115"/>
      <c r="AR402" s="115"/>
      <c r="AW402" s="16"/>
    </row>
    <row r="403" spans="1:55">
      <c r="A403" s="2" t="str">
        <f>'Reference Score Calculation'!A394</f>
        <v>JSSA02</v>
      </c>
      <c r="B403" s="346" t="str">
        <f>'Reference Score Calculation'!B394</f>
        <v>JSSA02</v>
      </c>
      <c r="C403" s="21" t="str">
        <f>'Reference Score Calculation'!E394</f>
        <v>數碼娛樂科技（榮譽）理學士</v>
      </c>
      <c r="D403" s="16">
        <f>'Reference Score Calculation'!U394</f>
        <v>15</v>
      </c>
      <c r="E403" s="16">
        <v>3</v>
      </c>
      <c r="F403" s="16">
        <v>3</v>
      </c>
      <c r="G403" s="16">
        <v>2</v>
      </c>
      <c r="H403" s="16">
        <v>2</v>
      </c>
      <c r="L403" s="90">
        <v>3</v>
      </c>
      <c r="M403" s="90">
        <v>3</v>
      </c>
      <c r="N403" s="90">
        <v>2</v>
      </c>
      <c r="O403" s="90">
        <v>1</v>
      </c>
      <c r="P403" s="90">
        <v>2</v>
      </c>
      <c r="Q403" s="90"/>
      <c r="S403" s="16">
        <f t="shared" si="156"/>
        <v>0</v>
      </c>
      <c r="T403" s="16">
        <f t="shared" si="156"/>
        <v>0</v>
      </c>
      <c r="U403" s="16">
        <f t="shared" si="156"/>
        <v>0</v>
      </c>
      <c r="V403" s="16">
        <f t="shared" si="156"/>
        <v>0</v>
      </c>
      <c r="W403" s="16">
        <f>IF(P403&gt;LARGE($P$3:$T$3,1),0,1)</f>
        <v>0</v>
      </c>
      <c r="Z403" s="16">
        <f t="shared" ref="Z403:Z415" si="157">S403*T403*U403*V403*W403</f>
        <v>0</v>
      </c>
      <c r="AB403" s="16" t="s">
        <v>391</v>
      </c>
      <c r="AC403" s="16" t="s">
        <v>393</v>
      </c>
      <c r="AD403" s="16" t="s">
        <v>421</v>
      </c>
      <c r="AF403" s="506" t="s">
        <v>580</v>
      </c>
      <c r="AG403" s="21" t="s">
        <v>324</v>
      </c>
      <c r="AH403" s="21" t="s">
        <v>389</v>
      </c>
      <c r="AI403" s="116"/>
      <c r="AJ403" s="116"/>
      <c r="AK403" s="116"/>
      <c r="AL403" s="116"/>
      <c r="AM403" s="116"/>
      <c r="AN403" s="116"/>
      <c r="AO403" s="116"/>
      <c r="AP403" s="102"/>
      <c r="AQ403" s="102"/>
      <c r="AR403" s="102"/>
      <c r="AW403" s="16"/>
    </row>
    <row r="404" spans="1:55">
      <c r="A404" s="2" t="str">
        <f>'Reference Score Calculation'!A395</f>
        <v>JSSA03</v>
      </c>
      <c r="B404" s="346" t="str">
        <f>'Reference Score Calculation'!B395</f>
        <v>JSSA03</v>
      </c>
      <c r="C404" s="21" t="str">
        <f>'Reference Score Calculation'!E395</f>
        <v>物理治療學（榮譽）理學士</v>
      </c>
      <c r="D404" s="16">
        <f>'Reference Score Calculation'!U395</f>
        <v>60</v>
      </c>
      <c r="E404" s="16">
        <v>3</v>
      </c>
      <c r="F404" s="16">
        <v>3</v>
      </c>
      <c r="G404" s="16">
        <v>2</v>
      </c>
      <c r="H404" s="16">
        <v>2</v>
      </c>
      <c r="I404" s="16">
        <v>2</v>
      </c>
      <c r="L404" s="90">
        <v>3</v>
      </c>
      <c r="M404" s="90">
        <v>3</v>
      </c>
      <c r="N404" s="90">
        <v>2</v>
      </c>
      <c r="O404" s="90">
        <v>1</v>
      </c>
      <c r="P404" s="90">
        <v>2</v>
      </c>
      <c r="Q404" s="94"/>
      <c r="R404" s="56"/>
      <c r="S404" s="16">
        <f t="shared" ref="S404:S439" si="158">IF(L404&gt;L$3,0,1)</f>
        <v>0</v>
      </c>
      <c r="T404" s="16">
        <f>IF(M404&gt;M$3,0,IF(M$3&lt;4,2,1))</f>
        <v>0</v>
      </c>
      <c r="U404" s="16">
        <f t="shared" ref="U404:U416" si="159">IF(N404&gt;N$3,0,1)</f>
        <v>0</v>
      </c>
      <c r="V404" s="16">
        <f t="shared" ref="V404:V416" si="160">IF(O404&gt;O$3,0,1)</f>
        <v>0</v>
      </c>
      <c r="W404" s="16">
        <f>IF(P404&gt;LARGE($P$3:$T$3,1),0,1)</f>
        <v>0</v>
      </c>
      <c r="X404" s="16"/>
      <c r="Y404" s="16"/>
      <c r="Z404" s="16">
        <f t="shared" si="157"/>
        <v>0</v>
      </c>
      <c r="AB404" s="16" t="s">
        <v>419</v>
      </c>
      <c r="AC404" s="16" t="s">
        <v>393</v>
      </c>
      <c r="AD404" s="16" t="s">
        <v>393</v>
      </c>
      <c r="AF404" s="401" t="s">
        <v>581</v>
      </c>
      <c r="AG404" s="21" t="s">
        <v>582</v>
      </c>
      <c r="AH404" s="21" t="s">
        <v>389</v>
      </c>
      <c r="AI404" s="116"/>
      <c r="AJ404" s="116" t="str">
        <f>Q$2</f>
        <v>請選擇第一選修科</v>
      </c>
      <c r="AK404" s="116" t="str">
        <f>R$2</f>
        <v>請選擇第二選修科</v>
      </c>
      <c r="AL404" s="116" t="str">
        <f>S$2</f>
        <v>請選擇第三選修科</v>
      </c>
      <c r="AM404" s="116" t="str">
        <f>T$2</f>
        <v>請選擇第四選修科</v>
      </c>
      <c r="AN404" s="116"/>
      <c r="AO404" s="116"/>
      <c r="AP404" s="116" t="s">
        <v>3259</v>
      </c>
      <c r="AQ404" s="116"/>
      <c r="AR404" s="102"/>
      <c r="AW404" s="16"/>
    </row>
    <row r="405" spans="1:55">
      <c r="A405" s="2" t="str">
        <f>'Reference Score Calculation'!A396</f>
        <v>JSSA04</v>
      </c>
      <c r="B405" s="346" t="str">
        <f>'Reference Score Calculation'!B396</f>
        <v>JSSA04</v>
      </c>
      <c r="C405" s="21" t="str">
        <f>'Reference Score Calculation'!E396</f>
        <v>人工智能（榮譽）理學士</v>
      </c>
      <c r="D405" s="16">
        <f>'Reference Score Calculation'!U396</f>
        <v>25</v>
      </c>
      <c r="E405" s="16">
        <v>3</v>
      </c>
      <c r="F405" s="16">
        <v>3</v>
      </c>
      <c r="G405" s="16">
        <v>2</v>
      </c>
      <c r="H405" s="16">
        <v>2</v>
      </c>
      <c r="L405" s="90">
        <v>3</v>
      </c>
      <c r="M405" s="90">
        <v>3</v>
      </c>
      <c r="N405" s="90">
        <v>2</v>
      </c>
      <c r="O405" s="90">
        <v>1</v>
      </c>
      <c r="P405" s="90">
        <v>2</v>
      </c>
      <c r="Q405" s="94"/>
      <c r="R405" s="56"/>
      <c r="S405" s="16">
        <f t="shared" si="158"/>
        <v>0</v>
      </c>
      <c r="T405" s="16">
        <f t="shared" ref="T405:T414" si="161">IF(M405&gt;M$3,0,1)</f>
        <v>0</v>
      </c>
      <c r="U405" s="16">
        <f t="shared" si="159"/>
        <v>0</v>
      </c>
      <c r="V405" s="16">
        <f t="shared" si="160"/>
        <v>0</v>
      </c>
      <c r="W405" s="16">
        <f>IF(P405&gt;LARGE($P$3:$T$3,1),0,1)</f>
        <v>0</v>
      </c>
      <c r="X405" s="16"/>
      <c r="Y405" s="16"/>
      <c r="Z405" s="16">
        <f t="shared" si="157"/>
        <v>0</v>
      </c>
      <c r="AB405" s="16" t="s">
        <v>391</v>
      </c>
      <c r="AC405" s="16" t="s">
        <v>393</v>
      </c>
      <c r="AD405" s="16" t="s">
        <v>393</v>
      </c>
      <c r="AF405" s="506" t="s">
        <v>580</v>
      </c>
      <c r="AG405" s="21" t="s">
        <v>394</v>
      </c>
      <c r="AH405" s="21" t="s">
        <v>389</v>
      </c>
      <c r="AI405" s="116" t="s">
        <v>1790</v>
      </c>
      <c r="AJ405" s="117">
        <f>IF(OR(Q$2="生物"),Q$3,0)</f>
        <v>0</v>
      </c>
      <c r="AK405" s="117">
        <f t="shared" ref="AK405:AM405" si="162">IF(OR(R$2="生物"),R$3,0)</f>
        <v>0</v>
      </c>
      <c r="AL405" s="117">
        <f t="shared" si="162"/>
        <v>0</v>
      </c>
      <c r="AM405" s="117">
        <f t="shared" si="162"/>
        <v>0</v>
      </c>
      <c r="AN405" s="116"/>
      <c r="AO405" s="116"/>
      <c r="AP405" s="117" t="str">
        <f>IF(AQ405&gt;0.1,INDEX(AJ404:AM404,MATCH(LARGE(AJ405:AM405,1),AJ405:AM405,0)),"無")</f>
        <v>無</v>
      </c>
      <c r="AQ405" s="117">
        <f>LARGE((AJ405:AM405),1)</f>
        <v>0</v>
      </c>
      <c r="AR405" s="102"/>
      <c r="AW405" s="16"/>
    </row>
    <row r="406" spans="1:55" customFormat="1" ht="13.5" customHeight="1">
      <c r="A406" s="2" t="str">
        <f>'Reference Score Calculation'!A397</f>
        <v>JSSA05</v>
      </c>
      <c r="B406" s="346" t="str">
        <f>'Reference Score Calculation'!B397</f>
        <v>JSSA05</v>
      </c>
      <c r="C406" s="21" t="str">
        <f>'Reference Score Calculation'!E397</f>
        <v>翻譯科技（榮譽）文學士</v>
      </c>
      <c r="D406" s="16">
        <f>'Reference Score Calculation'!U397</f>
        <v>5</v>
      </c>
      <c r="E406" s="16">
        <v>3</v>
      </c>
      <c r="F406" s="16">
        <v>3</v>
      </c>
      <c r="G406" s="16">
        <v>2</v>
      </c>
      <c r="H406" s="16">
        <v>2</v>
      </c>
      <c r="I406" s="16"/>
      <c r="J406" s="16"/>
      <c r="K406" s="16"/>
      <c r="L406" s="90">
        <v>3</v>
      </c>
      <c r="M406" s="90">
        <v>3</v>
      </c>
      <c r="N406" s="90">
        <v>2</v>
      </c>
      <c r="O406" s="90">
        <v>1</v>
      </c>
      <c r="P406" s="90">
        <v>2</v>
      </c>
      <c r="Q406" s="94"/>
      <c r="R406" s="56"/>
      <c r="S406" s="16">
        <f t="shared" si="158"/>
        <v>0</v>
      </c>
      <c r="T406" s="16">
        <f t="shared" si="161"/>
        <v>0</v>
      </c>
      <c r="U406" s="16">
        <f t="shared" si="159"/>
        <v>0</v>
      </c>
      <c r="V406" s="16">
        <f t="shared" si="160"/>
        <v>0</v>
      </c>
      <c r="W406" s="16">
        <f>IF(P406&gt;LARGE($P$3:$T$3,1),0,1)</f>
        <v>0</v>
      </c>
      <c r="X406" s="16"/>
      <c r="Y406" s="16"/>
      <c r="Z406" s="16">
        <f t="shared" si="157"/>
        <v>0</v>
      </c>
      <c r="AA406" s="16"/>
      <c r="AB406" s="16" t="s">
        <v>391</v>
      </c>
      <c r="AC406" s="16" t="s">
        <v>393</v>
      </c>
      <c r="AD406" s="16" t="s">
        <v>393</v>
      </c>
      <c r="AE406" s="16"/>
      <c r="AF406" s="401" t="s">
        <v>394</v>
      </c>
      <c r="AG406" s="21" t="s">
        <v>394</v>
      </c>
      <c r="AH406" s="21" t="s">
        <v>389</v>
      </c>
      <c r="AI406" s="116"/>
      <c r="AJ406" s="158" t="s">
        <v>297</v>
      </c>
      <c r="AK406" s="116"/>
      <c r="AL406" s="116"/>
      <c r="AM406" s="116"/>
      <c r="AN406" s="116"/>
      <c r="AO406" s="116"/>
      <c r="AP406" s="116"/>
      <c r="AQ406" s="102"/>
      <c r="AR406" s="102"/>
      <c r="AS406" s="16"/>
      <c r="AT406" s="16"/>
      <c r="AU406" s="16"/>
      <c r="AV406" s="16"/>
      <c r="AW406" s="16"/>
      <c r="AX406" s="2"/>
      <c r="AY406" s="2"/>
      <c r="AZ406" s="2"/>
      <c r="BA406" s="95"/>
      <c r="BB406" s="95"/>
      <c r="BC406" s="95"/>
    </row>
    <row r="407" spans="1:55" customFormat="1" ht="13.5" customHeight="1">
      <c r="A407" s="2" t="str">
        <f>'Reference Score Calculation'!A398</f>
        <v>JSSA06</v>
      </c>
      <c r="B407" s="346" t="str">
        <f>'Reference Score Calculation'!B398</f>
        <v>JSSA06</v>
      </c>
      <c r="C407" s="21" t="str">
        <f>'Reference Score Calculation'!E398</f>
        <v>工商管理（榮譽）酒店及旅遊管理應用學士</v>
      </c>
      <c r="D407" s="16">
        <f>'Reference Score Calculation'!U398</f>
        <v>25</v>
      </c>
      <c r="E407" s="16">
        <v>3</v>
      </c>
      <c r="F407" s="16">
        <v>3</v>
      </c>
      <c r="G407" s="16">
        <v>2</v>
      </c>
      <c r="H407" s="16">
        <v>2</v>
      </c>
      <c r="I407" s="16"/>
      <c r="J407" s="16"/>
      <c r="K407" s="16"/>
      <c r="L407" s="90">
        <v>3</v>
      </c>
      <c r="M407" s="90">
        <v>3</v>
      </c>
      <c r="N407" s="90">
        <v>2</v>
      </c>
      <c r="O407" s="90">
        <v>1</v>
      </c>
      <c r="P407" s="90">
        <v>2</v>
      </c>
      <c r="Q407" s="94"/>
      <c r="R407" s="56"/>
      <c r="S407" s="16">
        <f t="shared" si="158"/>
        <v>0</v>
      </c>
      <c r="T407" s="16">
        <f t="shared" si="161"/>
        <v>0</v>
      </c>
      <c r="U407" s="16">
        <f t="shared" si="159"/>
        <v>0</v>
      </c>
      <c r="V407" s="16">
        <f t="shared" si="160"/>
        <v>0</v>
      </c>
      <c r="W407" s="16">
        <f>IF(P407&gt;LARGE($P$3:$T$3,1),0,1)</f>
        <v>0</v>
      </c>
      <c r="X407" s="16"/>
      <c r="Y407" s="16"/>
      <c r="Z407" s="16">
        <f t="shared" si="157"/>
        <v>0</v>
      </c>
      <c r="AA407" s="16"/>
      <c r="AB407" s="16" t="s">
        <v>391</v>
      </c>
      <c r="AC407" s="16" t="s">
        <v>393</v>
      </c>
      <c r="AD407" s="16" t="s">
        <v>393</v>
      </c>
      <c r="AE407" s="16"/>
      <c r="AF407" s="21" t="s">
        <v>394</v>
      </c>
      <c r="AG407" s="21" t="s">
        <v>394</v>
      </c>
      <c r="AH407" s="21" t="s">
        <v>389</v>
      </c>
      <c r="AI407" s="116"/>
      <c r="AJ407" s="158"/>
      <c r="AK407" s="116"/>
      <c r="AL407" s="116"/>
      <c r="AM407" s="116"/>
      <c r="AN407" s="116"/>
      <c r="AO407" s="116"/>
      <c r="AP407" s="115"/>
      <c r="AQ407" s="102"/>
      <c r="AR407" s="102"/>
      <c r="AS407" s="16"/>
      <c r="AT407" s="16"/>
      <c r="AU407" s="16"/>
      <c r="AV407" s="16"/>
      <c r="AW407" s="16"/>
      <c r="AX407" s="2"/>
      <c r="AY407" s="2"/>
      <c r="AZ407" s="2"/>
      <c r="BA407" s="95"/>
      <c r="BB407" s="95"/>
      <c r="BC407" s="95"/>
    </row>
    <row r="408" spans="1:55" customFormat="1" ht="13.5" customHeight="1">
      <c r="A408" s="2" t="str">
        <f>'Reference Score Calculation'!A399</f>
        <v>JSSC02</v>
      </c>
      <c r="B408" s="346" t="str">
        <f>'Reference Score Calculation'!B399</f>
        <v>JSSC02</v>
      </c>
      <c r="C408" s="21" t="str">
        <f>'Reference Score Calculation'!E399</f>
        <v>建築學（榮譽）理學士</v>
      </c>
      <c r="D408" s="16">
        <f>'Reference Score Calculation'!U399</f>
        <v>20</v>
      </c>
      <c r="E408" s="16">
        <v>3</v>
      </c>
      <c r="F408" s="16">
        <v>3</v>
      </c>
      <c r="G408" s="16">
        <v>2</v>
      </c>
      <c r="H408" s="16">
        <v>2</v>
      </c>
      <c r="I408" s="16">
        <v>2</v>
      </c>
      <c r="J408" s="16"/>
      <c r="K408" s="16"/>
      <c r="L408" s="90">
        <v>3</v>
      </c>
      <c r="M408" s="90">
        <v>3</v>
      </c>
      <c r="N408" s="90">
        <v>2</v>
      </c>
      <c r="O408" s="90">
        <v>1</v>
      </c>
      <c r="P408" s="90">
        <v>2</v>
      </c>
      <c r="Q408" s="90"/>
      <c r="R408" s="2"/>
      <c r="S408" s="16">
        <f t="shared" si="158"/>
        <v>0</v>
      </c>
      <c r="T408" s="16">
        <f t="shared" si="161"/>
        <v>0</v>
      </c>
      <c r="U408" s="16">
        <f t="shared" si="159"/>
        <v>0</v>
      </c>
      <c r="V408" s="16">
        <f t="shared" si="160"/>
        <v>0</v>
      </c>
      <c r="W408" s="16">
        <f>IF(P408&gt;LARGE($P$3:$U$3,1),0,1)</f>
        <v>0</v>
      </c>
      <c r="X408" s="2"/>
      <c r="Y408" s="2"/>
      <c r="Z408" s="16">
        <f t="shared" si="157"/>
        <v>0</v>
      </c>
      <c r="AA408" s="16"/>
      <c r="AB408" s="16" t="s">
        <v>391</v>
      </c>
      <c r="AC408" s="16" t="s">
        <v>392</v>
      </c>
      <c r="AD408" s="16" t="s">
        <v>393</v>
      </c>
      <c r="AE408" s="16"/>
      <c r="AF408" s="21" t="s">
        <v>394</v>
      </c>
      <c r="AG408" s="21" t="s">
        <v>394</v>
      </c>
      <c r="AH408" s="21" t="s">
        <v>389</v>
      </c>
      <c r="AI408" s="116"/>
      <c r="AJ408" s="116" t="str">
        <f>Q$2</f>
        <v>請選擇第一選修科</v>
      </c>
      <c r="AK408" s="116" t="str">
        <f>R$2</f>
        <v>請選擇第二選修科</v>
      </c>
      <c r="AL408" s="116" t="str">
        <f>S$2</f>
        <v>請選擇第三選修科</v>
      </c>
      <c r="AM408" s="116" t="str">
        <f>T$2</f>
        <v>請選擇第四選修科</v>
      </c>
      <c r="AN408" s="116"/>
      <c r="AO408" s="116"/>
      <c r="AP408" s="116" t="s">
        <v>3259</v>
      </c>
      <c r="AQ408" s="116"/>
      <c r="AR408" s="102"/>
      <c r="AS408" s="16"/>
      <c r="AT408" s="16"/>
      <c r="AU408" s="16"/>
      <c r="AV408" s="16"/>
      <c r="AW408" s="16"/>
      <c r="AX408" s="2"/>
      <c r="AY408" s="2"/>
      <c r="AZ408" s="2"/>
      <c r="BA408" s="95"/>
      <c r="BB408" s="95"/>
      <c r="BC408" s="95"/>
    </row>
    <row r="409" spans="1:55">
      <c r="A409" s="2" t="str">
        <f>'Reference Score Calculation'!A400</f>
        <v>JSSH01</v>
      </c>
      <c r="B409" s="346" t="str">
        <f>'Reference Score Calculation'!B400</f>
        <v>JSSH01</v>
      </c>
      <c r="C409" s="21" t="str">
        <f>'Reference Score Calculation'!E400</f>
        <v>供應鏈管理工商管理（榮譽）學士</v>
      </c>
      <c r="D409" s="16">
        <f>'Reference Score Calculation'!U400</f>
        <v>105</v>
      </c>
      <c r="E409" s="16">
        <v>3</v>
      </c>
      <c r="F409" s="16">
        <v>3</v>
      </c>
      <c r="G409" s="16">
        <v>2</v>
      </c>
      <c r="H409" s="16">
        <v>2</v>
      </c>
      <c r="I409" s="16">
        <v>2</v>
      </c>
      <c r="L409" s="90">
        <v>3</v>
      </c>
      <c r="M409" s="90">
        <v>3</v>
      </c>
      <c r="N409" s="90">
        <v>2</v>
      </c>
      <c r="O409" s="90">
        <v>1</v>
      </c>
      <c r="P409" s="90">
        <v>2</v>
      </c>
      <c r="Q409" s="90"/>
      <c r="S409" s="16">
        <f t="shared" si="158"/>
        <v>0</v>
      </c>
      <c r="T409" s="16">
        <f t="shared" si="161"/>
        <v>0</v>
      </c>
      <c r="U409" s="16">
        <f t="shared" si="159"/>
        <v>0</v>
      </c>
      <c r="V409" s="16">
        <f t="shared" si="160"/>
        <v>0</v>
      </c>
      <c r="W409" s="16">
        <f t="shared" ref="W409:W413" si="163">IF(P409&gt;LARGE($P$3:$U$3,1),0,1)</f>
        <v>0</v>
      </c>
      <c r="Z409" s="16">
        <f t="shared" si="157"/>
        <v>0</v>
      </c>
      <c r="AB409" s="16" t="s">
        <v>419</v>
      </c>
      <c r="AC409" s="16" t="s">
        <v>393</v>
      </c>
      <c r="AD409" s="16" t="s">
        <v>393</v>
      </c>
      <c r="AF409" s="21" t="s">
        <v>394</v>
      </c>
      <c r="AG409" s="21" t="s">
        <v>394</v>
      </c>
      <c r="AH409" s="21" t="s">
        <v>389</v>
      </c>
      <c r="AI409" s="116" t="s">
        <v>583</v>
      </c>
      <c r="AJ409" s="117">
        <f>IF(OR(Q$2="生物",Q$2="組合科學(生物、化學)",Q$2="組合科學(物理、生物)"),Q$3,0)</f>
        <v>0</v>
      </c>
      <c r="AK409" s="117">
        <f t="shared" ref="AK409:AM409" si="164">IF(OR(R$2="生物",R$2="組合科學(生物、化學)",R$2="組合科學(物理、生物)"),R$3,0)</f>
        <v>0</v>
      </c>
      <c r="AL409" s="117">
        <f t="shared" si="164"/>
        <v>0</v>
      </c>
      <c r="AM409" s="117">
        <f t="shared" si="164"/>
        <v>0</v>
      </c>
      <c r="AN409" s="116"/>
      <c r="AO409" s="116"/>
      <c r="AP409" s="117" t="str">
        <f>IF(AQ409&gt;0.1,INDEX(AJ408:AM408,MATCH(LARGE(AJ409:AM409,1),AJ409:AM409,0)),"無")</f>
        <v>無</v>
      </c>
      <c r="AQ409" s="117">
        <f>LARGE((AJ409:AM409),1)</f>
        <v>0</v>
      </c>
      <c r="AR409" s="102"/>
      <c r="AW409" s="16"/>
    </row>
    <row r="410" spans="1:55">
      <c r="A410" s="2" t="str">
        <f>'Reference Score Calculation'!A401</f>
        <v>JSSH02</v>
      </c>
      <c r="B410" s="346" t="str">
        <f>'Reference Score Calculation'!B401</f>
        <v>JSSH02</v>
      </c>
      <c r="C410" s="21" t="str">
        <f>'Reference Score Calculation'!E401</f>
        <v>精算及保險 （榮譽）理學士</v>
      </c>
      <c r="D410" s="16">
        <f>'Reference Score Calculation'!U401</f>
        <v>35</v>
      </c>
      <c r="E410" s="16">
        <v>3</v>
      </c>
      <c r="F410" s="16">
        <v>3</v>
      </c>
      <c r="G410" s="16">
        <v>3</v>
      </c>
      <c r="H410" s="16">
        <v>2</v>
      </c>
      <c r="I410" s="16">
        <v>2</v>
      </c>
      <c r="L410" s="90">
        <v>3</v>
      </c>
      <c r="M410" s="90">
        <v>3</v>
      </c>
      <c r="N410" s="90">
        <v>3</v>
      </c>
      <c r="O410" s="90">
        <v>1</v>
      </c>
      <c r="P410" s="90">
        <v>2</v>
      </c>
      <c r="Q410" s="90"/>
      <c r="S410" s="16">
        <f t="shared" si="158"/>
        <v>0</v>
      </c>
      <c r="T410" s="16">
        <f t="shared" si="161"/>
        <v>0</v>
      </c>
      <c r="U410" s="16">
        <f t="shared" si="159"/>
        <v>0</v>
      </c>
      <c r="V410" s="16">
        <f t="shared" si="160"/>
        <v>0</v>
      </c>
      <c r="W410" s="16">
        <f t="shared" si="163"/>
        <v>0</v>
      </c>
      <c r="Z410" s="16">
        <f t="shared" si="157"/>
        <v>0</v>
      </c>
      <c r="AB410" s="16" t="s">
        <v>391</v>
      </c>
      <c r="AC410" s="16" t="s">
        <v>393</v>
      </c>
      <c r="AD410" s="16" t="s">
        <v>393</v>
      </c>
      <c r="AF410" s="21" t="s">
        <v>394</v>
      </c>
      <c r="AG410" s="21" t="s">
        <v>394</v>
      </c>
      <c r="AH410" s="21" t="s">
        <v>389</v>
      </c>
      <c r="AI410" s="116"/>
      <c r="AJ410" s="158" t="s">
        <v>3268</v>
      </c>
      <c r="AK410" s="116"/>
      <c r="AL410" s="116"/>
      <c r="AM410" s="116"/>
      <c r="AN410" s="116"/>
      <c r="AO410" s="116"/>
      <c r="AP410" s="116"/>
      <c r="AQ410" s="102"/>
      <c r="AR410" s="102"/>
      <c r="AW410" s="16"/>
    </row>
    <row r="411" spans="1:55">
      <c r="A411" s="2" t="str">
        <f>'Reference Score Calculation'!A402</f>
        <v>JSSH03</v>
      </c>
      <c r="B411" s="346" t="str">
        <f>'Reference Score Calculation'!B402</f>
        <v>JSSH03</v>
      </c>
      <c r="C411" s="21" t="str">
        <f>'Reference Score Calculation'!E402</f>
        <v>計算機應用（榮譽）理學士</v>
      </c>
      <c r="D411" s="16">
        <f>'Reference Score Calculation'!U402</f>
        <v>55</v>
      </c>
      <c r="E411" s="16">
        <v>3</v>
      </c>
      <c r="F411" s="16">
        <v>3</v>
      </c>
      <c r="G411" s="16">
        <v>2</v>
      </c>
      <c r="H411" s="16">
        <v>2</v>
      </c>
      <c r="I411" s="16">
        <v>2</v>
      </c>
      <c r="L411" s="90">
        <v>3</v>
      </c>
      <c r="M411" s="90">
        <v>3</v>
      </c>
      <c r="N411" s="90">
        <v>2</v>
      </c>
      <c r="O411" s="90">
        <v>1</v>
      </c>
      <c r="P411" s="90">
        <v>2</v>
      </c>
      <c r="Q411" s="90"/>
      <c r="S411" s="16">
        <f t="shared" si="158"/>
        <v>0</v>
      </c>
      <c r="T411" s="16">
        <f t="shared" si="161"/>
        <v>0</v>
      </c>
      <c r="U411" s="16">
        <f t="shared" si="159"/>
        <v>0</v>
      </c>
      <c r="V411" s="16">
        <f t="shared" si="160"/>
        <v>0</v>
      </c>
      <c r="W411" s="16">
        <f t="shared" si="163"/>
        <v>0</v>
      </c>
      <c r="Z411" s="16">
        <f t="shared" si="157"/>
        <v>0</v>
      </c>
      <c r="AB411" s="16" t="s">
        <v>419</v>
      </c>
      <c r="AC411" s="16" t="s">
        <v>393</v>
      </c>
      <c r="AD411" s="16" t="s">
        <v>393</v>
      </c>
      <c r="AF411" s="21" t="s">
        <v>394</v>
      </c>
      <c r="AG411" s="21" t="s">
        <v>394</v>
      </c>
      <c r="AH411" s="21" t="s">
        <v>389</v>
      </c>
      <c r="AI411" s="116"/>
      <c r="AJ411" s="116"/>
      <c r="AK411" s="116"/>
      <c r="AL411" s="116"/>
      <c r="AM411" s="116"/>
      <c r="AN411" s="116"/>
      <c r="AO411" s="116"/>
      <c r="AP411" s="102"/>
      <c r="AQ411" s="102"/>
      <c r="AR411" s="102"/>
      <c r="AW411" s="16"/>
    </row>
    <row r="412" spans="1:55">
      <c r="A412" s="2" t="str">
        <f>'Reference Score Calculation'!A403</f>
        <v>JSSH04</v>
      </c>
      <c r="B412" s="346" t="str">
        <f>'Reference Score Calculation'!B403</f>
        <v>JSSH04</v>
      </c>
      <c r="C412" s="21" t="str">
        <f>'Reference Score Calculation'!E403</f>
        <v>數據科學及商業智能學（榮譽）理學士</v>
      </c>
      <c r="D412" s="16">
        <f>'Reference Score Calculation'!U403</f>
        <v>60</v>
      </c>
      <c r="E412" s="16">
        <v>3</v>
      </c>
      <c r="F412" s="16">
        <v>3</v>
      </c>
      <c r="G412" s="16">
        <v>2</v>
      </c>
      <c r="H412" s="16">
        <v>2</v>
      </c>
      <c r="I412" s="16">
        <v>2</v>
      </c>
      <c r="L412" s="90">
        <v>3</v>
      </c>
      <c r="M412" s="90">
        <v>3</v>
      </c>
      <c r="N412" s="90">
        <v>2</v>
      </c>
      <c r="O412" s="90">
        <v>1</v>
      </c>
      <c r="P412" s="90">
        <v>2</v>
      </c>
      <c r="Q412" s="90"/>
      <c r="S412" s="16">
        <f t="shared" si="158"/>
        <v>0</v>
      </c>
      <c r="T412" s="16">
        <f t="shared" si="161"/>
        <v>0</v>
      </c>
      <c r="U412" s="16">
        <f t="shared" si="159"/>
        <v>0</v>
      </c>
      <c r="V412" s="16">
        <f t="shared" si="160"/>
        <v>0</v>
      </c>
      <c r="W412" s="16">
        <f t="shared" si="163"/>
        <v>0</v>
      </c>
      <c r="Z412" s="16">
        <f t="shared" si="157"/>
        <v>0</v>
      </c>
      <c r="AB412" s="16" t="s">
        <v>391</v>
      </c>
      <c r="AC412" s="16" t="s">
        <v>393</v>
      </c>
      <c r="AD412" s="16" t="s">
        <v>393</v>
      </c>
      <c r="AF412" s="21" t="s">
        <v>394</v>
      </c>
      <c r="AG412" s="21" t="s">
        <v>394</v>
      </c>
      <c r="AH412" s="21" t="s">
        <v>389</v>
      </c>
      <c r="AI412" s="116"/>
      <c r="AJ412" s="116"/>
      <c r="AK412" s="116"/>
      <c r="AL412" s="116"/>
      <c r="AM412" s="116"/>
      <c r="AN412" s="116"/>
      <c r="AO412" s="116"/>
      <c r="AP412" s="102"/>
      <c r="AQ412" s="102"/>
      <c r="AR412" s="102"/>
      <c r="AW412" s="16"/>
    </row>
    <row r="413" spans="1:55">
      <c r="A413" s="2" t="str">
        <f>'Reference Score Calculation'!A404</f>
        <v>JSSH05</v>
      </c>
      <c r="B413" s="346" t="str">
        <f>'Reference Score Calculation'!B404</f>
        <v>JSSH05</v>
      </c>
      <c r="C413" s="21" t="str">
        <f>'Reference Score Calculation'!E404</f>
        <v>管理科學與資訊管理（榮譽）學士</v>
      </c>
      <c r="D413" s="16">
        <f>'Reference Score Calculation'!U404</f>
        <v>50</v>
      </c>
      <c r="E413" s="16">
        <v>3</v>
      </c>
      <c r="F413" s="16">
        <v>3</v>
      </c>
      <c r="G413" s="16">
        <v>2</v>
      </c>
      <c r="H413" s="16">
        <v>2</v>
      </c>
      <c r="I413" s="16">
        <v>2</v>
      </c>
      <c r="L413" s="90">
        <v>3</v>
      </c>
      <c r="M413" s="90">
        <v>3</v>
      </c>
      <c r="N413" s="90">
        <v>2</v>
      </c>
      <c r="O413" s="90">
        <v>1</v>
      </c>
      <c r="P413" s="90">
        <v>2</v>
      </c>
      <c r="Q413" s="90"/>
      <c r="S413" s="16">
        <f t="shared" si="158"/>
        <v>0</v>
      </c>
      <c r="T413" s="16">
        <f t="shared" si="161"/>
        <v>0</v>
      </c>
      <c r="U413" s="16">
        <f t="shared" si="159"/>
        <v>0</v>
      </c>
      <c r="V413" s="16">
        <f t="shared" si="160"/>
        <v>0</v>
      </c>
      <c r="W413" s="16">
        <f t="shared" si="163"/>
        <v>0</v>
      </c>
      <c r="Z413" s="16">
        <f t="shared" si="157"/>
        <v>0</v>
      </c>
      <c r="AB413" s="16" t="s">
        <v>419</v>
      </c>
      <c r="AC413" s="16" t="s">
        <v>393</v>
      </c>
      <c r="AD413" s="16" t="s">
        <v>393</v>
      </c>
      <c r="AF413" s="21" t="s">
        <v>394</v>
      </c>
      <c r="AG413" s="21" t="s">
        <v>394</v>
      </c>
      <c r="AH413" s="21" t="s">
        <v>389</v>
      </c>
      <c r="AI413" s="116"/>
      <c r="AJ413" s="116" t="str">
        <f>Q$2</f>
        <v>請選擇第一選修科</v>
      </c>
      <c r="AK413" s="116" t="str">
        <f>R$2</f>
        <v>請選擇第二選修科</v>
      </c>
      <c r="AL413" s="116" t="str">
        <f>S$2</f>
        <v>請選擇第三選修科</v>
      </c>
      <c r="AM413" s="116" t="str">
        <f>T$2</f>
        <v>請選擇第四選修科</v>
      </c>
      <c r="AN413" s="116"/>
      <c r="AO413" s="116"/>
      <c r="AP413" s="116" t="s">
        <v>3267</v>
      </c>
      <c r="AQ413" s="116"/>
      <c r="AR413" s="102"/>
      <c r="AW413" s="16"/>
    </row>
    <row r="414" spans="1:55">
      <c r="A414" s="2" t="str">
        <f>'Reference Score Calculation'!A405</f>
        <v>JSSH06</v>
      </c>
      <c r="B414" s="346" t="str">
        <f>'Reference Score Calculation'!B405</f>
        <v>JSSH06</v>
      </c>
      <c r="C414" s="21" t="str">
        <f>'Reference Score Calculation'!E405</f>
        <v>藝術設計（榮譽）文學士</v>
      </c>
      <c r="D414" s="16">
        <f>'Reference Score Calculation'!U405</f>
        <v>40</v>
      </c>
      <c r="E414" s="16">
        <v>3</v>
      </c>
      <c r="F414" s="16">
        <v>3</v>
      </c>
      <c r="G414" s="16">
        <v>2</v>
      </c>
      <c r="H414" s="16">
        <v>2</v>
      </c>
      <c r="I414" s="16">
        <v>2</v>
      </c>
      <c r="L414" s="90">
        <v>3</v>
      </c>
      <c r="M414" s="90">
        <v>3</v>
      </c>
      <c r="N414" s="90">
        <v>2</v>
      </c>
      <c r="O414" s="90">
        <v>1</v>
      </c>
      <c r="P414" s="90">
        <v>2</v>
      </c>
      <c r="Q414" s="90"/>
      <c r="S414" s="16">
        <f t="shared" si="158"/>
        <v>0</v>
      </c>
      <c r="T414" s="16">
        <f t="shared" si="161"/>
        <v>0</v>
      </c>
      <c r="U414" s="16">
        <f t="shared" si="159"/>
        <v>0</v>
      </c>
      <c r="V414" s="16">
        <f t="shared" si="160"/>
        <v>0</v>
      </c>
      <c r="W414" s="16">
        <f>IF(P414&gt;LARGE($P$3:$U$3,1),0,1)</f>
        <v>0</v>
      </c>
      <c r="Z414" s="16">
        <f t="shared" si="157"/>
        <v>0</v>
      </c>
      <c r="AB414" s="16" t="s">
        <v>391</v>
      </c>
      <c r="AC414" s="16" t="s">
        <v>393</v>
      </c>
      <c r="AD414" s="16" t="s">
        <v>393</v>
      </c>
      <c r="AF414" s="21" t="s">
        <v>394</v>
      </c>
      <c r="AG414" s="21" t="s">
        <v>394</v>
      </c>
      <c r="AH414" s="21" t="s">
        <v>389</v>
      </c>
      <c r="AI414" s="116" t="s">
        <v>584</v>
      </c>
      <c r="AJ414" s="117">
        <f>IF(OR(Q$2="生物",Q$2="物理",Q$2="組合科學(物理、生物)"),Q$3,0)</f>
        <v>0</v>
      </c>
      <c r="AK414" s="117">
        <f>IF(OR(R$2="生物",R$2="物理",R$2="組合科學(物理、生物)"),R$3,0)</f>
        <v>0</v>
      </c>
      <c r="AL414" s="117">
        <f>IF(OR(S$2="生物",S$2="物理",S$2="組合科學(物理、生物)"),S$3,0)</f>
        <v>0</v>
      </c>
      <c r="AM414" s="117">
        <f>IF(OR(T$2="生物",T$2="物理",T$2="組合科學(物理、生物)"),T$3,0)</f>
        <v>0</v>
      </c>
      <c r="AN414" s="116"/>
      <c r="AO414" s="116"/>
      <c r="AP414" s="117" t="str">
        <f>IF(AQ414&gt;0.1,INDEX(AJ413:AM413,MATCH(LARGE(AJ414:AM414,1),AJ414:AM414,0)),"無")</f>
        <v>無</v>
      </c>
      <c r="AQ414" s="117">
        <f>LARGE((AJ414:AM414),1)</f>
        <v>0</v>
      </c>
      <c r="AR414" s="102"/>
      <c r="AW414" s="16"/>
    </row>
    <row r="415" spans="1:55">
      <c r="A415" s="2" t="str">
        <f>'Reference Score Calculation'!A406</f>
        <v>JSST01</v>
      </c>
      <c r="B415" s="346" t="str">
        <f>'Reference Score Calculation'!B406</f>
        <v>JSST01</v>
      </c>
      <c r="C415" s="21" t="str">
        <f>'Reference Score Calculation'!E406</f>
        <v>護理學（榮譽）健康科學學士</v>
      </c>
      <c r="D415" s="16">
        <f>'Reference Score Calculation'!U406</f>
        <v>400</v>
      </c>
      <c r="E415" s="16">
        <v>3</v>
      </c>
      <c r="F415" s="16">
        <v>3</v>
      </c>
      <c r="G415" s="16">
        <v>2</v>
      </c>
      <c r="H415" s="16">
        <v>2</v>
      </c>
      <c r="I415" s="16">
        <v>2</v>
      </c>
      <c r="L415" s="90">
        <v>3</v>
      </c>
      <c r="M415" s="90">
        <v>3</v>
      </c>
      <c r="N415" s="90">
        <v>2</v>
      </c>
      <c r="O415" s="90">
        <v>1</v>
      </c>
      <c r="P415" s="90">
        <v>2</v>
      </c>
      <c r="Q415" s="90"/>
      <c r="S415" s="16">
        <f t="shared" si="158"/>
        <v>0</v>
      </c>
      <c r="T415" s="16">
        <f>IF(M415&gt;M$3,0,IF(M$3&lt;4,2,1))</f>
        <v>0</v>
      </c>
      <c r="U415" s="16">
        <f t="shared" si="159"/>
        <v>0</v>
      </c>
      <c r="V415" s="16">
        <f t="shared" si="160"/>
        <v>0</v>
      </c>
      <c r="W415" s="16">
        <f>IF(P415&gt;LARGE($P$3:$T$3,1),0,1)</f>
        <v>0</v>
      </c>
      <c r="Z415" s="16">
        <f t="shared" si="157"/>
        <v>0</v>
      </c>
      <c r="AB415" s="16" t="s">
        <v>419</v>
      </c>
      <c r="AC415" s="16" t="s">
        <v>393</v>
      </c>
      <c r="AD415" s="16" t="s">
        <v>393</v>
      </c>
      <c r="AF415" s="21" t="s">
        <v>3263</v>
      </c>
      <c r="AG415" s="21" t="s">
        <v>324</v>
      </c>
      <c r="AH415" s="21" t="s">
        <v>389</v>
      </c>
      <c r="AI415" s="116" t="s">
        <v>1822</v>
      </c>
      <c r="AJ415" s="158" t="s">
        <v>585</v>
      </c>
      <c r="AK415" s="116"/>
      <c r="AL415" s="116"/>
      <c r="AM415" s="116"/>
      <c r="AN415" s="116"/>
      <c r="AO415" s="116"/>
      <c r="AP415" s="116"/>
      <c r="AQ415" s="102"/>
      <c r="AR415" s="102"/>
      <c r="AW415" s="16"/>
    </row>
    <row r="416" spans="1:55">
      <c r="A416" s="2" t="str">
        <f>'Reference Score Calculation'!A407</f>
        <v>JSST02</v>
      </c>
      <c r="B416" s="346" t="str">
        <f>'Reference Score Calculation'!B407</f>
        <v>JSST02</v>
      </c>
      <c r="C416" s="21" t="str">
        <f>'Reference Score Calculation'!E407</f>
        <v>醫療化驗科學（榮譽）理學士</v>
      </c>
      <c r="D416" s="16">
        <f>'Reference Score Calculation'!U407</f>
        <v>45</v>
      </c>
      <c r="E416" s="16">
        <v>3</v>
      </c>
      <c r="F416" s="16">
        <v>3</v>
      </c>
      <c r="G416" s="16">
        <v>2</v>
      </c>
      <c r="H416" s="16">
        <v>2</v>
      </c>
      <c r="I416" s="16">
        <v>2</v>
      </c>
      <c r="L416" s="90">
        <v>3</v>
      </c>
      <c r="M416" s="90">
        <v>3</v>
      </c>
      <c r="N416" s="90">
        <v>2</v>
      </c>
      <c r="O416" s="90">
        <v>1</v>
      </c>
      <c r="P416" s="90">
        <v>2</v>
      </c>
      <c r="Q416" s="90"/>
      <c r="S416" s="16">
        <f t="shared" si="158"/>
        <v>0</v>
      </c>
      <c r="T416" s="16">
        <f>IF(M416&gt;M$3,0,IF(M$3&lt;4,2,1))</f>
        <v>0</v>
      </c>
      <c r="U416" s="16">
        <f t="shared" si="159"/>
        <v>0</v>
      </c>
      <c r="V416" s="16">
        <f t="shared" si="160"/>
        <v>0</v>
      </c>
      <c r="W416" s="16">
        <f>IF(P416&gt;LARGE($P$3:$U$3,1),0,IF(AQ418&lt;4,2,1))</f>
        <v>0</v>
      </c>
      <c r="Z416" s="16">
        <f>IF(S416*T416*U416*V416*W416&gt;2, 2,S416*T416*U416*V416*W416)</f>
        <v>0</v>
      </c>
      <c r="AB416" s="16" t="s">
        <v>419</v>
      </c>
      <c r="AC416" s="16" t="s">
        <v>393</v>
      </c>
      <c r="AD416" s="16" t="s">
        <v>393</v>
      </c>
      <c r="AF416" s="21" t="s">
        <v>587</v>
      </c>
      <c r="AG416" s="21" t="s">
        <v>588</v>
      </c>
      <c r="AH416" s="21" t="s">
        <v>389</v>
      </c>
      <c r="AI416" s="116"/>
      <c r="AJ416" s="116"/>
      <c r="AK416" s="116"/>
      <c r="AL416" s="116"/>
      <c r="AM416" s="116"/>
      <c r="AN416" s="116"/>
      <c r="AO416" s="116"/>
      <c r="AP416" s="102"/>
      <c r="AQ416" s="102"/>
      <c r="AR416" s="102"/>
      <c r="AW416" s="16"/>
    </row>
    <row r="417" spans="1:49">
      <c r="A417" s="2" t="str">
        <f>'Reference Score Calculation'!A408</f>
        <v>JSST03</v>
      </c>
      <c r="B417" s="346" t="str">
        <f>'Reference Score Calculation'!B408</f>
        <v>JSST03</v>
      </c>
      <c r="C417" s="21" t="str">
        <f>'Reference Score Calculation'!E408</f>
        <v>放射治療學（榮譽）理學士</v>
      </c>
      <c r="D417" s="16">
        <f>'Reference Score Calculation'!U408</f>
        <v>20</v>
      </c>
      <c r="E417" s="16">
        <v>3</v>
      </c>
      <c r="F417" s="16">
        <v>3</v>
      </c>
      <c r="G417" s="16">
        <v>2</v>
      </c>
      <c r="H417" s="16">
        <v>2</v>
      </c>
      <c r="I417" s="16">
        <v>3</v>
      </c>
      <c r="L417" s="90">
        <v>3</v>
      </c>
      <c r="M417" s="90">
        <v>3</v>
      </c>
      <c r="N417" s="90">
        <v>2</v>
      </c>
      <c r="O417" s="90">
        <v>1</v>
      </c>
      <c r="P417" s="90">
        <v>3</v>
      </c>
      <c r="Q417" s="90"/>
      <c r="S417" s="16">
        <f t="shared" si="158"/>
        <v>0</v>
      </c>
      <c r="T417" s="16">
        <f>IF(M417&gt;M$3,0,IF(M$3&lt;4,2,1))</f>
        <v>0</v>
      </c>
      <c r="U417" s="16">
        <f>IF(N417&gt;N$3,0,IF(N$3&lt;3,2,1))</f>
        <v>0</v>
      </c>
      <c r="V417" s="16">
        <f>IF(O417&gt;O$3,0,IF(O$3&lt;3,2,1))</f>
        <v>0</v>
      </c>
      <c r="W417" s="16">
        <f>IF(P417&gt;AQ424,0,IF(AQ422&lt;4,2,1))</f>
        <v>0</v>
      </c>
      <c r="Z417" s="16">
        <f>IF(S417*T417*U417*V417*W417&gt;2, 2,S417*T417*U417*V417*W417)</f>
        <v>0</v>
      </c>
      <c r="AB417" s="16" t="s">
        <v>419</v>
      </c>
      <c r="AC417" s="16" t="s">
        <v>393</v>
      </c>
      <c r="AD417" s="16" t="s">
        <v>393</v>
      </c>
      <c r="AF417" s="21" t="s">
        <v>589</v>
      </c>
      <c r="AG417" s="21" t="s">
        <v>3266</v>
      </c>
      <c r="AH417" s="21" t="s">
        <v>389</v>
      </c>
      <c r="AI417" s="116"/>
      <c r="AJ417" s="116" t="str">
        <f>Q$2</f>
        <v>請選擇第一選修科</v>
      </c>
      <c r="AK417" s="116" t="str">
        <f>R$2</f>
        <v>請選擇第二選修科</v>
      </c>
      <c r="AL417" s="116" t="str">
        <f>S$2</f>
        <v>請選擇第三選修科</v>
      </c>
      <c r="AM417" s="116" t="str">
        <f>T$2</f>
        <v>請選擇第四選修科</v>
      </c>
      <c r="AN417" s="116"/>
      <c r="AO417" s="116"/>
      <c r="AP417" s="116" t="s">
        <v>466</v>
      </c>
      <c r="AQ417" s="116"/>
      <c r="AR417" s="102"/>
      <c r="AW417" s="16"/>
    </row>
    <row r="418" spans="1:49">
      <c r="A418" s="2" t="str">
        <f>'Reference Score Calculation'!A409</f>
        <v>JSST04</v>
      </c>
      <c r="B418" s="346" t="str">
        <f>'Reference Score Calculation'!B409</f>
        <v>JSST04</v>
      </c>
      <c r="C418" s="21" t="str">
        <f>'Reference Score Calculation'!E409</f>
        <v>職業治療學（榮譽）理學士</v>
      </c>
      <c r="D418" s="16">
        <f>'Reference Score Calculation'!U409</f>
        <v>60</v>
      </c>
      <c r="E418" s="16">
        <v>3</v>
      </c>
      <c r="F418" s="16">
        <v>3</v>
      </c>
      <c r="G418" s="16">
        <v>2</v>
      </c>
      <c r="H418" s="16">
        <v>2</v>
      </c>
      <c r="I418" s="16">
        <v>2</v>
      </c>
      <c r="L418" s="90">
        <v>3</v>
      </c>
      <c r="M418" s="90">
        <v>3</v>
      </c>
      <c r="N418" s="90">
        <v>2</v>
      </c>
      <c r="O418" s="90">
        <v>1</v>
      </c>
      <c r="P418" s="90">
        <v>2</v>
      </c>
      <c r="Q418" s="90"/>
      <c r="S418" s="16">
        <f t="shared" si="158"/>
        <v>0</v>
      </c>
      <c r="T418" s="16">
        <f>IF(M418&gt;M$3,0,IF(M$3&lt;4,2,1))</f>
        <v>0</v>
      </c>
      <c r="U418" s="16">
        <f t="shared" ref="U418:U439" si="165">IF(N418&gt;N$3,0,1)</f>
        <v>0</v>
      </c>
      <c r="V418" s="16">
        <f t="shared" ref="V418:V439" si="166">IF(O418&gt;O$3,0,1)</f>
        <v>0</v>
      </c>
      <c r="W418" s="16">
        <f>IF(P418&gt;LARGE($P$3:$T$3,1),0,IF($AQ$409&lt;3,2,1))</f>
        <v>0</v>
      </c>
      <c r="Z418" s="16">
        <f t="shared" ref="Z418:Z456" si="167">IF(S418*T418*U418*V418*W418&gt;2, 2,S418*T418*U418*V418*W418)</f>
        <v>0</v>
      </c>
      <c r="AB418" s="16" t="s">
        <v>419</v>
      </c>
      <c r="AC418" s="16" t="s">
        <v>393</v>
      </c>
      <c r="AD418" s="16" t="s">
        <v>393</v>
      </c>
      <c r="AF418" s="21" t="s">
        <v>587</v>
      </c>
      <c r="AG418" s="21" t="s">
        <v>590</v>
      </c>
      <c r="AH418" s="21" t="s">
        <v>389</v>
      </c>
      <c r="AI418" s="116" t="s">
        <v>586</v>
      </c>
      <c r="AJ418" s="117">
        <f>IF(OR(Q$2="化學",Q$2="組合科學(生物、化學)",Q$2="組合科學(物理、化學)"),Q$3,0)</f>
        <v>0</v>
      </c>
      <c r="AK418" s="117">
        <f>IF(OR(R$2="化學",R$2="組合科學(生物、化學)",R$2="組合科學(物理、化學)"),R$3,0)</f>
        <v>0</v>
      </c>
      <c r="AL418" s="117">
        <f>IF(OR(S$2="化學",S$2="組合科學(生物、化學)",S$2="組合科學(物理、化學)"),S$3,0)</f>
        <v>0</v>
      </c>
      <c r="AM418" s="117">
        <f>IF(OR(T$2="化學",T$2="組合科學(生物、化學)",T$2="組合科學(物理、化學)"),T$3,0)</f>
        <v>0</v>
      </c>
      <c r="AN418" s="116"/>
      <c r="AO418" s="116"/>
      <c r="AP418" s="117" t="str">
        <f>IF(AQ418&gt;0.1,INDEX(AJ417:AM417,MATCH(LARGE(AJ418:AM418,1),AJ418:AM418,0)),"無")</f>
        <v>無</v>
      </c>
      <c r="AQ418" s="117">
        <f>LARGE((AJ418:AM418),1)</f>
        <v>0</v>
      </c>
      <c r="AR418" s="102"/>
      <c r="AW418" s="16"/>
    </row>
    <row r="419" spans="1:49">
      <c r="A419" s="2" t="str">
        <f>'Reference Score Calculation'!A410</f>
        <v>JSST05</v>
      </c>
      <c r="B419" s="346" t="str">
        <f>'Reference Score Calculation'!B410</f>
        <v>JSST05</v>
      </c>
      <c r="C419" s="21" t="str">
        <f>'Reference Score Calculation'!E410</f>
        <v>物理治療學（榮譽）理學士</v>
      </c>
      <c r="D419" s="16">
        <f>'Reference Score Calculation'!U410</f>
        <v>60</v>
      </c>
      <c r="E419" s="16">
        <v>3</v>
      </c>
      <c r="F419" s="16">
        <v>3</v>
      </c>
      <c r="G419" s="16">
        <v>2</v>
      </c>
      <c r="H419" s="16">
        <v>2</v>
      </c>
      <c r="I419" s="16">
        <v>2</v>
      </c>
      <c r="L419" s="90">
        <v>3</v>
      </c>
      <c r="M419" s="90">
        <v>3</v>
      </c>
      <c r="N419" s="90">
        <v>2</v>
      </c>
      <c r="O419" s="90">
        <v>1</v>
      </c>
      <c r="P419" s="90">
        <v>2</v>
      </c>
      <c r="Q419" s="90"/>
      <c r="S419" s="16">
        <f t="shared" si="158"/>
        <v>0</v>
      </c>
      <c r="T419" s="16">
        <f>IF(M419&gt;M$3,0,IF(M$3&lt;4,2,1))</f>
        <v>0</v>
      </c>
      <c r="U419" s="16">
        <f t="shared" si="165"/>
        <v>0</v>
      </c>
      <c r="V419" s="16">
        <f t="shared" si="166"/>
        <v>0</v>
      </c>
      <c r="W419" s="16">
        <f>IF(P419&gt;LARGE($P$3:$T$3,1),0,IF($AQ$414&lt;3,2,1))</f>
        <v>0</v>
      </c>
      <c r="Z419" s="16">
        <f t="shared" si="167"/>
        <v>0</v>
      </c>
      <c r="AB419" s="16" t="s">
        <v>419</v>
      </c>
      <c r="AC419" s="16" t="s">
        <v>393</v>
      </c>
      <c r="AD419" s="16" t="s">
        <v>393</v>
      </c>
      <c r="AF419" s="21" t="s">
        <v>587</v>
      </c>
      <c r="AG419" s="21" t="s">
        <v>3269</v>
      </c>
      <c r="AH419" s="21" t="s">
        <v>389</v>
      </c>
      <c r="AI419" s="116"/>
      <c r="AJ419" s="158" t="s">
        <v>510</v>
      </c>
      <c r="AK419" s="116"/>
      <c r="AL419" s="116"/>
      <c r="AM419" s="116"/>
      <c r="AN419" s="116"/>
      <c r="AO419" s="116"/>
      <c r="AP419" s="116"/>
      <c r="AQ419" s="102"/>
      <c r="AR419" s="102"/>
      <c r="AW419" s="16"/>
    </row>
    <row r="420" spans="1:49">
      <c r="A420" s="2" t="str">
        <f>'Reference Score Calculation'!A411</f>
        <v>JSST06</v>
      </c>
      <c r="B420" s="346" t="str">
        <f>'Reference Score Calculation'!B411</f>
        <v>JSST06</v>
      </c>
      <c r="C420" s="21" t="str">
        <f>'Reference Score Calculation'!E411</f>
        <v>應用老年學（榮譽）理學士</v>
      </c>
      <c r="D420" s="16">
        <f>'Reference Score Calculation'!U411</f>
        <v>40</v>
      </c>
      <c r="E420" s="16">
        <v>3</v>
      </c>
      <c r="F420" s="16">
        <v>3</v>
      </c>
      <c r="G420" s="16">
        <v>2</v>
      </c>
      <c r="H420" s="16">
        <v>2</v>
      </c>
      <c r="I420" s="16">
        <v>2</v>
      </c>
      <c r="L420" s="90">
        <v>3</v>
      </c>
      <c r="M420" s="90">
        <v>3</v>
      </c>
      <c r="N420" s="90">
        <v>2</v>
      </c>
      <c r="O420" s="90">
        <v>1</v>
      </c>
      <c r="P420" s="90">
        <v>2</v>
      </c>
      <c r="Q420" s="90"/>
      <c r="S420" s="16">
        <f t="shared" si="158"/>
        <v>0</v>
      </c>
      <c r="T420" s="16">
        <f>IF(M420&gt;M$3,0,1)</f>
        <v>0</v>
      </c>
      <c r="U420" s="16">
        <f t="shared" si="165"/>
        <v>0</v>
      </c>
      <c r="V420" s="16">
        <f t="shared" si="166"/>
        <v>0</v>
      </c>
      <c r="W420" s="16">
        <f>IF(P420&gt;LARGE($P$3:$T$3,1),0,1)</f>
        <v>0</v>
      </c>
      <c r="Z420" s="16">
        <f t="shared" si="167"/>
        <v>0</v>
      </c>
      <c r="AB420" s="16" t="s">
        <v>419</v>
      </c>
      <c r="AC420" s="16" t="s">
        <v>393</v>
      </c>
      <c r="AD420" s="16" t="s">
        <v>393</v>
      </c>
      <c r="AF420" s="21" t="s">
        <v>394</v>
      </c>
      <c r="AG420" s="21" t="s">
        <v>394</v>
      </c>
      <c r="AH420" s="21" t="s">
        <v>389</v>
      </c>
      <c r="AI420" s="116"/>
      <c r="AJ420" s="116"/>
      <c r="AK420" s="116"/>
      <c r="AL420" s="116"/>
      <c r="AM420" s="116"/>
      <c r="AN420" s="116"/>
      <c r="AO420" s="116"/>
      <c r="AP420" s="102"/>
      <c r="AQ420" s="102"/>
      <c r="AR420" s="102"/>
      <c r="AW420" s="16"/>
    </row>
    <row r="421" spans="1:49">
      <c r="A421" s="2" t="str">
        <f>'Reference Score Calculation'!A412</f>
        <v>JSST07</v>
      </c>
      <c r="B421" s="346" t="str">
        <f>'Reference Score Calculation'!B412</f>
        <v>JSST07</v>
      </c>
      <c r="C421" s="21" t="str">
        <f>'Reference Score Calculation'!E412</f>
        <v>醫療資訊及服務管理（榮譽）學士</v>
      </c>
      <c r="D421" s="16">
        <f>'Reference Score Calculation'!U412</f>
        <v>25</v>
      </c>
      <c r="E421" s="2"/>
      <c r="F421" s="2"/>
      <c r="G421" s="2"/>
      <c r="H421" s="2"/>
      <c r="I421" s="2"/>
      <c r="J421" s="2"/>
      <c r="L421" s="90">
        <v>3</v>
      </c>
      <c r="M421" s="90">
        <v>3</v>
      </c>
      <c r="N421" s="90">
        <v>2</v>
      </c>
      <c r="O421" s="90">
        <v>1</v>
      </c>
      <c r="P421" s="90">
        <v>2</v>
      </c>
      <c r="Q421" s="90"/>
      <c r="S421" s="16">
        <f t="shared" si="158"/>
        <v>0</v>
      </c>
      <c r="T421" s="16">
        <f>IF(M421&gt;M$3,0,1)</f>
        <v>0</v>
      </c>
      <c r="U421" s="16">
        <f t="shared" si="165"/>
        <v>0</v>
      </c>
      <c r="V421" s="16">
        <f t="shared" si="166"/>
        <v>0</v>
      </c>
      <c r="W421" s="16">
        <f>IF(P421&gt;LARGE($P$3:$T$3,1),0,1)</f>
        <v>0</v>
      </c>
      <c r="Z421" s="16">
        <f t="shared" si="167"/>
        <v>0</v>
      </c>
      <c r="AA421" s="2"/>
      <c r="AB421" s="16" t="s">
        <v>419</v>
      </c>
      <c r="AC421" s="16" t="s">
        <v>393</v>
      </c>
      <c r="AD421" s="16" t="s">
        <v>393</v>
      </c>
      <c r="AE421" s="2"/>
      <c r="AF421" s="21" t="s">
        <v>394</v>
      </c>
      <c r="AG421" s="21" t="s">
        <v>394</v>
      </c>
      <c r="AH421" s="21" t="s">
        <v>389</v>
      </c>
      <c r="AI421" s="116"/>
      <c r="AJ421" s="116" t="str">
        <f>Q$2</f>
        <v>請選擇第一選修科</v>
      </c>
      <c r="AK421" s="116" t="str">
        <f>R$2</f>
        <v>請選擇第二選修科</v>
      </c>
      <c r="AL421" s="116" t="str">
        <f>S$2</f>
        <v>請選擇第三選修科</v>
      </c>
      <c r="AM421" s="116" t="str">
        <f>T$2</f>
        <v>請選擇第四選修科</v>
      </c>
      <c r="AN421" s="116"/>
      <c r="AO421" s="116"/>
      <c r="AP421" s="116" t="s">
        <v>466</v>
      </c>
      <c r="AQ421" s="116"/>
      <c r="AR421" s="102"/>
      <c r="AW421" s="16"/>
    </row>
    <row r="422" spans="1:49">
      <c r="A422" s="2" t="str">
        <f>'Reference Score Calculation'!A413</f>
        <v>JSST08</v>
      </c>
      <c r="B422" s="346" t="str">
        <f>'Reference Score Calculation'!B413</f>
        <v>JSST08</v>
      </c>
      <c r="C422" s="21" t="str">
        <f>'Reference Score Calculation'!E413</f>
        <v>醫療影像學（榮譽）理學士</v>
      </c>
      <c r="D422" s="16">
        <f>'Reference Score Calculation'!U413</f>
        <v>30</v>
      </c>
      <c r="E422" s="2"/>
      <c r="F422" s="2"/>
      <c r="G422" s="2"/>
      <c r="H422" s="2"/>
      <c r="I422" s="2"/>
      <c r="J422" s="2"/>
      <c r="L422" s="90">
        <v>3</v>
      </c>
      <c r="M422" s="90">
        <v>3</v>
      </c>
      <c r="N422" s="90">
        <v>2</v>
      </c>
      <c r="O422" s="90">
        <v>1</v>
      </c>
      <c r="P422" s="90">
        <v>2</v>
      </c>
      <c r="Q422" s="90"/>
      <c r="S422" s="16">
        <f t="shared" si="158"/>
        <v>0</v>
      </c>
      <c r="T422" s="16">
        <f>IF(M422&gt;M$3,0,IF(M$3&lt;4,2,1))</f>
        <v>0</v>
      </c>
      <c r="U422" s="16">
        <f t="shared" si="165"/>
        <v>0</v>
      </c>
      <c r="V422" s="16">
        <f t="shared" si="166"/>
        <v>0</v>
      </c>
      <c r="W422" s="16">
        <f>IF(P422&gt;AQ428,0,IF(AQ430&lt;3,2,1))</f>
        <v>0</v>
      </c>
      <c r="Z422" s="16">
        <f t="shared" si="167"/>
        <v>0</v>
      </c>
      <c r="AA422" s="2"/>
      <c r="AB422" s="16" t="s">
        <v>419</v>
      </c>
      <c r="AC422" s="16" t="s">
        <v>393</v>
      </c>
      <c r="AD422" s="16" t="s">
        <v>393</v>
      </c>
      <c r="AE422" s="2"/>
      <c r="AF422" s="21" t="s">
        <v>3263</v>
      </c>
      <c r="AG422" s="21" t="s">
        <v>3264</v>
      </c>
      <c r="AH422" s="21" t="s">
        <v>389</v>
      </c>
      <c r="AI422" s="116" t="s">
        <v>591</v>
      </c>
      <c r="AJ422" s="117">
        <f>IF(OR(Q$2="物理",Q$2="組合科學(物理、化學)",Q$2="組合科學(物理、生物)",Q$2="綜合科學"),Q$3,0)</f>
        <v>0</v>
      </c>
      <c r="AK422" s="117">
        <f>IF(OR(R$2="物理",R$2="組合科學(物理、化學)",R$2="組合科學(物理、生物)",R$2="綜合科學"),R$3,0)</f>
        <v>0</v>
      </c>
      <c r="AL422" s="117">
        <f>IF(OR(S$2="物理",S$2="組合科學(物理、化學)",S$2="組合科學(物理、生物)",S$2="綜合科學"),S$3,0)</f>
        <v>0</v>
      </c>
      <c r="AM422" s="117">
        <f>IF(OR(T$2="物理",T$2="組合科學(物理、化學)",T$2="組合科學(物理、生物)",T$2="綜合科學"),T$3,0)</f>
        <v>0</v>
      </c>
      <c r="AN422" s="116"/>
      <c r="AO422" s="116"/>
      <c r="AP422" s="117" t="str">
        <f>IF(AQ422&gt;0.1,INDEX(AJ421:AM421,MATCH(LARGE(AJ422:AM422,1),AJ422:AM422,0)),"無")</f>
        <v>無</v>
      </c>
      <c r="AQ422" s="117">
        <f>LARGE((AJ422:AM422),1)</f>
        <v>0</v>
      </c>
      <c r="AR422" s="102"/>
      <c r="AW422" s="16"/>
    </row>
    <row r="423" spans="1:49">
      <c r="A423" s="2" t="str">
        <f>'Reference Score Calculation'!A414</f>
        <v>JSSU12</v>
      </c>
      <c r="B423" s="346" t="str">
        <f>'Reference Score Calculation'!B414</f>
        <v>JSSU12</v>
      </c>
      <c r="C423" s="21" t="str">
        <f>'Reference Score Calculation'!E414</f>
        <v>創意寫作與電影藝術榮譽文學士</v>
      </c>
      <c r="D423" s="16">
        <f>'Reference Score Calculation'!U414</f>
        <v>50</v>
      </c>
      <c r="E423" s="16">
        <v>3</v>
      </c>
      <c r="F423" s="16">
        <v>3</v>
      </c>
      <c r="G423" s="16">
        <v>2</v>
      </c>
      <c r="H423" s="16">
        <v>2</v>
      </c>
      <c r="I423" s="16">
        <v>2</v>
      </c>
      <c r="L423" s="90">
        <v>3</v>
      </c>
      <c r="M423" s="90">
        <v>3</v>
      </c>
      <c r="N423" s="90">
        <v>2</v>
      </c>
      <c r="O423" s="90">
        <v>1</v>
      </c>
      <c r="P423" s="90">
        <v>2</v>
      </c>
      <c r="Q423" s="90">
        <v>2</v>
      </c>
      <c r="S423" s="16">
        <f t="shared" si="158"/>
        <v>0</v>
      </c>
      <c r="T423" s="16">
        <f t="shared" ref="T423:T439" si="168">IF(M423&gt;M$3,0,1)</f>
        <v>0</v>
      </c>
      <c r="U423" s="16">
        <f t="shared" si="165"/>
        <v>0</v>
      </c>
      <c r="V423" s="16">
        <f t="shared" si="166"/>
        <v>0</v>
      </c>
      <c r="W423" s="16">
        <f>IF(P423&gt;LARGE($P$3:$U$3,1),0,1)</f>
        <v>0</v>
      </c>
      <c r="X423" s="16">
        <f>IF(Q423&gt;LARGE($P$3:$U$3,2),0,1)</f>
        <v>0</v>
      </c>
      <c r="Z423" s="16">
        <f t="shared" si="167"/>
        <v>0</v>
      </c>
      <c r="AB423" s="16" t="s">
        <v>391</v>
      </c>
      <c r="AC423" s="16" t="s">
        <v>392</v>
      </c>
      <c r="AD423" s="16" t="s">
        <v>391</v>
      </c>
      <c r="AF423" s="21" t="s">
        <v>394</v>
      </c>
      <c r="AG423" s="21" t="s">
        <v>394</v>
      </c>
      <c r="AH423" s="21" t="s">
        <v>389</v>
      </c>
      <c r="AI423" s="116"/>
      <c r="AJ423" s="158" t="s">
        <v>592</v>
      </c>
      <c r="AK423" s="116"/>
      <c r="AL423" s="116"/>
      <c r="AM423" s="116"/>
      <c r="AN423" s="116"/>
      <c r="AO423" s="116"/>
      <c r="AP423" s="116"/>
      <c r="AQ423" s="102"/>
      <c r="AR423" s="102"/>
      <c r="AT423" s="2"/>
      <c r="AU423" s="2"/>
      <c r="AV423" s="2"/>
    </row>
    <row r="424" spans="1:49">
      <c r="A424" s="2" t="str">
        <f>'Reference Score Calculation'!A415</f>
        <v>JSSU14</v>
      </c>
      <c r="B424" s="346" t="str">
        <f>'Reference Score Calculation'!B415</f>
        <v>JSSU14</v>
      </c>
      <c r="C424" s="21" t="str">
        <f>'Reference Score Calculation'!E415</f>
        <v>動畫及視覺特效榮譽藝術學士</v>
      </c>
      <c r="D424" s="16">
        <f>'Reference Score Calculation'!U415</f>
        <v>80</v>
      </c>
      <c r="E424" s="16">
        <v>3</v>
      </c>
      <c r="F424" s="16">
        <v>3</v>
      </c>
      <c r="G424" s="16">
        <v>2</v>
      </c>
      <c r="H424" s="16">
        <v>2</v>
      </c>
      <c r="I424" s="16">
        <v>2</v>
      </c>
      <c r="L424" s="90">
        <v>3</v>
      </c>
      <c r="M424" s="90">
        <v>3</v>
      </c>
      <c r="N424" s="90">
        <v>2</v>
      </c>
      <c r="O424" s="90">
        <v>1</v>
      </c>
      <c r="P424" s="90">
        <v>2</v>
      </c>
      <c r="Q424" s="90">
        <v>2</v>
      </c>
      <c r="S424" s="16">
        <f t="shared" si="158"/>
        <v>0</v>
      </c>
      <c r="T424" s="16">
        <f t="shared" si="168"/>
        <v>0</v>
      </c>
      <c r="U424" s="16">
        <f t="shared" si="165"/>
        <v>0</v>
      </c>
      <c r="V424" s="16">
        <f t="shared" si="166"/>
        <v>0</v>
      </c>
      <c r="W424" s="16">
        <f>IF(P424&gt;LARGE($P$3:$U$3,1),0,1)</f>
        <v>0</v>
      </c>
      <c r="X424" s="16">
        <f t="shared" ref="X424:X442" si="169">IF(Q424&gt;LARGE($P$3:$U$3,2),0,1)</f>
        <v>0</v>
      </c>
      <c r="Z424" s="16">
        <f t="shared" si="167"/>
        <v>0</v>
      </c>
      <c r="AB424" s="16" t="s">
        <v>391</v>
      </c>
      <c r="AC424" s="16" t="s">
        <v>392</v>
      </c>
      <c r="AD424" s="16" t="s">
        <v>391</v>
      </c>
      <c r="AF424" s="21" t="s">
        <v>394</v>
      </c>
      <c r="AG424" s="21" t="s">
        <v>394</v>
      </c>
      <c r="AH424" s="21" t="s">
        <v>389</v>
      </c>
      <c r="AI424" s="116"/>
      <c r="AJ424" s="117">
        <f>IF(OR(Q$2="物理",Q$2="化學",Q$2="生物"),Q$3,0)</f>
        <v>0</v>
      </c>
      <c r="AK424" s="117">
        <f>IF(OR(R$2="物理",R$2="化學",R$2="生物",R$2="組合科學(物理、化學)",R$2="組合科學(生物、化學)",R$2="組合科學(物理、生物)",R$2="綜合科學"),R$3,0)</f>
        <v>0</v>
      </c>
      <c r="AL424" s="117">
        <f>IF(OR(S$2="物理",S$2="化學",S$2="生物",S$2="組合科學(物理、化學)",S$2="組合科學(生物、化學)",S$2="組合科學(物理、生物)",S$2="綜合科學"),S$3,0)</f>
        <v>0</v>
      </c>
      <c r="AM424" s="117">
        <f>IF(OR(T$2="物理",T$2="化學",T$2="生物",T$2="組合科學(物理、化學)",T$2="組合科學(生物、化學)",T$2="組合科學(物理、生物)",T$2="綜合科學"),T$3,0)</f>
        <v>0</v>
      </c>
      <c r="AN424" s="116"/>
      <c r="AO424" s="116"/>
      <c r="AP424" s="117" t="str">
        <f>IF(AQ424&gt;0.1,INDEX(AJ421:AN421,MATCH(LARGE(AJ424:AN424,1),AJ424:AN424,0)),"無")</f>
        <v>無</v>
      </c>
      <c r="AQ424" s="117">
        <f>LARGE((AJ424:AN424),1)</f>
        <v>0</v>
      </c>
      <c r="AR424" s="102"/>
      <c r="AW424" s="16"/>
    </row>
    <row r="425" spans="1:49">
      <c r="A425" s="2" t="str">
        <f>'Reference Score Calculation'!A416</f>
        <v>JSSU15</v>
      </c>
      <c r="B425" s="346" t="str">
        <f>'Reference Score Calculation'!B416</f>
        <v>JSSU15</v>
      </c>
      <c r="C425" s="21" t="str">
        <f>'Reference Score Calculation'!E416</f>
        <v>影像設計及數碼藝術榮譽藝術學士</v>
      </c>
      <c r="D425" s="16">
        <f>'Reference Score Calculation'!U416</f>
        <v>30</v>
      </c>
      <c r="E425" s="16">
        <v>3</v>
      </c>
      <c r="F425" s="16">
        <v>3</v>
      </c>
      <c r="G425" s="16">
        <v>2</v>
      </c>
      <c r="H425" s="16">
        <v>2</v>
      </c>
      <c r="I425" s="16">
        <v>2</v>
      </c>
      <c r="L425" s="90">
        <v>3</v>
      </c>
      <c r="M425" s="90">
        <v>3</v>
      </c>
      <c r="N425" s="90">
        <v>2</v>
      </c>
      <c r="O425" s="90">
        <v>1</v>
      </c>
      <c r="P425" s="90">
        <v>2</v>
      </c>
      <c r="Q425" s="90">
        <v>2</v>
      </c>
      <c r="S425" s="16">
        <f t="shared" si="158"/>
        <v>0</v>
      </c>
      <c r="T425" s="16">
        <f t="shared" si="168"/>
        <v>0</v>
      </c>
      <c r="U425" s="16">
        <f t="shared" si="165"/>
        <v>0</v>
      </c>
      <c r="V425" s="16">
        <f t="shared" si="166"/>
        <v>0</v>
      </c>
      <c r="W425" s="16">
        <f>IF(P425&gt;LARGE($P$3:$U$3,1),0,1)</f>
        <v>0</v>
      </c>
      <c r="X425" s="16">
        <f t="shared" si="169"/>
        <v>0</v>
      </c>
      <c r="Z425" s="16">
        <f t="shared" si="167"/>
        <v>0</v>
      </c>
      <c r="AB425" s="16" t="s">
        <v>391</v>
      </c>
      <c r="AC425" s="16" t="s">
        <v>392</v>
      </c>
      <c r="AD425" s="16" t="s">
        <v>391</v>
      </c>
      <c r="AF425" s="21" t="s">
        <v>394</v>
      </c>
      <c r="AG425" s="21" t="s">
        <v>394</v>
      </c>
      <c r="AH425" s="21" t="s">
        <v>389</v>
      </c>
      <c r="AI425" s="116"/>
      <c r="AJ425" s="158" t="s">
        <v>2274</v>
      </c>
      <c r="AK425" s="116"/>
      <c r="AL425" s="116"/>
      <c r="AM425" s="116"/>
      <c r="AN425" s="116"/>
      <c r="AO425" s="116"/>
      <c r="AP425" s="116"/>
      <c r="AQ425" s="102"/>
      <c r="AR425" s="102"/>
      <c r="AW425" s="16"/>
    </row>
    <row r="426" spans="1:49">
      <c r="A426" s="2" t="str">
        <f>'Reference Score Calculation'!A417</f>
        <v>JSSU18</v>
      </c>
      <c r="B426" s="346" t="str">
        <f>'Reference Score Calculation'!B417</f>
        <v>JSSU18</v>
      </c>
      <c r="C426" s="21" t="str">
        <f>'Reference Score Calculation'!E417</f>
        <v>新音樂及互動娛樂榮譽文學士</v>
      </c>
      <c r="D426" s="16">
        <f>'Reference Score Calculation'!U417</f>
        <v>40</v>
      </c>
      <c r="E426" s="2"/>
      <c r="F426" s="2"/>
      <c r="G426" s="2"/>
      <c r="H426" s="2"/>
      <c r="I426" s="2"/>
      <c r="J426" s="2"/>
      <c r="K426" s="2"/>
      <c r="L426" s="90">
        <v>3</v>
      </c>
      <c r="M426" s="90">
        <v>3</v>
      </c>
      <c r="N426" s="90">
        <v>2</v>
      </c>
      <c r="O426" s="90">
        <v>1</v>
      </c>
      <c r="P426" s="90">
        <v>2</v>
      </c>
      <c r="Q426" s="90">
        <v>2</v>
      </c>
      <c r="S426" s="16">
        <f t="shared" si="158"/>
        <v>0</v>
      </c>
      <c r="T426" s="16">
        <f t="shared" si="168"/>
        <v>0</v>
      </c>
      <c r="U426" s="16">
        <f t="shared" si="165"/>
        <v>0</v>
      </c>
      <c r="V426" s="16">
        <f t="shared" si="166"/>
        <v>0</v>
      </c>
      <c r="W426" s="16">
        <f>IF(P426&gt;LARGE($P$3:$U$3,1),0,1)</f>
        <v>0</v>
      </c>
      <c r="X426" s="16">
        <f t="shared" si="169"/>
        <v>0</v>
      </c>
      <c r="Z426" s="16">
        <f t="shared" si="167"/>
        <v>0</v>
      </c>
      <c r="AA426" s="2"/>
      <c r="AB426" s="16" t="s">
        <v>391</v>
      </c>
      <c r="AC426" s="16" t="s">
        <v>392</v>
      </c>
      <c r="AD426" s="16" t="s">
        <v>391</v>
      </c>
      <c r="AE426" s="2"/>
      <c r="AF426" s="21" t="s">
        <v>394</v>
      </c>
      <c r="AG426" s="21" t="s">
        <v>394</v>
      </c>
      <c r="AH426" s="21" t="s">
        <v>389</v>
      </c>
      <c r="AI426" s="116"/>
      <c r="AJ426" s="158"/>
      <c r="AK426" s="116"/>
      <c r="AL426" s="116"/>
      <c r="AM426" s="116"/>
      <c r="AN426" s="116"/>
      <c r="AO426" s="116"/>
      <c r="AP426" s="115"/>
      <c r="AQ426" s="102"/>
      <c r="AR426" s="102"/>
      <c r="AW426" s="16"/>
    </row>
    <row r="427" spans="1:49">
      <c r="A427" s="2" t="str">
        <f>'Reference Score Calculation'!A418</f>
        <v>JSSU40</v>
      </c>
      <c r="B427" s="346" t="str">
        <f>'Reference Score Calculation'!B418</f>
        <v>JSSU40</v>
      </c>
      <c r="C427" s="21" t="str">
        <f>'Reference Score Calculation'!E418</f>
        <v>護理學榮譽學士（普通科）</v>
      </c>
      <c r="D427" s="16">
        <f>'Reference Score Calculation'!U418</f>
        <v>410</v>
      </c>
      <c r="E427" s="16">
        <v>3</v>
      </c>
      <c r="F427" s="16">
        <v>3</v>
      </c>
      <c r="G427" s="16">
        <v>2</v>
      </c>
      <c r="H427" s="16">
        <v>2</v>
      </c>
      <c r="I427" s="16">
        <v>2</v>
      </c>
      <c r="L427" s="90">
        <v>3</v>
      </c>
      <c r="M427" s="90">
        <v>3</v>
      </c>
      <c r="N427" s="90">
        <v>2</v>
      </c>
      <c r="O427" s="90">
        <v>1</v>
      </c>
      <c r="P427" s="90">
        <v>2</v>
      </c>
      <c r="Q427" s="90">
        <v>2</v>
      </c>
      <c r="S427" s="16">
        <f t="shared" si="158"/>
        <v>0</v>
      </c>
      <c r="T427" s="16">
        <f t="shared" si="168"/>
        <v>0</v>
      </c>
      <c r="U427" s="16">
        <f t="shared" si="165"/>
        <v>0</v>
      </c>
      <c r="V427" s="16">
        <f t="shared" si="166"/>
        <v>0</v>
      </c>
      <c r="W427" s="16">
        <f>IF(P427&gt;LARGE($P$3:$T$3,1),0,1)</f>
        <v>0</v>
      </c>
      <c r="X427" s="16">
        <f t="shared" si="169"/>
        <v>0</v>
      </c>
      <c r="Z427" s="16">
        <f t="shared" si="167"/>
        <v>0</v>
      </c>
      <c r="AB427" s="16" t="s">
        <v>391</v>
      </c>
      <c r="AC427" s="16" t="s">
        <v>421</v>
      </c>
      <c r="AD427" s="16" t="s">
        <v>421</v>
      </c>
      <c r="AF427" s="21" t="s">
        <v>394</v>
      </c>
      <c r="AG427" s="21" t="s">
        <v>394</v>
      </c>
      <c r="AH427" s="21" t="s">
        <v>389</v>
      </c>
      <c r="AI427" s="116"/>
      <c r="AJ427" s="116" t="str">
        <f>Q$2</f>
        <v>請選擇第一選修科</v>
      </c>
      <c r="AK427" s="116" t="str">
        <f t="shared" ref="AK427:AM427" si="170">R$2</f>
        <v>請選擇第二選修科</v>
      </c>
      <c r="AL427" s="116" t="str">
        <f t="shared" si="170"/>
        <v>請選擇第三選修科</v>
      </c>
      <c r="AM427" s="116" t="str">
        <f t="shared" si="170"/>
        <v>請選擇第四選修科</v>
      </c>
      <c r="AN427" s="116"/>
      <c r="AO427" s="116"/>
      <c r="AP427" s="116" t="s">
        <v>466</v>
      </c>
      <c r="AQ427" s="116"/>
      <c r="AR427" s="102"/>
      <c r="AW427" s="16"/>
    </row>
    <row r="428" spans="1:49">
      <c r="A428" s="2" t="str">
        <f>'Reference Score Calculation'!A419</f>
        <v>JSSU50</v>
      </c>
      <c r="B428" s="346" t="str">
        <f>'Reference Score Calculation'!B419</f>
        <v>JSSU50</v>
      </c>
      <c r="C428" s="21" t="str">
        <f>'Reference Score Calculation'!E419</f>
        <v>護理學榮譽學士（精神科）</v>
      </c>
      <c r="D428" s="16">
        <f>'Reference Score Calculation'!U419</f>
        <v>130</v>
      </c>
      <c r="E428" s="16">
        <v>3</v>
      </c>
      <c r="F428" s="16">
        <v>3</v>
      </c>
      <c r="G428" s="16">
        <v>2</v>
      </c>
      <c r="H428" s="16">
        <v>2</v>
      </c>
      <c r="I428" s="16">
        <v>2</v>
      </c>
      <c r="L428" s="90">
        <v>3</v>
      </c>
      <c r="M428" s="90">
        <v>3</v>
      </c>
      <c r="N428" s="90">
        <v>2</v>
      </c>
      <c r="O428" s="90">
        <v>1</v>
      </c>
      <c r="P428" s="90">
        <v>2</v>
      </c>
      <c r="Q428" s="90">
        <v>2</v>
      </c>
      <c r="S428" s="16">
        <f t="shared" si="158"/>
        <v>0</v>
      </c>
      <c r="T428" s="16">
        <f t="shared" si="168"/>
        <v>0</v>
      </c>
      <c r="U428" s="16">
        <f t="shared" si="165"/>
        <v>0</v>
      </c>
      <c r="V428" s="16">
        <f t="shared" si="166"/>
        <v>0</v>
      </c>
      <c r="W428" s="16">
        <f>IF(P428&gt;LARGE($P$3:$T$3,1),0,1)</f>
        <v>0</v>
      </c>
      <c r="X428" s="16">
        <f t="shared" si="169"/>
        <v>0</v>
      </c>
      <c r="Z428" s="16">
        <f t="shared" si="167"/>
        <v>0</v>
      </c>
      <c r="AB428" s="16" t="s">
        <v>391</v>
      </c>
      <c r="AC428" s="16" t="s">
        <v>421</v>
      </c>
      <c r="AD428" s="16" t="s">
        <v>421</v>
      </c>
      <c r="AF428" s="21" t="s">
        <v>394</v>
      </c>
      <c r="AG428" s="21" t="s">
        <v>394</v>
      </c>
      <c r="AH428" s="21" t="s">
        <v>389</v>
      </c>
      <c r="AI428" s="116" t="s">
        <v>2883</v>
      </c>
      <c r="AJ428" s="117">
        <f>IF(OR(Q$2="物理",Q$2="化學",Q$2="生物"),Q$3,0)</f>
        <v>0</v>
      </c>
      <c r="AK428" s="117">
        <f t="shared" ref="AK428:AM428" si="171">IF(OR(R$2="物理",R$2="化學",R$2="生物"),R$3,0)</f>
        <v>0</v>
      </c>
      <c r="AL428" s="117">
        <f t="shared" si="171"/>
        <v>0</v>
      </c>
      <c r="AM428" s="117">
        <f t="shared" si="171"/>
        <v>0</v>
      </c>
      <c r="AN428" s="116"/>
      <c r="AO428" s="116"/>
      <c r="AP428" s="117" t="str">
        <f>IF(AQ428&gt;0.1,INDEX(AJ425:AN425,MATCH(LARGE(AJ428:AN428,1),AJ428:AN428,0)),"無")</f>
        <v>無</v>
      </c>
      <c r="AQ428" s="117">
        <f>LARGE((AJ428:AN428),1)</f>
        <v>0</v>
      </c>
      <c r="AR428" s="102"/>
      <c r="AW428" s="16"/>
    </row>
    <row r="429" spans="1:49">
      <c r="A429" s="2" t="str">
        <f>'Reference Score Calculation'!A420</f>
        <v>JSSU55</v>
      </c>
      <c r="B429" s="346" t="str">
        <f>'Reference Score Calculation'!B420</f>
        <v>JSSU55</v>
      </c>
      <c r="C429" s="21" t="str">
        <f>'Reference Score Calculation'!E420</f>
        <v>物理治療學榮譽理學士</v>
      </c>
      <c r="D429" s="16">
        <f>'Reference Score Calculation'!U420</f>
        <v>55</v>
      </c>
      <c r="E429" s="16">
        <v>3</v>
      </c>
      <c r="F429" s="16">
        <v>3</v>
      </c>
      <c r="G429" s="16">
        <v>2</v>
      </c>
      <c r="H429" s="16">
        <v>2</v>
      </c>
      <c r="I429" s="16">
        <v>2</v>
      </c>
      <c r="L429" s="90">
        <v>3</v>
      </c>
      <c r="M429" s="90">
        <v>3</v>
      </c>
      <c r="N429" s="90">
        <v>2</v>
      </c>
      <c r="O429" s="90">
        <v>1</v>
      </c>
      <c r="P429" s="90">
        <v>2</v>
      </c>
      <c r="Q429" s="90">
        <v>2</v>
      </c>
      <c r="S429" s="16">
        <f t="shared" si="158"/>
        <v>0</v>
      </c>
      <c r="T429" s="16">
        <f t="shared" si="168"/>
        <v>0</v>
      </c>
      <c r="U429" s="16">
        <f t="shared" si="165"/>
        <v>0</v>
      </c>
      <c r="V429" s="16">
        <f t="shared" si="166"/>
        <v>0</v>
      </c>
      <c r="W429" s="16">
        <f>IF(P429&gt;LARGE($P$3:$U$3,1),0,1)</f>
        <v>0</v>
      </c>
      <c r="X429" s="16">
        <f t="shared" si="169"/>
        <v>0</v>
      </c>
      <c r="Z429" s="16">
        <f t="shared" si="167"/>
        <v>0</v>
      </c>
      <c r="AB429" s="16" t="s">
        <v>391</v>
      </c>
      <c r="AC429" s="16" t="s">
        <v>392</v>
      </c>
      <c r="AD429" s="16" t="s">
        <v>391</v>
      </c>
      <c r="AF429" s="21" t="s">
        <v>394</v>
      </c>
      <c r="AG429" s="21" t="s">
        <v>394</v>
      </c>
      <c r="AH429" s="21" t="s">
        <v>389</v>
      </c>
      <c r="AI429" s="116"/>
      <c r="AJ429" s="158" t="s">
        <v>2274</v>
      </c>
      <c r="AK429" s="116"/>
      <c r="AL429" s="116"/>
      <c r="AM429" s="116"/>
      <c r="AN429" s="116"/>
      <c r="AO429" s="116"/>
      <c r="AP429" s="115"/>
      <c r="AQ429" s="102"/>
      <c r="AR429" s="102"/>
      <c r="AW429" s="16"/>
    </row>
    <row r="430" spans="1:49">
      <c r="A430" s="2" t="str">
        <f>'Reference Score Calculation'!A421</f>
        <v>JSSU61</v>
      </c>
      <c r="B430" s="346" t="str">
        <f>'Reference Score Calculation'!B421</f>
        <v>JSSU61</v>
      </c>
      <c r="C430" s="21" t="str">
        <f>'Reference Score Calculation'!E421</f>
        <v>綜合檢測和認證榮譽應用理學士</v>
      </c>
      <c r="D430" s="16">
        <f>'Reference Score Calculation'!U421</f>
        <v>80</v>
      </c>
      <c r="E430" s="16">
        <v>3</v>
      </c>
      <c r="F430" s="16">
        <v>3</v>
      </c>
      <c r="G430" s="16">
        <v>2</v>
      </c>
      <c r="H430" s="16">
        <v>2</v>
      </c>
      <c r="I430" s="16">
        <v>2</v>
      </c>
      <c r="L430" s="90">
        <v>3</v>
      </c>
      <c r="M430" s="90">
        <v>3</v>
      </c>
      <c r="N430" s="90">
        <v>2</v>
      </c>
      <c r="O430" s="90">
        <v>1</v>
      </c>
      <c r="P430" s="90">
        <v>2</v>
      </c>
      <c r="Q430" s="90">
        <v>2</v>
      </c>
      <c r="S430" s="16">
        <f t="shared" si="158"/>
        <v>0</v>
      </c>
      <c r="T430" s="16">
        <f t="shared" si="168"/>
        <v>0</v>
      </c>
      <c r="U430" s="16">
        <f t="shared" si="165"/>
        <v>0</v>
      </c>
      <c r="V430" s="16">
        <f t="shared" si="166"/>
        <v>0</v>
      </c>
      <c r="W430" s="16">
        <f>IF(P430&gt;LARGE($P$3:$U$3,1),0,1)</f>
        <v>0</v>
      </c>
      <c r="X430" s="16">
        <f t="shared" si="169"/>
        <v>0</v>
      </c>
      <c r="Z430" s="16">
        <f t="shared" si="167"/>
        <v>0</v>
      </c>
      <c r="AB430" s="16" t="s">
        <v>391</v>
      </c>
      <c r="AC430" s="16" t="s">
        <v>392</v>
      </c>
      <c r="AD430" s="16" t="s">
        <v>391</v>
      </c>
      <c r="AF430" s="21" t="s">
        <v>394</v>
      </c>
      <c r="AG430" s="21" t="s">
        <v>394</v>
      </c>
      <c r="AH430" s="21" t="s">
        <v>389</v>
      </c>
      <c r="AI430" s="116"/>
      <c r="AJ430" s="117">
        <f>IF(OR(Q$2="物理",Q$2="化學",Q$2="生物",Q$2="組合科學(物理、化學)",Q$2="組合科學(物理、生物)"),Q$3,0)</f>
        <v>0</v>
      </c>
      <c r="AK430" s="117">
        <f t="shared" ref="AK430:AM430" si="172">IF(OR(R$2="物理",R$2="化學",R$2="生物",R$2="組合科學(物理、化學)",R$2="組合科學(物理、生物)"),R$3,0)</f>
        <v>0</v>
      </c>
      <c r="AL430" s="117">
        <f t="shared" si="172"/>
        <v>0</v>
      </c>
      <c r="AM430" s="117">
        <f t="shared" si="172"/>
        <v>0</v>
      </c>
      <c r="AN430" s="116"/>
      <c r="AO430" s="116"/>
      <c r="AP430" s="117" t="str">
        <f>IF(AQ430&gt;0.1,INDEX(AJ427:AN427,MATCH(LARGE(AJ430:AN430,1),AJ430:AN430,0)),"無")</f>
        <v>無</v>
      </c>
      <c r="AQ430" s="117">
        <f>LARGE((AJ430:AN430),1)</f>
        <v>0</v>
      </c>
      <c r="AR430" s="102"/>
      <c r="AW430" s="16"/>
    </row>
    <row r="431" spans="1:49">
      <c r="A431" s="2" t="str">
        <f>'Reference Score Calculation'!A422</f>
        <v>JSSU67</v>
      </c>
      <c r="B431" s="346" t="str">
        <f>'Reference Score Calculation'!B422</f>
        <v>JSSU67</v>
      </c>
      <c r="C431" s="21" t="str">
        <f>'Reference Score Calculation'!E422</f>
        <v>醫療化驗科學榮譽理學士</v>
      </c>
      <c r="D431" s="16">
        <f>'Reference Score Calculation'!U422</f>
        <v>60</v>
      </c>
      <c r="E431" s="16">
        <v>3</v>
      </c>
      <c r="F431" s="16">
        <v>3</v>
      </c>
      <c r="G431" s="16">
        <v>2</v>
      </c>
      <c r="H431" s="16">
        <v>2</v>
      </c>
      <c r="I431" s="16">
        <v>2</v>
      </c>
      <c r="L431" s="90">
        <v>3</v>
      </c>
      <c r="M431" s="90">
        <v>3</v>
      </c>
      <c r="N431" s="90">
        <v>2</v>
      </c>
      <c r="O431" s="90">
        <v>1</v>
      </c>
      <c r="P431" s="90">
        <v>2</v>
      </c>
      <c r="Q431" s="90">
        <v>2</v>
      </c>
      <c r="S431" s="16">
        <f t="shared" si="158"/>
        <v>0</v>
      </c>
      <c r="T431" s="16">
        <f t="shared" si="168"/>
        <v>0</v>
      </c>
      <c r="U431" s="16">
        <f t="shared" si="165"/>
        <v>0</v>
      </c>
      <c r="V431" s="16">
        <f t="shared" si="166"/>
        <v>0</v>
      </c>
      <c r="W431" s="16">
        <f>IF(P431&gt;LARGE($Q$3:$T$3,1),0,IF($AQ$453&lt;2,2,1))</f>
        <v>0</v>
      </c>
      <c r="X431" s="16">
        <f t="shared" si="169"/>
        <v>0</v>
      </c>
      <c r="Z431" s="16">
        <f t="shared" si="167"/>
        <v>0</v>
      </c>
      <c r="AB431" s="16" t="s">
        <v>391</v>
      </c>
      <c r="AC431" s="16" t="s">
        <v>392</v>
      </c>
      <c r="AD431" s="16" t="s">
        <v>391</v>
      </c>
      <c r="AF431" s="21" t="s">
        <v>596</v>
      </c>
      <c r="AG431" s="21" t="s">
        <v>324</v>
      </c>
      <c r="AI431" s="116"/>
      <c r="AJ431" s="158" t="s">
        <v>3265</v>
      </c>
      <c r="AK431" s="116"/>
      <c r="AL431" s="116"/>
      <c r="AM431" s="116"/>
      <c r="AN431" s="116"/>
      <c r="AO431" s="116"/>
      <c r="AP431" s="115"/>
      <c r="AQ431" s="102"/>
      <c r="AR431" s="102"/>
      <c r="AW431" s="16"/>
    </row>
    <row r="432" spans="1:49">
      <c r="A432" s="2" t="str">
        <f>'Reference Score Calculation'!A423</f>
        <v>JSSU69</v>
      </c>
      <c r="B432" s="346" t="str">
        <f>'Reference Score Calculation'!B423</f>
        <v>JSSU69</v>
      </c>
      <c r="C432" s="21" t="str">
        <f>'Reference Score Calculation'!E423</f>
        <v>食品測試科學榮譽理學士</v>
      </c>
      <c r="D432" s="16">
        <f>'Reference Score Calculation'!U423</f>
        <v>40</v>
      </c>
      <c r="E432" s="16">
        <v>3</v>
      </c>
      <c r="F432" s="16">
        <v>3</v>
      </c>
      <c r="G432" s="16">
        <v>2</v>
      </c>
      <c r="H432" s="16">
        <v>2</v>
      </c>
      <c r="I432" s="16">
        <v>2</v>
      </c>
      <c r="L432" s="90">
        <v>3</v>
      </c>
      <c r="M432" s="90">
        <v>3</v>
      </c>
      <c r="N432" s="90">
        <v>2</v>
      </c>
      <c r="O432" s="90">
        <v>1</v>
      </c>
      <c r="P432" s="90">
        <v>2</v>
      </c>
      <c r="Q432" s="90">
        <v>2</v>
      </c>
      <c r="S432" s="16">
        <f t="shared" si="158"/>
        <v>0</v>
      </c>
      <c r="T432" s="16">
        <f t="shared" si="168"/>
        <v>0</v>
      </c>
      <c r="U432" s="16">
        <f t="shared" si="165"/>
        <v>0</v>
      </c>
      <c r="V432" s="16">
        <f t="shared" si="166"/>
        <v>0</v>
      </c>
      <c r="W432" s="16">
        <f t="shared" ref="W432:W442" si="173">IF(P432&gt;LARGE($P$3:$U$3,1),0,1)</f>
        <v>0</v>
      </c>
      <c r="X432" s="16">
        <f t="shared" si="169"/>
        <v>0</v>
      </c>
      <c r="Z432" s="16">
        <f t="shared" si="167"/>
        <v>0</v>
      </c>
      <c r="AB432" s="16" t="s">
        <v>391</v>
      </c>
      <c r="AC432" s="16" t="s">
        <v>392</v>
      </c>
      <c r="AD432" s="16" t="s">
        <v>391</v>
      </c>
      <c r="AF432" s="21" t="s">
        <v>394</v>
      </c>
      <c r="AG432" s="21" t="s">
        <v>394</v>
      </c>
      <c r="AI432" s="116"/>
      <c r="AJ432" s="158"/>
      <c r="AK432" s="116"/>
      <c r="AL432" s="116"/>
      <c r="AM432" s="116"/>
      <c r="AN432" s="116"/>
      <c r="AO432" s="116"/>
      <c r="AP432" s="115"/>
      <c r="AQ432" s="102"/>
      <c r="AR432" s="102"/>
      <c r="AW432" s="16"/>
    </row>
    <row r="433" spans="1:49">
      <c r="A433" s="2" t="str">
        <f>'Reference Score Calculation'!A424</f>
        <v>JSSU70</v>
      </c>
      <c r="B433" s="346" t="str">
        <f>'Reference Score Calculation'!B424</f>
        <v>JSSU70</v>
      </c>
      <c r="C433" s="21" t="str">
        <f>'Reference Score Calculation'!E424</f>
        <v>數據科學及人工智能榮譽理學士</v>
      </c>
      <c r="D433" s="16">
        <f>'Reference Score Calculation'!U424</f>
        <v>35</v>
      </c>
      <c r="E433" s="16">
        <v>3</v>
      </c>
      <c r="F433" s="16">
        <v>3</v>
      </c>
      <c r="G433" s="16">
        <v>2</v>
      </c>
      <c r="H433" s="16">
        <v>2</v>
      </c>
      <c r="I433" s="16">
        <v>2</v>
      </c>
      <c r="L433" s="90">
        <v>3</v>
      </c>
      <c r="M433" s="90">
        <v>3</v>
      </c>
      <c r="N433" s="90">
        <v>2</v>
      </c>
      <c r="O433" s="90">
        <v>1</v>
      </c>
      <c r="P433" s="90">
        <v>2</v>
      </c>
      <c r="Q433" s="90">
        <v>2</v>
      </c>
      <c r="S433" s="16">
        <f t="shared" si="158"/>
        <v>0</v>
      </c>
      <c r="T433" s="16">
        <f t="shared" si="168"/>
        <v>0</v>
      </c>
      <c r="U433" s="16">
        <f t="shared" si="165"/>
        <v>0</v>
      </c>
      <c r="V433" s="16">
        <f t="shared" si="166"/>
        <v>0</v>
      </c>
      <c r="W433" s="16">
        <f t="shared" si="173"/>
        <v>0</v>
      </c>
      <c r="X433" s="16">
        <f t="shared" si="169"/>
        <v>0</v>
      </c>
      <c r="Z433" s="16">
        <f t="shared" si="167"/>
        <v>0</v>
      </c>
      <c r="AB433" s="16" t="s">
        <v>391</v>
      </c>
      <c r="AC433" s="16" t="s">
        <v>392</v>
      </c>
      <c r="AD433" s="16" t="s">
        <v>391</v>
      </c>
      <c r="AF433" s="21" t="s">
        <v>394</v>
      </c>
      <c r="AG433" s="21" t="s">
        <v>394</v>
      </c>
      <c r="AI433" s="116"/>
      <c r="AJ433" s="158"/>
      <c r="AK433" s="116"/>
      <c r="AL433" s="116"/>
      <c r="AM433" s="116"/>
      <c r="AN433" s="116"/>
      <c r="AO433" s="116"/>
      <c r="AP433" s="115"/>
      <c r="AQ433" s="102"/>
      <c r="AR433" s="102"/>
      <c r="AW433" s="16"/>
    </row>
    <row r="434" spans="1:49">
      <c r="A434" s="2" t="str">
        <f>'Reference Score Calculation'!A425</f>
        <v>JSSU72</v>
      </c>
      <c r="B434" s="346" t="str">
        <f>'Reference Score Calculation'!B425</f>
        <v>JSSU72</v>
      </c>
      <c r="C434" s="21" t="str">
        <f>'Reference Score Calculation'!E425</f>
        <v>電腦科學榮譽理學士</v>
      </c>
      <c r="D434" s="16">
        <f>'Reference Score Calculation'!U425</f>
        <v>50</v>
      </c>
      <c r="E434" s="16">
        <v>3</v>
      </c>
      <c r="F434" s="16">
        <v>3</v>
      </c>
      <c r="G434" s="16">
        <v>2</v>
      </c>
      <c r="H434" s="16">
        <v>2</v>
      </c>
      <c r="I434" s="16">
        <v>2</v>
      </c>
      <c r="L434" s="90">
        <v>3</v>
      </c>
      <c r="M434" s="90">
        <v>3</v>
      </c>
      <c r="N434" s="90">
        <v>2</v>
      </c>
      <c r="O434" s="90">
        <v>1</v>
      </c>
      <c r="P434" s="90">
        <v>2</v>
      </c>
      <c r="Q434" s="90">
        <v>2</v>
      </c>
      <c r="S434" s="16">
        <f t="shared" si="158"/>
        <v>0</v>
      </c>
      <c r="T434" s="16">
        <f t="shared" si="168"/>
        <v>0</v>
      </c>
      <c r="U434" s="16">
        <f t="shared" si="165"/>
        <v>0</v>
      </c>
      <c r="V434" s="16">
        <f t="shared" si="166"/>
        <v>0</v>
      </c>
      <c r="W434" s="16">
        <f t="shared" si="173"/>
        <v>0</v>
      </c>
      <c r="X434" s="16">
        <f t="shared" si="169"/>
        <v>0</v>
      </c>
      <c r="Z434" s="16">
        <f t="shared" si="167"/>
        <v>0</v>
      </c>
      <c r="AB434" s="16" t="s">
        <v>391</v>
      </c>
      <c r="AC434" s="16" t="s">
        <v>392</v>
      </c>
      <c r="AD434" s="16" t="s">
        <v>391</v>
      </c>
      <c r="AF434" s="21" t="s">
        <v>394</v>
      </c>
      <c r="AG434" s="21" t="s">
        <v>394</v>
      </c>
      <c r="AI434" s="116"/>
      <c r="AJ434" s="158"/>
      <c r="AK434" s="116"/>
      <c r="AL434" s="116"/>
      <c r="AM434" s="116"/>
      <c r="AN434" s="116"/>
      <c r="AO434" s="116"/>
      <c r="AP434" s="115"/>
      <c r="AQ434" s="102"/>
      <c r="AR434" s="102"/>
      <c r="AW434" s="16"/>
    </row>
    <row r="435" spans="1:49">
      <c r="A435" s="2" t="str">
        <f>'Reference Score Calculation'!A426</f>
        <v>JSSU77</v>
      </c>
      <c r="B435" s="346" t="str">
        <f>'Reference Score Calculation'!B426</f>
        <v>JSSU77</v>
      </c>
      <c r="C435" s="21" t="str">
        <f>'Reference Score Calculation'!E426</f>
        <v>建築管理及工料測量學榮譽理學士</v>
      </c>
      <c r="D435" s="16">
        <f>'Reference Score Calculation'!U426</f>
        <v>25</v>
      </c>
      <c r="E435" s="2"/>
      <c r="F435" s="2"/>
      <c r="G435" s="2"/>
      <c r="H435" s="2"/>
      <c r="I435" s="2"/>
      <c r="J435" s="2"/>
      <c r="K435" s="2"/>
      <c r="L435" s="90">
        <v>3</v>
      </c>
      <c r="M435" s="90">
        <v>3</v>
      </c>
      <c r="N435" s="90">
        <v>2</v>
      </c>
      <c r="O435" s="90">
        <v>1</v>
      </c>
      <c r="P435" s="90">
        <v>2</v>
      </c>
      <c r="Q435" s="90">
        <v>2</v>
      </c>
      <c r="S435" s="16">
        <f t="shared" si="158"/>
        <v>0</v>
      </c>
      <c r="T435" s="16">
        <f t="shared" si="168"/>
        <v>0</v>
      </c>
      <c r="U435" s="16">
        <f t="shared" si="165"/>
        <v>0</v>
      </c>
      <c r="V435" s="16">
        <f t="shared" si="166"/>
        <v>0</v>
      </c>
      <c r="W435" s="16">
        <f t="shared" si="173"/>
        <v>0</v>
      </c>
      <c r="X435" s="16">
        <f t="shared" si="169"/>
        <v>0</v>
      </c>
      <c r="Z435" s="16">
        <f t="shared" si="167"/>
        <v>0</v>
      </c>
      <c r="AA435" s="2"/>
      <c r="AB435" s="16" t="s">
        <v>391</v>
      </c>
      <c r="AC435" s="16" t="s">
        <v>392</v>
      </c>
      <c r="AD435" s="16" t="s">
        <v>391</v>
      </c>
      <c r="AF435" s="21" t="s">
        <v>2524</v>
      </c>
      <c r="AG435" s="21" t="s">
        <v>394</v>
      </c>
      <c r="AI435" s="116"/>
      <c r="AJ435" s="158"/>
      <c r="AK435" s="116"/>
      <c r="AL435" s="116"/>
      <c r="AM435" s="116"/>
      <c r="AN435" s="116"/>
      <c r="AO435" s="116"/>
      <c r="AP435" s="115"/>
      <c r="AQ435" s="102"/>
      <c r="AR435" s="102"/>
      <c r="AW435" s="16"/>
    </row>
    <row r="436" spans="1:49">
      <c r="A436" s="2" t="str">
        <f>'Reference Score Calculation'!A427</f>
        <v>JSSU78</v>
      </c>
      <c r="B436" s="346" t="str">
        <f>'Reference Score Calculation'!B427</f>
        <v>JSSU78</v>
      </c>
      <c r="C436" s="21" t="str">
        <f>'Reference Score Calculation'!E427</f>
        <v>屋宇設備工程及可持續發展榮譽工學士</v>
      </c>
      <c r="D436" s="16">
        <f>'Reference Score Calculation'!U427</f>
        <v>20</v>
      </c>
      <c r="E436" s="16">
        <v>3</v>
      </c>
      <c r="F436" s="16">
        <v>3</v>
      </c>
      <c r="G436" s="16">
        <v>2</v>
      </c>
      <c r="H436" s="16">
        <v>2</v>
      </c>
      <c r="I436" s="16">
        <v>2</v>
      </c>
      <c r="L436" s="90">
        <v>3</v>
      </c>
      <c r="M436" s="90">
        <v>3</v>
      </c>
      <c r="N436" s="90">
        <v>2</v>
      </c>
      <c r="O436" s="90">
        <v>1</v>
      </c>
      <c r="P436" s="90">
        <v>2</v>
      </c>
      <c r="Q436" s="90">
        <v>2</v>
      </c>
      <c r="S436" s="16">
        <f t="shared" si="158"/>
        <v>0</v>
      </c>
      <c r="T436" s="16">
        <f t="shared" si="168"/>
        <v>0</v>
      </c>
      <c r="U436" s="16">
        <f t="shared" si="165"/>
        <v>0</v>
      </c>
      <c r="V436" s="16">
        <f t="shared" si="166"/>
        <v>0</v>
      </c>
      <c r="W436" s="16">
        <f t="shared" si="173"/>
        <v>0</v>
      </c>
      <c r="X436" s="16">
        <f t="shared" si="169"/>
        <v>0</v>
      </c>
      <c r="Z436" s="16">
        <f t="shared" si="167"/>
        <v>0</v>
      </c>
      <c r="AB436" s="16" t="s">
        <v>391</v>
      </c>
      <c r="AC436" s="16" t="s">
        <v>392</v>
      </c>
      <c r="AD436" s="16" t="s">
        <v>391</v>
      </c>
      <c r="AF436" s="21" t="s">
        <v>394</v>
      </c>
      <c r="AG436" s="21" t="s">
        <v>394</v>
      </c>
      <c r="AI436" s="116"/>
      <c r="AJ436" s="158"/>
      <c r="AK436" s="116"/>
      <c r="AL436" s="116"/>
      <c r="AM436" s="116"/>
      <c r="AN436" s="116"/>
      <c r="AO436" s="116"/>
      <c r="AP436" s="115"/>
      <c r="AQ436" s="102"/>
      <c r="AR436" s="102"/>
      <c r="AW436" s="16"/>
    </row>
    <row r="437" spans="1:49">
      <c r="A437" s="2" t="str">
        <f>'Reference Score Calculation'!A428</f>
        <v>JSSU79</v>
      </c>
      <c r="B437" s="346" t="str">
        <f>'Reference Score Calculation'!B428</f>
        <v>JSSU79</v>
      </c>
      <c r="C437" s="21" t="str">
        <f>'Reference Score Calculation'!E428</f>
        <v>土木工程榮譽工學士</v>
      </c>
      <c r="D437" s="16">
        <f>'Reference Score Calculation'!U428</f>
        <v>45</v>
      </c>
      <c r="E437" s="16">
        <v>3</v>
      </c>
      <c r="F437" s="16">
        <v>3</v>
      </c>
      <c r="G437" s="16">
        <v>2</v>
      </c>
      <c r="H437" s="16">
        <v>2</v>
      </c>
      <c r="I437" s="16">
        <v>2</v>
      </c>
      <c r="L437" s="90">
        <v>3</v>
      </c>
      <c r="M437" s="90">
        <v>3</v>
      </c>
      <c r="N437" s="90">
        <v>2</v>
      </c>
      <c r="O437" s="90">
        <v>1</v>
      </c>
      <c r="P437" s="90">
        <v>2</v>
      </c>
      <c r="Q437" s="90">
        <v>2</v>
      </c>
      <c r="S437" s="16">
        <f t="shared" si="158"/>
        <v>0</v>
      </c>
      <c r="T437" s="16">
        <f t="shared" si="168"/>
        <v>0</v>
      </c>
      <c r="U437" s="16">
        <f t="shared" si="165"/>
        <v>0</v>
      </c>
      <c r="V437" s="16">
        <f t="shared" si="166"/>
        <v>0</v>
      </c>
      <c r="W437" s="16">
        <f t="shared" si="173"/>
        <v>0</v>
      </c>
      <c r="X437" s="16">
        <f t="shared" si="169"/>
        <v>0</v>
      </c>
      <c r="Z437" s="16">
        <f t="shared" si="167"/>
        <v>0</v>
      </c>
      <c r="AB437" s="16" t="s">
        <v>391</v>
      </c>
      <c r="AC437" s="16" t="s">
        <v>392</v>
      </c>
      <c r="AD437" s="16" t="s">
        <v>391</v>
      </c>
      <c r="AF437" s="21" t="s">
        <v>394</v>
      </c>
      <c r="AG437" s="21" t="s">
        <v>394</v>
      </c>
      <c r="AI437" s="116"/>
      <c r="AJ437" s="116"/>
      <c r="AK437" s="116"/>
      <c r="AL437" s="116"/>
      <c r="AM437" s="116"/>
      <c r="AN437" s="116"/>
      <c r="AO437" s="116"/>
      <c r="AP437" s="102"/>
      <c r="AQ437" s="102"/>
      <c r="AR437" s="102"/>
      <c r="AW437" s="16"/>
    </row>
    <row r="438" spans="1:49">
      <c r="A438" s="2" t="str">
        <f>'Reference Score Calculation'!A429</f>
        <v>JSSU90</v>
      </c>
      <c r="B438" s="346" t="str">
        <f>'Reference Score Calculation'!B429</f>
        <v>JSSU90</v>
      </c>
      <c r="C438" s="21" t="str">
        <f>'Reference Score Calculation'!E429</f>
        <v>國際款待及景區管理榮譽工商管理學士</v>
      </c>
      <c r="D438" s="16">
        <f>'Reference Score Calculation'!U429</f>
        <v>40</v>
      </c>
      <c r="E438" s="16">
        <v>3</v>
      </c>
      <c r="F438" s="16">
        <v>3</v>
      </c>
      <c r="G438" s="16">
        <v>2</v>
      </c>
      <c r="H438" s="16">
        <v>2</v>
      </c>
      <c r="I438" s="16">
        <v>2</v>
      </c>
      <c r="L438" s="90">
        <v>3</v>
      </c>
      <c r="M438" s="90">
        <v>3</v>
      </c>
      <c r="N438" s="90">
        <v>2</v>
      </c>
      <c r="O438" s="90">
        <v>1</v>
      </c>
      <c r="P438" s="90">
        <v>2</v>
      </c>
      <c r="Q438" s="90">
        <v>2</v>
      </c>
      <c r="S438" s="16">
        <f t="shared" si="158"/>
        <v>0</v>
      </c>
      <c r="T438" s="16">
        <f t="shared" si="168"/>
        <v>0</v>
      </c>
      <c r="U438" s="16">
        <f t="shared" si="165"/>
        <v>0</v>
      </c>
      <c r="V438" s="16">
        <f t="shared" si="166"/>
        <v>0</v>
      </c>
      <c r="W438" s="16">
        <f t="shared" si="173"/>
        <v>0</v>
      </c>
      <c r="X438" s="16">
        <f t="shared" si="169"/>
        <v>0</v>
      </c>
      <c r="Z438" s="16">
        <f t="shared" si="167"/>
        <v>0</v>
      </c>
      <c r="AB438" s="16" t="s">
        <v>391</v>
      </c>
      <c r="AC438" s="16" t="s">
        <v>392</v>
      </c>
      <c r="AD438" s="16" t="s">
        <v>391</v>
      </c>
      <c r="AF438" s="21" t="s">
        <v>394</v>
      </c>
      <c r="AG438" s="21" t="s">
        <v>394</v>
      </c>
      <c r="AI438" s="116"/>
      <c r="AJ438" s="116"/>
      <c r="AK438" s="116"/>
      <c r="AL438" s="116"/>
      <c r="AM438" s="116"/>
      <c r="AN438" s="116"/>
      <c r="AO438" s="116"/>
      <c r="AP438" s="102"/>
      <c r="AQ438" s="102"/>
      <c r="AR438" s="102"/>
      <c r="AW438" s="16"/>
    </row>
    <row r="439" spans="1:49">
      <c r="A439" s="2" t="str">
        <f>'Reference Score Calculation'!A430</f>
        <v>JSSU93</v>
      </c>
      <c r="B439" s="346" t="str">
        <f>'Reference Score Calculation'!B430</f>
        <v>JSSU93</v>
      </c>
      <c r="C439" s="21" t="str">
        <f>'Reference Score Calculation'!E430</f>
        <v>航空服務管理榮譽工商管理學士</v>
      </c>
      <c r="D439" s="16">
        <f>'Reference Score Calculation'!U430</f>
        <v>40</v>
      </c>
      <c r="L439" s="90">
        <v>3</v>
      </c>
      <c r="M439" s="90">
        <v>3</v>
      </c>
      <c r="N439" s="90">
        <v>2</v>
      </c>
      <c r="O439" s="90">
        <v>1</v>
      </c>
      <c r="P439" s="90">
        <v>2</v>
      </c>
      <c r="Q439" s="90">
        <v>2</v>
      </c>
      <c r="S439" s="16">
        <f t="shared" si="158"/>
        <v>0</v>
      </c>
      <c r="T439" s="16">
        <f t="shared" si="168"/>
        <v>0</v>
      </c>
      <c r="U439" s="16">
        <f t="shared" si="165"/>
        <v>0</v>
      </c>
      <c r="V439" s="16">
        <f t="shared" si="166"/>
        <v>0</v>
      </c>
      <c r="W439" s="16">
        <f t="shared" si="173"/>
        <v>0</v>
      </c>
      <c r="X439" s="16">
        <f t="shared" si="169"/>
        <v>0</v>
      </c>
      <c r="Z439" s="16">
        <f t="shared" si="167"/>
        <v>0</v>
      </c>
      <c r="AB439" s="16" t="s">
        <v>391</v>
      </c>
      <c r="AC439" s="16" t="s">
        <v>392</v>
      </c>
      <c r="AD439" s="16" t="s">
        <v>391</v>
      </c>
      <c r="AF439" s="21" t="s">
        <v>394</v>
      </c>
      <c r="AG439" s="21" t="s">
        <v>394</v>
      </c>
      <c r="AI439" s="116"/>
      <c r="AJ439" s="116"/>
      <c r="AK439" s="116"/>
      <c r="AL439" s="116"/>
      <c r="AM439" s="116"/>
      <c r="AN439" s="116"/>
      <c r="AO439" s="116"/>
      <c r="AP439" s="102"/>
      <c r="AQ439" s="102"/>
      <c r="AR439" s="102"/>
      <c r="AW439" s="16"/>
    </row>
    <row r="440" spans="1:49">
      <c r="A440" s="2" t="str">
        <f>'Reference Score Calculation'!A431</f>
        <v>JSSU95</v>
      </c>
      <c r="B440" s="346" t="str">
        <f>'Reference Score Calculation'!B431</f>
        <v>JSSU95</v>
      </c>
      <c r="C440" s="21" t="str">
        <f>'Reference Score Calculation'!E431</f>
        <v>運動及康樂管理榮譽工商管理學士</v>
      </c>
      <c r="D440" s="16">
        <f>'Reference Score Calculation'!U431</f>
        <v>50</v>
      </c>
      <c r="E440" s="16">
        <v>3</v>
      </c>
      <c r="F440" s="16">
        <v>3</v>
      </c>
      <c r="G440" s="16">
        <v>2</v>
      </c>
      <c r="H440" s="16">
        <v>2</v>
      </c>
      <c r="I440" s="16">
        <v>2</v>
      </c>
      <c r="L440" s="90">
        <v>3</v>
      </c>
      <c r="M440" s="90">
        <v>3</v>
      </c>
      <c r="N440" s="90">
        <v>2</v>
      </c>
      <c r="O440" s="90">
        <v>1</v>
      </c>
      <c r="P440" s="90">
        <v>2</v>
      </c>
      <c r="Q440" s="90">
        <v>2</v>
      </c>
      <c r="S440" s="16">
        <f t="shared" ref="S440:S451" si="174">IF(L440&gt;L$3,0,1)</f>
        <v>0</v>
      </c>
      <c r="T440" s="16">
        <f t="shared" ref="T440:T451" si="175">IF(M440&gt;M$3,0,1)</f>
        <v>0</v>
      </c>
      <c r="U440" s="16">
        <f t="shared" ref="U440:U451" si="176">IF(N440&gt;N$3,0,1)</f>
        <v>0</v>
      </c>
      <c r="V440" s="16">
        <f t="shared" ref="V440:V451" si="177">IF(O440&gt;O$3,0,1)</f>
        <v>0</v>
      </c>
      <c r="W440" s="16">
        <f t="shared" si="173"/>
        <v>0</v>
      </c>
      <c r="X440" s="16">
        <f t="shared" si="169"/>
        <v>0</v>
      </c>
      <c r="Z440" s="16">
        <f t="shared" si="167"/>
        <v>0</v>
      </c>
      <c r="AB440" s="16" t="s">
        <v>391</v>
      </c>
      <c r="AC440" s="16" t="s">
        <v>392</v>
      </c>
      <c r="AD440" s="16" t="s">
        <v>391</v>
      </c>
      <c r="AF440" s="21" t="s">
        <v>394</v>
      </c>
      <c r="AG440" s="21" t="s">
        <v>394</v>
      </c>
      <c r="AI440" s="116"/>
      <c r="AJ440" s="116"/>
      <c r="AK440" s="116"/>
      <c r="AL440" s="116"/>
      <c r="AM440" s="116"/>
      <c r="AN440" s="116"/>
      <c r="AO440" s="116"/>
      <c r="AP440" s="102"/>
      <c r="AQ440" s="102"/>
      <c r="AR440" s="102"/>
      <c r="AW440" s="16"/>
    </row>
    <row r="441" spans="1:49">
      <c r="A441" s="2" t="str">
        <f>'Reference Score Calculation'!A432</f>
        <v>JSSU96</v>
      </c>
      <c r="B441" s="346" t="str">
        <f>'Reference Score Calculation'!B432</f>
        <v>JSSU96</v>
      </c>
      <c r="C441" s="21" t="str">
        <f>'Reference Score Calculation'!E432</f>
        <v>財務及金融科技榮譽工商管理學士</v>
      </c>
      <c r="D441" s="16">
        <f>'Reference Score Calculation'!U432</f>
        <v>25</v>
      </c>
      <c r="E441" s="16">
        <v>3</v>
      </c>
      <c r="F441" s="16">
        <v>3</v>
      </c>
      <c r="G441" s="16">
        <v>2</v>
      </c>
      <c r="H441" s="16">
        <v>2</v>
      </c>
      <c r="I441" s="16">
        <v>2</v>
      </c>
      <c r="L441" s="90">
        <v>3</v>
      </c>
      <c r="M441" s="90">
        <v>3</v>
      </c>
      <c r="N441" s="90">
        <v>2</v>
      </c>
      <c r="O441" s="90">
        <v>1</v>
      </c>
      <c r="P441" s="90">
        <v>2</v>
      </c>
      <c r="Q441" s="90">
        <v>2</v>
      </c>
      <c r="S441" s="16">
        <f t="shared" si="174"/>
        <v>0</v>
      </c>
      <c r="T441" s="16">
        <f t="shared" si="175"/>
        <v>0</v>
      </c>
      <c r="U441" s="16">
        <f t="shared" si="176"/>
        <v>0</v>
      </c>
      <c r="V441" s="16">
        <f t="shared" si="177"/>
        <v>0</v>
      </c>
      <c r="W441" s="16">
        <f t="shared" si="173"/>
        <v>0</v>
      </c>
      <c r="X441" s="16">
        <f t="shared" si="169"/>
        <v>0</v>
      </c>
      <c r="Z441" s="16">
        <f t="shared" si="167"/>
        <v>0</v>
      </c>
      <c r="AB441" s="16" t="s">
        <v>391</v>
      </c>
      <c r="AC441" s="16" t="s">
        <v>392</v>
      </c>
      <c r="AD441" s="16" t="s">
        <v>391</v>
      </c>
      <c r="AF441" s="21" t="s">
        <v>394</v>
      </c>
      <c r="AG441" s="21" t="s">
        <v>394</v>
      </c>
      <c r="AI441" s="116"/>
      <c r="AJ441" s="116" t="str">
        <f>Q$2</f>
        <v>請選擇第一選修科</v>
      </c>
      <c r="AK441" s="116" t="str">
        <f>R$2</f>
        <v>請選擇第二選修科</v>
      </c>
      <c r="AL441" s="116" t="str">
        <f>S$2</f>
        <v>請選擇第三選修科</v>
      </c>
      <c r="AM441" s="116" t="str">
        <f>T$2</f>
        <v>請選擇第四選修科</v>
      </c>
      <c r="AN441" s="116" t="str">
        <f>P$2</f>
        <v>數學延伸</v>
      </c>
      <c r="AO441" s="116"/>
      <c r="AP441" s="116" t="s">
        <v>466</v>
      </c>
      <c r="AQ441" s="116"/>
      <c r="AR441" s="102"/>
      <c r="AW441" s="16"/>
    </row>
    <row r="442" spans="1:49">
      <c r="A442" s="2" t="str">
        <f>'Reference Score Calculation'!A433</f>
        <v>JSSU97</v>
      </c>
      <c r="B442" s="346" t="str">
        <f>'Reference Score Calculation'!B433</f>
        <v>JSSU97</v>
      </c>
      <c r="C442" s="21" t="str">
        <f>'Reference Score Calculation'!E433</f>
        <v>環球市場及供應鏈管理榮譽工商管理學士</v>
      </c>
      <c r="D442" s="16">
        <f>'Reference Score Calculation'!U433</f>
        <v>20</v>
      </c>
      <c r="E442" s="16">
        <v>3</v>
      </c>
      <c r="F442" s="16">
        <v>3</v>
      </c>
      <c r="G442" s="16">
        <v>2</v>
      </c>
      <c r="H442" s="16">
        <v>2</v>
      </c>
      <c r="I442" s="16">
        <v>2</v>
      </c>
      <c r="L442" s="90">
        <v>3</v>
      </c>
      <c r="M442" s="90">
        <v>3</v>
      </c>
      <c r="N442" s="90">
        <v>2</v>
      </c>
      <c r="O442" s="90">
        <v>1</v>
      </c>
      <c r="P442" s="90">
        <v>2</v>
      </c>
      <c r="Q442" s="90">
        <v>2</v>
      </c>
      <c r="S442" s="16">
        <f t="shared" si="174"/>
        <v>0</v>
      </c>
      <c r="T442" s="16">
        <f t="shared" si="175"/>
        <v>0</v>
      </c>
      <c r="U442" s="16">
        <f t="shared" si="176"/>
        <v>0</v>
      </c>
      <c r="V442" s="16">
        <f t="shared" si="177"/>
        <v>0</v>
      </c>
      <c r="W442" s="16">
        <f t="shared" si="173"/>
        <v>0</v>
      </c>
      <c r="X442" s="16">
        <f t="shared" si="169"/>
        <v>0</v>
      </c>
      <c r="Z442" s="16">
        <f t="shared" si="167"/>
        <v>0</v>
      </c>
      <c r="AB442" s="16" t="s">
        <v>391</v>
      </c>
      <c r="AC442" s="16" t="s">
        <v>392</v>
      </c>
      <c r="AD442" s="16" t="s">
        <v>391</v>
      </c>
      <c r="AF442" s="21" t="s">
        <v>394</v>
      </c>
      <c r="AG442" s="21" t="s">
        <v>394</v>
      </c>
      <c r="AI442" s="116" t="s">
        <v>593</v>
      </c>
      <c r="AJ442" s="117">
        <f>IF(OR(Q$2="物理",Q$2="化學",Q$2="生物"),Q$3,0)</f>
        <v>0</v>
      </c>
      <c r="AK442" s="117">
        <f t="shared" ref="AK442:AM442" si="178">IF(OR(R$2="物理",R$2="化學",R$2="生物"),R$3,0)</f>
        <v>0</v>
      </c>
      <c r="AL442" s="117">
        <f t="shared" si="178"/>
        <v>0</v>
      </c>
      <c r="AM442" s="117">
        <f t="shared" si="178"/>
        <v>0</v>
      </c>
      <c r="AN442" s="117">
        <f>P$3</f>
        <v>5.0000000000000003E-10</v>
      </c>
      <c r="AO442" s="116"/>
      <c r="AP442" s="117" t="str">
        <f>IF(AQ442&gt;0.1,INDEX(AJ441:AN441,MATCH(LARGE(AJ442:AN442,1),AJ442:AN442,0)),"無")</f>
        <v>無</v>
      </c>
      <c r="AQ442" s="117">
        <f>LARGE((AJ442:AN442),1)</f>
        <v>5.0000000000000003E-10</v>
      </c>
      <c r="AR442" s="102"/>
      <c r="AW442" s="16"/>
    </row>
    <row r="443" spans="1:49">
      <c r="A443" s="2" t="str">
        <f>'Reference Score Calculation'!A434</f>
        <v>JSSV01</v>
      </c>
      <c r="B443" s="346" t="str">
        <f>'Reference Score Calculation'!B434</f>
        <v>JSSV01</v>
      </c>
      <c r="C443" s="21" t="str">
        <f>'Reference Score Calculation'!E434</f>
        <v>時裝設計（榮譽）文學士</v>
      </c>
      <c r="D443" s="16">
        <f>'Reference Score Calculation'!U434</f>
        <v>20</v>
      </c>
      <c r="E443" s="16">
        <v>3</v>
      </c>
      <c r="F443" s="16">
        <v>3</v>
      </c>
      <c r="G443" s="16">
        <v>2</v>
      </c>
      <c r="H443" s="16">
        <v>2</v>
      </c>
      <c r="I443" s="16">
        <v>2</v>
      </c>
      <c r="L443" s="90">
        <v>3</v>
      </c>
      <c r="M443" s="90">
        <v>3</v>
      </c>
      <c r="N443" s="90">
        <v>2</v>
      </c>
      <c r="O443" s="90">
        <v>1</v>
      </c>
      <c r="P443" s="90">
        <v>2</v>
      </c>
      <c r="Q443" s="90"/>
      <c r="S443" s="16">
        <f t="shared" si="174"/>
        <v>0</v>
      </c>
      <c r="T443" s="16">
        <f t="shared" si="175"/>
        <v>0</v>
      </c>
      <c r="U443" s="16">
        <f t="shared" si="176"/>
        <v>0</v>
      </c>
      <c r="V443" s="16">
        <f t="shared" si="177"/>
        <v>0</v>
      </c>
      <c r="W443" s="16">
        <f>IF(P443&gt;LARGE($Q$3:$T$3,1),0,1)</f>
        <v>0</v>
      </c>
      <c r="Z443" s="16">
        <f t="shared" si="167"/>
        <v>0</v>
      </c>
      <c r="AB443" s="16" t="s">
        <v>393</v>
      </c>
      <c r="AC443" s="16" t="s">
        <v>393</v>
      </c>
      <c r="AD443" s="16" t="s">
        <v>391</v>
      </c>
      <c r="AF443" s="21" t="s">
        <v>394</v>
      </c>
      <c r="AG443" s="21" t="s">
        <v>394</v>
      </c>
      <c r="AI443" s="116" t="s">
        <v>594</v>
      </c>
      <c r="AJ443" s="158" t="s">
        <v>3149</v>
      </c>
      <c r="AK443" s="116"/>
      <c r="AL443" s="116"/>
      <c r="AM443" s="116"/>
      <c r="AN443" s="116"/>
      <c r="AO443" s="116"/>
      <c r="AP443" s="116"/>
      <c r="AQ443" s="102"/>
      <c r="AR443" s="102"/>
      <c r="AW443" s="16"/>
    </row>
    <row r="444" spans="1:49">
      <c r="A444" s="2" t="str">
        <f>'Reference Score Calculation'!A435</f>
        <v>JSSV02</v>
      </c>
      <c r="B444" s="346" t="str">
        <f>'Reference Score Calculation'!B435</f>
        <v>JSSV02</v>
      </c>
      <c r="C444" s="21" t="str">
        <f>'Reference Score Calculation'!E435</f>
        <v>產品設計（榮譽）文學士</v>
      </c>
      <c r="D444" s="16">
        <f>'Reference Score Calculation'!U435</f>
        <v>10</v>
      </c>
      <c r="E444" s="16">
        <v>3</v>
      </c>
      <c r="F444" s="16">
        <v>3</v>
      </c>
      <c r="G444" s="16">
        <v>2</v>
      </c>
      <c r="H444" s="16">
        <v>2</v>
      </c>
      <c r="I444" s="16">
        <v>2</v>
      </c>
      <c r="L444" s="90">
        <v>3</v>
      </c>
      <c r="M444" s="90">
        <v>3</v>
      </c>
      <c r="N444" s="90">
        <v>2</v>
      </c>
      <c r="O444" s="90">
        <v>1</v>
      </c>
      <c r="P444" s="90">
        <v>2</v>
      </c>
      <c r="Q444" s="90"/>
      <c r="S444" s="16">
        <f t="shared" si="174"/>
        <v>0</v>
      </c>
      <c r="T444" s="16">
        <f t="shared" si="175"/>
        <v>0</v>
      </c>
      <c r="U444" s="16">
        <f t="shared" si="176"/>
        <v>0</v>
      </c>
      <c r="V444" s="16">
        <f t="shared" si="177"/>
        <v>0</v>
      </c>
      <c r="W444" s="16">
        <f t="shared" ref="W444:W450" si="179">IF(P444&gt;LARGE($Q$3:$T$3,1),0,1)</f>
        <v>0</v>
      </c>
      <c r="Z444" s="16">
        <f t="shared" si="167"/>
        <v>0</v>
      </c>
      <c r="AB444" s="16" t="s">
        <v>393</v>
      </c>
      <c r="AC444" s="16" t="s">
        <v>393</v>
      </c>
      <c r="AD444" s="16" t="s">
        <v>391</v>
      </c>
      <c r="AF444" s="21" t="s">
        <v>394</v>
      </c>
      <c r="AG444" s="21" t="s">
        <v>394</v>
      </c>
      <c r="AI444" s="116"/>
      <c r="AJ444" s="116"/>
      <c r="AK444" s="116"/>
      <c r="AL444" s="116"/>
      <c r="AM444" s="116"/>
      <c r="AN444" s="116"/>
      <c r="AO444" s="116"/>
      <c r="AP444" s="102"/>
      <c r="AQ444" s="102"/>
      <c r="AR444" s="102"/>
      <c r="AW444" s="16"/>
    </row>
    <row r="445" spans="1:49">
      <c r="A445" s="2" t="str">
        <f>'Reference Score Calculation'!A436</f>
        <v>JSSV03</v>
      </c>
      <c r="B445" s="346" t="str">
        <f>'Reference Score Calculation'!B436</f>
        <v>JSSV03</v>
      </c>
      <c r="C445" s="21" t="str">
        <f>'Reference Score Calculation'!E436</f>
        <v>園境建築（榮譽）文學士</v>
      </c>
      <c r="D445" s="16">
        <f>'Reference Score Calculation'!U436</f>
        <v>15</v>
      </c>
      <c r="E445" s="16">
        <v>3</v>
      </c>
      <c r="F445" s="16">
        <v>3</v>
      </c>
      <c r="G445" s="16">
        <v>2</v>
      </c>
      <c r="H445" s="16">
        <v>2</v>
      </c>
      <c r="I445" s="16">
        <v>2</v>
      </c>
      <c r="L445" s="90">
        <v>3</v>
      </c>
      <c r="M445" s="90">
        <v>3</v>
      </c>
      <c r="N445" s="90">
        <v>2</v>
      </c>
      <c r="O445" s="90">
        <v>1</v>
      </c>
      <c r="P445" s="90">
        <v>2</v>
      </c>
      <c r="Q445" s="90"/>
      <c r="S445" s="16">
        <f t="shared" si="174"/>
        <v>0</v>
      </c>
      <c r="T445" s="16">
        <f t="shared" si="175"/>
        <v>0</v>
      </c>
      <c r="U445" s="16">
        <f t="shared" si="176"/>
        <v>0</v>
      </c>
      <c r="V445" s="16">
        <f t="shared" si="177"/>
        <v>0</v>
      </c>
      <c r="W445" s="16">
        <f t="shared" si="179"/>
        <v>0</v>
      </c>
      <c r="Z445" s="16">
        <f t="shared" si="167"/>
        <v>0</v>
      </c>
      <c r="AB445" s="16" t="s">
        <v>393</v>
      </c>
      <c r="AC445" s="16" t="s">
        <v>393</v>
      </c>
      <c r="AD445" s="16" t="s">
        <v>391</v>
      </c>
      <c r="AF445" s="21" t="s">
        <v>394</v>
      </c>
      <c r="AG445" s="21" t="s">
        <v>394</v>
      </c>
      <c r="AI445" s="116"/>
      <c r="AJ445" s="116" t="str">
        <f>Q$2</f>
        <v>請選擇第一選修科</v>
      </c>
      <c r="AK445" s="116" t="str">
        <f>R$2</f>
        <v>請選擇第二選修科</v>
      </c>
      <c r="AL445" s="116" t="str">
        <f>S$2</f>
        <v>請選擇第三選修科</v>
      </c>
      <c r="AM445" s="116" t="str">
        <f>T$2</f>
        <v>請選擇第四選修科</v>
      </c>
      <c r="AN445" s="116" t="str">
        <f>P$2</f>
        <v>數學延伸</v>
      </c>
      <c r="AO445" s="116"/>
      <c r="AP445" s="116" t="s">
        <v>595</v>
      </c>
      <c r="AQ445" s="116"/>
      <c r="AR445" s="102"/>
      <c r="AW445" s="16"/>
    </row>
    <row r="446" spans="1:49">
      <c r="A446" s="2" t="str">
        <f>'Reference Score Calculation'!A437</f>
        <v>JSSV04</v>
      </c>
      <c r="B446" s="346" t="str">
        <f>'Reference Score Calculation'!B437</f>
        <v>JSSV04</v>
      </c>
      <c r="C446" s="21" t="str">
        <f>'Reference Score Calculation'!E437</f>
        <v>廚藝及管理（榮譽）文學士</v>
      </c>
      <c r="D446" s="16">
        <f>'Reference Score Calculation'!U437</f>
        <v>10</v>
      </c>
      <c r="E446" s="16">
        <v>3</v>
      </c>
      <c r="F446" s="16">
        <v>3</v>
      </c>
      <c r="G446" s="16">
        <v>2</v>
      </c>
      <c r="H446" s="16">
        <v>2</v>
      </c>
      <c r="I446" s="16">
        <v>2</v>
      </c>
      <c r="L446" s="90">
        <v>3</v>
      </c>
      <c r="M446" s="90">
        <v>3</v>
      </c>
      <c r="N446" s="90">
        <v>2</v>
      </c>
      <c r="O446" s="90">
        <v>1</v>
      </c>
      <c r="P446" s="90">
        <v>2</v>
      </c>
      <c r="Q446" s="90"/>
      <c r="S446" s="16">
        <f t="shared" si="174"/>
        <v>0</v>
      </c>
      <c r="T446" s="16">
        <f t="shared" si="175"/>
        <v>0</v>
      </c>
      <c r="U446" s="16">
        <f t="shared" si="176"/>
        <v>0</v>
      </c>
      <c r="V446" s="16">
        <f t="shared" si="177"/>
        <v>0</v>
      </c>
      <c r="W446" s="16">
        <f t="shared" si="179"/>
        <v>0</v>
      </c>
      <c r="Z446" s="16">
        <f t="shared" si="167"/>
        <v>0</v>
      </c>
      <c r="AB446" s="16" t="s">
        <v>393</v>
      </c>
      <c r="AC446" s="16" t="s">
        <v>393</v>
      </c>
      <c r="AD446" s="16" t="s">
        <v>391</v>
      </c>
      <c r="AF446" s="21" t="s">
        <v>394</v>
      </c>
      <c r="AG446" s="21" t="s">
        <v>394</v>
      </c>
      <c r="AI446" s="116" t="s">
        <v>597</v>
      </c>
      <c r="AJ446" s="117">
        <f>IF(Q$2="資訊及通訊科技",Q$3,0)</f>
        <v>0</v>
      </c>
      <c r="AK446" s="117">
        <f>IF(R$2="資訊及通訊科技",R$3,0)</f>
        <v>0</v>
      </c>
      <c r="AL446" s="117">
        <f>IF(S$2="資訊及通訊科技",S$3,0)</f>
        <v>0</v>
      </c>
      <c r="AM446" s="117">
        <f>IF(T$2="資訊及通訊科技",T$3,0)</f>
        <v>0</v>
      </c>
      <c r="AN446" s="117">
        <f>P$3</f>
        <v>5.0000000000000003E-10</v>
      </c>
      <c r="AO446" s="116"/>
      <c r="AP446" s="117" t="str">
        <f>IF(AQ446&gt;0.1,INDEX(AJ445:AM445,MATCH(LARGE(AJ446:AM446,1),AJ446:AM446,0)),"無")</f>
        <v>無</v>
      </c>
      <c r="AQ446" s="117">
        <f>LARGE((AJ446:AM446),1)</f>
        <v>0</v>
      </c>
      <c r="AR446" s="102"/>
      <c r="AW446" s="16"/>
    </row>
    <row r="447" spans="1:49">
      <c r="A447" s="2" t="str">
        <f>'Reference Score Calculation'!A438</f>
        <v>JSSV05</v>
      </c>
      <c r="B447" s="346" t="str">
        <f>'Reference Score Calculation'!B438</f>
        <v>JSSV05</v>
      </c>
      <c r="C447" s="21" t="str">
        <f>'Reference Score Calculation'!E438</f>
        <v>土木工程（榮譽）工學士</v>
      </c>
      <c r="D447" s="16">
        <f>'Reference Score Calculation'!U438</f>
        <v>20</v>
      </c>
      <c r="E447" s="16">
        <v>3</v>
      </c>
      <c r="F447" s="16">
        <v>3</v>
      </c>
      <c r="G447" s="16">
        <v>2</v>
      </c>
      <c r="H447" s="16">
        <v>2</v>
      </c>
      <c r="I447" s="16">
        <v>2</v>
      </c>
      <c r="L447" s="90">
        <v>3</v>
      </c>
      <c r="M447" s="90">
        <v>3</v>
      </c>
      <c r="N447" s="90">
        <v>2</v>
      </c>
      <c r="O447" s="90">
        <v>1</v>
      </c>
      <c r="P447" s="90">
        <v>2</v>
      </c>
      <c r="Q447" s="90"/>
      <c r="S447" s="16">
        <f t="shared" si="174"/>
        <v>0</v>
      </c>
      <c r="T447" s="16">
        <f t="shared" si="175"/>
        <v>0</v>
      </c>
      <c r="U447" s="16">
        <f t="shared" si="176"/>
        <v>0</v>
      </c>
      <c r="V447" s="16">
        <f t="shared" si="177"/>
        <v>0</v>
      </c>
      <c r="W447" s="16">
        <f>IF(P447&gt;$AQ$442,0,1)</f>
        <v>0</v>
      </c>
      <c r="Z447" s="16">
        <f t="shared" si="167"/>
        <v>0</v>
      </c>
      <c r="AB447" s="16" t="s">
        <v>391</v>
      </c>
      <c r="AC447" s="16" t="s">
        <v>393</v>
      </c>
      <c r="AD447" s="16" t="s">
        <v>391</v>
      </c>
      <c r="AF447" s="21" t="s">
        <v>600</v>
      </c>
      <c r="AG447" s="21" t="s">
        <v>324</v>
      </c>
      <c r="AI447" s="116"/>
      <c r="AJ447" s="158" t="s">
        <v>314</v>
      </c>
      <c r="AK447" s="116"/>
      <c r="AL447" s="116"/>
      <c r="AM447" s="116"/>
      <c r="AN447" s="116"/>
      <c r="AO447" s="116"/>
      <c r="AP447" s="116"/>
      <c r="AQ447" s="102"/>
      <c r="AR447" s="102"/>
      <c r="AW447" s="16"/>
    </row>
    <row r="448" spans="1:49">
      <c r="A448" s="2" t="str">
        <f>'Reference Score Calculation'!A439</f>
        <v>JSSV07</v>
      </c>
      <c r="B448" s="346" t="str">
        <f>'Reference Score Calculation'!B439</f>
        <v>JSSV07</v>
      </c>
      <c r="C448" s="21" t="str">
        <f>'Reference Score Calculation'!E439</f>
        <v>園藝樹藝及園境管理（榮譽）理學士</v>
      </c>
      <c r="D448" s="16">
        <f>'Reference Score Calculation'!U439</f>
        <v>15</v>
      </c>
      <c r="E448" s="16">
        <v>3</v>
      </c>
      <c r="F448" s="16">
        <v>3</v>
      </c>
      <c r="G448" s="16">
        <v>2</v>
      </c>
      <c r="H448" s="16">
        <v>2</v>
      </c>
      <c r="I448" s="16">
        <v>2</v>
      </c>
      <c r="L448" s="90">
        <v>3</v>
      </c>
      <c r="M448" s="90">
        <v>3</v>
      </c>
      <c r="N448" s="90">
        <v>2</v>
      </c>
      <c r="O448" s="90">
        <v>1</v>
      </c>
      <c r="P448" s="90">
        <v>2</v>
      </c>
      <c r="Q448" s="90"/>
      <c r="S448" s="16">
        <f t="shared" si="174"/>
        <v>0</v>
      </c>
      <c r="T448" s="16">
        <f t="shared" si="175"/>
        <v>0</v>
      </c>
      <c r="U448" s="16">
        <f t="shared" si="176"/>
        <v>0</v>
      </c>
      <c r="V448" s="16">
        <f t="shared" si="177"/>
        <v>0</v>
      </c>
      <c r="W448" s="16">
        <f>IF(P448&gt;LARGE($Q$3:$T$3,1),0,1)</f>
        <v>0</v>
      </c>
      <c r="Z448" s="16">
        <f t="shared" si="167"/>
        <v>0</v>
      </c>
      <c r="AB448" s="16" t="s">
        <v>393</v>
      </c>
      <c r="AC448" s="16" t="s">
        <v>393</v>
      </c>
      <c r="AD448" s="16" t="s">
        <v>391</v>
      </c>
      <c r="AF448" s="21" t="s">
        <v>394</v>
      </c>
      <c r="AG448" s="21" t="s">
        <v>394</v>
      </c>
      <c r="AI448" s="116"/>
      <c r="AJ448" s="116"/>
      <c r="AK448" s="116"/>
      <c r="AL448" s="116"/>
      <c r="AM448" s="116"/>
      <c r="AN448" s="116"/>
      <c r="AO448" s="116"/>
      <c r="AP448" s="116" t="s">
        <v>3270</v>
      </c>
      <c r="AQ448" s="116"/>
      <c r="AR448" s="102"/>
      <c r="AW448" s="16"/>
    </row>
    <row r="449" spans="1:49">
      <c r="A449" s="2" t="str">
        <f>'Reference Score Calculation'!A440</f>
        <v>JSSV08</v>
      </c>
      <c r="B449" s="346" t="str">
        <f>'Reference Score Calculation'!B440</f>
        <v>JSSV08</v>
      </c>
      <c r="C449" s="21" t="str">
        <f>'Reference Score Calculation'!E440</f>
        <v>測量學（榮譽）理學士</v>
      </c>
      <c r="D449" s="16">
        <f>'Reference Score Calculation'!U440</f>
        <v>15</v>
      </c>
      <c r="E449" s="16">
        <v>3</v>
      </c>
      <c r="F449" s="16">
        <v>3</v>
      </c>
      <c r="G449" s="16">
        <v>2</v>
      </c>
      <c r="H449" s="16">
        <v>2</v>
      </c>
      <c r="I449" s="16">
        <v>2</v>
      </c>
      <c r="L449" s="90">
        <v>3</v>
      </c>
      <c r="M449" s="90">
        <v>3</v>
      </c>
      <c r="N449" s="90">
        <v>2</v>
      </c>
      <c r="O449" s="90">
        <v>1</v>
      </c>
      <c r="P449" s="90">
        <v>2</v>
      </c>
      <c r="Q449" s="90"/>
      <c r="S449" s="16">
        <f t="shared" si="174"/>
        <v>0</v>
      </c>
      <c r="T449" s="16">
        <f t="shared" si="175"/>
        <v>0</v>
      </c>
      <c r="U449" s="16">
        <f t="shared" si="176"/>
        <v>0</v>
      </c>
      <c r="V449" s="16">
        <f t="shared" si="177"/>
        <v>0</v>
      </c>
      <c r="W449" s="16">
        <f t="shared" si="179"/>
        <v>0</v>
      </c>
      <c r="Z449" s="16">
        <f t="shared" si="167"/>
        <v>0</v>
      </c>
      <c r="AB449" s="16" t="s">
        <v>393</v>
      </c>
      <c r="AC449" s="16" t="s">
        <v>393</v>
      </c>
      <c r="AD449" s="16" t="s">
        <v>391</v>
      </c>
      <c r="AF449" s="21" t="s">
        <v>394</v>
      </c>
      <c r="AG449" s="21" t="s">
        <v>394</v>
      </c>
      <c r="AI449" s="116" t="s">
        <v>2922</v>
      </c>
      <c r="AJ449" s="116"/>
      <c r="AK449" s="116"/>
      <c r="AL449" s="116"/>
      <c r="AM449" s="116"/>
      <c r="AN449" s="116"/>
      <c r="AO449" s="116"/>
      <c r="AP449" s="117" t="str">
        <f>IF(AQ449&gt;0.1,INDEX(AJ445:AN445,MATCH(LARGE(AJ446:AN446,1),AJ446:AN446,0)),"無")</f>
        <v>無</v>
      </c>
      <c r="AQ449" s="117">
        <f>LARGE((AJ446:AN446),1)</f>
        <v>5.0000000000000003E-10</v>
      </c>
      <c r="AR449" s="102"/>
      <c r="AW449" s="16"/>
    </row>
    <row r="450" spans="1:49">
      <c r="A450" s="2" t="str">
        <f>'Reference Score Calculation'!A441</f>
        <v>JSSV09</v>
      </c>
      <c r="B450" s="346" t="str">
        <f>'Reference Score Calculation'!B441</f>
        <v>JSSV09</v>
      </c>
      <c r="C450" s="21" t="str">
        <f>'Reference Score Calculation'!E441</f>
        <v>運動及康樂管理（榮譽）社會科學學士</v>
      </c>
      <c r="D450" s="16">
        <f>'Reference Score Calculation'!U441</f>
        <v>20</v>
      </c>
      <c r="E450" s="16">
        <v>3</v>
      </c>
      <c r="F450" s="16">
        <v>3</v>
      </c>
      <c r="G450" s="16">
        <v>2</v>
      </c>
      <c r="H450" s="16">
        <v>2</v>
      </c>
      <c r="I450" s="16">
        <v>2</v>
      </c>
      <c r="L450" s="90">
        <v>3</v>
      </c>
      <c r="M450" s="90">
        <v>3</v>
      </c>
      <c r="N450" s="90">
        <v>2</v>
      </c>
      <c r="O450" s="90">
        <v>1</v>
      </c>
      <c r="P450" s="90">
        <v>2</v>
      </c>
      <c r="Q450" s="90"/>
      <c r="S450" s="16">
        <f t="shared" si="174"/>
        <v>0</v>
      </c>
      <c r="T450" s="16">
        <f t="shared" si="175"/>
        <v>0</v>
      </c>
      <c r="U450" s="16">
        <f t="shared" si="176"/>
        <v>0</v>
      </c>
      <c r="V450" s="16">
        <f t="shared" si="177"/>
        <v>0</v>
      </c>
      <c r="W450" s="16">
        <f t="shared" si="179"/>
        <v>0</v>
      </c>
      <c r="Z450" s="16">
        <f t="shared" si="167"/>
        <v>0</v>
      </c>
      <c r="AB450" s="16" t="s">
        <v>393</v>
      </c>
      <c r="AC450" s="16" t="s">
        <v>393</v>
      </c>
      <c r="AD450" s="16" t="s">
        <v>391</v>
      </c>
      <c r="AF450" s="21" t="s">
        <v>394</v>
      </c>
      <c r="AG450" s="21" t="s">
        <v>394</v>
      </c>
      <c r="AI450" s="116"/>
      <c r="AJ450" s="116"/>
      <c r="AK450" s="116"/>
      <c r="AL450" s="116"/>
      <c r="AM450" s="116"/>
      <c r="AN450" s="116"/>
      <c r="AO450" s="116"/>
      <c r="AP450" s="116"/>
      <c r="AQ450" s="116"/>
      <c r="AR450" s="102"/>
      <c r="AW450" s="16"/>
    </row>
    <row r="451" spans="1:49">
      <c r="A451" s="2" t="str">
        <f>'Reference Score Calculation'!A442</f>
        <v>JSSV10</v>
      </c>
      <c r="B451" s="346" t="str">
        <f>'Reference Score Calculation'!B442</f>
        <v>JSSV10</v>
      </c>
      <c r="C451" s="21" t="str">
        <f>'Reference Score Calculation'!E442</f>
        <v>屋宇設備工程（榮譽）工學士</v>
      </c>
      <c r="D451" s="16">
        <f>'Reference Score Calculation'!U442</f>
        <v>10</v>
      </c>
      <c r="E451" s="16">
        <v>3</v>
      </c>
      <c r="F451" s="16">
        <v>3</v>
      </c>
      <c r="G451" s="16">
        <v>2</v>
      </c>
      <c r="H451" s="16">
        <v>2</v>
      </c>
      <c r="I451" s="16">
        <v>2</v>
      </c>
      <c r="L451" s="90">
        <v>3</v>
      </c>
      <c r="M451" s="90">
        <v>3</v>
      </c>
      <c r="N451" s="90">
        <v>2</v>
      </c>
      <c r="O451" s="90">
        <v>1</v>
      </c>
      <c r="P451" s="90">
        <v>2</v>
      </c>
      <c r="Q451" s="90"/>
      <c r="S451" s="16">
        <f t="shared" si="174"/>
        <v>0</v>
      </c>
      <c r="T451" s="16">
        <f t="shared" si="175"/>
        <v>0</v>
      </c>
      <c r="U451" s="16">
        <f t="shared" si="176"/>
        <v>0</v>
      </c>
      <c r="V451" s="16">
        <f t="shared" si="177"/>
        <v>0</v>
      </c>
      <c r="W451" s="16">
        <f>IF(P451&gt;$AQ$442,0,1)</f>
        <v>0</v>
      </c>
      <c r="Z451" s="16">
        <f t="shared" si="167"/>
        <v>0</v>
      </c>
      <c r="AB451" s="16" t="s">
        <v>391</v>
      </c>
      <c r="AC451" s="16" t="s">
        <v>393</v>
      </c>
      <c r="AD451" s="16" t="s">
        <v>391</v>
      </c>
      <c r="AF451" s="21" t="s">
        <v>600</v>
      </c>
      <c r="AG451" s="21" t="s">
        <v>324</v>
      </c>
      <c r="AI451" s="116"/>
      <c r="AJ451" s="116"/>
      <c r="AK451" s="116"/>
      <c r="AL451" s="116"/>
      <c r="AM451" s="116"/>
      <c r="AN451" s="116"/>
      <c r="AO451" s="116"/>
      <c r="AP451" s="116"/>
      <c r="AQ451" s="116"/>
      <c r="AR451" s="102"/>
      <c r="AW451" s="16"/>
    </row>
    <row r="452" spans="1:49">
      <c r="A452" s="2" t="str">
        <f>'Reference Score Calculation'!A443</f>
        <v>JSSV13</v>
      </c>
      <c r="B452" s="346" t="str">
        <f>'Reference Score Calculation'!B443</f>
        <v>JSSV13</v>
      </c>
      <c r="C452" s="21" t="str">
        <f>'Reference Score Calculation'!E443</f>
        <v>運動教練(榮譽)社會科學學士</v>
      </c>
      <c r="D452" s="16">
        <f>'Reference Score Calculation'!U443</f>
        <v>10</v>
      </c>
      <c r="L452" s="90">
        <v>3</v>
      </c>
      <c r="M452" s="90">
        <v>3</v>
      </c>
      <c r="N452" s="90">
        <v>2</v>
      </c>
      <c r="O452" s="90">
        <v>1</v>
      </c>
      <c r="P452" s="90">
        <v>2</v>
      </c>
      <c r="Q452" s="90"/>
      <c r="S452" s="16">
        <f t="shared" ref="S452" si="180">IF(L452&gt;L$3,0,1)</f>
        <v>0</v>
      </c>
      <c r="T452" s="16">
        <f t="shared" ref="T452" si="181">IF(M452&gt;M$3,0,1)</f>
        <v>0</v>
      </c>
      <c r="U452" s="16">
        <f t="shared" ref="U452" si="182">IF(N452&gt;N$3,0,1)</f>
        <v>0</v>
      </c>
      <c r="V452" s="16">
        <f t="shared" ref="V452" si="183">IF(O452&gt;O$3,0,1)</f>
        <v>0</v>
      </c>
      <c r="W452" s="16">
        <f>IF(P452&gt;$AQ$442,0,1)</f>
        <v>0</v>
      </c>
      <c r="Z452" s="16">
        <f t="shared" si="167"/>
        <v>0</v>
      </c>
      <c r="AB452" s="16" t="s">
        <v>393</v>
      </c>
      <c r="AC452" s="16" t="s">
        <v>393</v>
      </c>
      <c r="AD452" s="16" t="s">
        <v>391</v>
      </c>
      <c r="AF452" s="21" t="s">
        <v>394</v>
      </c>
      <c r="AG452" s="21" t="s">
        <v>324</v>
      </c>
      <c r="AI452" s="116"/>
      <c r="AJ452" s="116" t="str">
        <f>Q$2</f>
        <v>請選擇第一選修科</v>
      </c>
      <c r="AK452" s="116" t="str">
        <f>R$2</f>
        <v>請選擇第二選修科</v>
      </c>
      <c r="AL452" s="116" t="str">
        <f>S$2</f>
        <v>請選擇第三選修科</v>
      </c>
      <c r="AM452" s="116" t="str">
        <f>T$2</f>
        <v>請選擇第四選修科</v>
      </c>
      <c r="AN452" s="116"/>
      <c r="AO452" s="116"/>
      <c r="AP452" s="116" t="s">
        <v>466</v>
      </c>
      <c r="AQ452" s="116"/>
      <c r="AR452" s="102"/>
      <c r="AW452" s="16"/>
    </row>
    <row r="453" spans="1:49">
      <c r="A453" s="2" t="str">
        <f>'Reference Score Calculation'!A444</f>
        <v>JSSW01</v>
      </c>
      <c r="B453" s="346" t="str">
        <f>'Reference Score Calculation'!B444</f>
        <v>JSSW01</v>
      </c>
      <c r="C453" s="21" t="str">
        <f>'Reference Score Calculation'!E444</f>
        <v>營運及管理（榮譽）航空學士</v>
      </c>
      <c r="D453" s="16">
        <f>'Reference Score Calculation'!U444</f>
        <v>15</v>
      </c>
      <c r="E453" s="16">
        <v>3</v>
      </c>
      <c r="F453" s="16">
        <v>3</v>
      </c>
      <c r="G453" s="16">
        <v>2</v>
      </c>
      <c r="H453" s="16">
        <v>2</v>
      </c>
      <c r="I453" s="16">
        <v>2</v>
      </c>
      <c r="L453" s="90">
        <v>3</v>
      </c>
      <c r="M453" s="90">
        <v>3</v>
      </c>
      <c r="N453" s="90">
        <v>2</v>
      </c>
      <c r="O453" s="90">
        <v>1</v>
      </c>
      <c r="P453" s="90">
        <v>2</v>
      </c>
      <c r="Q453" s="90"/>
      <c r="S453" s="16">
        <f t="shared" ref="S453:V454" si="184">IF(L453&gt;L$3,0,1)</f>
        <v>0</v>
      </c>
      <c r="T453" s="16">
        <f t="shared" si="184"/>
        <v>0</v>
      </c>
      <c r="U453" s="16">
        <f t="shared" si="184"/>
        <v>0</v>
      </c>
      <c r="V453" s="16">
        <f t="shared" si="184"/>
        <v>0</v>
      </c>
      <c r="W453" s="16">
        <f>IF(P453&gt;LARGE($Q$3:$T$3,1),0,1)</f>
        <v>0</v>
      </c>
      <c r="Z453" s="16">
        <f t="shared" si="167"/>
        <v>0</v>
      </c>
      <c r="AB453" s="16" t="s">
        <v>393</v>
      </c>
      <c r="AC453" s="16" t="s">
        <v>393</v>
      </c>
      <c r="AD453" s="16" t="s">
        <v>419</v>
      </c>
      <c r="AF453" s="21" t="s">
        <v>394</v>
      </c>
      <c r="AG453" s="21" t="s">
        <v>324</v>
      </c>
      <c r="AI453" s="116" t="s">
        <v>598</v>
      </c>
      <c r="AJ453" s="117">
        <f>IF(OR(Q$2="化學",Q$2="生物",Q$2="組合科學(生物、化學)"),Q$3,0)</f>
        <v>0</v>
      </c>
      <c r="AK453" s="117">
        <f>IF(OR(R$2="化學",R$2="生物",R$2="組合科學(生物、化學)"),R$3,0)</f>
        <v>0</v>
      </c>
      <c r="AL453" s="117">
        <f>IF(OR(S$2="化學",S$2="生物",S$2="組合科學(生物、化學)"),S$3,0)</f>
        <v>0</v>
      </c>
      <c r="AM453" s="117">
        <f>IF(OR(T$2="化學",T$2="生物",T$2="組合科學(生物、化學)"),T$3,0)</f>
        <v>0</v>
      </c>
      <c r="AN453" s="116"/>
      <c r="AO453" s="116"/>
      <c r="AP453" s="117" t="str">
        <f>IF(AQ453&gt;0.1,INDEX(AJ452:AM452,MATCH(LARGE(AJ453:AM453,1),AJ453:AM453,0)),"無")</f>
        <v>無</v>
      </c>
      <c r="AQ453" s="117">
        <f>LARGE((AJ453:AM453),1)</f>
        <v>0</v>
      </c>
      <c r="AR453" s="102"/>
    </row>
    <row r="454" spans="1:49">
      <c r="A454" s="2" t="str">
        <f>'Reference Score Calculation'!A445</f>
        <v>JSSW02</v>
      </c>
      <c r="B454" s="346" t="str">
        <f>'Reference Score Calculation'!B445</f>
        <v>JSSW02</v>
      </c>
      <c r="C454" s="21" t="str">
        <f>'Reference Score Calculation'!E445</f>
        <v>航運服務及營運管理學士（榮譽）</v>
      </c>
      <c r="D454" s="16">
        <f>'Reference Score Calculation'!U445</f>
        <v>10</v>
      </c>
      <c r="L454" s="90">
        <v>3</v>
      </c>
      <c r="M454" s="90">
        <v>3</v>
      </c>
      <c r="N454" s="90">
        <v>2</v>
      </c>
      <c r="O454" s="90">
        <v>1</v>
      </c>
      <c r="P454" s="90">
        <v>2</v>
      </c>
      <c r="Q454" s="90"/>
      <c r="S454" s="16">
        <f t="shared" si="184"/>
        <v>0</v>
      </c>
      <c r="T454" s="16">
        <f t="shared" si="184"/>
        <v>0</v>
      </c>
      <c r="U454" s="16">
        <f t="shared" si="184"/>
        <v>0</v>
      </c>
      <c r="V454" s="16">
        <f t="shared" si="184"/>
        <v>0</v>
      </c>
      <c r="W454" s="16">
        <f>IF(P454&gt;LARGE($Q$3:$T$3,1),0,1)</f>
        <v>0</v>
      </c>
      <c r="Z454" s="16">
        <f t="shared" si="167"/>
        <v>0</v>
      </c>
      <c r="AB454" s="16" t="s">
        <v>393</v>
      </c>
      <c r="AC454" s="16" t="s">
        <v>393</v>
      </c>
      <c r="AD454" s="16" t="s">
        <v>419</v>
      </c>
      <c r="AF454" s="21" t="s">
        <v>394</v>
      </c>
      <c r="AG454" s="21" t="s">
        <v>324</v>
      </c>
      <c r="AI454" s="116"/>
      <c r="AJ454" s="158" t="s">
        <v>599</v>
      </c>
      <c r="AK454" s="116"/>
      <c r="AL454" s="116"/>
      <c r="AM454" s="116"/>
      <c r="AN454" s="116"/>
      <c r="AO454" s="116"/>
      <c r="AP454" s="116"/>
      <c r="AQ454" s="102"/>
      <c r="AR454" s="102"/>
    </row>
    <row r="455" spans="1:49">
      <c r="A455" s="2" t="str">
        <f>'Reference Score Calculation'!A446</f>
        <v>JSSY01</v>
      </c>
      <c r="B455" s="346" t="str">
        <f>'Reference Score Calculation'!B446</f>
        <v>JSSY01</v>
      </c>
      <c r="C455" s="21" t="str">
        <f>'Reference Score Calculation'!E446</f>
        <v>金融科技（榮譽）商學士</v>
      </c>
      <c r="D455" s="16">
        <f>'Reference Score Calculation'!U446</f>
        <v>25</v>
      </c>
      <c r="E455" s="16">
        <v>3</v>
      </c>
      <c r="F455" s="16">
        <v>3</v>
      </c>
      <c r="G455" s="16">
        <v>2</v>
      </c>
      <c r="H455" s="16">
        <v>2</v>
      </c>
      <c r="I455" s="16">
        <v>2</v>
      </c>
      <c r="L455" s="90">
        <v>3</v>
      </c>
      <c r="M455" s="90">
        <v>3</v>
      </c>
      <c r="N455" s="90">
        <v>2</v>
      </c>
      <c r="O455" s="90">
        <v>1</v>
      </c>
      <c r="P455" s="90">
        <v>2</v>
      </c>
      <c r="Q455" s="90"/>
      <c r="S455" s="16">
        <f>IF(L455&gt;L$3,0,1)</f>
        <v>0</v>
      </c>
      <c r="T455" s="16">
        <f>IF(M455&gt;M$3,0,1)</f>
        <v>0</v>
      </c>
      <c r="U455" s="16">
        <f>IF(N455&gt;N$3,0,IF(N$3&lt;3,2,1))</f>
        <v>0</v>
      </c>
      <c r="V455" s="16">
        <f>IF(O455&gt;O$3,0,1)</f>
        <v>0</v>
      </c>
      <c r="W455" s="16">
        <f>IF(P455&gt;LARGE($P$3:$U$3,1),0,IF(AQ446&lt;3,2,1))</f>
        <v>0</v>
      </c>
      <c r="Z455" s="16">
        <f t="shared" si="167"/>
        <v>0</v>
      </c>
      <c r="AB455" s="16" t="s">
        <v>419</v>
      </c>
      <c r="AC455" s="16" t="s">
        <v>420</v>
      </c>
      <c r="AD455" s="16" t="s">
        <v>419</v>
      </c>
      <c r="AF455" s="21" t="s">
        <v>601</v>
      </c>
      <c r="AG455" s="21" t="s">
        <v>324</v>
      </c>
      <c r="AI455" s="116"/>
      <c r="AJ455" s="116"/>
      <c r="AK455" s="116"/>
      <c r="AL455" s="116"/>
      <c r="AM455" s="116"/>
      <c r="AN455" s="116"/>
      <c r="AO455" s="116"/>
      <c r="AP455" s="102"/>
      <c r="AQ455" s="102"/>
      <c r="AR455" s="102"/>
    </row>
    <row r="456" spans="1:49">
      <c r="A456" s="2" t="str">
        <f>'Reference Score Calculation'!A447</f>
        <v>JSSY02</v>
      </c>
      <c r="B456" s="346" t="str">
        <f>'Reference Score Calculation'!B447</f>
        <v>JSSY02</v>
      </c>
      <c r="C456" s="21" t="str">
        <f>'Reference Score Calculation'!E447</f>
        <v>應用數據科學（榮譽）理學士</v>
      </c>
      <c r="D456" s="16">
        <f>'Reference Score Calculation'!U447</f>
        <v>30</v>
      </c>
      <c r="L456" s="90">
        <v>3</v>
      </c>
      <c r="M456" s="90">
        <v>3</v>
      </c>
      <c r="N456" s="90">
        <v>2</v>
      </c>
      <c r="O456" s="90">
        <v>1</v>
      </c>
      <c r="P456" s="90">
        <v>2</v>
      </c>
      <c r="Q456" s="90"/>
      <c r="S456" s="16">
        <f>IF(L456&gt;L$3,0,1)</f>
        <v>0</v>
      </c>
      <c r="T456" s="16">
        <f>IF(M456&gt;M$3,0,1)</f>
        <v>0</v>
      </c>
      <c r="U456" s="16">
        <f>IF(N456&gt;N$3,0,1)</f>
        <v>0</v>
      </c>
      <c r="V456" s="16">
        <f>IF(O456&gt;O$3,0,1)</f>
        <v>0</v>
      </c>
      <c r="W456" s="16">
        <f>IF(P456&gt;LARGE($P$3:$U$3,1),0,IF($AQ$449&lt;4,2,1))</f>
        <v>0</v>
      </c>
      <c r="Z456" s="16">
        <f t="shared" si="167"/>
        <v>0</v>
      </c>
      <c r="AB456" s="16" t="s">
        <v>419</v>
      </c>
      <c r="AC456" s="16" t="s">
        <v>420</v>
      </c>
      <c r="AD456" s="16" t="s">
        <v>419</v>
      </c>
      <c r="AF456" s="21" t="s">
        <v>3271</v>
      </c>
      <c r="AG456" s="21" t="s">
        <v>324</v>
      </c>
    </row>
  </sheetData>
  <phoneticPr fontId="3" type="noConversion"/>
  <conditionalFormatting sqref="E22:J35 E37:J40 E42:J43 E45:J46 E48:J50 E52:J73 E76:J125 E210:J229 E231:J231 E239:J420 E423:J425 E427:J434 E436:J453 E455:J455 E460:J539">
    <cfRule type="expression" dxfId="29" priority="36" stopIfTrue="1">
      <formula>E22&lt;&gt;L22</formula>
    </cfRule>
    <cfRule type="expression" dxfId="28" priority="21720">
      <formula>E22=L22</formula>
    </cfRule>
  </conditionalFormatting>
  <conditionalFormatting sqref="E127:J208">
    <cfRule type="expression" dxfId="27" priority="4" stopIfTrue="1">
      <formula>E127&lt;&gt;L127</formula>
    </cfRule>
    <cfRule type="expression" dxfId="26" priority="8">
      <formula>E127=L127</formula>
    </cfRule>
  </conditionalFormatting>
  <conditionalFormatting sqref="L82:N82 P82:Q82 L83:Q105 L106:N106 P106:Q106 L154:Q342 L343:P343 L344:Q354 L355:P355 L356:Q370 L371:P399 Q372:Q399 L400:Q456">
    <cfRule type="expression" dxfId="25" priority="251">
      <formula>S82=0</formula>
    </cfRule>
    <cfRule type="expression" dxfId="24" priority="252">
      <formula>S82=2</formula>
    </cfRule>
    <cfRule type="expression" dxfId="23" priority="253">
      <formula>S82=1</formula>
    </cfRule>
  </conditionalFormatting>
  <conditionalFormatting sqref="L153:N153 P153:Q153">
    <cfRule type="expression" dxfId="22" priority="1">
      <formula>S153=0</formula>
    </cfRule>
    <cfRule type="expression" dxfId="21" priority="2">
      <formula>S153=2</formula>
    </cfRule>
    <cfRule type="expression" dxfId="20" priority="3">
      <formula>S153=1</formula>
    </cfRule>
  </conditionalFormatting>
  <conditionalFormatting sqref="L22:Q81">
    <cfRule type="expression" dxfId="19" priority="15">
      <formula>S22=0</formula>
    </cfRule>
    <cfRule type="expression" dxfId="18" priority="16">
      <formula>S22=2</formula>
    </cfRule>
    <cfRule type="expression" dxfId="17" priority="17">
      <formula>S22=1</formula>
    </cfRule>
  </conditionalFormatting>
  <conditionalFormatting sqref="L107:Q152">
    <cfRule type="expression" dxfId="16" priority="5">
      <formula>S107=0</formula>
    </cfRule>
    <cfRule type="expression" dxfId="15" priority="6">
      <formula>S107=2</formula>
    </cfRule>
    <cfRule type="expression" dxfId="14" priority="7">
      <formula>S107=1</formula>
    </cfRule>
  </conditionalFormatting>
  <conditionalFormatting sqref="S343:W343">
    <cfRule type="expression" dxfId="13" priority="33">
      <formula>Z343=0</formula>
    </cfRule>
    <cfRule type="expression" dxfId="12" priority="34">
      <formula>Z343=2</formula>
    </cfRule>
    <cfRule type="expression" dxfId="11" priority="35">
      <formula>Z343=1</formula>
    </cfRule>
  </conditionalFormatting>
  <conditionalFormatting sqref="S22:X81 Z22:Z456 S82:U82 W82:X82 S83:X105 S106:U106 W106:X106 S107:X152 S153:U153 W153:X153 S154:X342 S344:X354 S355:W355 S356:X456">
    <cfRule type="cellIs" dxfId="10" priority="41" operator="equal">
      <formula>0</formula>
    </cfRule>
    <cfRule type="cellIs" dxfId="9" priority="42" operator="equal">
      <formula>2</formula>
    </cfRule>
    <cfRule type="cellIs" dxfId="8" priority="43" operator="equal">
      <formula>1</formula>
    </cfRule>
  </conditionalFormatting>
  <conditionalFormatting sqref="AJ109:AS109">
    <cfRule type="cellIs" dxfId="7" priority="14" operator="equal">
      <formula>TRUE</formula>
    </cfRule>
  </conditionalFormatting>
  <pageMargins left="0.7" right="0.7" top="0.75" bottom="0.75" header="0.3" footer="0.3"/>
  <pageSetup paperSize="9" orientation="portrait" horizontalDpi="1200" verticalDpi="1200"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18"/>
  <dimension ref="A1:X468"/>
  <sheetViews>
    <sheetView topLeftCell="A101" zoomScale="85" zoomScaleNormal="85" workbookViewId="0">
      <selection activeCell="N451" sqref="N451"/>
    </sheetView>
  </sheetViews>
  <sheetFormatPr defaultColWidth="9" defaultRowHeight="16.2" customHeight="1"/>
  <cols>
    <col min="1" max="4" width="9" style="419"/>
    <col min="5" max="5" width="14.8984375" style="419" customWidth="1"/>
    <col min="6" max="12" width="9" style="419"/>
    <col min="13" max="13" width="10.19921875" style="419" customWidth="1"/>
    <col min="14" max="14" width="67.3984375" style="419" customWidth="1"/>
    <col min="15" max="16384" width="9" style="419"/>
  </cols>
  <sheetData>
    <row r="1" spans="1:16" ht="16.2" customHeight="1">
      <c r="A1" s="419">
        <v>2024</v>
      </c>
      <c r="B1" s="199" t="s">
        <v>1889</v>
      </c>
      <c r="C1" s="199" t="s">
        <v>709</v>
      </c>
      <c r="D1" s="199" t="s">
        <v>710</v>
      </c>
      <c r="E1" s="199" t="s">
        <v>711</v>
      </c>
      <c r="F1" s="199" t="s">
        <v>712</v>
      </c>
      <c r="G1" s="199"/>
      <c r="H1" s="199"/>
      <c r="I1" s="199"/>
      <c r="J1" s="419">
        <v>2025</v>
      </c>
      <c r="K1" s="419" t="s">
        <v>1889</v>
      </c>
      <c r="L1" s="419" t="s">
        <v>709</v>
      </c>
      <c r="M1" s="199" t="s">
        <v>710</v>
      </c>
      <c r="N1" s="419" t="s">
        <v>2545</v>
      </c>
      <c r="O1" s="419" t="s">
        <v>712</v>
      </c>
    </row>
    <row r="2" spans="1:16" ht="16.2" customHeight="1">
      <c r="A2" s="419">
        <v>2024</v>
      </c>
      <c r="B2" s="199" t="s">
        <v>1889</v>
      </c>
      <c r="C2" s="199" t="s">
        <v>717</v>
      </c>
      <c r="D2" s="199" t="s">
        <v>710</v>
      </c>
      <c r="E2" s="199" t="s">
        <v>718</v>
      </c>
      <c r="F2" s="199" t="s">
        <v>719</v>
      </c>
      <c r="G2" s="199"/>
      <c r="H2" s="199"/>
      <c r="I2" s="199"/>
      <c r="J2" s="419">
        <v>2025</v>
      </c>
      <c r="K2" s="419" t="s">
        <v>1889</v>
      </c>
      <c r="L2" s="419" t="s">
        <v>717</v>
      </c>
      <c r="M2" s="199" t="s">
        <v>710</v>
      </c>
      <c r="N2" s="419" t="s">
        <v>2546</v>
      </c>
      <c r="O2" s="419" t="s">
        <v>719</v>
      </c>
    </row>
    <row r="3" spans="1:16" ht="16.2" customHeight="1">
      <c r="A3" s="419">
        <v>2024</v>
      </c>
      <c r="B3" s="199" t="s">
        <v>1889</v>
      </c>
      <c r="C3" s="199" t="s">
        <v>721</v>
      </c>
      <c r="D3" s="199" t="s">
        <v>710</v>
      </c>
      <c r="E3" s="199" t="s">
        <v>722</v>
      </c>
      <c r="F3" s="199" t="s">
        <v>723</v>
      </c>
      <c r="G3" s="199"/>
      <c r="H3" s="199"/>
      <c r="I3" s="199"/>
      <c r="J3" s="419">
        <v>2025</v>
      </c>
      <c r="K3" s="419" t="s">
        <v>1889</v>
      </c>
      <c r="L3" s="419" t="s">
        <v>721</v>
      </c>
      <c r="M3" s="199" t="s">
        <v>710</v>
      </c>
      <c r="N3" s="419" t="s">
        <v>2547</v>
      </c>
      <c r="O3" s="419" t="s">
        <v>723</v>
      </c>
    </row>
    <row r="4" spans="1:16" ht="16.2" customHeight="1">
      <c r="A4" s="419">
        <v>2024</v>
      </c>
      <c r="B4" s="199" t="s">
        <v>1889</v>
      </c>
      <c r="C4" s="199" t="s">
        <v>726</v>
      </c>
      <c r="D4" s="199" t="s">
        <v>710</v>
      </c>
      <c r="E4" s="199" t="s">
        <v>727</v>
      </c>
      <c r="F4" s="199" t="s">
        <v>728</v>
      </c>
      <c r="G4" s="199"/>
      <c r="H4" s="199"/>
      <c r="I4" s="199"/>
      <c r="J4" s="419">
        <v>2025</v>
      </c>
      <c r="K4" s="419" t="s">
        <v>1889</v>
      </c>
      <c r="L4" s="419" t="s">
        <v>726</v>
      </c>
      <c r="M4" s="199" t="s">
        <v>710</v>
      </c>
      <c r="N4" s="419" t="s">
        <v>2548</v>
      </c>
      <c r="O4" s="419" t="s">
        <v>728</v>
      </c>
    </row>
    <row r="5" spans="1:16" ht="16.2" customHeight="1">
      <c r="A5" s="419">
        <v>2024</v>
      </c>
      <c r="B5" s="199" t="s">
        <v>1889</v>
      </c>
      <c r="C5" s="199" t="s">
        <v>730</v>
      </c>
      <c r="D5" s="199" t="s">
        <v>710</v>
      </c>
      <c r="E5" s="199" t="s">
        <v>731</v>
      </c>
      <c r="F5" s="199" t="s">
        <v>733</v>
      </c>
      <c r="G5" s="199"/>
      <c r="H5" s="199"/>
      <c r="I5" s="199"/>
      <c r="J5" s="419">
        <v>2025</v>
      </c>
      <c r="K5" s="419" t="s">
        <v>1889</v>
      </c>
      <c r="L5" s="419" t="s">
        <v>730</v>
      </c>
      <c r="M5" s="199" t="s">
        <v>710</v>
      </c>
      <c r="N5" s="419" t="s">
        <v>2549</v>
      </c>
      <c r="O5" s="419" t="s">
        <v>733</v>
      </c>
    </row>
    <row r="6" spans="1:16" ht="16.2" customHeight="1">
      <c r="A6" s="419">
        <v>2024</v>
      </c>
      <c r="B6" s="199" t="s">
        <v>1889</v>
      </c>
      <c r="C6" s="199" t="s">
        <v>736</v>
      </c>
      <c r="D6" s="199" t="s">
        <v>710</v>
      </c>
      <c r="E6" s="199" t="s">
        <v>737</v>
      </c>
      <c r="F6" s="199" t="s">
        <v>738</v>
      </c>
      <c r="G6" s="199"/>
      <c r="H6" s="199"/>
      <c r="I6" s="199"/>
      <c r="J6" s="419">
        <v>2025</v>
      </c>
      <c r="K6" s="419" t="s">
        <v>1889</v>
      </c>
      <c r="L6" s="419" t="s">
        <v>736</v>
      </c>
      <c r="M6" s="199" t="s">
        <v>710</v>
      </c>
      <c r="N6" s="419" t="s">
        <v>2550</v>
      </c>
      <c r="O6" s="419" t="s">
        <v>738</v>
      </c>
    </row>
    <row r="7" spans="1:16" ht="16.2" customHeight="1">
      <c r="A7" s="419">
        <v>2024</v>
      </c>
      <c r="B7" s="199" t="s">
        <v>1889</v>
      </c>
      <c r="C7" s="199" t="s">
        <v>741</v>
      </c>
      <c r="D7" s="199" t="s">
        <v>710</v>
      </c>
      <c r="E7" s="199" t="s">
        <v>742</v>
      </c>
      <c r="F7" s="199" t="s">
        <v>743</v>
      </c>
      <c r="G7" s="199"/>
      <c r="H7" s="199"/>
      <c r="I7" s="199"/>
      <c r="J7" s="419">
        <v>2025</v>
      </c>
      <c r="K7" s="419" t="s">
        <v>1889</v>
      </c>
      <c r="L7" s="419" t="s">
        <v>741</v>
      </c>
      <c r="M7" s="199" t="s">
        <v>710</v>
      </c>
      <c r="N7" s="419" t="s">
        <v>2551</v>
      </c>
      <c r="O7" s="419" t="s">
        <v>743</v>
      </c>
    </row>
    <row r="8" spans="1:16" ht="16.2" customHeight="1">
      <c r="A8" s="419">
        <v>2024</v>
      </c>
      <c r="B8" s="199" t="s">
        <v>1889</v>
      </c>
      <c r="C8" s="199" t="s">
        <v>744</v>
      </c>
      <c r="D8" s="199" t="s">
        <v>710</v>
      </c>
      <c r="E8" s="199" t="s">
        <v>745</v>
      </c>
      <c r="F8" s="199" t="s">
        <v>746</v>
      </c>
      <c r="G8" s="199"/>
      <c r="H8" s="199"/>
      <c r="I8" s="199"/>
      <c r="J8" s="419">
        <v>2025</v>
      </c>
      <c r="K8" s="419" t="s">
        <v>1889</v>
      </c>
      <c r="L8" s="419" t="s">
        <v>744</v>
      </c>
      <c r="M8" s="199" t="s">
        <v>710</v>
      </c>
      <c r="N8" s="419" t="s">
        <v>2552</v>
      </c>
      <c r="O8" s="419" t="s">
        <v>746</v>
      </c>
    </row>
    <row r="9" spans="1:16" ht="16.2" customHeight="1">
      <c r="A9" s="419">
        <v>2024</v>
      </c>
      <c r="B9" s="199" t="s">
        <v>1889</v>
      </c>
      <c r="C9" s="199" t="s">
        <v>747</v>
      </c>
      <c r="D9" s="199" t="s">
        <v>710</v>
      </c>
      <c r="E9" s="199" t="s">
        <v>748</v>
      </c>
      <c r="F9" s="199" t="s">
        <v>164</v>
      </c>
      <c r="G9" s="199"/>
      <c r="H9" s="199"/>
      <c r="I9" s="199"/>
      <c r="J9" s="419">
        <v>2025</v>
      </c>
      <c r="K9" s="419" t="s">
        <v>1889</v>
      </c>
      <c r="L9" s="419" t="s">
        <v>747</v>
      </c>
      <c r="M9" s="199" t="s">
        <v>710</v>
      </c>
      <c r="N9" s="419" t="s">
        <v>2553</v>
      </c>
      <c r="O9" s="419" t="s">
        <v>164</v>
      </c>
    </row>
    <row r="10" spans="1:16" ht="16.2" customHeight="1">
      <c r="A10" s="419">
        <v>2024</v>
      </c>
      <c r="B10" s="199" t="s">
        <v>1889</v>
      </c>
      <c r="C10" s="199" t="s">
        <v>749</v>
      </c>
      <c r="D10" s="199" t="s">
        <v>710</v>
      </c>
      <c r="E10" s="199" t="s">
        <v>750</v>
      </c>
      <c r="F10" s="199" t="s">
        <v>751</v>
      </c>
      <c r="G10" s="199"/>
      <c r="H10" s="199"/>
      <c r="I10" s="199"/>
      <c r="J10" s="419">
        <v>2025</v>
      </c>
      <c r="K10" s="419" t="s">
        <v>1889</v>
      </c>
      <c r="L10" s="419" t="s">
        <v>749</v>
      </c>
      <c r="M10" s="199" t="s">
        <v>710</v>
      </c>
      <c r="N10" s="419" t="s">
        <v>2554</v>
      </c>
      <c r="O10" s="419" t="s">
        <v>751</v>
      </c>
    </row>
    <row r="11" spans="1:16" ht="16.2" customHeight="1">
      <c r="A11" s="419">
        <v>2024</v>
      </c>
      <c r="B11" s="199" t="s">
        <v>1889</v>
      </c>
      <c r="C11" s="199" t="s">
        <v>752</v>
      </c>
      <c r="D11" s="199" t="s">
        <v>710</v>
      </c>
      <c r="E11" s="199" t="s">
        <v>753</v>
      </c>
      <c r="F11" s="199" t="s">
        <v>754</v>
      </c>
      <c r="G11" s="199"/>
      <c r="H11" s="199"/>
      <c r="I11" s="199"/>
      <c r="J11" s="419">
        <v>2025</v>
      </c>
      <c r="K11" s="419" t="s">
        <v>1889</v>
      </c>
      <c r="L11" s="419" t="s">
        <v>752</v>
      </c>
      <c r="M11" s="199" t="s">
        <v>710</v>
      </c>
      <c r="N11" s="419" t="s">
        <v>2555</v>
      </c>
      <c r="O11" s="419" t="s">
        <v>754</v>
      </c>
    </row>
    <row r="12" spans="1:16" ht="16.2" customHeight="1">
      <c r="A12" s="419">
        <v>2024</v>
      </c>
      <c r="B12" s="199" t="s">
        <v>1889</v>
      </c>
      <c r="C12" s="199" t="s">
        <v>755</v>
      </c>
      <c r="D12" s="199" t="s">
        <v>710</v>
      </c>
      <c r="E12" s="199" t="s">
        <v>756</v>
      </c>
      <c r="F12" s="199" t="s">
        <v>757</v>
      </c>
      <c r="G12" s="199"/>
      <c r="H12" s="199"/>
      <c r="I12" s="199"/>
      <c r="J12" s="419">
        <v>2025</v>
      </c>
      <c r="K12" s="419" t="s">
        <v>1889</v>
      </c>
      <c r="L12" s="419" t="s">
        <v>755</v>
      </c>
      <c r="M12" s="199" t="s">
        <v>710</v>
      </c>
      <c r="N12" s="419" t="s">
        <v>2557</v>
      </c>
      <c r="O12" s="419" t="s">
        <v>2556</v>
      </c>
    </row>
    <row r="13" spans="1:16" ht="16.2" customHeight="1">
      <c r="A13" s="419">
        <v>2024</v>
      </c>
      <c r="B13" s="199" t="s">
        <v>1889</v>
      </c>
      <c r="C13" s="199" t="s">
        <v>759</v>
      </c>
      <c r="D13" s="199" t="s">
        <v>710</v>
      </c>
      <c r="E13" s="199" t="s">
        <v>760</v>
      </c>
      <c r="F13" s="199" t="s">
        <v>761</v>
      </c>
      <c r="G13" s="199"/>
      <c r="H13" s="199"/>
      <c r="I13" s="199"/>
      <c r="J13" s="419">
        <v>2025</v>
      </c>
      <c r="K13" s="419" t="s">
        <v>1889</v>
      </c>
      <c r="L13" s="419" t="s">
        <v>759</v>
      </c>
      <c r="M13" s="199" t="s">
        <v>710</v>
      </c>
      <c r="N13" s="419" t="s">
        <v>2558</v>
      </c>
      <c r="O13" s="419" t="s">
        <v>2105</v>
      </c>
    </row>
    <row r="14" spans="1:16" ht="16.2" customHeight="1">
      <c r="A14" s="419">
        <v>2024</v>
      </c>
      <c r="B14" s="199" t="s">
        <v>1889</v>
      </c>
      <c r="C14" s="199" t="s">
        <v>762</v>
      </c>
      <c r="D14" s="199" t="s">
        <v>710</v>
      </c>
      <c r="E14" s="199" t="s">
        <v>763</v>
      </c>
      <c r="F14" s="199" t="s">
        <v>764</v>
      </c>
      <c r="G14" s="199"/>
      <c r="H14" s="199"/>
      <c r="I14" s="199"/>
      <c r="J14" s="419">
        <v>2025</v>
      </c>
      <c r="K14" s="419" t="s">
        <v>1889</v>
      </c>
      <c r="L14" s="419" t="s">
        <v>762</v>
      </c>
      <c r="M14" s="199" t="s">
        <v>710</v>
      </c>
      <c r="N14" s="419" t="s">
        <v>2559</v>
      </c>
      <c r="O14" s="419" t="s">
        <v>2106</v>
      </c>
    </row>
    <row r="15" spans="1:16" ht="16.2" customHeight="1">
      <c r="B15" s="199"/>
      <c r="C15" s="199"/>
      <c r="D15" s="199"/>
      <c r="E15" s="199"/>
      <c r="F15" s="199"/>
      <c r="G15" s="199"/>
      <c r="H15" s="199"/>
      <c r="I15" s="199"/>
      <c r="J15" s="326">
        <v>2025</v>
      </c>
      <c r="K15" s="326" t="s">
        <v>1889</v>
      </c>
      <c r="L15" s="326" t="s">
        <v>2560</v>
      </c>
      <c r="M15" s="327" t="s">
        <v>766</v>
      </c>
      <c r="N15" s="326" t="s">
        <v>2562</v>
      </c>
      <c r="O15" s="326" t="s">
        <v>2561</v>
      </c>
      <c r="P15" s="326"/>
    </row>
    <row r="16" spans="1:16" ht="16.2" customHeight="1">
      <c r="A16" s="419">
        <v>2024</v>
      </c>
      <c r="B16" s="199" t="s">
        <v>1889</v>
      </c>
      <c r="C16" s="199" t="s">
        <v>765</v>
      </c>
      <c r="D16" s="199" t="s">
        <v>766</v>
      </c>
      <c r="E16" s="199" t="s">
        <v>767</v>
      </c>
      <c r="F16" s="199" t="s">
        <v>769</v>
      </c>
      <c r="G16" s="199"/>
      <c r="H16" s="199"/>
      <c r="I16" s="199"/>
      <c r="J16" s="419">
        <v>2025</v>
      </c>
      <c r="K16" s="419" t="s">
        <v>1889</v>
      </c>
      <c r="L16" s="419" t="s">
        <v>765</v>
      </c>
      <c r="M16" s="199" t="s">
        <v>766</v>
      </c>
      <c r="N16" s="419" t="s">
        <v>2563</v>
      </c>
      <c r="O16" s="419" t="s">
        <v>769</v>
      </c>
    </row>
    <row r="17" spans="1:15" ht="16.2" customHeight="1">
      <c r="A17" s="419">
        <v>2024</v>
      </c>
      <c r="B17" s="199" t="s">
        <v>1889</v>
      </c>
      <c r="C17" s="199" t="s">
        <v>773</v>
      </c>
      <c r="D17" s="199" t="s">
        <v>766</v>
      </c>
      <c r="E17" s="199" t="s">
        <v>774</v>
      </c>
      <c r="F17" s="199" t="s">
        <v>775</v>
      </c>
      <c r="G17" s="199"/>
      <c r="H17" s="199"/>
      <c r="I17" s="199"/>
      <c r="J17" s="419">
        <v>2025</v>
      </c>
      <c r="K17" s="419" t="s">
        <v>1889</v>
      </c>
      <c r="L17" s="419" t="s">
        <v>773</v>
      </c>
      <c r="M17" s="199" t="s">
        <v>766</v>
      </c>
      <c r="N17" s="419" t="s">
        <v>2564</v>
      </c>
      <c r="O17" s="419" t="s">
        <v>775</v>
      </c>
    </row>
    <row r="18" spans="1:15" ht="16.2" customHeight="1">
      <c r="A18" s="419">
        <v>2024</v>
      </c>
      <c r="B18" s="199" t="s">
        <v>1889</v>
      </c>
      <c r="C18" s="199" t="s">
        <v>776</v>
      </c>
      <c r="D18" s="199" t="s">
        <v>766</v>
      </c>
      <c r="E18" s="199" t="s">
        <v>777</v>
      </c>
      <c r="F18" s="199" t="s">
        <v>779</v>
      </c>
      <c r="G18" s="199"/>
      <c r="H18" s="199"/>
      <c r="I18" s="199"/>
      <c r="J18" s="419">
        <v>2025</v>
      </c>
      <c r="K18" s="419" t="s">
        <v>1889</v>
      </c>
      <c r="L18" s="419" t="s">
        <v>776</v>
      </c>
      <c r="M18" s="199" t="s">
        <v>766</v>
      </c>
      <c r="N18" s="419" t="s">
        <v>2565</v>
      </c>
      <c r="O18" s="419" t="s">
        <v>779</v>
      </c>
    </row>
    <row r="19" spans="1:15" ht="16.2" customHeight="1">
      <c r="A19" s="419">
        <v>2024</v>
      </c>
      <c r="B19" s="199" t="s">
        <v>1889</v>
      </c>
      <c r="C19" s="199" t="s">
        <v>781</v>
      </c>
      <c r="D19" s="199" t="s">
        <v>766</v>
      </c>
      <c r="E19" s="199" t="s">
        <v>782</v>
      </c>
      <c r="F19" s="199" t="s">
        <v>784</v>
      </c>
      <c r="G19" s="199"/>
      <c r="H19" s="199"/>
      <c r="I19" s="199"/>
      <c r="J19" s="419">
        <v>2025</v>
      </c>
      <c r="K19" s="419" t="s">
        <v>1889</v>
      </c>
      <c r="L19" s="419" t="s">
        <v>781</v>
      </c>
      <c r="M19" s="199" t="s">
        <v>766</v>
      </c>
      <c r="N19" s="419" t="s">
        <v>2566</v>
      </c>
      <c r="O19" s="419" t="s">
        <v>784</v>
      </c>
    </row>
    <row r="20" spans="1:15" ht="16.2" customHeight="1">
      <c r="B20" s="199"/>
      <c r="C20" s="199"/>
      <c r="D20" s="199"/>
      <c r="E20" s="199"/>
      <c r="F20" s="199"/>
      <c r="G20" s="199"/>
      <c r="H20" s="199"/>
      <c r="I20" s="199"/>
      <c r="J20" s="326">
        <v>2025</v>
      </c>
      <c r="K20" s="326" t="s">
        <v>1889</v>
      </c>
      <c r="L20" s="326" t="s">
        <v>2567</v>
      </c>
      <c r="M20" s="327" t="s">
        <v>788</v>
      </c>
      <c r="N20" s="326" t="s">
        <v>2569</v>
      </c>
      <c r="O20" s="326" t="s">
        <v>2568</v>
      </c>
    </row>
    <row r="21" spans="1:15" ht="16.2" customHeight="1">
      <c r="A21" s="419">
        <v>2024</v>
      </c>
      <c r="B21" s="199" t="s">
        <v>1889</v>
      </c>
      <c r="C21" s="199" t="s">
        <v>787</v>
      </c>
      <c r="D21" s="199" t="s">
        <v>788</v>
      </c>
      <c r="E21" s="199" t="s">
        <v>789</v>
      </c>
      <c r="F21" s="199" t="s">
        <v>791</v>
      </c>
      <c r="G21" s="199"/>
      <c r="H21" s="199"/>
      <c r="I21" s="199"/>
      <c r="J21" s="419">
        <v>2025</v>
      </c>
      <c r="K21" s="419" t="s">
        <v>1889</v>
      </c>
      <c r="L21" s="419" t="s">
        <v>787</v>
      </c>
      <c r="M21" s="199" t="s">
        <v>788</v>
      </c>
      <c r="N21" s="419" t="s">
        <v>2570</v>
      </c>
      <c r="O21" s="419" t="s">
        <v>791</v>
      </c>
    </row>
    <row r="22" spans="1:15" ht="16.2" customHeight="1">
      <c r="A22" s="419">
        <v>2024</v>
      </c>
      <c r="B22" s="199" t="s">
        <v>1889</v>
      </c>
      <c r="C22" s="199" t="s">
        <v>2107</v>
      </c>
      <c r="D22" s="199" t="s">
        <v>788</v>
      </c>
      <c r="E22" s="199" t="s">
        <v>2109</v>
      </c>
      <c r="F22" s="199" t="s">
        <v>2108</v>
      </c>
      <c r="G22" s="199"/>
      <c r="H22" s="199"/>
      <c r="I22" s="199"/>
      <c r="J22" s="419">
        <v>2025</v>
      </c>
      <c r="K22" s="419" t="s">
        <v>1889</v>
      </c>
      <c r="L22" s="419" t="s">
        <v>2107</v>
      </c>
      <c r="M22" s="199" t="s">
        <v>788</v>
      </c>
      <c r="N22" s="419" t="s">
        <v>2571</v>
      </c>
      <c r="O22" s="419" t="s">
        <v>2108</v>
      </c>
    </row>
    <row r="23" spans="1:15" ht="16.2" customHeight="1">
      <c r="B23" s="199"/>
      <c r="C23" s="199"/>
      <c r="D23" s="199"/>
      <c r="E23" s="199"/>
      <c r="F23" s="199"/>
      <c r="G23" s="199"/>
      <c r="H23" s="199"/>
      <c r="I23" s="199"/>
      <c r="J23" s="326">
        <v>2025</v>
      </c>
      <c r="K23" s="326" t="s">
        <v>1889</v>
      </c>
      <c r="L23" s="326" t="s">
        <v>2572</v>
      </c>
      <c r="M23" s="327" t="s">
        <v>788</v>
      </c>
      <c r="N23" s="326" t="s">
        <v>2574</v>
      </c>
      <c r="O23" s="326" t="s">
        <v>2573</v>
      </c>
    </row>
    <row r="24" spans="1:15" ht="16.2" customHeight="1">
      <c r="A24" s="419">
        <v>2024</v>
      </c>
      <c r="B24" s="199" t="s">
        <v>1889</v>
      </c>
      <c r="C24" s="199" t="s">
        <v>795</v>
      </c>
      <c r="D24" s="199" t="s">
        <v>796</v>
      </c>
      <c r="E24" s="199" t="s">
        <v>797</v>
      </c>
      <c r="F24" s="199" t="s">
        <v>798</v>
      </c>
      <c r="G24" s="199"/>
      <c r="H24" s="199"/>
      <c r="I24" s="199"/>
      <c r="J24" s="419">
        <v>2025</v>
      </c>
      <c r="K24" s="419" t="s">
        <v>1889</v>
      </c>
      <c r="L24" s="419" t="s">
        <v>795</v>
      </c>
      <c r="M24" s="199" t="s">
        <v>796</v>
      </c>
      <c r="N24" s="419" t="s">
        <v>797</v>
      </c>
      <c r="O24" s="419" t="s">
        <v>798</v>
      </c>
    </row>
    <row r="25" spans="1:15" ht="16.2" customHeight="1">
      <c r="A25" s="419">
        <v>2024</v>
      </c>
      <c r="B25" s="199" t="s">
        <v>1889</v>
      </c>
      <c r="C25" s="199" t="s">
        <v>801</v>
      </c>
      <c r="D25" s="199" t="s">
        <v>802</v>
      </c>
      <c r="E25" s="199" t="s">
        <v>803</v>
      </c>
      <c r="F25" s="199" t="s">
        <v>804</v>
      </c>
      <c r="G25" s="199"/>
      <c r="H25" s="199"/>
      <c r="I25" s="199"/>
      <c r="J25" s="419">
        <v>2025</v>
      </c>
      <c r="K25" s="419" t="s">
        <v>1889</v>
      </c>
      <c r="L25" s="419" t="s">
        <v>801</v>
      </c>
      <c r="M25" s="199" t="s">
        <v>802</v>
      </c>
      <c r="N25" s="419" t="s">
        <v>2575</v>
      </c>
      <c r="O25" s="419" t="s">
        <v>804</v>
      </c>
    </row>
    <row r="26" spans="1:15" ht="16.2" customHeight="1">
      <c r="B26" s="199"/>
      <c r="C26" s="199"/>
      <c r="D26" s="199"/>
      <c r="E26" s="199"/>
      <c r="F26" s="199"/>
      <c r="G26" s="199"/>
      <c r="H26" s="199"/>
      <c r="I26" s="199"/>
      <c r="J26" s="326">
        <v>2025</v>
      </c>
      <c r="K26" s="326" t="s">
        <v>1889</v>
      </c>
      <c r="L26" s="326" t="s">
        <v>2576</v>
      </c>
      <c r="M26" s="326" t="s">
        <v>2925</v>
      </c>
      <c r="N26" s="326" t="s">
        <v>2578</v>
      </c>
      <c r="O26" s="326" t="s">
        <v>2577</v>
      </c>
    </row>
    <row r="27" spans="1:15" ht="16.2" customHeight="1">
      <c r="A27" s="419">
        <v>2024</v>
      </c>
      <c r="B27" s="199" t="s">
        <v>1889</v>
      </c>
      <c r="C27" s="199" t="s">
        <v>805</v>
      </c>
      <c r="D27" s="199" t="s">
        <v>806</v>
      </c>
      <c r="E27" s="199" t="s">
        <v>807</v>
      </c>
      <c r="F27" s="199" t="s">
        <v>809</v>
      </c>
      <c r="G27" s="199"/>
      <c r="H27" s="199"/>
      <c r="I27" s="199"/>
      <c r="J27" s="419">
        <v>2025</v>
      </c>
      <c r="K27" s="419" t="s">
        <v>1889</v>
      </c>
      <c r="L27" s="419" t="s">
        <v>805</v>
      </c>
      <c r="M27" s="326" t="s">
        <v>2925</v>
      </c>
      <c r="N27" s="419" t="s">
        <v>2579</v>
      </c>
      <c r="O27" s="419" t="s">
        <v>809</v>
      </c>
    </row>
    <row r="28" spans="1:15" ht="16.2" customHeight="1">
      <c r="A28" s="419">
        <v>2024</v>
      </c>
      <c r="B28" s="199" t="s">
        <v>1889</v>
      </c>
      <c r="C28" s="199" t="s">
        <v>812</v>
      </c>
      <c r="D28" s="199" t="s">
        <v>806</v>
      </c>
      <c r="E28" s="199" t="s">
        <v>813</v>
      </c>
      <c r="F28" s="199" t="s">
        <v>814</v>
      </c>
      <c r="G28" s="199"/>
      <c r="H28" s="199"/>
      <c r="I28" s="199"/>
      <c r="J28" s="419">
        <v>2025</v>
      </c>
      <c r="K28" s="419" t="s">
        <v>1889</v>
      </c>
      <c r="L28" s="419" t="s">
        <v>812</v>
      </c>
      <c r="M28" s="326" t="s">
        <v>2925</v>
      </c>
      <c r="N28" s="419" t="s">
        <v>2580</v>
      </c>
      <c r="O28" s="419" t="s">
        <v>814</v>
      </c>
    </row>
    <row r="29" spans="1:15" ht="16.2" customHeight="1">
      <c r="A29" s="419">
        <v>2024</v>
      </c>
      <c r="B29" s="199" t="s">
        <v>1889</v>
      </c>
      <c r="C29" s="199" t="s">
        <v>815</v>
      </c>
      <c r="D29" s="199" t="s">
        <v>806</v>
      </c>
      <c r="E29" s="199" t="s">
        <v>816</v>
      </c>
      <c r="F29" s="199" t="s">
        <v>817</v>
      </c>
      <c r="G29" s="199"/>
      <c r="H29" s="199"/>
      <c r="I29" s="199"/>
      <c r="J29" s="419">
        <v>2025</v>
      </c>
      <c r="K29" s="419" t="s">
        <v>1889</v>
      </c>
      <c r="L29" s="419" t="s">
        <v>815</v>
      </c>
      <c r="M29" s="326" t="s">
        <v>2925</v>
      </c>
      <c r="N29" s="419" t="s">
        <v>2581</v>
      </c>
      <c r="O29" s="419" t="s">
        <v>1890</v>
      </c>
    </row>
    <row r="30" spans="1:15" ht="16.2" customHeight="1">
      <c r="B30" s="199"/>
      <c r="C30" s="199"/>
      <c r="D30" s="199"/>
      <c r="E30" s="199"/>
      <c r="F30" s="199"/>
      <c r="G30" s="199"/>
      <c r="H30" s="199"/>
      <c r="I30" s="199"/>
      <c r="J30" s="326">
        <v>2025</v>
      </c>
      <c r="K30" s="326" t="s">
        <v>1889</v>
      </c>
      <c r="L30" s="326" t="s">
        <v>2582</v>
      </c>
      <c r="M30" s="327" t="s">
        <v>819</v>
      </c>
      <c r="N30" s="326" t="s">
        <v>2584</v>
      </c>
      <c r="O30" s="326" t="s">
        <v>2583</v>
      </c>
    </row>
    <row r="31" spans="1:15" ht="16.2" customHeight="1">
      <c r="A31" s="419">
        <v>2024</v>
      </c>
      <c r="B31" s="199" t="s">
        <v>1889</v>
      </c>
      <c r="C31" s="199" t="s">
        <v>818</v>
      </c>
      <c r="D31" s="199" t="s">
        <v>819</v>
      </c>
      <c r="E31" s="199" t="s">
        <v>820</v>
      </c>
      <c r="F31" s="199" t="s">
        <v>821</v>
      </c>
      <c r="G31" s="199"/>
      <c r="H31" s="199"/>
      <c r="I31" s="199"/>
      <c r="J31" s="419">
        <v>2025</v>
      </c>
      <c r="K31" s="419" t="s">
        <v>1889</v>
      </c>
      <c r="L31" s="419" t="s">
        <v>818</v>
      </c>
      <c r="M31" s="199" t="s">
        <v>819</v>
      </c>
      <c r="N31" s="419" t="s">
        <v>2585</v>
      </c>
      <c r="O31" s="419" t="s">
        <v>2110</v>
      </c>
    </row>
    <row r="32" spans="1:15" ht="16.2" customHeight="1">
      <c r="A32" s="419">
        <v>2024</v>
      </c>
      <c r="B32" s="199" t="s">
        <v>1889</v>
      </c>
      <c r="C32" s="199" t="s">
        <v>822</v>
      </c>
      <c r="D32" s="199" t="s">
        <v>819</v>
      </c>
      <c r="E32" s="199" t="s">
        <v>823</v>
      </c>
      <c r="F32" s="199" t="s">
        <v>824</v>
      </c>
      <c r="G32" s="199"/>
      <c r="H32" s="199"/>
      <c r="I32" s="199"/>
      <c r="J32" s="419">
        <v>2025</v>
      </c>
      <c r="K32" s="419" t="s">
        <v>1889</v>
      </c>
      <c r="L32" s="419" t="s">
        <v>822</v>
      </c>
      <c r="M32" s="199" t="s">
        <v>819</v>
      </c>
      <c r="N32" s="419" t="s">
        <v>2586</v>
      </c>
      <c r="O32" s="419" t="s">
        <v>824</v>
      </c>
    </row>
    <row r="33" spans="1:15" ht="16.2" customHeight="1">
      <c r="A33" s="419">
        <v>2024</v>
      </c>
      <c r="B33" s="199" t="s">
        <v>1889</v>
      </c>
      <c r="C33" s="199" t="s">
        <v>826</v>
      </c>
      <c r="D33" s="199" t="s">
        <v>819</v>
      </c>
      <c r="E33" s="199" t="s">
        <v>827</v>
      </c>
      <c r="F33" s="199" t="s">
        <v>828</v>
      </c>
      <c r="G33" s="199"/>
      <c r="H33" s="199"/>
      <c r="I33" s="199"/>
      <c r="J33" s="419">
        <v>2025</v>
      </c>
      <c r="K33" s="419" t="s">
        <v>1889</v>
      </c>
      <c r="L33" s="419" t="s">
        <v>826</v>
      </c>
      <c r="M33" s="199" t="s">
        <v>819</v>
      </c>
      <c r="N33" s="419" t="s">
        <v>2587</v>
      </c>
      <c r="O33" s="419" t="s">
        <v>828</v>
      </c>
    </row>
    <row r="34" spans="1:15" ht="16.2" customHeight="1">
      <c r="A34" s="419">
        <v>2024</v>
      </c>
      <c r="B34" s="199" t="s">
        <v>1889</v>
      </c>
      <c r="C34" s="199" t="s">
        <v>830</v>
      </c>
      <c r="D34" s="199" t="s">
        <v>819</v>
      </c>
      <c r="E34" s="199" t="s">
        <v>831</v>
      </c>
      <c r="F34" s="199" t="s">
        <v>833</v>
      </c>
      <c r="G34" s="199"/>
      <c r="H34" s="199"/>
      <c r="I34" s="199"/>
      <c r="J34" s="419">
        <v>2025</v>
      </c>
      <c r="K34" s="419" t="s">
        <v>1889</v>
      </c>
      <c r="L34" s="419" t="s">
        <v>830</v>
      </c>
      <c r="M34" s="199" t="s">
        <v>819</v>
      </c>
      <c r="N34" s="419" t="s">
        <v>2588</v>
      </c>
      <c r="O34" s="419" t="s">
        <v>833</v>
      </c>
    </row>
    <row r="35" spans="1:15" ht="16.2" customHeight="1">
      <c r="A35" s="419">
        <v>2024</v>
      </c>
      <c r="B35" s="199" t="s">
        <v>1889</v>
      </c>
      <c r="C35" s="199" t="s">
        <v>836</v>
      </c>
      <c r="D35" s="199" t="s">
        <v>819</v>
      </c>
      <c r="E35" s="199" t="s">
        <v>837</v>
      </c>
      <c r="F35" s="199" t="s">
        <v>838</v>
      </c>
      <c r="G35" s="199"/>
      <c r="H35" s="199"/>
      <c r="I35" s="199"/>
      <c r="J35" s="419">
        <v>2025</v>
      </c>
      <c r="K35" s="419" t="s">
        <v>1889</v>
      </c>
      <c r="L35" s="419" t="s">
        <v>836</v>
      </c>
      <c r="M35" s="199" t="s">
        <v>819</v>
      </c>
      <c r="N35" s="419" t="s">
        <v>2590</v>
      </c>
      <c r="O35" s="419" t="s">
        <v>2589</v>
      </c>
    </row>
    <row r="36" spans="1:15" ht="16.2" customHeight="1">
      <c r="A36" s="419">
        <v>2024</v>
      </c>
      <c r="B36" s="199" t="s">
        <v>1889</v>
      </c>
      <c r="C36" s="199" t="s">
        <v>839</v>
      </c>
      <c r="D36" s="199" t="s">
        <v>819</v>
      </c>
      <c r="E36" s="199" t="s">
        <v>840</v>
      </c>
      <c r="F36" s="199" t="s">
        <v>841</v>
      </c>
      <c r="G36" s="199"/>
      <c r="H36" s="199"/>
      <c r="I36" s="199"/>
      <c r="J36" s="419">
        <v>2025</v>
      </c>
      <c r="K36" s="419" t="s">
        <v>1889</v>
      </c>
      <c r="L36" s="419" t="s">
        <v>839</v>
      </c>
      <c r="M36" s="199" t="s">
        <v>819</v>
      </c>
      <c r="N36" s="419" t="s">
        <v>2591</v>
      </c>
      <c r="O36" s="419" t="s">
        <v>841</v>
      </c>
    </row>
    <row r="37" spans="1:15" s="326" customFormat="1" ht="16.2" customHeight="1">
      <c r="A37" s="326">
        <v>2024</v>
      </c>
      <c r="B37" s="327" t="s">
        <v>1889</v>
      </c>
      <c r="C37" s="327" t="s">
        <v>845</v>
      </c>
      <c r="D37" s="327" t="s">
        <v>819</v>
      </c>
      <c r="E37" s="327" t="s">
        <v>846</v>
      </c>
      <c r="F37" s="327" t="s">
        <v>847</v>
      </c>
      <c r="G37" s="327"/>
      <c r="H37" s="327"/>
      <c r="I37" s="327"/>
    </row>
    <row r="38" spans="1:15" ht="16.2" customHeight="1">
      <c r="A38" s="419">
        <v>2024</v>
      </c>
      <c r="B38" s="199" t="s">
        <v>1889</v>
      </c>
      <c r="C38" s="199" t="s">
        <v>849</v>
      </c>
      <c r="D38" s="199" t="s">
        <v>819</v>
      </c>
      <c r="E38" s="199" t="s">
        <v>850</v>
      </c>
      <c r="F38" s="199" t="s">
        <v>851</v>
      </c>
      <c r="G38" s="199"/>
      <c r="H38" s="199"/>
      <c r="I38" s="199"/>
      <c r="J38" s="419">
        <v>2025</v>
      </c>
      <c r="K38" s="419" t="s">
        <v>1889</v>
      </c>
      <c r="L38" s="419" t="s">
        <v>849</v>
      </c>
      <c r="M38" s="199" t="s">
        <v>819</v>
      </c>
      <c r="N38" s="419" t="s">
        <v>2592</v>
      </c>
      <c r="O38" s="419" t="s">
        <v>851</v>
      </c>
    </row>
    <row r="39" spans="1:15" ht="16.2" customHeight="1">
      <c r="A39" s="419">
        <v>2024</v>
      </c>
      <c r="B39" s="199" t="s">
        <v>1889</v>
      </c>
      <c r="C39" s="199" t="s">
        <v>852</v>
      </c>
      <c r="D39" s="199" t="s">
        <v>819</v>
      </c>
      <c r="E39" s="199" t="s">
        <v>853</v>
      </c>
      <c r="F39" s="199" t="s">
        <v>854</v>
      </c>
      <c r="G39" s="199"/>
      <c r="H39" s="199"/>
      <c r="I39" s="199"/>
      <c r="J39" s="419">
        <v>2025</v>
      </c>
      <c r="K39" s="419" t="s">
        <v>1889</v>
      </c>
      <c r="L39" s="419" t="s">
        <v>852</v>
      </c>
      <c r="M39" s="199" t="s">
        <v>819</v>
      </c>
      <c r="N39" s="419" t="s">
        <v>2593</v>
      </c>
      <c r="O39" s="419" t="s">
        <v>854</v>
      </c>
    </row>
    <row r="40" spans="1:15" ht="16.2" customHeight="1">
      <c r="A40" s="419">
        <v>2024</v>
      </c>
      <c r="B40" s="199" t="s">
        <v>1889</v>
      </c>
      <c r="C40" s="199" t="s">
        <v>855</v>
      </c>
      <c r="D40" s="199" t="s">
        <v>819</v>
      </c>
      <c r="E40" s="199" t="s">
        <v>856</v>
      </c>
      <c r="F40" s="199" t="s">
        <v>857</v>
      </c>
      <c r="G40" s="199"/>
      <c r="H40" s="199"/>
      <c r="I40" s="199"/>
      <c r="J40" s="419">
        <v>2025</v>
      </c>
      <c r="K40" s="419" t="s">
        <v>1889</v>
      </c>
      <c r="L40" s="419" t="s">
        <v>855</v>
      </c>
      <c r="M40" s="199" t="s">
        <v>819</v>
      </c>
      <c r="N40" s="419" t="s">
        <v>2594</v>
      </c>
      <c r="O40" s="419" t="s">
        <v>857</v>
      </c>
    </row>
    <row r="41" spans="1:15" ht="16.2" customHeight="1">
      <c r="A41" s="326">
        <v>2024</v>
      </c>
      <c r="B41" s="327" t="s">
        <v>1889</v>
      </c>
      <c r="C41" s="327" t="s">
        <v>858</v>
      </c>
      <c r="D41" s="327" t="s">
        <v>819</v>
      </c>
      <c r="E41" s="327" t="s">
        <v>859</v>
      </c>
      <c r="F41" s="327" t="s">
        <v>860</v>
      </c>
      <c r="G41" s="199"/>
      <c r="H41" s="199"/>
      <c r="I41" s="199"/>
    </row>
    <row r="42" spans="1:15" ht="16.2" customHeight="1">
      <c r="A42" s="419">
        <v>2024</v>
      </c>
      <c r="B42" s="199" t="s">
        <v>1889</v>
      </c>
      <c r="C42" s="199" t="s">
        <v>861</v>
      </c>
      <c r="D42" s="199" t="s">
        <v>819</v>
      </c>
      <c r="E42" s="199" t="s">
        <v>862</v>
      </c>
      <c r="F42" s="199" t="s">
        <v>863</v>
      </c>
      <c r="G42" s="199"/>
      <c r="H42" s="199"/>
      <c r="I42" s="199"/>
      <c r="J42" s="419">
        <v>2025</v>
      </c>
      <c r="K42" s="419" t="s">
        <v>1889</v>
      </c>
      <c r="L42" s="419" t="s">
        <v>861</v>
      </c>
      <c r="M42" s="199" t="s">
        <v>819</v>
      </c>
      <c r="N42" s="419" t="s">
        <v>2595</v>
      </c>
      <c r="O42" s="419" t="s">
        <v>863</v>
      </c>
    </row>
    <row r="43" spans="1:15" ht="16.2" customHeight="1">
      <c r="A43" s="419">
        <v>2024</v>
      </c>
      <c r="B43" s="199" t="s">
        <v>1889</v>
      </c>
      <c r="C43" s="199" t="s">
        <v>864</v>
      </c>
      <c r="D43" s="199" t="s">
        <v>865</v>
      </c>
      <c r="E43" s="199" t="s">
        <v>866</v>
      </c>
      <c r="F43" s="199" t="s">
        <v>867</v>
      </c>
      <c r="G43" s="199"/>
      <c r="H43" s="199"/>
      <c r="I43" s="199"/>
      <c r="J43" s="419">
        <v>2025</v>
      </c>
      <c r="K43" s="419" t="s">
        <v>1889</v>
      </c>
      <c r="L43" s="419" t="s">
        <v>864</v>
      </c>
      <c r="M43" s="199" t="s">
        <v>865</v>
      </c>
      <c r="N43" s="419" t="s">
        <v>2596</v>
      </c>
      <c r="O43" s="419" t="s">
        <v>867</v>
      </c>
    </row>
    <row r="44" spans="1:15" ht="16.2" customHeight="1">
      <c r="A44" s="419">
        <v>2024</v>
      </c>
      <c r="B44" s="199" t="s">
        <v>1889</v>
      </c>
      <c r="C44" s="199" t="s">
        <v>869</v>
      </c>
      <c r="D44" s="199" t="s">
        <v>870</v>
      </c>
      <c r="E44" s="199" t="s">
        <v>871</v>
      </c>
      <c r="F44" s="199" t="s">
        <v>872</v>
      </c>
      <c r="G44" s="199"/>
      <c r="H44" s="199"/>
      <c r="I44" s="199"/>
      <c r="J44" s="419">
        <v>2025</v>
      </c>
      <c r="K44" s="419" t="s">
        <v>1889</v>
      </c>
      <c r="L44" s="419" t="s">
        <v>869</v>
      </c>
      <c r="M44" s="199" t="s">
        <v>870</v>
      </c>
      <c r="N44" s="419" t="s">
        <v>2597</v>
      </c>
      <c r="O44" s="419" t="s">
        <v>872</v>
      </c>
    </row>
    <row r="45" spans="1:15" ht="16.2" customHeight="1">
      <c r="A45" s="419">
        <v>2024</v>
      </c>
      <c r="B45" s="199" t="s">
        <v>1889</v>
      </c>
      <c r="C45" s="199" t="s">
        <v>874</v>
      </c>
      <c r="D45" s="199" t="s">
        <v>865</v>
      </c>
      <c r="E45" s="199" t="s">
        <v>875</v>
      </c>
      <c r="F45" s="199" t="s">
        <v>876</v>
      </c>
      <c r="G45" s="199"/>
      <c r="H45" s="199"/>
      <c r="I45" s="199"/>
      <c r="J45" s="419">
        <v>2025</v>
      </c>
      <c r="K45" s="419" t="s">
        <v>1889</v>
      </c>
      <c r="L45" s="419" t="s">
        <v>874</v>
      </c>
      <c r="M45" s="199" t="s">
        <v>865</v>
      </c>
      <c r="N45" s="419" t="s">
        <v>2598</v>
      </c>
      <c r="O45" s="419" t="s">
        <v>876</v>
      </c>
    </row>
    <row r="46" spans="1:15" ht="16.2" customHeight="1">
      <c r="A46" s="419">
        <v>2024</v>
      </c>
      <c r="B46" s="199" t="s">
        <v>1889</v>
      </c>
      <c r="C46" s="199" t="s">
        <v>878</v>
      </c>
      <c r="D46" s="199" t="s">
        <v>870</v>
      </c>
      <c r="E46" s="199" t="s">
        <v>879</v>
      </c>
      <c r="F46" s="199" t="s">
        <v>880</v>
      </c>
      <c r="G46" s="199"/>
      <c r="H46" s="199"/>
      <c r="I46" s="199"/>
      <c r="J46" s="419">
        <v>2025</v>
      </c>
      <c r="K46" s="419" t="s">
        <v>1889</v>
      </c>
      <c r="L46" s="419" t="s">
        <v>878</v>
      </c>
      <c r="M46" s="326" t="s">
        <v>2925</v>
      </c>
      <c r="N46" s="419" t="s">
        <v>2599</v>
      </c>
      <c r="O46" s="419" t="s">
        <v>1892</v>
      </c>
    </row>
    <row r="47" spans="1:15" ht="16.2" customHeight="1">
      <c r="A47" s="419">
        <v>2024</v>
      </c>
      <c r="B47" s="199" t="s">
        <v>1889</v>
      </c>
      <c r="C47" s="199" t="s">
        <v>882</v>
      </c>
      <c r="D47" s="199" t="s">
        <v>870</v>
      </c>
      <c r="E47" s="199" t="s">
        <v>883</v>
      </c>
      <c r="F47" s="199" t="s">
        <v>885</v>
      </c>
      <c r="G47" s="199"/>
      <c r="H47" s="199"/>
      <c r="I47" s="199"/>
      <c r="J47" s="419">
        <v>2025</v>
      </c>
      <c r="K47" s="419" t="s">
        <v>1889</v>
      </c>
      <c r="L47" s="419" t="s">
        <v>882</v>
      </c>
      <c r="M47" s="199" t="s">
        <v>870</v>
      </c>
      <c r="N47" s="419" t="s">
        <v>2600</v>
      </c>
      <c r="O47" s="419" t="s">
        <v>885</v>
      </c>
    </row>
    <row r="48" spans="1:15" ht="16.2" customHeight="1">
      <c r="A48" s="419">
        <v>2024</v>
      </c>
      <c r="B48" s="199" t="s">
        <v>1889</v>
      </c>
      <c r="C48" s="199" t="s">
        <v>889</v>
      </c>
      <c r="D48" s="199" t="s">
        <v>865</v>
      </c>
      <c r="E48" s="199" t="s">
        <v>890</v>
      </c>
      <c r="F48" s="199" t="s">
        <v>779</v>
      </c>
      <c r="G48" s="199"/>
      <c r="H48" s="199"/>
      <c r="I48" s="199"/>
      <c r="J48" s="419">
        <v>2025</v>
      </c>
      <c r="K48" s="419" t="s">
        <v>1889</v>
      </c>
      <c r="L48" s="419" t="s">
        <v>889</v>
      </c>
      <c r="M48" s="199" t="s">
        <v>865</v>
      </c>
      <c r="N48" s="419" t="s">
        <v>2601</v>
      </c>
      <c r="O48" s="419" t="s">
        <v>779</v>
      </c>
    </row>
    <row r="49" spans="1:16" ht="16.2" customHeight="1">
      <c r="A49" s="419">
        <v>2024</v>
      </c>
      <c r="B49" s="199" t="s">
        <v>1889</v>
      </c>
      <c r="C49" s="199" t="s">
        <v>893</v>
      </c>
      <c r="D49" s="199" t="s">
        <v>870</v>
      </c>
      <c r="E49" s="199" t="s">
        <v>894</v>
      </c>
      <c r="F49" s="199" t="s">
        <v>895</v>
      </c>
      <c r="G49" s="199"/>
      <c r="H49" s="199"/>
      <c r="I49" s="199"/>
      <c r="J49" s="419">
        <v>2025</v>
      </c>
      <c r="K49" s="419" t="s">
        <v>1889</v>
      </c>
      <c r="L49" s="419" t="s">
        <v>893</v>
      </c>
      <c r="M49" s="199" t="s">
        <v>870</v>
      </c>
      <c r="N49" s="419" t="s">
        <v>2602</v>
      </c>
      <c r="O49" s="419" t="s">
        <v>895</v>
      </c>
    </row>
    <row r="50" spans="1:16" ht="16.2" customHeight="1">
      <c r="A50" s="419">
        <v>2024</v>
      </c>
      <c r="B50" s="199" t="s">
        <v>1889</v>
      </c>
      <c r="C50" s="199" t="s">
        <v>897</v>
      </c>
      <c r="D50" s="199" t="s">
        <v>865</v>
      </c>
      <c r="E50" s="199" t="s">
        <v>898</v>
      </c>
      <c r="F50" s="199" t="s">
        <v>899</v>
      </c>
      <c r="G50" s="199"/>
      <c r="H50" s="199"/>
      <c r="I50" s="199"/>
      <c r="J50" s="419">
        <v>2025</v>
      </c>
      <c r="K50" s="419" t="s">
        <v>1889</v>
      </c>
      <c r="L50" s="419" t="s">
        <v>897</v>
      </c>
      <c r="M50" s="199" t="s">
        <v>865</v>
      </c>
      <c r="N50" s="419" t="s">
        <v>2603</v>
      </c>
      <c r="O50" s="419" t="s">
        <v>899</v>
      </c>
    </row>
    <row r="51" spans="1:16" ht="16.2" customHeight="1">
      <c r="A51" s="419">
        <v>2024</v>
      </c>
      <c r="B51" s="199" t="s">
        <v>1889</v>
      </c>
      <c r="C51" s="199" t="s">
        <v>902</v>
      </c>
      <c r="D51" s="199" t="s">
        <v>870</v>
      </c>
      <c r="E51" s="199" t="s">
        <v>903</v>
      </c>
      <c r="F51" s="199" t="s">
        <v>904</v>
      </c>
      <c r="G51" s="199"/>
      <c r="H51" s="199"/>
      <c r="I51" s="199"/>
      <c r="J51" s="419">
        <v>2025</v>
      </c>
      <c r="K51" s="419" t="s">
        <v>1889</v>
      </c>
      <c r="L51" s="419" t="s">
        <v>902</v>
      </c>
      <c r="M51" s="199" t="s">
        <v>870</v>
      </c>
      <c r="N51" s="419" t="s">
        <v>2604</v>
      </c>
      <c r="O51" s="419" t="s">
        <v>904</v>
      </c>
    </row>
    <row r="52" spans="1:16" ht="16.2" customHeight="1">
      <c r="A52" s="419">
        <v>2024</v>
      </c>
      <c r="B52" s="199" t="s">
        <v>1889</v>
      </c>
      <c r="C52" s="199" t="s">
        <v>907</v>
      </c>
      <c r="D52" s="199" t="s">
        <v>870</v>
      </c>
      <c r="E52" s="199" t="s">
        <v>908</v>
      </c>
      <c r="F52" s="199" t="s">
        <v>909</v>
      </c>
      <c r="G52" s="199"/>
      <c r="H52" s="199"/>
      <c r="I52" s="199"/>
      <c r="J52" s="419">
        <v>2025</v>
      </c>
      <c r="K52" s="419" t="s">
        <v>1889</v>
      </c>
      <c r="L52" s="419" t="s">
        <v>907</v>
      </c>
      <c r="M52" s="199" t="s">
        <v>870</v>
      </c>
      <c r="N52" s="419" t="s">
        <v>2605</v>
      </c>
      <c r="O52" s="419" t="s">
        <v>909</v>
      </c>
    </row>
    <row r="53" spans="1:16" ht="16.2" customHeight="1">
      <c r="A53" s="419">
        <v>2024</v>
      </c>
      <c r="B53" s="199" t="s">
        <v>1889</v>
      </c>
      <c r="C53" s="199" t="s">
        <v>911</v>
      </c>
      <c r="D53" s="199" t="s">
        <v>870</v>
      </c>
      <c r="E53" s="199" t="s">
        <v>912</v>
      </c>
      <c r="F53" s="199" t="s">
        <v>913</v>
      </c>
      <c r="G53" s="199"/>
      <c r="H53" s="199"/>
      <c r="I53" s="199"/>
      <c r="J53" s="419">
        <v>2025</v>
      </c>
      <c r="K53" s="419" t="s">
        <v>1889</v>
      </c>
      <c r="L53" s="419" t="s">
        <v>911</v>
      </c>
      <c r="M53" s="199" t="s">
        <v>870</v>
      </c>
      <c r="N53" s="419" t="s">
        <v>2606</v>
      </c>
      <c r="O53" s="419" t="s">
        <v>1893</v>
      </c>
    </row>
    <row r="54" spans="1:16" ht="16.2" customHeight="1">
      <c r="A54" s="419">
        <v>2024</v>
      </c>
      <c r="B54" s="199" t="s">
        <v>1889</v>
      </c>
      <c r="C54" s="199" t="s">
        <v>915</v>
      </c>
      <c r="D54" s="199" t="s">
        <v>870</v>
      </c>
      <c r="E54" s="199" t="s">
        <v>916</v>
      </c>
      <c r="F54" s="199" t="s">
        <v>917</v>
      </c>
      <c r="G54" s="199"/>
      <c r="H54" s="199"/>
      <c r="I54" s="199"/>
      <c r="J54" s="419">
        <v>2025</v>
      </c>
      <c r="K54" s="419" t="s">
        <v>1889</v>
      </c>
      <c r="L54" s="419" t="s">
        <v>915</v>
      </c>
      <c r="M54" s="199" t="s">
        <v>870</v>
      </c>
      <c r="N54" s="419" t="s">
        <v>2607</v>
      </c>
      <c r="O54" s="419" t="s">
        <v>2111</v>
      </c>
    </row>
    <row r="55" spans="1:16" ht="16.2" customHeight="1">
      <c r="G55" s="199"/>
      <c r="H55" s="199"/>
      <c r="I55" s="199"/>
      <c r="J55" s="326">
        <v>2025</v>
      </c>
      <c r="K55" s="326" t="s">
        <v>1889</v>
      </c>
      <c r="L55" s="326" t="s">
        <v>2608</v>
      </c>
      <c r="M55" s="326" t="s">
        <v>2925</v>
      </c>
      <c r="N55" s="326" t="s">
        <v>2610</v>
      </c>
      <c r="O55" s="326" t="s">
        <v>2609</v>
      </c>
      <c r="P55" s="326"/>
    </row>
    <row r="56" spans="1:16" ht="16.2" customHeight="1">
      <c r="G56" s="199"/>
      <c r="H56" s="327"/>
      <c r="I56" s="327"/>
      <c r="J56" s="326">
        <v>2025</v>
      </c>
      <c r="K56" s="326" t="s">
        <v>1889</v>
      </c>
      <c r="L56" s="326" t="s">
        <v>2611</v>
      </c>
      <c r="M56" s="327" t="s">
        <v>870</v>
      </c>
      <c r="N56" s="326" t="s">
        <v>2613</v>
      </c>
      <c r="O56" s="326" t="s">
        <v>2612</v>
      </c>
    </row>
    <row r="57" spans="1:16" ht="16.2" customHeight="1">
      <c r="A57" s="326">
        <v>2024</v>
      </c>
      <c r="B57" s="327" t="s">
        <v>1889</v>
      </c>
      <c r="C57" s="327" t="s">
        <v>918</v>
      </c>
      <c r="D57" s="327" t="s">
        <v>919</v>
      </c>
      <c r="E57" s="327" t="s">
        <v>920</v>
      </c>
      <c r="F57" s="327" t="s">
        <v>921</v>
      </c>
      <c r="G57" s="327"/>
      <c r="H57" s="199"/>
      <c r="I57" s="199"/>
    </row>
    <row r="58" spans="1:16" ht="16.2" customHeight="1">
      <c r="A58" s="419">
        <v>2024</v>
      </c>
      <c r="B58" s="199" t="s">
        <v>1889</v>
      </c>
      <c r="C58" s="199" t="s">
        <v>922</v>
      </c>
      <c r="D58" s="199" t="s">
        <v>865</v>
      </c>
      <c r="E58" s="199" t="s">
        <v>923</v>
      </c>
      <c r="F58" s="199" t="s">
        <v>924</v>
      </c>
      <c r="G58" s="199"/>
      <c r="H58" s="199"/>
      <c r="I58" s="199"/>
      <c r="J58" s="419">
        <v>2025</v>
      </c>
      <c r="K58" s="419" t="s">
        <v>1889</v>
      </c>
      <c r="L58" s="419" t="s">
        <v>922</v>
      </c>
      <c r="M58" s="326" t="s">
        <v>2925</v>
      </c>
      <c r="N58" s="419" t="s">
        <v>2614</v>
      </c>
      <c r="O58" s="419" t="s">
        <v>924</v>
      </c>
    </row>
    <row r="59" spans="1:16" ht="16.2" customHeight="1">
      <c r="A59" s="419">
        <v>2024</v>
      </c>
      <c r="B59" s="199" t="s">
        <v>1889</v>
      </c>
      <c r="C59" s="199" t="s">
        <v>925</v>
      </c>
      <c r="D59" s="199" t="s">
        <v>926</v>
      </c>
      <c r="E59" s="199" t="s">
        <v>927</v>
      </c>
      <c r="F59" s="199" t="s">
        <v>928</v>
      </c>
      <c r="G59" s="199"/>
      <c r="H59" s="199"/>
      <c r="I59" s="199"/>
      <c r="J59" s="419">
        <v>2025</v>
      </c>
      <c r="K59" s="419" t="s">
        <v>1889</v>
      </c>
      <c r="L59" s="419" t="s">
        <v>925</v>
      </c>
      <c r="M59" s="199" t="s">
        <v>926</v>
      </c>
      <c r="N59" s="419" t="s">
        <v>2615</v>
      </c>
      <c r="O59" s="419" t="s">
        <v>928</v>
      </c>
    </row>
    <row r="60" spans="1:16" ht="16.2" customHeight="1">
      <c r="A60" s="419">
        <v>2024</v>
      </c>
      <c r="B60" s="199" t="s">
        <v>1889</v>
      </c>
      <c r="C60" s="199" t="s">
        <v>71</v>
      </c>
      <c r="D60" s="199" t="s">
        <v>926</v>
      </c>
      <c r="E60" s="199" t="s">
        <v>931</v>
      </c>
      <c r="F60" s="199" t="s">
        <v>932</v>
      </c>
      <c r="G60" s="199"/>
      <c r="H60" s="199"/>
      <c r="I60" s="199"/>
      <c r="J60" s="419">
        <v>2025</v>
      </c>
      <c r="K60" s="419" t="s">
        <v>1889</v>
      </c>
      <c r="L60" s="419" t="s">
        <v>71</v>
      </c>
      <c r="M60" s="199" t="s">
        <v>926</v>
      </c>
      <c r="N60" s="419" t="s">
        <v>2616</v>
      </c>
      <c r="O60" s="419" t="s">
        <v>932</v>
      </c>
    </row>
    <row r="61" spans="1:16" ht="16.2" customHeight="1">
      <c r="A61" s="419">
        <v>2024</v>
      </c>
      <c r="B61" s="199" t="s">
        <v>1889</v>
      </c>
      <c r="C61" s="199" t="s">
        <v>933</v>
      </c>
      <c r="D61" s="199" t="s">
        <v>926</v>
      </c>
      <c r="E61" s="199" t="s">
        <v>934</v>
      </c>
      <c r="F61" s="199" t="s">
        <v>935</v>
      </c>
      <c r="J61" s="419">
        <v>2025</v>
      </c>
      <c r="K61" s="419" t="s">
        <v>1889</v>
      </c>
      <c r="L61" s="419" t="s">
        <v>933</v>
      </c>
      <c r="M61" s="199" t="s">
        <v>926</v>
      </c>
      <c r="N61" s="419" t="s">
        <v>2617</v>
      </c>
      <c r="O61" s="419" t="s">
        <v>935</v>
      </c>
    </row>
    <row r="62" spans="1:16" ht="16.2" customHeight="1">
      <c r="A62" s="419">
        <v>2024</v>
      </c>
      <c r="B62" s="199" t="s">
        <v>1889</v>
      </c>
      <c r="C62" s="199" t="s">
        <v>145</v>
      </c>
      <c r="D62" s="199" t="s">
        <v>926</v>
      </c>
      <c r="E62" s="199" t="s">
        <v>936</v>
      </c>
      <c r="F62" s="199" t="s">
        <v>937</v>
      </c>
      <c r="J62" s="419">
        <v>2025</v>
      </c>
      <c r="K62" s="419" t="s">
        <v>1889</v>
      </c>
      <c r="L62" s="419" t="s">
        <v>145</v>
      </c>
      <c r="M62" s="199" t="s">
        <v>926</v>
      </c>
      <c r="N62" s="419" t="s">
        <v>2618</v>
      </c>
      <c r="O62" s="419" t="s">
        <v>937</v>
      </c>
    </row>
    <row r="66" spans="1:15" ht="16.2" customHeight="1">
      <c r="A66" s="419">
        <v>2024</v>
      </c>
      <c r="B66" s="419" t="s">
        <v>222</v>
      </c>
      <c r="C66" s="419" t="s">
        <v>939</v>
      </c>
      <c r="D66" s="419" t="s">
        <v>940</v>
      </c>
      <c r="E66" s="419" t="s">
        <v>941</v>
      </c>
      <c r="F66" s="419" t="s">
        <v>942</v>
      </c>
      <c r="J66" s="419">
        <v>2025</v>
      </c>
      <c r="K66" s="419" t="s">
        <v>222</v>
      </c>
      <c r="L66" s="419" t="s">
        <v>939</v>
      </c>
      <c r="M66" s="419" t="s">
        <v>940</v>
      </c>
      <c r="N66" s="419" t="s">
        <v>941</v>
      </c>
      <c r="O66" s="419" t="s">
        <v>942</v>
      </c>
    </row>
    <row r="67" spans="1:15" ht="16.2" customHeight="1">
      <c r="A67" s="419">
        <v>2024</v>
      </c>
      <c r="B67" s="419" t="s">
        <v>222</v>
      </c>
      <c r="C67" s="419" t="s">
        <v>947</v>
      </c>
      <c r="D67" s="419" t="s">
        <v>940</v>
      </c>
      <c r="E67" s="419" t="s">
        <v>949</v>
      </c>
      <c r="F67" s="419" t="s">
        <v>950</v>
      </c>
      <c r="J67" s="419">
        <v>2025</v>
      </c>
      <c r="K67" s="419" t="s">
        <v>222</v>
      </c>
      <c r="L67" s="419" t="s">
        <v>947</v>
      </c>
      <c r="M67" s="419" t="s">
        <v>940</v>
      </c>
      <c r="N67" s="419" t="s">
        <v>949</v>
      </c>
      <c r="O67" s="419" t="s">
        <v>950</v>
      </c>
    </row>
    <row r="68" spans="1:15" ht="16.2" customHeight="1">
      <c r="A68" s="419">
        <v>2024</v>
      </c>
      <c r="B68" s="419" t="s">
        <v>222</v>
      </c>
      <c r="C68" s="419" t="s">
        <v>952</v>
      </c>
      <c r="D68" s="419" t="s">
        <v>940</v>
      </c>
      <c r="E68" s="419" t="s">
        <v>953</v>
      </c>
      <c r="F68" s="419" t="s">
        <v>954</v>
      </c>
      <c r="J68" s="419">
        <v>2025</v>
      </c>
      <c r="K68" s="419" t="s">
        <v>222</v>
      </c>
      <c r="L68" s="419" t="s">
        <v>952</v>
      </c>
      <c r="M68" s="419" t="s">
        <v>940</v>
      </c>
      <c r="N68" s="419" t="s">
        <v>953</v>
      </c>
      <c r="O68" s="419" t="s">
        <v>954</v>
      </c>
    </row>
    <row r="69" spans="1:15" ht="16.2" customHeight="1">
      <c r="A69" s="419">
        <v>2024</v>
      </c>
      <c r="B69" s="419" t="s">
        <v>222</v>
      </c>
      <c r="C69" s="419" t="s">
        <v>958</v>
      </c>
      <c r="D69" s="419" t="s">
        <v>710</v>
      </c>
      <c r="E69" s="419" t="s">
        <v>959</v>
      </c>
      <c r="F69" s="419" t="s">
        <v>960</v>
      </c>
      <c r="J69" s="419">
        <v>2025</v>
      </c>
      <c r="K69" s="419" t="s">
        <v>222</v>
      </c>
      <c r="L69" s="419" t="s">
        <v>958</v>
      </c>
      <c r="M69" s="419" t="s">
        <v>710</v>
      </c>
      <c r="N69" s="419" t="s">
        <v>959</v>
      </c>
      <c r="O69" s="419" t="s">
        <v>960</v>
      </c>
    </row>
    <row r="70" spans="1:15" ht="16.2" customHeight="1">
      <c r="A70" s="419">
        <v>2024</v>
      </c>
      <c r="B70" s="419" t="s">
        <v>222</v>
      </c>
      <c r="C70" s="419" t="s">
        <v>962</v>
      </c>
      <c r="D70" s="419" t="s">
        <v>710</v>
      </c>
      <c r="E70" s="419" t="s">
        <v>963</v>
      </c>
      <c r="F70" s="419" t="s">
        <v>964</v>
      </c>
      <c r="J70" s="419">
        <v>2025</v>
      </c>
      <c r="K70" s="419" t="s">
        <v>222</v>
      </c>
      <c r="L70" s="419" t="s">
        <v>962</v>
      </c>
      <c r="M70" s="419" t="s">
        <v>710</v>
      </c>
      <c r="N70" s="419" t="s">
        <v>963</v>
      </c>
      <c r="O70" s="419" t="s">
        <v>964</v>
      </c>
    </row>
    <row r="71" spans="1:15" ht="16.2" customHeight="1">
      <c r="A71" s="419">
        <v>2024</v>
      </c>
      <c r="B71" s="419" t="s">
        <v>222</v>
      </c>
      <c r="C71" s="419" t="s">
        <v>965</v>
      </c>
      <c r="D71" s="419" t="s">
        <v>966</v>
      </c>
      <c r="E71" s="419" t="s">
        <v>967</v>
      </c>
      <c r="F71" s="419" t="s">
        <v>969</v>
      </c>
      <c r="J71" s="419">
        <v>2025</v>
      </c>
      <c r="K71" s="419" t="s">
        <v>222</v>
      </c>
      <c r="L71" s="419" t="s">
        <v>965</v>
      </c>
      <c r="M71" s="419" t="s">
        <v>966</v>
      </c>
      <c r="N71" s="419" t="s">
        <v>967</v>
      </c>
      <c r="O71" s="419" t="s">
        <v>969</v>
      </c>
    </row>
    <row r="72" spans="1:15" ht="16.2" customHeight="1">
      <c r="A72" s="419">
        <v>2024</v>
      </c>
      <c r="B72" s="419" t="s">
        <v>222</v>
      </c>
      <c r="C72" s="419" t="s">
        <v>971</v>
      </c>
      <c r="D72" s="419" t="s">
        <v>966</v>
      </c>
      <c r="E72" s="419" t="s">
        <v>972</v>
      </c>
      <c r="F72" s="419" t="s">
        <v>973</v>
      </c>
      <c r="J72" s="419">
        <v>2025</v>
      </c>
      <c r="K72" s="419" t="s">
        <v>222</v>
      </c>
      <c r="L72" s="419" t="s">
        <v>971</v>
      </c>
      <c r="M72" s="419" t="s">
        <v>966</v>
      </c>
      <c r="N72" s="419" t="s">
        <v>972</v>
      </c>
      <c r="O72" s="419" t="s">
        <v>2619</v>
      </c>
    </row>
    <row r="73" spans="1:15" ht="16.2" customHeight="1">
      <c r="A73" s="419">
        <v>2024</v>
      </c>
      <c r="B73" s="419" t="s">
        <v>222</v>
      </c>
      <c r="C73" s="419" t="s">
        <v>978</v>
      </c>
      <c r="D73" s="419" t="s">
        <v>966</v>
      </c>
      <c r="E73" s="419" t="s">
        <v>979</v>
      </c>
      <c r="F73" s="419" t="s">
        <v>980</v>
      </c>
      <c r="J73" s="419">
        <v>2025</v>
      </c>
      <c r="K73" s="419" t="s">
        <v>222</v>
      </c>
      <c r="L73" s="419" t="s">
        <v>978</v>
      </c>
      <c r="M73" s="419" t="s">
        <v>966</v>
      </c>
      <c r="N73" s="419" t="s">
        <v>979</v>
      </c>
      <c r="O73" s="419" t="s">
        <v>980</v>
      </c>
    </row>
    <row r="74" spans="1:15" ht="16.2" customHeight="1">
      <c r="A74" s="419">
        <v>2024</v>
      </c>
      <c r="B74" s="419" t="s">
        <v>222</v>
      </c>
      <c r="C74" s="419" t="s">
        <v>984</v>
      </c>
      <c r="D74" s="419" t="s">
        <v>966</v>
      </c>
      <c r="E74" s="419" t="s">
        <v>985</v>
      </c>
      <c r="F74" s="419" t="s">
        <v>986</v>
      </c>
      <c r="J74" s="419">
        <v>2025</v>
      </c>
      <c r="K74" s="419" t="s">
        <v>222</v>
      </c>
      <c r="L74" s="419" t="s">
        <v>984</v>
      </c>
      <c r="M74" s="419" t="s">
        <v>966</v>
      </c>
      <c r="N74" s="419" t="s">
        <v>985</v>
      </c>
      <c r="O74" s="419" t="s">
        <v>986</v>
      </c>
    </row>
    <row r="75" spans="1:15" ht="16.2" customHeight="1">
      <c r="A75" s="419">
        <v>2024</v>
      </c>
      <c r="B75" s="419" t="s">
        <v>222</v>
      </c>
      <c r="C75" s="419" t="s">
        <v>993</v>
      </c>
      <c r="D75" s="419" t="s">
        <v>994</v>
      </c>
      <c r="E75" s="419" t="s">
        <v>995</v>
      </c>
      <c r="F75" s="419" t="s">
        <v>998</v>
      </c>
      <c r="J75" s="419">
        <v>2025</v>
      </c>
      <c r="K75" s="419" t="s">
        <v>222</v>
      </c>
      <c r="L75" s="419" t="s">
        <v>993</v>
      </c>
      <c r="M75" s="419" t="s">
        <v>994</v>
      </c>
      <c r="N75" s="419" t="s">
        <v>995</v>
      </c>
      <c r="O75" s="419" t="s">
        <v>998</v>
      </c>
    </row>
    <row r="76" spans="1:15" ht="16.2" customHeight="1">
      <c r="A76" s="419">
        <v>2024</v>
      </c>
      <c r="B76" s="419" t="s">
        <v>222</v>
      </c>
      <c r="C76" s="419" t="s">
        <v>999</v>
      </c>
      <c r="D76" s="419" t="s">
        <v>994</v>
      </c>
      <c r="E76" s="419" t="s">
        <v>1000</v>
      </c>
      <c r="F76" s="419" t="s">
        <v>1003</v>
      </c>
      <c r="J76" s="419">
        <v>2025</v>
      </c>
      <c r="K76" s="419" t="s">
        <v>222</v>
      </c>
      <c r="L76" s="419" t="s">
        <v>999</v>
      </c>
      <c r="M76" s="419" t="s">
        <v>994</v>
      </c>
      <c r="N76" s="419" t="s">
        <v>1000</v>
      </c>
      <c r="O76" s="419" t="s">
        <v>1003</v>
      </c>
    </row>
    <row r="77" spans="1:15" ht="16.2" customHeight="1">
      <c r="A77" s="419">
        <v>2024</v>
      </c>
      <c r="B77" s="419" t="s">
        <v>222</v>
      </c>
      <c r="C77" s="419" t="s">
        <v>1004</v>
      </c>
      <c r="D77" s="419" t="s">
        <v>865</v>
      </c>
      <c r="E77" s="419" t="s">
        <v>1005</v>
      </c>
      <c r="F77" s="419" t="s">
        <v>1006</v>
      </c>
      <c r="J77" s="419">
        <v>2025</v>
      </c>
      <c r="K77" s="419" t="s">
        <v>222</v>
      </c>
      <c r="L77" s="419" t="s">
        <v>1004</v>
      </c>
      <c r="M77" s="419" t="s">
        <v>865</v>
      </c>
      <c r="N77" s="419" t="s">
        <v>1005</v>
      </c>
      <c r="O77" s="419" t="s">
        <v>1006</v>
      </c>
    </row>
    <row r="78" spans="1:15" ht="16.2" customHeight="1">
      <c r="A78" s="419">
        <v>2024</v>
      </c>
      <c r="B78" s="419" t="s">
        <v>222</v>
      </c>
      <c r="C78" s="419" t="s">
        <v>1009</v>
      </c>
      <c r="D78" s="419" t="s">
        <v>1010</v>
      </c>
      <c r="E78" s="419" t="s">
        <v>1011</v>
      </c>
      <c r="F78" s="419" t="s">
        <v>1012</v>
      </c>
      <c r="J78" s="419">
        <v>2025</v>
      </c>
      <c r="K78" s="419" t="s">
        <v>222</v>
      </c>
      <c r="L78" s="419" t="s">
        <v>1009</v>
      </c>
      <c r="M78" s="419" t="s">
        <v>1010</v>
      </c>
      <c r="N78" s="419" t="s">
        <v>1011</v>
      </c>
      <c r="O78" s="419" t="s">
        <v>1012</v>
      </c>
    </row>
    <row r="79" spans="1:15" ht="16.2" customHeight="1">
      <c r="A79" s="419">
        <v>2024</v>
      </c>
      <c r="B79" s="419" t="s">
        <v>222</v>
      </c>
      <c r="C79" s="419" t="s">
        <v>1014</v>
      </c>
      <c r="D79" s="419" t="s">
        <v>1010</v>
      </c>
      <c r="E79" s="419" t="s">
        <v>1015</v>
      </c>
      <c r="F79" s="419" t="s">
        <v>1016</v>
      </c>
      <c r="J79" s="419">
        <v>2025</v>
      </c>
      <c r="K79" s="419" t="s">
        <v>222</v>
      </c>
      <c r="L79" s="419" t="s">
        <v>1014</v>
      </c>
      <c r="M79" s="419" t="s">
        <v>1010</v>
      </c>
      <c r="N79" s="419" t="s">
        <v>1015</v>
      </c>
      <c r="O79" s="419" t="s">
        <v>1016</v>
      </c>
    </row>
    <row r="80" spans="1:15" ht="16.2" customHeight="1">
      <c r="A80" s="419">
        <v>2024</v>
      </c>
      <c r="B80" s="419" t="s">
        <v>222</v>
      </c>
      <c r="C80" s="419" t="s">
        <v>1017</v>
      </c>
      <c r="D80" s="419" t="s">
        <v>1010</v>
      </c>
      <c r="E80" s="419" t="s">
        <v>1018</v>
      </c>
      <c r="F80" s="419" t="s">
        <v>1019</v>
      </c>
      <c r="J80" s="419">
        <v>2025</v>
      </c>
      <c r="K80" s="419" t="s">
        <v>222</v>
      </c>
      <c r="L80" s="419" t="s">
        <v>1017</v>
      </c>
      <c r="M80" s="419" t="s">
        <v>1010</v>
      </c>
      <c r="N80" s="419" t="s">
        <v>1018</v>
      </c>
      <c r="O80" s="419" t="s">
        <v>1019</v>
      </c>
    </row>
    <row r="81" spans="1:17" ht="16.2" customHeight="1">
      <c r="A81" s="419">
        <v>2024</v>
      </c>
      <c r="B81" s="419" t="s">
        <v>222</v>
      </c>
      <c r="C81" s="419" t="s">
        <v>1020</v>
      </c>
      <c r="D81" s="419" t="s">
        <v>1021</v>
      </c>
      <c r="E81" s="419" t="s">
        <v>1022</v>
      </c>
      <c r="F81" s="419" t="s">
        <v>1023</v>
      </c>
      <c r="J81" s="419">
        <v>2025</v>
      </c>
      <c r="K81" s="419" t="s">
        <v>222</v>
      </c>
      <c r="L81" s="419" t="s">
        <v>1020</v>
      </c>
      <c r="M81" s="419" t="s">
        <v>1021</v>
      </c>
      <c r="N81" s="419" t="s">
        <v>1022</v>
      </c>
      <c r="O81" s="419" t="s">
        <v>1023</v>
      </c>
    </row>
    <row r="82" spans="1:17" ht="16.2" customHeight="1">
      <c r="A82" s="419">
        <v>2024</v>
      </c>
      <c r="B82" s="419" t="s">
        <v>222</v>
      </c>
      <c r="C82" s="419" t="s">
        <v>1026</v>
      </c>
      <c r="D82" s="419" t="s">
        <v>2539</v>
      </c>
      <c r="E82" s="419" t="s">
        <v>1028</v>
      </c>
      <c r="F82" s="419" t="s">
        <v>1029</v>
      </c>
      <c r="J82" s="419">
        <v>2025</v>
      </c>
      <c r="K82" s="419" t="s">
        <v>222</v>
      </c>
      <c r="L82" s="419" t="s">
        <v>1026</v>
      </c>
      <c r="M82" s="419" t="s">
        <v>2539</v>
      </c>
      <c r="N82" s="419" t="s">
        <v>1028</v>
      </c>
      <c r="O82" s="419" t="s">
        <v>1029</v>
      </c>
    </row>
    <row r="83" spans="1:17" ht="16.2" customHeight="1">
      <c r="A83" s="419">
        <v>2024</v>
      </c>
      <c r="B83" s="419" t="s">
        <v>222</v>
      </c>
      <c r="C83" s="419" t="s">
        <v>1030</v>
      </c>
      <c r="D83" s="419" t="s">
        <v>2539</v>
      </c>
      <c r="E83" s="419" t="s">
        <v>1031</v>
      </c>
      <c r="F83" s="419" t="s">
        <v>1033</v>
      </c>
      <c r="J83" s="419">
        <v>2025</v>
      </c>
      <c r="K83" s="419" t="s">
        <v>222</v>
      </c>
      <c r="L83" s="419" t="s">
        <v>1030</v>
      </c>
      <c r="M83" s="419" t="s">
        <v>2539</v>
      </c>
      <c r="N83" s="419" t="s">
        <v>1031</v>
      </c>
      <c r="O83" s="419" t="s">
        <v>1033</v>
      </c>
    </row>
    <row r="84" spans="1:17" ht="16.2" customHeight="1">
      <c r="A84" s="419">
        <v>2024</v>
      </c>
      <c r="B84" s="419" t="s">
        <v>222</v>
      </c>
      <c r="C84" s="419" t="s">
        <v>1035</v>
      </c>
      <c r="D84" s="419" t="s">
        <v>2539</v>
      </c>
      <c r="E84" s="419" t="s">
        <v>1036</v>
      </c>
      <c r="F84" s="419" t="s">
        <v>1037</v>
      </c>
      <c r="J84" s="419">
        <v>2025</v>
      </c>
      <c r="K84" s="419" t="s">
        <v>222</v>
      </c>
      <c r="L84" s="419" t="s">
        <v>1035</v>
      </c>
      <c r="M84" s="419" t="s">
        <v>2539</v>
      </c>
      <c r="N84" s="419" t="s">
        <v>1036</v>
      </c>
      <c r="O84" s="419" t="s">
        <v>1037</v>
      </c>
    </row>
    <row r="85" spans="1:17" ht="16.2" customHeight="1">
      <c r="A85" s="419">
        <v>2024</v>
      </c>
      <c r="B85" s="419" t="s">
        <v>222</v>
      </c>
      <c r="C85" s="419" t="s">
        <v>1038</v>
      </c>
      <c r="D85" s="419" t="s">
        <v>2539</v>
      </c>
      <c r="E85" s="419" t="s">
        <v>1039</v>
      </c>
      <c r="F85" s="419" t="s">
        <v>1040</v>
      </c>
      <c r="J85" s="419">
        <v>2025</v>
      </c>
      <c r="K85" s="419" t="s">
        <v>222</v>
      </c>
      <c r="L85" s="419" t="s">
        <v>1038</v>
      </c>
      <c r="M85" s="419" t="s">
        <v>2539</v>
      </c>
      <c r="N85" s="419" t="s">
        <v>1039</v>
      </c>
      <c r="O85" s="419" t="s">
        <v>1040</v>
      </c>
    </row>
    <row r="86" spans="1:17" ht="16.2" customHeight="1">
      <c r="A86" s="419">
        <v>2024</v>
      </c>
      <c r="B86" s="419" t="s">
        <v>222</v>
      </c>
      <c r="C86" s="419" t="s">
        <v>1042</v>
      </c>
      <c r="D86" s="419" t="s">
        <v>2539</v>
      </c>
      <c r="E86" s="419" t="s">
        <v>1043</v>
      </c>
      <c r="F86" s="419" t="s">
        <v>1044</v>
      </c>
      <c r="J86" s="419">
        <v>2025</v>
      </c>
      <c r="K86" s="419" t="s">
        <v>222</v>
      </c>
      <c r="L86" s="419" t="s">
        <v>1042</v>
      </c>
      <c r="M86" s="419" t="s">
        <v>2539</v>
      </c>
      <c r="N86" s="419" t="s">
        <v>1043</v>
      </c>
      <c r="O86" s="419" t="s">
        <v>1044</v>
      </c>
    </row>
    <row r="87" spans="1:17" ht="16.2" customHeight="1">
      <c r="J87" s="326">
        <v>2025</v>
      </c>
      <c r="K87" s="326" t="s">
        <v>222</v>
      </c>
      <c r="L87" s="326" t="s">
        <v>2620</v>
      </c>
      <c r="M87" s="326" t="s">
        <v>2539</v>
      </c>
      <c r="N87" s="326" t="s">
        <v>2622</v>
      </c>
      <c r="O87" s="326" t="s">
        <v>2621</v>
      </c>
    </row>
    <row r="91" spans="1:17" ht="16.2" customHeight="1">
      <c r="J91" s="326">
        <v>2025</v>
      </c>
      <c r="K91" s="326" t="s">
        <v>1909</v>
      </c>
      <c r="L91" s="326" t="s">
        <v>2712</v>
      </c>
      <c r="M91" s="326" t="s">
        <v>2539</v>
      </c>
      <c r="N91" s="326" t="s">
        <v>2714</v>
      </c>
      <c r="P91" s="326"/>
    </row>
    <row r="92" spans="1:17" ht="16.2" customHeight="1">
      <c r="J92" s="326">
        <v>2025</v>
      </c>
      <c r="K92" s="326" t="s">
        <v>1909</v>
      </c>
      <c r="L92" s="326" t="s">
        <v>2715</v>
      </c>
      <c r="M92" s="326" t="s">
        <v>1058</v>
      </c>
      <c r="N92" s="326" t="s">
        <v>2717</v>
      </c>
      <c r="P92" s="326"/>
      <c r="Q92" s="421" t="s">
        <v>2926</v>
      </c>
    </row>
    <row r="93" spans="1:17" ht="16.2" customHeight="1">
      <c r="J93" s="326">
        <v>2025</v>
      </c>
      <c r="K93" s="326" t="s">
        <v>1909</v>
      </c>
      <c r="L93" s="326" t="s">
        <v>2718</v>
      </c>
      <c r="M93" s="326" t="s">
        <v>1068</v>
      </c>
      <c r="N93" s="326" t="s">
        <v>2720</v>
      </c>
      <c r="P93" s="326"/>
    </row>
    <row r="94" spans="1:17" ht="16.2" customHeight="1">
      <c r="J94" s="326">
        <v>2025</v>
      </c>
      <c r="K94" s="326" t="s">
        <v>1909</v>
      </c>
      <c r="L94" s="326" t="s">
        <v>2721</v>
      </c>
      <c r="M94" s="326" t="s">
        <v>1081</v>
      </c>
      <c r="N94" s="326" t="s">
        <v>2723</v>
      </c>
      <c r="P94" s="326"/>
    </row>
    <row r="95" spans="1:17" ht="16.2" customHeight="1">
      <c r="J95" s="326">
        <v>2025</v>
      </c>
      <c r="K95" s="326" t="s">
        <v>1909</v>
      </c>
      <c r="L95" s="326" t="s">
        <v>2724</v>
      </c>
      <c r="M95" s="326" t="s">
        <v>1081</v>
      </c>
      <c r="N95" s="326" t="s">
        <v>2726</v>
      </c>
      <c r="P95" s="326"/>
    </row>
    <row r="96" spans="1:17" ht="16.2" customHeight="1">
      <c r="J96" s="326">
        <v>2025</v>
      </c>
      <c r="K96" s="326" t="s">
        <v>1909</v>
      </c>
      <c r="L96" s="326" t="s">
        <v>2727</v>
      </c>
      <c r="M96" s="326" t="s">
        <v>1111</v>
      </c>
      <c r="N96" s="326" t="s">
        <v>2729</v>
      </c>
      <c r="P96" s="326"/>
    </row>
    <row r="97" spans="1:16" ht="16.2" customHeight="1">
      <c r="J97" s="326">
        <v>2025</v>
      </c>
      <c r="K97" s="326" t="s">
        <v>1909</v>
      </c>
      <c r="L97" s="326" t="s">
        <v>2730</v>
      </c>
      <c r="M97" s="326" t="s">
        <v>865</v>
      </c>
      <c r="N97" s="326" t="s">
        <v>2731</v>
      </c>
      <c r="P97" s="326"/>
    </row>
    <row r="98" spans="1:16" ht="16.2" customHeight="1">
      <c r="A98" s="419">
        <v>2024</v>
      </c>
      <c r="B98" s="419" t="s">
        <v>1909</v>
      </c>
      <c r="C98" s="419" t="s">
        <v>2112</v>
      </c>
      <c r="D98" s="419" t="s">
        <v>865</v>
      </c>
      <c r="E98" s="419" t="s">
        <v>2321</v>
      </c>
      <c r="F98" s="419" t="s">
        <v>2281</v>
      </c>
      <c r="J98" s="419">
        <v>2025</v>
      </c>
      <c r="K98" s="419" t="s">
        <v>1909</v>
      </c>
      <c r="L98" s="419" t="s">
        <v>2112</v>
      </c>
      <c r="M98" s="419" t="s">
        <v>865</v>
      </c>
      <c r="N98" s="419" t="s">
        <v>2321</v>
      </c>
      <c r="O98" s="419" t="s">
        <v>2281</v>
      </c>
    </row>
    <row r="99" spans="1:16" ht="16.2" customHeight="1">
      <c r="A99" s="419">
        <v>2024</v>
      </c>
      <c r="B99" s="419" t="s">
        <v>1909</v>
      </c>
      <c r="C99" s="419" t="s">
        <v>1050</v>
      </c>
      <c r="D99" s="419" t="s">
        <v>865</v>
      </c>
      <c r="E99" s="419" t="s">
        <v>1051</v>
      </c>
      <c r="F99" s="419" t="s">
        <v>1052</v>
      </c>
      <c r="J99" s="419">
        <v>2025</v>
      </c>
      <c r="K99" s="419" t="s">
        <v>1909</v>
      </c>
      <c r="L99" s="419" t="s">
        <v>1050</v>
      </c>
      <c r="M99" s="419" t="s">
        <v>865</v>
      </c>
      <c r="N99" s="419" t="s">
        <v>2732</v>
      </c>
      <c r="O99" s="419" t="s">
        <v>1052</v>
      </c>
    </row>
    <row r="100" spans="1:16" ht="16.2" customHeight="1">
      <c r="A100" s="419">
        <v>2024</v>
      </c>
      <c r="B100" s="419" t="s">
        <v>1909</v>
      </c>
      <c r="C100" s="419" t="s">
        <v>1053</v>
      </c>
      <c r="D100" s="419" t="s">
        <v>1054</v>
      </c>
      <c r="E100" s="419" t="s">
        <v>1055</v>
      </c>
      <c r="F100" s="419" t="s">
        <v>1056</v>
      </c>
      <c r="J100" s="419">
        <v>2025</v>
      </c>
      <c r="K100" s="419" t="s">
        <v>1909</v>
      </c>
      <c r="L100" s="419" t="s">
        <v>1053</v>
      </c>
      <c r="M100" s="419" t="s">
        <v>1054</v>
      </c>
      <c r="N100" s="419" t="s">
        <v>1055</v>
      </c>
      <c r="O100" s="419" t="s">
        <v>1056</v>
      </c>
    </row>
    <row r="101" spans="1:16" ht="16.2" customHeight="1">
      <c r="A101" s="419">
        <v>2024</v>
      </c>
      <c r="B101" s="419" t="s">
        <v>1909</v>
      </c>
      <c r="C101" s="419" t="s">
        <v>1057</v>
      </c>
      <c r="D101" s="419" t="s">
        <v>1058</v>
      </c>
      <c r="E101" s="419" t="s">
        <v>1059</v>
      </c>
      <c r="F101" s="419" t="s">
        <v>1060</v>
      </c>
      <c r="J101" s="419">
        <v>2025</v>
      </c>
      <c r="K101" s="419" t="s">
        <v>1909</v>
      </c>
      <c r="L101" s="419" t="s">
        <v>1057</v>
      </c>
      <c r="M101" s="419" t="s">
        <v>1058</v>
      </c>
      <c r="N101" s="419" t="s">
        <v>1059</v>
      </c>
      <c r="O101" s="419" t="s">
        <v>1060</v>
      </c>
    </row>
    <row r="102" spans="1:16" ht="16.2" customHeight="1">
      <c r="A102" s="419">
        <v>2024</v>
      </c>
      <c r="B102" s="419" t="s">
        <v>1909</v>
      </c>
      <c r="C102" s="419" t="s">
        <v>1061</v>
      </c>
      <c r="D102" s="419" t="s">
        <v>1058</v>
      </c>
      <c r="E102" s="419" t="s">
        <v>1062</v>
      </c>
      <c r="F102" s="419" t="s">
        <v>1063</v>
      </c>
      <c r="J102" s="419">
        <v>2025</v>
      </c>
      <c r="K102" s="419" t="s">
        <v>1909</v>
      </c>
      <c r="L102" s="419" t="s">
        <v>1061</v>
      </c>
      <c r="M102" s="419" t="s">
        <v>1058</v>
      </c>
      <c r="N102" s="419" t="s">
        <v>2734</v>
      </c>
      <c r="O102" s="419" t="s">
        <v>2733</v>
      </c>
    </row>
    <row r="103" spans="1:16" ht="16.2" customHeight="1">
      <c r="A103" s="419">
        <v>2024</v>
      </c>
      <c r="B103" s="419" t="s">
        <v>1909</v>
      </c>
      <c r="C103" s="419" t="s">
        <v>1064</v>
      </c>
      <c r="D103" s="419" t="s">
        <v>1058</v>
      </c>
      <c r="E103" s="419" t="s">
        <v>1065</v>
      </c>
      <c r="F103" s="419" t="s">
        <v>1066</v>
      </c>
      <c r="J103" s="419">
        <v>2025</v>
      </c>
      <c r="K103" s="419" t="s">
        <v>1909</v>
      </c>
      <c r="L103" s="419" t="s">
        <v>1064</v>
      </c>
      <c r="M103" s="419" t="s">
        <v>1058</v>
      </c>
      <c r="N103" s="419" t="s">
        <v>1065</v>
      </c>
      <c r="O103" s="419" t="s">
        <v>1066</v>
      </c>
    </row>
    <row r="104" spans="1:16" ht="16.2" customHeight="1">
      <c r="A104" s="419">
        <v>2024</v>
      </c>
      <c r="B104" s="419" t="s">
        <v>1909</v>
      </c>
      <c r="C104" s="419" t="s">
        <v>1077</v>
      </c>
      <c r="D104" s="419" t="s">
        <v>1068</v>
      </c>
      <c r="E104" s="419" t="s">
        <v>1078</v>
      </c>
      <c r="F104" s="419" t="s">
        <v>1079</v>
      </c>
      <c r="J104" s="419">
        <v>2025</v>
      </c>
      <c r="K104" s="419" t="s">
        <v>1909</v>
      </c>
      <c r="L104" s="419" t="s">
        <v>1077</v>
      </c>
      <c r="M104" s="419" t="s">
        <v>1068</v>
      </c>
      <c r="N104" s="419" t="s">
        <v>2736</v>
      </c>
      <c r="O104" s="419" t="s">
        <v>2735</v>
      </c>
    </row>
    <row r="105" spans="1:16" ht="16.2" customHeight="1">
      <c r="A105" s="419">
        <v>2024</v>
      </c>
      <c r="B105" s="419" t="s">
        <v>1909</v>
      </c>
      <c r="C105" s="419" t="s">
        <v>1080</v>
      </c>
      <c r="D105" s="419" t="s">
        <v>1081</v>
      </c>
      <c r="E105" s="419" t="s">
        <v>1082</v>
      </c>
      <c r="F105" s="419" t="s">
        <v>1083</v>
      </c>
      <c r="J105" s="419">
        <v>2025</v>
      </c>
      <c r="K105" s="419" t="s">
        <v>1909</v>
      </c>
      <c r="L105" s="419" t="s">
        <v>1080</v>
      </c>
      <c r="M105" s="419" t="s">
        <v>1081</v>
      </c>
      <c r="N105" s="419" t="s">
        <v>1082</v>
      </c>
      <c r="O105" s="419" t="s">
        <v>1083</v>
      </c>
    </row>
    <row r="106" spans="1:16" ht="16.2" customHeight="1">
      <c r="A106" s="419">
        <v>2024</v>
      </c>
      <c r="B106" s="419" t="s">
        <v>1909</v>
      </c>
      <c r="C106" s="419" t="s">
        <v>1084</v>
      </c>
      <c r="D106" s="419" t="s">
        <v>1081</v>
      </c>
      <c r="E106" s="419" t="s">
        <v>1085</v>
      </c>
      <c r="F106" s="419" t="s">
        <v>1086</v>
      </c>
      <c r="J106" s="419">
        <v>2025</v>
      </c>
      <c r="K106" s="419" t="s">
        <v>1909</v>
      </c>
      <c r="L106" s="419" t="s">
        <v>1084</v>
      </c>
      <c r="M106" s="419" t="s">
        <v>1081</v>
      </c>
      <c r="N106" s="419" t="s">
        <v>1085</v>
      </c>
      <c r="O106" s="419" t="s">
        <v>1086</v>
      </c>
    </row>
    <row r="107" spans="1:16" ht="16.2" customHeight="1">
      <c r="A107" s="419">
        <v>2024</v>
      </c>
      <c r="B107" s="419" t="s">
        <v>1909</v>
      </c>
      <c r="C107" s="419" t="s">
        <v>1087</v>
      </c>
      <c r="D107" s="419" t="s">
        <v>1081</v>
      </c>
      <c r="E107" s="419" t="s">
        <v>1088</v>
      </c>
      <c r="F107" s="419" t="s">
        <v>1089</v>
      </c>
      <c r="J107" s="419">
        <v>2025</v>
      </c>
      <c r="K107" s="419" t="s">
        <v>1909</v>
      </c>
      <c r="L107" s="419" t="s">
        <v>1087</v>
      </c>
      <c r="M107" s="419" t="s">
        <v>1081</v>
      </c>
      <c r="N107" s="419" t="s">
        <v>1088</v>
      </c>
      <c r="O107" s="419" t="s">
        <v>1089</v>
      </c>
    </row>
    <row r="108" spans="1:16" ht="16.2" customHeight="1">
      <c r="A108" s="419">
        <v>2024</v>
      </c>
      <c r="B108" s="419" t="s">
        <v>1909</v>
      </c>
      <c r="C108" s="419" t="s">
        <v>1090</v>
      </c>
      <c r="D108" s="419" t="s">
        <v>1081</v>
      </c>
      <c r="E108" s="419" t="s">
        <v>1091</v>
      </c>
      <c r="F108" s="419" t="s">
        <v>1092</v>
      </c>
      <c r="J108" s="419">
        <v>2025</v>
      </c>
      <c r="K108" s="419" t="s">
        <v>1909</v>
      </c>
      <c r="L108" s="419" t="s">
        <v>1090</v>
      </c>
      <c r="M108" s="419" t="s">
        <v>1081</v>
      </c>
      <c r="N108" s="419" t="s">
        <v>2737</v>
      </c>
      <c r="O108" s="419" t="s">
        <v>1092</v>
      </c>
    </row>
    <row r="109" spans="1:16" ht="16.2" customHeight="1">
      <c r="C109" s="326" t="s">
        <v>1071</v>
      </c>
      <c r="D109" s="326" t="s">
        <v>1068</v>
      </c>
      <c r="E109" s="326" t="s">
        <v>1072</v>
      </c>
      <c r="F109" s="326" t="s">
        <v>1073</v>
      </c>
      <c r="G109" s="326"/>
      <c r="J109" s="326">
        <v>2025</v>
      </c>
      <c r="K109" s="326" t="s">
        <v>1909</v>
      </c>
      <c r="L109" s="326" t="s">
        <v>2738</v>
      </c>
      <c r="M109" s="326" t="s">
        <v>1068</v>
      </c>
      <c r="N109" s="326" t="s">
        <v>2739</v>
      </c>
      <c r="O109" s="326" t="s">
        <v>1073</v>
      </c>
      <c r="P109" s="326"/>
    </row>
    <row r="110" spans="1:16" ht="16.2" customHeight="1">
      <c r="J110" s="326">
        <v>2025</v>
      </c>
      <c r="K110" s="326" t="s">
        <v>1909</v>
      </c>
      <c r="L110" s="326" t="s">
        <v>2740</v>
      </c>
      <c r="M110" s="326" t="s">
        <v>1068</v>
      </c>
      <c r="N110" s="326" t="s">
        <v>2742</v>
      </c>
      <c r="O110" s="326" t="s">
        <v>2741</v>
      </c>
      <c r="P110" s="326"/>
    </row>
    <row r="111" spans="1:16" ht="16.2" customHeight="1">
      <c r="C111" s="326" t="s">
        <v>1047</v>
      </c>
      <c r="D111" s="326" t="s">
        <v>865</v>
      </c>
      <c r="E111" s="326" t="s">
        <v>1048</v>
      </c>
      <c r="F111" s="326" t="s">
        <v>1049</v>
      </c>
      <c r="J111" s="326">
        <v>2025</v>
      </c>
      <c r="K111" s="326" t="s">
        <v>1909</v>
      </c>
      <c r="L111" s="326" t="s">
        <v>2743</v>
      </c>
      <c r="M111" s="326" t="s">
        <v>1081</v>
      </c>
      <c r="N111" s="326" t="s">
        <v>2745</v>
      </c>
      <c r="O111" s="326" t="s">
        <v>2744</v>
      </c>
      <c r="P111" s="326"/>
    </row>
    <row r="112" spans="1:16" ht="16.2" customHeight="1">
      <c r="C112" s="326" t="s">
        <v>1047</v>
      </c>
      <c r="D112" s="326" t="s">
        <v>865</v>
      </c>
      <c r="E112" s="326" t="s">
        <v>1048</v>
      </c>
      <c r="F112" s="326" t="s">
        <v>1049</v>
      </c>
      <c r="J112" s="326">
        <v>2025</v>
      </c>
      <c r="K112" s="326" t="s">
        <v>1909</v>
      </c>
      <c r="L112" s="326" t="s">
        <v>2746</v>
      </c>
      <c r="M112" s="326" t="s">
        <v>1081</v>
      </c>
      <c r="N112" s="326" t="s">
        <v>2748</v>
      </c>
      <c r="O112" s="326" t="s">
        <v>2747</v>
      </c>
      <c r="P112" s="326"/>
    </row>
    <row r="113" spans="1:16" ht="16.2" customHeight="1">
      <c r="C113" s="326" t="s">
        <v>1123</v>
      </c>
      <c r="D113" s="326" t="s">
        <v>1081</v>
      </c>
      <c r="E113" s="326" t="s">
        <v>1124</v>
      </c>
      <c r="F113" s="326" t="s">
        <v>1125</v>
      </c>
      <c r="G113" s="326"/>
      <c r="J113" s="326">
        <v>2025</v>
      </c>
      <c r="K113" s="326" t="s">
        <v>1909</v>
      </c>
      <c r="L113" s="326" t="s">
        <v>2749</v>
      </c>
      <c r="M113" s="326" t="s">
        <v>1081</v>
      </c>
      <c r="N113" s="326" t="s">
        <v>2751</v>
      </c>
      <c r="O113" s="326" t="s">
        <v>2750</v>
      </c>
      <c r="P113" s="326"/>
    </row>
    <row r="114" spans="1:16" ht="16.2" customHeight="1">
      <c r="C114" s="326" t="s">
        <v>1131</v>
      </c>
      <c r="D114" s="326" t="s">
        <v>1081</v>
      </c>
      <c r="E114" s="326" t="s">
        <v>1132</v>
      </c>
      <c r="F114" s="326" t="s">
        <v>1133</v>
      </c>
      <c r="G114" s="326"/>
      <c r="J114" s="326">
        <v>2025</v>
      </c>
      <c r="K114" s="326" t="s">
        <v>1909</v>
      </c>
      <c r="L114" s="326" t="s">
        <v>2752</v>
      </c>
      <c r="M114" s="326" t="s">
        <v>1081</v>
      </c>
      <c r="N114" s="326" t="s">
        <v>2754</v>
      </c>
      <c r="O114" s="326" t="s">
        <v>2753</v>
      </c>
      <c r="P114" s="326"/>
    </row>
    <row r="115" spans="1:16" ht="16.2" customHeight="1">
      <c r="A115" s="419">
        <v>2024</v>
      </c>
      <c r="B115" s="419" t="s">
        <v>1909</v>
      </c>
      <c r="C115" s="419" t="s">
        <v>1093</v>
      </c>
      <c r="D115" s="419" t="s">
        <v>1111</v>
      </c>
      <c r="E115" s="419" t="s">
        <v>1095</v>
      </c>
      <c r="F115" s="419" t="s">
        <v>1097</v>
      </c>
      <c r="J115" s="419">
        <v>2025</v>
      </c>
      <c r="K115" s="419" t="s">
        <v>1909</v>
      </c>
      <c r="L115" s="419" t="s">
        <v>1093</v>
      </c>
      <c r="M115" s="419" t="s">
        <v>1111</v>
      </c>
      <c r="N115" s="419" t="s">
        <v>2755</v>
      </c>
      <c r="O115" s="419" t="s">
        <v>1097</v>
      </c>
    </row>
    <row r="116" spans="1:16" ht="16.2" customHeight="1">
      <c r="C116" s="326" t="s">
        <v>1114</v>
      </c>
      <c r="D116" s="326" t="s">
        <v>1111</v>
      </c>
      <c r="E116" s="326" t="s">
        <v>1115</v>
      </c>
      <c r="F116" s="326" t="s">
        <v>1116</v>
      </c>
      <c r="G116" s="326"/>
      <c r="J116" s="326">
        <v>2025</v>
      </c>
      <c r="K116" s="326" t="s">
        <v>1909</v>
      </c>
      <c r="L116" s="326" t="s">
        <v>2756</v>
      </c>
      <c r="M116" s="326" t="s">
        <v>1111</v>
      </c>
      <c r="N116" s="326" t="s">
        <v>2758</v>
      </c>
      <c r="O116" s="326" t="s">
        <v>2757</v>
      </c>
      <c r="P116" s="326"/>
    </row>
    <row r="117" spans="1:16" ht="16.2" customHeight="1">
      <c r="C117" s="326" t="s">
        <v>1114</v>
      </c>
      <c r="D117" s="326" t="s">
        <v>1111</v>
      </c>
      <c r="E117" s="326" t="s">
        <v>1115</v>
      </c>
      <c r="F117" s="326" t="s">
        <v>1116</v>
      </c>
      <c r="G117" s="326"/>
      <c r="J117" s="326">
        <v>2025</v>
      </c>
      <c r="K117" s="326" t="s">
        <v>1909</v>
      </c>
      <c r="L117" s="326" t="s">
        <v>2759</v>
      </c>
      <c r="M117" s="326" t="s">
        <v>1111</v>
      </c>
      <c r="N117" s="326" t="s">
        <v>2761</v>
      </c>
      <c r="O117" s="326" t="s">
        <v>2760</v>
      </c>
      <c r="P117" s="326"/>
    </row>
    <row r="118" spans="1:16" ht="16.2" customHeight="1">
      <c r="A118" s="419">
        <v>2024</v>
      </c>
      <c r="B118" s="419" t="s">
        <v>1909</v>
      </c>
      <c r="C118" s="419" t="s">
        <v>1098</v>
      </c>
      <c r="D118" s="419" t="s">
        <v>1094</v>
      </c>
      <c r="E118" s="419" t="s">
        <v>1099</v>
      </c>
      <c r="F118" s="419" t="s">
        <v>1100</v>
      </c>
      <c r="J118" s="419">
        <v>2025</v>
      </c>
      <c r="K118" s="419" t="s">
        <v>1909</v>
      </c>
      <c r="L118" s="419" t="s">
        <v>1098</v>
      </c>
      <c r="M118" s="419" t="s">
        <v>1094</v>
      </c>
      <c r="N118" s="419" t="s">
        <v>1099</v>
      </c>
      <c r="O118" s="419" t="s">
        <v>1100</v>
      </c>
    </row>
    <row r="119" spans="1:16" ht="16.2" customHeight="1">
      <c r="C119" s="326" t="s">
        <v>2113</v>
      </c>
      <c r="D119" s="326" t="s">
        <v>865</v>
      </c>
      <c r="E119" s="326" t="s">
        <v>2279</v>
      </c>
      <c r="F119" s="326" t="s">
        <v>2280</v>
      </c>
      <c r="G119" s="326"/>
      <c r="J119" s="326">
        <v>2025</v>
      </c>
      <c r="K119" s="326" t="s">
        <v>1909</v>
      </c>
      <c r="L119" s="326" t="s">
        <v>2762</v>
      </c>
      <c r="M119" s="326" t="s">
        <v>865</v>
      </c>
      <c r="N119" s="326" t="s">
        <v>2764</v>
      </c>
      <c r="O119" s="326" t="s">
        <v>2763</v>
      </c>
      <c r="P119" s="326"/>
    </row>
    <row r="120" spans="1:16" ht="16.2" customHeight="1">
      <c r="A120" s="419">
        <v>2024</v>
      </c>
      <c r="B120" s="419" t="s">
        <v>1909</v>
      </c>
      <c r="C120" s="419" t="s">
        <v>1101</v>
      </c>
      <c r="D120" s="419" t="s">
        <v>1094</v>
      </c>
      <c r="E120" s="419" t="s">
        <v>1102</v>
      </c>
      <c r="F120" s="419" t="s">
        <v>1103</v>
      </c>
      <c r="J120" s="419">
        <v>2025</v>
      </c>
      <c r="K120" s="419" t="s">
        <v>1909</v>
      </c>
      <c r="L120" s="419" t="s">
        <v>1101</v>
      </c>
      <c r="M120" s="419" t="s">
        <v>1094</v>
      </c>
      <c r="N120" s="419" t="s">
        <v>2765</v>
      </c>
      <c r="O120" s="419" t="s">
        <v>1103</v>
      </c>
    </row>
    <row r="121" spans="1:16" ht="16.2" customHeight="1">
      <c r="A121" s="419">
        <v>2024</v>
      </c>
      <c r="B121" s="419" t="s">
        <v>1909</v>
      </c>
      <c r="C121" s="419" t="s">
        <v>1104</v>
      </c>
      <c r="D121" s="419" t="s">
        <v>1105</v>
      </c>
      <c r="E121" s="419" t="s">
        <v>1106</v>
      </c>
      <c r="F121" s="419" t="s">
        <v>1109</v>
      </c>
      <c r="J121" s="419">
        <v>2025</v>
      </c>
      <c r="K121" s="419" t="s">
        <v>1909</v>
      </c>
      <c r="L121" s="419" t="s">
        <v>1104</v>
      </c>
      <c r="M121" s="419" t="s">
        <v>1105</v>
      </c>
      <c r="N121" s="419" t="s">
        <v>1106</v>
      </c>
      <c r="O121" s="419" t="s">
        <v>1109</v>
      </c>
    </row>
    <row r="122" spans="1:16" ht="16.2" customHeight="1">
      <c r="A122" s="419">
        <v>2024</v>
      </c>
      <c r="B122" s="419" t="s">
        <v>1909</v>
      </c>
      <c r="C122" s="419" t="s">
        <v>1110</v>
      </c>
      <c r="D122" s="419" t="s">
        <v>1111</v>
      </c>
      <c r="E122" s="419" t="s">
        <v>1112</v>
      </c>
      <c r="F122" s="419" t="s">
        <v>1113</v>
      </c>
      <c r="J122" s="419">
        <v>2025</v>
      </c>
      <c r="K122" s="419" t="s">
        <v>1909</v>
      </c>
      <c r="L122" s="419" t="s">
        <v>1110</v>
      </c>
      <c r="M122" s="419" t="s">
        <v>1111</v>
      </c>
      <c r="N122" s="419" t="s">
        <v>2766</v>
      </c>
      <c r="O122" s="419" t="s">
        <v>1113</v>
      </c>
    </row>
    <row r="123" spans="1:16" ht="16.2" customHeight="1">
      <c r="A123" s="419">
        <v>2024</v>
      </c>
      <c r="B123" s="419" t="s">
        <v>1909</v>
      </c>
      <c r="C123" s="419" t="s">
        <v>1117</v>
      </c>
      <c r="D123" s="419" t="s">
        <v>1094</v>
      </c>
      <c r="E123" s="419" t="s">
        <v>1118</v>
      </c>
      <c r="F123" s="419" t="s">
        <v>1119</v>
      </c>
      <c r="J123" s="419">
        <v>2025</v>
      </c>
      <c r="K123" s="419" t="s">
        <v>1909</v>
      </c>
      <c r="L123" s="419" t="s">
        <v>1117</v>
      </c>
      <c r="M123" s="419" t="s">
        <v>1094</v>
      </c>
      <c r="N123" s="419" t="s">
        <v>2767</v>
      </c>
      <c r="O123" s="419" t="s">
        <v>1119</v>
      </c>
    </row>
    <row r="124" spans="1:16" ht="16.2" customHeight="1">
      <c r="C124" s="326" t="s">
        <v>1074</v>
      </c>
      <c r="D124" s="326" t="s">
        <v>1068</v>
      </c>
      <c r="E124" s="326" t="s">
        <v>1075</v>
      </c>
      <c r="F124" s="326" t="s">
        <v>1076</v>
      </c>
      <c r="G124" s="326"/>
      <c r="J124" s="326">
        <v>2025</v>
      </c>
      <c r="K124" s="326" t="s">
        <v>1909</v>
      </c>
      <c r="L124" s="326" t="s">
        <v>1936</v>
      </c>
      <c r="M124" s="326" t="s">
        <v>1068</v>
      </c>
      <c r="N124" s="326" t="s">
        <v>2769</v>
      </c>
      <c r="O124" s="326" t="s">
        <v>2768</v>
      </c>
      <c r="P124" s="326"/>
    </row>
    <row r="125" spans="1:16" ht="16.2" customHeight="1">
      <c r="A125" s="419">
        <v>2024</v>
      </c>
      <c r="B125" s="419" t="s">
        <v>1909</v>
      </c>
      <c r="C125" s="419" t="s">
        <v>1120</v>
      </c>
      <c r="D125" s="419" t="s">
        <v>1094</v>
      </c>
      <c r="E125" s="419" t="s">
        <v>1121</v>
      </c>
      <c r="F125" s="419" t="s">
        <v>1122</v>
      </c>
      <c r="J125" s="419">
        <v>2025</v>
      </c>
      <c r="K125" s="419" t="s">
        <v>1909</v>
      </c>
      <c r="L125" s="419" t="s">
        <v>1120</v>
      </c>
      <c r="M125" s="419" t="s">
        <v>1094</v>
      </c>
      <c r="N125" s="419" t="s">
        <v>2770</v>
      </c>
      <c r="O125" s="419" t="s">
        <v>1122</v>
      </c>
    </row>
    <row r="126" spans="1:16" ht="16.2" customHeight="1">
      <c r="A126" s="419">
        <v>2024</v>
      </c>
      <c r="B126" s="419" t="s">
        <v>1909</v>
      </c>
      <c r="C126" s="419" t="s">
        <v>1126</v>
      </c>
      <c r="D126" s="419" t="s">
        <v>1127</v>
      </c>
      <c r="E126" s="419" t="s">
        <v>1128</v>
      </c>
      <c r="F126" s="419" t="s">
        <v>1129</v>
      </c>
      <c r="J126" s="419">
        <v>2025</v>
      </c>
      <c r="K126" s="419" t="s">
        <v>1909</v>
      </c>
      <c r="L126" s="419" t="s">
        <v>1126</v>
      </c>
      <c r="M126" s="419" t="s">
        <v>1127</v>
      </c>
      <c r="N126" s="419" t="s">
        <v>1128</v>
      </c>
      <c r="O126" s="419" t="s">
        <v>1129</v>
      </c>
    </row>
    <row r="127" spans="1:16" ht="16.2" customHeight="1">
      <c r="A127" s="419">
        <v>2024</v>
      </c>
      <c r="B127" s="419" t="s">
        <v>1909</v>
      </c>
      <c r="C127" s="419" t="s">
        <v>1134</v>
      </c>
      <c r="D127" s="419" t="s">
        <v>1094</v>
      </c>
      <c r="E127" s="419" t="s">
        <v>1135</v>
      </c>
      <c r="F127" s="419" t="s">
        <v>1136</v>
      </c>
      <c r="J127" s="419">
        <v>2025</v>
      </c>
      <c r="K127" s="419" t="s">
        <v>1909</v>
      </c>
      <c r="L127" s="419" t="s">
        <v>1134</v>
      </c>
      <c r="M127" s="419" t="s">
        <v>1094</v>
      </c>
      <c r="N127" s="419" t="s">
        <v>2771</v>
      </c>
      <c r="O127" s="419" t="s">
        <v>1136</v>
      </c>
    </row>
    <row r="128" spans="1:16" ht="16.2" customHeight="1">
      <c r="A128" s="419">
        <v>2024</v>
      </c>
      <c r="B128" s="419" t="s">
        <v>1909</v>
      </c>
      <c r="C128" s="419" t="s">
        <v>1137</v>
      </c>
      <c r="D128" s="419" t="s">
        <v>1094</v>
      </c>
      <c r="E128" s="419" t="s">
        <v>1138</v>
      </c>
      <c r="F128" s="419" t="s">
        <v>1139</v>
      </c>
      <c r="J128" s="419">
        <v>2025</v>
      </c>
      <c r="K128" s="419" t="s">
        <v>1909</v>
      </c>
      <c r="L128" s="419" t="s">
        <v>1137</v>
      </c>
      <c r="M128" s="419" t="s">
        <v>1094</v>
      </c>
      <c r="N128" s="419" t="s">
        <v>2772</v>
      </c>
      <c r="O128" s="419" t="s">
        <v>1139</v>
      </c>
    </row>
    <row r="129" spans="1:16" ht="16.2" customHeight="1">
      <c r="A129" s="419">
        <v>2024</v>
      </c>
      <c r="B129" s="419" t="s">
        <v>1909</v>
      </c>
      <c r="C129" s="419" t="s">
        <v>1140</v>
      </c>
      <c r="D129" s="419" t="s">
        <v>1094</v>
      </c>
      <c r="E129" s="419" t="s">
        <v>1141</v>
      </c>
      <c r="F129" s="419" t="s">
        <v>1142</v>
      </c>
      <c r="J129" s="419">
        <v>2025</v>
      </c>
      <c r="K129" s="419" t="s">
        <v>1909</v>
      </c>
      <c r="L129" s="419" t="s">
        <v>1140</v>
      </c>
      <c r="M129" s="419" t="s">
        <v>1094</v>
      </c>
      <c r="N129" s="419" t="s">
        <v>2169</v>
      </c>
      <c r="O129" s="419" t="s">
        <v>1142</v>
      </c>
    </row>
    <row r="130" spans="1:16" ht="16.2" customHeight="1">
      <c r="A130" s="419">
        <v>2024</v>
      </c>
      <c r="B130" s="419" t="s">
        <v>1909</v>
      </c>
      <c r="C130" s="419" t="s">
        <v>1143</v>
      </c>
      <c r="D130" s="419" t="s">
        <v>1094</v>
      </c>
      <c r="E130" s="419" t="s">
        <v>1144</v>
      </c>
      <c r="F130" s="419" t="s">
        <v>1145</v>
      </c>
      <c r="J130" s="419">
        <v>2025</v>
      </c>
      <c r="K130" s="419" t="s">
        <v>1909</v>
      </c>
      <c r="L130" s="419" t="s">
        <v>1143</v>
      </c>
      <c r="M130" s="419" t="s">
        <v>1094</v>
      </c>
      <c r="N130" s="419" t="s">
        <v>2773</v>
      </c>
      <c r="O130" s="419" t="s">
        <v>1145</v>
      </c>
    </row>
    <row r="131" spans="1:16" ht="16.2" customHeight="1">
      <c r="C131" s="326" t="s">
        <v>1074</v>
      </c>
      <c r="D131" s="326" t="s">
        <v>1068</v>
      </c>
      <c r="E131" s="326" t="s">
        <v>1075</v>
      </c>
      <c r="F131" s="326" t="s">
        <v>1076</v>
      </c>
      <c r="J131" s="326">
        <v>2025</v>
      </c>
      <c r="K131" s="326" t="s">
        <v>1909</v>
      </c>
      <c r="L131" s="326" t="s">
        <v>1937</v>
      </c>
      <c r="M131" s="326" t="s">
        <v>1081</v>
      </c>
      <c r="N131" s="326" t="s">
        <v>2775</v>
      </c>
      <c r="O131" s="326" t="s">
        <v>2774</v>
      </c>
      <c r="P131" s="326"/>
    </row>
    <row r="132" spans="1:16" ht="16.2" customHeight="1">
      <c r="A132" s="419">
        <v>2024</v>
      </c>
      <c r="B132" s="419" t="s">
        <v>1909</v>
      </c>
      <c r="C132" s="419" t="s">
        <v>1146</v>
      </c>
      <c r="D132" s="419" t="s">
        <v>1081</v>
      </c>
      <c r="E132" s="419" t="s">
        <v>1147</v>
      </c>
      <c r="F132" s="419" t="s">
        <v>1148</v>
      </c>
      <c r="J132" s="419">
        <v>2025</v>
      </c>
      <c r="K132" s="419" t="s">
        <v>1909</v>
      </c>
      <c r="L132" s="419" t="s">
        <v>1146</v>
      </c>
      <c r="M132" s="419" t="s">
        <v>1081</v>
      </c>
      <c r="N132" s="419" t="s">
        <v>2776</v>
      </c>
      <c r="O132" s="419" t="s">
        <v>1148</v>
      </c>
    </row>
    <row r="133" spans="1:16" ht="16.2" customHeight="1">
      <c r="C133" s="326" t="s">
        <v>1067</v>
      </c>
      <c r="D133" s="326" t="s">
        <v>1068</v>
      </c>
      <c r="E133" s="326" t="s">
        <v>1069</v>
      </c>
      <c r="F133" s="326" t="s">
        <v>1070</v>
      </c>
      <c r="J133" s="326">
        <v>2025</v>
      </c>
      <c r="K133" s="326" t="s">
        <v>1909</v>
      </c>
      <c r="L133" s="326" t="s">
        <v>1933</v>
      </c>
      <c r="M133" s="326" t="s">
        <v>1068</v>
      </c>
      <c r="N133" s="326" t="s">
        <v>2778</v>
      </c>
      <c r="O133" s="326" t="s">
        <v>2777</v>
      </c>
      <c r="P133" s="326"/>
    </row>
    <row r="134" spans="1:16" ht="16.2" customHeight="1">
      <c r="C134" s="326" t="s">
        <v>1067</v>
      </c>
      <c r="D134" s="326" t="s">
        <v>1068</v>
      </c>
      <c r="E134" s="326" t="s">
        <v>1069</v>
      </c>
      <c r="F134" s="326" t="s">
        <v>1070</v>
      </c>
      <c r="J134" s="326">
        <v>2025</v>
      </c>
      <c r="K134" s="326" t="s">
        <v>1909</v>
      </c>
      <c r="L134" s="326" t="s">
        <v>1934</v>
      </c>
      <c r="M134" s="326" t="s">
        <v>1068</v>
      </c>
      <c r="N134" s="326" t="s">
        <v>2780</v>
      </c>
      <c r="O134" s="326" t="s">
        <v>2779</v>
      </c>
      <c r="P134" s="326"/>
    </row>
    <row r="135" spans="1:16" ht="16.2" customHeight="1">
      <c r="A135" s="419">
        <v>2024</v>
      </c>
      <c r="B135" s="419" t="s">
        <v>1909</v>
      </c>
      <c r="C135" s="419" t="s">
        <v>1149</v>
      </c>
      <c r="D135" s="419" t="s">
        <v>1081</v>
      </c>
      <c r="E135" s="419" t="s">
        <v>1150</v>
      </c>
      <c r="F135" s="419" t="s">
        <v>1151</v>
      </c>
      <c r="J135" s="419">
        <v>2025</v>
      </c>
      <c r="K135" s="419" t="s">
        <v>1909</v>
      </c>
      <c r="L135" s="419" t="s">
        <v>1149</v>
      </c>
      <c r="M135" s="419" t="s">
        <v>1081</v>
      </c>
      <c r="N135" s="419" t="s">
        <v>2781</v>
      </c>
      <c r="O135" s="419" t="s">
        <v>1151</v>
      </c>
    </row>
    <row r="140" spans="1:16" ht="16.2" customHeight="1">
      <c r="A140" s="419">
        <v>2024</v>
      </c>
      <c r="B140" s="419" t="s">
        <v>1882</v>
      </c>
      <c r="C140" s="419" t="s">
        <v>1152</v>
      </c>
      <c r="D140" s="419" t="s">
        <v>940</v>
      </c>
      <c r="E140" s="419" t="s">
        <v>1153</v>
      </c>
      <c r="F140" s="419" t="s">
        <v>1154</v>
      </c>
      <c r="J140" s="419">
        <v>2025</v>
      </c>
      <c r="K140" s="419" t="s">
        <v>1882</v>
      </c>
      <c r="L140" s="419" t="s">
        <v>1152</v>
      </c>
      <c r="N140" s="419" t="s">
        <v>1153</v>
      </c>
      <c r="O140" s="419" t="s">
        <v>1154</v>
      </c>
    </row>
    <row r="141" spans="1:16" ht="16.2" customHeight="1">
      <c r="A141" s="419">
        <v>2024</v>
      </c>
      <c r="B141" s="419" t="s">
        <v>1882</v>
      </c>
      <c r="C141" s="419" t="s">
        <v>1155</v>
      </c>
      <c r="D141" s="419" t="s">
        <v>940</v>
      </c>
      <c r="E141" s="419" t="s">
        <v>1156</v>
      </c>
      <c r="F141" s="419" t="s">
        <v>1158</v>
      </c>
      <c r="J141" s="419">
        <v>2025</v>
      </c>
      <c r="K141" s="419" t="s">
        <v>1882</v>
      </c>
      <c r="L141" s="419" t="s">
        <v>1155</v>
      </c>
      <c r="N141" s="419" t="s">
        <v>1156</v>
      </c>
      <c r="O141" s="419" t="s">
        <v>1158</v>
      </c>
    </row>
    <row r="142" spans="1:16" s="326" customFormat="1" ht="16.2" customHeight="1">
      <c r="A142" s="326">
        <v>2024</v>
      </c>
      <c r="B142" s="326" t="s">
        <v>1882</v>
      </c>
      <c r="C142" s="326" t="s">
        <v>1159</v>
      </c>
      <c r="D142" s="326" t="s">
        <v>940</v>
      </c>
      <c r="E142" s="326" t="s">
        <v>1160</v>
      </c>
      <c r="F142" s="326" t="s">
        <v>1161</v>
      </c>
    </row>
    <row r="143" spans="1:16" s="326" customFormat="1" ht="16.2" customHeight="1">
      <c r="A143" s="326">
        <v>2024</v>
      </c>
      <c r="B143" s="326" t="s">
        <v>1882</v>
      </c>
      <c r="C143" s="326" t="s">
        <v>1162</v>
      </c>
      <c r="D143" s="326" t="s">
        <v>940</v>
      </c>
      <c r="E143" s="326" t="s">
        <v>1163</v>
      </c>
      <c r="F143" s="326" t="s">
        <v>1164</v>
      </c>
    </row>
    <row r="144" spans="1:16" ht="16.2" customHeight="1">
      <c r="A144" s="419">
        <v>2024</v>
      </c>
      <c r="B144" s="419" t="s">
        <v>1882</v>
      </c>
      <c r="C144" s="419" t="s">
        <v>1165</v>
      </c>
      <c r="D144" s="419" t="s">
        <v>940</v>
      </c>
      <c r="E144" s="419" t="s">
        <v>73</v>
      </c>
      <c r="F144" s="419" t="s">
        <v>1166</v>
      </c>
      <c r="J144" s="419">
        <v>2025</v>
      </c>
      <c r="K144" s="419" t="s">
        <v>1882</v>
      </c>
      <c r="L144" s="419" t="s">
        <v>1165</v>
      </c>
      <c r="N144" s="419" t="s">
        <v>73</v>
      </c>
      <c r="O144" s="419" t="s">
        <v>1166</v>
      </c>
    </row>
    <row r="145" spans="1:15" ht="16.2" customHeight="1">
      <c r="A145" s="419">
        <v>2024</v>
      </c>
      <c r="B145" s="419" t="s">
        <v>1882</v>
      </c>
      <c r="C145" s="419" t="s">
        <v>1168</v>
      </c>
      <c r="D145" s="419" t="s">
        <v>940</v>
      </c>
      <c r="E145" s="419" t="s">
        <v>1169</v>
      </c>
      <c r="F145" s="419" t="s">
        <v>1170</v>
      </c>
      <c r="J145" s="419">
        <v>2025</v>
      </c>
      <c r="K145" s="419" t="s">
        <v>1882</v>
      </c>
      <c r="L145" s="419" t="s">
        <v>1168</v>
      </c>
      <c r="N145" s="419" t="s">
        <v>1169</v>
      </c>
      <c r="O145" s="419" t="s">
        <v>1170</v>
      </c>
    </row>
    <row r="146" spans="1:15" ht="16.2" customHeight="1">
      <c r="A146" s="419">
        <v>2024</v>
      </c>
      <c r="B146" s="419" t="s">
        <v>1882</v>
      </c>
      <c r="C146" s="419" t="s">
        <v>1172</v>
      </c>
      <c r="D146" s="419" t="s">
        <v>940</v>
      </c>
      <c r="E146" s="419" t="s">
        <v>302</v>
      </c>
      <c r="F146" s="419" t="s">
        <v>1173</v>
      </c>
      <c r="J146" s="419">
        <v>2025</v>
      </c>
      <c r="K146" s="419" t="s">
        <v>1882</v>
      </c>
      <c r="L146" s="419" t="s">
        <v>1172</v>
      </c>
      <c r="N146" s="419" t="s">
        <v>302</v>
      </c>
      <c r="O146" s="419" t="s">
        <v>1173</v>
      </c>
    </row>
    <row r="147" spans="1:15" ht="16.2" customHeight="1">
      <c r="A147" s="419">
        <v>2024</v>
      </c>
      <c r="B147" s="419" t="s">
        <v>1882</v>
      </c>
      <c r="C147" s="419" t="s">
        <v>1174</v>
      </c>
      <c r="D147" s="419" t="s">
        <v>940</v>
      </c>
      <c r="E147" s="419" t="s">
        <v>1175</v>
      </c>
      <c r="F147" s="419" t="s">
        <v>1176</v>
      </c>
      <c r="J147" s="419">
        <v>2025</v>
      </c>
      <c r="K147" s="419" t="s">
        <v>1882</v>
      </c>
      <c r="L147" s="419" t="s">
        <v>1174</v>
      </c>
      <c r="N147" s="419" t="s">
        <v>1175</v>
      </c>
      <c r="O147" s="419" t="s">
        <v>1176</v>
      </c>
    </row>
    <row r="148" spans="1:15" ht="16.2" customHeight="1">
      <c r="A148" s="419">
        <v>2024</v>
      </c>
      <c r="B148" s="419" t="s">
        <v>1882</v>
      </c>
      <c r="C148" s="419" t="s">
        <v>1177</v>
      </c>
      <c r="D148" s="419" t="s">
        <v>940</v>
      </c>
      <c r="E148" s="419" t="s">
        <v>1178</v>
      </c>
      <c r="F148" s="419" t="s">
        <v>1179</v>
      </c>
      <c r="J148" s="419">
        <v>2025</v>
      </c>
      <c r="K148" s="419" t="s">
        <v>1882</v>
      </c>
      <c r="L148" s="419" t="s">
        <v>1177</v>
      </c>
      <c r="N148" s="419" t="s">
        <v>1178</v>
      </c>
      <c r="O148" s="419" t="s">
        <v>1179</v>
      </c>
    </row>
    <row r="149" spans="1:15" ht="16.2" customHeight="1">
      <c r="A149" s="419">
        <v>2024</v>
      </c>
      <c r="B149" s="419" t="s">
        <v>1882</v>
      </c>
      <c r="C149" s="419" t="s">
        <v>1180</v>
      </c>
      <c r="D149" s="419" t="s">
        <v>940</v>
      </c>
      <c r="E149" s="419" t="s">
        <v>300</v>
      </c>
      <c r="F149" s="419" t="s">
        <v>1181</v>
      </c>
      <c r="J149" s="419">
        <v>2025</v>
      </c>
      <c r="K149" s="419" t="s">
        <v>1882</v>
      </c>
      <c r="L149" s="419" t="s">
        <v>1180</v>
      </c>
      <c r="N149" s="419" t="s">
        <v>300</v>
      </c>
      <c r="O149" s="419" t="s">
        <v>1181</v>
      </c>
    </row>
    <row r="150" spans="1:15" ht="16.2" customHeight="1">
      <c r="A150" s="419">
        <v>2024</v>
      </c>
      <c r="B150" s="419" t="s">
        <v>1882</v>
      </c>
      <c r="C150" s="419" t="s">
        <v>1183</v>
      </c>
      <c r="D150" s="419" t="s">
        <v>940</v>
      </c>
      <c r="E150" s="419" t="s">
        <v>1184</v>
      </c>
      <c r="F150" s="419" t="s">
        <v>1185</v>
      </c>
      <c r="J150" s="419">
        <v>2025</v>
      </c>
      <c r="K150" s="419" t="s">
        <v>1882</v>
      </c>
      <c r="L150" s="419" t="s">
        <v>1183</v>
      </c>
      <c r="N150" s="419" t="s">
        <v>1184</v>
      </c>
      <c r="O150" s="419" t="s">
        <v>1185</v>
      </c>
    </row>
    <row r="151" spans="1:15" ht="16.2" customHeight="1">
      <c r="J151" s="326">
        <v>2025</v>
      </c>
      <c r="K151" s="326" t="s">
        <v>1882</v>
      </c>
      <c r="L151" s="326" t="s">
        <v>2647</v>
      </c>
      <c r="M151" s="326"/>
      <c r="N151" s="326" t="s">
        <v>2649</v>
      </c>
      <c r="O151" s="326" t="s">
        <v>2648</v>
      </c>
    </row>
    <row r="152" spans="1:15" ht="16.2" customHeight="1">
      <c r="A152" s="419">
        <v>2024</v>
      </c>
      <c r="B152" s="419" t="s">
        <v>1882</v>
      </c>
      <c r="C152" s="419" t="s">
        <v>1186</v>
      </c>
      <c r="D152" s="419" t="s">
        <v>940</v>
      </c>
      <c r="E152" s="419" t="s">
        <v>1187</v>
      </c>
      <c r="F152" s="419" t="s">
        <v>1188</v>
      </c>
      <c r="J152" s="419">
        <v>2025</v>
      </c>
      <c r="K152" s="419" t="s">
        <v>1882</v>
      </c>
      <c r="L152" s="419" t="s">
        <v>1186</v>
      </c>
      <c r="N152" s="419" t="s">
        <v>1187</v>
      </c>
      <c r="O152" s="419" t="s">
        <v>1188</v>
      </c>
    </row>
    <row r="153" spans="1:15" ht="16.2" customHeight="1">
      <c r="A153" s="419">
        <v>2024</v>
      </c>
      <c r="B153" s="419" t="s">
        <v>1882</v>
      </c>
      <c r="C153" s="419" t="s">
        <v>1189</v>
      </c>
      <c r="D153" s="419" t="s">
        <v>940</v>
      </c>
      <c r="E153" s="419" t="s">
        <v>1190</v>
      </c>
      <c r="F153" s="419" t="s">
        <v>1191</v>
      </c>
      <c r="J153" s="419">
        <v>2025</v>
      </c>
      <c r="K153" s="419" t="s">
        <v>1882</v>
      </c>
      <c r="L153" s="419" t="s">
        <v>1189</v>
      </c>
      <c r="N153" s="419" t="s">
        <v>1190</v>
      </c>
      <c r="O153" s="419" t="s">
        <v>1191</v>
      </c>
    </row>
    <row r="154" spans="1:15" ht="16.2" customHeight="1">
      <c r="A154" s="419">
        <v>2024</v>
      </c>
      <c r="B154" s="419" t="s">
        <v>1882</v>
      </c>
      <c r="C154" s="419" t="s">
        <v>1193</v>
      </c>
      <c r="D154" s="419" t="s">
        <v>940</v>
      </c>
      <c r="E154" s="419" t="s">
        <v>1194</v>
      </c>
      <c r="F154" s="419" t="s">
        <v>1195</v>
      </c>
      <c r="J154" s="419">
        <v>2025</v>
      </c>
      <c r="K154" s="419" t="s">
        <v>1882</v>
      </c>
      <c r="L154" s="419" t="s">
        <v>1193</v>
      </c>
      <c r="N154" s="419" t="s">
        <v>1194</v>
      </c>
      <c r="O154" s="419" t="s">
        <v>1195</v>
      </c>
    </row>
    <row r="155" spans="1:15" ht="16.2" customHeight="1">
      <c r="A155" s="419">
        <v>2024</v>
      </c>
      <c r="B155" s="419" t="s">
        <v>1882</v>
      </c>
      <c r="C155" s="419" t="s">
        <v>1197</v>
      </c>
      <c r="D155" s="419" t="s">
        <v>940</v>
      </c>
      <c r="E155" s="419" t="s">
        <v>1198</v>
      </c>
      <c r="F155" s="419" t="s">
        <v>1199</v>
      </c>
      <c r="J155" s="419">
        <v>2025</v>
      </c>
      <c r="K155" s="419" t="s">
        <v>1882</v>
      </c>
      <c r="L155" s="419" t="s">
        <v>1197</v>
      </c>
      <c r="N155" s="419" t="s">
        <v>1198</v>
      </c>
      <c r="O155" s="419" t="s">
        <v>1199</v>
      </c>
    </row>
    <row r="156" spans="1:15" ht="16.2" customHeight="1">
      <c r="A156" s="419">
        <v>2024</v>
      </c>
      <c r="B156" s="419" t="s">
        <v>1882</v>
      </c>
      <c r="C156" s="419" t="s">
        <v>1201</v>
      </c>
      <c r="D156" s="419" t="s">
        <v>710</v>
      </c>
      <c r="E156" s="419" t="s">
        <v>1202</v>
      </c>
      <c r="F156" s="419" t="s">
        <v>1203</v>
      </c>
      <c r="J156" s="419">
        <v>2025</v>
      </c>
      <c r="K156" s="419" t="s">
        <v>1882</v>
      </c>
      <c r="L156" s="419" t="s">
        <v>1201</v>
      </c>
      <c r="N156" s="419" t="s">
        <v>1202</v>
      </c>
      <c r="O156" s="419" t="s">
        <v>1203</v>
      </c>
    </row>
    <row r="157" spans="1:15" ht="16.2" customHeight="1">
      <c r="A157" s="419">
        <v>2024</v>
      </c>
      <c r="B157" s="419" t="s">
        <v>1882</v>
      </c>
      <c r="C157" s="419" t="s">
        <v>1204</v>
      </c>
      <c r="D157" s="419" t="s">
        <v>710</v>
      </c>
      <c r="E157" s="419" t="s">
        <v>1205</v>
      </c>
      <c r="F157" s="419" t="s">
        <v>1206</v>
      </c>
      <c r="J157" s="419">
        <v>2025</v>
      </c>
      <c r="K157" s="419" t="s">
        <v>1882</v>
      </c>
      <c r="L157" s="419" t="s">
        <v>1204</v>
      </c>
      <c r="N157" s="419" t="s">
        <v>1205</v>
      </c>
      <c r="O157" s="419" t="s">
        <v>1206</v>
      </c>
    </row>
    <row r="158" spans="1:15" ht="16.2" customHeight="1">
      <c r="A158" s="419">
        <v>2024</v>
      </c>
      <c r="B158" s="419" t="s">
        <v>1882</v>
      </c>
      <c r="C158" s="419" t="s">
        <v>1207</v>
      </c>
      <c r="D158" s="419" t="s">
        <v>710</v>
      </c>
      <c r="E158" s="419" t="s">
        <v>1208</v>
      </c>
      <c r="F158" s="419" t="s">
        <v>1209</v>
      </c>
      <c r="J158" s="419">
        <v>2025</v>
      </c>
      <c r="K158" s="419" t="s">
        <v>1882</v>
      </c>
      <c r="L158" s="419" t="s">
        <v>1207</v>
      </c>
      <c r="N158" s="419" t="s">
        <v>1208</v>
      </c>
      <c r="O158" s="419" t="s">
        <v>1209</v>
      </c>
    </row>
    <row r="159" spans="1:15" ht="16.2" customHeight="1">
      <c r="A159" s="419">
        <v>2024</v>
      </c>
      <c r="B159" s="419" t="s">
        <v>1882</v>
      </c>
      <c r="C159" s="419" t="s">
        <v>1210</v>
      </c>
      <c r="D159" s="419" t="s">
        <v>710</v>
      </c>
      <c r="E159" s="419" t="s">
        <v>1211</v>
      </c>
      <c r="F159" s="419" t="s">
        <v>1212</v>
      </c>
      <c r="J159" s="419">
        <v>2025</v>
      </c>
      <c r="K159" s="419" t="s">
        <v>1882</v>
      </c>
      <c r="L159" s="419" t="s">
        <v>1210</v>
      </c>
      <c r="N159" s="419" t="s">
        <v>1211</v>
      </c>
      <c r="O159" s="419" t="s">
        <v>1212</v>
      </c>
    </row>
    <row r="160" spans="1:15" ht="16.2" customHeight="1">
      <c r="A160" s="419">
        <v>2024</v>
      </c>
      <c r="B160" s="419" t="s">
        <v>1882</v>
      </c>
      <c r="C160" s="419" t="s">
        <v>1215</v>
      </c>
      <c r="D160" s="419" t="s">
        <v>710</v>
      </c>
      <c r="E160" s="419" t="s">
        <v>1216</v>
      </c>
      <c r="F160" s="419" t="s">
        <v>1217</v>
      </c>
      <c r="J160" s="419">
        <v>2025</v>
      </c>
      <c r="K160" s="419" t="s">
        <v>1882</v>
      </c>
      <c r="L160" s="419" t="s">
        <v>1215</v>
      </c>
      <c r="N160" s="419" t="s">
        <v>1216</v>
      </c>
      <c r="O160" s="419" t="s">
        <v>1217</v>
      </c>
    </row>
    <row r="161" spans="1:16" ht="16.2" customHeight="1">
      <c r="A161" s="419">
        <v>2024</v>
      </c>
      <c r="B161" s="419" t="s">
        <v>1882</v>
      </c>
      <c r="C161" s="419" t="s">
        <v>1218</v>
      </c>
      <c r="D161" s="419" t="s">
        <v>710</v>
      </c>
      <c r="E161" s="419" t="s">
        <v>1219</v>
      </c>
      <c r="F161" s="419" t="s">
        <v>170</v>
      </c>
      <c r="J161" s="419">
        <v>2025</v>
      </c>
      <c r="K161" s="419" t="s">
        <v>1882</v>
      </c>
      <c r="L161" s="419" t="s">
        <v>1218</v>
      </c>
      <c r="N161" s="419" t="s">
        <v>1219</v>
      </c>
      <c r="O161" s="419" t="s">
        <v>170</v>
      </c>
    </row>
    <row r="162" spans="1:16" ht="16.2" customHeight="1">
      <c r="A162" s="419">
        <v>2024</v>
      </c>
      <c r="B162" s="419" t="s">
        <v>1882</v>
      </c>
      <c r="C162" s="419" t="s">
        <v>1221</v>
      </c>
      <c r="D162" s="419" t="s">
        <v>1222</v>
      </c>
      <c r="E162" s="419" t="s">
        <v>1223</v>
      </c>
      <c r="F162" s="419" t="s">
        <v>1224</v>
      </c>
      <c r="J162" s="419">
        <v>2025</v>
      </c>
      <c r="K162" s="419" t="s">
        <v>1882</v>
      </c>
      <c r="L162" s="419" t="s">
        <v>1221</v>
      </c>
      <c r="N162" s="419" t="s">
        <v>1223</v>
      </c>
      <c r="O162" s="419" t="s">
        <v>1224</v>
      </c>
    </row>
    <row r="163" spans="1:16" ht="16.2" customHeight="1">
      <c r="A163" s="419">
        <v>2024</v>
      </c>
      <c r="B163" s="419" t="s">
        <v>1882</v>
      </c>
      <c r="C163" s="419" t="s">
        <v>1225</v>
      </c>
      <c r="D163" s="419" t="s">
        <v>1226</v>
      </c>
      <c r="E163" s="419" t="s">
        <v>1227</v>
      </c>
      <c r="F163" s="419" t="s">
        <v>1228</v>
      </c>
      <c r="J163" s="419">
        <v>2025</v>
      </c>
      <c r="K163" s="419" t="s">
        <v>1882</v>
      </c>
      <c r="L163" s="419" t="s">
        <v>1225</v>
      </c>
      <c r="N163" s="419" t="s">
        <v>1227</v>
      </c>
      <c r="O163" s="419" t="s">
        <v>1228</v>
      </c>
    </row>
    <row r="164" spans="1:16" ht="16.2" customHeight="1">
      <c r="A164" s="419">
        <v>2024</v>
      </c>
      <c r="B164" s="419" t="s">
        <v>1882</v>
      </c>
      <c r="C164" s="419" t="s">
        <v>1229</v>
      </c>
      <c r="D164" s="419" t="s">
        <v>1230</v>
      </c>
      <c r="E164" s="419" t="s">
        <v>1231</v>
      </c>
      <c r="F164" s="419" t="s">
        <v>1232</v>
      </c>
      <c r="J164" s="419">
        <v>2025</v>
      </c>
      <c r="K164" s="419" t="s">
        <v>1882</v>
      </c>
      <c r="L164" s="419" t="s">
        <v>1229</v>
      </c>
      <c r="N164" s="419" t="s">
        <v>1231</v>
      </c>
      <c r="O164" s="419" t="s">
        <v>1232</v>
      </c>
    </row>
    <row r="165" spans="1:16" ht="16.2" customHeight="1">
      <c r="J165" s="326">
        <v>2025</v>
      </c>
      <c r="K165" s="326" t="s">
        <v>1882</v>
      </c>
      <c r="L165" s="326" t="s">
        <v>2650</v>
      </c>
      <c r="M165" s="326"/>
      <c r="N165" s="326" t="s">
        <v>2652</v>
      </c>
      <c r="O165" s="326" t="s">
        <v>2651</v>
      </c>
      <c r="P165" s="326"/>
    </row>
    <row r="166" spans="1:16" ht="16.2" customHeight="1">
      <c r="A166" s="419">
        <v>2024</v>
      </c>
      <c r="B166" s="419" t="s">
        <v>1882</v>
      </c>
      <c r="C166" s="419" t="s">
        <v>1233</v>
      </c>
      <c r="D166" s="419" t="s">
        <v>1234</v>
      </c>
      <c r="E166" s="419" t="s">
        <v>1235</v>
      </c>
      <c r="F166" s="419" t="s">
        <v>1236</v>
      </c>
      <c r="J166" s="419">
        <v>2025</v>
      </c>
      <c r="K166" s="419" t="s">
        <v>1882</v>
      </c>
      <c r="L166" s="419" t="s">
        <v>1233</v>
      </c>
      <c r="N166" s="419" t="s">
        <v>1235</v>
      </c>
      <c r="O166" s="419" t="s">
        <v>1236</v>
      </c>
    </row>
    <row r="167" spans="1:16" ht="16.2" customHeight="1">
      <c r="A167" s="419">
        <v>2024</v>
      </c>
      <c r="B167" s="419" t="s">
        <v>1882</v>
      </c>
      <c r="C167" s="419" t="s">
        <v>1237</v>
      </c>
      <c r="D167" s="419" t="s">
        <v>1234</v>
      </c>
      <c r="E167" s="419" t="s">
        <v>1238</v>
      </c>
      <c r="F167" s="419" t="s">
        <v>1240</v>
      </c>
      <c r="J167" s="419">
        <v>2025</v>
      </c>
      <c r="K167" s="419" t="s">
        <v>1882</v>
      </c>
      <c r="L167" s="419" t="s">
        <v>1237</v>
      </c>
      <c r="N167" s="419" t="s">
        <v>1238</v>
      </c>
      <c r="O167" s="419" t="s">
        <v>1240</v>
      </c>
    </row>
    <row r="168" spans="1:16" ht="16.2" customHeight="1">
      <c r="A168" s="419">
        <v>2024</v>
      </c>
      <c r="B168" s="419" t="s">
        <v>1882</v>
      </c>
      <c r="C168" s="419" t="s">
        <v>1241</v>
      </c>
      <c r="D168" s="419" t="s">
        <v>1234</v>
      </c>
      <c r="E168" s="419" t="s">
        <v>1242</v>
      </c>
      <c r="F168" s="419" t="s">
        <v>1243</v>
      </c>
      <c r="J168" s="419">
        <v>2025</v>
      </c>
      <c r="K168" s="419" t="s">
        <v>1882</v>
      </c>
      <c r="L168" s="419" t="s">
        <v>1241</v>
      </c>
      <c r="N168" s="419" t="s">
        <v>1242</v>
      </c>
      <c r="O168" s="419" t="s">
        <v>1243</v>
      </c>
    </row>
    <row r="169" spans="1:16" ht="16.2" customHeight="1">
      <c r="A169" s="419">
        <v>2024</v>
      </c>
      <c r="B169" s="419" t="s">
        <v>1882</v>
      </c>
      <c r="C169" s="419" t="s">
        <v>330</v>
      </c>
      <c r="D169" s="419" t="s">
        <v>1234</v>
      </c>
      <c r="E169" s="419" t="s">
        <v>1244</v>
      </c>
      <c r="F169" s="419" t="s">
        <v>1247</v>
      </c>
      <c r="J169" s="419">
        <v>2025</v>
      </c>
      <c r="K169" s="419" t="s">
        <v>1882</v>
      </c>
      <c r="L169" s="419" t="s">
        <v>330</v>
      </c>
      <c r="N169" s="419" t="s">
        <v>1244</v>
      </c>
      <c r="O169" s="419" t="s">
        <v>1247</v>
      </c>
    </row>
    <row r="170" spans="1:16" ht="16.2" customHeight="1">
      <c r="A170" s="419">
        <v>2024</v>
      </c>
      <c r="B170" s="419" t="s">
        <v>1882</v>
      </c>
      <c r="C170" s="419" t="s">
        <v>1250</v>
      </c>
      <c r="D170" s="419" t="s">
        <v>1234</v>
      </c>
      <c r="E170" s="419" t="s">
        <v>1251</v>
      </c>
      <c r="F170" s="419" t="s">
        <v>1252</v>
      </c>
      <c r="J170" s="419">
        <v>2025</v>
      </c>
      <c r="K170" s="419" t="s">
        <v>1882</v>
      </c>
      <c r="L170" s="419" t="s">
        <v>1250</v>
      </c>
      <c r="N170" s="419" t="s">
        <v>1251</v>
      </c>
      <c r="O170" s="419" t="s">
        <v>1252</v>
      </c>
    </row>
    <row r="171" spans="1:16" ht="16.2" customHeight="1">
      <c r="A171" s="419">
        <v>2024</v>
      </c>
      <c r="B171" s="419" t="s">
        <v>1882</v>
      </c>
      <c r="C171" s="419" t="s">
        <v>426</v>
      </c>
      <c r="D171" s="419" t="s">
        <v>2540</v>
      </c>
      <c r="E171" s="419" t="s">
        <v>1254</v>
      </c>
      <c r="F171" s="419" t="s">
        <v>1255</v>
      </c>
      <c r="J171" s="419">
        <v>2025</v>
      </c>
      <c r="K171" s="419" t="s">
        <v>1882</v>
      </c>
      <c r="L171" s="419" t="s">
        <v>426</v>
      </c>
      <c r="N171" s="419" t="s">
        <v>1254</v>
      </c>
      <c r="O171" s="419" t="s">
        <v>1255</v>
      </c>
    </row>
    <row r="172" spans="1:16" ht="16.2" customHeight="1">
      <c r="A172" s="419">
        <v>2024</v>
      </c>
      <c r="B172" s="419" t="s">
        <v>1882</v>
      </c>
      <c r="C172" s="419" t="s">
        <v>1258</v>
      </c>
      <c r="D172" s="419" t="s">
        <v>1081</v>
      </c>
      <c r="E172" s="419" t="s">
        <v>1259</v>
      </c>
      <c r="F172" s="419" t="s">
        <v>1260</v>
      </c>
      <c r="J172" s="419">
        <v>2025</v>
      </c>
      <c r="K172" s="419" t="s">
        <v>1882</v>
      </c>
      <c r="L172" s="419" t="s">
        <v>1258</v>
      </c>
      <c r="N172" s="419" t="s">
        <v>1259</v>
      </c>
      <c r="O172" s="419" t="s">
        <v>1260</v>
      </c>
    </row>
    <row r="173" spans="1:16" ht="16.2" customHeight="1">
      <c r="A173" s="419">
        <v>2024</v>
      </c>
      <c r="B173" s="419" t="s">
        <v>1882</v>
      </c>
      <c r="C173" s="419" t="s">
        <v>428</v>
      </c>
      <c r="D173" s="419" t="s">
        <v>1081</v>
      </c>
      <c r="E173" s="419" t="s">
        <v>1262</v>
      </c>
      <c r="F173" s="419" t="s">
        <v>1263</v>
      </c>
      <c r="J173" s="419">
        <v>2025</v>
      </c>
      <c r="K173" s="419" t="s">
        <v>1882</v>
      </c>
      <c r="L173" s="419" t="s">
        <v>428</v>
      </c>
      <c r="N173" s="419" t="s">
        <v>1262</v>
      </c>
      <c r="O173" s="419" t="s">
        <v>1263</v>
      </c>
    </row>
    <row r="174" spans="1:16" ht="16.2" customHeight="1">
      <c r="A174" s="419">
        <v>2024</v>
      </c>
      <c r="B174" s="419" t="s">
        <v>1882</v>
      </c>
      <c r="C174" s="419" t="s">
        <v>1264</v>
      </c>
      <c r="D174" s="419" t="s">
        <v>2541</v>
      </c>
      <c r="E174" s="419" t="s">
        <v>1266</v>
      </c>
      <c r="F174" s="419" t="s">
        <v>1267</v>
      </c>
      <c r="J174" s="419">
        <v>2025</v>
      </c>
      <c r="K174" s="419" t="s">
        <v>1882</v>
      </c>
      <c r="L174" s="419" t="s">
        <v>1264</v>
      </c>
      <c r="N174" s="419" t="s">
        <v>1266</v>
      </c>
      <c r="O174" s="419" t="s">
        <v>1267</v>
      </c>
    </row>
    <row r="175" spans="1:16" ht="16.2" customHeight="1">
      <c r="A175" s="419">
        <v>2024</v>
      </c>
      <c r="B175" s="419" t="s">
        <v>1882</v>
      </c>
      <c r="C175" s="419" t="s">
        <v>1268</v>
      </c>
      <c r="D175" s="419" t="s">
        <v>1081</v>
      </c>
      <c r="E175" s="419" t="s">
        <v>1269</v>
      </c>
      <c r="F175" s="419" t="s">
        <v>1270</v>
      </c>
      <c r="J175" s="419">
        <v>2025</v>
      </c>
      <c r="K175" s="419" t="s">
        <v>1882</v>
      </c>
      <c r="L175" s="419" t="s">
        <v>1268</v>
      </c>
      <c r="N175" s="419" t="s">
        <v>1269</v>
      </c>
      <c r="O175" s="419" t="s">
        <v>1270</v>
      </c>
    </row>
    <row r="176" spans="1:16" ht="16.2" customHeight="1">
      <c r="A176" s="419">
        <v>2024</v>
      </c>
      <c r="B176" s="419" t="s">
        <v>1882</v>
      </c>
      <c r="C176" s="419" t="s">
        <v>1272</v>
      </c>
      <c r="D176" s="419" t="s">
        <v>1081</v>
      </c>
      <c r="E176" s="419" t="s">
        <v>1273</v>
      </c>
      <c r="F176" s="419" t="s">
        <v>1274</v>
      </c>
      <c r="J176" s="419">
        <v>2025</v>
      </c>
      <c r="K176" s="419" t="s">
        <v>1882</v>
      </c>
      <c r="L176" s="419" t="s">
        <v>1272</v>
      </c>
      <c r="N176" s="419" t="s">
        <v>1273</v>
      </c>
      <c r="O176" s="419" t="s">
        <v>1274</v>
      </c>
    </row>
    <row r="177" spans="1:15" ht="16.2" customHeight="1">
      <c r="A177" s="419">
        <v>2024</v>
      </c>
      <c r="B177" s="419" t="s">
        <v>1882</v>
      </c>
      <c r="C177" s="419" t="s">
        <v>429</v>
      </c>
      <c r="D177" s="419" t="s">
        <v>1081</v>
      </c>
      <c r="E177" s="419" t="s">
        <v>1276</v>
      </c>
      <c r="F177" s="419" t="s">
        <v>1277</v>
      </c>
      <c r="J177" s="419">
        <v>2025</v>
      </c>
      <c r="K177" s="419" t="s">
        <v>1882</v>
      </c>
      <c r="L177" s="419" t="s">
        <v>429</v>
      </c>
      <c r="N177" s="419" t="s">
        <v>1276</v>
      </c>
      <c r="O177" s="419" t="s">
        <v>1277</v>
      </c>
    </row>
    <row r="178" spans="1:15" ht="16.2" customHeight="1">
      <c r="A178" s="419">
        <v>2024</v>
      </c>
      <c r="B178" s="419" t="s">
        <v>1882</v>
      </c>
      <c r="C178" s="419" t="s">
        <v>1279</v>
      </c>
      <c r="D178" s="419" t="s">
        <v>1081</v>
      </c>
      <c r="E178" s="419" t="s">
        <v>1280</v>
      </c>
      <c r="F178" s="419" t="s">
        <v>1281</v>
      </c>
      <c r="J178" s="419">
        <v>2025</v>
      </c>
      <c r="K178" s="419" t="s">
        <v>1882</v>
      </c>
      <c r="L178" s="419" t="s">
        <v>1279</v>
      </c>
      <c r="N178" s="419" t="s">
        <v>1280</v>
      </c>
      <c r="O178" s="419" t="s">
        <v>1281</v>
      </c>
    </row>
    <row r="179" spans="1:15" ht="16.2" customHeight="1">
      <c r="A179" s="419">
        <v>2024</v>
      </c>
      <c r="B179" s="419" t="s">
        <v>1882</v>
      </c>
      <c r="C179" s="419" t="s">
        <v>430</v>
      </c>
      <c r="D179" s="419" t="s">
        <v>1081</v>
      </c>
      <c r="E179" s="419" t="s">
        <v>1282</v>
      </c>
      <c r="F179" s="419" t="s">
        <v>1283</v>
      </c>
      <c r="J179" s="419">
        <v>2025</v>
      </c>
      <c r="K179" s="419" t="s">
        <v>1882</v>
      </c>
      <c r="L179" s="419" t="s">
        <v>430</v>
      </c>
      <c r="N179" s="419" t="s">
        <v>1282</v>
      </c>
      <c r="O179" s="419" t="s">
        <v>1283</v>
      </c>
    </row>
    <row r="180" spans="1:15" ht="16.2" customHeight="1">
      <c r="A180" s="419">
        <v>2024</v>
      </c>
      <c r="B180" s="419" t="s">
        <v>1882</v>
      </c>
      <c r="C180" s="419" t="s">
        <v>1285</v>
      </c>
      <c r="D180" s="419" t="s">
        <v>1081</v>
      </c>
      <c r="E180" s="419" t="s">
        <v>1286</v>
      </c>
      <c r="F180" s="419" t="s">
        <v>1287</v>
      </c>
      <c r="J180" s="419">
        <v>2025</v>
      </c>
      <c r="K180" s="419" t="s">
        <v>1882</v>
      </c>
      <c r="L180" s="419" t="s">
        <v>1285</v>
      </c>
      <c r="N180" s="419" t="s">
        <v>1286</v>
      </c>
      <c r="O180" s="419" t="s">
        <v>1287</v>
      </c>
    </row>
    <row r="181" spans="1:15" ht="16.2" customHeight="1">
      <c r="A181" s="419">
        <v>2024</v>
      </c>
      <c r="B181" s="419" t="s">
        <v>1882</v>
      </c>
      <c r="C181" s="419" t="s">
        <v>1289</v>
      </c>
      <c r="D181" s="419" t="s">
        <v>1081</v>
      </c>
      <c r="E181" s="419" t="s">
        <v>1290</v>
      </c>
      <c r="F181" s="419" t="s">
        <v>1291</v>
      </c>
      <c r="J181" s="419">
        <v>2025</v>
      </c>
      <c r="K181" s="419" t="s">
        <v>1882</v>
      </c>
      <c r="L181" s="419" t="s">
        <v>1289</v>
      </c>
      <c r="N181" s="419" t="s">
        <v>1290</v>
      </c>
      <c r="O181" s="419" t="s">
        <v>1291</v>
      </c>
    </row>
    <row r="182" spans="1:15" ht="16.2" customHeight="1">
      <c r="J182" s="326">
        <v>2025</v>
      </c>
      <c r="K182" s="326" t="s">
        <v>1882</v>
      </c>
      <c r="L182" s="326" t="s">
        <v>2653</v>
      </c>
      <c r="M182" s="326"/>
      <c r="N182" s="326" t="s">
        <v>2655</v>
      </c>
      <c r="O182" s="326" t="s">
        <v>2654</v>
      </c>
    </row>
    <row r="183" spans="1:15" ht="16.2" customHeight="1">
      <c r="A183" s="419">
        <v>2024</v>
      </c>
      <c r="B183" s="419" t="s">
        <v>1882</v>
      </c>
      <c r="C183" s="419" t="s">
        <v>1292</v>
      </c>
      <c r="D183" s="419" t="s">
        <v>1293</v>
      </c>
      <c r="E183" s="419" t="s">
        <v>1294</v>
      </c>
      <c r="F183" s="419" t="s">
        <v>1295</v>
      </c>
      <c r="J183" s="419">
        <v>2025</v>
      </c>
      <c r="K183" s="419" t="s">
        <v>1882</v>
      </c>
      <c r="L183" s="419" t="s">
        <v>1292</v>
      </c>
      <c r="N183" s="419" t="s">
        <v>1294</v>
      </c>
      <c r="O183" s="419" t="s">
        <v>1295</v>
      </c>
    </row>
    <row r="184" spans="1:15" ht="16.2" customHeight="1">
      <c r="A184" s="419">
        <v>2024</v>
      </c>
      <c r="B184" s="419" t="s">
        <v>1882</v>
      </c>
      <c r="C184" s="419" t="s">
        <v>439</v>
      </c>
      <c r="D184" s="419" t="s">
        <v>1293</v>
      </c>
      <c r="E184" s="419" t="s">
        <v>1298</v>
      </c>
      <c r="F184" s="419" t="s">
        <v>1299</v>
      </c>
      <c r="J184" s="419">
        <v>2025</v>
      </c>
      <c r="K184" s="419" t="s">
        <v>1882</v>
      </c>
      <c r="L184" s="419" t="s">
        <v>439</v>
      </c>
      <c r="N184" s="419" t="s">
        <v>1298</v>
      </c>
      <c r="O184" s="419" t="s">
        <v>1299</v>
      </c>
    </row>
    <row r="185" spans="1:15" ht="16.2" customHeight="1">
      <c r="A185" s="419">
        <v>2024</v>
      </c>
      <c r="B185" s="419" t="s">
        <v>1882</v>
      </c>
      <c r="C185" s="419" t="s">
        <v>1300</v>
      </c>
      <c r="D185" s="419" t="s">
        <v>1293</v>
      </c>
      <c r="E185" s="419" t="s">
        <v>1301</v>
      </c>
      <c r="F185" s="419" t="s">
        <v>1145</v>
      </c>
      <c r="J185" s="419">
        <v>2025</v>
      </c>
      <c r="K185" s="419" t="s">
        <v>1882</v>
      </c>
      <c r="L185" s="419" t="s">
        <v>1300</v>
      </c>
      <c r="N185" s="419" t="s">
        <v>1301</v>
      </c>
      <c r="O185" s="419" t="s">
        <v>1145</v>
      </c>
    </row>
    <row r="186" spans="1:15" ht="16.2" customHeight="1">
      <c r="A186" s="419">
        <v>2024</v>
      </c>
      <c r="B186" s="419" t="s">
        <v>1882</v>
      </c>
      <c r="C186" s="419" t="s">
        <v>1303</v>
      </c>
      <c r="D186" s="419" t="s">
        <v>1293</v>
      </c>
      <c r="E186" s="419" t="s">
        <v>1304</v>
      </c>
      <c r="F186" s="419" t="s">
        <v>1305</v>
      </c>
      <c r="J186" s="419">
        <v>2025</v>
      </c>
      <c r="K186" s="419" t="s">
        <v>1882</v>
      </c>
      <c r="L186" s="419" t="s">
        <v>1303</v>
      </c>
      <c r="N186" s="419" t="s">
        <v>1304</v>
      </c>
      <c r="O186" s="419" t="s">
        <v>1305</v>
      </c>
    </row>
    <row r="187" spans="1:15" ht="16.2" customHeight="1">
      <c r="A187" s="419">
        <v>2024</v>
      </c>
      <c r="B187" s="419" t="s">
        <v>1882</v>
      </c>
      <c r="C187" s="419" t="s">
        <v>1306</v>
      </c>
      <c r="D187" s="419" t="s">
        <v>1293</v>
      </c>
      <c r="E187" s="419" t="s">
        <v>1307</v>
      </c>
      <c r="F187" s="419" t="s">
        <v>1308</v>
      </c>
      <c r="J187" s="419">
        <v>2025</v>
      </c>
      <c r="K187" s="419" t="s">
        <v>1882</v>
      </c>
      <c r="L187" s="419" t="s">
        <v>1306</v>
      </c>
      <c r="N187" s="419" t="s">
        <v>1307</v>
      </c>
      <c r="O187" s="419" t="s">
        <v>1308</v>
      </c>
    </row>
    <row r="188" spans="1:15" ht="16.2" customHeight="1">
      <c r="A188" s="419">
        <v>2024</v>
      </c>
      <c r="B188" s="419" t="s">
        <v>1882</v>
      </c>
      <c r="C188" s="419" t="s">
        <v>1309</v>
      </c>
      <c r="D188" s="419" t="s">
        <v>1293</v>
      </c>
      <c r="E188" s="419" t="s">
        <v>1310</v>
      </c>
      <c r="F188" s="419" t="s">
        <v>1311</v>
      </c>
      <c r="J188" s="419">
        <v>2025</v>
      </c>
      <c r="K188" s="419" t="s">
        <v>1882</v>
      </c>
      <c r="L188" s="419" t="s">
        <v>1309</v>
      </c>
      <c r="N188" s="419" t="s">
        <v>1310</v>
      </c>
      <c r="O188" s="419" t="s">
        <v>1311</v>
      </c>
    </row>
    <row r="189" spans="1:15" ht="16.2" customHeight="1">
      <c r="A189" s="419">
        <v>2024</v>
      </c>
      <c r="B189" s="419" t="s">
        <v>1882</v>
      </c>
      <c r="C189" s="419" t="s">
        <v>1312</v>
      </c>
      <c r="D189" s="419" t="s">
        <v>1293</v>
      </c>
      <c r="E189" s="419" t="s">
        <v>1313</v>
      </c>
      <c r="F189" s="419" t="s">
        <v>1314</v>
      </c>
      <c r="J189" s="419">
        <v>2025</v>
      </c>
      <c r="K189" s="419" t="s">
        <v>1882</v>
      </c>
      <c r="L189" s="419" t="s">
        <v>1312</v>
      </c>
      <c r="N189" s="419" t="s">
        <v>1313</v>
      </c>
      <c r="O189" s="419" t="s">
        <v>1314</v>
      </c>
    </row>
    <row r="190" spans="1:15" ht="16.2" customHeight="1">
      <c r="A190" s="419">
        <v>2024</v>
      </c>
      <c r="B190" s="419" t="s">
        <v>1882</v>
      </c>
      <c r="C190" s="419" t="s">
        <v>1315</v>
      </c>
      <c r="D190" s="419" t="s">
        <v>865</v>
      </c>
      <c r="E190" s="419" t="s">
        <v>1316</v>
      </c>
      <c r="F190" s="419" t="s">
        <v>1317</v>
      </c>
      <c r="J190" s="419">
        <v>2025</v>
      </c>
      <c r="K190" s="419" t="s">
        <v>1882</v>
      </c>
      <c r="L190" s="419" t="s">
        <v>1315</v>
      </c>
      <c r="N190" s="419" t="s">
        <v>1316</v>
      </c>
      <c r="O190" s="419" t="s">
        <v>1317</v>
      </c>
    </row>
    <row r="191" spans="1:15" ht="16.2" customHeight="1">
      <c r="A191" s="419">
        <v>2024</v>
      </c>
      <c r="B191" s="419" t="s">
        <v>1882</v>
      </c>
      <c r="C191" s="419" t="s">
        <v>1956</v>
      </c>
      <c r="D191" s="419" t="s">
        <v>865</v>
      </c>
      <c r="E191" s="419" t="s">
        <v>1320</v>
      </c>
      <c r="F191" s="419" t="s">
        <v>1321</v>
      </c>
      <c r="J191" s="419">
        <v>2025</v>
      </c>
      <c r="K191" s="419" t="s">
        <v>1882</v>
      </c>
      <c r="L191" s="419" t="s">
        <v>1956</v>
      </c>
      <c r="N191" s="419" t="s">
        <v>1320</v>
      </c>
      <c r="O191" s="419" t="s">
        <v>1321</v>
      </c>
    </row>
    <row r="192" spans="1:15" ht="16.2" customHeight="1">
      <c r="A192" s="419">
        <v>2024</v>
      </c>
      <c r="B192" s="419" t="s">
        <v>1882</v>
      </c>
      <c r="C192" s="419" t="s">
        <v>1322</v>
      </c>
      <c r="D192" s="419" t="s">
        <v>865</v>
      </c>
      <c r="E192" s="419" t="s">
        <v>1323</v>
      </c>
      <c r="F192" s="419" t="s">
        <v>1325</v>
      </c>
      <c r="J192" s="419">
        <v>2025</v>
      </c>
      <c r="K192" s="419" t="s">
        <v>1882</v>
      </c>
      <c r="L192" s="419" t="s">
        <v>1322</v>
      </c>
      <c r="N192" s="419" t="s">
        <v>1323</v>
      </c>
      <c r="O192" s="419" t="s">
        <v>1325</v>
      </c>
    </row>
    <row r="193" spans="1:15" ht="16.2" customHeight="1">
      <c r="A193" s="419">
        <v>2024</v>
      </c>
      <c r="B193" s="419" t="s">
        <v>1882</v>
      </c>
      <c r="C193" s="419" t="s">
        <v>1327</v>
      </c>
      <c r="D193" s="419" t="s">
        <v>865</v>
      </c>
      <c r="E193" s="419" t="s">
        <v>1328</v>
      </c>
      <c r="F193" s="419" t="s">
        <v>1331</v>
      </c>
      <c r="J193" s="419">
        <v>2025</v>
      </c>
      <c r="K193" s="419" t="s">
        <v>1882</v>
      </c>
      <c r="L193" s="419" t="s">
        <v>1327</v>
      </c>
      <c r="N193" s="419" t="s">
        <v>1328</v>
      </c>
      <c r="O193" s="419" t="s">
        <v>1331</v>
      </c>
    </row>
    <row r="194" spans="1:15" ht="16.2" customHeight="1">
      <c r="A194" s="419">
        <v>2024</v>
      </c>
      <c r="B194" s="419" t="s">
        <v>1882</v>
      </c>
      <c r="C194" s="419" t="s">
        <v>1333</v>
      </c>
      <c r="D194" s="419" t="s">
        <v>865</v>
      </c>
      <c r="E194" s="419" t="s">
        <v>1334</v>
      </c>
      <c r="F194" s="419" t="s">
        <v>1335</v>
      </c>
      <c r="J194" s="419">
        <v>2025</v>
      </c>
      <c r="K194" s="419" t="s">
        <v>1882</v>
      </c>
      <c r="L194" s="419" t="s">
        <v>1333</v>
      </c>
      <c r="N194" s="419" t="s">
        <v>1334</v>
      </c>
      <c r="O194" s="419" t="s">
        <v>1335</v>
      </c>
    </row>
    <row r="195" spans="1:15" ht="16.2" customHeight="1">
      <c r="A195" s="419">
        <v>2024</v>
      </c>
      <c r="B195" s="419" t="s">
        <v>1882</v>
      </c>
      <c r="C195" s="419" t="s">
        <v>1337</v>
      </c>
      <c r="D195" s="419" t="s">
        <v>2542</v>
      </c>
      <c r="E195" s="419" t="s">
        <v>1339</v>
      </c>
      <c r="F195" s="419" t="s">
        <v>1340</v>
      </c>
      <c r="J195" s="419">
        <v>2025</v>
      </c>
      <c r="K195" s="419" t="s">
        <v>1882</v>
      </c>
      <c r="L195" s="419" t="s">
        <v>1337</v>
      </c>
      <c r="N195" s="419" t="s">
        <v>1339</v>
      </c>
      <c r="O195" s="419" t="s">
        <v>1340</v>
      </c>
    </row>
    <row r="196" spans="1:15" ht="16.2" customHeight="1">
      <c r="A196" s="419">
        <v>2024</v>
      </c>
      <c r="B196" s="419" t="s">
        <v>1882</v>
      </c>
      <c r="C196" s="419" t="s">
        <v>1341</v>
      </c>
      <c r="D196" s="419" t="s">
        <v>2543</v>
      </c>
      <c r="E196" s="419" t="s">
        <v>1343</v>
      </c>
      <c r="F196" s="419" t="s">
        <v>1344</v>
      </c>
      <c r="J196" s="419">
        <v>2025</v>
      </c>
      <c r="K196" s="419" t="s">
        <v>1882</v>
      </c>
      <c r="L196" s="419" t="s">
        <v>1341</v>
      </c>
      <c r="N196" s="419" t="s">
        <v>1343</v>
      </c>
      <c r="O196" s="419" t="s">
        <v>1344</v>
      </c>
    </row>
    <row r="197" spans="1:15" ht="16.2" customHeight="1">
      <c r="A197" s="419">
        <v>2024</v>
      </c>
      <c r="B197" s="419" t="s">
        <v>1882</v>
      </c>
      <c r="C197" s="419" t="s">
        <v>2115</v>
      </c>
      <c r="D197" s="419" t="s">
        <v>2543</v>
      </c>
      <c r="E197" s="419" t="s">
        <v>2371</v>
      </c>
      <c r="F197" s="419" t="s">
        <v>2376</v>
      </c>
      <c r="J197" s="419">
        <v>2025</v>
      </c>
      <c r="K197" s="419" t="s">
        <v>1882</v>
      </c>
      <c r="L197" s="419" t="s">
        <v>2115</v>
      </c>
      <c r="N197" s="419" t="s">
        <v>2656</v>
      </c>
      <c r="O197" s="419" t="s">
        <v>2376</v>
      </c>
    </row>
    <row r="198" spans="1:15" ht="16.2" customHeight="1">
      <c r="A198" s="419">
        <v>2024</v>
      </c>
      <c r="B198" s="419" t="s">
        <v>1882</v>
      </c>
      <c r="C198" s="419" t="s">
        <v>2064</v>
      </c>
      <c r="D198" s="419" t="s">
        <v>2544</v>
      </c>
      <c r="E198" s="419" t="s">
        <v>1346</v>
      </c>
      <c r="F198" s="419" t="s">
        <v>2114</v>
      </c>
      <c r="J198" s="419">
        <v>2025</v>
      </c>
      <c r="K198" s="419" t="s">
        <v>1882</v>
      </c>
      <c r="L198" s="419" t="s">
        <v>2064</v>
      </c>
      <c r="N198" s="419" t="s">
        <v>2657</v>
      </c>
      <c r="O198" s="419" t="s">
        <v>2114</v>
      </c>
    </row>
    <row r="199" spans="1:15" ht="16.2" customHeight="1">
      <c r="A199" s="419">
        <v>2024</v>
      </c>
      <c r="B199" s="419" t="s">
        <v>1882</v>
      </c>
      <c r="C199" s="419" t="s">
        <v>1347</v>
      </c>
      <c r="D199" s="419" t="s">
        <v>1010</v>
      </c>
      <c r="E199" s="419" t="s">
        <v>1348</v>
      </c>
      <c r="F199" s="419" t="s">
        <v>1349</v>
      </c>
      <c r="J199" s="419">
        <v>2025</v>
      </c>
      <c r="K199" s="419" t="s">
        <v>1882</v>
      </c>
      <c r="L199" s="419" t="s">
        <v>1347</v>
      </c>
      <c r="N199" s="419" t="s">
        <v>1348</v>
      </c>
      <c r="O199" s="419" t="s">
        <v>1349</v>
      </c>
    </row>
    <row r="200" spans="1:15" ht="16.2" customHeight="1">
      <c r="A200" s="419">
        <v>2024</v>
      </c>
      <c r="B200" s="419" t="s">
        <v>1882</v>
      </c>
      <c r="C200" s="419" t="s">
        <v>1351</v>
      </c>
      <c r="D200" s="419" t="s">
        <v>1010</v>
      </c>
      <c r="E200" s="419" t="s">
        <v>1352</v>
      </c>
      <c r="F200" s="419" t="s">
        <v>1353</v>
      </c>
      <c r="J200" s="419">
        <v>2025</v>
      </c>
      <c r="K200" s="419" t="s">
        <v>1882</v>
      </c>
      <c r="L200" s="419" t="s">
        <v>1351</v>
      </c>
      <c r="N200" s="419" t="s">
        <v>1352</v>
      </c>
      <c r="O200" s="419" t="s">
        <v>1353</v>
      </c>
    </row>
    <row r="201" spans="1:15" ht="16.2" customHeight="1">
      <c r="A201" s="419">
        <v>2024</v>
      </c>
      <c r="B201" s="419" t="s">
        <v>1882</v>
      </c>
      <c r="C201" s="419" t="s">
        <v>1356</v>
      </c>
      <c r="D201" s="419" t="s">
        <v>1010</v>
      </c>
      <c r="E201" s="419" t="s">
        <v>1357</v>
      </c>
      <c r="F201" s="419" t="s">
        <v>1358</v>
      </c>
      <c r="J201" s="419">
        <v>2025</v>
      </c>
      <c r="K201" s="419" t="s">
        <v>1882</v>
      </c>
      <c r="L201" s="419" t="s">
        <v>1356</v>
      </c>
      <c r="N201" s="419" t="s">
        <v>1357</v>
      </c>
      <c r="O201" s="419" t="s">
        <v>1358</v>
      </c>
    </row>
    <row r="202" spans="1:15" ht="16.2" customHeight="1">
      <c r="A202" s="419">
        <v>2024</v>
      </c>
      <c r="B202" s="419" t="s">
        <v>1882</v>
      </c>
      <c r="C202" s="419" t="s">
        <v>1359</v>
      </c>
      <c r="D202" s="419" t="s">
        <v>1010</v>
      </c>
      <c r="E202" s="419" t="s">
        <v>1360</v>
      </c>
      <c r="F202" s="419" t="s">
        <v>1361</v>
      </c>
      <c r="J202" s="419">
        <v>2025</v>
      </c>
      <c r="K202" s="419" t="s">
        <v>1882</v>
      </c>
      <c r="L202" s="419" t="s">
        <v>1359</v>
      </c>
      <c r="N202" s="419" t="s">
        <v>1360</v>
      </c>
      <c r="O202" s="419" t="s">
        <v>1361</v>
      </c>
    </row>
    <row r="203" spans="1:15" ht="16.2" customHeight="1">
      <c r="A203" s="419">
        <v>2024</v>
      </c>
      <c r="B203" s="419" t="s">
        <v>1882</v>
      </c>
      <c r="C203" s="419" t="s">
        <v>1363</v>
      </c>
      <c r="D203" s="419" t="s">
        <v>1010</v>
      </c>
      <c r="E203" s="419" t="s">
        <v>1364</v>
      </c>
      <c r="F203" s="419" t="s">
        <v>1365</v>
      </c>
      <c r="J203" s="419">
        <v>2025</v>
      </c>
      <c r="K203" s="419" t="s">
        <v>1882</v>
      </c>
      <c r="L203" s="419" t="s">
        <v>1363</v>
      </c>
      <c r="N203" s="419" t="s">
        <v>1364</v>
      </c>
      <c r="O203" s="419" t="s">
        <v>1365</v>
      </c>
    </row>
    <row r="204" spans="1:15" ht="16.2" customHeight="1">
      <c r="A204" s="419">
        <v>2024</v>
      </c>
      <c r="B204" s="419" t="s">
        <v>1882</v>
      </c>
      <c r="C204" s="419" t="s">
        <v>1366</v>
      </c>
      <c r="D204" s="419" t="s">
        <v>1010</v>
      </c>
      <c r="E204" s="419" t="s">
        <v>1367</v>
      </c>
      <c r="F204" s="419" t="s">
        <v>1368</v>
      </c>
      <c r="J204" s="419">
        <v>2025</v>
      </c>
      <c r="K204" s="419" t="s">
        <v>1882</v>
      </c>
      <c r="L204" s="419" t="s">
        <v>1366</v>
      </c>
      <c r="N204" s="419" t="s">
        <v>1367</v>
      </c>
      <c r="O204" s="419" t="s">
        <v>1368</v>
      </c>
    </row>
    <row r="205" spans="1:15" ht="16.2" customHeight="1">
      <c r="A205" s="419">
        <v>2024</v>
      </c>
      <c r="B205" s="419" t="s">
        <v>1882</v>
      </c>
      <c r="C205" s="419" t="s">
        <v>1369</v>
      </c>
      <c r="D205" s="419" t="s">
        <v>1010</v>
      </c>
      <c r="E205" s="419" t="s">
        <v>1370</v>
      </c>
      <c r="F205" s="419" t="s">
        <v>1371</v>
      </c>
      <c r="J205" s="419">
        <v>2025</v>
      </c>
      <c r="K205" s="419" t="s">
        <v>1882</v>
      </c>
      <c r="L205" s="419" t="s">
        <v>1369</v>
      </c>
      <c r="N205" s="419" t="s">
        <v>1370</v>
      </c>
      <c r="O205" s="419" t="s">
        <v>1371</v>
      </c>
    </row>
    <row r="206" spans="1:15" ht="16.2" customHeight="1">
      <c r="A206" s="419">
        <v>2024</v>
      </c>
      <c r="B206" s="419" t="s">
        <v>1882</v>
      </c>
      <c r="C206" s="419" t="s">
        <v>1373</v>
      </c>
      <c r="D206" s="419" t="s">
        <v>1010</v>
      </c>
      <c r="E206" s="419" t="s">
        <v>1374</v>
      </c>
      <c r="F206" s="419" t="s">
        <v>1375</v>
      </c>
      <c r="J206" s="419">
        <v>2025</v>
      </c>
      <c r="K206" s="419" t="s">
        <v>1882</v>
      </c>
      <c r="L206" s="419" t="s">
        <v>1373</v>
      </c>
      <c r="N206" s="419" t="s">
        <v>1374</v>
      </c>
      <c r="O206" s="419" t="s">
        <v>1375</v>
      </c>
    </row>
    <row r="207" spans="1:15" ht="16.2" customHeight="1">
      <c r="A207" s="419">
        <v>2024</v>
      </c>
      <c r="B207" s="419" t="s">
        <v>1882</v>
      </c>
      <c r="C207" s="419" t="s">
        <v>41</v>
      </c>
      <c r="D207" s="419" t="s">
        <v>1010</v>
      </c>
      <c r="E207" s="419" t="s">
        <v>1376</v>
      </c>
      <c r="F207" s="419" t="s">
        <v>1378</v>
      </c>
      <c r="J207" s="419">
        <v>2025</v>
      </c>
      <c r="K207" s="419" t="s">
        <v>1882</v>
      </c>
      <c r="L207" s="419" t="s">
        <v>41</v>
      </c>
      <c r="N207" s="419" t="s">
        <v>1376</v>
      </c>
      <c r="O207" s="419" t="s">
        <v>1378</v>
      </c>
    </row>
    <row r="208" spans="1:15" ht="16.2" customHeight="1">
      <c r="A208" s="419">
        <v>2024</v>
      </c>
      <c r="B208" s="419" t="s">
        <v>1882</v>
      </c>
      <c r="C208" s="419" t="s">
        <v>1380</v>
      </c>
      <c r="D208" s="419" t="s">
        <v>1010</v>
      </c>
      <c r="E208" s="419" t="s">
        <v>1381</v>
      </c>
      <c r="F208" s="419" t="s">
        <v>1382</v>
      </c>
      <c r="J208" s="419">
        <v>2025</v>
      </c>
      <c r="K208" s="419" t="s">
        <v>1882</v>
      </c>
      <c r="L208" s="419" t="s">
        <v>1380</v>
      </c>
      <c r="N208" s="419" t="s">
        <v>1381</v>
      </c>
      <c r="O208" s="419" t="s">
        <v>1382</v>
      </c>
    </row>
    <row r="209" spans="1:15" ht="16.2" customHeight="1">
      <c r="A209" s="419">
        <v>2024</v>
      </c>
      <c r="B209" s="419" t="s">
        <v>1882</v>
      </c>
      <c r="C209" s="419" t="s">
        <v>1383</v>
      </c>
      <c r="D209" s="419" t="s">
        <v>1010</v>
      </c>
      <c r="E209" s="419" t="s">
        <v>1384</v>
      </c>
      <c r="F209" s="419" t="s">
        <v>1385</v>
      </c>
      <c r="J209" s="419">
        <v>2025</v>
      </c>
      <c r="K209" s="419" t="s">
        <v>1882</v>
      </c>
      <c r="L209" s="419" t="s">
        <v>1383</v>
      </c>
      <c r="N209" s="419" t="s">
        <v>1384</v>
      </c>
      <c r="O209" s="419" t="s">
        <v>1385</v>
      </c>
    </row>
    <row r="210" spans="1:15" ht="16.2" customHeight="1">
      <c r="A210" s="419">
        <v>2024</v>
      </c>
      <c r="B210" s="419" t="s">
        <v>1882</v>
      </c>
      <c r="C210" s="419" t="s">
        <v>1386</v>
      </c>
      <c r="D210" s="419" t="s">
        <v>1010</v>
      </c>
      <c r="E210" s="419" t="s">
        <v>1387</v>
      </c>
      <c r="F210" s="419" t="s">
        <v>1388</v>
      </c>
      <c r="J210" s="419">
        <v>2025</v>
      </c>
      <c r="K210" s="419" t="s">
        <v>1882</v>
      </c>
      <c r="L210" s="419" t="s">
        <v>1386</v>
      </c>
      <c r="N210" s="419" t="s">
        <v>1387</v>
      </c>
      <c r="O210" s="419" t="s">
        <v>1388</v>
      </c>
    </row>
    <row r="211" spans="1:15" ht="16.2" customHeight="1">
      <c r="A211" s="419">
        <v>2024</v>
      </c>
      <c r="B211" s="419" t="s">
        <v>1882</v>
      </c>
      <c r="C211" s="419" t="s">
        <v>1389</v>
      </c>
      <c r="D211" s="419" t="s">
        <v>1010</v>
      </c>
      <c r="E211" s="419" t="s">
        <v>1390</v>
      </c>
      <c r="F211" s="419" t="s">
        <v>1391</v>
      </c>
      <c r="J211" s="419">
        <v>2025</v>
      </c>
      <c r="K211" s="419" t="s">
        <v>1882</v>
      </c>
      <c r="L211" s="419" t="s">
        <v>1389</v>
      </c>
      <c r="N211" s="419" t="s">
        <v>1390</v>
      </c>
      <c r="O211" s="419" t="s">
        <v>1391</v>
      </c>
    </row>
    <row r="212" spans="1:15" ht="16.2" customHeight="1">
      <c r="A212" s="419">
        <v>2024</v>
      </c>
      <c r="B212" s="419" t="s">
        <v>1882</v>
      </c>
      <c r="C212" s="419" t="s">
        <v>1392</v>
      </c>
      <c r="D212" s="419" t="s">
        <v>1393</v>
      </c>
      <c r="E212" s="419" t="s">
        <v>535</v>
      </c>
      <c r="F212" s="419" t="s">
        <v>798</v>
      </c>
      <c r="J212" s="419">
        <v>2025</v>
      </c>
      <c r="K212" s="419" t="s">
        <v>1882</v>
      </c>
      <c r="L212" s="419" t="s">
        <v>1392</v>
      </c>
      <c r="N212" s="419" t="s">
        <v>535</v>
      </c>
      <c r="O212" s="419" t="s">
        <v>798</v>
      </c>
    </row>
    <row r="218" spans="1:15" ht="16.2" customHeight="1">
      <c r="A218" s="419">
        <v>2024</v>
      </c>
      <c r="B218" s="419" t="s">
        <v>1957</v>
      </c>
      <c r="C218" s="199" t="s">
        <v>459</v>
      </c>
      <c r="D218" s="199" t="s">
        <v>865</v>
      </c>
      <c r="E218" s="199" t="s">
        <v>1396</v>
      </c>
      <c r="F218" s="199" t="s">
        <v>153</v>
      </c>
      <c r="J218" s="419">
        <v>2025</v>
      </c>
      <c r="K218" s="419" t="s">
        <v>1957</v>
      </c>
      <c r="L218" s="419" t="s">
        <v>459</v>
      </c>
      <c r="N218" s="419" t="s">
        <v>1396</v>
      </c>
      <c r="O218" s="419" t="s">
        <v>153</v>
      </c>
    </row>
    <row r="219" spans="1:15" ht="16.2" customHeight="1">
      <c r="A219" s="419">
        <v>2024</v>
      </c>
      <c r="B219" s="419" t="s">
        <v>1957</v>
      </c>
      <c r="C219" s="199" t="s">
        <v>460</v>
      </c>
      <c r="D219" s="199" t="s">
        <v>865</v>
      </c>
      <c r="E219" s="199" t="s">
        <v>1402</v>
      </c>
      <c r="F219" s="199" t="s">
        <v>154</v>
      </c>
      <c r="J219" s="419">
        <v>2025</v>
      </c>
      <c r="K219" s="419" t="s">
        <v>1957</v>
      </c>
      <c r="L219" s="419" t="s">
        <v>460</v>
      </c>
      <c r="N219" s="419" t="s">
        <v>1402</v>
      </c>
      <c r="O219" s="419" t="s">
        <v>154</v>
      </c>
    </row>
    <row r="220" spans="1:15" ht="16.2" customHeight="1">
      <c r="A220" s="419">
        <v>2024</v>
      </c>
      <c r="B220" s="419" t="s">
        <v>1957</v>
      </c>
      <c r="C220" s="199" t="s">
        <v>461</v>
      </c>
      <c r="D220" s="199" t="s">
        <v>865</v>
      </c>
      <c r="E220" s="199" t="s">
        <v>1406</v>
      </c>
      <c r="F220" s="199" t="s">
        <v>155</v>
      </c>
      <c r="J220" s="419">
        <v>2025</v>
      </c>
      <c r="K220" s="419" t="s">
        <v>1957</v>
      </c>
      <c r="L220" s="419" t="s">
        <v>461</v>
      </c>
      <c r="N220" s="419" t="s">
        <v>1406</v>
      </c>
      <c r="O220" s="419" t="s">
        <v>155</v>
      </c>
    </row>
    <row r="221" spans="1:15" ht="16.2" customHeight="1">
      <c r="J221" s="326">
        <v>2025</v>
      </c>
      <c r="K221" s="326" t="s">
        <v>1957</v>
      </c>
      <c r="L221" s="326" t="s">
        <v>2782</v>
      </c>
      <c r="M221" s="326"/>
      <c r="N221" s="326" t="s">
        <v>2784</v>
      </c>
      <c r="O221" s="419" t="s">
        <v>2783</v>
      </c>
    </row>
    <row r="222" spans="1:15" ht="16.2" customHeight="1">
      <c r="A222" s="419">
        <v>2024</v>
      </c>
      <c r="B222" s="419" t="s">
        <v>1957</v>
      </c>
      <c r="C222" s="199" t="s">
        <v>463</v>
      </c>
      <c r="D222" s="199" t="s">
        <v>865</v>
      </c>
      <c r="E222" s="199" t="s">
        <v>1408</v>
      </c>
      <c r="F222" s="199" t="s">
        <v>156</v>
      </c>
      <c r="J222" s="419">
        <v>2025</v>
      </c>
      <c r="K222" s="419" t="s">
        <v>1957</v>
      </c>
      <c r="L222" s="419" t="s">
        <v>463</v>
      </c>
      <c r="N222" s="419" t="s">
        <v>1408</v>
      </c>
      <c r="O222" s="419" t="s">
        <v>156</v>
      </c>
    </row>
    <row r="223" spans="1:15" ht="16.2" customHeight="1">
      <c r="A223" s="326">
        <v>2024</v>
      </c>
      <c r="B223" s="326" t="s">
        <v>1957</v>
      </c>
      <c r="C223" s="327" t="s">
        <v>1411</v>
      </c>
      <c r="D223" s="327" t="s">
        <v>870</v>
      </c>
      <c r="E223" s="327" t="s">
        <v>1412</v>
      </c>
      <c r="F223" s="327" t="s">
        <v>157</v>
      </c>
    </row>
    <row r="224" spans="1:15" ht="16.2" customHeight="1">
      <c r="J224" s="326">
        <v>2025</v>
      </c>
      <c r="K224" s="326" t="s">
        <v>1957</v>
      </c>
      <c r="L224" s="326" t="s">
        <v>2785</v>
      </c>
      <c r="M224" s="326"/>
      <c r="N224" s="326" t="s">
        <v>2787</v>
      </c>
      <c r="O224" s="419" t="s">
        <v>2786</v>
      </c>
    </row>
    <row r="225" spans="1:15" ht="16.2" customHeight="1">
      <c r="J225" s="326">
        <v>2025</v>
      </c>
      <c r="K225" s="326" t="s">
        <v>1957</v>
      </c>
      <c r="L225" s="326" t="s">
        <v>2788</v>
      </c>
      <c r="M225" s="326"/>
      <c r="N225" s="326" t="s">
        <v>2790</v>
      </c>
      <c r="O225" s="419" t="s">
        <v>2789</v>
      </c>
    </row>
    <row r="226" spans="1:15" ht="16.2" customHeight="1">
      <c r="J226" s="326">
        <v>2025</v>
      </c>
      <c r="K226" s="326" t="s">
        <v>1957</v>
      </c>
      <c r="L226" s="326" t="s">
        <v>2791</v>
      </c>
      <c r="M226" s="326"/>
      <c r="N226" s="326" t="s">
        <v>2793</v>
      </c>
      <c r="O226" s="419" t="s">
        <v>2792</v>
      </c>
    </row>
    <row r="227" spans="1:15" ht="16.2" customHeight="1">
      <c r="J227" s="326">
        <v>2025</v>
      </c>
      <c r="K227" s="326" t="s">
        <v>1957</v>
      </c>
      <c r="L227" s="326" t="s">
        <v>2794</v>
      </c>
      <c r="M227" s="326"/>
      <c r="N227" s="326" t="s">
        <v>2796</v>
      </c>
      <c r="O227" s="419" t="s">
        <v>2795</v>
      </c>
    </row>
    <row r="228" spans="1:15" ht="16.2" customHeight="1">
      <c r="J228" s="326">
        <v>2025</v>
      </c>
      <c r="K228" s="326" t="s">
        <v>1957</v>
      </c>
      <c r="L228" s="326" t="s">
        <v>2797</v>
      </c>
      <c r="M228" s="326"/>
      <c r="N228" s="326" t="s">
        <v>2799</v>
      </c>
      <c r="O228" s="419" t="s">
        <v>2798</v>
      </c>
    </row>
    <row r="229" spans="1:15" ht="16.2" customHeight="1">
      <c r="J229" s="326">
        <v>2025</v>
      </c>
      <c r="K229" s="326" t="s">
        <v>1957</v>
      </c>
      <c r="L229" s="326" t="s">
        <v>2800</v>
      </c>
      <c r="M229" s="326"/>
      <c r="N229" s="326" t="s">
        <v>2802</v>
      </c>
      <c r="O229" s="419" t="s">
        <v>2801</v>
      </c>
    </row>
    <row r="230" spans="1:15" ht="16.2" customHeight="1">
      <c r="J230" s="326">
        <v>2025</v>
      </c>
      <c r="K230" s="326" t="s">
        <v>1957</v>
      </c>
      <c r="L230" s="326" t="s">
        <v>2803</v>
      </c>
      <c r="M230" s="326"/>
      <c r="N230" s="326" t="s">
        <v>2805</v>
      </c>
      <c r="O230" s="419" t="s">
        <v>2804</v>
      </c>
    </row>
    <row r="231" spans="1:15" ht="16.2" customHeight="1">
      <c r="A231" s="419">
        <v>2024</v>
      </c>
      <c r="B231" s="419" t="s">
        <v>1957</v>
      </c>
      <c r="C231" s="419" t="s">
        <v>1423</v>
      </c>
      <c r="D231" s="419" t="s">
        <v>870</v>
      </c>
      <c r="E231" s="419" t="s">
        <v>1424</v>
      </c>
      <c r="F231" s="419" t="s">
        <v>159</v>
      </c>
      <c r="J231" s="419">
        <v>2025</v>
      </c>
      <c r="K231" s="419" t="s">
        <v>1957</v>
      </c>
      <c r="L231" s="419" t="s">
        <v>1423</v>
      </c>
      <c r="N231" s="419" t="s">
        <v>1424</v>
      </c>
      <c r="O231" s="419" t="s">
        <v>159</v>
      </c>
    </row>
    <row r="232" spans="1:15" ht="16.2" customHeight="1">
      <c r="A232" s="419">
        <v>2024</v>
      </c>
      <c r="B232" s="419" t="s">
        <v>1957</v>
      </c>
      <c r="C232" s="199" t="s">
        <v>1425</v>
      </c>
      <c r="D232" s="199" t="s">
        <v>710</v>
      </c>
      <c r="E232" s="199" t="s">
        <v>1426</v>
      </c>
      <c r="F232" s="199" t="s">
        <v>160</v>
      </c>
      <c r="J232" s="419">
        <v>2025</v>
      </c>
      <c r="K232" s="419" t="s">
        <v>1957</v>
      </c>
      <c r="L232" s="419" t="s">
        <v>1425</v>
      </c>
      <c r="N232" s="419" t="s">
        <v>1426</v>
      </c>
      <c r="O232" s="419" t="s">
        <v>160</v>
      </c>
    </row>
    <row r="233" spans="1:15" ht="16.2" customHeight="1">
      <c r="A233" s="419">
        <v>2024</v>
      </c>
      <c r="B233" s="419" t="s">
        <v>1957</v>
      </c>
      <c r="C233" s="199" t="s">
        <v>1428</v>
      </c>
      <c r="D233" s="199" t="s">
        <v>710</v>
      </c>
      <c r="E233" s="199" t="s">
        <v>1429</v>
      </c>
      <c r="F233" s="199" t="s">
        <v>161</v>
      </c>
      <c r="J233" s="419">
        <v>2025</v>
      </c>
      <c r="K233" s="419" t="s">
        <v>1957</v>
      </c>
      <c r="L233" s="419" t="s">
        <v>1428</v>
      </c>
      <c r="N233" s="419" t="s">
        <v>1429</v>
      </c>
      <c r="O233" s="419" t="s">
        <v>161</v>
      </c>
    </row>
    <row r="234" spans="1:15" ht="16.2" customHeight="1">
      <c r="A234" s="419">
        <v>2024</v>
      </c>
      <c r="B234" s="419" t="s">
        <v>1957</v>
      </c>
      <c r="C234" s="199" t="s">
        <v>1430</v>
      </c>
      <c r="D234" s="199" t="s">
        <v>710</v>
      </c>
      <c r="E234" s="199" t="s">
        <v>1431</v>
      </c>
      <c r="F234" s="199" t="s">
        <v>162</v>
      </c>
      <c r="J234" s="419">
        <v>2025</v>
      </c>
      <c r="K234" s="419" t="s">
        <v>1957</v>
      </c>
      <c r="L234" s="419" t="s">
        <v>1430</v>
      </c>
      <c r="N234" s="419" t="s">
        <v>1431</v>
      </c>
      <c r="O234" s="419" t="s">
        <v>162</v>
      </c>
    </row>
    <row r="235" spans="1:15" ht="16.2" customHeight="1">
      <c r="A235" s="419">
        <v>2024</v>
      </c>
      <c r="B235" s="419" t="s">
        <v>1957</v>
      </c>
      <c r="C235" s="199" t="s">
        <v>1433</v>
      </c>
      <c r="D235" s="199" t="s">
        <v>710</v>
      </c>
      <c r="E235" s="199" t="s">
        <v>1434</v>
      </c>
      <c r="F235" s="199" t="s">
        <v>163</v>
      </c>
      <c r="J235" s="419">
        <v>2025</v>
      </c>
      <c r="K235" s="419" t="s">
        <v>1957</v>
      </c>
      <c r="L235" s="419" t="s">
        <v>1433</v>
      </c>
      <c r="N235" s="419" t="s">
        <v>1434</v>
      </c>
      <c r="O235" s="419" t="s">
        <v>163</v>
      </c>
    </row>
    <row r="236" spans="1:15" ht="16.2" customHeight="1">
      <c r="A236" s="419">
        <v>2024</v>
      </c>
      <c r="B236" s="419" t="s">
        <v>1957</v>
      </c>
      <c r="C236" s="199" t="s">
        <v>1436</v>
      </c>
      <c r="D236" s="199" t="s">
        <v>710</v>
      </c>
      <c r="E236" s="199" t="s">
        <v>1437</v>
      </c>
      <c r="F236" s="199" t="s">
        <v>164</v>
      </c>
      <c r="J236" s="419">
        <v>2025</v>
      </c>
      <c r="K236" s="419" t="s">
        <v>1957</v>
      </c>
      <c r="L236" s="419" t="s">
        <v>1436</v>
      </c>
      <c r="N236" s="419" t="s">
        <v>1437</v>
      </c>
      <c r="O236" s="419" t="s">
        <v>164</v>
      </c>
    </row>
    <row r="237" spans="1:15" ht="16.2" customHeight="1">
      <c r="A237" s="419">
        <v>2024</v>
      </c>
      <c r="B237" s="419" t="s">
        <v>1957</v>
      </c>
      <c r="C237" s="199" t="s">
        <v>1438</v>
      </c>
      <c r="D237" s="199" t="s">
        <v>710</v>
      </c>
      <c r="E237" s="199" t="s">
        <v>1439</v>
      </c>
      <c r="F237" s="199" t="s">
        <v>165</v>
      </c>
      <c r="J237" s="419">
        <v>2025</v>
      </c>
      <c r="K237" s="419" t="s">
        <v>1957</v>
      </c>
      <c r="L237" s="419" t="s">
        <v>1438</v>
      </c>
      <c r="N237" s="419" t="s">
        <v>1439</v>
      </c>
      <c r="O237" s="419" t="s">
        <v>165</v>
      </c>
    </row>
    <row r="238" spans="1:15" ht="16.2" customHeight="1">
      <c r="A238" s="419">
        <v>2024</v>
      </c>
      <c r="B238" s="419" t="s">
        <v>1957</v>
      </c>
      <c r="C238" s="199" t="s">
        <v>1440</v>
      </c>
      <c r="D238" s="199" t="s">
        <v>710</v>
      </c>
      <c r="E238" s="199" t="s">
        <v>1441</v>
      </c>
      <c r="F238" s="199" t="s">
        <v>166</v>
      </c>
      <c r="J238" s="419">
        <v>2025</v>
      </c>
      <c r="K238" s="419" t="s">
        <v>1957</v>
      </c>
      <c r="L238" s="419" t="s">
        <v>1440</v>
      </c>
      <c r="N238" s="419" t="s">
        <v>1441</v>
      </c>
      <c r="O238" s="419" t="s">
        <v>166</v>
      </c>
    </row>
    <row r="239" spans="1:15" ht="16.2" customHeight="1">
      <c r="A239" s="419">
        <v>2024</v>
      </c>
      <c r="B239" s="419" t="s">
        <v>1957</v>
      </c>
      <c r="C239" s="199" t="s">
        <v>1442</v>
      </c>
      <c r="D239" s="199" t="s">
        <v>710</v>
      </c>
      <c r="E239" s="199" t="s">
        <v>1443</v>
      </c>
      <c r="F239" s="199" t="s">
        <v>167</v>
      </c>
      <c r="J239" s="419">
        <v>2025</v>
      </c>
      <c r="K239" s="419" t="s">
        <v>1957</v>
      </c>
      <c r="L239" s="419" t="s">
        <v>1442</v>
      </c>
      <c r="N239" s="419" t="s">
        <v>1443</v>
      </c>
      <c r="O239" s="419" t="s">
        <v>167</v>
      </c>
    </row>
    <row r="240" spans="1:15" ht="16.2" customHeight="1">
      <c r="A240" s="419">
        <v>2024</v>
      </c>
      <c r="B240" s="419" t="s">
        <v>1957</v>
      </c>
      <c r="C240" s="199" t="s">
        <v>1444</v>
      </c>
      <c r="D240" s="199" t="s">
        <v>710</v>
      </c>
      <c r="E240" s="199" t="s">
        <v>1445</v>
      </c>
      <c r="F240" s="199" t="s">
        <v>168</v>
      </c>
      <c r="J240" s="419">
        <v>2025</v>
      </c>
      <c r="K240" s="419" t="s">
        <v>1957</v>
      </c>
      <c r="L240" s="419" t="s">
        <v>1444</v>
      </c>
      <c r="N240" s="419" t="s">
        <v>1445</v>
      </c>
      <c r="O240" s="419" t="s">
        <v>168</v>
      </c>
    </row>
    <row r="241" spans="1:15" ht="16.2" customHeight="1">
      <c r="A241" s="419">
        <v>2024</v>
      </c>
      <c r="B241" s="419" t="s">
        <v>1957</v>
      </c>
      <c r="C241" s="199" t="s">
        <v>1446</v>
      </c>
      <c r="D241" s="199" t="s">
        <v>710</v>
      </c>
      <c r="E241" s="199" t="s">
        <v>1447</v>
      </c>
      <c r="F241" s="199" t="s">
        <v>169</v>
      </c>
      <c r="J241" s="419">
        <v>2025</v>
      </c>
      <c r="K241" s="419" t="s">
        <v>1957</v>
      </c>
      <c r="L241" s="419" t="s">
        <v>1446</v>
      </c>
      <c r="N241" s="419" t="s">
        <v>1447</v>
      </c>
      <c r="O241" s="419" t="s">
        <v>169</v>
      </c>
    </row>
    <row r="242" spans="1:15" ht="16.2" customHeight="1">
      <c r="A242" s="419">
        <v>2024</v>
      </c>
      <c r="B242" s="419" t="s">
        <v>1957</v>
      </c>
      <c r="C242" s="199" t="s">
        <v>1448</v>
      </c>
      <c r="D242" s="199" t="s">
        <v>710</v>
      </c>
      <c r="E242" s="199" t="s">
        <v>1449</v>
      </c>
      <c r="F242" s="199" t="s">
        <v>170</v>
      </c>
      <c r="J242" s="419">
        <v>2025</v>
      </c>
      <c r="K242" s="419" t="s">
        <v>1957</v>
      </c>
      <c r="L242" s="419" t="s">
        <v>1448</v>
      </c>
      <c r="N242" s="419" t="s">
        <v>1449</v>
      </c>
      <c r="O242" s="419" t="s">
        <v>170</v>
      </c>
    </row>
    <row r="243" spans="1:15" ht="16.2" customHeight="1">
      <c r="A243" s="419">
        <v>2024</v>
      </c>
      <c r="B243" s="419" t="s">
        <v>1957</v>
      </c>
      <c r="C243" s="199" t="s">
        <v>1450</v>
      </c>
      <c r="D243" s="199" t="s">
        <v>1451</v>
      </c>
      <c r="E243" s="199" t="s">
        <v>1452</v>
      </c>
      <c r="F243" s="199" t="s">
        <v>171</v>
      </c>
      <c r="J243" s="419">
        <v>2025</v>
      </c>
      <c r="K243" s="419" t="s">
        <v>1957</v>
      </c>
      <c r="L243" s="419" t="s">
        <v>1450</v>
      </c>
      <c r="N243" s="419" t="s">
        <v>1452</v>
      </c>
      <c r="O243" s="419" t="s">
        <v>171</v>
      </c>
    </row>
    <row r="244" spans="1:15" ht="16.2" customHeight="1">
      <c r="A244" s="419">
        <v>2024</v>
      </c>
      <c r="B244" s="419" t="s">
        <v>1957</v>
      </c>
      <c r="C244" s="199" t="s">
        <v>1454</v>
      </c>
      <c r="D244" s="199" t="s">
        <v>1451</v>
      </c>
      <c r="E244" s="199" t="s">
        <v>1455</v>
      </c>
      <c r="F244" s="199" t="s">
        <v>172</v>
      </c>
      <c r="J244" s="419">
        <v>2025</v>
      </c>
      <c r="K244" s="419" t="s">
        <v>1957</v>
      </c>
      <c r="L244" s="419" t="s">
        <v>1454</v>
      </c>
      <c r="N244" s="419" t="s">
        <v>1455</v>
      </c>
      <c r="O244" s="419" t="s">
        <v>172</v>
      </c>
    </row>
    <row r="245" spans="1:15" ht="16.2" customHeight="1">
      <c r="A245" s="419">
        <v>2024</v>
      </c>
      <c r="B245" s="419" t="s">
        <v>1957</v>
      </c>
      <c r="C245" s="199" t="s">
        <v>2116</v>
      </c>
      <c r="D245" s="199" t="s">
        <v>870</v>
      </c>
      <c r="E245" s="199" t="s">
        <v>1417</v>
      </c>
      <c r="F245" s="199" t="s">
        <v>158</v>
      </c>
      <c r="J245" s="419">
        <v>2025</v>
      </c>
      <c r="K245" s="419" t="s">
        <v>1957</v>
      </c>
      <c r="L245" s="419" t="s">
        <v>2116</v>
      </c>
      <c r="N245" s="419" t="s">
        <v>1417</v>
      </c>
      <c r="O245" s="419" t="s">
        <v>158</v>
      </c>
    </row>
    <row r="246" spans="1:15" ht="16.2" customHeight="1">
      <c r="A246" s="419">
        <v>2024</v>
      </c>
      <c r="B246" s="419" t="s">
        <v>1957</v>
      </c>
      <c r="C246" s="199" t="s">
        <v>1458</v>
      </c>
      <c r="D246" s="199" t="s">
        <v>1459</v>
      </c>
      <c r="E246" s="199" t="s">
        <v>1460</v>
      </c>
      <c r="F246" s="199" t="s">
        <v>173</v>
      </c>
      <c r="J246" s="419">
        <v>2025</v>
      </c>
      <c r="K246" s="419" t="s">
        <v>1957</v>
      </c>
      <c r="L246" s="419" t="s">
        <v>1458</v>
      </c>
      <c r="N246" s="419" t="s">
        <v>1460</v>
      </c>
      <c r="O246" s="419" t="s">
        <v>173</v>
      </c>
    </row>
    <row r="247" spans="1:15" ht="16.2" customHeight="1">
      <c r="A247" s="419">
        <v>2024</v>
      </c>
      <c r="B247" s="419" t="s">
        <v>1957</v>
      </c>
      <c r="C247" s="199" t="s">
        <v>1462</v>
      </c>
      <c r="D247" s="199" t="s">
        <v>1459</v>
      </c>
      <c r="E247" s="199" t="s">
        <v>1463</v>
      </c>
      <c r="F247" s="199" t="s">
        <v>174</v>
      </c>
      <c r="J247" s="419">
        <v>2025</v>
      </c>
      <c r="K247" s="419" t="s">
        <v>1957</v>
      </c>
      <c r="L247" s="419" t="s">
        <v>1462</v>
      </c>
      <c r="N247" s="419" t="s">
        <v>1463</v>
      </c>
      <c r="O247" s="419" t="s">
        <v>174</v>
      </c>
    </row>
    <row r="248" spans="1:15" ht="16.2" customHeight="1">
      <c r="A248" s="419">
        <v>2024</v>
      </c>
      <c r="B248" s="419" t="s">
        <v>1957</v>
      </c>
      <c r="C248" s="199" t="s">
        <v>1464</v>
      </c>
      <c r="D248" s="199" t="s">
        <v>1459</v>
      </c>
      <c r="E248" s="199" t="s">
        <v>1465</v>
      </c>
      <c r="F248" s="199" t="s">
        <v>175</v>
      </c>
      <c r="J248" s="419">
        <v>2025</v>
      </c>
      <c r="K248" s="419" t="s">
        <v>1957</v>
      </c>
      <c r="L248" s="419" t="s">
        <v>1464</v>
      </c>
      <c r="N248" s="419" t="s">
        <v>1465</v>
      </c>
      <c r="O248" s="419" t="s">
        <v>175</v>
      </c>
    </row>
    <row r="249" spans="1:15" ht="16.2" customHeight="1">
      <c r="A249" s="419">
        <v>2024</v>
      </c>
      <c r="B249" s="419" t="s">
        <v>1957</v>
      </c>
      <c r="C249" s="199" t="s">
        <v>1466</v>
      </c>
      <c r="D249" s="199" t="s">
        <v>1459</v>
      </c>
      <c r="E249" s="199" t="s">
        <v>1467</v>
      </c>
      <c r="F249" s="199" t="s">
        <v>176</v>
      </c>
      <c r="J249" s="419">
        <v>2025</v>
      </c>
      <c r="K249" s="419" t="s">
        <v>1957</v>
      </c>
      <c r="L249" s="419" t="s">
        <v>1466</v>
      </c>
      <c r="N249" s="419" t="s">
        <v>1467</v>
      </c>
      <c r="O249" s="419" t="s">
        <v>176</v>
      </c>
    </row>
    <row r="250" spans="1:15" ht="16.2" customHeight="1">
      <c r="A250" s="419">
        <v>2024</v>
      </c>
      <c r="B250" s="419" t="s">
        <v>1957</v>
      </c>
      <c r="C250" s="199" t="s">
        <v>1468</v>
      </c>
      <c r="D250" s="199" t="s">
        <v>1459</v>
      </c>
      <c r="E250" s="199" t="s">
        <v>1469</v>
      </c>
      <c r="F250" s="199" t="s">
        <v>1470</v>
      </c>
      <c r="J250" s="419">
        <v>2025</v>
      </c>
      <c r="K250" s="419" t="s">
        <v>1957</v>
      </c>
      <c r="L250" s="419" t="s">
        <v>1468</v>
      </c>
      <c r="N250" s="419" t="s">
        <v>1469</v>
      </c>
      <c r="O250" s="419" t="s">
        <v>1470</v>
      </c>
    </row>
    <row r="251" spans="1:15" ht="16.2" customHeight="1">
      <c r="A251" s="419">
        <v>2024</v>
      </c>
      <c r="B251" s="419" t="s">
        <v>1957</v>
      </c>
      <c r="C251" s="199" t="s">
        <v>1471</v>
      </c>
      <c r="D251" s="199" t="s">
        <v>1459</v>
      </c>
      <c r="E251" s="199" t="s">
        <v>1472</v>
      </c>
      <c r="F251" s="199" t="s">
        <v>177</v>
      </c>
      <c r="J251" s="419">
        <v>2025</v>
      </c>
      <c r="K251" s="419" t="s">
        <v>1957</v>
      </c>
      <c r="L251" s="419" t="s">
        <v>1471</v>
      </c>
      <c r="N251" s="419" t="s">
        <v>1472</v>
      </c>
      <c r="O251" s="419" t="s">
        <v>177</v>
      </c>
    </row>
    <row r="252" spans="1:15" ht="16.2" customHeight="1">
      <c r="C252" s="199"/>
      <c r="D252" s="199"/>
      <c r="E252" s="199"/>
      <c r="F252" s="199"/>
    </row>
    <row r="253" spans="1:15" ht="16.2" customHeight="1">
      <c r="C253" s="199"/>
      <c r="D253" s="199"/>
      <c r="E253" s="199"/>
      <c r="F253" s="199"/>
    </row>
    <row r="256" spans="1:15" ht="16.2" customHeight="1">
      <c r="A256" s="419">
        <v>2024</v>
      </c>
      <c r="B256" s="419" t="s">
        <v>1473</v>
      </c>
      <c r="C256" s="199" t="s">
        <v>474</v>
      </c>
      <c r="D256" s="199" t="s">
        <v>1474</v>
      </c>
      <c r="E256" s="199" t="s">
        <v>475</v>
      </c>
      <c r="F256" s="199" t="s">
        <v>1476</v>
      </c>
      <c r="J256" s="419">
        <v>2025</v>
      </c>
      <c r="K256" s="419" t="s">
        <v>1473</v>
      </c>
      <c r="L256" s="419" t="s">
        <v>474</v>
      </c>
      <c r="N256" s="419" t="s">
        <v>475</v>
      </c>
      <c r="O256" s="419" t="s">
        <v>1476</v>
      </c>
    </row>
    <row r="257" spans="1:15" ht="16.2" customHeight="1">
      <c r="A257" s="419">
        <v>2024</v>
      </c>
      <c r="B257" s="419" t="s">
        <v>1473</v>
      </c>
      <c r="C257" s="199" t="s">
        <v>476</v>
      </c>
      <c r="D257" s="199" t="s">
        <v>1474</v>
      </c>
      <c r="E257" s="199" t="s">
        <v>477</v>
      </c>
      <c r="F257" s="199" t="s">
        <v>1480</v>
      </c>
      <c r="J257" s="419">
        <v>2025</v>
      </c>
      <c r="K257" s="419" t="s">
        <v>1473</v>
      </c>
      <c r="L257" s="419" t="s">
        <v>476</v>
      </c>
      <c r="N257" s="419" t="s">
        <v>477</v>
      </c>
      <c r="O257" s="419" t="s">
        <v>2118</v>
      </c>
    </row>
    <row r="258" spans="1:15" ht="16.2" customHeight="1">
      <c r="A258" s="419">
        <v>2024</v>
      </c>
      <c r="B258" s="419" t="s">
        <v>1473</v>
      </c>
      <c r="C258" s="199" t="s">
        <v>479</v>
      </c>
      <c r="D258" s="199" t="s">
        <v>1474</v>
      </c>
      <c r="E258" s="199" t="s">
        <v>480</v>
      </c>
      <c r="F258" s="199" t="s">
        <v>1483</v>
      </c>
      <c r="J258" s="419">
        <v>2025</v>
      </c>
      <c r="K258" s="419" t="s">
        <v>1473</v>
      </c>
      <c r="L258" s="419" t="s">
        <v>479</v>
      </c>
      <c r="N258" s="419" t="s">
        <v>480</v>
      </c>
      <c r="O258" s="419" t="s">
        <v>1958</v>
      </c>
    </row>
    <row r="259" spans="1:15" ht="16.2" customHeight="1">
      <c r="A259" s="419">
        <v>2024</v>
      </c>
      <c r="B259" s="419" t="s">
        <v>1473</v>
      </c>
      <c r="C259" s="199" t="s">
        <v>482</v>
      </c>
      <c r="D259" s="199" t="s">
        <v>1474</v>
      </c>
      <c r="E259" s="199" t="s">
        <v>483</v>
      </c>
      <c r="F259" s="199" t="s">
        <v>1486</v>
      </c>
      <c r="J259" s="419">
        <v>2025</v>
      </c>
      <c r="K259" s="419" t="s">
        <v>1473</v>
      </c>
      <c r="L259" s="419" t="s">
        <v>482</v>
      </c>
      <c r="N259" s="419" t="s">
        <v>483</v>
      </c>
      <c r="O259" s="419" t="s">
        <v>1959</v>
      </c>
    </row>
    <row r="260" spans="1:15" ht="16.2" customHeight="1">
      <c r="A260" s="419">
        <v>2024</v>
      </c>
      <c r="B260" s="419" t="s">
        <v>1473</v>
      </c>
      <c r="C260" s="199" t="s">
        <v>484</v>
      </c>
      <c r="D260" s="199" t="s">
        <v>940</v>
      </c>
      <c r="E260" s="199" t="s">
        <v>485</v>
      </c>
      <c r="F260" s="199" t="s">
        <v>1488</v>
      </c>
      <c r="J260" s="419">
        <v>2025</v>
      </c>
      <c r="K260" s="419" t="s">
        <v>1473</v>
      </c>
      <c r="L260" s="419" t="s">
        <v>484</v>
      </c>
      <c r="N260" s="419" t="s">
        <v>485</v>
      </c>
      <c r="O260" s="419" t="s">
        <v>942</v>
      </c>
    </row>
    <row r="261" spans="1:15" ht="16.2" customHeight="1">
      <c r="C261" s="199"/>
      <c r="D261" s="199"/>
      <c r="E261" s="199"/>
      <c r="F261" s="199"/>
      <c r="J261" s="326">
        <v>2025</v>
      </c>
      <c r="K261" s="326" t="s">
        <v>1473</v>
      </c>
      <c r="L261" s="326" t="s">
        <v>2810</v>
      </c>
      <c r="M261" s="326"/>
      <c r="N261" s="326" t="s">
        <v>2812</v>
      </c>
      <c r="O261" s="326" t="s">
        <v>2811</v>
      </c>
    </row>
    <row r="262" spans="1:15" ht="16.2" customHeight="1">
      <c r="A262" s="419">
        <v>2024</v>
      </c>
      <c r="B262" s="419" t="s">
        <v>1473</v>
      </c>
      <c r="C262" s="199" t="s">
        <v>486</v>
      </c>
      <c r="D262" s="199" t="s">
        <v>940</v>
      </c>
      <c r="E262" s="199" t="s">
        <v>487</v>
      </c>
      <c r="F262" s="199" t="s">
        <v>1491</v>
      </c>
      <c r="J262" s="419">
        <v>2025</v>
      </c>
      <c r="K262" s="419" t="s">
        <v>1473</v>
      </c>
      <c r="L262" s="419" t="s">
        <v>486</v>
      </c>
      <c r="N262" s="419" t="s">
        <v>487</v>
      </c>
      <c r="O262" s="419" t="s">
        <v>1491</v>
      </c>
    </row>
    <row r="263" spans="1:15" ht="16.2" customHeight="1">
      <c r="J263" s="326">
        <v>2025</v>
      </c>
      <c r="K263" s="326" t="s">
        <v>1473</v>
      </c>
      <c r="L263" s="326" t="s">
        <v>2813</v>
      </c>
      <c r="M263" s="326"/>
      <c r="N263" s="326" t="s">
        <v>2815</v>
      </c>
      <c r="O263" s="326" t="s">
        <v>2814</v>
      </c>
    </row>
    <row r="264" spans="1:15" ht="16.2" customHeight="1">
      <c r="A264" s="419">
        <v>2024</v>
      </c>
      <c r="B264" s="419" t="s">
        <v>1473</v>
      </c>
      <c r="C264" s="199" t="s">
        <v>353</v>
      </c>
      <c r="D264" s="199" t="s">
        <v>1492</v>
      </c>
      <c r="E264" s="199" t="s">
        <v>2117</v>
      </c>
      <c r="F264" s="199" t="s">
        <v>964</v>
      </c>
      <c r="J264" s="419">
        <v>2025</v>
      </c>
      <c r="K264" s="419" t="s">
        <v>1473</v>
      </c>
      <c r="L264" s="419" t="s">
        <v>353</v>
      </c>
      <c r="N264" s="419" t="s">
        <v>2117</v>
      </c>
      <c r="O264" s="419" t="s">
        <v>964</v>
      </c>
    </row>
    <row r="265" spans="1:15" ht="16.2" customHeight="1">
      <c r="A265" s="419">
        <v>2024</v>
      </c>
      <c r="B265" s="419" t="s">
        <v>1473</v>
      </c>
      <c r="C265" s="199" t="s">
        <v>354</v>
      </c>
      <c r="D265" s="199" t="s">
        <v>1492</v>
      </c>
      <c r="E265" s="199" t="s">
        <v>488</v>
      </c>
      <c r="F265" s="199" t="s">
        <v>1497</v>
      </c>
      <c r="J265" s="419">
        <v>2025</v>
      </c>
      <c r="K265" s="419" t="s">
        <v>1473</v>
      </c>
      <c r="L265" s="419" t="s">
        <v>354</v>
      </c>
      <c r="N265" s="419" t="s">
        <v>488</v>
      </c>
      <c r="O265" s="419" t="s">
        <v>1969</v>
      </c>
    </row>
    <row r="266" spans="1:15" ht="16.2" customHeight="1">
      <c r="A266" s="419">
        <v>2024</v>
      </c>
      <c r="B266" s="419" t="s">
        <v>1473</v>
      </c>
      <c r="C266" s="199" t="s">
        <v>355</v>
      </c>
      <c r="D266" s="199" t="s">
        <v>1492</v>
      </c>
      <c r="E266" s="199" t="s">
        <v>490</v>
      </c>
      <c r="F266" s="199" t="s">
        <v>1498</v>
      </c>
      <c r="J266" s="419">
        <v>2025</v>
      </c>
      <c r="K266" s="419" t="s">
        <v>1473</v>
      </c>
      <c r="L266" s="419" t="s">
        <v>355</v>
      </c>
      <c r="N266" s="419" t="s">
        <v>2128</v>
      </c>
      <c r="O266" s="419" t="s">
        <v>2127</v>
      </c>
    </row>
    <row r="267" spans="1:15" ht="16.2" customHeight="1">
      <c r="A267" s="419">
        <v>2024</v>
      </c>
      <c r="B267" s="419" t="s">
        <v>1473</v>
      </c>
      <c r="C267" s="199" t="s">
        <v>356</v>
      </c>
      <c r="D267" s="199" t="s">
        <v>1492</v>
      </c>
      <c r="E267" s="199" t="s">
        <v>493</v>
      </c>
      <c r="F267" s="199" t="s">
        <v>1499</v>
      </c>
      <c r="J267" s="419">
        <v>2025</v>
      </c>
      <c r="K267" s="419" t="s">
        <v>1473</v>
      </c>
      <c r="L267" s="419" t="s">
        <v>356</v>
      </c>
      <c r="N267" s="419" t="s">
        <v>493</v>
      </c>
      <c r="O267" s="419" t="s">
        <v>1974</v>
      </c>
    </row>
    <row r="268" spans="1:15" ht="16.2" customHeight="1">
      <c r="A268" s="419">
        <v>2024</v>
      </c>
      <c r="B268" s="419" t="s">
        <v>1473</v>
      </c>
      <c r="C268" s="199" t="s">
        <v>358</v>
      </c>
      <c r="D268" s="199" t="s">
        <v>1492</v>
      </c>
      <c r="E268" s="199" t="s">
        <v>496</v>
      </c>
      <c r="F268" s="199" t="s">
        <v>1500</v>
      </c>
      <c r="J268" s="419">
        <v>2025</v>
      </c>
      <c r="K268" s="419" t="s">
        <v>1473</v>
      </c>
      <c r="L268" s="419" t="s">
        <v>358</v>
      </c>
      <c r="N268" s="419" t="s">
        <v>1971</v>
      </c>
      <c r="O268" s="419" t="s">
        <v>1970</v>
      </c>
    </row>
    <row r="269" spans="1:15" ht="16.2" customHeight="1">
      <c r="A269" s="419">
        <v>2024</v>
      </c>
      <c r="B269" s="419" t="s">
        <v>1473</v>
      </c>
      <c r="C269" s="199" t="s">
        <v>357</v>
      </c>
      <c r="D269" s="199" t="s">
        <v>1492</v>
      </c>
      <c r="E269" s="199" t="s">
        <v>498</v>
      </c>
      <c r="F269" s="199" t="s">
        <v>1501</v>
      </c>
      <c r="J269" s="419">
        <v>2025</v>
      </c>
      <c r="K269" s="419" t="s">
        <v>1473</v>
      </c>
      <c r="L269" s="419" t="s">
        <v>357</v>
      </c>
      <c r="N269" s="419" t="s">
        <v>2840</v>
      </c>
      <c r="O269" s="419" t="s">
        <v>1972</v>
      </c>
    </row>
    <row r="270" spans="1:15" ht="16.2" customHeight="1">
      <c r="A270" s="419">
        <v>2024</v>
      </c>
      <c r="B270" s="419" t="s">
        <v>1473</v>
      </c>
      <c r="C270" s="199" t="s">
        <v>360</v>
      </c>
      <c r="D270" s="199" t="s">
        <v>1492</v>
      </c>
      <c r="E270" s="199" t="s">
        <v>500</v>
      </c>
      <c r="F270" s="199" t="s">
        <v>1504</v>
      </c>
      <c r="J270" s="419">
        <v>2025</v>
      </c>
      <c r="K270" s="419" t="s">
        <v>1473</v>
      </c>
      <c r="L270" s="419" t="s">
        <v>360</v>
      </c>
      <c r="N270" s="419" t="s">
        <v>500</v>
      </c>
      <c r="O270" s="419" t="s">
        <v>1504</v>
      </c>
    </row>
    <row r="271" spans="1:15" ht="16.2" customHeight="1">
      <c r="A271" s="419">
        <v>2024</v>
      </c>
      <c r="B271" s="419" t="s">
        <v>1473</v>
      </c>
      <c r="C271" s="199" t="s">
        <v>361</v>
      </c>
      <c r="D271" s="199" t="s">
        <v>1492</v>
      </c>
      <c r="E271" s="199" t="s">
        <v>503</v>
      </c>
      <c r="F271" s="199" t="s">
        <v>1505</v>
      </c>
      <c r="J271" s="419">
        <v>2025</v>
      </c>
      <c r="K271" s="419" t="s">
        <v>1473</v>
      </c>
      <c r="L271" s="419" t="s">
        <v>361</v>
      </c>
      <c r="N271" s="419" t="s">
        <v>503</v>
      </c>
      <c r="O271" s="419" t="s">
        <v>1975</v>
      </c>
    </row>
    <row r="272" spans="1:15" ht="16.2" customHeight="1">
      <c r="A272" s="419">
        <v>2024</v>
      </c>
      <c r="B272" s="419" t="s">
        <v>1473</v>
      </c>
      <c r="C272" s="199" t="s">
        <v>359</v>
      </c>
      <c r="D272" s="199" t="s">
        <v>1492</v>
      </c>
      <c r="E272" s="199" t="s">
        <v>505</v>
      </c>
      <c r="F272" s="199" t="s">
        <v>1506</v>
      </c>
      <c r="J272" s="419">
        <v>2025</v>
      </c>
      <c r="K272" s="419" t="s">
        <v>1473</v>
      </c>
      <c r="L272" s="419" t="s">
        <v>359</v>
      </c>
      <c r="N272" s="419" t="s">
        <v>505</v>
      </c>
      <c r="O272" s="419" t="s">
        <v>1506</v>
      </c>
    </row>
    <row r="273" spans="1:15" ht="16.2" customHeight="1">
      <c r="A273" s="419">
        <v>2024</v>
      </c>
      <c r="B273" s="419" t="s">
        <v>1473</v>
      </c>
      <c r="C273" s="199" t="s">
        <v>507</v>
      </c>
      <c r="D273" s="199" t="s">
        <v>1507</v>
      </c>
      <c r="E273" s="199" t="s">
        <v>508</v>
      </c>
      <c r="F273" s="199" t="s">
        <v>1509</v>
      </c>
      <c r="J273" s="419">
        <v>2025</v>
      </c>
      <c r="K273" s="419" t="s">
        <v>1473</v>
      </c>
      <c r="L273" s="419" t="s">
        <v>507</v>
      </c>
      <c r="N273" s="419" t="s">
        <v>508</v>
      </c>
      <c r="O273" s="419" t="s">
        <v>1509</v>
      </c>
    </row>
    <row r="274" spans="1:15" ht="16.2" customHeight="1">
      <c r="A274" s="419">
        <v>2024</v>
      </c>
      <c r="B274" s="419" t="s">
        <v>1473</v>
      </c>
      <c r="C274" s="199" t="s">
        <v>511</v>
      </c>
      <c r="D274" s="199" t="s">
        <v>1234</v>
      </c>
      <c r="E274" s="199" t="s">
        <v>512</v>
      </c>
      <c r="F274" s="199" t="s">
        <v>1511</v>
      </c>
      <c r="J274" s="419">
        <v>2025</v>
      </c>
      <c r="K274" s="419" t="s">
        <v>1473</v>
      </c>
      <c r="L274" s="419" t="s">
        <v>511</v>
      </c>
      <c r="N274" s="419" t="s">
        <v>2806</v>
      </c>
      <c r="O274" s="419" t="s">
        <v>2119</v>
      </c>
    </row>
    <row r="275" spans="1:15" ht="16.2" customHeight="1">
      <c r="A275" s="419">
        <v>2024</v>
      </c>
      <c r="B275" s="419" t="s">
        <v>1473</v>
      </c>
      <c r="C275" s="199" t="s">
        <v>513</v>
      </c>
      <c r="D275" s="199" t="s">
        <v>1234</v>
      </c>
      <c r="E275" s="199" t="s">
        <v>514</v>
      </c>
      <c r="F275" s="199" t="s">
        <v>1515</v>
      </c>
      <c r="J275" s="419">
        <v>2025</v>
      </c>
      <c r="K275" s="419" t="s">
        <v>1473</v>
      </c>
      <c r="L275" s="419" t="s">
        <v>513</v>
      </c>
      <c r="N275" s="419" t="s">
        <v>2808</v>
      </c>
      <c r="O275" s="419" t="s">
        <v>2120</v>
      </c>
    </row>
    <row r="276" spans="1:15" ht="16.2" customHeight="1">
      <c r="A276" s="419">
        <v>2024</v>
      </c>
      <c r="B276" s="419" t="s">
        <v>1473</v>
      </c>
      <c r="C276" s="199" t="s">
        <v>515</v>
      </c>
      <c r="D276" s="199" t="s">
        <v>1234</v>
      </c>
      <c r="E276" s="199" t="s">
        <v>516</v>
      </c>
      <c r="F276" s="199" t="s">
        <v>1516</v>
      </c>
      <c r="J276" s="419">
        <v>2025</v>
      </c>
      <c r="K276" s="419" t="s">
        <v>1473</v>
      </c>
      <c r="L276" s="419" t="s">
        <v>515</v>
      </c>
      <c r="N276" s="419" t="s">
        <v>516</v>
      </c>
      <c r="O276" s="419" t="s">
        <v>2121</v>
      </c>
    </row>
    <row r="277" spans="1:15" ht="16.2" customHeight="1">
      <c r="A277" s="419">
        <v>2024</v>
      </c>
      <c r="B277" s="419" t="s">
        <v>1473</v>
      </c>
      <c r="C277" s="199" t="s">
        <v>519</v>
      </c>
      <c r="D277" s="199" t="s">
        <v>1234</v>
      </c>
      <c r="E277" s="199" t="s">
        <v>520</v>
      </c>
      <c r="F277" s="199" t="s">
        <v>1518</v>
      </c>
      <c r="J277" s="419">
        <v>2025</v>
      </c>
      <c r="K277" s="419" t="s">
        <v>1473</v>
      </c>
      <c r="L277" s="419" t="s">
        <v>519</v>
      </c>
      <c r="N277" s="419" t="s">
        <v>2809</v>
      </c>
      <c r="O277" s="419" t="s">
        <v>2122</v>
      </c>
    </row>
    <row r="278" spans="1:15" ht="16.2" customHeight="1">
      <c r="A278" s="419">
        <v>2024</v>
      </c>
      <c r="B278" s="419" t="s">
        <v>1473</v>
      </c>
      <c r="C278" s="199" t="s">
        <v>522</v>
      </c>
      <c r="D278" s="199" t="s">
        <v>1234</v>
      </c>
      <c r="E278" s="199" t="s">
        <v>523</v>
      </c>
      <c r="F278" s="199" t="s">
        <v>1519</v>
      </c>
      <c r="J278" s="419">
        <v>2025</v>
      </c>
      <c r="K278" s="419" t="s">
        <v>1473</v>
      </c>
      <c r="L278" s="419" t="s">
        <v>522</v>
      </c>
      <c r="N278" s="419" t="s">
        <v>2124</v>
      </c>
      <c r="O278" s="419" t="s">
        <v>2123</v>
      </c>
    </row>
    <row r="279" spans="1:15" ht="16.2" customHeight="1">
      <c r="A279" s="326">
        <v>2024</v>
      </c>
      <c r="B279" s="326" t="s">
        <v>1473</v>
      </c>
      <c r="C279" s="327" t="s">
        <v>1965</v>
      </c>
      <c r="D279" s="327" t="s">
        <v>1081</v>
      </c>
      <c r="E279" s="327" t="s">
        <v>1967</v>
      </c>
      <c r="F279" s="327" t="s">
        <v>1966</v>
      </c>
      <c r="G279" s="326"/>
    </row>
    <row r="280" spans="1:15" ht="16.2" customHeight="1">
      <c r="J280" s="326">
        <v>2025</v>
      </c>
      <c r="K280" s="326" t="s">
        <v>1473</v>
      </c>
      <c r="L280" s="326" t="s">
        <v>2816</v>
      </c>
      <c r="M280" s="326"/>
      <c r="N280" s="326" t="s">
        <v>2818</v>
      </c>
      <c r="O280" s="326" t="s">
        <v>2817</v>
      </c>
    </row>
    <row r="281" spans="1:15" ht="16.2" customHeight="1">
      <c r="J281" s="326">
        <v>2025</v>
      </c>
      <c r="K281" s="326" t="s">
        <v>1473</v>
      </c>
      <c r="L281" s="326" t="s">
        <v>2819</v>
      </c>
      <c r="M281" s="326"/>
      <c r="N281" s="326" t="s">
        <v>2821</v>
      </c>
      <c r="O281" s="326" t="s">
        <v>2820</v>
      </c>
    </row>
    <row r="282" spans="1:15" ht="16.2" customHeight="1">
      <c r="J282" s="326">
        <v>2025</v>
      </c>
      <c r="K282" s="326" t="s">
        <v>1473</v>
      </c>
      <c r="L282" s="326" t="s">
        <v>2822</v>
      </c>
      <c r="M282" s="326"/>
      <c r="N282" s="326" t="s">
        <v>2824</v>
      </c>
      <c r="O282" s="326" t="s">
        <v>2823</v>
      </c>
    </row>
    <row r="283" spans="1:15" ht="16.2" customHeight="1">
      <c r="J283" s="326">
        <v>2025</v>
      </c>
      <c r="K283" s="326" t="s">
        <v>1473</v>
      </c>
      <c r="L283" s="326" t="s">
        <v>2825</v>
      </c>
      <c r="M283" s="326"/>
      <c r="N283" s="326" t="s">
        <v>2827</v>
      </c>
      <c r="O283" s="326" t="s">
        <v>2826</v>
      </c>
    </row>
    <row r="284" spans="1:15" ht="16.2" customHeight="1">
      <c r="J284" s="326">
        <v>2025</v>
      </c>
      <c r="K284" s="326" t="s">
        <v>1473</v>
      </c>
      <c r="L284" s="326" t="s">
        <v>2828</v>
      </c>
      <c r="M284" s="326"/>
      <c r="N284" s="326" t="s">
        <v>2830</v>
      </c>
      <c r="O284" s="326" t="s">
        <v>2829</v>
      </c>
    </row>
    <row r="285" spans="1:15" ht="16.2" customHeight="1">
      <c r="A285" s="419">
        <v>2024</v>
      </c>
      <c r="B285" s="419" t="s">
        <v>1473</v>
      </c>
      <c r="C285" s="199" t="s">
        <v>497</v>
      </c>
      <c r="D285" s="199" t="s">
        <v>1081</v>
      </c>
      <c r="E285" s="199" t="s">
        <v>524</v>
      </c>
      <c r="F285" s="199" t="s">
        <v>1523</v>
      </c>
      <c r="J285" s="419">
        <v>2025</v>
      </c>
      <c r="K285" s="419" t="s">
        <v>1473</v>
      </c>
      <c r="L285" s="419" t="s">
        <v>497</v>
      </c>
      <c r="N285" s="419" t="s">
        <v>524</v>
      </c>
      <c r="O285" s="419" t="s">
        <v>2843</v>
      </c>
    </row>
    <row r="286" spans="1:15" ht="16.2" customHeight="1">
      <c r="A286" s="419">
        <v>2024</v>
      </c>
      <c r="B286" s="419" t="s">
        <v>1473</v>
      </c>
      <c r="C286" s="199" t="s">
        <v>525</v>
      </c>
      <c r="D286" s="199" t="s">
        <v>1081</v>
      </c>
      <c r="E286" s="199" t="s">
        <v>526</v>
      </c>
      <c r="F286" s="199" t="s">
        <v>1525</v>
      </c>
      <c r="J286" s="419">
        <v>2025</v>
      </c>
      <c r="K286" s="419" t="s">
        <v>1473</v>
      </c>
      <c r="L286" s="419" t="s">
        <v>525</v>
      </c>
      <c r="N286" s="419" t="s">
        <v>526</v>
      </c>
      <c r="O286" s="419" t="s">
        <v>1525</v>
      </c>
    </row>
    <row r="287" spans="1:15" ht="16.2" customHeight="1">
      <c r="A287" s="326">
        <v>2024</v>
      </c>
      <c r="B287" s="326" t="s">
        <v>1473</v>
      </c>
      <c r="C287" s="327" t="s">
        <v>527</v>
      </c>
      <c r="D287" s="327" t="s">
        <v>1081</v>
      </c>
      <c r="E287" s="327" t="s">
        <v>528</v>
      </c>
      <c r="F287" s="327" t="s">
        <v>1526</v>
      </c>
    </row>
    <row r="288" spans="1:15" ht="16.2" customHeight="1">
      <c r="A288" s="326">
        <v>2024</v>
      </c>
      <c r="B288" s="326" t="s">
        <v>1473</v>
      </c>
      <c r="C288" s="327" t="s">
        <v>529</v>
      </c>
      <c r="D288" s="327" t="s">
        <v>1081</v>
      </c>
      <c r="E288" s="327" t="s">
        <v>530</v>
      </c>
      <c r="F288" s="327" t="s">
        <v>1527</v>
      </c>
    </row>
    <row r="289" spans="1:16" ht="16.2" customHeight="1">
      <c r="J289" s="326">
        <v>2025</v>
      </c>
      <c r="K289" s="326" t="s">
        <v>1473</v>
      </c>
      <c r="L289" s="326" t="s">
        <v>2844</v>
      </c>
      <c r="M289" s="326"/>
      <c r="N289" s="326" t="s">
        <v>2846</v>
      </c>
      <c r="O289" s="326" t="s">
        <v>2845</v>
      </c>
      <c r="P289" s="326"/>
    </row>
    <row r="290" spans="1:16" ht="16.2" customHeight="1">
      <c r="A290" s="419">
        <v>2024</v>
      </c>
      <c r="B290" s="419" t="s">
        <v>1473</v>
      </c>
      <c r="C290" s="199" t="s">
        <v>531</v>
      </c>
      <c r="D290" s="199" t="s">
        <v>796</v>
      </c>
      <c r="E290" s="199" t="s">
        <v>532</v>
      </c>
      <c r="F290" s="199" t="s">
        <v>1528</v>
      </c>
      <c r="J290" s="419">
        <v>2025</v>
      </c>
      <c r="K290" s="419" t="s">
        <v>1473</v>
      </c>
      <c r="L290" s="419" t="s">
        <v>531</v>
      </c>
      <c r="N290" s="419" t="s">
        <v>2807</v>
      </c>
      <c r="O290" s="419" t="s">
        <v>1960</v>
      </c>
    </row>
    <row r="291" spans="1:16" ht="16.2" customHeight="1">
      <c r="A291" s="419">
        <v>2024</v>
      </c>
      <c r="B291" s="419" t="s">
        <v>1473</v>
      </c>
      <c r="C291" s="199" t="s">
        <v>534</v>
      </c>
      <c r="D291" s="199" t="s">
        <v>796</v>
      </c>
      <c r="E291" s="199" t="s">
        <v>535</v>
      </c>
      <c r="F291" s="199" t="s">
        <v>1529</v>
      </c>
      <c r="J291" s="419">
        <v>2025</v>
      </c>
      <c r="K291" s="419" t="s">
        <v>1473</v>
      </c>
      <c r="L291" s="419" t="s">
        <v>534</v>
      </c>
      <c r="N291" s="419" t="s">
        <v>535</v>
      </c>
      <c r="O291" s="419" t="s">
        <v>798</v>
      </c>
    </row>
    <row r="292" spans="1:16" ht="16.2" customHeight="1">
      <c r="A292" s="419">
        <v>2024</v>
      </c>
      <c r="B292" s="419" t="s">
        <v>1473</v>
      </c>
      <c r="C292" s="199" t="s">
        <v>367</v>
      </c>
      <c r="D292" s="199" t="s">
        <v>1293</v>
      </c>
      <c r="E292" s="199" t="s">
        <v>537</v>
      </c>
      <c r="F292" s="199" t="s">
        <v>1532</v>
      </c>
      <c r="J292" s="419">
        <v>2025</v>
      </c>
      <c r="K292" s="419" t="s">
        <v>1473</v>
      </c>
      <c r="L292" s="419" t="s">
        <v>367</v>
      </c>
      <c r="N292" s="419" t="s">
        <v>537</v>
      </c>
      <c r="O292" s="419" t="s">
        <v>2125</v>
      </c>
    </row>
    <row r="293" spans="1:16" ht="16.2" customHeight="1">
      <c r="A293" s="419">
        <v>2024</v>
      </c>
      <c r="B293" s="419" t="s">
        <v>1473</v>
      </c>
      <c r="C293" s="199" t="s">
        <v>506</v>
      </c>
      <c r="D293" s="199" t="s">
        <v>1293</v>
      </c>
      <c r="E293" s="199" t="s">
        <v>539</v>
      </c>
      <c r="F293" s="199" t="s">
        <v>1534</v>
      </c>
      <c r="J293" s="419">
        <v>2025</v>
      </c>
      <c r="K293" s="419" t="s">
        <v>1473</v>
      </c>
      <c r="L293" s="419" t="s">
        <v>506</v>
      </c>
      <c r="N293" s="419" t="s">
        <v>539</v>
      </c>
      <c r="O293" s="419" t="s">
        <v>1968</v>
      </c>
    </row>
    <row r="294" spans="1:16" ht="16.2" customHeight="1">
      <c r="A294" s="419">
        <v>2024</v>
      </c>
      <c r="B294" s="419" t="s">
        <v>1473</v>
      </c>
      <c r="C294" s="199" t="s">
        <v>368</v>
      </c>
      <c r="D294" s="199" t="s">
        <v>1293</v>
      </c>
      <c r="E294" s="199" t="s">
        <v>542</v>
      </c>
      <c r="F294" s="199" t="s">
        <v>1535</v>
      </c>
      <c r="J294" s="419">
        <v>2025</v>
      </c>
      <c r="K294" s="419" t="s">
        <v>1473</v>
      </c>
      <c r="L294" s="419" t="s">
        <v>368</v>
      </c>
      <c r="N294" s="419" t="s">
        <v>542</v>
      </c>
      <c r="O294" s="419" t="s">
        <v>2126</v>
      </c>
    </row>
    <row r="295" spans="1:16" ht="16.2" customHeight="1">
      <c r="A295" s="326">
        <v>2024</v>
      </c>
      <c r="B295" s="326" t="s">
        <v>1473</v>
      </c>
      <c r="C295" s="327" t="s">
        <v>544</v>
      </c>
      <c r="D295" s="327" t="s">
        <v>1293</v>
      </c>
      <c r="E295" s="327" t="s">
        <v>545</v>
      </c>
      <c r="F295" s="327" t="s">
        <v>1536</v>
      </c>
    </row>
    <row r="296" spans="1:16" ht="16.2" customHeight="1">
      <c r="A296" s="419">
        <v>2024</v>
      </c>
      <c r="B296" s="419" t="s">
        <v>1473</v>
      </c>
      <c r="C296" s="199" t="s">
        <v>369</v>
      </c>
      <c r="D296" s="199" t="s">
        <v>1293</v>
      </c>
      <c r="E296" s="199" t="s">
        <v>543</v>
      </c>
      <c r="F296" s="199" t="s">
        <v>1539</v>
      </c>
      <c r="J296" s="419">
        <v>2025</v>
      </c>
      <c r="K296" s="419" t="s">
        <v>1473</v>
      </c>
      <c r="L296" s="419" t="s">
        <v>369</v>
      </c>
      <c r="N296" s="419" t="s">
        <v>543</v>
      </c>
      <c r="O296" s="419" t="s">
        <v>1539</v>
      </c>
    </row>
    <row r="297" spans="1:16" ht="16.2" customHeight="1">
      <c r="A297" s="419">
        <v>2024</v>
      </c>
      <c r="B297" s="419" t="s">
        <v>1473</v>
      </c>
      <c r="C297" s="199" t="s">
        <v>540</v>
      </c>
      <c r="D297" s="199" t="s">
        <v>1293</v>
      </c>
      <c r="E297" s="199" t="s">
        <v>541</v>
      </c>
      <c r="F297" s="199" t="s">
        <v>1003</v>
      </c>
      <c r="J297" s="419">
        <v>2025</v>
      </c>
      <c r="K297" s="419" t="s">
        <v>1473</v>
      </c>
      <c r="L297" s="419" t="s">
        <v>540</v>
      </c>
      <c r="N297" s="419" t="s">
        <v>541</v>
      </c>
      <c r="O297" s="419" t="s">
        <v>1003</v>
      </c>
    </row>
    <row r="298" spans="1:16" ht="16.2" customHeight="1">
      <c r="A298" s="419">
        <v>2024</v>
      </c>
      <c r="B298" s="419" t="s">
        <v>1473</v>
      </c>
      <c r="C298" s="199" t="s">
        <v>546</v>
      </c>
      <c r="D298" s="199" t="s">
        <v>1293</v>
      </c>
      <c r="E298" s="199" t="s">
        <v>547</v>
      </c>
      <c r="F298" s="199" t="s">
        <v>1540</v>
      </c>
      <c r="J298" s="419">
        <v>2025</v>
      </c>
      <c r="K298" s="419" t="s">
        <v>1473</v>
      </c>
      <c r="L298" s="419" t="s">
        <v>546</v>
      </c>
      <c r="N298" s="419" t="s">
        <v>547</v>
      </c>
      <c r="O298" s="419" t="s">
        <v>1976</v>
      </c>
    </row>
    <row r="299" spans="1:16" ht="16.2" customHeight="1">
      <c r="A299" s="419">
        <v>2024</v>
      </c>
      <c r="B299" s="419" t="s">
        <v>1473</v>
      </c>
      <c r="C299" s="199" t="s">
        <v>549</v>
      </c>
      <c r="D299" s="199" t="s">
        <v>865</v>
      </c>
      <c r="E299" s="199" t="s">
        <v>550</v>
      </c>
      <c r="F299" s="199" t="s">
        <v>1541</v>
      </c>
      <c r="J299" s="419">
        <v>2025</v>
      </c>
      <c r="K299" s="419" t="s">
        <v>1473</v>
      </c>
      <c r="L299" s="419" t="s">
        <v>549</v>
      </c>
      <c r="N299" s="419" t="s">
        <v>2834</v>
      </c>
      <c r="O299" s="419" t="s">
        <v>1541</v>
      </c>
    </row>
    <row r="300" spans="1:16" ht="16.2" customHeight="1">
      <c r="A300" s="419">
        <v>2024</v>
      </c>
      <c r="B300" s="419" t="s">
        <v>1473</v>
      </c>
      <c r="C300" s="199" t="s">
        <v>551</v>
      </c>
      <c r="D300" s="199" t="s">
        <v>865</v>
      </c>
      <c r="E300" s="199" t="s">
        <v>552</v>
      </c>
      <c r="F300" s="199" t="s">
        <v>1546</v>
      </c>
      <c r="J300" s="419">
        <v>2025</v>
      </c>
      <c r="K300" s="419" t="s">
        <v>1473</v>
      </c>
      <c r="L300" s="419" t="s">
        <v>551</v>
      </c>
      <c r="M300" s="419" t="s">
        <v>2927</v>
      </c>
      <c r="N300" s="419" t="s">
        <v>552</v>
      </c>
      <c r="O300" s="419" t="s">
        <v>2836</v>
      </c>
      <c r="P300" s="326"/>
    </row>
    <row r="301" spans="1:16" ht="16.2" customHeight="1">
      <c r="A301" s="419">
        <v>2024</v>
      </c>
      <c r="B301" s="419" t="s">
        <v>1473</v>
      </c>
      <c r="C301" s="199" t="s">
        <v>492</v>
      </c>
      <c r="D301" s="199" t="s">
        <v>865</v>
      </c>
      <c r="E301" s="199" t="s">
        <v>502</v>
      </c>
      <c r="F301" s="199" t="s">
        <v>1549</v>
      </c>
      <c r="J301" s="419">
        <v>2025</v>
      </c>
      <c r="K301" s="419" t="s">
        <v>1473</v>
      </c>
      <c r="L301" s="419" t="s">
        <v>492</v>
      </c>
      <c r="N301" s="419" t="s">
        <v>502</v>
      </c>
      <c r="O301" s="419" t="s">
        <v>1549</v>
      </c>
    </row>
    <row r="302" spans="1:16" ht="16.2" customHeight="1">
      <c r="A302" s="419">
        <v>2024</v>
      </c>
      <c r="B302" s="419" t="s">
        <v>1473</v>
      </c>
      <c r="C302" s="199" t="s">
        <v>553</v>
      </c>
      <c r="D302" s="199" t="s">
        <v>865</v>
      </c>
      <c r="E302" s="199" t="s">
        <v>554</v>
      </c>
      <c r="F302" s="199" t="s">
        <v>1551</v>
      </c>
      <c r="J302" s="419">
        <v>2025</v>
      </c>
      <c r="K302" s="419" t="s">
        <v>1473</v>
      </c>
      <c r="L302" s="419" t="s">
        <v>553</v>
      </c>
      <c r="N302" s="419" t="s">
        <v>554</v>
      </c>
      <c r="O302" s="419" t="s">
        <v>1006</v>
      </c>
    </row>
    <row r="303" spans="1:16" ht="16.2" customHeight="1">
      <c r="A303" s="419">
        <v>2024</v>
      </c>
      <c r="B303" s="419" t="s">
        <v>1473</v>
      </c>
      <c r="C303" s="199" t="s">
        <v>1553</v>
      </c>
      <c r="D303" s="199" t="s">
        <v>1010</v>
      </c>
      <c r="E303" s="199" t="s">
        <v>1554</v>
      </c>
      <c r="F303" s="199" t="s">
        <v>1555</v>
      </c>
      <c r="J303" s="419">
        <v>2025</v>
      </c>
      <c r="K303" s="419" t="s">
        <v>1473</v>
      </c>
      <c r="L303" s="419" t="s">
        <v>1553</v>
      </c>
      <c r="N303" s="419" t="s">
        <v>1554</v>
      </c>
      <c r="O303" s="419" t="s">
        <v>1555</v>
      </c>
    </row>
    <row r="304" spans="1:16" ht="16.2" customHeight="1">
      <c r="A304" s="419">
        <v>2024</v>
      </c>
      <c r="B304" s="419" t="s">
        <v>1473</v>
      </c>
      <c r="C304" s="199" t="s">
        <v>555</v>
      </c>
      <c r="D304" s="199" t="s">
        <v>1010</v>
      </c>
      <c r="E304" s="199" t="s">
        <v>556</v>
      </c>
      <c r="F304" s="199" t="s">
        <v>1556</v>
      </c>
      <c r="J304" s="419">
        <v>2025</v>
      </c>
      <c r="K304" s="419" t="s">
        <v>1473</v>
      </c>
      <c r="L304" s="419" t="s">
        <v>555</v>
      </c>
      <c r="N304" s="419" t="s">
        <v>556</v>
      </c>
      <c r="O304" s="419" t="s">
        <v>2835</v>
      </c>
    </row>
    <row r="305" spans="1:15" ht="16.2" customHeight="1">
      <c r="A305" s="419">
        <v>2024</v>
      </c>
      <c r="B305" s="419" t="s">
        <v>1473</v>
      </c>
      <c r="C305" s="199" t="s">
        <v>557</v>
      </c>
      <c r="D305" s="199" t="s">
        <v>1010</v>
      </c>
      <c r="E305" s="199" t="s">
        <v>558</v>
      </c>
      <c r="F305" s="199" t="s">
        <v>1019</v>
      </c>
      <c r="J305" s="419">
        <v>2025</v>
      </c>
      <c r="K305" s="419" t="s">
        <v>1473</v>
      </c>
      <c r="L305" s="419" t="s">
        <v>557</v>
      </c>
      <c r="N305" s="419" t="s">
        <v>558</v>
      </c>
      <c r="O305" s="419" t="s">
        <v>1019</v>
      </c>
    </row>
    <row r="306" spans="1:15" ht="16.2" customHeight="1">
      <c r="A306" s="419">
        <v>2024</v>
      </c>
      <c r="B306" s="419" t="s">
        <v>1473</v>
      </c>
      <c r="C306" s="199" t="s">
        <v>559</v>
      </c>
      <c r="D306" s="199" t="s">
        <v>1010</v>
      </c>
      <c r="E306" s="199" t="s">
        <v>560</v>
      </c>
      <c r="F306" s="199" t="s">
        <v>1557</v>
      </c>
      <c r="J306" s="419">
        <v>2025</v>
      </c>
      <c r="K306" s="419" t="s">
        <v>1473</v>
      </c>
      <c r="L306" s="419" t="s">
        <v>559</v>
      </c>
      <c r="N306" s="419" t="s">
        <v>2842</v>
      </c>
      <c r="O306" s="419" t="s">
        <v>2841</v>
      </c>
    </row>
    <row r="307" spans="1:15" ht="16.2" customHeight="1">
      <c r="A307" s="419">
        <v>2024</v>
      </c>
      <c r="B307" s="419" t="s">
        <v>1473</v>
      </c>
      <c r="C307" s="199" t="s">
        <v>561</v>
      </c>
      <c r="D307" s="199" t="s">
        <v>1010</v>
      </c>
      <c r="E307" s="199" t="s">
        <v>562</v>
      </c>
      <c r="F307" s="199" t="s">
        <v>1558</v>
      </c>
      <c r="J307" s="419">
        <v>2025</v>
      </c>
      <c r="K307" s="419" t="s">
        <v>1473</v>
      </c>
      <c r="L307" s="419" t="s">
        <v>561</v>
      </c>
      <c r="N307" s="419" t="s">
        <v>562</v>
      </c>
      <c r="O307" s="419" t="s">
        <v>1973</v>
      </c>
    </row>
    <row r="308" spans="1:15" ht="16.2" customHeight="1">
      <c r="J308" s="326">
        <v>2025</v>
      </c>
      <c r="K308" s="326" t="s">
        <v>1473</v>
      </c>
      <c r="L308" s="326" t="s">
        <v>2837</v>
      </c>
      <c r="M308" s="326" t="s">
        <v>2927</v>
      </c>
      <c r="N308" s="326" t="s">
        <v>2839</v>
      </c>
      <c r="O308" s="326" t="s">
        <v>2838</v>
      </c>
    </row>
    <row r="309" spans="1:15" ht="16.2" customHeight="1">
      <c r="J309" s="326">
        <v>2025</v>
      </c>
      <c r="K309" s="326" t="s">
        <v>1473</v>
      </c>
      <c r="L309" s="326" t="s">
        <v>2847</v>
      </c>
      <c r="M309" s="326" t="s">
        <v>2927</v>
      </c>
      <c r="N309" s="326" t="s">
        <v>2849</v>
      </c>
      <c r="O309" s="326" t="s">
        <v>2848</v>
      </c>
    </row>
    <row r="310" spans="1:15" ht="16.2" customHeight="1">
      <c r="A310" s="326">
        <v>2024</v>
      </c>
      <c r="B310" s="326" t="s">
        <v>1473</v>
      </c>
      <c r="C310" s="327" t="s">
        <v>563</v>
      </c>
      <c r="D310" s="327" t="s">
        <v>1559</v>
      </c>
      <c r="E310" s="327" t="s">
        <v>564</v>
      </c>
      <c r="F310" s="327" t="s">
        <v>1560</v>
      </c>
    </row>
    <row r="311" spans="1:15" ht="16.2" customHeight="1">
      <c r="A311" s="419">
        <v>2024</v>
      </c>
      <c r="B311" s="419" t="s">
        <v>1473</v>
      </c>
      <c r="C311" s="199" t="s">
        <v>565</v>
      </c>
      <c r="D311" s="199" t="s">
        <v>1559</v>
      </c>
      <c r="E311" s="199" t="s">
        <v>566</v>
      </c>
      <c r="F311" s="199" t="s">
        <v>1563</v>
      </c>
      <c r="J311" s="419">
        <v>2025</v>
      </c>
      <c r="K311" s="419" t="s">
        <v>1473</v>
      </c>
      <c r="L311" s="419" t="s">
        <v>565</v>
      </c>
      <c r="N311" s="419" t="s">
        <v>566</v>
      </c>
      <c r="O311" s="419" t="s">
        <v>1563</v>
      </c>
    </row>
    <row r="312" spans="1:15" ht="16.2" customHeight="1">
      <c r="A312" s="419">
        <v>2024</v>
      </c>
      <c r="B312" s="419" t="s">
        <v>1473</v>
      </c>
      <c r="C312" s="199" t="s">
        <v>569</v>
      </c>
      <c r="D312" s="199" t="s">
        <v>1559</v>
      </c>
      <c r="E312" s="199" t="s">
        <v>570</v>
      </c>
      <c r="F312" s="199" t="s">
        <v>1564</v>
      </c>
      <c r="J312" s="419">
        <v>2025</v>
      </c>
      <c r="K312" s="419" t="s">
        <v>1473</v>
      </c>
      <c r="L312" s="419" t="s">
        <v>569</v>
      </c>
      <c r="N312" s="419" t="s">
        <v>570</v>
      </c>
      <c r="O312" s="419" t="s">
        <v>1962</v>
      </c>
    </row>
    <row r="313" spans="1:15" ht="16.2" customHeight="1">
      <c r="A313" s="419">
        <v>2024</v>
      </c>
      <c r="B313" s="419" t="s">
        <v>1473</v>
      </c>
      <c r="C313" s="199" t="s">
        <v>571</v>
      </c>
      <c r="D313" s="199" t="s">
        <v>1559</v>
      </c>
      <c r="E313" s="199" t="s">
        <v>572</v>
      </c>
      <c r="F313" s="199" t="s">
        <v>1565</v>
      </c>
      <c r="J313" s="419">
        <v>2025</v>
      </c>
      <c r="K313" s="419" t="s">
        <v>1473</v>
      </c>
      <c r="L313" s="419" t="s">
        <v>571</v>
      </c>
      <c r="N313" s="419" t="s">
        <v>572</v>
      </c>
      <c r="O313" s="419" t="s">
        <v>1963</v>
      </c>
    </row>
    <row r="314" spans="1:15" ht="16.2" customHeight="1">
      <c r="A314" s="419">
        <v>2024</v>
      </c>
      <c r="B314" s="419" t="s">
        <v>1473</v>
      </c>
      <c r="C314" s="199" t="s">
        <v>573</v>
      </c>
      <c r="D314" s="199" t="s">
        <v>1559</v>
      </c>
      <c r="E314" s="199" t="s">
        <v>574</v>
      </c>
      <c r="F314" s="199" t="s">
        <v>1566</v>
      </c>
      <c r="J314" s="419">
        <v>2025</v>
      </c>
      <c r="K314" s="419" t="s">
        <v>1473</v>
      </c>
      <c r="L314" s="419" t="s">
        <v>573</v>
      </c>
      <c r="N314" s="419" t="s">
        <v>574</v>
      </c>
      <c r="O314" s="419" t="s">
        <v>1964</v>
      </c>
    </row>
    <row r="315" spans="1:15" ht="16.2" customHeight="1">
      <c r="C315" s="199"/>
      <c r="D315" s="199"/>
      <c r="E315" s="199"/>
      <c r="F315" s="199"/>
      <c r="J315" s="326">
        <v>2025</v>
      </c>
      <c r="K315" s="326" t="s">
        <v>1473</v>
      </c>
      <c r="L315" s="326" t="s">
        <v>2831</v>
      </c>
      <c r="M315" s="326"/>
      <c r="N315" s="326" t="s">
        <v>2833</v>
      </c>
      <c r="O315" s="326" t="s">
        <v>2832</v>
      </c>
    </row>
    <row r="316" spans="1:15" ht="16.2" customHeight="1">
      <c r="C316" s="199"/>
      <c r="D316" s="199"/>
      <c r="E316" s="199"/>
      <c r="F316" s="199"/>
    </row>
    <row r="319" spans="1:15" ht="16.2" customHeight="1">
      <c r="A319" s="419">
        <v>2024</v>
      </c>
      <c r="B319" s="419" t="s">
        <v>1977</v>
      </c>
      <c r="C319" s="419" t="s">
        <v>371</v>
      </c>
      <c r="D319" s="419" t="s">
        <v>940</v>
      </c>
      <c r="E319" s="199" t="s">
        <v>1978</v>
      </c>
      <c r="F319" s="199" t="s">
        <v>1568</v>
      </c>
      <c r="J319" s="419">
        <v>2025</v>
      </c>
      <c r="K319" s="419" t="s">
        <v>1977</v>
      </c>
      <c r="L319" s="419" t="s">
        <v>371</v>
      </c>
      <c r="N319" s="419" t="s">
        <v>1978</v>
      </c>
      <c r="O319" s="419" t="s">
        <v>1568</v>
      </c>
    </row>
    <row r="320" spans="1:15" ht="16.2" customHeight="1">
      <c r="A320" s="419">
        <v>2024</v>
      </c>
      <c r="B320" s="419" t="s">
        <v>1977</v>
      </c>
      <c r="C320" s="419" t="s">
        <v>1569</v>
      </c>
      <c r="D320" s="419" t="s">
        <v>1570</v>
      </c>
      <c r="E320" s="199" t="s">
        <v>1571</v>
      </c>
      <c r="F320" s="199" t="s">
        <v>1572</v>
      </c>
      <c r="J320" s="419">
        <v>2025</v>
      </c>
      <c r="K320" s="419" t="s">
        <v>1977</v>
      </c>
      <c r="L320" s="419" t="s">
        <v>1569</v>
      </c>
      <c r="N320" s="419" t="s">
        <v>1571</v>
      </c>
      <c r="O320" s="419" t="s">
        <v>1572</v>
      </c>
    </row>
    <row r="321" spans="1:15" ht="16.2" customHeight="1">
      <c r="A321" s="419">
        <v>2024</v>
      </c>
      <c r="B321" s="419" t="s">
        <v>1977</v>
      </c>
      <c r="C321" s="419" t="s">
        <v>1573</v>
      </c>
      <c r="D321" s="419" t="s">
        <v>940</v>
      </c>
      <c r="E321" s="199" t="s">
        <v>1574</v>
      </c>
      <c r="F321" s="199" t="s">
        <v>1576</v>
      </c>
      <c r="J321" s="419">
        <v>2025</v>
      </c>
      <c r="K321" s="419" t="s">
        <v>1977</v>
      </c>
      <c r="L321" s="419" t="s">
        <v>1573</v>
      </c>
      <c r="N321" s="419" t="s">
        <v>1574</v>
      </c>
      <c r="O321" s="419" t="s">
        <v>1576</v>
      </c>
    </row>
    <row r="322" spans="1:15" ht="16.2" customHeight="1">
      <c r="A322" s="326">
        <v>2024</v>
      </c>
      <c r="B322" s="326" t="s">
        <v>1977</v>
      </c>
      <c r="C322" s="326" t="s">
        <v>1578</v>
      </c>
      <c r="D322" s="326" t="s">
        <v>710</v>
      </c>
      <c r="E322" s="327" t="s">
        <v>1579</v>
      </c>
      <c r="F322" s="327" t="s">
        <v>1580</v>
      </c>
      <c r="G322" s="326"/>
      <c r="H322" s="326"/>
    </row>
    <row r="323" spans="1:15" ht="16.2" customHeight="1">
      <c r="A323" s="419">
        <v>2024</v>
      </c>
      <c r="B323" s="419" t="s">
        <v>1977</v>
      </c>
      <c r="C323" s="419" t="s">
        <v>1581</v>
      </c>
      <c r="D323" s="419" t="s">
        <v>940</v>
      </c>
      <c r="E323" s="199" t="s">
        <v>1582</v>
      </c>
      <c r="F323" s="199" t="s">
        <v>1583</v>
      </c>
      <c r="J323" s="419">
        <v>2025</v>
      </c>
      <c r="K323" s="419" t="s">
        <v>1977</v>
      </c>
      <c r="L323" s="419" t="s">
        <v>1581</v>
      </c>
      <c r="N323" s="419" t="s">
        <v>2624</v>
      </c>
      <c r="O323" s="419" t="s">
        <v>2623</v>
      </c>
    </row>
    <row r="324" spans="1:15" ht="16.2" customHeight="1">
      <c r="J324" s="326">
        <v>2025</v>
      </c>
      <c r="K324" s="326" t="s">
        <v>1977</v>
      </c>
      <c r="L324" s="326" t="s">
        <v>2625</v>
      </c>
      <c r="M324" s="326"/>
      <c r="N324" s="326" t="s">
        <v>2627</v>
      </c>
      <c r="O324" s="419" t="s">
        <v>2626</v>
      </c>
    </row>
    <row r="325" spans="1:15" ht="16.2" customHeight="1">
      <c r="J325" s="326">
        <v>2025</v>
      </c>
      <c r="K325" s="326" t="s">
        <v>1977</v>
      </c>
      <c r="L325" s="326" t="s">
        <v>2628</v>
      </c>
      <c r="M325" s="326"/>
      <c r="N325" s="326" t="s">
        <v>2630</v>
      </c>
      <c r="O325" s="419" t="s">
        <v>2629</v>
      </c>
    </row>
    <row r="326" spans="1:15" ht="16.2" customHeight="1">
      <c r="J326" s="326">
        <v>2025</v>
      </c>
      <c r="K326" s="326" t="s">
        <v>1977</v>
      </c>
      <c r="L326" s="326" t="s">
        <v>2631</v>
      </c>
      <c r="M326" s="326"/>
      <c r="N326" s="326" t="s">
        <v>2633</v>
      </c>
      <c r="O326" s="419" t="s">
        <v>2632</v>
      </c>
    </row>
    <row r="327" spans="1:15" ht="16.2" customHeight="1">
      <c r="J327" s="326">
        <v>2025</v>
      </c>
      <c r="K327" s="326" t="s">
        <v>1977</v>
      </c>
      <c r="L327" s="326" t="s">
        <v>2634</v>
      </c>
      <c r="M327" s="326"/>
      <c r="N327" s="326" t="s">
        <v>2636</v>
      </c>
      <c r="O327" s="419" t="s">
        <v>2635</v>
      </c>
    </row>
    <row r="328" spans="1:15" ht="16.2" customHeight="1">
      <c r="J328" s="326">
        <v>2025</v>
      </c>
      <c r="K328" s="326" t="s">
        <v>1977</v>
      </c>
      <c r="L328" s="326" t="s">
        <v>2637</v>
      </c>
      <c r="M328" s="326"/>
      <c r="N328" s="326" t="s">
        <v>2639</v>
      </c>
      <c r="O328" s="419" t="s">
        <v>2638</v>
      </c>
    </row>
    <row r="329" spans="1:15" ht="16.2" customHeight="1">
      <c r="A329" s="419">
        <v>2024</v>
      </c>
      <c r="B329" s="419" t="s">
        <v>1977</v>
      </c>
      <c r="C329" s="419" t="s">
        <v>1585</v>
      </c>
      <c r="D329" s="419" t="s">
        <v>710</v>
      </c>
      <c r="E329" s="199" t="s">
        <v>1586</v>
      </c>
      <c r="F329" s="199" t="s">
        <v>1587</v>
      </c>
      <c r="J329" s="419">
        <v>2025</v>
      </c>
      <c r="K329" s="419" t="s">
        <v>1977</v>
      </c>
      <c r="L329" s="419" t="s">
        <v>1585</v>
      </c>
      <c r="N329" s="419" t="s">
        <v>1586</v>
      </c>
      <c r="O329" s="419" t="s">
        <v>2640</v>
      </c>
    </row>
    <row r="330" spans="1:15" ht="16.2" customHeight="1">
      <c r="A330" s="419">
        <v>2024</v>
      </c>
      <c r="B330" s="419" t="s">
        <v>1977</v>
      </c>
      <c r="C330" s="419" t="s">
        <v>1588</v>
      </c>
      <c r="D330" s="419" t="s">
        <v>710</v>
      </c>
      <c r="E330" s="199" t="s">
        <v>1589</v>
      </c>
      <c r="F330" s="199" t="s">
        <v>1590</v>
      </c>
      <c r="J330" s="419">
        <v>2025</v>
      </c>
      <c r="K330" s="419" t="s">
        <v>1977</v>
      </c>
      <c r="L330" s="419" t="s">
        <v>1588</v>
      </c>
      <c r="N330" s="419" t="s">
        <v>1589</v>
      </c>
      <c r="O330" s="419" t="s">
        <v>1590</v>
      </c>
    </row>
    <row r="331" spans="1:15" ht="16.2" customHeight="1">
      <c r="A331" s="419">
        <v>2024</v>
      </c>
      <c r="B331" s="419" t="s">
        <v>1977</v>
      </c>
      <c r="C331" s="419" t="s">
        <v>1591</v>
      </c>
      <c r="D331" s="419" t="s">
        <v>1010</v>
      </c>
      <c r="E331" s="199" t="s">
        <v>1592</v>
      </c>
      <c r="F331" s="199" t="s">
        <v>1593</v>
      </c>
      <c r="J331" s="419">
        <v>2025</v>
      </c>
      <c r="K331" s="419" t="s">
        <v>1977</v>
      </c>
      <c r="L331" s="419" t="s">
        <v>1591</v>
      </c>
      <c r="N331" s="419" t="s">
        <v>1592</v>
      </c>
      <c r="O331" s="419" t="s">
        <v>1593</v>
      </c>
    </row>
    <row r="332" spans="1:15" ht="16.2" customHeight="1">
      <c r="A332" s="419">
        <v>2024</v>
      </c>
      <c r="B332" s="419" t="s">
        <v>1977</v>
      </c>
      <c r="C332" s="419" t="s">
        <v>1594</v>
      </c>
      <c r="D332" s="419" t="s">
        <v>1010</v>
      </c>
      <c r="E332" s="199" t="s">
        <v>1595</v>
      </c>
      <c r="F332" s="199" t="s">
        <v>1596</v>
      </c>
      <c r="J332" s="419">
        <v>2025</v>
      </c>
      <c r="K332" s="419" t="s">
        <v>1977</v>
      </c>
      <c r="L332" s="419" t="s">
        <v>1594</v>
      </c>
      <c r="N332" s="419" t="s">
        <v>1595</v>
      </c>
      <c r="O332" s="419" t="s">
        <v>1596</v>
      </c>
    </row>
    <row r="333" spans="1:15" ht="16.2" customHeight="1">
      <c r="A333" s="419">
        <v>2024</v>
      </c>
      <c r="B333" s="419" t="s">
        <v>1977</v>
      </c>
      <c r="C333" s="419" t="s">
        <v>1597</v>
      </c>
      <c r="D333" s="419" t="s">
        <v>1010</v>
      </c>
      <c r="E333" s="199" t="s">
        <v>1598</v>
      </c>
      <c r="F333" s="199" t="s">
        <v>1599</v>
      </c>
      <c r="J333" s="419">
        <v>2025</v>
      </c>
      <c r="K333" s="419" t="s">
        <v>1977</v>
      </c>
      <c r="L333" s="419" t="s">
        <v>1597</v>
      </c>
      <c r="N333" s="419" t="s">
        <v>1598</v>
      </c>
      <c r="O333" s="419" t="s">
        <v>1599</v>
      </c>
    </row>
    <row r="334" spans="1:15" ht="16.2" customHeight="1">
      <c r="A334" s="419">
        <v>2024</v>
      </c>
      <c r="B334" s="419" t="s">
        <v>1977</v>
      </c>
      <c r="C334" s="419" t="s">
        <v>1600</v>
      </c>
      <c r="D334" s="419" t="s">
        <v>1010</v>
      </c>
      <c r="E334" s="199" t="s">
        <v>1601</v>
      </c>
      <c r="F334" s="199" t="s">
        <v>1602</v>
      </c>
      <c r="J334" s="419">
        <v>2025</v>
      </c>
      <c r="K334" s="419" t="s">
        <v>1977</v>
      </c>
      <c r="L334" s="419" t="s">
        <v>1600</v>
      </c>
      <c r="N334" s="419" t="s">
        <v>1601</v>
      </c>
      <c r="O334" s="419" t="s">
        <v>1602</v>
      </c>
    </row>
    <row r="335" spans="1:15" ht="16.2" customHeight="1">
      <c r="A335" s="419">
        <v>2024</v>
      </c>
      <c r="B335" s="419" t="s">
        <v>1977</v>
      </c>
      <c r="C335" s="419" t="s">
        <v>1603</v>
      </c>
      <c r="D335" s="419" t="s">
        <v>1010</v>
      </c>
      <c r="E335" s="199" t="s">
        <v>1604</v>
      </c>
      <c r="F335" s="199" t="s">
        <v>1605</v>
      </c>
      <c r="J335" s="419">
        <v>2025</v>
      </c>
      <c r="K335" s="419" t="s">
        <v>1977</v>
      </c>
      <c r="L335" s="419" t="s">
        <v>1603</v>
      </c>
      <c r="N335" s="419" t="s">
        <v>1604</v>
      </c>
      <c r="O335" s="419" t="s">
        <v>1605</v>
      </c>
    </row>
    <row r="336" spans="1:15" ht="16.2" customHeight="1">
      <c r="A336" s="419">
        <v>2024</v>
      </c>
      <c r="B336" s="419" t="s">
        <v>1977</v>
      </c>
      <c r="C336" s="419" t="s">
        <v>1606</v>
      </c>
      <c r="D336" s="419" t="s">
        <v>1010</v>
      </c>
      <c r="E336" s="199" t="s">
        <v>1607</v>
      </c>
      <c r="F336" s="199" t="s">
        <v>1608</v>
      </c>
      <c r="J336" s="419">
        <v>2025</v>
      </c>
      <c r="K336" s="419" t="s">
        <v>1977</v>
      </c>
      <c r="L336" s="419" t="s">
        <v>1606</v>
      </c>
      <c r="N336" s="419" t="s">
        <v>1607</v>
      </c>
      <c r="O336" s="419" t="s">
        <v>1608</v>
      </c>
    </row>
    <row r="337" spans="1:24" ht="16.2" customHeight="1">
      <c r="J337" s="326">
        <v>2025</v>
      </c>
      <c r="K337" s="326" t="s">
        <v>1977</v>
      </c>
      <c r="L337" s="326" t="s">
        <v>2641</v>
      </c>
      <c r="M337" s="326"/>
      <c r="N337" s="326" t="s">
        <v>2643</v>
      </c>
      <c r="O337" s="419" t="s">
        <v>2642</v>
      </c>
    </row>
    <row r="338" spans="1:24" ht="16.2" customHeight="1">
      <c r="A338" s="419">
        <v>2024</v>
      </c>
      <c r="B338" s="419" t="s">
        <v>1977</v>
      </c>
      <c r="C338" s="419" t="s">
        <v>1609</v>
      </c>
      <c r="D338" s="419" t="s">
        <v>940</v>
      </c>
      <c r="E338" s="199" t="s">
        <v>1610</v>
      </c>
      <c r="F338" s="199" t="s">
        <v>1611</v>
      </c>
      <c r="J338" s="419">
        <v>2025</v>
      </c>
      <c r="K338" s="419" t="s">
        <v>1977</v>
      </c>
      <c r="L338" s="419" t="s">
        <v>1609</v>
      </c>
      <c r="N338" s="419" t="s">
        <v>2645</v>
      </c>
      <c r="O338" s="419" t="s">
        <v>2644</v>
      </c>
    </row>
    <row r="339" spans="1:24" ht="16.2" customHeight="1">
      <c r="A339" s="419">
        <v>2024</v>
      </c>
      <c r="B339" s="419" t="s">
        <v>1977</v>
      </c>
      <c r="C339" s="419" t="s">
        <v>1613</v>
      </c>
      <c r="D339" s="419" t="s">
        <v>940</v>
      </c>
      <c r="E339" s="199" t="s">
        <v>1614</v>
      </c>
      <c r="F339" s="199" t="s">
        <v>1615</v>
      </c>
      <c r="J339" s="419">
        <v>2025</v>
      </c>
      <c r="K339" s="419" t="s">
        <v>1977</v>
      </c>
      <c r="L339" s="419" t="s">
        <v>1613</v>
      </c>
      <c r="N339" s="419" t="s">
        <v>1614</v>
      </c>
      <c r="O339" s="419" t="s">
        <v>1615</v>
      </c>
    </row>
    <row r="340" spans="1:24" ht="16.2" customHeight="1">
      <c r="A340" s="419">
        <v>2024</v>
      </c>
      <c r="B340" s="419" t="s">
        <v>1977</v>
      </c>
      <c r="C340" s="419" t="s">
        <v>1616</v>
      </c>
      <c r="D340" s="419" t="s">
        <v>940</v>
      </c>
      <c r="E340" s="199" t="s">
        <v>1617</v>
      </c>
      <c r="F340" s="199" t="s">
        <v>1618</v>
      </c>
      <c r="J340" s="419">
        <v>2025</v>
      </c>
      <c r="K340" s="419" t="s">
        <v>1977</v>
      </c>
      <c r="L340" s="419" t="s">
        <v>1616</v>
      </c>
      <c r="N340" s="419" t="s">
        <v>1617</v>
      </c>
      <c r="O340" s="419" t="s">
        <v>1618</v>
      </c>
    </row>
    <row r="341" spans="1:24" ht="16.2" customHeight="1">
      <c r="A341" s="419">
        <v>2024</v>
      </c>
      <c r="B341" s="419" t="s">
        <v>1977</v>
      </c>
      <c r="C341" s="419" t="s">
        <v>1620</v>
      </c>
      <c r="D341" s="419" t="s">
        <v>940</v>
      </c>
      <c r="E341" s="199" t="s">
        <v>1621</v>
      </c>
      <c r="F341" s="199" t="s">
        <v>1622</v>
      </c>
      <c r="J341" s="419">
        <v>2025</v>
      </c>
      <c r="K341" s="419" t="s">
        <v>1977</v>
      </c>
      <c r="L341" s="419" t="s">
        <v>1620</v>
      </c>
      <c r="N341" s="419" t="s">
        <v>1621</v>
      </c>
      <c r="O341" s="419" t="s">
        <v>1622</v>
      </c>
    </row>
    <row r="342" spans="1:24" ht="16.2" customHeight="1">
      <c r="A342" s="419">
        <v>2024</v>
      </c>
      <c r="B342" s="419" t="s">
        <v>1977</v>
      </c>
      <c r="C342" s="419" t="s">
        <v>1623</v>
      </c>
      <c r="D342" s="419" t="s">
        <v>940</v>
      </c>
      <c r="E342" s="199" t="s">
        <v>1624</v>
      </c>
      <c r="F342" s="199" t="s">
        <v>1625</v>
      </c>
      <c r="J342" s="419">
        <v>2025</v>
      </c>
      <c r="K342" s="419" t="s">
        <v>1977</v>
      </c>
      <c r="L342" s="419" t="s">
        <v>1623</v>
      </c>
      <c r="N342" s="419" t="s">
        <v>2129</v>
      </c>
      <c r="O342" s="419" t="s">
        <v>2646</v>
      </c>
    </row>
    <row r="346" spans="1:24" ht="16.2" customHeight="1">
      <c r="A346" s="419">
        <v>2024</v>
      </c>
      <c r="B346" s="419" t="s">
        <v>233</v>
      </c>
      <c r="C346" s="419" t="s">
        <v>1627</v>
      </c>
      <c r="D346" s="419" t="s">
        <v>1111</v>
      </c>
      <c r="E346" s="419" t="s">
        <v>1628</v>
      </c>
      <c r="F346" s="419" t="s">
        <v>1630</v>
      </c>
      <c r="J346" s="326">
        <v>2025</v>
      </c>
      <c r="K346" s="326" t="s">
        <v>233</v>
      </c>
      <c r="L346" s="326" t="s">
        <v>2664</v>
      </c>
      <c r="M346" s="326"/>
      <c r="N346" s="326" t="s">
        <v>2666</v>
      </c>
      <c r="O346" s="326" t="s">
        <v>2665</v>
      </c>
      <c r="P346" s="326"/>
      <c r="S346" s="419" t="s">
        <v>2658</v>
      </c>
      <c r="T346" s="419" t="s">
        <v>233</v>
      </c>
      <c r="U346" s="419" t="s">
        <v>3168</v>
      </c>
      <c r="V346" s="419" t="s">
        <v>2659</v>
      </c>
      <c r="W346" s="419" t="s">
        <v>3169</v>
      </c>
      <c r="X346" s="419" t="s">
        <v>2660</v>
      </c>
    </row>
    <row r="347" spans="1:24" ht="16.2" customHeight="1">
      <c r="A347" s="419">
        <v>2024</v>
      </c>
      <c r="B347" s="419" t="s">
        <v>233</v>
      </c>
      <c r="C347" s="419" t="s">
        <v>1632</v>
      </c>
      <c r="D347" s="419" t="s">
        <v>1111</v>
      </c>
      <c r="E347" s="419" t="s">
        <v>1633</v>
      </c>
      <c r="F347" s="419" t="s">
        <v>1635</v>
      </c>
      <c r="J347" s="326">
        <v>2025</v>
      </c>
      <c r="K347" s="326" t="s">
        <v>233</v>
      </c>
      <c r="L347" s="326" t="s">
        <v>2667</v>
      </c>
      <c r="M347" s="326"/>
      <c r="N347" s="326" t="s">
        <v>2669</v>
      </c>
      <c r="O347" s="326" t="s">
        <v>2668</v>
      </c>
      <c r="P347" s="326"/>
      <c r="S347" s="419" t="s">
        <v>2661</v>
      </c>
      <c r="T347" s="419" t="s">
        <v>233</v>
      </c>
      <c r="U347" s="419" t="s">
        <v>3168</v>
      </c>
      <c r="V347" s="419" t="s">
        <v>2662</v>
      </c>
      <c r="W347" s="419" t="s">
        <v>3170</v>
      </c>
      <c r="X347" s="419" t="s">
        <v>2663</v>
      </c>
    </row>
    <row r="348" spans="1:24" ht="16.2" customHeight="1">
      <c r="A348" s="419">
        <v>2024</v>
      </c>
      <c r="B348" s="419" t="s">
        <v>233</v>
      </c>
      <c r="C348" s="419" t="s">
        <v>1636</v>
      </c>
      <c r="D348" s="419" t="s">
        <v>1637</v>
      </c>
      <c r="E348" s="419" t="s">
        <v>1638</v>
      </c>
      <c r="F348" s="419" t="s">
        <v>1639</v>
      </c>
      <c r="J348" s="326">
        <v>2025</v>
      </c>
      <c r="K348" s="326" t="s">
        <v>233</v>
      </c>
      <c r="L348" s="326" t="s">
        <v>2694</v>
      </c>
      <c r="M348" s="326"/>
      <c r="N348" s="326" t="s">
        <v>2696</v>
      </c>
      <c r="O348" s="326" t="s">
        <v>2695</v>
      </c>
      <c r="P348" s="326"/>
      <c r="S348" s="419" t="s">
        <v>2664</v>
      </c>
      <c r="T348" s="419" t="s">
        <v>233</v>
      </c>
      <c r="U348" s="419" t="s">
        <v>3168</v>
      </c>
      <c r="V348" s="419" t="s">
        <v>2665</v>
      </c>
      <c r="W348" s="419" t="s">
        <v>3171</v>
      </c>
      <c r="X348" s="419" t="s">
        <v>2666</v>
      </c>
    </row>
    <row r="349" spans="1:24" ht="16.2" customHeight="1">
      <c r="A349" s="419">
        <v>2024</v>
      </c>
      <c r="B349" s="419" t="s">
        <v>233</v>
      </c>
      <c r="C349" s="419" t="s">
        <v>1640</v>
      </c>
      <c r="D349" s="419" t="s">
        <v>1637</v>
      </c>
      <c r="E349" s="419" t="s">
        <v>1641</v>
      </c>
      <c r="F349" s="419" t="s">
        <v>1642</v>
      </c>
      <c r="J349" s="326">
        <v>2025</v>
      </c>
      <c r="K349" s="326" t="s">
        <v>233</v>
      </c>
      <c r="L349" s="326" t="s">
        <v>2682</v>
      </c>
      <c r="M349" s="326"/>
      <c r="N349" s="326" t="s">
        <v>2684</v>
      </c>
      <c r="O349" s="326" t="s">
        <v>2683</v>
      </c>
      <c r="P349" s="326"/>
      <c r="S349" s="419" t="s">
        <v>2667</v>
      </c>
      <c r="T349" s="419" t="s">
        <v>233</v>
      </c>
      <c r="U349" s="419" t="s">
        <v>3168</v>
      </c>
      <c r="V349" s="419" t="s">
        <v>2668</v>
      </c>
      <c r="W349" s="419" t="s">
        <v>3172</v>
      </c>
      <c r="X349" s="419" t="s">
        <v>2669</v>
      </c>
    </row>
    <row r="350" spans="1:24" ht="16.2" customHeight="1">
      <c r="A350" s="419">
        <v>2024</v>
      </c>
      <c r="B350" s="419" t="s">
        <v>233</v>
      </c>
      <c r="C350" s="419" t="s">
        <v>1643</v>
      </c>
      <c r="D350" s="419" t="s">
        <v>1637</v>
      </c>
      <c r="E350" s="419" t="s">
        <v>1644</v>
      </c>
      <c r="F350" s="419" t="s">
        <v>1645</v>
      </c>
      <c r="J350" s="326">
        <v>2025</v>
      </c>
      <c r="K350" s="326" t="s">
        <v>233</v>
      </c>
      <c r="L350" s="326" t="s">
        <v>2685</v>
      </c>
      <c r="M350" s="326"/>
      <c r="N350" s="326" t="s">
        <v>2687</v>
      </c>
      <c r="O350" s="326" t="s">
        <v>2686</v>
      </c>
      <c r="P350" s="326"/>
      <c r="S350" s="419" t="s">
        <v>2670</v>
      </c>
      <c r="T350" s="419" t="s">
        <v>233</v>
      </c>
      <c r="U350" s="419" t="s">
        <v>3168</v>
      </c>
      <c r="V350" s="419" t="s">
        <v>2671</v>
      </c>
      <c r="W350" s="419" t="s">
        <v>3173</v>
      </c>
      <c r="X350" s="419" t="s">
        <v>2672</v>
      </c>
    </row>
    <row r="351" spans="1:24" ht="16.2" customHeight="1">
      <c r="A351" s="419">
        <v>2024</v>
      </c>
      <c r="B351" s="419" t="s">
        <v>233</v>
      </c>
      <c r="C351" s="419" t="s">
        <v>1646</v>
      </c>
      <c r="D351" s="419" t="s">
        <v>1637</v>
      </c>
      <c r="E351" s="419" t="s">
        <v>1647</v>
      </c>
      <c r="F351" s="419" t="s">
        <v>1648</v>
      </c>
      <c r="J351" s="326">
        <v>2025</v>
      </c>
      <c r="K351" s="326" t="s">
        <v>233</v>
      </c>
      <c r="L351" s="326" t="s">
        <v>2679</v>
      </c>
      <c r="M351" s="326"/>
      <c r="N351" s="326" t="s">
        <v>2681</v>
      </c>
      <c r="O351" s="326" t="s">
        <v>2680</v>
      </c>
      <c r="P351" s="326"/>
      <c r="S351" s="419" t="s">
        <v>2673</v>
      </c>
      <c r="T351" s="419" t="s">
        <v>233</v>
      </c>
      <c r="U351" s="419" t="s">
        <v>3168</v>
      </c>
      <c r="V351" s="419" t="s">
        <v>2674</v>
      </c>
      <c r="W351" s="419" t="s">
        <v>3174</v>
      </c>
      <c r="X351" s="419" t="s">
        <v>2675</v>
      </c>
    </row>
    <row r="352" spans="1:24" ht="16.2" customHeight="1">
      <c r="A352" s="419">
        <v>2024</v>
      </c>
      <c r="B352" s="419" t="s">
        <v>233</v>
      </c>
      <c r="C352" s="419" t="s">
        <v>1649</v>
      </c>
      <c r="D352" s="419" t="s">
        <v>1637</v>
      </c>
      <c r="E352" s="419" t="s">
        <v>1650</v>
      </c>
      <c r="F352" s="419" t="s">
        <v>1651</v>
      </c>
      <c r="J352" s="326">
        <v>2025</v>
      </c>
      <c r="K352" s="326" t="s">
        <v>233</v>
      </c>
      <c r="L352" s="326" t="s">
        <v>2676</v>
      </c>
      <c r="M352" s="326"/>
      <c r="N352" s="326" t="s">
        <v>2678</v>
      </c>
      <c r="O352" s="326" t="s">
        <v>2677</v>
      </c>
      <c r="P352" s="326"/>
      <c r="S352" s="419" t="s">
        <v>2676</v>
      </c>
      <c r="T352" s="419" t="s">
        <v>233</v>
      </c>
      <c r="U352" s="419" t="s">
        <v>3168</v>
      </c>
      <c r="V352" s="419" t="s">
        <v>2677</v>
      </c>
      <c r="W352" s="419" t="s">
        <v>3175</v>
      </c>
      <c r="X352" s="419" t="s">
        <v>2678</v>
      </c>
    </row>
    <row r="353" spans="1:24" ht="16.2" customHeight="1">
      <c r="A353" s="419">
        <v>2024</v>
      </c>
      <c r="B353" s="419" t="s">
        <v>233</v>
      </c>
      <c r="C353" s="419" t="s">
        <v>1652</v>
      </c>
      <c r="D353" s="419" t="s">
        <v>1111</v>
      </c>
      <c r="E353" s="419" t="s">
        <v>1981</v>
      </c>
      <c r="F353" s="419" t="s">
        <v>1653</v>
      </c>
      <c r="J353" s="326">
        <v>2025</v>
      </c>
      <c r="K353" s="326" t="s">
        <v>233</v>
      </c>
      <c r="L353" s="326" t="s">
        <v>2670</v>
      </c>
      <c r="M353" s="326"/>
      <c r="N353" s="326" t="s">
        <v>2672</v>
      </c>
      <c r="O353" s="326" t="s">
        <v>2671</v>
      </c>
      <c r="P353" s="326"/>
      <c r="S353" s="419" t="s">
        <v>2679</v>
      </c>
      <c r="T353" s="419" t="s">
        <v>233</v>
      </c>
      <c r="U353" s="419" t="s">
        <v>3168</v>
      </c>
      <c r="V353" s="419" t="s">
        <v>2680</v>
      </c>
      <c r="W353" s="419" t="s">
        <v>3176</v>
      </c>
      <c r="X353" s="419" t="s">
        <v>2681</v>
      </c>
    </row>
    <row r="354" spans="1:24" ht="16.2" customHeight="1">
      <c r="A354" s="419">
        <v>2024</v>
      </c>
      <c r="B354" s="419" t="s">
        <v>233</v>
      </c>
      <c r="C354" s="419" t="s">
        <v>1654</v>
      </c>
      <c r="D354" s="419" t="s">
        <v>1655</v>
      </c>
      <c r="E354" s="419" t="s">
        <v>1656</v>
      </c>
      <c r="F354" s="419" t="s">
        <v>1657</v>
      </c>
      <c r="J354" s="326">
        <v>2025</v>
      </c>
      <c r="K354" s="326" t="s">
        <v>233</v>
      </c>
      <c r="L354" s="326" t="s">
        <v>2673</v>
      </c>
      <c r="M354" s="326"/>
      <c r="N354" s="326" t="s">
        <v>2675</v>
      </c>
      <c r="O354" s="326" t="s">
        <v>2674</v>
      </c>
      <c r="S354" s="419" t="s">
        <v>2682</v>
      </c>
      <c r="T354" s="419" t="s">
        <v>233</v>
      </c>
      <c r="U354" s="419" t="s">
        <v>3168</v>
      </c>
      <c r="V354" s="419" t="s">
        <v>2683</v>
      </c>
      <c r="W354" s="419" t="s">
        <v>3177</v>
      </c>
      <c r="X354" s="419" t="s">
        <v>2684</v>
      </c>
    </row>
    <row r="355" spans="1:24" ht="16.2" customHeight="1">
      <c r="A355" s="326">
        <v>2023</v>
      </c>
      <c r="B355" s="326" t="s">
        <v>233</v>
      </c>
      <c r="C355" s="326" t="s">
        <v>1982</v>
      </c>
      <c r="D355" s="326" t="s">
        <v>1111</v>
      </c>
      <c r="E355" s="326" t="s">
        <v>1984</v>
      </c>
      <c r="F355" s="326" t="s">
        <v>1983</v>
      </c>
      <c r="G355" s="326"/>
      <c r="J355" s="326"/>
      <c r="K355" s="326"/>
      <c r="L355" s="326"/>
      <c r="M355" s="326"/>
      <c r="N355" s="326"/>
      <c r="O355" s="326"/>
      <c r="P355" s="326"/>
      <c r="Q355" s="326"/>
      <c r="R355" s="326"/>
      <c r="S355" s="326" t="s">
        <v>2685</v>
      </c>
      <c r="T355" s="326" t="s">
        <v>233</v>
      </c>
      <c r="U355" s="326" t="s">
        <v>3168</v>
      </c>
      <c r="V355" s="326" t="s">
        <v>2686</v>
      </c>
      <c r="W355" s="326" t="s">
        <v>3178</v>
      </c>
      <c r="X355" s="326" t="s">
        <v>2687</v>
      </c>
    </row>
    <row r="356" spans="1:24" ht="16.2" customHeight="1">
      <c r="A356" s="419">
        <v>2024</v>
      </c>
      <c r="B356" s="419" t="s">
        <v>233</v>
      </c>
      <c r="C356" s="419" t="s">
        <v>1658</v>
      </c>
      <c r="D356" s="419" t="s">
        <v>1637</v>
      </c>
      <c r="E356" s="419" t="s">
        <v>1659</v>
      </c>
      <c r="F356" s="419" t="s">
        <v>1660</v>
      </c>
      <c r="J356" s="326">
        <v>2025</v>
      </c>
      <c r="K356" s="326" t="s">
        <v>233</v>
      </c>
      <c r="L356" s="326" t="s">
        <v>2691</v>
      </c>
      <c r="M356" s="326"/>
      <c r="N356" s="326" t="s">
        <v>2693</v>
      </c>
      <c r="O356" s="326" t="s">
        <v>2692</v>
      </c>
      <c r="P356" s="326"/>
      <c r="S356" s="419" t="s">
        <v>2688</v>
      </c>
      <c r="T356" s="419" t="s">
        <v>233</v>
      </c>
      <c r="U356" s="419" t="s">
        <v>3168</v>
      </c>
      <c r="V356" s="419" t="s">
        <v>2689</v>
      </c>
      <c r="W356" s="419" t="s">
        <v>3179</v>
      </c>
      <c r="X356" s="419" t="s">
        <v>2690</v>
      </c>
    </row>
    <row r="357" spans="1:24" ht="16.2" customHeight="1">
      <c r="A357" s="419">
        <v>2024</v>
      </c>
      <c r="B357" s="419" t="s">
        <v>233</v>
      </c>
      <c r="C357" s="419" t="s">
        <v>1661</v>
      </c>
      <c r="D357" s="419" t="s">
        <v>1637</v>
      </c>
      <c r="E357" s="419" t="s">
        <v>1662</v>
      </c>
      <c r="F357" s="419" t="s">
        <v>1663</v>
      </c>
      <c r="J357" s="326">
        <v>2025</v>
      </c>
      <c r="K357" s="326" t="s">
        <v>233</v>
      </c>
      <c r="L357" s="326" t="s">
        <v>2688</v>
      </c>
      <c r="M357" s="326"/>
      <c r="N357" s="326" t="s">
        <v>2690</v>
      </c>
      <c r="O357" s="326" t="s">
        <v>2689</v>
      </c>
      <c r="P357" s="326"/>
      <c r="S357" s="419" t="s">
        <v>2691</v>
      </c>
      <c r="T357" s="419" t="s">
        <v>233</v>
      </c>
      <c r="U357" s="419" t="s">
        <v>3168</v>
      </c>
      <c r="V357" s="419" t="s">
        <v>2692</v>
      </c>
      <c r="W357" s="419" t="s">
        <v>3180</v>
      </c>
      <c r="X357" s="419" t="s">
        <v>2693</v>
      </c>
    </row>
    <row r="358" spans="1:24" ht="16.2" customHeight="1">
      <c r="A358" s="419">
        <v>2024</v>
      </c>
      <c r="B358" s="419" t="s">
        <v>233</v>
      </c>
      <c r="C358" s="419" t="s">
        <v>1664</v>
      </c>
      <c r="D358" s="419" t="s">
        <v>1655</v>
      </c>
      <c r="E358" s="419" t="s">
        <v>1665</v>
      </c>
      <c r="F358" s="419" t="s">
        <v>1666</v>
      </c>
      <c r="J358" s="419">
        <v>2025</v>
      </c>
      <c r="K358" s="419" t="s">
        <v>233</v>
      </c>
      <c r="L358" s="419" t="s">
        <v>1664</v>
      </c>
      <c r="N358" s="419" t="s">
        <v>1665</v>
      </c>
      <c r="O358" s="419" t="s">
        <v>1666</v>
      </c>
      <c r="S358" s="419" t="s">
        <v>2694</v>
      </c>
      <c r="T358" s="419" t="s">
        <v>233</v>
      </c>
      <c r="U358" s="419" t="s">
        <v>3168</v>
      </c>
      <c r="V358" s="419" t="s">
        <v>2695</v>
      </c>
      <c r="W358" s="419" t="s">
        <v>3181</v>
      </c>
      <c r="X358" s="419" t="s">
        <v>2696</v>
      </c>
    </row>
    <row r="359" spans="1:24" ht="16.2" customHeight="1">
      <c r="A359" s="419">
        <v>2024</v>
      </c>
      <c r="B359" s="419" t="s">
        <v>233</v>
      </c>
      <c r="C359" s="419" t="s">
        <v>1667</v>
      </c>
      <c r="D359" s="419" t="s">
        <v>1111</v>
      </c>
      <c r="E359" s="419" t="s">
        <v>1668</v>
      </c>
      <c r="F359" s="419" t="s">
        <v>1669</v>
      </c>
      <c r="J359" s="326">
        <v>2025</v>
      </c>
      <c r="K359" s="326" t="s">
        <v>233</v>
      </c>
      <c r="L359" s="326" t="s">
        <v>2697</v>
      </c>
      <c r="M359" s="326"/>
      <c r="N359" s="326" t="s">
        <v>2699</v>
      </c>
      <c r="O359" s="326" t="s">
        <v>2698</v>
      </c>
      <c r="S359" s="419" t="s">
        <v>1664</v>
      </c>
      <c r="T359" s="419" t="s">
        <v>233</v>
      </c>
      <c r="U359" s="419" t="s">
        <v>3168</v>
      </c>
      <c r="V359" s="419" t="s">
        <v>1666</v>
      </c>
      <c r="W359" s="419" t="s">
        <v>3182</v>
      </c>
      <c r="X359" s="419" t="s">
        <v>1665</v>
      </c>
    </row>
    <row r="360" spans="1:24" ht="16.2" customHeight="1">
      <c r="A360" s="326">
        <v>2024</v>
      </c>
      <c r="B360" s="326" t="s">
        <v>233</v>
      </c>
      <c r="C360" s="326" t="s">
        <v>1670</v>
      </c>
      <c r="D360" s="326" t="s">
        <v>1111</v>
      </c>
      <c r="E360" s="326" t="s">
        <v>1671</v>
      </c>
      <c r="F360" s="326" t="s">
        <v>1672</v>
      </c>
      <c r="G360" s="326"/>
      <c r="H360" s="326"/>
      <c r="S360" s="419" t="s">
        <v>1679</v>
      </c>
      <c r="T360" s="419" t="s">
        <v>233</v>
      </c>
      <c r="U360" s="419" t="s">
        <v>3168</v>
      </c>
      <c r="V360" s="419" t="s">
        <v>1681</v>
      </c>
      <c r="W360" s="419" t="s">
        <v>3183</v>
      </c>
      <c r="X360" s="419" t="s">
        <v>1680</v>
      </c>
    </row>
    <row r="361" spans="1:24" ht="16.2" customHeight="1">
      <c r="A361" s="419">
        <v>2024</v>
      </c>
      <c r="B361" s="419" t="s">
        <v>233</v>
      </c>
      <c r="C361" s="419" t="s">
        <v>1673</v>
      </c>
      <c r="D361" s="419" t="s">
        <v>1637</v>
      </c>
      <c r="E361" s="419" t="s">
        <v>1674</v>
      </c>
      <c r="F361" s="419" t="s">
        <v>1675</v>
      </c>
      <c r="H361" s="326"/>
      <c r="J361" s="326">
        <v>2025</v>
      </c>
      <c r="K361" s="326" t="s">
        <v>233</v>
      </c>
      <c r="L361" s="326" t="s">
        <v>2700</v>
      </c>
      <c r="M361" s="326"/>
      <c r="N361" s="326" t="s">
        <v>2702</v>
      </c>
      <c r="O361" s="326" t="s">
        <v>2701</v>
      </c>
      <c r="P361" s="326"/>
      <c r="S361" s="419" t="s">
        <v>1682</v>
      </c>
      <c r="T361" s="419" t="s">
        <v>233</v>
      </c>
      <c r="U361" s="419" t="s">
        <v>3168</v>
      </c>
      <c r="V361" s="419" t="s">
        <v>1684</v>
      </c>
      <c r="W361" s="419" t="s">
        <v>3184</v>
      </c>
      <c r="X361" s="419" t="s">
        <v>1683</v>
      </c>
    </row>
    <row r="362" spans="1:24" ht="16.2" customHeight="1">
      <c r="A362" s="419">
        <v>2024</v>
      </c>
      <c r="B362" s="419" t="s">
        <v>233</v>
      </c>
      <c r="C362" s="419" t="s">
        <v>1676</v>
      </c>
      <c r="D362" s="419" t="s">
        <v>1637</v>
      </c>
      <c r="E362" s="419" t="s">
        <v>1677</v>
      </c>
      <c r="F362" s="419" t="s">
        <v>1678</v>
      </c>
      <c r="H362" s="326"/>
      <c r="J362" s="326">
        <v>2025</v>
      </c>
      <c r="K362" s="326" t="s">
        <v>233</v>
      </c>
      <c r="L362" s="326" t="s">
        <v>2703</v>
      </c>
      <c r="M362" s="326"/>
      <c r="N362" s="326" t="s">
        <v>2705</v>
      </c>
      <c r="O362" s="326" t="s">
        <v>2704</v>
      </c>
      <c r="P362" s="326"/>
      <c r="S362" s="419" t="s">
        <v>2697</v>
      </c>
      <c r="T362" s="419" t="s">
        <v>233</v>
      </c>
      <c r="U362" s="419" t="s">
        <v>3168</v>
      </c>
      <c r="V362" s="419" t="s">
        <v>2698</v>
      </c>
      <c r="W362" s="419" t="s">
        <v>3185</v>
      </c>
      <c r="X362" s="419" t="s">
        <v>2699</v>
      </c>
    </row>
    <row r="363" spans="1:24" ht="16.2" customHeight="1">
      <c r="A363" s="419">
        <v>2024</v>
      </c>
      <c r="B363" s="419" t="s">
        <v>233</v>
      </c>
      <c r="C363" s="419" t="s">
        <v>1679</v>
      </c>
      <c r="D363" s="419" t="s">
        <v>1655</v>
      </c>
      <c r="E363" s="419" t="s">
        <v>1680</v>
      </c>
      <c r="F363" s="419" t="s">
        <v>1681</v>
      </c>
      <c r="J363" s="419">
        <v>2025</v>
      </c>
      <c r="K363" s="419" t="s">
        <v>233</v>
      </c>
      <c r="L363" s="419" t="s">
        <v>1679</v>
      </c>
      <c r="N363" s="419" t="s">
        <v>1680</v>
      </c>
      <c r="O363" s="419" t="s">
        <v>1681</v>
      </c>
      <c r="S363" s="419" t="s">
        <v>2132</v>
      </c>
      <c r="T363" s="419" t="s">
        <v>233</v>
      </c>
      <c r="U363" s="419" t="s">
        <v>3168</v>
      </c>
      <c r="V363" s="419" t="s">
        <v>2133</v>
      </c>
      <c r="W363" s="419" t="s">
        <v>3186</v>
      </c>
      <c r="X363" s="419" t="s">
        <v>2134</v>
      </c>
    </row>
    <row r="364" spans="1:24" ht="16.2" customHeight="1">
      <c r="A364" s="419">
        <v>2024</v>
      </c>
      <c r="B364" s="419" t="s">
        <v>233</v>
      </c>
      <c r="C364" s="419" t="s">
        <v>1682</v>
      </c>
      <c r="D364" s="419" t="s">
        <v>1655</v>
      </c>
      <c r="E364" s="419" t="s">
        <v>1683</v>
      </c>
      <c r="F364" s="419" t="s">
        <v>1684</v>
      </c>
      <c r="J364" s="419">
        <v>2025</v>
      </c>
      <c r="K364" s="419" t="s">
        <v>233</v>
      </c>
      <c r="L364" s="419" t="s">
        <v>1682</v>
      </c>
      <c r="N364" s="419" t="s">
        <v>1683</v>
      </c>
      <c r="O364" s="419" t="s">
        <v>1684</v>
      </c>
      <c r="S364" s="419" t="s">
        <v>2700</v>
      </c>
      <c r="T364" s="419" t="s">
        <v>233</v>
      </c>
      <c r="U364" s="419" t="s">
        <v>3168</v>
      </c>
      <c r="V364" s="419" t="s">
        <v>2701</v>
      </c>
      <c r="W364" s="419" t="s">
        <v>3187</v>
      </c>
      <c r="X364" s="419" t="s">
        <v>2702</v>
      </c>
    </row>
    <row r="365" spans="1:24" ht="16.2" customHeight="1">
      <c r="A365" s="419">
        <v>2024</v>
      </c>
      <c r="B365" s="419" t="s">
        <v>233</v>
      </c>
      <c r="C365" s="419" t="s">
        <v>2132</v>
      </c>
      <c r="D365" s="419" t="s">
        <v>1655</v>
      </c>
      <c r="E365" s="419" t="s">
        <v>2134</v>
      </c>
      <c r="F365" s="419" t="s">
        <v>2133</v>
      </c>
      <c r="J365" s="419">
        <v>2025</v>
      </c>
      <c r="K365" s="419" t="s">
        <v>233</v>
      </c>
      <c r="L365" s="419" t="s">
        <v>2132</v>
      </c>
      <c r="N365" s="419" t="s">
        <v>2134</v>
      </c>
      <c r="O365" s="419" t="s">
        <v>2133</v>
      </c>
      <c r="S365" s="419" t="s">
        <v>2703</v>
      </c>
      <c r="T365" s="419" t="s">
        <v>233</v>
      </c>
      <c r="U365" s="419" t="s">
        <v>3168</v>
      </c>
      <c r="V365" s="419" t="s">
        <v>2704</v>
      </c>
      <c r="W365" s="419" t="s">
        <v>3188</v>
      </c>
      <c r="X365" s="419" t="s">
        <v>2705</v>
      </c>
    </row>
    <row r="366" spans="1:24" ht="16.2" customHeight="1">
      <c r="A366" s="419">
        <v>2024</v>
      </c>
      <c r="B366" s="419" t="s">
        <v>233</v>
      </c>
      <c r="C366" s="419" t="s">
        <v>2130</v>
      </c>
      <c r="D366" s="419" t="s">
        <v>1655</v>
      </c>
      <c r="E366" s="419" t="s">
        <v>1685</v>
      </c>
      <c r="F366" s="419" t="s">
        <v>2131</v>
      </c>
      <c r="J366" s="419">
        <v>2025</v>
      </c>
      <c r="K366" s="419" t="s">
        <v>233</v>
      </c>
      <c r="L366" s="419" t="s">
        <v>2130</v>
      </c>
      <c r="N366" s="419" t="s">
        <v>1685</v>
      </c>
      <c r="O366" s="419" t="s">
        <v>2131</v>
      </c>
      <c r="S366" s="419" t="s">
        <v>2130</v>
      </c>
      <c r="T366" s="419" t="s">
        <v>233</v>
      </c>
      <c r="U366" s="419" t="s">
        <v>3168</v>
      </c>
      <c r="V366" s="419" t="s">
        <v>2131</v>
      </c>
      <c r="W366" s="419" t="s">
        <v>3189</v>
      </c>
      <c r="X366" s="419" t="s">
        <v>1685</v>
      </c>
    </row>
    <row r="367" spans="1:24" ht="16.2" customHeight="1">
      <c r="J367" s="326">
        <v>2025</v>
      </c>
      <c r="K367" s="326" t="s">
        <v>233</v>
      </c>
      <c r="L367" s="326" t="s">
        <v>2706</v>
      </c>
      <c r="M367" s="326"/>
      <c r="N367" s="326" t="s">
        <v>2708</v>
      </c>
      <c r="O367" s="326" t="s">
        <v>2707</v>
      </c>
      <c r="S367" s="419" t="s">
        <v>2706</v>
      </c>
      <c r="T367" s="419" t="s">
        <v>233</v>
      </c>
      <c r="U367" s="419" t="s">
        <v>3168</v>
      </c>
      <c r="V367" s="419" t="s">
        <v>2707</v>
      </c>
      <c r="W367" s="419" t="s">
        <v>3190</v>
      </c>
      <c r="X367" s="419" t="s">
        <v>2708</v>
      </c>
    </row>
    <row r="368" spans="1:24" ht="16.2" customHeight="1">
      <c r="A368" s="419">
        <v>2024</v>
      </c>
      <c r="B368" s="419" t="s">
        <v>233</v>
      </c>
      <c r="C368" s="419" t="s">
        <v>1686</v>
      </c>
      <c r="D368" s="419" t="s">
        <v>1637</v>
      </c>
      <c r="E368" s="419" t="s">
        <v>1687</v>
      </c>
      <c r="F368" s="419" t="s">
        <v>1688</v>
      </c>
      <c r="J368" s="419">
        <v>2025</v>
      </c>
      <c r="K368" s="419" t="s">
        <v>233</v>
      </c>
      <c r="L368" s="419" t="s">
        <v>1686</v>
      </c>
      <c r="N368" s="419" t="s">
        <v>1687</v>
      </c>
      <c r="O368" s="419" t="s">
        <v>1688</v>
      </c>
      <c r="S368" s="419" t="s">
        <v>1686</v>
      </c>
      <c r="T368" s="419" t="s">
        <v>233</v>
      </c>
      <c r="U368" s="419" t="s">
        <v>3168</v>
      </c>
      <c r="V368" s="419" t="s">
        <v>1688</v>
      </c>
      <c r="W368" s="419" t="s">
        <v>3191</v>
      </c>
      <c r="X368" s="419" t="s">
        <v>1687</v>
      </c>
    </row>
    <row r="369" spans="1:24" ht="16.2" customHeight="1">
      <c r="A369" s="419">
        <v>2024</v>
      </c>
      <c r="B369" s="419" t="s">
        <v>233</v>
      </c>
      <c r="C369" s="419" t="s">
        <v>1689</v>
      </c>
      <c r="D369" s="419" t="s">
        <v>1637</v>
      </c>
      <c r="E369" s="419" t="s">
        <v>1690</v>
      </c>
      <c r="F369" s="419" t="s">
        <v>1691</v>
      </c>
      <c r="J369" s="419">
        <v>2025</v>
      </c>
      <c r="K369" s="419" t="s">
        <v>233</v>
      </c>
      <c r="L369" s="419" t="s">
        <v>1689</v>
      </c>
      <c r="N369" s="419" t="s">
        <v>1690</v>
      </c>
      <c r="O369" s="419" t="s">
        <v>1691</v>
      </c>
      <c r="S369" s="419" t="s">
        <v>1689</v>
      </c>
      <c r="T369" s="419" t="s">
        <v>233</v>
      </c>
      <c r="U369" s="419" t="s">
        <v>3168</v>
      </c>
      <c r="V369" s="419" t="s">
        <v>1691</v>
      </c>
      <c r="W369" s="419" t="s">
        <v>3192</v>
      </c>
      <c r="X369" s="419" t="s">
        <v>1690</v>
      </c>
    </row>
    <row r="370" spans="1:24" ht="16.2" customHeight="1">
      <c r="A370" s="419">
        <v>2024</v>
      </c>
      <c r="B370" s="419" t="s">
        <v>233</v>
      </c>
      <c r="C370" s="419" t="s">
        <v>1692</v>
      </c>
      <c r="D370" s="419" t="s">
        <v>1637</v>
      </c>
      <c r="E370" s="419" t="s">
        <v>1693</v>
      </c>
      <c r="F370" s="419" t="s">
        <v>1694</v>
      </c>
      <c r="J370" s="419">
        <v>2025</v>
      </c>
      <c r="K370" s="419" t="s">
        <v>233</v>
      </c>
      <c r="L370" s="419" t="s">
        <v>1692</v>
      </c>
      <c r="N370" s="419" t="s">
        <v>1693</v>
      </c>
      <c r="O370" s="419" t="s">
        <v>1694</v>
      </c>
      <c r="S370" s="419" t="s">
        <v>1692</v>
      </c>
      <c r="T370" s="419" t="s">
        <v>233</v>
      </c>
      <c r="U370" s="419" t="s">
        <v>3168</v>
      </c>
      <c r="V370" s="419" t="s">
        <v>1694</v>
      </c>
      <c r="W370" s="419" t="s">
        <v>3193</v>
      </c>
      <c r="X370" s="419" t="s">
        <v>1693</v>
      </c>
    </row>
    <row r="371" spans="1:24" ht="16.2" customHeight="1">
      <c r="J371" s="326">
        <v>2025</v>
      </c>
      <c r="K371" s="326" t="s">
        <v>233</v>
      </c>
      <c r="L371" s="326" t="s">
        <v>2709</v>
      </c>
      <c r="M371" s="326"/>
      <c r="N371" s="326" t="s">
        <v>2711</v>
      </c>
      <c r="O371" s="326" t="s">
        <v>2710</v>
      </c>
      <c r="S371" s="419" t="s">
        <v>2709</v>
      </c>
      <c r="T371" s="419" t="s">
        <v>233</v>
      </c>
      <c r="U371" s="419" t="s">
        <v>3168</v>
      </c>
      <c r="V371" s="419" t="s">
        <v>2710</v>
      </c>
      <c r="W371" s="419" t="s">
        <v>3194</v>
      </c>
      <c r="X371" s="419" t="s">
        <v>2711</v>
      </c>
    </row>
    <row r="372" spans="1:24" ht="16.2" customHeight="1">
      <c r="A372" s="419">
        <v>2024</v>
      </c>
      <c r="B372" s="419" t="s">
        <v>233</v>
      </c>
      <c r="C372" s="419" t="s">
        <v>1695</v>
      </c>
      <c r="D372" s="419" t="s">
        <v>1637</v>
      </c>
      <c r="E372" s="419" t="s">
        <v>1696</v>
      </c>
      <c r="F372" s="419" t="s">
        <v>1697</v>
      </c>
      <c r="J372" s="326">
        <v>2025</v>
      </c>
      <c r="K372" s="326" t="s">
        <v>233</v>
      </c>
      <c r="L372" s="326" t="s">
        <v>2658</v>
      </c>
      <c r="M372" s="326"/>
      <c r="N372" s="326" t="s">
        <v>2660</v>
      </c>
      <c r="O372" s="326" t="s">
        <v>2659</v>
      </c>
      <c r="P372" s="326"/>
    </row>
    <row r="373" spans="1:24" ht="16.2" customHeight="1">
      <c r="A373" s="419">
        <v>2024</v>
      </c>
      <c r="B373" s="419" t="s">
        <v>233</v>
      </c>
      <c r="C373" s="419" t="s">
        <v>1698</v>
      </c>
      <c r="D373" s="419" t="s">
        <v>1637</v>
      </c>
      <c r="E373" s="419" t="s">
        <v>1699</v>
      </c>
      <c r="F373" s="419" t="s">
        <v>1700</v>
      </c>
      <c r="J373" s="326">
        <v>2025</v>
      </c>
      <c r="K373" s="326" t="s">
        <v>233</v>
      </c>
      <c r="L373" s="326" t="s">
        <v>2661</v>
      </c>
      <c r="M373" s="326"/>
      <c r="N373" s="326" t="s">
        <v>2663</v>
      </c>
      <c r="O373" s="326" t="s">
        <v>2662</v>
      </c>
      <c r="P373" s="326"/>
    </row>
    <row r="374" spans="1:24" ht="16.2" customHeight="1">
      <c r="A374" s="326">
        <v>2024</v>
      </c>
      <c r="B374" s="326" t="s">
        <v>233</v>
      </c>
      <c r="C374" s="326" t="s">
        <v>1701</v>
      </c>
      <c r="D374" s="326" t="s">
        <v>1111</v>
      </c>
      <c r="E374" s="326" t="s">
        <v>1702</v>
      </c>
      <c r="F374" s="326" t="s">
        <v>1703</v>
      </c>
      <c r="G374" s="326"/>
      <c r="H374" s="326"/>
      <c r="J374" s="326">
        <v>2025</v>
      </c>
      <c r="K374" s="326" t="s">
        <v>233</v>
      </c>
      <c r="L374" s="326" t="s">
        <v>2667</v>
      </c>
      <c r="M374" s="326"/>
      <c r="N374" s="326" t="s">
        <v>2669</v>
      </c>
      <c r="O374" s="326" t="s">
        <v>2668</v>
      </c>
      <c r="P374" s="326"/>
    </row>
    <row r="376" spans="1:24" ht="16.2" customHeight="1">
      <c r="A376" s="326"/>
      <c r="B376" s="326"/>
      <c r="C376" s="326"/>
      <c r="D376" s="326"/>
      <c r="E376" s="326"/>
      <c r="F376" s="326"/>
      <c r="G376" s="326"/>
      <c r="H376" s="326"/>
    </row>
    <row r="381" spans="1:24" ht="16.2" customHeight="1">
      <c r="A381" s="419">
        <v>2024</v>
      </c>
      <c r="B381" s="419" t="s">
        <v>237</v>
      </c>
      <c r="C381" s="199" t="s">
        <v>2135</v>
      </c>
      <c r="D381" s="199" t="s">
        <v>819</v>
      </c>
      <c r="E381" s="199" t="s">
        <v>1705</v>
      </c>
      <c r="F381" s="199" t="s">
        <v>1706</v>
      </c>
      <c r="J381" s="419">
        <v>2025</v>
      </c>
      <c r="K381" s="419" t="s">
        <v>237</v>
      </c>
      <c r="L381" s="419" t="s">
        <v>2135</v>
      </c>
      <c r="N381" s="419" t="s">
        <v>1705</v>
      </c>
      <c r="O381" s="419" t="s">
        <v>1706</v>
      </c>
    </row>
    <row r="382" spans="1:24" ht="16.2" customHeight="1">
      <c r="A382" s="419">
        <v>2024</v>
      </c>
      <c r="B382" s="419" t="s">
        <v>237</v>
      </c>
      <c r="C382" s="199" t="s">
        <v>2136</v>
      </c>
      <c r="D382" s="199" t="s">
        <v>819</v>
      </c>
      <c r="E382" s="199" t="s">
        <v>1680</v>
      </c>
      <c r="F382" s="199" t="s">
        <v>1713</v>
      </c>
      <c r="J382" s="419">
        <v>2025</v>
      </c>
      <c r="K382" s="419" t="s">
        <v>237</v>
      </c>
      <c r="L382" s="419" t="s">
        <v>2136</v>
      </c>
      <c r="N382" s="419" t="s">
        <v>1680</v>
      </c>
      <c r="O382" s="419" t="s">
        <v>1713</v>
      </c>
    </row>
    <row r="383" spans="1:24" ht="16.2" customHeight="1">
      <c r="A383" s="419">
        <v>2024</v>
      </c>
      <c r="B383" s="419" t="s">
        <v>237</v>
      </c>
      <c r="C383" s="199" t="s">
        <v>1716</v>
      </c>
      <c r="D383" s="199" t="s">
        <v>819</v>
      </c>
      <c r="E383" s="199" t="s">
        <v>1717</v>
      </c>
      <c r="F383" s="199" t="s">
        <v>1719</v>
      </c>
      <c r="J383" s="419">
        <v>2025</v>
      </c>
      <c r="K383" s="419" t="s">
        <v>237</v>
      </c>
      <c r="L383" s="419" t="s">
        <v>1716</v>
      </c>
      <c r="N383" s="419" t="s">
        <v>1717</v>
      </c>
      <c r="O383" s="419" t="s">
        <v>2139</v>
      </c>
    </row>
    <row r="384" spans="1:24" ht="16.2" customHeight="1">
      <c r="A384" s="419">
        <v>2024</v>
      </c>
      <c r="B384" s="419" t="s">
        <v>237</v>
      </c>
      <c r="C384" s="199" t="s">
        <v>1720</v>
      </c>
      <c r="D384" s="199" t="s">
        <v>819</v>
      </c>
      <c r="E384" s="199" t="s">
        <v>1721</v>
      </c>
      <c r="F384" s="199" t="s">
        <v>1722</v>
      </c>
      <c r="J384" s="419">
        <v>2025</v>
      </c>
      <c r="K384" s="419" t="s">
        <v>237</v>
      </c>
      <c r="L384" s="419" t="s">
        <v>1720</v>
      </c>
      <c r="N384" s="419" t="s">
        <v>1721</v>
      </c>
      <c r="O384" s="419" t="s">
        <v>2850</v>
      </c>
    </row>
    <row r="385" spans="1:19" ht="16.2" customHeight="1">
      <c r="A385" s="419">
        <v>2024</v>
      </c>
      <c r="B385" s="419" t="s">
        <v>237</v>
      </c>
      <c r="C385" s="199" t="s">
        <v>1723</v>
      </c>
      <c r="D385" s="199" t="s">
        <v>819</v>
      </c>
      <c r="E385" s="199" t="s">
        <v>1724</v>
      </c>
      <c r="F385" s="199" t="s">
        <v>1725</v>
      </c>
      <c r="J385" s="419">
        <v>2025</v>
      </c>
      <c r="K385" s="419" t="s">
        <v>237</v>
      </c>
      <c r="L385" s="419" t="s">
        <v>1723</v>
      </c>
      <c r="N385" s="419" t="s">
        <v>1724</v>
      </c>
      <c r="O385" s="419" t="s">
        <v>1725</v>
      </c>
    </row>
    <row r="386" spans="1:19" ht="16.2" customHeight="1">
      <c r="A386" s="419">
        <v>2024</v>
      </c>
      <c r="B386" s="419" t="s">
        <v>237</v>
      </c>
      <c r="C386" s="419" t="s">
        <v>1726</v>
      </c>
      <c r="D386" s="199" t="s">
        <v>819</v>
      </c>
      <c r="E386" s="199" t="s">
        <v>1727</v>
      </c>
      <c r="F386" s="199" t="s">
        <v>1728</v>
      </c>
      <c r="J386" s="419">
        <v>2025</v>
      </c>
      <c r="K386" s="419" t="s">
        <v>237</v>
      </c>
      <c r="L386" s="419" t="s">
        <v>1726</v>
      </c>
      <c r="N386" s="419" t="s">
        <v>1727</v>
      </c>
      <c r="O386" s="419" t="s">
        <v>2851</v>
      </c>
    </row>
    <row r="387" spans="1:19" ht="16.2" customHeight="1">
      <c r="A387" s="419">
        <v>2024</v>
      </c>
      <c r="B387" s="419" t="s">
        <v>237</v>
      </c>
      <c r="C387" s="419" t="s">
        <v>1729</v>
      </c>
      <c r="D387" s="199" t="s">
        <v>1730</v>
      </c>
      <c r="E387" s="199" t="s">
        <v>1731</v>
      </c>
      <c r="F387" s="199" t="s">
        <v>1732</v>
      </c>
      <c r="J387" s="419">
        <v>2025</v>
      </c>
      <c r="K387" s="419" t="s">
        <v>237</v>
      </c>
      <c r="L387" s="419" t="s">
        <v>1729</v>
      </c>
      <c r="N387" s="419" t="s">
        <v>1731</v>
      </c>
      <c r="O387" s="419" t="s">
        <v>2140</v>
      </c>
    </row>
    <row r="388" spans="1:19" ht="16.2" customHeight="1">
      <c r="A388" s="326">
        <v>2024</v>
      </c>
      <c r="B388" s="326" t="s">
        <v>237</v>
      </c>
      <c r="C388" s="326" t="s">
        <v>2137</v>
      </c>
      <c r="D388" s="327" t="s">
        <v>1730</v>
      </c>
      <c r="E388" s="327" t="s">
        <v>2138</v>
      </c>
      <c r="F388" s="327" t="s">
        <v>1733</v>
      </c>
      <c r="G388" s="326"/>
      <c r="H388" s="326"/>
      <c r="I388" s="326"/>
      <c r="L388" s="326" t="s">
        <v>2902</v>
      </c>
    </row>
    <row r="389" spans="1:19" ht="16.2" customHeight="1">
      <c r="A389" s="419">
        <v>2024</v>
      </c>
      <c r="B389" s="419" t="s">
        <v>237</v>
      </c>
      <c r="C389" s="419" t="s">
        <v>1734</v>
      </c>
      <c r="D389" s="199" t="s">
        <v>1730</v>
      </c>
      <c r="E389" s="199" t="s">
        <v>1735</v>
      </c>
      <c r="F389" s="199" t="s">
        <v>1736</v>
      </c>
      <c r="J389" s="419">
        <v>2025</v>
      </c>
      <c r="K389" s="419" t="s">
        <v>237</v>
      </c>
      <c r="L389" s="419" t="s">
        <v>1734</v>
      </c>
      <c r="N389" s="419" t="s">
        <v>1735</v>
      </c>
      <c r="O389" s="419" t="s">
        <v>2141</v>
      </c>
    </row>
    <row r="390" spans="1:19" ht="16.2" customHeight="1">
      <c r="A390" s="419">
        <v>2024</v>
      </c>
      <c r="B390" s="419" t="s">
        <v>237</v>
      </c>
      <c r="C390" s="419" t="s">
        <v>1737</v>
      </c>
      <c r="D390" s="199" t="s">
        <v>1730</v>
      </c>
      <c r="E390" s="199" t="s">
        <v>1738</v>
      </c>
      <c r="F390" s="199" t="s">
        <v>1739</v>
      </c>
      <c r="J390" s="419">
        <v>2025</v>
      </c>
      <c r="K390" s="419" t="s">
        <v>237</v>
      </c>
      <c r="L390" s="419" t="s">
        <v>1737</v>
      </c>
      <c r="N390" s="419" t="s">
        <v>2143</v>
      </c>
      <c r="O390" s="419" t="s">
        <v>2142</v>
      </c>
    </row>
    <row r="391" spans="1:19" ht="16.2" customHeight="1">
      <c r="A391" s="419">
        <v>2024</v>
      </c>
      <c r="B391" s="419" t="s">
        <v>237</v>
      </c>
      <c r="C391" s="419" t="s">
        <v>1741</v>
      </c>
      <c r="D391" s="419" t="s">
        <v>1730</v>
      </c>
      <c r="E391" s="419" t="s">
        <v>1742</v>
      </c>
      <c r="F391" s="419" t="s">
        <v>1743</v>
      </c>
      <c r="J391" s="419">
        <v>2025</v>
      </c>
      <c r="K391" s="419" t="s">
        <v>237</v>
      </c>
      <c r="L391" s="419" t="s">
        <v>1741</v>
      </c>
      <c r="N391" s="419" t="s">
        <v>1742</v>
      </c>
      <c r="O391" s="419" t="s">
        <v>1743</v>
      </c>
    </row>
    <row r="392" spans="1:19" ht="16.2" customHeight="1">
      <c r="A392" s="419">
        <v>2024</v>
      </c>
      <c r="B392" s="419" t="s">
        <v>237</v>
      </c>
      <c r="C392" s="419" t="s">
        <v>1744</v>
      </c>
      <c r="D392" s="199" t="s">
        <v>1730</v>
      </c>
      <c r="E392" s="199" t="s">
        <v>1745</v>
      </c>
      <c r="F392" s="199" t="s">
        <v>1746</v>
      </c>
      <c r="J392" s="419">
        <v>2025</v>
      </c>
      <c r="K392" s="419" t="s">
        <v>237</v>
      </c>
      <c r="L392" s="419" t="s">
        <v>1744</v>
      </c>
      <c r="N392" s="419" t="s">
        <v>1745</v>
      </c>
      <c r="O392" s="419" t="s">
        <v>1746</v>
      </c>
    </row>
    <row r="393" spans="1:19" ht="16.2" customHeight="1">
      <c r="J393" s="326">
        <v>2025</v>
      </c>
      <c r="K393" s="326" t="s">
        <v>237</v>
      </c>
      <c r="L393" s="326" t="s">
        <v>1997</v>
      </c>
      <c r="M393" s="326"/>
      <c r="N393" s="326" t="s">
        <v>2853</v>
      </c>
      <c r="O393" s="326" t="s">
        <v>2852</v>
      </c>
      <c r="P393" s="326"/>
      <c r="Q393" s="326"/>
      <c r="R393" s="326"/>
      <c r="S393" s="326"/>
    </row>
    <row r="394" spans="1:19" ht="16.2" customHeight="1">
      <c r="A394" s="419">
        <v>2024</v>
      </c>
      <c r="B394" s="419" t="s">
        <v>237</v>
      </c>
      <c r="C394" s="419" t="s">
        <v>1747</v>
      </c>
      <c r="D394" s="199" t="s">
        <v>1730</v>
      </c>
      <c r="E394" s="199" t="s">
        <v>1748</v>
      </c>
      <c r="F394" s="199" t="s">
        <v>1749</v>
      </c>
      <c r="J394" s="419">
        <v>2025</v>
      </c>
      <c r="K394" s="419" t="s">
        <v>237</v>
      </c>
      <c r="L394" s="419" t="s">
        <v>1747</v>
      </c>
      <c r="N394" s="419" t="s">
        <v>1748</v>
      </c>
      <c r="O394" s="419" t="s">
        <v>1749</v>
      </c>
    </row>
    <row r="395" spans="1:19" ht="16.2" customHeight="1">
      <c r="A395" s="419">
        <v>2024</v>
      </c>
      <c r="B395" s="419" t="s">
        <v>237</v>
      </c>
      <c r="C395" s="419" t="s">
        <v>1750</v>
      </c>
      <c r="D395" s="199" t="s">
        <v>1730</v>
      </c>
      <c r="E395" s="199" t="s">
        <v>1751</v>
      </c>
      <c r="F395" s="199" t="s">
        <v>1752</v>
      </c>
      <c r="J395" s="419">
        <v>2025</v>
      </c>
      <c r="K395" s="419" t="s">
        <v>237</v>
      </c>
      <c r="L395" s="419" t="s">
        <v>1750</v>
      </c>
      <c r="N395" s="419" t="s">
        <v>2145</v>
      </c>
      <c r="O395" s="419" t="s">
        <v>2144</v>
      </c>
    </row>
    <row r="396" spans="1:19" ht="16.2" customHeight="1">
      <c r="A396" s="419">
        <v>2024</v>
      </c>
      <c r="B396" s="419" t="s">
        <v>237</v>
      </c>
      <c r="C396" s="199" t="s">
        <v>1753</v>
      </c>
      <c r="D396" s="199" t="s">
        <v>1730</v>
      </c>
      <c r="E396" s="199" t="s">
        <v>1754</v>
      </c>
      <c r="F396" s="199" t="s">
        <v>1755</v>
      </c>
      <c r="J396" s="419">
        <v>2025</v>
      </c>
      <c r="K396" s="419" t="s">
        <v>237</v>
      </c>
      <c r="L396" s="419" t="s">
        <v>1753</v>
      </c>
      <c r="N396" s="419" t="s">
        <v>1754</v>
      </c>
      <c r="O396" s="419" t="s">
        <v>2146</v>
      </c>
    </row>
    <row r="397" spans="1:19" ht="16.2" customHeight="1">
      <c r="A397" s="419">
        <v>2024</v>
      </c>
      <c r="B397" s="419" t="s">
        <v>237</v>
      </c>
      <c r="C397" s="199" t="s">
        <v>2147</v>
      </c>
      <c r="D397" s="199" t="s">
        <v>1757</v>
      </c>
      <c r="E397" s="199" t="s">
        <v>2149</v>
      </c>
      <c r="F397" s="199" t="s">
        <v>2148</v>
      </c>
      <c r="J397" s="419">
        <v>2025</v>
      </c>
      <c r="K397" s="419" t="s">
        <v>237</v>
      </c>
      <c r="L397" s="419" t="s">
        <v>2147</v>
      </c>
      <c r="N397" s="419" t="s">
        <v>2149</v>
      </c>
      <c r="O397" s="419" t="s">
        <v>2148</v>
      </c>
    </row>
    <row r="398" spans="1:19" ht="16.2" customHeight="1">
      <c r="A398" s="419">
        <v>2024</v>
      </c>
      <c r="B398" s="419" t="s">
        <v>237</v>
      </c>
      <c r="C398" s="199" t="s">
        <v>1756</v>
      </c>
      <c r="D398" s="199" t="s">
        <v>1757</v>
      </c>
      <c r="E398" s="199" t="s">
        <v>1758</v>
      </c>
      <c r="F398" s="199" t="s">
        <v>1759</v>
      </c>
      <c r="H398" s="199"/>
      <c r="I398" s="199"/>
      <c r="J398" s="419">
        <v>2025</v>
      </c>
      <c r="K398" s="419" t="s">
        <v>237</v>
      </c>
      <c r="L398" s="419" t="s">
        <v>1756</v>
      </c>
      <c r="N398" s="419" t="s">
        <v>1758</v>
      </c>
      <c r="O398" s="419" t="s">
        <v>1759</v>
      </c>
    </row>
    <row r="399" spans="1:19" ht="16.2" customHeight="1">
      <c r="A399" s="419">
        <v>2024</v>
      </c>
      <c r="B399" s="419" t="s">
        <v>237</v>
      </c>
      <c r="C399" s="199" t="s">
        <v>1760</v>
      </c>
      <c r="D399" s="199" t="s">
        <v>1757</v>
      </c>
      <c r="E399" s="199" t="s">
        <v>1761</v>
      </c>
      <c r="F399" s="199" t="s">
        <v>1762</v>
      </c>
      <c r="H399" s="199"/>
      <c r="I399" s="199"/>
      <c r="J399" s="419">
        <v>2025</v>
      </c>
      <c r="K399" s="419" t="s">
        <v>237</v>
      </c>
      <c r="L399" s="419" t="s">
        <v>1760</v>
      </c>
      <c r="N399" s="419" t="s">
        <v>1761</v>
      </c>
      <c r="O399" s="419" t="s">
        <v>1762</v>
      </c>
    </row>
    <row r="400" spans="1:19" ht="16.2" customHeight="1">
      <c r="A400" s="419">
        <v>2024</v>
      </c>
      <c r="B400" s="419" t="s">
        <v>237</v>
      </c>
      <c r="C400" s="199" t="s">
        <v>1763</v>
      </c>
      <c r="D400" s="199" t="s">
        <v>1757</v>
      </c>
      <c r="E400" s="199" t="s">
        <v>1764</v>
      </c>
      <c r="F400" s="199" t="s">
        <v>1766</v>
      </c>
      <c r="H400" s="199"/>
      <c r="I400" s="199"/>
      <c r="J400" s="419">
        <v>2025</v>
      </c>
      <c r="K400" s="419" t="s">
        <v>237</v>
      </c>
      <c r="L400" s="419" t="s">
        <v>1763</v>
      </c>
      <c r="N400" s="419" t="s">
        <v>1764</v>
      </c>
      <c r="O400" s="419" t="s">
        <v>2854</v>
      </c>
    </row>
    <row r="401" spans="1:18" ht="16.2" customHeight="1">
      <c r="H401" s="199"/>
      <c r="I401" s="199"/>
      <c r="J401" s="326">
        <v>2025</v>
      </c>
      <c r="K401" s="326" t="s">
        <v>237</v>
      </c>
      <c r="L401" s="326" t="s">
        <v>2855</v>
      </c>
      <c r="M401" s="326"/>
      <c r="N401" s="326" t="s">
        <v>2857</v>
      </c>
      <c r="O401" s="326" t="s">
        <v>2856</v>
      </c>
      <c r="P401" s="326"/>
      <c r="Q401" s="326"/>
      <c r="R401" s="326"/>
    </row>
    <row r="402" spans="1:18" ht="16.2" customHeight="1">
      <c r="A402" s="419">
        <v>2024</v>
      </c>
      <c r="B402" s="419" t="s">
        <v>237</v>
      </c>
      <c r="C402" s="419" t="s">
        <v>1767</v>
      </c>
      <c r="D402" s="199" t="s">
        <v>1757</v>
      </c>
      <c r="E402" s="199" t="s">
        <v>1768</v>
      </c>
      <c r="F402" s="199" t="s">
        <v>1769</v>
      </c>
      <c r="H402" s="199"/>
      <c r="I402" s="199"/>
      <c r="J402" s="419">
        <v>2025</v>
      </c>
      <c r="K402" s="419" t="s">
        <v>237</v>
      </c>
      <c r="L402" s="419" t="s">
        <v>1767</v>
      </c>
      <c r="N402" s="419" t="s">
        <v>1768</v>
      </c>
      <c r="O402" s="419" t="s">
        <v>1769</v>
      </c>
    </row>
    <row r="403" spans="1:18" ht="16.2" customHeight="1">
      <c r="A403" s="419">
        <v>2024</v>
      </c>
      <c r="B403" s="419" t="s">
        <v>237</v>
      </c>
      <c r="C403" s="419" t="s">
        <v>1770</v>
      </c>
      <c r="D403" s="199" t="s">
        <v>1757</v>
      </c>
      <c r="E403" s="199" t="s">
        <v>1771</v>
      </c>
      <c r="F403" s="199" t="s">
        <v>1773</v>
      </c>
      <c r="H403" s="199"/>
      <c r="I403" s="199"/>
      <c r="J403" s="419">
        <v>2025</v>
      </c>
      <c r="K403" s="419" t="s">
        <v>237</v>
      </c>
      <c r="L403" s="419" t="s">
        <v>1770</v>
      </c>
      <c r="N403" s="419" t="s">
        <v>1771</v>
      </c>
      <c r="O403" s="419" t="s">
        <v>1773</v>
      </c>
    </row>
    <row r="404" spans="1:18" ht="16.2" customHeight="1">
      <c r="A404" s="419">
        <v>2024</v>
      </c>
      <c r="B404" s="419" t="s">
        <v>237</v>
      </c>
      <c r="C404" s="419" t="s">
        <v>1774</v>
      </c>
      <c r="D404" s="199" t="s">
        <v>1775</v>
      </c>
      <c r="E404" s="199" t="s">
        <v>1776</v>
      </c>
      <c r="F404" s="199" t="s">
        <v>1777</v>
      </c>
      <c r="H404" s="199"/>
      <c r="I404" s="199"/>
      <c r="J404" s="419">
        <v>2025</v>
      </c>
      <c r="K404" s="419" t="s">
        <v>237</v>
      </c>
      <c r="L404" s="419" t="s">
        <v>1774</v>
      </c>
      <c r="N404" s="419" t="s">
        <v>1776</v>
      </c>
      <c r="O404" s="419" t="s">
        <v>2858</v>
      </c>
    </row>
    <row r="405" spans="1:18" ht="16.2" customHeight="1">
      <c r="A405" s="419">
        <v>2024</v>
      </c>
      <c r="B405" s="419" t="s">
        <v>237</v>
      </c>
      <c r="C405" s="419" t="s">
        <v>1778</v>
      </c>
      <c r="D405" s="199" t="s">
        <v>1775</v>
      </c>
      <c r="E405" s="199" t="s">
        <v>1779</v>
      </c>
      <c r="F405" s="199" t="s">
        <v>1780</v>
      </c>
      <c r="H405" s="199"/>
      <c r="I405" s="199"/>
      <c r="J405" s="419">
        <v>2025</v>
      </c>
      <c r="K405" s="419" t="s">
        <v>237</v>
      </c>
      <c r="L405" s="419" t="s">
        <v>1778</v>
      </c>
      <c r="N405" s="419" t="s">
        <v>1779</v>
      </c>
      <c r="O405" s="419" t="s">
        <v>1780</v>
      </c>
    </row>
    <row r="406" spans="1:18" ht="16.2" customHeight="1">
      <c r="A406" s="419">
        <v>2024</v>
      </c>
      <c r="B406" s="419" t="s">
        <v>237</v>
      </c>
      <c r="C406" s="419" t="s">
        <v>1781</v>
      </c>
      <c r="D406" s="199" t="s">
        <v>1775</v>
      </c>
      <c r="E406" s="199" t="s">
        <v>1782</v>
      </c>
      <c r="F406" s="199" t="s">
        <v>1783</v>
      </c>
      <c r="H406" s="199"/>
      <c r="I406" s="199"/>
      <c r="J406" s="419">
        <v>2025</v>
      </c>
      <c r="K406" s="419" t="s">
        <v>237</v>
      </c>
      <c r="L406" s="419" t="s">
        <v>1781</v>
      </c>
      <c r="N406" s="419" t="s">
        <v>1782</v>
      </c>
      <c r="O406" s="419" t="s">
        <v>1783</v>
      </c>
    </row>
    <row r="407" spans="1:18" ht="16.2" customHeight="1">
      <c r="A407" s="419">
        <v>2024</v>
      </c>
      <c r="B407" s="419" t="s">
        <v>237</v>
      </c>
      <c r="C407" s="419" t="s">
        <v>1784</v>
      </c>
      <c r="D407" s="199" t="s">
        <v>1775</v>
      </c>
      <c r="E407" s="199" t="s">
        <v>1785</v>
      </c>
      <c r="F407" s="199" t="s">
        <v>1786</v>
      </c>
      <c r="H407" s="199"/>
      <c r="I407" s="199"/>
      <c r="J407" s="419">
        <v>2025</v>
      </c>
      <c r="K407" s="419" t="s">
        <v>237</v>
      </c>
      <c r="L407" s="419" t="s">
        <v>1784</v>
      </c>
      <c r="N407" s="419" t="s">
        <v>2151</v>
      </c>
      <c r="O407" s="419" t="s">
        <v>2150</v>
      </c>
    </row>
    <row r="408" spans="1:18" ht="16.2" customHeight="1">
      <c r="A408" s="419">
        <v>2024</v>
      </c>
      <c r="B408" s="419" t="s">
        <v>237</v>
      </c>
      <c r="C408" s="419" t="s">
        <v>1787</v>
      </c>
      <c r="D408" s="199" t="s">
        <v>1775</v>
      </c>
      <c r="E408" s="199" t="s">
        <v>1788</v>
      </c>
      <c r="F408" s="199" t="s">
        <v>1789</v>
      </c>
      <c r="H408" s="199"/>
      <c r="I408" s="199"/>
      <c r="J408" s="419">
        <v>2025</v>
      </c>
      <c r="K408" s="419" t="s">
        <v>237</v>
      </c>
      <c r="L408" s="419" t="s">
        <v>1787</v>
      </c>
      <c r="N408" s="419" t="s">
        <v>2153</v>
      </c>
      <c r="O408" s="419" t="s">
        <v>2152</v>
      </c>
    </row>
    <row r="409" spans="1:18" ht="16.2" customHeight="1">
      <c r="D409" s="199"/>
      <c r="E409" s="199"/>
      <c r="F409" s="199"/>
      <c r="H409" s="199"/>
      <c r="I409" s="199"/>
      <c r="J409" s="326">
        <v>2025</v>
      </c>
      <c r="K409" s="326" t="s">
        <v>237</v>
      </c>
      <c r="L409" s="326" t="s">
        <v>2859</v>
      </c>
      <c r="M409" s="326"/>
      <c r="N409" s="326" t="s">
        <v>2861</v>
      </c>
      <c r="O409" s="326" t="s">
        <v>2860</v>
      </c>
      <c r="P409" s="326"/>
    </row>
    <row r="410" spans="1:18" ht="16.2" customHeight="1">
      <c r="C410" s="199"/>
      <c r="D410" s="199"/>
      <c r="E410" s="199"/>
      <c r="F410" s="199"/>
      <c r="H410" s="199"/>
      <c r="I410" s="199"/>
    </row>
    <row r="411" spans="1:18" ht="16.2" customHeight="1">
      <c r="H411" s="199"/>
      <c r="I411" s="199"/>
    </row>
    <row r="412" spans="1:18" ht="16.2" customHeight="1">
      <c r="H412" s="199"/>
      <c r="I412" s="199"/>
    </row>
    <row r="413" spans="1:18" ht="16.2" customHeight="1">
      <c r="A413" s="419">
        <v>2024</v>
      </c>
      <c r="B413" s="419" t="s">
        <v>579</v>
      </c>
      <c r="C413" s="199" t="s">
        <v>1790</v>
      </c>
      <c r="D413" s="199" t="s">
        <v>1791</v>
      </c>
      <c r="E413" s="419" t="s">
        <v>2222</v>
      </c>
      <c r="F413" s="199" t="s">
        <v>2004</v>
      </c>
      <c r="H413" s="199"/>
      <c r="I413" s="199"/>
      <c r="J413" s="419">
        <v>2025</v>
      </c>
      <c r="K413" s="419" t="s">
        <v>579</v>
      </c>
      <c r="L413" s="419" t="s">
        <v>1790</v>
      </c>
      <c r="N413" s="419" t="s">
        <v>2862</v>
      </c>
      <c r="O413" s="419" t="s">
        <v>2004</v>
      </c>
    </row>
    <row r="414" spans="1:18" ht="16.2" customHeight="1">
      <c r="A414" s="419">
        <v>2024</v>
      </c>
      <c r="B414" s="419" t="s">
        <v>579</v>
      </c>
      <c r="C414" s="199" t="s">
        <v>1793</v>
      </c>
      <c r="D414" s="199" t="s">
        <v>1791</v>
      </c>
      <c r="E414" s="199" t="s">
        <v>2154</v>
      </c>
      <c r="F414" s="419" t="s">
        <v>1794</v>
      </c>
      <c r="H414" s="199"/>
      <c r="I414" s="199"/>
      <c r="J414" s="419">
        <v>2025</v>
      </c>
      <c r="K414" s="419" t="s">
        <v>579</v>
      </c>
      <c r="L414" s="419" t="s">
        <v>1793</v>
      </c>
      <c r="N414" s="419" t="s">
        <v>2863</v>
      </c>
      <c r="O414" s="419" t="s">
        <v>1794</v>
      </c>
    </row>
    <row r="415" spans="1:18" ht="16.2" customHeight="1">
      <c r="A415" s="419">
        <v>2024</v>
      </c>
      <c r="B415" s="419" t="s">
        <v>579</v>
      </c>
      <c r="C415" s="199" t="s">
        <v>1795</v>
      </c>
      <c r="D415" s="199" t="s">
        <v>1791</v>
      </c>
      <c r="E415" s="199" t="s">
        <v>2155</v>
      </c>
      <c r="F415" s="419" t="s">
        <v>1796</v>
      </c>
      <c r="H415" s="199"/>
      <c r="I415" s="199"/>
      <c r="J415" s="419">
        <v>2025</v>
      </c>
      <c r="K415" s="419" t="s">
        <v>579</v>
      </c>
      <c r="L415" s="419" t="s">
        <v>1795</v>
      </c>
      <c r="N415" s="419" t="s">
        <v>2864</v>
      </c>
      <c r="O415" s="419" t="s">
        <v>1796</v>
      </c>
    </row>
    <row r="416" spans="1:18" ht="16.2" customHeight="1">
      <c r="A416" s="419">
        <v>2024</v>
      </c>
      <c r="B416" s="419" t="s">
        <v>579</v>
      </c>
      <c r="C416" s="419" t="s">
        <v>1797</v>
      </c>
      <c r="D416" s="199" t="s">
        <v>1791</v>
      </c>
      <c r="E416" s="199" t="s">
        <v>2156</v>
      </c>
      <c r="F416" s="419" t="s">
        <v>1798</v>
      </c>
      <c r="H416" s="199"/>
      <c r="I416" s="199"/>
      <c r="J416" s="419">
        <v>2025</v>
      </c>
      <c r="K416" s="419" t="s">
        <v>579</v>
      </c>
      <c r="L416" s="419" t="s">
        <v>1797</v>
      </c>
      <c r="N416" s="419" t="s">
        <v>2865</v>
      </c>
      <c r="O416" s="419" t="s">
        <v>1798</v>
      </c>
    </row>
    <row r="417" spans="1:15" ht="16.2" customHeight="1">
      <c r="A417" s="419">
        <v>2024</v>
      </c>
      <c r="B417" s="419" t="s">
        <v>579</v>
      </c>
      <c r="C417" s="419" t="s">
        <v>1799</v>
      </c>
      <c r="D417" s="199" t="s">
        <v>1791</v>
      </c>
      <c r="E417" s="199" t="s">
        <v>2223</v>
      </c>
      <c r="F417" s="419" t="s">
        <v>2157</v>
      </c>
      <c r="H417" s="199"/>
      <c r="I417" s="199"/>
      <c r="J417" s="419">
        <v>2025</v>
      </c>
      <c r="K417" s="419" t="s">
        <v>579</v>
      </c>
      <c r="L417" s="419" t="s">
        <v>1799</v>
      </c>
      <c r="N417" s="419" t="s">
        <v>2866</v>
      </c>
      <c r="O417" s="419" t="s">
        <v>2157</v>
      </c>
    </row>
    <row r="418" spans="1:15" ht="16.2" customHeight="1">
      <c r="A418" s="419">
        <v>2024</v>
      </c>
      <c r="B418" s="419" t="s">
        <v>579</v>
      </c>
      <c r="C418" s="419" t="s">
        <v>2198</v>
      </c>
      <c r="D418" s="199" t="s">
        <v>1791</v>
      </c>
      <c r="E418" s="199" t="s">
        <v>2224</v>
      </c>
      <c r="F418" s="419" t="s">
        <v>2199</v>
      </c>
      <c r="H418" s="199"/>
      <c r="I418" s="199"/>
      <c r="J418" s="419">
        <v>2025</v>
      </c>
      <c r="K418" s="419" t="s">
        <v>579</v>
      </c>
      <c r="L418" s="419" t="s">
        <v>2198</v>
      </c>
      <c r="N418" s="419" t="s">
        <v>2867</v>
      </c>
      <c r="O418" s="419" t="s">
        <v>2199</v>
      </c>
    </row>
    <row r="419" spans="1:15" ht="16.2" customHeight="1">
      <c r="A419" s="419">
        <v>2024</v>
      </c>
      <c r="B419" s="419" t="s">
        <v>579</v>
      </c>
      <c r="C419" s="419" t="s">
        <v>1800</v>
      </c>
      <c r="D419" s="199" t="s">
        <v>1801</v>
      </c>
      <c r="E419" s="199" t="s">
        <v>2158</v>
      </c>
      <c r="F419" s="419" t="s">
        <v>1802</v>
      </c>
      <c r="H419" s="199"/>
      <c r="I419" s="199"/>
      <c r="J419" s="419">
        <v>2025</v>
      </c>
      <c r="K419" s="419" t="s">
        <v>579</v>
      </c>
      <c r="L419" s="419" t="s">
        <v>1800</v>
      </c>
      <c r="N419" s="419" t="s">
        <v>2868</v>
      </c>
      <c r="O419" s="419" t="s">
        <v>1802</v>
      </c>
    </row>
    <row r="420" spans="1:15" ht="16.2" customHeight="1">
      <c r="A420" s="419">
        <v>2024</v>
      </c>
      <c r="B420" s="419" t="s">
        <v>579</v>
      </c>
      <c r="C420" s="199" t="s">
        <v>1803</v>
      </c>
      <c r="D420" s="199" t="s">
        <v>1804</v>
      </c>
      <c r="E420" s="199" t="s">
        <v>2159</v>
      </c>
      <c r="F420" s="419" t="s">
        <v>1805</v>
      </c>
      <c r="H420" s="199"/>
      <c r="I420" s="199"/>
      <c r="J420" s="419">
        <v>2025</v>
      </c>
      <c r="K420" s="419" t="s">
        <v>579</v>
      </c>
      <c r="L420" s="419" t="s">
        <v>1803</v>
      </c>
      <c r="N420" s="419" t="s">
        <v>2869</v>
      </c>
      <c r="O420" s="419" t="s">
        <v>1805</v>
      </c>
    </row>
    <row r="421" spans="1:15" ht="16.2" customHeight="1">
      <c r="A421" s="419">
        <v>2024</v>
      </c>
      <c r="B421" s="419" t="s">
        <v>579</v>
      </c>
      <c r="C421" s="199" t="s">
        <v>1806</v>
      </c>
      <c r="D421" s="199" t="s">
        <v>1804</v>
      </c>
      <c r="E421" s="199" t="s">
        <v>2160</v>
      </c>
      <c r="F421" s="419" t="s">
        <v>2200</v>
      </c>
      <c r="H421" s="199"/>
      <c r="I421" s="199"/>
      <c r="J421" s="419">
        <v>2025</v>
      </c>
      <c r="K421" s="419" t="s">
        <v>579</v>
      </c>
      <c r="L421" s="419" t="s">
        <v>1806</v>
      </c>
      <c r="N421" s="419" t="s">
        <v>2870</v>
      </c>
      <c r="O421" s="419" t="s">
        <v>2200</v>
      </c>
    </row>
    <row r="422" spans="1:15" ht="16.2" customHeight="1">
      <c r="A422" s="419">
        <v>2024</v>
      </c>
      <c r="B422" s="419" t="s">
        <v>579</v>
      </c>
      <c r="C422" s="419" t="s">
        <v>1807</v>
      </c>
      <c r="D422" s="199" t="s">
        <v>1804</v>
      </c>
      <c r="E422" s="199" t="s">
        <v>2161</v>
      </c>
      <c r="F422" s="419" t="s">
        <v>2201</v>
      </c>
      <c r="H422" s="199"/>
      <c r="I422" s="199"/>
      <c r="J422" s="419">
        <v>2025</v>
      </c>
      <c r="K422" s="419" t="s">
        <v>579</v>
      </c>
      <c r="L422" s="419" t="s">
        <v>1807</v>
      </c>
      <c r="N422" s="419" t="s">
        <v>2871</v>
      </c>
      <c r="O422" s="419" t="s">
        <v>2201</v>
      </c>
    </row>
    <row r="423" spans="1:15" ht="16.2" customHeight="1">
      <c r="A423" s="419">
        <v>2024</v>
      </c>
      <c r="B423" s="419" t="s">
        <v>579</v>
      </c>
      <c r="C423" s="419" t="s">
        <v>1808</v>
      </c>
      <c r="D423" s="199" t="s">
        <v>1804</v>
      </c>
      <c r="E423" s="199" t="s">
        <v>2162</v>
      </c>
      <c r="F423" s="419" t="s">
        <v>2202</v>
      </c>
      <c r="H423" s="199"/>
      <c r="I423" s="199"/>
      <c r="J423" s="419">
        <v>2025</v>
      </c>
      <c r="K423" s="419" t="s">
        <v>579</v>
      </c>
      <c r="L423" s="419" t="s">
        <v>1808</v>
      </c>
      <c r="N423" s="419" t="s">
        <v>2872</v>
      </c>
      <c r="O423" s="419" t="s">
        <v>2202</v>
      </c>
    </row>
    <row r="424" spans="1:15" ht="16.2" customHeight="1">
      <c r="A424" s="419">
        <v>2024</v>
      </c>
      <c r="B424" s="419" t="s">
        <v>579</v>
      </c>
      <c r="C424" s="419" t="s">
        <v>1809</v>
      </c>
      <c r="D424" s="199" t="s">
        <v>1804</v>
      </c>
      <c r="E424" s="199" t="s">
        <v>2163</v>
      </c>
      <c r="F424" s="419" t="s">
        <v>1810</v>
      </c>
      <c r="H424" s="199"/>
      <c r="I424" s="199"/>
      <c r="J424" s="419">
        <v>2025</v>
      </c>
      <c r="K424" s="419" t="s">
        <v>579</v>
      </c>
      <c r="L424" s="419" t="s">
        <v>1809</v>
      </c>
      <c r="N424" s="419" t="s">
        <v>2874</v>
      </c>
      <c r="O424" s="419" t="s">
        <v>2873</v>
      </c>
    </row>
    <row r="425" spans="1:15" ht="16.2" customHeight="1">
      <c r="A425" s="419">
        <v>2024</v>
      </c>
      <c r="B425" s="419" t="s">
        <v>579</v>
      </c>
      <c r="C425" s="419" t="s">
        <v>1811</v>
      </c>
      <c r="D425" s="199" t="s">
        <v>1804</v>
      </c>
      <c r="E425" s="199" t="s">
        <v>2164</v>
      </c>
      <c r="F425" s="419" t="s">
        <v>1812</v>
      </c>
      <c r="H425" s="199"/>
      <c r="I425" s="199"/>
      <c r="J425" s="419">
        <v>2025</v>
      </c>
      <c r="K425" s="419" t="s">
        <v>579</v>
      </c>
      <c r="L425" s="419" t="s">
        <v>1811</v>
      </c>
      <c r="N425" s="419" t="s">
        <v>2875</v>
      </c>
      <c r="O425" s="419" t="s">
        <v>1812</v>
      </c>
    </row>
    <row r="426" spans="1:15" ht="16.2" customHeight="1">
      <c r="A426" s="419">
        <v>2024</v>
      </c>
      <c r="B426" s="419" t="s">
        <v>579</v>
      </c>
      <c r="C426" s="199" t="s">
        <v>1813</v>
      </c>
      <c r="D426" s="199" t="s">
        <v>1814</v>
      </c>
      <c r="E426" s="199" t="s">
        <v>2165</v>
      </c>
      <c r="F426" s="419" t="s">
        <v>1815</v>
      </c>
      <c r="H426" s="199"/>
      <c r="I426" s="199"/>
      <c r="J426" s="419">
        <v>2025</v>
      </c>
      <c r="K426" s="419" t="s">
        <v>579</v>
      </c>
      <c r="L426" s="419" t="s">
        <v>1813</v>
      </c>
      <c r="N426" s="419" t="s">
        <v>2876</v>
      </c>
      <c r="O426" s="419" t="s">
        <v>1815</v>
      </c>
    </row>
    <row r="427" spans="1:15" ht="16.2" customHeight="1">
      <c r="A427" s="419">
        <v>2024</v>
      </c>
      <c r="B427" s="419" t="s">
        <v>579</v>
      </c>
      <c r="C427" s="199" t="s">
        <v>1816</v>
      </c>
      <c r="D427" s="199" t="s">
        <v>1814</v>
      </c>
      <c r="E427" s="199" t="s">
        <v>2166</v>
      </c>
      <c r="F427" s="419" t="s">
        <v>1817</v>
      </c>
      <c r="H427" s="199"/>
      <c r="I427" s="199"/>
      <c r="J427" s="419">
        <v>2025</v>
      </c>
      <c r="K427" s="419" t="s">
        <v>579</v>
      </c>
      <c r="L427" s="419" t="s">
        <v>1816</v>
      </c>
      <c r="N427" s="419" t="s">
        <v>2877</v>
      </c>
      <c r="O427" s="419" t="s">
        <v>1817</v>
      </c>
    </row>
    <row r="428" spans="1:15" ht="16.2" customHeight="1">
      <c r="A428" s="419">
        <v>2024</v>
      </c>
      <c r="B428" s="419" t="s">
        <v>579</v>
      </c>
      <c r="C428" s="419" t="s">
        <v>1818</v>
      </c>
      <c r="D428" s="199" t="s">
        <v>1814</v>
      </c>
      <c r="E428" s="199" t="s">
        <v>2167</v>
      </c>
      <c r="F428" s="419" t="s">
        <v>1819</v>
      </c>
      <c r="H428" s="199"/>
      <c r="I428" s="199"/>
      <c r="J428" s="419">
        <v>2025</v>
      </c>
      <c r="K428" s="419" t="s">
        <v>579</v>
      </c>
      <c r="L428" s="419" t="s">
        <v>1818</v>
      </c>
      <c r="N428" s="419" t="s">
        <v>2878</v>
      </c>
      <c r="O428" s="419" t="s">
        <v>1819</v>
      </c>
    </row>
    <row r="429" spans="1:15" ht="16.2" customHeight="1">
      <c r="A429" s="419">
        <v>2024</v>
      </c>
      <c r="B429" s="419" t="s">
        <v>579</v>
      </c>
      <c r="C429" s="419" t="s">
        <v>1820</v>
      </c>
      <c r="D429" s="199" t="s">
        <v>1814</v>
      </c>
      <c r="E429" s="199" t="s">
        <v>2168</v>
      </c>
      <c r="F429" s="419" t="s">
        <v>1821</v>
      </c>
      <c r="H429" s="199"/>
      <c r="I429" s="199"/>
      <c r="J429" s="419">
        <v>2025</v>
      </c>
      <c r="K429" s="419" t="s">
        <v>579</v>
      </c>
      <c r="L429" s="419" t="s">
        <v>1820</v>
      </c>
      <c r="N429" s="419" t="s">
        <v>2879</v>
      </c>
      <c r="O429" s="419" t="s">
        <v>1821</v>
      </c>
    </row>
    <row r="430" spans="1:15" ht="16.2" customHeight="1">
      <c r="A430" s="419">
        <v>2024</v>
      </c>
      <c r="B430" s="419" t="s">
        <v>579</v>
      </c>
      <c r="C430" s="419" t="s">
        <v>1822</v>
      </c>
      <c r="D430" s="199" t="s">
        <v>1814</v>
      </c>
      <c r="E430" s="199" t="s">
        <v>2155</v>
      </c>
      <c r="F430" s="419" t="s">
        <v>1823</v>
      </c>
      <c r="H430" s="199"/>
      <c r="I430" s="199"/>
      <c r="J430" s="419">
        <v>2025</v>
      </c>
      <c r="K430" s="419" t="s">
        <v>579</v>
      </c>
      <c r="L430" s="419" t="s">
        <v>1822</v>
      </c>
      <c r="N430" s="419" t="s">
        <v>2880</v>
      </c>
      <c r="O430" s="419" t="s">
        <v>1823</v>
      </c>
    </row>
    <row r="431" spans="1:15" ht="16.2" customHeight="1">
      <c r="A431" s="419">
        <v>2024</v>
      </c>
      <c r="B431" s="419" t="s">
        <v>579</v>
      </c>
      <c r="C431" s="419" t="s">
        <v>2007</v>
      </c>
      <c r="D431" s="199" t="s">
        <v>1814</v>
      </c>
      <c r="E431" s="199" t="s">
        <v>2225</v>
      </c>
      <c r="F431" s="419" t="s">
        <v>1824</v>
      </c>
      <c r="H431" s="199"/>
      <c r="I431" s="199"/>
      <c r="J431" s="419">
        <v>2025</v>
      </c>
      <c r="K431" s="419" t="s">
        <v>579</v>
      </c>
      <c r="L431" s="419" t="s">
        <v>2007</v>
      </c>
      <c r="N431" s="419" t="s">
        <v>2881</v>
      </c>
      <c r="O431" s="419" t="s">
        <v>1824</v>
      </c>
    </row>
    <row r="432" spans="1:15" ht="16.2" customHeight="1">
      <c r="A432" s="419">
        <v>2024</v>
      </c>
      <c r="B432" s="419" t="s">
        <v>579</v>
      </c>
      <c r="C432" s="199" t="s">
        <v>2203</v>
      </c>
      <c r="D432" s="199" t="s">
        <v>1814</v>
      </c>
      <c r="E432" s="199" t="s">
        <v>2226</v>
      </c>
      <c r="F432" s="419" t="s">
        <v>2204</v>
      </c>
      <c r="H432" s="199"/>
      <c r="I432" s="199"/>
      <c r="J432" s="419">
        <v>2025</v>
      </c>
      <c r="K432" s="419" t="s">
        <v>579</v>
      </c>
      <c r="L432" s="419" t="s">
        <v>2203</v>
      </c>
      <c r="N432" s="419" t="s">
        <v>2882</v>
      </c>
      <c r="O432" s="419" t="s">
        <v>2204</v>
      </c>
    </row>
    <row r="433" spans="1:16" ht="16.2" customHeight="1">
      <c r="H433" s="199"/>
      <c r="I433" s="199"/>
      <c r="J433" s="326">
        <v>2025</v>
      </c>
      <c r="K433" s="326" t="s">
        <v>579</v>
      </c>
      <c r="L433" s="326" t="s">
        <v>2883</v>
      </c>
      <c r="M433" s="326"/>
      <c r="N433" s="326" t="s">
        <v>2885</v>
      </c>
      <c r="O433" s="326" t="s">
        <v>2884</v>
      </c>
      <c r="P433" s="326"/>
    </row>
    <row r="434" spans="1:16" ht="16.2" customHeight="1">
      <c r="A434" s="419">
        <v>2024</v>
      </c>
      <c r="B434" s="419" t="s">
        <v>579</v>
      </c>
      <c r="C434" s="199" t="s">
        <v>1825</v>
      </c>
      <c r="D434" s="199" t="s">
        <v>2170</v>
      </c>
      <c r="E434" s="199" t="s">
        <v>2171</v>
      </c>
      <c r="F434" s="419" t="s">
        <v>2205</v>
      </c>
      <c r="H434" s="199"/>
      <c r="I434" s="199"/>
      <c r="J434" s="419">
        <v>2025</v>
      </c>
      <c r="K434" s="419" t="s">
        <v>579</v>
      </c>
      <c r="L434" s="419" t="s">
        <v>1825</v>
      </c>
      <c r="N434" s="419" t="s">
        <v>2886</v>
      </c>
      <c r="O434" s="419" t="s">
        <v>2205</v>
      </c>
    </row>
    <row r="435" spans="1:16" ht="16.2" customHeight="1">
      <c r="A435" s="419">
        <v>2024</v>
      </c>
      <c r="B435" s="419" t="s">
        <v>579</v>
      </c>
      <c r="C435" s="199" t="s">
        <v>1827</v>
      </c>
      <c r="D435" s="199" t="s">
        <v>2170</v>
      </c>
      <c r="E435" s="199" t="s">
        <v>2172</v>
      </c>
      <c r="F435" s="419" t="s">
        <v>2206</v>
      </c>
      <c r="H435" s="199"/>
      <c r="I435" s="199"/>
      <c r="J435" s="419">
        <v>2025</v>
      </c>
      <c r="K435" s="419" t="s">
        <v>579</v>
      </c>
      <c r="L435" s="419" t="s">
        <v>1827</v>
      </c>
      <c r="N435" s="419" t="s">
        <v>2887</v>
      </c>
      <c r="O435" s="419" t="s">
        <v>2206</v>
      </c>
    </row>
    <row r="436" spans="1:16" ht="16.2" customHeight="1">
      <c r="A436" s="419">
        <v>2024</v>
      </c>
      <c r="B436" s="419" t="s">
        <v>579</v>
      </c>
      <c r="C436" s="419" t="s">
        <v>1828</v>
      </c>
      <c r="D436" s="199" t="s">
        <v>2170</v>
      </c>
      <c r="E436" s="199" t="s">
        <v>2173</v>
      </c>
      <c r="F436" s="419" t="s">
        <v>2207</v>
      </c>
      <c r="H436" s="199"/>
      <c r="I436" s="199"/>
      <c r="J436" s="419">
        <v>2025</v>
      </c>
      <c r="K436" s="419" t="s">
        <v>579</v>
      </c>
      <c r="L436" s="419" t="s">
        <v>1828</v>
      </c>
      <c r="N436" s="419" t="s">
        <v>2888</v>
      </c>
      <c r="O436" s="419" t="s">
        <v>2207</v>
      </c>
    </row>
    <row r="437" spans="1:16" ht="16.2" customHeight="1">
      <c r="A437" s="419">
        <v>2024</v>
      </c>
      <c r="B437" s="419" t="s">
        <v>579</v>
      </c>
      <c r="C437" s="419" t="s">
        <v>2208</v>
      </c>
      <c r="D437" s="199" t="s">
        <v>2170</v>
      </c>
      <c r="E437" s="199" t="s">
        <v>2227</v>
      </c>
      <c r="F437" s="419" t="s">
        <v>2209</v>
      </c>
      <c r="H437" s="199"/>
      <c r="I437" s="199"/>
      <c r="J437" s="419">
        <v>2025</v>
      </c>
      <c r="K437" s="419" t="s">
        <v>579</v>
      </c>
      <c r="L437" s="419" t="s">
        <v>2208</v>
      </c>
      <c r="N437" s="419" t="s">
        <v>2889</v>
      </c>
      <c r="O437" s="419" t="s">
        <v>2209</v>
      </c>
    </row>
    <row r="438" spans="1:16" ht="16.2" customHeight="1">
      <c r="A438" s="419">
        <v>2024</v>
      </c>
      <c r="B438" s="419" t="s">
        <v>579</v>
      </c>
      <c r="C438" s="419" t="s">
        <v>1829</v>
      </c>
      <c r="D438" s="199" t="s">
        <v>2170</v>
      </c>
      <c r="E438" s="199" t="s">
        <v>2174</v>
      </c>
      <c r="F438" s="419" t="s">
        <v>2210</v>
      </c>
      <c r="H438" s="199"/>
      <c r="I438" s="199"/>
      <c r="J438" s="419">
        <v>2025</v>
      </c>
      <c r="K438" s="419" t="s">
        <v>579</v>
      </c>
      <c r="L438" s="419" t="s">
        <v>1829</v>
      </c>
      <c r="N438" s="419" t="s">
        <v>2890</v>
      </c>
      <c r="O438" s="419" t="s">
        <v>2210</v>
      </c>
    </row>
    <row r="439" spans="1:16" ht="16.2" customHeight="1">
      <c r="A439" s="419">
        <v>2024</v>
      </c>
      <c r="B439" s="419" t="s">
        <v>579</v>
      </c>
      <c r="C439" s="419" t="s">
        <v>1831</v>
      </c>
      <c r="D439" s="199" t="s">
        <v>2170</v>
      </c>
      <c r="E439" s="199" t="s">
        <v>2175</v>
      </c>
      <c r="F439" s="419" t="s">
        <v>2211</v>
      </c>
      <c r="H439" s="199"/>
      <c r="I439" s="199"/>
      <c r="J439" s="419">
        <v>2025</v>
      </c>
      <c r="K439" s="419" t="s">
        <v>579</v>
      </c>
      <c r="L439" s="419" t="s">
        <v>1831</v>
      </c>
      <c r="N439" s="419" t="s">
        <v>2891</v>
      </c>
      <c r="O439" s="419" t="s">
        <v>2211</v>
      </c>
    </row>
    <row r="440" spans="1:16" ht="16.2" customHeight="1">
      <c r="A440" s="419">
        <v>2024</v>
      </c>
      <c r="B440" s="419" t="s">
        <v>579</v>
      </c>
      <c r="C440" s="199" t="s">
        <v>1833</v>
      </c>
      <c r="D440" s="199" t="s">
        <v>2170</v>
      </c>
      <c r="E440" s="199" t="s">
        <v>2176</v>
      </c>
      <c r="F440" s="419" t="s">
        <v>2212</v>
      </c>
      <c r="H440" s="199"/>
      <c r="I440" s="199"/>
      <c r="J440" s="419">
        <v>2025</v>
      </c>
      <c r="K440" s="419" t="s">
        <v>579</v>
      </c>
      <c r="L440" s="419" t="s">
        <v>1833</v>
      </c>
      <c r="N440" s="419" t="s">
        <v>2892</v>
      </c>
      <c r="O440" s="419" t="s">
        <v>2212</v>
      </c>
    </row>
    <row r="441" spans="1:16" ht="16.2" customHeight="1">
      <c r="A441" s="419">
        <v>2024</v>
      </c>
      <c r="B441" s="419" t="s">
        <v>579</v>
      </c>
      <c r="C441" s="199" t="s">
        <v>1834</v>
      </c>
      <c r="D441" s="199" t="s">
        <v>2170</v>
      </c>
      <c r="E441" s="199" t="s">
        <v>2177</v>
      </c>
      <c r="F441" s="419" t="s">
        <v>2213</v>
      </c>
      <c r="H441" s="199"/>
      <c r="I441" s="199"/>
      <c r="J441" s="419">
        <v>2025</v>
      </c>
      <c r="K441" s="419" t="s">
        <v>579</v>
      </c>
      <c r="L441" s="419" t="s">
        <v>1834</v>
      </c>
      <c r="N441" s="419" t="s">
        <v>2893</v>
      </c>
      <c r="O441" s="419" t="s">
        <v>2213</v>
      </c>
    </row>
    <row r="442" spans="1:16" ht="16.2" customHeight="1">
      <c r="A442" s="419">
        <v>2024</v>
      </c>
      <c r="B442" s="419" t="s">
        <v>579</v>
      </c>
      <c r="C442" s="199" t="s">
        <v>598</v>
      </c>
      <c r="D442" s="199" t="s">
        <v>2170</v>
      </c>
      <c r="E442" s="199" t="s">
        <v>2178</v>
      </c>
      <c r="F442" s="419" t="s">
        <v>2179</v>
      </c>
      <c r="H442" s="199"/>
      <c r="I442" s="199"/>
      <c r="J442" s="419">
        <v>2025</v>
      </c>
      <c r="K442" s="419" t="s">
        <v>579</v>
      </c>
      <c r="L442" s="419" t="s">
        <v>598</v>
      </c>
      <c r="N442" s="419" t="s">
        <v>2894</v>
      </c>
      <c r="O442" s="419" t="s">
        <v>2179</v>
      </c>
    </row>
    <row r="443" spans="1:16" ht="16.2" customHeight="1">
      <c r="A443" s="326">
        <v>2024</v>
      </c>
      <c r="B443" s="326" t="s">
        <v>579</v>
      </c>
      <c r="C443" s="327" t="s">
        <v>1837</v>
      </c>
      <c r="D443" s="327" t="s">
        <v>2170</v>
      </c>
      <c r="E443" s="327" t="s">
        <v>2228</v>
      </c>
      <c r="F443" s="326" t="s">
        <v>2214</v>
      </c>
      <c r="G443" s="326"/>
      <c r="H443" s="327"/>
      <c r="I443" s="199"/>
    </row>
    <row r="444" spans="1:16" ht="16.2" customHeight="1">
      <c r="A444" s="419">
        <v>2024</v>
      </c>
      <c r="B444" s="419" t="s">
        <v>579</v>
      </c>
      <c r="C444" s="199" t="s">
        <v>1838</v>
      </c>
      <c r="D444" s="199" t="s">
        <v>2170</v>
      </c>
      <c r="E444" s="199" t="s">
        <v>2180</v>
      </c>
      <c r="F444" s="419" t="s">
        <v>1839</v>
      </c>
      <c r="H444" s="199"/>
      <c r="I444" s="199"/>
      <c r="J444" s="419">
        <v>2025</v>
      </c>
      <c r="K444" s="419" t="s">
        <v>579</v>
      </c>
      <c r="L444" s="419" t="s">
        <v>1838</v>
      </c>
      <c r="N444" s="419" t="s">
        <v>2895</v>
      </c>
      <c r="O444" s="419" t="s">
        <v>1839</v>
      </c>
    </row>
    <row r="445" spans="1:16" ht="16.2" customHeight="1">
      <c r="A445" s="419">
        <v>2024</v>
      </c>
      <c r="B445" s="419" t="s">
        <v>579</v>
      </c>
      <c r="C445" s="199" t="s">
        <v>1840</v>
      </c>
      <c r="D445" s="199" t="s">
        <v>2170</v>
      </c>
      <c r="E445" s="199" t="s">
        <v>2181</v>
      </c>
      <c r="F445" s="419" t="s">
        <v>2215</v>
      </c>
      <c r="H445" s="199"/>
      <c r="I445" s="199"/>
      <c r="J445" s="419">
        <v>2025</v>
      </c>
      <c r="K445" s="419" t="s">
        <v>579</v>
      </c>
      <c r="L445" s="419" t="s">
        <v>1840</v>
      </c>
      <c r="N445" s="419" t="s">
        <v>2896</v>
      </c>
      <c r="O445" s="419" t="s">
        <v>2215</v>
      </c>
    </row>
    <row r="446" spans="1:16" ht="16.2" customHeight="1">
      <c r="A446" s="419">
        <v>2024</v>
      </c>
      <c r="B446" s="419" t="s">
        <v>579</v>
      </c>
      <c r="C446" s="199" t="s">
        <v>1841</v>
      </c>
      <c r="D446" s="199" t="s">
        <v>2170</v>
      </c>
      <c r="E446" s="199" t="s">
        <v>2000</v>
      </c>
      <c r="F446" s="419" t="s">
        <v>2182</v>
      </c>
      <c r="H446" s="199"/>
      <c r="I446" s="199"/>
      <c r="J446" s="419">
        <v>2025</v>
      </c>
      <c r="K446" s="419" t="s">
        <v>579</v>
      </c>
      <c r="L446" s="419" t="s">
        <v>1841</v>
      </c>
      <c r="N446" s="419" t="s">
        <v>2897</v>
      </c>
      <c r="O446" s="419" t="s">
        <v>2182</v>
      </c>
    </row>
    <row r="447" spans="1:16" ht="16.2" customHeight="1">
      <c r="A447" s="419">
        <v>2024</v>
      </c>
      <c r="B447" s="419" t="s">
        <v>579</v>
      </c>
      <c r="C447" s="199" t="s">
        <v>2216</v>
      </c>
      <c r="D447" s="199" t="s">
        <v>2170</v>
      </c>
      <c r="E447" s="199" t="s">
        <v>2229</v>
      </c>
      <c r="F447" s="419" t="s">
        <v>2217</v>
      </c>
      <c r="H447" s="199"/>
      <c r="I447" s="199"/>
      <c r="J447" s="419">
        <v>2025</v>
      </c>
      <c r="K447" s="419" t="s">
        <v>579</v>
      </c>
      <c r="L447" s="419" t="s">
        <v>2216</v>
      </c>
      <c r="N447" s="419" t="s">
        <v>2898</v>
      </c>
      <c r="O447" s="419" t="s">
        <v>2217</v>
      </c>
    </row>
    <row r="448" spans="1:16" ht="16.2" customHeight="1">
      <c r="A448" s="419">
        <v>2024</v>
      </c>
      <c r="B448" s="419" t="s">
        <v>579</v>
      </c>
      <c r="C448" s="199" t="s">
        <v>2183</v>
      </c>
      <c r="D448" s="199" t="s">
        <v>2170</v>
      </c>
      <c r="E448" s="199" t="s">
        <v>2002</v>
      </c>
      <c r="F448" s="419" t="s">
        <v>1846</v>
      </c>
      <c r="H448" s="199"/>
      <c r="I448" s="199"/>
      <c r="J448" s="419">
        <v>2025</v>
      </c>
      <c r="K448" s="419" t="s">
        <v>579</v>
      </c>
      <c r="L448" s="419" t="s">
        <v>2183</v>
      </c>
      <c r="N448" s="419" t="s">
        <v>2899</v>
      </c>
      <c r="O448" s="419" t="s">
        <v>1846</v>
      </c>
    </row>
    <row r="449" spans="1:17" ht="16.2" customHeight="1">
      <c r="A449" s="419">
        <v>2024</v>
      </c>
      <c r="B449" s="419" t="s">
        <v>579</v>
      </c>
      <c r="C449" s="199" t="s">
        <v>2184</v>
      </c>
      <c r="D449" s="199" t="s">
        <v>2170</v>
      </c>
      <c r="E449" s="199" t="s">
        <v>2185</v>
      </c>
      <c r="F449" s="419" t="s">
        <v>1849</v>
      </c>
      <c r="H449" s="199"/>
      <c r="I449" s="199"/>
      <c r="J449" s="419">
        <v>2025</v>
      </c>
      <c r="K449" s="419" t="s">
        <v>579</v>
      </c>
      <c r="L449" s="419" t="s">
        <v>2184</v>
      </c>
      <c r="N449" s="419" t="s">
        <v>2900</v>
      </c>
      <c r="O449" s="419" t="s">
        <v>1849</v>
      </c>
    </row>
    <row r="450" spans="1:17" ht="16.2" customHeight="1">
      <c r="A450" s="419">
        <v>2024</v>
      </c>
      <c r="B450" s="419" t="s">
        <v>579</v>
      </c>
      <c r="C450" s="199" t="s">
        <v>1850</v>
      </c>
      <c r="D450" s="199" t="s">
        <v>2170</v>
      </c>
      <c r="E450" s="199" t="s">
        <v>2230</v>
      </c>
      <c r="F450" s="419" t="s">
        <v>2186</v>
      </c>
      <c r="H450" s="199"/>
      <c r="I450" s="199"/>
      <c r="J450" s="419">
        <v>2025</v>
      </c>
      <c r="K450" s="419" t="s">
        <v>579</v>
      </c>
      <c r="L450" s="419" t="s">
        <v>1850</v>
      </c>
      <c r="N450" s="419" t="s">
        <v>2901</v>
      </c>
      <c r="O450" s="419" t="s">
        <v>2186</v>
      </c>
    </row>
    <row r="451" spans="1:17" ht="16.2" customHeight="1">
      <c r="C451" s="419" t="s">
        <v>2137</v>
      </c>
      <c r="H451" s="199"/>
      <c r="I451" s="199"/>
      <c r="J451" s="326">
        <v>2025</v>
      </c>
      <c r="K451" s="326" t="s">
        <v>579</v>
      </c>
      <c r="M451" s="326"/>
      <c r="N451" s="326" t="s">
        <v>2903</v>
      </c>
      <c r="O451" s="326" t="s">
        <v>1733</v>
      </c>
      <c r="P451" s="326"/>
    </row>
    <row r="452" spans="1:17" ht="16.2" customHeight="1">
      <c r="A452" s="419">
        <v>2024</v>
      </c>
      <c r="B452" s="419" t="s">
        <v>579</v>
      </c>
      <c r="C452" s="199" t="s">
        <v>1851</v>
      </c>
      <c r="D452" s="199" t="s">
        <v>2170</v>
      </c>
      <c r="E452" s="199" t="s">
        <v>2231</v>
      </c>
      <c r="F452" s="419" t="s">
        <v>2187</v>
      </c>
      <c r="H452" s="199"/>
      <c r="I452" s="199"/>
      <c r="J452" s="419">
        <v>2025</v>
      </c>
      <c r="K452" s="419" t="s">
        <v>579</v>
      </c>
      <c r="L452" s="419" t="s">
        <v>1851</v>
      </c>
      <c r="N452" s="419" t="s">
        <v>2904</v>
      </c>
      <c r="O452" s="419" t="s">
        <v>2187</v>
      </c>
    </row>
    <row r="453" spans="1:17" ht="16.2" customHeight="1">
      <c r="A453" s="419">
        <v>2024</v>
      </c>
      <c r="B453" s="419" t="s">
        <v>579</v>
      </c>
      <c r="C453" s="199" t="s">
        <v>1852</v>
      </c>
      <c r="D453" s="199" t="s">
        <v>2170</v>
      </c>
      <c r="E453" s="199" t="s">
        <v>2232</v>
      </c>
      <c r="F453" s="419" t="s">
        <v>2218</v>
      </c>
      <c r="J453" s="419">
        <v>2025</v>
      </c>
      <c r="K453" s="419" t="s">
        <v>579</v>
      </c>
      <c r="L453" s="419" t="s">
        <v>1852</v>
      </c>
      <c r="N453" s="419" t="s">
        <v>2905</v>
      </c>
      <c r="O453" s="419" t="s">
        <v>2218</v>
      </c>
    </row>
    <row r="454" spans="1:17" ht="16.2" customHeight="1">
      <c r="A454" s="419">
        <v>2024</v>
      </c>
      <c r="B454" s="419" t="s">
        <v>579</v>
      </c>
      <c r="C454" s="199" t="s">
        <v>1853</v>
      </c>
      <c r="D454" s="199" t="s">
        <v>2170</v>
      </c>
      <c r="E454" s="199" t="s">
        <v>2233</v>
      </c>
      <c r="F454" s="419" t="s">
        <v>2219</v>
      </c>
      <c r="J454" s="419">
        <v>2025</v>
      </c>
      <c r="K454" s="419" t="s">
        <v>579</v>
      </c>
      <c r="L454" s="419" t="s">
        <v>1853</v>
      </c>
      <c r="N454" s="419" t="s">
        <v>2906</v>
      </c>
      <c r="O454" s="419" t="s">
        <v>2219</v>
      </c>
    </row>
    <row r="455" spans="1:17" ht="16.2" customHeight="1">
      <c r="A455" s="419">
        <v>2024</v>
      </c>
      <c r="B455" s="419" t="s">
        <v>579</v>
      </c>
      <c r="C455" s="199" t="s">
        <v>1854</v>
      </c>
      <c r="D455" s="199" t="s">
        <v>1855</v>
      </c>
      <c r="E455" s="199" t="s">
        <v>2188</v>
      </c>
      <c r="F455" s="419" t="s">
        <v>1856</v>
      </c>
      <c r="J455" s="419">
        <v>2025</v>
      </c>
      <c r="K455" s="419" t="s">
        <v>579</v>
      </c>
      <c r="L455" s="419" t="s">
        <v>1854</v>
      </c>
      <c r="N455" s="419" t="s">
        <v>2907</v>
      </c>
      <c r="O455" s="419" t="s">
        <v>1856</v>
      </c>
    </row>
    <row r="456" spans="1:17" ht="16.2" customHeight="1">
      <c r="A456" s="419">
        <v>2024</v>
      </c>
      <c r="B456" s="419" t="s">
        <v>579</v>
      </c>
      <c r="C456" s="199" t="s">
        <v>1857</v>
      </c>
      <c r="D456" s="199" t="s">
        <v>1855</v>
      </c>
      <c r="E456" s="199" t="s">
        <v>2189</v>
      </c>
      <c r="F456" s="419" t="s">
        <v>1858</v>
      </c>
      <c r="J456" s="419">
        <v>2025</v>
      </c>
      <c r="K456" s="419" t="s">
        <v>579</v>
      </c>
      <c r="L456" s="419" t="s">
        <v>1857</v>
      </c>
      <c r="N456" s="419" t="s">
        <v>2908</v>
      </c>
      <c r="O456" s="419" t="s">
        <v>1858</v>
      </c>
    </row>
    <row r="457" spans="1:17" ht="16.2" customHeight="1">
      <c r="A457" s="419">
        <v>2024</v>
      </c>
      <c r="B457" s="419" t="s">
        <v>579</v>
      </c>
      <c r="C457" s="199" t="s">
        <v>1859</v>
      </c>
      <c r="D457" s="199" t="s">
        <v>1855</v>
      </c>
      <c r="E457" s="199" t="s">
        <v>2190</v>
      </c>
      <c r="F457" s="419" t="s">
        <v>1860</v>
      </c>
      <c r="J457" s="419">
        <v>2025</v>
      </c>
      <c r="K457" s="419" t="s">
        <v>579</v>
      </c>
      <c r="L457" s="419" t="s">
        <v>1859</v>
      </c>
      <c r="N457" s="419" t="s">
        <v>2909</v>
      </c>
      <c r="O457" s="419" t="s">
        <v>1860</v>
      </c>
    </row>
    <row r="458" spans="1:17" ht="16.2" customHeight="1">
      <c r="A458" s="419">
        <v>2024</v>
      </c>
      <c r="B458" s="419" t="s">
        <v>579</v>
      </c>
      <c r="C458" s="199" t="s">
        <v>1861</v>
      </c>
      <c r="D458" s="199" t="s">
        <v>1855</v>
      </c>
      <c r="E458" s="199" t="s">
        <v>2191</v>
      </c>
      <c r="F458" s="419" t="s">
        <v>1862</v>
      </c>
      <c r="J458" s="419">
        <v>2025</v>
      </c>
      <c r="K458" s="419" t="s">
        <v>579</v>
      </c>
      <c r="L458" s="419" t="s">
        <v>1861</v>
      </c>
      <c r="N458" s="419" t="s">
        <v>2910</v>
      </c>
      <c r="O458" s="419" t="s">
        <v>1862</v>
      </c>
    </row>
    <row r="459" spans="1:17" ht="16.2" customHeight="1">
      <c r="A459" s="419">
        <v>2024</v>
      </c>
      <c r="B459" s="419" t="s">
        <v>579</v>
      </c>
      <c r="C459" s="199" t="s">
        <v>1863</v>
      </c>
      <c r="D459" s="199" t="s">
        <v>1855</v>
      </c>
      <c r="E459" s="199" t="s">
        <v>2192</v>
      </c>
      <c r="F459" s="419" t="s">
        <v>1864</v>
      </c>
      <c r="J459" s="419">
        <v>2025</v>
      </c>
      <c r="K459" s="419" t="s">
        <v>579</v>
      </c>
      <c r="L459" s="419" t="s">
        <v>1863</v>
      </c>
      <c r="N459" s="419" t="s">
        <v>2911</v>
      </c>
      <c r="O459" s="419" t="s">
        <v>1864</v>
      </c>
    </row>
    <row r="460" spans="1:17" ht="16.2" customHeight="1">
      <c r="A460" s="419">
        <v>2024</v>
      </c>
      <c r="B460" s="419" t="s">
        <v>579</v>
      </c>
      <c r="C460" s="199" t="s">
        <v>1865</v>
      </c>
      <c r="D460" s="199" t="s">
        <v>1855</v>
      </c>
      <c r="E460" s="199" t="s">
        <v>2193</v>
      </c>
      <c r="F460" s="419" t="s">
        <v>1866</v>
      </c>
      <c r="J460" s="419">
        <v>2025</v>
      </c>
      <c r="K460" s="419" t="s">
        <v>579</v>
      </c>
      <c r="L460" s="419" t="s">
        <v>1865</v>
      </c>
      <c r="N460" s="419" t="s">
        <v>2912</v>
      </c>
      <c r="O460" s="419" t="s">
        <v>1866</v>
      </c>
    </row>
    <row r="461" spans="1:17" ht="16.2" customHeight="1">
      <c r="A461" s="419">
        <v>2024</v>
      </c>
      <c r="B461" s="419" t="s">
        <v>579</v>
      </c>
      <c r="C461" s="199" t="s">
        <v>1867</v>
      </c>
      <c r="D461" s="199" t="s">
        <v>1855</v>
      </c>
      <c r="E461" s="199" t="s">
        <v>2194</v>
      </c>
      <c r="F461" s="419" t="s">
        <v>1868</v>
      </c>
      <c r="J461" s="419">
        <v>2025</v>
      </c>
      <c r="K461" s="419" t="s">
        <v>579</v>
      </c>
      <c r="L461" s="419" t="s">
        <v>1867</v>
      </c>
      <c r="N461" s="419" t="s">
        <v>2913</v>
      </c>
      <c r="O461" s="419" t="s">
        <v>1868</v>
      </c>
    </row>
    <row r="462" spans="1:17" ht="16.2" customHeight="1">
      <c r="A462" s="419">
        <v>2024</v>
      </c>
      <c r="B462" s="419" t="s">
        <v>579</v>
      </c>
      <c r="C462" s="199" t="s">
        <v>1869</v>
      </c>
      <c r="D462" s="199" t="s">
        <v>1855</v>
      </c>
      <c r="E462" s="199" t="s">
        <v>2195</v>
      </c>
      <c r="F462" s="419" t="s">
        <v>1870</v>
      </c>
      <c r="J462" s="419">
        <v>2025</v>
      </c>
      <c r="K462" s="419" t="s">
        <v>579</v>
      </c>
      <c r="L462" s="419" t="s">
        <v>1869</v>
      </c>
      <c r="N462" s="419" t="s">
        <v>2914</v>
      </c>
      <c r="O462" s="419" t="s">
        <v>1870</v>
      </c>
    </row>
    <row r="463" spans="1:17" ht="16.2" customHeight="1">
      <c r="A463" s="419">
        <v>2024</v>
      </c>
      <c r="B463" s="419" t="s">
        <v>579</v>
      </c>
      <c r="C463" s="199" t="s">
        <v>594</v>
      </c>
      <c r="D463" s="199" t="s">
        <v>1855</v>
      </c>
      <c r="E463" s="199" t="s">
        <v>2196</v>
      </c>
      <c r="F463" s="419" t="s">
        <v>2197</v>
      </c>
      <c r="J463" s="419">
        <v>2025</v>
      </c>
      <c r="K463" s="419" t="s">
        <v>579</v>
      </c>
      <c r="L463" s="419" t="s">
        <v>594</v>
      </c>
      <c r="N463" s="419" t="s">
        <v>2915</v>
      </c>
      <c r="O463" s="419" t="s">
        <v>2197</v>
      </c>
    </row>
    <row r="464" spans="1:17" ht="16.2" customHeight="1">
      <c r="J464" s="326">
        <v>2025</v>
      </c>
      <c r="K464" s="326" t="s">
        <v>579</v>
      </c>
      <c r="L464" s="326" t="s">
        <v>2916</v>
      </c>
      <c r="M464" s="326"/>
      <c r="N464" s="326" t="s">
        <v>2918</v>
      </c>
      <c r="O464" s="326" t="s">
        <v>2917</v>
      </c>
      <c r="P464" s="326"/>
      <c r="Q464" s="326"/>
    </row>
    <row r="465" spans="1:16" ht="16.2" customHeight="1">
      <c r="A465" s="419">
        <v>2024</v>
      </c>
      <c r="B465" s="419" t="s">
        <v>579</v>
      </c>
      <c r="C465" s="199" t="s">
        <v>1871</v>
      </c>
      <c r="D465" s="199" t="s">
        <v>1872</v>
      </c>
      <c r="E465" s="199" t="s">
        <v>1873</v>
      </c>
      <c r="F465" s="419" t="s">
        <v>1874</v>
      </c>
      <c r="J465" s="419">
        <v>2025</v>
      </c>
      <c r="K465" s="419" t="s">
        <v>579</v>
      </c>
      <c r="L465" s="419" t="s">
        <v>1871</v>
      </c>
      <c r="N465" s="419" t="s">
        <v>2919</v>
      </c>
      <c r="O465" s="419" t="s">
        <v>1874</v>
      </c>
    </row>
    <row r="466" spans="1:16" ht="16.2" customHeight="1">
      <c r="A466" s="419">
        <v>2024</v>
      </c>
      <c r="B466" s="419" t="s">
        <v>579</v>
      </c>
      <c r="C466" s="199" t="s">
        <v>2220</v>
      </c>
      <c r="D466" s="199" t="s">
        <v>1872</v>
      </c>
      <c r="E466" s="199" t="s">
        <v>2234</v>
      </c>
      <c r="F466" s="419" t="s">
        <v>2221</v>
      </c>
      <c r="J466" s="419">
        <v>2025</v>
      </c>
      <c r="K466" s="419" t="s">
        <v>579</v>
      </c>
      <c r="L466" s="419" t="s">
        <v>2220</v>
      </c>
      <c r="N466" s="419" t="s">
        <v>2920</v>
      </c>
      <c r="O466" s="419" t="s">
        <v>2221</v>
      </c>
    </row>
    <row r="467" spans="1:16" ht="16.2" customHeight="1">
      <c r="A467" s="419">
        <v>2024</v>
      </c>
      <c r="B467" s="419" t="s">
        <v>579</v>
      </c>
      <c r="C467" s="199" t="s">
        <v>1875</v>
      </c>
      <c r="D467" s="199" t="s">
        <v>1876</v>
      </c>
      <c r="E467" s="199" t="s">
        <v>1877</v>
      </c>
      <c r="F467" s="419" t="s">
        <v>1878</v>
      </c>
      <c r="J467" s="419">
        <v>2025</v>
      </c>
      <c r="K467" s="419" t="s">
        <v>579</v>
      </c>
      <c r="L467" s="419" t="s">
        <v>1875</v>
      </c>
      <c r="N467" s="419" t="s">
        <v>2921</v>
      </c>
      <c r="O467" s="419" t="s">
        <v>1878</v>
      </c>
    </row>
    <row r="468" spans="1:16" ht="16.2" customHeight="1">
      <c r="J468" s="326">
        <v>2025</v>
      </c>
      <c r="K468" s="326" t="s">
        <v>579</v>
      </c>
      <c r="L468" s="326" t="s">
        <v>2922</v>
      </c>
      <c r="M468" s="326"/>
      <c r="N468" s="326" t="s">
        <v>2924</v>
      </c>
      <c r="O468" s="326" t="s">
        <v>2923</v>
      </c>
      <c r="P468" s="326"/>
    </row>
  </sheetData>
  <phoneticPr fontId="3"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17"/>
  <dimension ref="A1:FW463"/>
  <sheetViews>
    <sheetView topLeftCell="FF314" zoomScale="130" zoomScaleNormal="130" workbookViewId="0">
      <selection activeCell="FU276" sqref="FU276"/>
    </sheetView>
  </sheetViews>
  <sheetFormatPr defaultColWidth="6.69921875" defaultRowHeight="13.8"/>
  <cols>
    <col min="1" max="1" width="6.69921875" style="16"/>
    <col min="2" max="2" width="6.69921875" style="64"/>
    <col min="3" max="3" width="9" style="64" customWidth="1"/>
    <col min="4" max="10" width="6.69921875" style="64"/>
    <col min="11" max="11" width="9.3984375" style="64" customWidth="1"/>
    <col min="12" max="17" width="6.69921875" style="64"/>
    <col min="18" max="18" width="6.69921875" style="15"/>
    <col min="19" max="19" width="7" style="15" bestFit="1" customWidth="1"/>
    <col min="20" max="35" width="6.69921875" style="16"/>
    <col min="36" max="36" width="12.8984375" style="16" customWidth="1"/>
    <col min="37" max="69" width="6.69921875" style="16"/>
    <col min="70" max="70" width="10.19921875" style="16" customWidth="1"/>
    <col min="71" max="106" width="6.69921875" style="16"/>
    <col min="107" max="107" width="7" style="16" bestFit="1" customWidth="1"/>
    <col min="108" max="123" width="6.69921875" style="16"/>
    <col min="124" max="124" width="8.19921875" style="16" bestFit="1" customWidth="1"/>
    <col min="125" max="133" width="6.69921875" style="16"/>
    <col min="134" max="134" width="6.69921875" style="16" customWidth="1"/>
    <col min="135" max="160" width="6.69921875" style="16"/>
    <col min="161" max="161" width="8.8984375" style="16" bestFit="1" customWidth="1"/>
    <col min="162" max="178" width="6.69921875" style="16"/>
    <col min="179" max="179" width="6.69921875" style="21"/>
    <col min="180" max="16384" width="6.69921875" style="16"/>
  </cols>
  <sheetData>
    <row r="1" spans="2:179" s="332" customFormat="1">
      <c r="B1" s="331" t="s">
        <v>221</v>
      </c>
      <c r="C1" s="331" t="s">
        <v>2956</v>
      </c>
      <c r="D1" s="331" t="s">
        <v>2238</v>
      </c>
      <c r="E1" s="331" t="s">
        <v>2239</v>
      </c>
      <c r="F1" s="331" t="s">
        <v>2240</v>
      </c>
      <c r="G1" s="331" t="s">
        <v>2241</v>
      </c>
      <c r="H1" s="331" t="s">
        <v>2242</v>
      </c>
      <c r="I1" s="331" t="s">
        <v>2954</v>
      </c>
      <c r="J1" s="331"/>
      <c r="K1" s="331" t="s">
        <v>2236</v>
      </c>
      <c r="L1" s="331" t="s">
        <v>2237</v>
      </c>
      <c r="M1" s="331" t="s">
        <v>2012</v>
      </c>
      <c r="N1" s="331" t="s">
        <v>2013</v>
      </c>
      <c r="O1" s="331" t="s">
        <v>2014</v>
      </c>
      <c r="P1" s="331" t="s">
        <v>2015</v>
      </c>
      <c r="Q1" s="331" t="s">
        <v>2955</v>
      </c>
      <c r="R1" s="331"/>
      <c r="T1" s="332" t="s">
        <v>287</v>
      </c>
      <c r="U1" s="331" t="s">
        <v>2956</v>
      </c>
      <c r="V1" s="331" t="s">
        <v>2238</v>
      </c>
      <c r="W1" s="331" t="s">
        <v>2239</v>
      </c>
      <c r="X1" s="331" t="s">
        <v>2240</v>
      </c>
      <c r="Y1" s="331" t="s">
        <v>2241</v>
      </c>
      <c r="Z1" s="331" t="s">
        <v>2242</v>
      </c>
      <c r="AA1" s="331" t="s">
        <v>2954</v>
      </c>
      <c r="AB1" s="331"/>
      <c r="AC1" s="331" t="s">
        <v>2236</v>
      </c>
      <c r="AD1" s="331" t="s">
        <v>2237</v>
      </c>
      <c r="AE1" s="331" t="s">
        <v>2012</v>
      </c>
      <c r="AF1" s="331" t="s">
        <v>2013</v>
      </c>
      <c r="AG1" s="331" t="s">
        <v>2014</v>
      </c>
      <c r="AH1" s="331" t="s">
        <v>2015</v>
      </c>
      <c r="AI1" s="331" t="s">
        <v>2955</v>
      </c>
      <c r="AK1" s="332" t="s">
        <v>225</v>
      </c>
      <c r="AL1" s="331" t="s">
        <v>2956</v>
      </c>
      <c r="AM1" s="331" t="s">
        <v>2238</v>
      </c>
      <c r="AN1" s="331" t="s">
        <v>2239</v>
      </c>
      <c r="AO1" s="331" t="s">
        <v>2240</v>
      </c>
      <c r="AP1" s="331" t="s">
        <v>2241</v>
      </c>
      <c r="AQ1" s="331" t="s">
        <v>2242</v>
      </c>
      <c r="AR1" s="331" t="s">
        <v>2954</v>
      </c>
      <c r="AS1" s="331"/>
      <c r="AT1" s="331" t="s">
        <v>2236</v>
      </c>
      <c r="AU1" s="331" t="s">
        <v>2237</v>
      </c>
      <c r="AV1" s="331" t="s">
        <v>2012</v>
      </c>
      <c r="AW1" s="331" t="s">
        <v>2013</v>
      </c>
      <c r="AX1" s="331" t="s">
        <v>2014</v>
      </c>
      <c r="AY1" s="331" t="s">
        <v>2015</v>
      </c>
      <c r="AZ1" s="331" t="s">
        <v>2955</v>
      </c>
      <c r="BB1" s="332" t="s">
        <v>227</v>
      </c>
      <c r="BC1" s="331" t="s">
        <v>2956</v>
      </c>
      <c r="BD1" s="331" t="s">
        <v>2238</v>
      </c>
      <c r="BE1" s="331" t="s">
        <v>2239</v>
      </c>
      <c r="BF1" s="331" t="s">
        <v>2240</v>
      </c>
      <c r="BG1" s="331" t="s">
        <v>2241</v>
      </c>
      <c r="BH1" s="331" t="s">
        <v>2242</v>
      </c>
      <c r="BI1" s="331" t="s">
        <v>2954</v>
      </c>
      <c r="BJ1" s="331"/>
      <c r="BK1" s="331" t="s">
        <v>2236</v>
      </c>
      <c r="BL1" s="331" t="s">
        <v>2237</v>
      </c>
      <c r="BM1" s="331" t="s">
        <v>2012</v>
      </c>
      <c r="BN1" s="331" t="s">
        <v>2013</v>
      </c>
      <c r="BO1" s="331" t="s">
        <v>2014</v>
      </c>
      <c r="BP1" s="331" t="s">
        <v>2015</v>
      </c>
      <c r="BQ1" s="331" t="s">
        <v>2955</v>
      </c>
      <c r="BS1" s="332" t="s">
        <v>337</v>
      </c>
      <c r="BT1" s="331" t="s">
        <v>2956</v>
      </c>
      <c r="BU1" s="331" t="s">
        <v>2238</v>
      </c>
      <c r="BV1" s="331" t="s">
        <v>2239</v>
      </c>
      <c r="BW1" s="331" t="s">
        <v>2240</v>
      </c>
      <c r="BX1" s="331" t="s">
        <v>2241</v>
      </c>
      <c r="BY1" s="331" t="s">
        <v>2242</v>
      </c>
      <c r="BZ1" s="331" t="s">
        <v>2954</v>
      </c>
      <c r="CA1" s="331"/>
      <c r="CB1" s="331" t="s">
        <v>2236</v>
      </c>
      <c r="CC1" s="331" t="s">
        <v>2237</v>
      </c>
      <c r="CD1" s="331" t="s">
        <v>2012</v>
      </c>
      <c r="CE1" s="331" t="s">
        <v>2013</v>
      </c>
      <c r="CF1" s="331" t="s">
        <v>2014</v>
      </c>
      <c r="CG1" s="331" t="s">
        <v>2015</v>
      </c>
      <c r="CH1" s="331" t="s">
        <v>2955</v>
      </c>
      <c r="CL1" s="332" t="s">
        <v>231</v>
      </c>
      <c r="CM1" s="331" t="s">
        <v>2956</v>
      </c>
      <c r="CN1" s="331" t="s">
        <v>2238</v>
      </c>
      <c r="CO1" s="331" t="s">
        <v>2239</v>
      </c>
      <c r="CP1" s="331" t="s">
        <v>2240</v>
      </c>
      <c r="CQ1" s="331" t="s">
        <v>2241</v>
      </c>
      <c r="CR1" s="331" t="s">
        <v>2242</v>
      </c>
      <c r="CS1" s="331" t="s">
        <v>2954</v>
      </c>
      <c r="CT1" s="331"/>
      <c r="CU1" s="331" t="s">
        <v>2236</v>
      </c>
      <c r="CV1" s="331" t="s">
        <v>2237</v>
      </c>
      <c r="CW1" s="331" t="s">
        <v>2012</v>
      </c>
      <c r="CX1" s="331" t="s">
        <v>2013</v>
      </c>
      <c r="CY1" s="331" t="s">
        <v>2014</v>
      </c>
      <c r="CZ1" s="331" t="s">
        <v>2015</v>
      </c>
      <c r="DA1" s="331" t="s">
        <v>2955</v>
      </c>
      <c r="DD1" s="332" t="s">
        <v>370</v>
      </c>
      <c r="DE1" s="331" t="s">
        <v>2956</v>
      </c>
      <c r="DF1" s="331" t="s">
        <v>2238</v>
      </c>
      <c r="DG1" s="331" t="s">
        <v>2239</v>
      </c>
      <c r="DH1" s="331" t="s">
        <v>2240</v>
      </c>
      <c r="DI1" s="331" t="s">
        <v>2241</v>
      </c>
      <c r="DJ1" s="331" t="s">
        <v>2242</v>
      </c>
      <c r="DK1" s="331" t="s">
        <v>2954</v>
      </c>
      <c r="DL1" s="331"/>
      <c r="DM1" s="331" t="s">
        <v>2236</v>
      </c>
      <c r="DN1" s="331" t="s">
        <v>2237</v>
      </c>
      <c r="DO1" s="331" t="s">
        <v>2012</v>
      </c>
      <c r="DP1" s="331" t="s">
        <v>2013</v>
      </c>
      <c r="DQ1" s="331" t="s">
        <v>2014</v>
      </c>
      <c r="DR1" s="331" t="s">
        <v>2015</v>
      </c>
      <c r="DS1" s="331" t="s">
        <v>2955</v>
      </c>
      <c r="DV1" s="332" t="s">
        <v>575</v>
      </c>
      <c r="DW1" s="331" t="s">
        <v>2956</v>
      </c>
      <c r="DX1" s="331" t="s">
        <v>2238</v>
      </c>
      <c r="DY1" s="331" t="s">
        <v>2239</v>
      </c>
      <c r="DZ1" s="331" t="s">
        <v>2240</v>
      </c>
      <c r="EA1" s="331" t="s">
        <v>2241</v>
      </c>
      <c r="EB1" s="331" t="s">
        <v>2242</v>
      </c>
      <c r="EC1" s="331" t="s">
        <v>2954</v>
      </c>
      <c r="ED1" s="331"/>
      <c r="EE1" s="331" t="s">
        <v>2236</v>
      </c>
      <c r="EF1" s="331" t="s">
        <v>2237</v>
      </c>
      <c r="EG1" s="331" t="s">
        <v>2012</v>
      </c>
      <c r="EH1" s="331" t="s">
        <v>2013</v>
      </c>
      <c r="EI1" s="331" t="s">
        <v>2014</v>
      </c>
      <c r="EJ1" s="331" t="s">
        <v>2015</v>
      </c>
      <c r="EK1" s="331" t="s">
        <v>2955</v>
      </c>
      <c r="EN1" s="332" t="s">
        <v>1986</v>
      </c>
      <c r="EO1" s="331" t="s">
        <v>2956</v>
      </c>
      <c r="EP1" s="331" t="s">
        <v>2238</v>
      </c>
      <c r="EQ1" s="331" t="s">
        <v>2239</v>
      </c>
      <c r="ER1" s="331" t="s">
        <v>2240</v>
      </c>
      <c r="ES1" s="331" t="s">
        <v>2241</v>
      </c>
      <c r="ET1" s="331" t="s">
        <v>2242</v>
      </c>
      <c r="EU1" s="331" t="s">
        <v>2954</v>
      </c>
      <c r="EV1" s="331"/>
      <c r="EW1" s="331" t="s">
        <v>2236</v>
      </c>
      <c r="EX1" s="331" t="s">
        <v>2237</v>
      </c>
      <c r="EY1" s="331" t="s">
        <v>2012</v>
      </c>
      <c r="EZ1" s="331" t="s">
        <v>2013</v>
      </c>
      <c r="FA1" s="331" t="s">
        <v>2014</v>
      </c>
      <c r="FB1" s="331" t="s">
        <v>2015</v>
      </c>
      <c r="FC1" s="331" t="s">
        <v>2955</v>
      </c>
      <c r="FF1" s="332" t="s">
        <v>579</v>
      </c>
      <c r="FG1" s="331" t="s">
        <v>2956</v>
      </c>
      <c r="FH1" s="331" t="s">
        <v>2238</v>
      </c>
      <c r="FI1" s="331" t="s">
        <v>2239</v>
      </c>
      <c r="FJ1" s="331" t="s">
        <v>2240</v>
      </c>
      <c r="FK1" s="331" t="s">
        <v>2241</v>
      </c>
      <c r="FL1" s="331" t="s">
        <v>2242</v>
      </c>
      <c r="FM1" s="331" t="s">
        <v>2954</v>
      </c>
      <c r="FN1" s="331"/>
      <c r="FO1" s="331" t="s">
        <v>2236</v>
      </c>
      <c r="FP1" s="331" t="s">
        <v>2237</v>
      </c>
      <c r="FQ1" s="331" t="s">
        <v>2012</v>
      </c>
      <c r="FR1" s="331" t="s">
        <v>2013</v>
      </c>
      <c r="FS1" s="331" t="s">
        <v>2014</v>
      </c>
      <c r="FT1" s="331" t="s">
        <v>2015</v>
      </c>
      <c r="FU1" s="331" t="s">
        <v>2955</v>
      </c>
      <c r="FW1" s="331"/>
    </row>
    <row r="2" spans="2:179">
      <c r="B2" s="64" t="s">
        <v>709</v>
      </c>
      <c r="C2" s="64" t="s">
        <v>2016</v>
      </c>
      <c r="D2" s="64">
        <v>85</v>
      </c>
      <c r="E2" s="64">
        <v>175</v>
      </c>
      <c r="F2" s="64">
        <v>260</v>
      </c>
      <c r="G2" s="64">
        <v>319</v>
      </c>
      <c r="H2" s="64">
        <v>301</v>
      </c>
      <c r="I2" s="64">
        <v>1140</v>
      </c>
      <c r="K2" s="64" t="s">
        <v>2016</v>
      </c>
      <c r="L2" s="64">
        <v>6</v>
      </c>
      <c r="M2" s="64">
        <v>1</v>
      </c>
      <c r="N2" s="64">
        <v>0</v>
      </c>
      <c r="O2" s="64">
        <v>0</v>
      </c>
      <c r="P2" s="64">
        <v>0</v>
      </c>
      <c r="Q2" s="64">
        <v>7</v>
      </c>
      <c r="R2" s="15" t="str" cm="1">
        <f t="array" ref="R2">IFERROR(INDEX('Offer Statistics'!D$2:D$206,MATCH(1,(CityU!$A2='Offer Statistics'!$B$2:$B$206)*(CityU!$AB$2='Offer Statistics'!$C$2:$C$206),0)),"/")</f>
        <v>/</v>
      </c>
      <c r="T2" s="65" t="s">
        <v>939</v>
      </c>
      <c r="U2" s="65" t="s">
        <v>2017</v>
      </c>
      <c r="V2" s="65">
        <v>1399</v>
      </c>
      <c r="W2" s="65">
        <v>1211</v>
      </c>
      <c r="X2" s="65">
        <v>1429</v>
      </c>
      <c r="Y2" s="65">
        <v>1570</v>
      </c>
      <c r="Z2" s="65">
        <v>945</v>
      </c>
      <c r="AA2" s="65">
        <v>6554</v>
      </c>
      <c r="AB2" s="65"/>
      <c r="AC2" s="65" t="s">
        <v>2017</v>
      </c>
      <c r="AD2" s="65">
        <v>146</v>
      </c>
      <c r="AE2" s="65">
        <v>13</v>
      </c>
      <c r="AF2" s="65">
        <v>1</v>
      </c>
      <c r="AG2" s="65">
        <v>0</v>
      </c>
      <c r="AH2" s="65">
        <v>0</v>
      </c>
      <c r="AI2" s="65">
        <v>160</v>
      </c>
      <c r="AK2" s="66" t="s">
        <v>1117</v>
      </c>
      <c r="AL2" s="66" t="s">
        <v>2017</v>
      </c>
      <c r="AM2" s="66">
        <v>395</v>
      </c>
      <c r="AN2" s="66">
        <v>642</v>
      </c>
      <c r="AO2" s="66">
        <v>945</v>
      </c>
      <c r="AP2" s="66">
        <v>993</v>
      </c>
      <c r="AQ2" s="66">
        <v>740</v>
      </c>
      <c r="AR2" s="66">
        <v>3715</v>
      </c>
      <c r="AS2" s="66"/>
      <c r="AT2" s="66" t="s">
        <v>2017</v>
      </c>
      <c r="AU2" s="66">
        <v>62</v>
      </c>
      <c r="AV2" s="66">
        <v>1</v>
      </c>
      <c r="AW2" s="66">
        <v>0</v>
      </c>
      <c r="AX2" s="66">
        <v>0</v>
      </c>
      <c r="AY2" s="66">
        <v>0</v>
      </c>
      <c r="AZ2" s="66">
        <v>63</v>
      </c>
      <c r="BB2" s="69" t="s">
        <v>1152</v>
      </c>
      <c r="BC2" s="69" t="s">
        <v>2017</v>
      </c>
      <c r="BD2" s="69">
        <v>279</v>
      </c>
      <c r="BE2" s="69">
        <v>280</v>
      </c>
      <c r="BF2" s="69">
        <v>453</v>
      </c>
      <c r="BG2" s="69">
        <v>655</v>
      </c>
      <c r="BH2" s="69">
        <v>626</v>
      </c>
      <c r="BI2" s="69">
        <v>2293</v>
      </c>
      <c r="BJ2" s="69"/>
      <c r="BK2" s="69" t="s">
        <v>2017</v>
      </c>
      <c r="BL2" s="69">
        <v>20</v>
      </c>
      <c r="BM2" s="69">
        <v>0</v>
      </c>
      <c r="BN2" s="69">
        <v>0</v>
      </c>
      <c r="BO2" s="69">
        <v>0</v>
      </c>
      <c r="BP2" s="69">
        <v>0</v>
      </c>
      <c r="BQ2" s="69">
        <v>20</v>
      </c>
      <c r="BS2" s="70" t="s">
        <v>459</v>
      </c>
      <c r="BT2" s="70" t="s">
        <v>2017</v>
      </c>
      <c r="BU2" s="70">
        <v>74</v>
      </c>
      <c r="BV2" s="70">
        <v>52</v>
      </c>
      <c r="BW2" s="70">
        <v>78</v>
      </c>
      <c r="BX2" s="70">
        <v>97</v>
      </c>
      <c r="BY2" s="70">
        <v>114</v>
      </c>
      <c r="BZ2" s="70">
        <v>415</v>
      </c>
      <c r="CA2" s="70"/>
      <c r="CB2" s="70" t="s">
        <v>2017</v>
      </c>
      <c r="CC2" s="70">
        <v>20</v>
      </c>
      <c r="CD2" s="70">
        <v>0</v>
      </c>
      <c r="CE2" s="70">
        <v>0</v>
      </c>
      <c r="CF2" s="70">
        <v>0</v>
      </c>
      <c r="CG2" s="70">
        <v>0</v>
      </c>
      <c r="CH2" s="70">
        <v>20</v>
      </c>
      <c r="CL2" s="57" t="s">
        <v>474</v>
      </c>
      <c r="CM2" s="57" t="s">
        <v>2017</v>
      </c>
      <c r="CN2" s="57">
        <v>166</v>
      </c>
      <c r="CO2" s="57">
        <v>84</v>
      </c>
      <c r="CP2" s="57">
        <v>162</v>
      </c>
      <c r="CQ2" s="57">
        <v>261</v>
      </c>
      <c r="CR2" s="57">
        <v>247</v>
      </c>
      <c r="CS2" s="57">
        <v>920</v>
      </c>
      <c r="CT2" s="57"/>
      <c r="CU2" s="57" t="s">
        <v>2017</v>
      </c>
      <c r="CV2" s="57">
        <v>34</v>
      </c>
      <c r="CW2" s="57">
        <v>0</v>
      </c>
      <c r="CX2" s="57">
        <v>0</v>
      </c>
      <c r="CY2" s="57">
        <v>0</v>
      </c>
      <c r="CZ2" s="57">
        <v>0</v>
      </c>
      <c r="DA2" s="57">
        <v>34</v>
      </c>
      <c r="DD2" s="77" t="s">
        <v>371</v>
      </c>
      <c r="DE2" s="77" t="s">
        <v>2017</v>
      </c>
      <c r="DF2" s="77">
        <v>660</v>
      </c>
      <c r="DG2" s="77">
        <v>738</v>
      </c>
      <c r="DH2" s="77">
        <v>836</v>
      </c>
      <c r="DI2" s="77">
        <v>770</v>
      </c>
      <c r="DJ2" s="77">
        <v>589</v>
      </c>
      <c r="DK2" s="77">
        <v>3593</v>
      </c>
      <c r="DL2" s="77"/>
      <c r="DM2" s="77" t="s">
        <v>2017</v>
      </c>
      <c r="DN2" s="77">
        <v>38</v>
      </c>
      <c r="DO2" s="77">
        <v>8</v>
      </c>
      <c r="DP2" s="77">
        <v>0</v>
      </c>
      <c r="DQ2" s="77">
        <v>0</v>
      </c>
      <c r="DR2" s="77">
        <v>0</v>
      </c>
      <c r="DS2" s="77">
        <v>46</v>
      </c>
      <c r="DU2" s="16" t="s">
        <v>1627</v>
      </c>
      <c r="DV2" s="79" t="s">
        <v>2664</v>
      </c>
      <c r="DW2" s="79" t="s">
        <v>2017</v>
      </c>
      <c r="DX2" s="79">
        <v>581</v>
      </c>
      <c r="DY2" s="79">
        <v>542</v>
      </c>
      <c r="DZ2" s="79">
        <v>610</v>
      </c>
      <c r="EA2" s="79">
        <v>709</v>
      </c>
      <c r="EB2" s="79">
        <v>595</v>
      </c>
      <c r="EC2" s="79">
        <v>3037</v>
      </c>
      <c r="ED2" s="79"/>
      <c r="EE2" s="79" t="s">
        <v>2017</v>
      </c>
      <c r="EF2" s="79">
        <v>42</v>
      </c>
      <c r="EG2" s="79">
        <v>5</v>
      </c>
      <c r="EH2" s="79">
        <v>0</v>
      </c>
      <c r="EI2" s="79">
        <v>0</v>
      </c>
      <c r="EJ2" s="79">
        <v>0</v>
      </c>
      <c r="EK2" s="79">
        <v>47</v>
      </c>
      <c r="EN2" s="57" t="s">
        <v>1987</v>
      </c>
      <c r="EO2" s="57" t="s">
        <v>2017</v>
      </c>
      <c r="EP2" s="57">
        <v>780</v>
      </c>
      <c r="EQ2" s="57">
        <v>1016</v>
      </c>
      <c r="ER2" s="57">
        <v>1333</v>
      </c>
      <c r="ES2" s="57">
        <v>1541</v>
      </c>
      <c r="ET2" s="57">
        <v>1697</v>
      </c>
      <c r="EU2" s="57">
        <v>6367</v>
      </c>
      <c r="EV2" s="57"/>
      <c r="EW2" s="57" t="s">
        <v>2017</v>
      </c>
      <c r="EX2" s="57">
        <v>217</v>
      </c>
      <c r="EY2" s="57">
        <v>108</v>
      </c>
      <c r="EZ2" s="57">
        <v>0</v>
      </c>
      <c r="FA2" s="57">
        <v>0</v>
      </c>
      <c r="FB2" s="57">
        <v>0</v>
      </c>
      <c r="FC2" s="57">
        <v>325</v>
      </c>
      <c r="FF2" s="70" t="s">
        <v>1790</v>
      </c>
      <c r="FG2" s="70" t="s">
        <v>2017</v>
      </c>
      <c r="FH2" s="70">
        <v>1829</v>
      </c>
      <c r="FI2" s="70">
        <v>1294</v>
      </c>
      <c r="FJ2" s="70">
        <v>958</v>
      </c>
      <c r="FK2" s="70">
        <v>894</v>
      </c>
      <c r="FL2" s="70">
        <v>964</v>
      </c>
      <c r="FM2" s="70">
        <v>5939</v>
      </c>
      <c r="FN2" s="70"/>
      <c r="FO2" s="70" t="s">
        <v>2017</v>
      </c>
      <c r="FP2" s="70">
        <v>225</v>
      </c>
      <c r="FQ2" s="70">
        <v>0</v>
      </c>
      <c r="FR2" s="70">
        <v>0</v>
      </c>
      <c r="FS2" s="70">
        <v>0</v>
      </c>
      <c r="FT2" s="70">
        <v>0</v>
      </c>
      <c r="FU2" s="70">
        <v>225</v>
      </c>
    </row>
    <row r="3" spans="2:179">
      <c r="B3" s="64" t="s">
        <v>717</v>
      </c>
      <c r="C3" s="64" t="s">
        <v>2016</v>
      </c>
      <c r="D3" s="64">
        <v>177</v>
      </c>
      <c r="E3" s="64">
        <v>377</v>
      </c>
      <c r="F3" s="64">
        <v>531</v>
      </c>
      <c r="G3" s="64">
        <v>727</v>
      </c>
      <c r="H3" s="64">
        <v>589</v>
      </c>
      <c r="I3" s="64">
        <v>2401</v>
      </c>
      <c r="K3" s="64" t="s">
        <v>2016</v>
      </c>
      <c r="L3" s="64">
        <v>12</v>
      </c>
      <c r="M3" s="64">
        <v>0</v>
      </c>
      <c r="N3" s="64">
        <v>0</v>
      </c>
      <c r="O3" s="64">
        <v>1</v>
      </c>
      <c r="P3" s="64">
        <v>0</v>
      </c>
      <c r="Q3" s="64">
        <v>13</v>
      </c>
      <c r="T3" s="65" t="s">
        <v>1894</v>
      </c>
      <c r="U3" s="65" t="s">
        <v>2017</v>
      </c>
      <c r="V3" s="65" t="s">
        <v>324</v>
      </c>
      <c r="W3" s="65" t="s">
        <v>324</v>
      </c>
      <c r="X3" s="65" t="s">
        <v>324</v>
      </c>
      <c r="Y3" s="65" t="s">
        <v>324</v>
      </c>
      <c r="Z3" s="65" t="s">
        <v>324</v>
      </c>
      <c r="AA3" s="65" t="s">
        <v>324</v>
      </c>
      <c r="AB3" s="65"/>
      <c r="AC3" s="65" t="s">
        <v>2017</v>
      </c>
      <c r="AD3" s="65" t="s">
        <v>324</v>
      </c>
      <c r="AE3" s="65" t="s">
        <v>324</v>
      </c>
      <c r="AF3" s="65" t="s">
        <v>324</v>
      </c>
      <c r="AG3" s="65" t="s">
        <v>324</v>
      </c>
      <c r="AH3" s="65" t="s">
        <v>324</v>
      </c>
      <c r="AI3" s="65" t="s">
        <v>324</v>
      </c>
      <c r="AK3" s="66" t="s">
        <v>1929</v>
      </c>
      <c r="AL3" s="66" t="s">
        <v>2017</v>
      </c>
      <c r="AM3" s="66">
        <v>293</v>
      </c>
      <c r="AN3" s="66">
        <v>466</v>
      </c>
      <c r="AO3" s="66">
        <v>896</v>
      </c>
      <c r="AP3" s="66">
        <v>1261</v>
      </c>
      <c r="AQ3" s="66">
        <v>965</v>
      </c>
      <c r="AR3" s="66">
        <v>3881</v>
      </c>
      <c r="AS3" s="66"/>
      <c r="AT3" s="66" t="s">
        <v>2017</v>
      </c>
      <c r="AU3" s="66">
        <v>21</v>
      </c>
      <c r="AV3" s="66">
        <v>1</v>
      </c>
      <c r="AW3" s="66">
        <v>0</v>
      </c>
      <c r="AX3" s="66">
        <v>1</v>
      </c>
      <c r="AY3" s="66">
        <v>0</v>
      </c>
      <c r="AZ3" s="66">
        <v>23</v>
      </c>
      <c r="BB3" s="69" t="s">
        <v>1155</v>
      </c>
      <c r="BC3" s="69" t="s">
        <v>2017</v>
      </c>
      <c r="BD3" s="69">
        <v>403</v>
      </c>
      <c r="BE3" s="69">
        <v>301</v>
      </c>
      <c r="BF3" s="69">
        <v>458</v>
      </c>
      <c r="BG3" s="69">
        <v>605</v>
      </c>
      <c r="BH3" s="69">
        <v>564</v>
      </c>
      <c r="BI3" s="69">
        <v>2331</v>
      </c>
      <c r="BJ3" s="69"/>
      <c r="BK3" s="69" t="s">
        <v>2017</v>
      </c>
      <c r="BL3" s="69">
        <v>93</v>
      </c>
      <c r="BM3" s="69">
        <v>0</v>
      </c>
      <c r="BN3" s="69">
        <v>0</v>
      </c>
      <c r="BO3" s="69">
        <v>0</v>
      </c>
      <c r="BP3" s="69">
        <v>0</v>
      </c>
      <c r="BQ3" s="69">
        <v>93</v>
      </c>
      <c r="BS3" s="70" t="s">
        <v>460</v>
      </c>
      <c r="BT3" s="70" t="s">
        <v>2017</v>
      </c>
      <c r="BU3" s="70" t="s">
        <v>324</v>
      </c>
      <c r="BV3" s="70" t="s">
        <v>324</v>
      </c>
      <c r="BW3" s="70" t="s">
        <v>324</v>
      </c>
      <c r="BX3" s="70" t="s">
        <v>324</v>
      </c>
      <c r="BY3" s="70" t="s">
        <v>324</v>
      </c>
      <c r="BZ3" s="70" t="s">
        <v>324</v>
      </c>
      <c r="CA3" s="70"/>
      <c r="CB3" s="70" t="s">
        <v>2017</v>
      </c>
      <c r="CC3" s="70" t="s">
        <v>324</v>
      </c>
      <c r="CD3" s="70" t="s">
        <v>324</v>
      </c>
      <c r="CE3" s="70" t="s">
        <v>324</v>
      </c>
      <c r="CF3" s="70" t="s">
        <v>324</v>
      </c>
      <c r="CG3" s="70" t="s">
        <v>324</v>
      </c>
      <c r="CH3" s="70" t="s">
        <v>324</v>
      </c>
      <c r="CL3" s="57" t="s">
        <v>476</v>
      </c>
      <c r="CM3" s="57" t="s">
        <v>2017</v>
      </c>
      <c r="CN3" s="57">
        <v>134</v>
      </c>
      <c r="CO3" s="57">
        <v>89</v>
      </c>
      <c r="CP3" s="57">
        <v>192</v>
      </c>
      <c r="CQ3" s="57">
        <v>315</v>
      </c>
      <c r="CR3" s="57">
        <v>300</v>
      </c>
      <c r="CS3" s="57">
        <v>1030</v>
      </c>
      <c r="CT3" s="57"/>
      <c r="CU3" s="57" t="s">
        <v>2017</v>
      </c>
      <c r="CV3" s="57">
        <v>53</v>
      </c>
      <c r="CW3" s="57">
        <v>0</v>
      </c>
      <c r="CX3" s="57">
        <v>0</v>
      </c>
      <c r="CY3" s="57">
        <v>0</v>
      </c>
      <c r="CZ3" s="57">
        <v>0</v>
      </c>
      <c r="DA3" s="57">
        <v>53</v>
      </c>
      <c r="DD3" s="77" t="s">
        <v>1569</v>
      </c>
      <c r="DE3" s="77" t="s">
        <v>2017</v>
      </c>
      <c r="DF3" s="77" t="s">
        <v>324</v>
      </c>
      <c r="DG3" s="77" t="s">
        <v>324</v>
      </c>
      <c r="DH3" s="77" t="s">
        <v>324</v>
      </c>
      <c r="DI3" s="77" t="s">
        <v>324</v>
      </c>
      <c r="DJ3" s="77" t="s">
        <v>324</v>
      </c>
      <c r="DK3" s="77" t="s">
        <v>324</v>
      </c>
      <c r="DL3" s="77"/>
      <c r="DM3" s="77" t="s">
        <v>2017</v>
      </c>
      <c r="DN3" s="77" t="s">
        <v>324</v>
      </c>
      <c r="DO3" s="77" t="s">
        <v>324</v>
      </c>
      <c r="DP3" s="77" t="s">
        <v>324</v>
      </c>
      <c r="DQ3" s="77" t="s">
        <v>324</v>
      </c>
      <c r="DR3" s="77" t="s">
        <v>324</v>
      </c>
      <c r="DS3" s="77" t="s">
        <v>324</v>
      </c>
      <c r="DU3" s="16" t="s">
        <v>1632</v>
      </c>
      <c r="DV3" s="79" t="s">
        <v>2667</v>
      </c>
      <c r="DW3" s="79" t="s">
        <v>2017</v>
      </c>
      <c r="DX3" s="79" t="s">
        <v>324</v>
      </c>
      <c r="DY3" s="79" t="s">
        <v>324</v>
      </c>
      <c r="DZ3" s="79" t="s">
        <v>324</v>
      </c>
      <c r="EA3" s="79" t="s">
        <v>324</v>
      </c>
      <c r="EB3" s="79" t="s">
        <v>324</v>
      </c>
      <c r="EC3" s="79" t="s">
        <v>324</v>
      </c>
      <c r="ED3" s="79"/>
      <c r="EE3" s="79" t="s">
        <v>2017</v>
      </c>
      <c r="EF3" s="79" t="s">
        <v>324</v>
      </c>
      <c r="EG3" s="79" t="s">
        <v>324</v>
      </c>
      <c r="EH3" s="79" t="s">
        <v>324</v>
      </c>
      <c r="EI3" s="79" t="s">
        <v>324</v>
      </c>
      <c r="EJ3" s="79" t="s">
        <v>324</v>
      </c>
      <c r="EK3" s="79" t="s">
        <v>324</v>
      </c>
      <c r="EN3" s="57" t="s">
        <v>1988</v>
      </c>
      <c r="EO3" s="57" t="s">
        <v>2017</v>
      </c>
      <c r="EP3" s="57">
        <v>240</v>
      </c>
      <c r="EQ3" s="57">
        <v>367</v>
      </c>
      <c r="ER3" s="57">
        <v>366</v>
      </c>
      <c r="ES3" s="57">
        <v>510</v>
      </c>
      <c r="ET3" s="57">
        <v>603</v>
      </c>
      <c r="EU3" s="57">
        <v>2086</v>
      </c>
      <c r="EV3" s="57"/>
      <c r="EW3" s="57" t="s">
        <v>2017</v>
      </c>
      <c r="EX3" s="57">
        <v>63</v>
      </c>
      <c r="EY3" s="57">
        <v>39</v>
      </c>
      <c r="EZ3" s="57">
        <v>28</v>
      </c>
      <c r="FA3" s="57">
        <v>26</v>
      </c>
      <c r="FB3" s="57">
        <v>24</v>
      </c>
      <c r="FC3" s="57">
        <v>180</v>
      </c>
      <c r="FF3" s="70" t="s">
        <v>1793</v>
      </c>
      <c r="FG3" s="70" t="s">
        <v>2017</v>
      </c>
      <c r="FH3" s="70">
        <v>159</v>
      </c>
      <c r="FI3" s="70">
        <v>225</v>
      </c>
      <c r="FJ3" s="70">
        <v>338</v>
      </c>
      <c r="FK3" s="70">
        <v>442</v>
      </c>
      <c r="FL3" s="70">
        <v>458</v>
      </c>
      <c r="FM3" s="70">
        <v>1622</v>
      </c>
      <c r="FN3" s="70"/>
      <c r="FO3" s="70" t="s">
        <v>2017</v>
      </c>
      <c r="FP3" s="70">
        <v>19</v>
      </c>
      <c r="FQ3" s="70">
        <v>10</v>
      </c>
      <c r="FR3" s="70">
        <v>2</v>
      </c>
      <c r="FS3" s="70">
        <v>0</v>
      </c>
      <c r="FT3" s="70">
        <v>0</v>
      </c>
      <c r="FU3" s="70">
        <v>31</v>
      </c>
    </row>
    <row r="4" spans="2:179">
      <c r="B4" s="64" t="s">
        <v>721</v>
      </c>
      <c r="C4" s="64" t="s">
        <v>2017</v>
      </c>
      <c r="D4" s="64">
        <v>773</v>
      </c>
      <c r="E4" s="64">
        <v>697</v>
      </c>
      <c r="F4" s="64">
        <v>819</v>
      </c>
      <c r="G4" s="64">
        <v>862</v>
      </c>
      <c r="H4" s="64">
        <v>659</v>
      </c>
      <c r="I4" s="64">
        <v>3810</v>
      </c>
      <c r="K4" s="64" t="s">
        <v>2017</v>
      </c>
      <c r="L4" s="64">
        <v>104</v>
      </c>
      <c r="M4" s="64">
        <v>8</v>
      </c>
      <c r="N4" s="64">
        <v>2</v>
      </c>
      <c r="O4" s="64">
        <v>1</v>
      </c>
      <c r="P4" s="64">
        <v>2</v>
      </c>
      <c r="Q4" s="64">
        <v>117</v>
      </c>
      <c r="T4" s="65" t="s">
        <v>1895</v>
      </c>
      <c r="U4" s="65" t="s">
        <v>2017</v>
      </c>
      <c r="V4" s="65" t="s">
        <v>324</v>
      </c>
      <c r="W4" s="65" t="s">
        <v>324</v>
      </c>
      <c r="X4" s="65" t="s">
        <v>324</v>
      </c>
      <c r="Y4" s="65" t="s">
        <v>324</v>
      </c>
      <c r="Z4" s="65" t="s">
        <v>324</v>
      </c>
      <c r="AA4" s="65" t="s">
        <v>324</v>
      </c>
      <c r="AB4" s="65"/>
      <c r="AC4" s="65" t="s">
        <v>2017</v>
      </c>
      <c r="AD4" s="65" t="s">
        <v>324</v>
      </c>
      <c r="AE4" s="65" t="s">
        <v>324</v>
      </c>
      <c r="AF4" s="65" t="s">
        <v>324</v>
      </c>
      <c r="AG4" s="65" t="s">
        <v>324</v>
      </c>
      <c r="AH4" s="65" t="s">
        <v>324</v>
      </c>
      <c r="AI4" s="65" t="s">
        <v>324</v>
      </c>
      <c r="AK4" s="66" t="s">
        <v>1940</v>
      </c>
      <c r="AL4" s="66" t="s">
        <v>2017</v>
      </c>
      <c r="AM4" s="66">
        <v>117</v>
      </c>
      <c r="AN4" s="66">
        <v>206</v>
      </c>
      <c r="AO4" s="66">
        <v>337</v>
      </c>
      <c r="AP4" s="66">
        <v>539</v>
      </c>
      <c r="AQ4" s="66">
        <v>410</v>
      </c>
      <c r="AR4" s="66">
        <v>1609</v>
      </c>
      <c r="AS4" s="66"/>
      <c r="AT4" s="66" t="s">
        <v>2017</v>
      </c>
      <c r="AU4" s="66">
        <v>15</v>
      </c>
      <c r="AV4" s="66">
        <v>1</v>
      </c>
      <c r="AW4" s="66">
        <v>4</v>
      </c>
      <c r="AX4" s="66">
        <v>1</v>
      </c>
      <c r="AY4" s="66">
        <v>0</v>
      </c>
      <c r="AZ4" s="66">
        <v>21</v>
      </c>
      <c r="BB4" s="69" t="s">
        <v>1159</v>
      </c>
      <c r="BC4" s="69" t="s">
        <v>2017</v>
      </c>
      <c r="BD4" s="69">
        <v>119</v>
      </c>
      <c r="BE4" s="69">
        <v>209</v>
      </c>
      <c r="BF4" s="69">
        <v>441</v>
      </c>
      <c r="BG4" s="69">
        <v>689</v>
      </c>
      <c r="BH4" s="69">
        <v>652</v>
      </c>
      <c r="BI4" s="69">
        <v>2110</v>
      </c>
      <c r="BJ4" s="69"/>
      <c r="BK4" s="69" t="s">
        <v>2017</v>
      </c>
      <c r="BL4" s="69">
        <v>17</v>
      </c>
      <c r="BM4" s="69">
        <v>0</v>
      </c>
      <c r="BN4" s="69">
        <v>0</v>
      </c>
      <c r="BO4" s="69">
        <v>0</v>
      </c>
      <c r="BP4" s="69">
        <v>0</v>
      </c>
      <c r="BQ4" s="69">
        <v>17</v>
      </c>
      <c r="BS4" s="70" t="s">
        <v>461</v>
      </c>
      <c r="BT4" s="70" t="s">
        <v>2017</v>
      </c>
      <c r="BU4" s="70" t="s">
        <v>324</v>
      </c>
      <c r="BV4" s="70" t="s">
        <v>324</v>
      </c>
      <c r="BW4" s="70" t="s">
        <v>324</v>
      </c>
      <c r="BX4" s="70" t="s">
        <v>324</v>
      </c>
      <c r="BY4" s="70" t="s">
        <v>324</v>
      </c>
      <c r="BZ4" s="70" t="s">
        <v>324</v>
      </c>
      <c r="CA4" s="70"/>
      <c r="CB4" s="70" t="s">
        <v>2017</v>
      </c>
      <c r="CC4" s="70" t="s">
        <v>324</v>
      </c>
      <c r="CD4" s="70" t="s">
        <v>324</v>
      </c>
      <c r="CE4" s="70" t="s">
        <v>324</v>
      </c>
      <c r="CF4" s="70" t="s">
        <v>324</v>
      </c>
      <c r="CG4" s="70" t="s">
        <v>324</v>
      </c>
      <c r="CH4" s="70" t="s">
        <v>324</v>
      </c>
      <c r="CL4" s="57" t="s">
        <v>479</v>
      </c>
      <c r="CM4" s="57" t="s">
        <v>2017</v>
      </c>
      <c r="CN4" s="57">
        <v>53</v>
      </c>
      <c r="CO4" s="57">
        <v>61</v>
      </c>
      <c r="CP4" s="57">
        <v>117</v>
      </c>
      <c r="CQ4" s="57">
        <v>198</v>
      </c>
      <c r="CR4" s="57">
        <v>209</v>
      </c>
      <c r="CS4" s="57">
        <v>638</v>
      </c>
      <c r="CT4" s="57"/>
      <c r="CU4" s="57" t="s">
        <v>2017</v>
      </c>
      <c r="CV4" s="57">
        <v>8</v>
      </c>
      <c r="CW4" s="57">
        <v>0</v>
      </c>
      <c r="CX4" s="57">
        <v>0</v>
      </c>
      <c r="CY4" s="57">
        <v>0</v>
      </c>
      <c r="CZ4" s="57">
        <v>0</v>
      </c>
      <c r="DA4" s="57">
        <v>8</v>
      </c>
      <c r="DD4" s="77" t="s">
        <v>1578</v>
      </c>
      <c r="DE4" s="77" t="s">
        <v>2017</v>
      </c>
      <c r="DF4" s="77">
        <v>1930</v>
      </c>
      <c r="DG4" s="77">
        <v>1734</v>
      </c>
      <c r="DH4" s="77">
        <v>1540</v>
      </c>
      <c r="DI4" s="77">
        <v>1716</v>
      </c>
      <c r="DJ4" s="77">
        <v>1491</v>
      </c>
      <c r="DK4" s="77">
        <v>8411</v>
      </c>
      <c r="DL4" s="77"/>
      <c r="DM4" s="77" t="s">
        <v>2017</v>
      </c>
      <c r="DN4" s="77">
        <v>92</v>
      </c>
      <c r="DO4" s="77">
        <v>44</v>
      </c>
      <c r="DP4" s="77">
        <v>19</v>
      </c>
      <c r="DQ4" s="77">
        <v>8</v>
      </c>
      <c r="DR4" s="77">
        <v>6</v>
      </c>
      <c r="DS4" s="77">
        <v>169</v>
      </c>
      <c r="DU4" s="16" t="s">
        <v>1636</v>
      </c>
      <c r="DV4" s="79" t="s">
        <v>2694</v>
      </c>
      <c r="DW4" s="79" t="s">
        <v>2017</v>
      </c>
      <c r="DX4" s="79">
        <v>572</v>
      </c>
      <c r="DY4" s="79">
        <v>799</v>
      </c>
      <c r="DZ4" s="79">
        <v>1052</v>
      </c>
      <c r="EA4" s="79">
        <v>1108</v>
      </c>
      <c r="EB4" s="79">
        <v>855</v>
      </c>
      <c r="EC4" s="79">
        <v>4386</v>
      </c>
      <c r="ED4" s="79"/>
      <c r="EE4" s="79" t="s">
        <v>2017</v>
      </c>
      <c r="EF4" s="79">
        <v>14</v>
      </c>
      <c r="EG4" s="79">
        <v>4</v>
      </c>
      <c r="EH4" s="79">
        <v>0</v>
      </c>
      <c r="EI4" s="79">
        <v>0</v>
      </c>
      <c r="EJ4" s="79">
        <v>0</v>
      </c>
      <c r="EK4" s="79">
        <v>18</v>
      </c>
      <c r="EN4" s="57" t="s">
        <v>1989</v>
      </c>
      <c r="EO4" s="57" t="s">
        <v>2017</v>
      </c>
      <c r="EP4" s="57">
        <v>310</v>
      </c>
      <c r="EQ4" s="57">
        <v>565</v>
      </c>
      <c r="ER4" s="57">
        <v>650</v>
      </c>
      <c r="ES4" s="57">
        <v>857</v>
      </c>
      <c r="ET4" s="57">
        <v>989</v>
      </c>
      <c r="EU4" s="57">
        <v>3371</v>
      </c>
      <c r="EV4" s="57"/>
      <c r="EW4" s="57" t="s">
        <v>2017</v>
      </c>
      <c r="EX4" s="57">
        <v>82</v>
      </c>
      <c r="EY4" s="57">
        <v>61</v>
      </c>
      <c r="EZ4" s="57">
        <v>39</v>
      </c>
      <c r="FA4" s="57">
        <v>44</v>
      </c>
      <c r="FB4" s="57">
        <v>49</v>
      </c>
      <c r="FC4" s="57">
        <v>275</v>
      </c>
      <c r="FF4" s="70" t="s">
        <v>1795</v>
      </c>
      <c r="FG4" s="70" t="s">
        <v>2017</v>
      </c>
      <c r="FH4" s="70" t="s">
        <v>324</v>
      </c>
      <c r="FI4" s="70" t="s">
        <v>324</v>
      </c>
      <c r="FJ4" s="70" t="s">
        <v>324</v>
      </c>
      <c r="FK4" s="70" t="s">
        <v>324</v>
      </c>
      <c r="FL4" s="70" t="s">
        <v>324</v>
      </c>
      <c r="FM4" s="70" t="s">
        <v>324</v>
      </c>
      <c r="FN4" s="70"/>
      <c r="FO4" s="70" t="s">
        <v>2017</v>
      </c>
      <c r="FP4" s="70" t="s">
        <v>324</v>
      </c>
      <c r="FQ4" s="70" t="s">
        <v>324</v>
      </c>
      <c r="FR4" s="70" t="s">
        <v>324</v>
      </c>
      <c r="FS4" s="70" t="s">
        <v>324</v>
      </c>
      <c r="FT4" s="70" t="s">
        <v>324</v>
      </c>
      <c r="FU4" s="70" t="s">
        <v>324</v>
      </c>
    </row>
    <row r="5" spans="2:179">
      <c r="B5" s="64" t="s">
        <v>726</v>
      </c>
      <c r="C5" s="64" t="s">
        <v>2017</v>
      </c>
      <c r="D5" s="64">
        <v>587</v>
      </c>
      <c r="E5" s="64">
        <v>957</v>
      </c>
      <c r="F5" s="64">
        <v>1375</v>
      </c>
      <c r="G5" s="64">
        <v>1648</v>
      </c>
      <c r="H5" s="64">
        <v>1100</v>
      </c>
      <c r="I5" s="64">
        <v>5667</v>
      </c>
      <c r="K5" s="64" t="s">
        <v>2017</v>
      </c>
      <c r="L5" s="64">
        <v>55</v>
      </c>
      <c r="M5" s="64">
        <v>2</v>
      </c>
      <c r="N5" s="64">
        <v>1</v>
      </c>
      <c r="O5" s="64">
        <v>0</v>
      </c>
      <c r="P5" s="64">
        <v>1</v>
      </c>
      <c r="Q5" s="64">
        <v>59</v>
      </c>
      <c r="T5" s="65" t="s">
        <v>1896</v>
      </c>
      <c r="U5" s="65" t="s">
        <v>2017</v>
      </c>
      <c r="V5" s="65" t="s">
        <v>324</v>
      </c>
      <c r="W5" s="65" t="s">
        <v>324</v>
      </c>
      <c r="X5" s="65" t="s">
        <v>324</v>
      </c>
      <c r="Y5" s="65" t="s">
        <v>324</v>
      </c>
      <c r="Z5" s="65" t="s">
        <v>324</v>
      </c>
      <c r="AA5" s="65" t="s">
        <v>324</v>
      </c>
      <c r="AB5" s="65"/>
      <c r="AC5" s="65" t="s">
        <v>2017</v>
      </c>
      <c r="AD5" s="65" t="s">
        <v>324</v>
      </c>
      <c r="AE5" s="65" t="s">
        <v>324</v>
      </c>
      <c r="AF5" s="65" t="s">
        <v>324</v>
      </c>
      <c r="AG5" s="65" t="s">
        <v>324</v>
      </c>
      <c r="AH5" s="65" t="s">
        <v>324</v>
      </c>
      <c r="AI5" s="65" t="s">
        <v>324</v>
      </c>
      <c r="AK5" s="66" t="s">
        <v>1936</v>
      </c>
      <c r="AL5" s="66" t="s">
        <v>2017</v>
      </c>
      <c r="AM5" s="66">
        <v>366</v>
      </c>
      <c r="AN5" s="66">
        <v>523</v>
      </c>
      <c r="AO5" s="66">
        <v>751</v>
      </c>
      <c r="AP5" s="66">
        <v>921</v>
      </c>
      <c r="AQ5" s="66">
        <v>706</v>
      </c>
      <c r="AR5" s="66">
        <v>3267</v>
      </c>
      <c r="AS5" s="66"/>
      <c r="AT5" s="66" t="s">
        <v>2017</v>
      </c>
      <c r="AU5" s="66">
        <v>19</v>
      </c>
      <c r="AV5" s="66">
        <v>3</v>
      </c>
      <c r="AW5" s="66">
        <v>0</v>
      </c>
      <c r="AX5" s="66">
        <v>0</v>
      </c>
      <c r="AY5" s="66">
        <v>1</v>
      </c>
      <c r="AZ5" s="66">
        <v>23</v>
      </c>
      <c r="BB5" s="69" t="s">
        <v>1162</v>
      </c>
      <c r="BC5" s="69" t="s">
        <v>2017</v>
      </c>
      <c r="BD5" s="69">
        <v>546</v>
      </c>
      <c r="BE5" s="69">
        <v>364</v>
      </c>
      <c r="BF5" s="69">
        <v>578</v>
      </c>
      <c r="BG5" s="69">
        <v>610</v>
      </c>
      <c r="BH5" s="69">
        <v>571</v>
      </c>
      <c r="BI5" s="69">
        <v>2669</v>
      </c>
      <c r="BJ5" s="69"/>
      <c r="BK5" s="69" t="s">
        <v>2017</v>
      </c>
      <c r="BL5" s="69">
        <v>23</v>
      </c>
      <c r="BM5" s="69">
        <v>0</v>
      </c>
      <c r="BN5" s="69">
        <v>0</v>
      </c>
      <c r="BO5" s="69">
        <v>0</v>
      </c>
      <c r="BP5" s="69">
        <v>0</v>
      </c>
      <c r="BQ5" s="69">
        <v>23</v>
      </c>
      <c r="BS5" s="70" t="s">
        <v>463</v>
      </c>
      <c r="BT5" s="70" t="s">
        <v>2017</v>
      </c>
      <c r="BU5" s="70" t="s">
        <v>324</v>
      </c>
      <c r="BV5" s="70" t="s">
        <v>324</v>
      </c>
      <c r="BW5" s="70" t="s">
        <v>324</v>
      </c>
      <c r="BX5" s="70" t="s">
        <v>324</v>
      </c>
      <c r="BY5" s="70" t="s">
        <v>324</v>
      </c>
      <c r="BZ5" s="70" t="s">
        <v>324</v>
      </c>
      <c r="CA5" s="70"/>
      <c r="CB5" s="70" t="s">
        <v>2017</v>
      </c>
      <c r="CC5" s="70" t="s">
        <v>324</v>
      </c>
      <c r="CD5" s="70" t="s">
        <v>324</v>
      </c>
      <c r="CE5" s="70" t="s">
        <v>324</v>
      </c>
      <c r="CF5" s="70" t="s">
        <v>324</v>
      </c>
      <c r="CG5" s="70" t="s">
        <v>324</v>
      </c>
      <c r="CH5" s="70" t="s">
        <v>324</v>
      </c>
      <c r="CL5" s="57" t="s">
        <v>482</v>
      </c>
      <c r="CM5" s="57" t="s">
        <v>2017</v>
      </c>
      <c r="CN5" s="57">
        <v>73</v>
      </c>
      <c r="CO5" s="57">
        <v>75</v>
      </c>
      <c r="CP5" s="57">
        <v>162</v>
      </c>
      <c r="CQ5" s="57">
        <v>278</v>
      </c>
      <c r="CR5" s="57">
        <v>263</v>
      </c>
      <c r="CS5" s="57">
        <v>851</v>
      </c>
      <c r="CT5" s="57"/>
      <c r="CU5" s="57" t="s">
        <v>2017</v>
      </c>
      <c r="CV5" s="57">
        <v>19</v>
      </c>
      <c r="CW5" s="57">
        <v>0</v>
      </c>
      <c r="CX5" s="57">
        <v>0</v>
      </c>
      <c r="CY5" s="57">
        <v>0</v>
      </c>
      <c r="CZ5" s="57">
        <v>0</v>
      </c>
      <c r="DA5" s="57">
        <v>19</v>
      </c>
      <c r="DD5" s="77" t="s">
        <v>1581</v>
      </c>
      <c r="DE5" s="77" t="s">
        <v>2017</v>
      </c>
      <c r="DF5" s="77">
        <v>603</v>
      </c>
      <c r="DG5" s="77">
        <v>839</v>
      </c>
      <c r="DH5" s="77">
        <v>1037</v>
      </c>
      <c r="DI5" s="77">
        <v>1150</v>
      </c>
      <c r="DJ5" s="77">
        <v>994</v>
      </c>
      <c r="DK5" s="77">
        <v>4623</v>
      </c>
      <c r="DL5" s="77"/>
      <c r="DM5" s="77" t="s">
        <v>2017</v>
      </c>
      <c r="DN5" s="77">
        <v>29</v>
      </c>
      <c r="DO5" s="77">
        <v>14</v>
      </c>
      <c r="DP5" s="77">
        <v>2</v>
      </c>
      <c r="DQ5" s="77">
        <v>1</v>
      </c>
      <c r="DR5" s="77">
        <v>0</v>
      </c>
      <c r="DS5" s="77">
        <v>46</v>
      </c>
      <c r="DU5" s="16" t="s">
        <v>1640</v>
      </c>
      <c r="DV5" s="79" t="s">
        <v>2682</v>
      </c>
      <c r="DW5" s="79" t="s">
        <v>2017</v>
      </c>
      <c r="DX5" s="79">
        <v>241</v>
      </c>
      <c r="DY5" s="79">
        <v>334</v>
      </c>
      <c r="DZ5" s="79">
        <v>459</v>
      </c>
      <c r="EA5" s="79">
        <v>620</v>
      </c>
      <c r="EB5" s="79">
        <v>538</v>
      </c>
      <c r="EC5" s="79">
        <v>2192</v>
      </c>
      <c r="ED5" s="79"/>
      <c r="EE5" s="79" t="s">
        <v>2017</v>
      </c>
      <c r="EF5" s="79">
        <v>8</v>
      </c>
      <c r="EG5" s="79">
        <v>0</v>
      </c>
      <c r="EH5" s="79">
        <v>0</v>
      </c>
      <c r="EI5" s="79">
        <v>0</v>
      </c>
      <c r="EJ5" s="79">
        <v>0</v>
      </c>
      <c r="EK5" s="79">
        <v>8</v>
      </c>
      <c r="EN5" s="57" t="s">
        <v>1990</v>
      </c>
      <c r="EO5" s="57" t="s">
        <v>2017</v>
      </c>
      <c r="EP5" s="57" t="s">
        <v>324</v>
      </c>
      <c r="EQ5" s="57" t="s">
        <v>324</v>
      </c>
      <c r="ER5" s="57" t="s">
        <v>324</v>
      </c>
      <c r="ES5" s="57" t="s">
        <v>324</v>
      </c>
      <c r="ET5" s="57" t="s">
        <v>324</v>
      </c>
      <c r="EU5" s="57" t="s">
        <v>324</v>
      </c>
      <c r="EV5" s="57"/>
      <c r="EW5" s="57" t="s">
        <v>2017</v>
      </c>
      <c r="EX5" s="57" t="s">
        <v>324</v>
      </c>
      <c r="EY5" s="57" t="s">
        <v>324</v>
      </c>
      <c r="EZ5" s="57" t="s">
        <v>324</v>
      </c>
      <c r="FA5" s="57" t="s">
        <v>324</v>
      </c>
      <c r="FB5" s="57" t="s">
        <v>324</v>
      </c>
      <c r="FC5" s="57" t="s">
        <v>324</v>
      </c>
      <c r="FF5" s="70" t="s">
        <v>1797</v>
      </c>
      <c r="FG5" s="70" t="s">
        <v>2017</v>
      </c>
      <c r="FH5" s="70" t="s">
        <v>324</v>
      </c>
      <c r="FI5" s="70" t="s">
        <v>324</v>
      </c>
      <c r="FJ5" s="70" t="s">
        <v>324</v>
      </c>
      <c r="FK5" s="70" t="s">
        <v>324</v>
      </c>
      <c r="FL5" s="70" t="s">
        <v>324</v>
      </c>
      <c r="FM5" s="70" t="s">
        <v>324</v>
      </c>
      <c r="FN5" s="70"/>
      <c r="FO5" s="70" t="s">
        <v>2017</v>
      </c>
      <c r="FP5" s="70" t="s">
        <v>324</v>
      </c>
      <c r="FQ5" s="70" t="s">
        <v>324</v>
      </c>
      <c r="FR5" s="70" t="s">
        <v>324</v>
      </c>
      <c r="FS5" s="70" t="s">
        <v>324</v>
      </c>
      <c r="FT5" s="70" t="s">
        <v>324</v>
      </c>
      <c r="FU5" s="70" t="s">
        <v>324</v>
      </c>
    </row>
    <row r="6" spans="2:179">
      <c r="B6" s="64" t="s">
        <v>730</v>
      </c>
      <c r="C6" s="64" t="s">
        <v>2017</v>
      </c>
      <c r="D6" s="64">
        <v>1403</v>
      </c>
      <c r="E6" s="64">
        <v>1352</v>
      </c>
      <c r="F6" s="64">
        <v>1696</v>
      </c>
      <c r="G6" s="64">
        <v>1749</v>
      </c>
      <c r="H6" s="64">
        <v>1106</v>
      </c>
      <c r="I6" s="64">
        <v>7306</v>
      </c>
      <c r="K6" s="64" t="s">
        <v>2017</v>
      </c>
      <c r="L6" s="64">
        <v>63</v>
      </c>
      <c r="M6" s="64">
        <v>4</v>
      </c>
      <c r="N6" s="64">
        <v>0</v>
      </c>
      <c r="O6" s="64">
        <v>0</v>
      </c>
      <c r="P6" s="64">
        <v>0</v>
      </c>
      <c r="Q6" s="64">
        <v>67</v>
      </c>
      <c r="T6" s="65" t="s">
        <v>1897</v>
      </c>
      <c r="U6" s="65" t="s">
        <v>2017</v>
      </c>
      <c r="V6" s="65" t="s">
        <v>324</v>
      </c>
      <c r="W6" s="65" t="s">
        <v>324</v>
      </c>
      <c r="X6" s="65" t="s">
        <v>324</v>
      </c>
      <c r="Y6" s="65" t="s">
        <v>324</v>
      </c>
      <c r="Z6" s="65" t="s">
        <v>324</v>
      </c>
      <c r="AA6" s="65" t="s">
        <v>324</v>
      </c>
      <c r="AB6" s="65"/>
      <c r="AC6" s="65" t="s">
        <v>2017</v>
      </c>
      <c r="AD6" s="65" t="s">
        <v>324</v>
      </c>
      <c r="AE6" s="65" t="s">
        <v>324</v>
      </c>
      <c r="AF6" s="65" t="s">
        <v>324</v>
      </c>
      <c r="AG6" s="65" t="s">
        <v>324</v>
      </c>
      <c r="AH6" s="65" t="s">
        <v>324</v>
      </c>
      <c r="AI6" s="65" t="s">
        <v>324</v>
      </c>
      <c r="AK6" s="66" t="s">
        <v>1953</v>
      </c>
      <c r="AL6" s="66" t="s">
        <v>2017</v>
      </c>
      <c r="AM6" s="66">
        <v>236</v>
      </c>
      <c r="AN6" s="66">
        <v>260</v>
      </c>
      <c r="AO6" s="66">
        <v>426</v>
      </c>
      <c r="AP6" s="66">
        <v>556</v>
      </c>
      <c r="AQ6" s="66">
        <v>432</v>
      </c>
      <c r="AR6" s="66">
        <v>1910</v>
      </c>
      <c r="AS6" s="66"/>
      <c r="AT6" s="66" t="s">
        <v>2017</v>
      </c>
      <c r="AU6" s="66">
        <v>30</v>
      </c>
      <c r="AV6" s="66">
        <v>1</v>
      </c>
      <c r="AW6" s="66">
        <v>0</v>
      </c>
      <c r="AX6" s="66">
        <v>1</v>
      </c>
      <c r="AY6" s="66">
        <v>0</v>
      </c>
      <c r="AZ6" s="66">
        <v>32</v>
      </c>
      <c r="BB6" s="69" t="s">
        <v>1165</v>
      </c>
      <c r="BC6" s="69" t="s">
        <v>2017</v>
      </c>
      <c r="BD6" s="69">
        <v>335</v>
      </c>
      <c r="BE6" s="69">
        <v>296</v>
      </c>
      <c r="BF6" s="69">
        <v>423</v>
      </c>
      <c r="BG6" s="69">
        <v>474</v>
      </c>
      <c r="BH6" s="69">
        <v>372</v>
      </c>
      <c r="BI6" s="69">
        <v>1900</v>
      </c>
      <c r="BJ6" s="69"/>
      <c r="BK6" s="69" t="s">
        <v>2017</v>
      </c>
      <c r="BL6" s="69">
        <v>50</v>
      </c>
      <c r="BM6" s="69">
        <v>2</v>
      </c>
      <c r="BN6" s="69">
        <v>0</v>
      </c>
      <c r="BO6" s="69">
        <v>0</v>
      </c>
      <c r="BP6" s="69">
        <v>0</v>
      </c>
      <c r="BQ6" s="69">
        <v>52</v>
      </c>
      <c r="BS6" s="70" t="s">
        <v>1411</v>
      </c>
      <c r="BT6" s="70" t="s">
        <v>2017</v>
      </c>
      <c r="BU6" s="70">
        <v>1967</v>
      </c>
      <c r="BV6" s="70">
        <v>1164</v>
      </c>
      <c r="BW6" s="70">
        <v>1129</v>
      </c>
      <c r="BX6" s="70">
        <v>1146</v>
      </c>
      <c r="BY6" s="70">
        <v>792</v>
      </c>
      <c r="BZ6" s="70">
        <v>6198</v>
      </c>
      <c r="CA6" s="70"/>
      <c r="CB6" s="70" t="s">
        <v>2017</v>
      </c>
      <c r="CC6" s="70">
        <v>524</v>
      </c>
      <c r="CD6" s="70">
        <v>4</v>
      </c>
      <c r="CE6" s="70">
        <v>0</v>
      </c>
      <c r="CF6" s="70">
        <v>0</v>
      </c>
      <c r="CG6" s="70">
        <v>0</v>
      </c>
      <c r="CH6" s="70">
        <v>528</v>
      </c>
      <c r="CL6" s="57" t="s">
        <v>484</v>
      </c>
      <c r="CM6" s="57" t="s">
        <v>2017</v>
      </c>
      <c r="CN6" s="57">
        <v>1595</v>
      </c>
      <c r="CO6" s="57">
        <v>656</v>
      </c>
      <c r="CP6" s="57">
        <v>851</v>
      </c>
      <c r="CQ6" s="57">
        <v>1022</v>
      </c>
      <c r="CR6" s="57">
        <v>879</v>
      </c>
      <c r="CS6" s="57">
        <v>5003</v>
      </c>
      <c r="CT6" s="57"/>
      <c r="CU6" s="57" t="s">
        <v>2017</v>
      </c>
      <c r="CV6" s="57">
        <v>338</v>
      </c>
      <c r="CW6" s="57">
        <v>0</v>
      </c>
      <c r="CX6" s="57">
        <v>0</v>
      </c>
      <c r="CY6" s="57">
        <v>0</v>
      </c>
      <c r="CZ6" s="57">
        <v>0</v>
      </c>
      <c r="DA6" s="57">
        <v>338</v>
      </c>
      <c r="DD6" s="77" t="s">
        <v>1585</v>
      </c>
      <c r="DE6" s="77" t="s">
        <v>2017</v>
      </c>
      <c r="DF6" s="77">
        <v>592</v>
      </c>
      <c r="DG6" s="77">
        <v>868</v>
      </c>
      <c r="DH6" s="77">
        <v>913</v>
      </c>
      <c r="DI6" s="77">
        <v>1047</v>
      </c>
      <c r="DJ6" s="77">
        <v>976</v>
      </c>
      <c r="DK6" s="77">
        <v>4396</v>
      </c>
      <c r="DL6" s="77"/>
      <c r="DM6" s="77" t="s">
        <v>2017</v>
      </c>
      <c r="DN6" s="77">
        <v>12</v>
      </c>
      <c r="DO6" s="77">
        <v>12</v>
      </c>
      <c r="DP6" s="77">
        <v>6</v>
      </c>
      <c r="DQ6" s="77">
        <v>2</v>
      </c>
      <c r="DR6" s="77">
        <v>4</v>
      </c>
      <c r="DS6" s="77">
        <v>36</v>
      </c>
      <c r="DU6" s="16" t="s">
        <v>1643</v>
      </c>
      <c r="DV6" s="79" t="s">
        <v>2685</v>
      </c>
      <c r="DW6" s="79" t="s">
        <v>2017</v>
      </c>
      <c r="DX6" s="79">
        <v>1078</v>
      </c>
      <c r="DY6" s="79">
        <v>550</v>
      </c>
      <c r="DZ6" s="79">
        <v>540</v>
      </c>
      <c r="EA6" s="79">
        <v>540</v>
      </c>
      <c r="EB6" s="79">
        <v>399</v>
      </c>
      <c r="EC6" s="79">
        <v>3107</v>
      </c>
      <c r="ED6" s="79"/>
      <c r="EE6" s="79" t="s">
        <v>2017</v>
      </c>
      <c r="EF6" s="79">
        <v>18</v>
      </c>
      <c r="EG6" s="79">
        <v>0</v>
      </c>
      <c r="EH6" s="79">
        <v>0</v>
      </c>
      <c r="EI6" s="79">
        <v>0</v>
      </c>
      <c r="EJ6" s="79">
        <v>0</v>
      </c>
      <c r="EK6" s="79">
        <v>18</v>
      </c>
      <c r="EN6" s="57" t="s">
        <v>1991</v>
      </c>
      <c r="EO6" s="57" t="s">
        <v>2017</v>
      </c>
      <c r="EP6" s="57" t="s">
        <v>324</v>
      </c>
      <c r="EQ6" s="57" t="s">
        <v>324</v>
      </c>
      <c r="ER6" s="57" t="s">
        <v>324</v>
      </c>
      <c r="ES6" s="57" t="s">
        <v>324</v>
      </c>
      <c r="ET6" s="57" t="s">
        <v>324</v>
      </c>
      <c r="EU6" s="57" t="s">
        <v>324</v>
      </c>
      <c r="EV6" s="57"/>
      <c r="EW6" s="57" t="s">
        <v>2017</v>
      </c>
      <c r="EX6" s="57" t="s">
        <v>324</v>
      </c>
      <c r="EY6" s="57" t="s">
        <v>324</v>
      </c>
      <c r="EZ6" s="57" t="s">
        <v>324</v>
      </c>
      <c r="FA6" s="57" t="s">
        <v>324</v>
      </c>
      <c r="FB6" s="57" t="s">
        <v>324</v>
      </c>
      <c r="FC6" s="57" t="s">
        <v>324</v>
      </c>
      <c r="FF6" s="70" t="s">
        <v>1800</v>
      </c>
      <c r="FG6" s="70" t="s">
        <v>2017</v>
      </c>
      <c r="FH6" s="70">
        <v>148</v>
      </c>
      <c r="FI6" s="70">
        <v>211</v>
      </c>
      <c r="FJ6" s="70">
        <v>325</v>
      </c>
      <c r="FK6" s="70">
        <v>434</v>
      </c>
      <c r="FL6" s="70">
        <v>531</v>
      </c>
      <c r="FM6" s="70">
        <v>1649</v>
      </c>
      <c r="FN6" s="70"/>
      <c r="FO6" s="70" t="s">
        <v>2017</v>
      </c>
      <c r="FP6" s="70">
        <v>27</v>
      </c>
      <c r="FQ6" s="70">
        <v>8</v>
      </c>
      <c r="FR6" s="70">
        <v>9</v>
      </c>
      <c r="FS6" s="70">
        <v>13</v>
      </c>
      <c r="FT6" s="70">
        <v>10</v>
      </c>
      <c r="FU6" s="70">
        <v>67</v>
      </c>
    </row>
    <row r="7" spans="2:179">
      <c r="B7" s="64" t="s">
        <v>736</v>
      </c>
      <c r="C7" s="64" t="s">
        <v>2017</v>
      </c>
      <c r="D7" s="64" t="s">
        <v>324</v>
      </c>
      <c r="E7" s="64" t="s">
        <v>324</v>
      </c>
      <c r="F7" s="64" t="s">
        <v>324</v>
      </c>
      <c r="G7" s="64" t="s">
        <v>324</v>
      </c>
      <c r="H7" s="64" t="s">
        <v>324</v>
      </c>
      <c r="I7" s="64" t="s">
        <v>324</v>
      </c>
      <c r="K7" s="64" t="s">
        <v>2017</v>
      </c>
      <c r="L7" s="64" t="s">
        <v>324</v>
      </c>
      <c r="M7" s="64" t="s">
        <v>324</v>
      </c>
      <c r="N7" s="64" t="s">
        <v>324</v>
      </c>
      <c r="O7" s="64" t="s">
        <v>324</v>
      </c>
      <c r="P7" s="64" t="s">
        <v>324</v>
      </c>
      <c r="Q7" s="64" t="s">
        <v>324</v>
      </c>
      <c r="T7" s="65" t="s">
        <v>947</v>
      </c>
      <c r="U7" s="65" t="s">
        <v>2017</v>
      </c>
      <c r="V7" s="65" t="s">
        <v>324</v>
      </c>
      <c r="W7" s="65" t="s">
        <v>324</v>
      </c>
      <c r="X7" s="65" t="s">
        <v>324</v>
      </c>
      <c r="Y7" s="65" t="s">
        <v>324</v>
      </c>
      <c r="Z7" s="65" t="s">
        <v>324</v>
      </c>
      <c r="AA7" s="65" t="s">
        <v>324</v>
      </c>
      <c r="AB7" s="65"/>
      <c r="AC7" s="65" t="s">
        <v>2017</v>
      </c>
      <c r="AD7" s="65" t="s">
        <v>324</v>
      </c>
      <c r="AE7" s="65" t="s">
        <v>324</v>
      </c>
      <c r="AF7" s="65" t="s">
        <v>324</v>
      </c>
      <c r="AG7" s="65" t="s">
        <v>324</v>
      </c>
      <c r="AH7" s="65" t="s">
        <v>324</v>
      </c>
      <c r="AI7" s="65" t="s">
        <v>324</v>
      </c>
      <c r="AK7" s="66" t="s">
        <v>1932</v>
      </c>
      <c r="AL7" s="66" t="s">
        <v>2017</v>
      </c>
      <c r="AM7" s="66">
        <v>137</v>
      </c>
      <c r="AN7" s="66">
        <v>197</v>
      </c>
      <c r="AO7" s="66">
        <v>456</v>
      </c>
      <c r="AP7" s="66">
        <v>720</v>
      </c>
      <c r="AQ7" s="66">
        <v>603</v>
      </c>
      <c r="AR7" s="66">
        <v>2113</v>
      </c>
      <c r="AS7" s="66"/>
      <c r="AT7" s="66" t="s">
        <v>2017</v>
      </c>
      <c r="AU7" s="66">
        <v>19</v>
      </c>
      <c r="AV7" s="66">
        <v>0</v>
      </c>
      <c r="AW7" s="66">
        <v>1</v>
      </c>
      <c r="AX7" s="66">
        <v>0</v>
      </c>
      <c r="AY7" s="66">
        <v>0</v>
      </c>
      <c r="AZ7" s="66">
        <v>20</v>
      </c>
      <c r="BB7" s="69" t="s">
        <v>1168</v>
      </c>
      <c r="BC7" s="69" t="s">
        <v>2017</v>
      </c>
      <c r="BD7" s="69">
        <v>325</v>
      </c>
      <c r="BE7" s="69">
        <v>293</v>
      </c>
      <c r="BF7" s="69">
        <v>376</v>
      </c>
      <c r="BG7" s="69">
        <v>360</v>
      </c>
      <c r="BH7" s="69">
        <v>321</v>
      </c>
      <c r="BI7" s="69">
        <v>1675</v>
      </c>
      <c r="BJ7" s="69"/>
      <c r="BK7" s="69" t="s">
        <v>2017</v>
      </c>
      <c r="BL7" s="69">
        <v>19</v>
      </c>
      <c r="BM7" s="69">
        <v>0</v>
      </c>
      <c r="BN7" s="69">
        <v>0</v>
      </c>
      <c r="BO7" s="69">
        <v>0</v>
      </c>
      <c r="BP7" s="69">
        <v>0</v>
      </c>
      <c r="BQ7" s="69">
        <v>19</v>
      </c>
      <c r="BR7" s="16" t="s">
        <v>2243</v>
      </c>
      <c r="BS7" s="70" t="s">
        <v>2116</v>
      </c>
      <c r="BT7" s="70" t="s">
        <v>2017</v>
      </c>
      <c r="BU7" s="70" t="s">
        <v>324</v>
      </c>
      <c r="BV7" s="70" t="s">
        <v>324</v>
      </c>
      <c r="BW7" s="70" t="s">
        <v>324</v>
      </c>
      <c r="BX7" s="70" t="s">
        <v>324</v>
      </c>
      <c r="BY7" s="70" t="s">
        <v>324</v>
      </c>
      <c r="BZ7" s="70" t="s">
        <v>324</v>
      </c>
      <c r="CA7" s="70"/>
      <c r="CB7" s="70" t="s">
        <v>2017</v>
      </c>
      <c r="CC7" s="70" t="s">
        <v>324</v>
      </c>
      <c r="CD7" s="70" t="s">
        <v>324</v>
      </c>
      <c r="CE7" s="70" t="s">
        <v>324</v>
      </c>
      <c r="CF7" s="70" t="s">
        <v>324</v>
      </c>
      <c r="CG7" s="70" t="s">
        <v>324</v>
      </c>
      <c r="CH7" s="70" t="s">
        <v>324</v>
      </c>
      <c r="CL7" s="57" t="s">
        <v>354</v>
      </c>
      <c r="CM7" s="57" t="s">
        <v>2017</v>
      </c>
      <c r="CN7" s="57">
        <v>378</v>
      </c>
      <c r="CO7" s="57">
        <v>330</v>
      </c>
      <c r="CP7" s="57">
        <v>387</v>
      </c>
      <c r="CQ7" s="57">
        <v>498</v>
      </c>
      <c r="CR7" s="57">
        <v>517</v>
      </c>
      <c r="CS7" s="57">
        <v>2110</v>
      </c>
      <c r="CT7" s="57"/>
      <c r="CU7" s="57" t="s">
        <v>2017</v>
      </c>
      <c r="CV7" s="57">
        <v>103</v>
      </c>
      <c r="CW7" s="57">
        <v>2</v>
      </c>
      <c r="CX7" s="57">
        <v>0</v>
      </c>
      <c r="CY7" s="57">
        <v>0</v>
      </c>
      <c r="CZ7" s="57">
        <v>0</v>
      </c>
      <c r="DA7" s="57">
        <v>105</v>
      </c>
      <c r="DD7" s="77" t="s">
        <v>1588</v>
      </c>
      <c r="DE7" s="77" t="s">
        <v>2017</v>
      </c>
      <c r="DF7" s="77" t="s">
        <v>324</v>
      </c>
      <c r="DG7" s="77" t="s">
        <v>324</v>
      </c>
      <c r="DH7" s="77" t="s">
        <v>324</v>
      </c>
      <c r="DI7" s="77" t="s">
        <v>324</v>
      </c>
      <c r="DJ7" s="77" t="s">
        <v>324</v>
      </c>
      <c r="DK7" s="77" t="s">
        <v>324</v>
      </c>
      <c r="DL7" s="77"/>
      <c r="DM7" s="77" t="s">
        <v>2017</v>
      </c>
      <c r="DN7" s="77" t="s">
        <v>324</v>
      </c>
      <c r="DO7" s="77" t="s">
        <v>324</v>
      </c>
      <c r="DP7" s="77" t="s">
        <v>324</v>
      </c>
      <c r="DQ7" s="77" t="s">
        <v>324</v>
      </c>
      <c r="DR7" s="77" t="s">
        <v>324</v>
      </c>
      <c r="DS7" s="77" t="s">
        <v>324</v>
      </c>
      <c r="DU7" s="16" t="s">
        <v>1646</v>
      </c>
      <c r="DV7" s="79" t="s">
        <v>2679</v>
      </c>
      <c r="DW7" s="79" t="s">
        <v>2017</v>
      </c>
      <c r="DX7" s="79">
        <v>142</v>
      </c>
      <c r="DY7" s="79">
        <v>177</v>
      </c>
      <c r="DZ7" s="79">
        <v>241</v>
      </c>
      <c r="EA7" s="79">
        <v>273</v>
      </c>
      <c r="EB7" s="79">
        <v>249</v>
      </c>
      <c r="EC7" s="79">
        <v>1082</v>
      </c>
      <c r="ED7" s="79"/>
      <c r="EE7" s="79" t="s">
        <v>2017</v>
      </c>
      <c r="EF7" s="79">
        <v>15</v>
      </c>
      <c r="EG7" s="79">
        <v>3</v>
      </c>
      <c r="EH7" s="79">
        <v>0</v>
      </c>
      <c r="EI7" s="79">
        <v>0</v>
      </c>
      <c r="EJ7" s="79">
        <v>0</v>
      </c>
      <c r="EK7" s="79">
        <v>18</v>
      </c>
      <c r="EN7" s="57" t="s">
        <v>1992</v>
      </c>
      <c r="EO7" s="57" t="s">
        <v>2017</v>
      </c>
      <c r="EP7" s="57" t="s">
        <v>324</v>
      </c>
      <c r="EQ7" s="57" t="s">
        <v>324</v>
      </c>
      <c r="ER7" s="57" t="s">
        <v>324</v>
      </c>
      <c r="ES7" s="57" t="s">
        <v>324</v>
      </c>
      <c r="ET7" s="57" t="s">
        <v>324</v>
      </c>
      <c r="EU7" s="57" t="s">
        <v>324</v>
      </c>
      <c r="EV7" s="57"/>
      <c r="EW7" s="57" t="s">
        <v>2017</v>
      </c>
      <c r="EX7" s="57" t="s">
        <v>324</v>
      </c>
      <c r="EY7" s="57" t="s">
        <v>324</v>
      </c>
      <c r="EZ7" s="57" t="s">
        <v>324</v>
      </c>
      <c r="FA7" s="57" t="s">
        <v>324</v>
      </c>
      <c r="FB7" s="57" t="s">
        <v>324</v>
      </c>
      <c r="FC7" s="57" t="s">
        <v>324</v>
      </c>
      <c r="FF7" s="70" t="s">
        <v>2005</v>
      </c>
      <c r="FG7" s="70" t="s">
        <v>2017</v>
      </c>
      <c r="FH7" s="70">
        <v>125</v>
      </c>
      <c r="FI7" s="70">
        <v>240</v>
      </c>
      <c r="FJ7" s="70">
        <v>308</v>
      </c>
      <c r="FK7" s="70">
        <v>385</v>
      </c>
      <c r="FL7" s="70">
        <v>478</v>
      </c>
      <c r="FM7" s="70">
        <v>1536</v>
      </c>
      <c r="FN7" s="70"/>
      <c r="FO7" s="70" t="s">
        <v>2017</v>
      </c>
      <c r="FP7" s="70">
        <v>15</v>
      </c>
      <c r="FQ7" s="70">
        <v>8</v>
      </c>
      <c r="FR7" s="70">
        <v>8</v>
      </c>
      <c r="FS7" s="70">
        <v>7</v>
      </c>
      <c r="FT7" s="70">
        <v>8</v>
      </c>
      <c r="FU7" s="70">
        <v>46</v>
      </c>
    </row>
    <row r="8" spans="2:179">
      <c r="B8" s="64" t="s">
        <v>741</v>
      </c>
      <c r="C8" s="64" t="s">
        <v>2017</v>
      </c>
      <c r="D8" s="64" t="s">
        <v>324</v>
      </c>
      <c r="E8" s="64" t="s">
        <v>324</v>
      </c>
      <c r="F8" s="64" t="s">
        <v>324</v>
      </c>
      <c r="G8" s="64" t="s">
        <v>324</v>
      </c>
      <c r="H8" s="64" t="s">
        <v>324</v>
      </c>
      <c r="I8" s="64" t="s">
        <v>324</v>
      </c>
      <c r="K8" s="64" t="s">
        <v>2017</v>
      </c>
      <c r="L8" s="64" t="s">
        <v>324</v>
      </c>
      <c r="M8" s="64" t="s">
        <v>324</v>
      </c>
      <c r="N8" s="64" t="s">
        <v>324</v>
      </c>
      <c r="O8" s="64" t="s">
        <v>324</v>
      </c>
      <c r="P8" s="64" t="s">
        <v>324</v>
      </c>
      <c r="Q8" s="64" t="s">
        <v>324</v>
      </c>
      <c r="T8" s="65" t="s">
        <v>1898</v>
      </c>
      <c r="U8" s="65" t="s">
        <v>2017</v>
      </c>
      <c r="V8" s="65" t="s">
        <v>324</v>
      </c>
      <c r="W8" s="65" t="s">
        <v>324</v>
      </c>
      <c r="X8" s="65" t="s">
        <v>324</v>
      </c>
      <c r="Y8" s="65" t="s">
        <v>324</v>
      </c>
      <c r="Z8" s="65" t="s">
        <v>324</v>
      </c>
      <c r="AA8" s="65" t="s">
        <v>324</v>
      </c>
      <c r="AB8" s="65"/>
      <c r="AC8" s="65" t="s">
        <v>2017</v>
      </c>
      <c r="AD8" s="65" t="s">
        <v>324</v>
      </c>
      <c r="AE8" s="65" t="s">
        <v>324</v>
      </c>
      <c r="AF8" s="65" t="s">
        <v>324</v>
      </c>
      <c r="AG8" s="65" t="s">
        <v>324</v>
      </c>
      <c r="AH8" s="65" t="s">
        <v>324</v>
      </c>
      <c r="AI8" s="65" t="s">
        <v>324</v>
      </c>
      <c r="AK8" s="66" t="s">
        <v>1911</v>
      </c>
      <c r="AL8" s="66" t="s">
        <v>2017</v>
      </c>
      <c r="AM8" s="66">
        <v>368</v>
      </c>
      <c r="AN8" s="66">
        <v>633</v>
      </c>
      <c r="AO8" s="66">
        <v>995</v>
      </c>
      <c r="AP8" s="66">
        <v>1079</v>
      </c>
      <c r="AQ8" s="66">
        <v>739</v>
      </c>
      <c r="AR8" s="66">
        <v>3814</v>
      </c>
      <c r="AS8" s="66"/>
      <c r="AT8" s="66" t="s">
        <v>2017</v>
      </c>
      <c r="AU8" s="66">
        <v>31</v>
      </c>
      <c r="AV8" s="66">
        <v>0</v>
      </c>
      <c r="AW8" s="66">
        <v>0</v>
      </c>
      <c r="AX8" s="66">
        <v>0</v>
      </c>
      <c r="AY8" s="66">
        <v>0</v>
      </c>
      <c r="AZ8" s="66">
        <v>31</v>
      </c>
      <c r="BB8" s="69" t="s">
        <v>1172</v>
      </c>
      <c r="BC8" s="69" t="s">
        <v>2017</v>
      </c>
      <c r="BD8" s="69">
        <v>369</v>
      </c>
      <c r="BE8" s="69">
        <v>293</v>
      </c>
      <c r="BF8" s="69">
        <v>437</v>
      </c>
      <c r="BG8" s="69">
        <v>550</v>
      </c>
      <c r="BH8" s="69">
        <v>498</v>
      </c>
      <c r="BI8" s="69">
        <v>2147</v>
      </c>
      <c r="BJ8" s="69"/>
      <c r="BK8" s="69" t="s">
        <v>2017</v>
      </c>
      <c r="BL8" s="69">
        <v>52</v>
      </c>
      <c r="BM8" s="69">
        <v>0</v>
      </c>
      <c r="BN8" s="69">
        <v>0</v>
      </c>
      <c r="BO8" s="69">
        <v>0</v>
      </c>
      <c r="BP8" s="69">
        <v>0</v>
      </c>
      <c r="BQ8" s="69">
        <v>52</v>
      </c>
      <c r="BS8" s="70" t="s">
        <v>1423</v>
      </c>
      <c r="BT8" s="70" t="s">
        <v>2017</v>
      </c>
      <c r="BU8" s="70" t="s">
        <v>324</v>
      </c>
      <c r="BV8" s="70" t="s">
        <v>324</v>
      </c>
      <c r="BW8" s="70" t="s">
        <v>324</v>
      </c>
      <c r="BX8" s="70" t="s">
        <v>324</v>
      </c>
      <c r="BY8" s="70" t="s">
        <v>324</v>
      </c>
      <c r="BZ8" s="70" t="s">
        <v>324</v>
      </c>
      <c r="CA8" s="70"/>
      <c r="CB8" s="70" t="s">
        <v>2017</v>
      </c>
      <c r="CC8" s="70" t="s">
        <v>324</v>
      </c>
      <c r="CD8" s="70" t="s">
        <v>324</v>
      </c>
      <c r="CE8" s="70" t="s">
        <v>324</v>
      </c>
      <c r="CF8" s="70" t="s">
        <v>324</v>
      </c>
      <c r="CG8" s="70" t="s">
        <v>324</v>
      </c>
      <c r="CH8" s="70" t="s">
        <v>324</v>
      </c>
      <c r="CL8" s="57" t="s">
        <v>355</v>
      </c>
      <c r="CM8" s="57" t="s">
        <v>2017</v>
      </c>
      <c r="CN8" s="57">
        <v>437</v>
      </c>
      <c r="CO8" s="57">
        <v>236</v>
      </c>
      <c r="CP8" s="57">
        <v>396</v>
      </c>
      <c r="CQ8" s="57">
        <v>621</v>
      </c>
      <c r="CR8" s="57">
        <v>548</v>
      </c>
      <c r="CS8" s="57">
        <v>2238</v>
      </c>
      <c r="CT8" s="57"/>
      <c r="CU8" s="57" t="s">
        <v>2017</v>
      </c>
      <c r="CV8" s="57">
        <v>160</v>
      </c>
      <c r="CW8" s="57">
        <v>0</v>
      </c>
      <c r="CX8" s="57">
        <v>0</v>
      </c>
      <c r="CY8" s="57">
        <v>0</v>
      </c>
      <c r="CZ8" s="57">
        <v>0</v>
      </c>
      <c r="DA8" s="57">
        <v>160</v>
      </c>
      <c r="DD8" s="77" t="s">
        <v>1979</v>
      </c>
      <c r="DE8" s="77" t="s">
        <v>2017</v>
      </c>
      <c r="DF8" s="77">
        <v>1418</v>
      </c>
      <c r="DG8" s="77">
        <v>1677</v>
      </c>
      <c r="DH8" s="77">
        <v>2014</v>
      </c>
      <c r="DI8" s="77">
        <v>2106</v>
      </c>
      <c r="DJ8" s="77">
        <v>1696</v>
      </c>
      <c r="DK8" s="77">
        <v>8911</v>
      </c>
      <c r="DL8" s="77"/>
      <c r="DM8" s="77" t="s">
        <v>2017</v>
      </c>
      <c r="DN8" s="77">
        <v>84</v>
      </c>
      <c r="DO8" s="77">
        <v>40</v>
      </c>
      <c r="DP8" s="77">
        <v>12</v>
      </c>
      <c r="DQ8" s="77">
        <v>5</v>
      </c>
      <c r="DR8" s="77">
        <v>3</v>
      </c>
      <c r="DS8" s="77">
        <v>144</v>
      </c>
      <c r="DU8" s="16" t="s">
        <v>1649</v>
      </c>
      <c r="DV8" s="79" t="s">
        <v>2676</v>
      </c>
      <c r="DW8" s="79" t="s">
        <v>2017</v>
      </c>
      <c r="DX8" s="79">
        <v>277</v>
      </c>
      <c r="DY8" s="79">
        <v>403</v>
      </c>
      <c r="DZ8" s="79">
        <v>407</v>
      </c>
      <c r="EA8" s="79">
        <v>503</v>
      </c>
      <c r="EB8" s="79">
        <v>496</v>
      </c>
      <c r="EC8" s="79">
        <v>2086</v>
      </c>
      <c r="ED8" s="79"/>
      <c r="EE8" s="79" t="s">
        <v>2017</v>
      </c>
      <c r="EF8" s="79">
        <v>25</v>
      </c>
      <c r="EG8" s="79">
        <v>0</v>
      </c>
      <c r="EH8" s="79">
        <v>0</v>
      </c>
      <c r="EI8" s="79">
        <v>0</v>
      </c>
      <c r="EJ8" s="79">
        <v>0</v>
      </c>
      <c r="EK8" s="79">
        <v>25</v>
      </c>
      <c r="EN8" s="57" t="s">
        <v>1993</v>
      </c>
      <c r="EO8" s="57" t="s">
        <v>2017</v>
      </c>
      <c r="EP8" s="57" t="s">
        <v>324</v>
      </c>
      <c r="EQ8" s="57" t="s">
        <v>324</v>
      </c>
      <c r="ER8" s="57" t="s">
        <v>324</v>
      </c>
      <c r="ES8" s="57" t="s">
        <v>324</v>
      </c>
      <c r="ET8" s="57" t="s">
        <v>324</v>
      </c>
      <c r="EU8" s="57" t="s">
        <v>324</v>
      </c>
      <c r="EV8" s="57"/>
      <c r="EW8" s="57" t="s">
        <v>2017</v>
      </c>
      <c r="EX8" s="57" t="s">
        <v>324</v>
      </c>
      <c r="EY8" s="57" t="s">
        <v>324</v>
      </c>
      <c r="EZ8" s="57" t="s">
        <v>324</v>
      </c>
      <c r="FA8" s="57" t="s">
        <v>324</v>
      </c>
      <c r="FB8" s="57" t="s">
        <v>324</v>
      </c>
      <c r="FC8" s="57" t="s">
        <v>324</v>
      </c>
      <c r="FF8" s="70" t="s">
        <v>2006</v>
      </c>
      <c r="FG8" s="70" t="s">
        <v>2017</v>
      </c>
      <c r="FH8" s="70" t="s">
        <v>324</v>
      </c>
      <c r="FI8" s="70" t="s">
        <v>324</v>
      </c>
      <c r="FJ8" s="70" t="s">
        <v>324</v>
      </c>
      <c r="FK8" s="70" t="s">
        <v>324</v>
      </c>
      <c r="FL8" s="70" t="s">
        <v>324</v>
      </c>
      <c r="FM8" s="70" t="s">
        <v>324</v>
      </c>
      <c r="FN8" s="70"/>
      <c r="FO8" s="70" t="s">
        <v>2017</v>
      </c>
      <c r="FP8" s="70" t="s">
        <v>324</v>
      </c>
      <c r="FQ8" s="70" t="s">
        <v>324</v>
      </c>
      <c r="FR8" s="70" t="s">
        <v>324</v>
      </c>
      <c r="FS8" s="70" t="s">
        <v>324</v>
      </c>
      <c r="FT8" s="70" t="s">
        <v>324</v>
      </c>
      <c r="FU8" s="70" t="s">
        <v>324</v>
      </c>
    </row>
    <row r="9" spans="2:179">
      <c r="B9" s="64" t="s">
        <v>744</v>
      </c>
      <c r="C9" s="64" t="s">
        <v>2017</v>
      </c>
      <c r="D9" s="64" t="s">
        <v>324</v>
      </c>
      <c r="E9" s="64" t="s">
        <v>324</v>
      </c>
      <c r="F9" s="64" t="s">
        <v>324</v>
      </c>
      <c r="G9" s="64" t="s">
        <v>324</v>
      </c>
      <c r="H9" s="64" t="s">
        <v>324</v>
      </c>
      <c r="I9" s="64" t="s">
        <v>324</v>
      </c>
      <c r="K9" s="64" t="s">
        <v>2017</v>
      </c>
      <c r="L9" s="64" t="s">
        <v>324</v>
      </c>
      <c r="M9" s="64" t="s">
        <v>324</v>
      </c>
      <c r="N9" s="64" t="s">
        <v>324</v>
      </c>
      <c r="O9" s="64" t="s">
        <v>324</v>
      </c>
      <c r="P9" s="64" t="s">
        <v>324</v>
      </c>
      <c r="Q9" s="64" t="s">
        <v>324</v>
      </c>
      <c r="T9" s="65" t="s">
        <v>1899</v>
      </c>
      <c r="U9" s="65" t="s">
        <v>2017</v>
      </c>
      <c r="V9" s="65">
        <v>292</v>
      </c>
      <c r="W9" s="65">
        <v>147</v>
      </c>
      <c r="X9" s="65">
        <v>221</v>
      </c>
      <c r="Y9" s="65">
        <v>264</v>
      </c>
      <c r="Z9" s="65">
        <v>249</v>
      </c>
      <c r="AA9" s="65">
        <v>1173</v>
      </c>
      <c r="AB9" s="65"/>
      <c r="AC9" s="65" t="s">
        <v>2017</v>
      </c>
      <c r="AD9" s="65">
        <v>14</v>
      </c>
      <c r="AE9" s="65">
        <v>0</v>
      </c>
      <c r="AF9" s="65">
        <v>0</v>
      </c>
      <c r="AG9" s="65">
        <v>0</v>
      </c>
      <c r="AH9" s="65">
        <v>0</v>
      </c>
      <c r="AI9" s="65">
        <v>14</v>
      </c>
      <c r="AK9" s="66" t="s">
        <v>1120</v>
      </c>
      <c r="AL9" s="66" t="s">
        <v>2017</v>
      </c>
      <c r="AM9" s="66">
        <v>203</v>
      </c>
      <c r="AN9" s="66">
        <v>223</v>
      </c>
      <c r="AO9" s="66">
        <v>422</v>
      </c>
      <c r="AP9" s="66">
        <v>599</v>
      </c>
      <c r="AQ9" s="66">
        <v>552</v>
      </c>
      <c r="AR9" s="66">
        <v>1999</v>
      </c>
      <c r="AS9" s="66"/>
      <c r="AT9" s="66" t="s">
        <v>2017</v>
      </c>
      <c r="AU9" s="66">
        <v>52</v>
      </c>
      <c r="AV9" s="66">
        <v>0</v>
      </c>
      <c r="AW9" s="66">
        <v>0</v>
      </c>
      <c r="AX9" s="66">
        <v>0</v>
      </c>
      <c r="AY9" s="66">
        <v>0</v>
      </c>
      <c r="AZ9" s="66">
        <v>52</v>
      </c>
      <c r="BB9" s="69" t="s">
        <v>1174</v>
      </c>
      <c r="BC9" s="69" t="s">
        <v>2017</v>
      </c>
      <c r="BD9" s="69">
        <v>456</v>
      </c>
      <c r="BE9" s="69">
        <v>345</v>
      </c>
      <c r="BF9" s="69">
        <v>451</v>
      </c>
      <c r="BG9" s="69">
        <v>583</v>
      </c>
      <c r="BH9" s="69">
        <v>585</v>
      </c>
      <c r="BI9" s="69">
        <v>2420</v>
      </c>
      <c r="BJ9" s="69"/>
      <c r="BK9" s="69" t="s">
        <v>2017</v>
      </c>
      <c r="BL9" s="69">
        <v>25</v>
      </c>
      <c r="BM9" s="69">
        <v>0</v>
      </c>
      <c r="BN9" s="69">
        <v>0</v>
      </c>
      <c r="BO9" s="69">
        <v>0</v>
      </c>
      <c r="BP9" s="69">
        <v>0</v>
      </c>
      <c r="BQ9" s="69">
        <v>25</v>
      </c>
      <c r="BS9" s="70" t="s">
        <v>1425</v>
      </c>
      <c r="BT9" s="70" t="s">
        <v>2017</v>
      </c>
      <c r="BU9" s="70">
        <v>1492</v>
      </c>
      <c r="BV9" s="70">
        <v>552</v>
      </c>
      <c r="BW9" s="70">
        <v>695</v>
      </c>
      <c r="BX9" s="70">
        <v>951</v>
      </c>
      <c r="BY9" s="70">
        <v>841</v>
      </c>
      <c r="BZ9" s="70">
        <v>4531</v>
      </c>
      <c r="CA9" s="70"/>
      <c r="CB9" s="70" t="s">
        <v>2017</v>
      </c>
      <c r="CC9" s="70">
        <v>350</v>
      </c>
      <c r="CD9" s="70">
        <v>0</v>
      </c>
      <c r="CE9" s="70">
        <v>0</v>
      </c>
      <c r="CF9" s="70">
        <v>0</v>
      </c>
      <c r="CG9" s="70">
        <v>0</v>
      </c>
      <c r="CH9" s="70">
        <v>350</v>
      </c>
      <c r="CL9" s="57" t="s">
        <v>356</v>
      </c>
      <c r="CM9" s="57" t="s">
        <v>2017</v>
      </c>
      <c r="CN9" s="57">
        <v>60</v>
      </c>
      <c r="CO9" s="57">
        <v>50</v>
      </c>
      <c r="CP9" s="57">
        <v>115</v>
      </c>
      <c r="CQ9" s="57">
        <v>171</v>
      </c>
      <c r="CR9" s="57">
        <v>188</v>
      </c>
      <c r="CS9" s="57">
        <v>584</v>
      </c>
      <c r="CT9" s="57"/>
      <c r="CU9" s="57" t="s">
        <v>2017</v>
      </c>
      <c r="CV9" s="57">
        <v>19</v>
      </c>
      <c r="CW9" s="57">
        <v>0</v>
      </c>
      <c r="CX9" s="57">
        <v>0</v>
      </c>
      <c r="CY9" s="57">
        <v>0</v>
      </c>
      <c r="CZ9" s="57">
        <v>0</v>
      </c>
      <c r="DA9" s="57">
        <v>19</v>
      </c>
      <c r="DD9" s="77" t="s">
        <v>1609</v>
      </c>
      <c r="DE9" s="77" t="s">
        <v>2017</v>
      </c>
      <c r="DF9" s="77">
        <v>342</v>
      </c>
      <c r="DG9" s="77">
        <v>361</v>
      </c>
      <c r="DH9" s="77">
        <v>435</v>
      </c>
      <c r="DI9" s="77">
        <v>434</v>
      </c>
      <c r="DJ9" s="77">
        <v>381</v>
      </c>
      <c r="DK9" s="77">
        <v>1953</v>
      </c>
      <c r="DL9" s="77"/>
      <c r="DM9" s="77" t="s">
        <v>2017</v>
      </c>
      <c r="DN9" s="77">
        <v>18</v>
      </c>
      <c r="DO9" s="77">
        <v>9</v>
      </c>
      <c r="DP9" s="77">
        <v>1</v>
      </c>
      <c r="DQ9" s="77">
        <v>0</v>
      </c>
      <c r="DR9" s="77">
        <v>0</v>
      </c>
      <c r="DS9" s="77">
        <v>28</v>
      </c>
      <c r="DU9" s="16" t="s">
        <v>1652</v>
      </c>
      <c r="DV9" s="79" t="s">
        <v>2670</v>
      </c>
      <c r="DW9" s="79" t="s">
        <v>2017</v>
      </c>
      <c r="DX9" s="79">
        <v>350</v>
      </c>
      <c r="DY9" s="79">
        <v>401</v>
      </c>
      <c r="DZ9" s="79">
        <v>438</v>
      </c>
      <c r="EA9" s="79">
        <v>469</v>
      </c>
      <c r="EB9" s="79">
        <v>335</v>
      </c>
      <c r="EC9" s="79">
        <v>1993</v>
      </c>
      <c r="ED9" s="79"/>
      <c r="EE9" s="79" t="s">
        <v>2017</v>
      </c>
      <c r="EF9" s="79">
        <v>24</v>
      </c>
      <c r="EG9" s="79">
        <v>3</v>
      </c>
      <c r="EH9" s="79">
        <v>0</v>
      </c>
      <c r="EI9" s="79">
        <v>0</v>
      </c>
      <c r="EJ9" s="79">
        <v>0</v>
      </c>
      <c r="EK9" s="79">
        <v>27</v>
      </c>
      <c r="EN9" s="57" t="s">
        <v>1716</v>
      </c>
      <c r="EO9" s="57" t="s">
        <v>2017</v>
      </c>
      <c r="EP9" s="57">
        <v>275</v>
      </c>
      <c r="EQ9" s="57">
        <v>358</v>
      </c>
      <c r="ER9" s="57">
        <v>396</v>
      </c>
      <c r="ES9" s="57">
        <v>502</v>
      </c>
      <c r="ET9" s="57">
        <v>603</v>
      </c>
      <c r="EU9" s="57">
        <v>2134</v>
      </c>
      <c r="EV9" s="57"/>
      <c r="EW9" s="57" t="s">
        <v>2017</v>
      </c>
      <c r="EX9" s="57">
        <v>92</v>
      </c>
      <c r="EY9" s="57">
        <v>73</v>
      </c>
      <c r="EZ9" s="57">
        <v>35</v>
      </c>
      <c r="FA9" s="57">
        <v>25</v>
      </c>
      <c r="FB9" s="57">
        <v>0</v>
      </c>
      <c r="FC9" s="57">
        <v>225</v>
      </c>
      <c r="FF9" s="70" t="s">
        <v>1803</v>
      </c>
      <c r="FG9" s="70" t="s">
        <v>2017</v>
      </c>
      <c r="FH9" s="70">
        <v>757</v>
      </c>
      <c r="FI9" s="70">
        <v>804</v>
      </c>
      <c r="FJ9" s="70">
        <v>847</v>
      </c>
      <c r="FK9" s="70">
        <v>815</v>
      </c>
      <c r="FL9" s="70">
        <v>1091</v>
      </c>
      <c r="FM9" s="70">
        <v>4314</v>
      </c>
      <c r="FN9" s="70"/>
      <c r="FO9" s="70" t="s">
        <v>2017</v>
      </c>
      <c r="FP9" s="70">
        <v>147</v>
      </c>
      <c r="FQ9" s="70">
        <v>0</v>
      </c>
      <c r="FR9" s="70">
        <v>0</v>
      </c>
      <c r="FS9" s="70">
        <v>0</v>
      </c>
      <c r="FT9" s="70">
        <v>0</v>
      </c>
      <c r="FU9" s="70">
        <v>147</v>
      </c>
    </row>
    <row r="10" spans="2:179">
      <c r="B10" s="64" t="s">
        <v>747</v>
      </c>
      <c r="C10" s="64" t="s">
        <v>2017</v>
      </c>
      <c r="D10" s="64" t="s">
        <v>324</v>
      </c>
      <c r="E10" s="64" t="s">
        <v>324</v>
      </c>
      <c r="F10" s="64" t="s">
        <v>324</v>
      </c>
      <c r="G10" s="64" t="s">
        <v>324</v>
      </c>
      <c r="H10" s="64" t="s">
        <v>324</v>
      </c>
      <c r="I10" s="64" t="s">
        <v>324</v>
      </c>
      <c r="K10" s="64" t="s">
        <v>2017</v>
      </c>
      <c r="L10" s="64" t="s">
        <v>324</v>
      </c>
      <c r="M10" s="64" t="s">
        <v>324</v>
      </c>
      <c r="N10" s="64" t="s">
        <v>324</v>
      </c>
      <c r="O10" s="64" t="s">
        <v>324</v>
      </c>
      <c r="P10" s="64" t="s">
        <v>324</v>
      </c>
      <c r="Q10" s="64" t="s">
        <v>324</v>
      </c>
      <c r="T10" s="65" t="s">
        <v>1900</v>
      </c>
      <c r="U10" s="65" t="s">
        <v>2017</v>
      </c>
      <c r="V10" s="65">
        <v>314</v>
      </c>
      <c r="W10" s="65">
        <v>349</v>
      </c>
      <c r="X10" s="65">
        <v>493</v>
      </c>
      <c r="Y10" s="65">
        <v>504</v>
      </c>
      <c r="Z10" s="65">
        <v>347</v>
      </c>
      <c r="AA10" s="65">
        <v>2007</v>
      </c>
      <c r="AB10" s="65"/>
      <c r="AC10" s="65" t="s">
        <v>2017</v>
      </c>
      <c r="AD10" s="65">
        <v>33</v>
      </c>
      <c r="AE10" s="65">
        <v>4</v>
      </c>
      <c r="AF10" s="65">
        <v>0</v>
      </c>
      <c r="AG10" s="65">
        <v>0</v>
      </c>
      <c r="AH10" s="65">
        <v>0</v>
      </c>
      <c r="AI10" s="65">
        <v>37</v>
      </c>
      <c r="AK10" s="66" t="s">
        <v>1943</v>
      </c>
      <c r="AL10" s="66" t="s">
        <v>2017</v>
      </c>
      <c r="AM10" s="66">
        <v>741</v>
      </c>
      <c r="AN10" s="66">
        <v>538</v>
      </c>
      <c r="AO10" s="66">
        <v>622</v>
      </c>
      <c r="AP10" s="66">
        <v>640</v>
      </c>
      <c r="AQ10" s="66">
        <v>502</v>
      </c>
      <c r="AR10" s="66">
        <v>3043</v>
      </c>
      <c r="AS10" s="66"/>
      <c r="AT10" s="66" t="s">
        <v>2017</v>
      </c>
      <c r="AU10" s="66">
        <v>81</v>
      </c>
      <c r="AV10" s="66">
        <v>9</v>
      </c>
      <c r="AW10" s="66">
        <v>2</v>
      </c>
      <c r="AX10" s="66">
        <v>0</v>
      </c>
      <c r="AY10" s="66">
        <v>1</v>
      </c>
      <c r="AZ10" s="66">
        <v>93</v>
      </c>
      <c r="BB10" s="69" t="s">
        <v>1177</v>
      </c>
      <c r="BC10" s="69" t="s">
        <v>2017</v>
      </c>
      <c r="BD10" s="69">
        <v>199</v>
      </c>
      <c r="BE10" s="69">
        <v>226</v>
      </c>
      <c r="BF10" s="69">
        <v>416</v>
      </c>
      <c r="BG10" s="69">
        <v>567</v>
      </c>
      <c r="BH10" s="69">
        <v>512</v>
      </c>
      <c r="BI10" s="69">
        <v>1920</v>
      </c>
      <c r="BJ10" s="69"/>
      <c r="BK10" s="69" t="s">
        <v>2017</v>
      </c>
      <c r="BL10" s="69">
        <v>20</v>
      </c>
      <c r="BM10" s="69">
        <v>0</v>
      </c>
      <c r="BN10" s="69">
        <v>0</v>
      </c>
      <c r="BO10" s="69">
        <v>0</v>
      </c>
      <c r="BP10" s="69">
        <v>0</v>
      </c>
      <c r="BQ10" s="69">
        <v>20</v>
      </c>
      <c r="BS10" s="70" t="s">
        <v>1428</v>
      </c>
      <c r="BT10" s="70" t="s">
        <v>2017</v>
      </c>
      <c r="BU10" s="70">
        <v>51</v>
      </c>
      <c r="BV10" s="70">
        <v>128</v>
      </c>
      <c r="BW10" s="70">
        <v>231</v>
      </c>
      <c r="BX10" s="70">
        <v>352</v>
      </c>
      <c r="BY10" s="70">
        <v>324</v>
      </c>
      <c r="BZ10" s="70">
        <v>1086</v>
      </c>
      <c r="CA10" s="70"/>
      <c r="CB10" s="70" t="s">
        <v>2017</v>
      </c>
      <c r="CC10" s="70">
        <v>7</v>
      </c>
      <c r="CD10" s="70">
        <v>0</v>
      </c>
      <c r="CE10" s="70">
        <v>0</v>
      </c>
      <c r="CF10" s="70">
        <v>0</v>
      </c>
      <c r="CG10" s="70">
        <v>0</v>
      </c>
      <c r="CH10" s="70">
        <v>7</v>
      </c>
      <c r="CL10" s="57" t="s">
        <v>358</v>
      </c>
      <c r="CM10" s="57" t="s">
        <v>2017</v>
      </c>
      <c r="CN10" s="57">
        <v>105</v>
      </c>
      <c r="CO10" s="57">
        <v>71</v>
      </c>
      <c r="CP10" s="57">
        <v>171</v>
      </c>
      <c r="CQ10" s="57">
        <v>246</v>
      </c>
      <c r="CR10" s="57">
        <v>283</v>
      </c>
      <c r="CS10" s="57">
        <v>876</v>
      </c>
      <c r="CT10" s="57"/>
      <c r="CU10" s="57" t="s">
        <v>2017</v>
      </c>
      <c r="CV10" s="57">
        <v>20</v>
      </c>
      <c r="CW10" s="57">
        <v>0</v>
      </c>
      <c r="CX10" s="57">
        <v>0</v>
      </c>
      <c r="CY10" s="57">
        <v>0</v>
      </c>
      <c r="CZ10" s="57">
        <v>0</v>
      </c>
      <c r="DA10" s="57">
        <v>20</v>
      </c>
      <c r="DD10" s="77" t="s">
        <v>1613</v>
      </c>
      <c r="DE10" s="77" t="s">
        <v>2017</v>
      </c>
      <c r="DF10" s="77">
        <v>373</v>
      </c>
      <c r="DG10" s="77">
        <v>680</v>
      </c>
      <c r="DH10" s="77">
        <v>1050</v>
      </c>
      <c r="DI10" s="77">
        <v>1158</v>
      </c>
      <c r="DJ10" s="77">
        <v>862</v>
      </c>
      <c r="DK10" s="77">
        <v>4123</v>
      </c>
      <c r="DL10" s="77"/>
      <c r="DM10" s="77" t="s">
        <v>2017</v>
      </c>
      <c r="DN10" s="77">
        <v>14</v>
      </c>
      <c r="DO10" s="77">
        <v>9</v>
      </c>
      <c r="DP10" s="77">
        <v>3</v>
      </c>
      <c r="DQ10" s="77">
        <v>0</v>
      </c>
      <c r="DR10" s="77">
        <v>0</v>
      </c>
      <c r="DS10" s="77">
        <v>26</v>
      </c>
      <c r="DV10" s="79" t="s">
        <v>1980</v>
      </c>
      <c r="DW10" s="79" t="s">
        <v>2017</v>
      </c>
      <c r="DX10" s="79">
        <v>256</v>
      </c>
      <c r="DY10" s="79">
        <v>303</v>
      </c>
      <c r="DZ10" s="79">
        <v>432</v>
      </c>
      <c r="EA10" s="79">
        <v>544</v>
      </c>
      <c r="EB10" s="79">
        <v>500</v>
      </c>
      <c r="EC10" s="79">
        <v>2035</v>
      </c>
      <c r="ED10" s="79"/>
      <c r="EE10" s="79" t="s">
        <v>2017</v>
      </c>
      <c r="EF10" s="79">
        <v>27</v>
      </c>
      <c r="EG10" s="79">
        <v>0</v>
      </c>
      <c r="EH10" s="79">
        <v>0</v>
      </c>
      <c r="EI10" s="79">
        <v>0</v>
      </c>
      <c r="EJ10" s="79">
        <v>0</v>
      </c>
      <c r="EK10" s="79">
        <v>27</v>
      </c>
      <c r="EN10" s="57" t="s">
        <v>1720</v>
      </c>
      <c r="EO10" s="57" t="s">
        <v>2017</v>
      </c>
      <c r="EP10" s="57">
        <v>317</v>
      </c>
      <c r="EQ10" s="57">
        <v>522</v>
      </c>
      <c r="ER10" s="57">
        <v>583</v>
      </c>
      <c r="ES10" s="57">
        <v>687</v>
      </c>
      <c r="ET10" s="57">
        <v>801</v>
      </c>
      <c r="EU10" s="57">
        <v>2910</v>
      </c>
      <c r="EV10" s="57"/>
      <c r="EW10" s="57" t="s">
        <v>2017</v>
      </c>
      <c r="EX10" s="57">
        <v>127</v>
      </c>
      <c r="EY10" s="57">
        <v>73</v>
      </c>
      <c r="EZ10" s="57">
        <v>45</v>
      </c>
      <c r="FA10" s="57">
        <v>25</v>
      </c>
      <c r="FB10" s="57">
        <v>0</v>
      </c>
      <c r="FC10" s="57">
        <v>270</v>
      </c>
      <c r="FF10" s="70" t="s">
        <v>1806</v>
      </c>
      <c r="FG10" s="70" t="s">
        <v>2017</v>
      </c>
      <c r="FH10" s="70">
        <v>140</v>
      </c>
      <c r="FI10" s="70">
        <v>232</v>
      </c>
      <c r="FJ10" s="70">
        <v>246</v>
      </c>
      <c r="FK10" s="70">
        <v>316</v>
      </c>
      <c r="FL10" s="70">
        <v>437</v>
      </c>
      <c r="FM10" s="70">
        <v>1371</v>
      </c>
      <c r="FN10" s="70"/>
      <c r="FO10" s="70" t="s">
        <v>2017</v>
      </c>
      <c r="FP10" s="70">
        <v>36</v>
      </c>
      <c r="FQ10" s="70">
        <v>7</v>
      </c>
      <c r="FR10" s="70">
        <v>0</v>
      </c>
      <c r="FS10" s="70">
        <v>0</v>
      </c>
      <c r="FT10" s="70">
        <v>0</v>
      </c>
      <c r="FU10" s="70">
        <v>43</v>
      </c>
    </row>
    <row r="11" spans="2:179">
      <c r="B11" s="64" t="s">
        <v>749</v>
      </c>
      <c r="C11" s="64" t="s">
        <v>2017</v>
      </c>
      <c r="D11" s="64" t="s">
        <v>324</v>
      </c>
      <c r="E11" s="64" t="s">
        <v>324</v>
      </c>
      <c r="F11" s="64" t="s">
        <v>324</v>
      </c>
      <c r="G11" s="64" t="s">
        <v>324</v>
      </c>
      <c r="H11" s="64" t="s">
        <v>324</v>
      </c>
      <c r="I11" s="64" t="s">
        <v>324</v>
      </c>
      <c r="K11" s="64" t="s">
        <v>2017</v>
      </c>
      <c r="L11" s="64" t="s">
        <v>324</v>
      </c>
      <c r="M11" s="64" t="s">
        <v>324</v>
      </c>
      <c r="N11" s="64" t="s">
        <v>324</v>
      </c>
      <c r="O11" s="64" t="s">
        <v>324</v>
      </c>
      <c r="P11" s="64" t="s">
        <v>324</v>
      </c>
      <c r="Q11" s="64" t="s">
        <v>324</v>
      </c>
      <c r="T11" s="65" t="s">
        <v>1901</v>
      </c>
      <c r="U11" s="65" t="s">
        <v>2017</v>
      </c>
      <c r="V11" s="65" t="s">
        <v>324</v>
      </c>
      <c r="W11" s="65" t="s">
        <v>324</v>
      </c>
      <c r="X11" s="65" t="s">
        <v>324</v>
      </c>
      <c r="Y11" s="65" t="s">
        <v>324</v>
      </c>
      <c r="Z11" s="65" t="s">
        <v>324</v>
      </c>
      <c r="AA11" s="65" t="s">
        <v>324</v>
      </c>
      <c r="AB11" s="65"/>
      <c r="AC11" s="65" t="s">
        <v>2017</v>
      </c>
      <c r="AD11" s="65" t="s">
        <v>324</v>
      </c>
      <c r="AE11" s="65" t="s">
        <v>324</v>
      </c>
      <c r="AF11" s="65" t="s">
        <v>324</v>
      </c>
      <c r="AG11" s="65" t="s">
        <v>324</v>
      </c>
      <c r="AH11" s="65" t="s">
        <v>324</v>
      </c>
      <c r="AI11" s="65" t="s">
        <v>324</v>
      </c>
      <c r="AK11" s="66" t="s">
        <v>1921</v>
      </c>
      <c r="AL11" s="66" t="s">
        <v>2017</v>
      </c>
      <c r="AM11" s="66">
        <v>422</v>
      </c>
      <c r="AN11" s="66">
        <v>468</v>
      </c>
      <c r="AO11" s="66">
        <v>723</v>
      </c>
      <c r="AP11" s="66">
        <v>954</v>
      </c>
      <c r="AQ11" s="66">
        <v>702</v>
      </c>
      <c r="AR11" s="66">
        <v>3269</v>
      </c>
      <c r="AS11" s="66"/>
      <c r="AT11" s="66" t="s">
        <v>2017</v>
      </c>
      <c r="AU11" s="66">
        <v>36</v>
      </c>
      <c r="AV11" s="66">
        <v>3</v>
      </c>
      <c r="AW11" s="66">
        <v>0</v>
      </c>
      <c r="AX11" s="66">
        <v>0</v>
      </c>
      <c r="AY11" s="66">
        <v>0</v>
      </c>
      <c r="AZ11" s="66">
        <v>39</v>
      </c>
      <c r="BB11" s="69" t="s">
        <v>1180</v>
      </c>
      <c r="BC11" s="69" t="s">
        <v>2017</v>
      </c>
      <c r="BD11" s="69">
        <v>221</v>
      </c>
      <c r="BE11" s="69">
        <v>143</v>
      </c>
      <c r="BF11" s="69">
        <v>149</v>
      </c>
      <c r="BG11" s="69">
        <v>181</v>
      </c>
      <c r="BH11" s="69">
        <v>220</v>
      </c>
      <c r="BI11" s="69">
        <v>914</v>
      </c>
      <c r="BJ11" s="69"/>
      <c r="BK11" s="69" t="s">
        <v>2017</v>
      </c>
      <c r="BL11" s="69">
        <v>30</v>
      </c>
      <c r="BM11" s="69">
        <v>0</v>
      </c>
      <c r="BN11" s="69">
        <v>0</v>
      </c>
      <c r="BO11" s="69">
        <v>0</v>
      </c>
      <c r="BP11" s="69">
        <v>0</v>
      </c>
      <c r="BQ11" s="69">
        <v>30</v>
      </c>
      <c r="BS11" s="70" t="s">
        <v>1430</v>
      </c>
      <c r="BT11" s="70" t="s">
        <v>2017</v>
      </c>
      <c r="BU11" s="70">
        <v>120</v>
      </c>
      <c r="BV11" s="70">
        <v>109</v>
      </c>
      <c r="BW11" s="70">
        <v>212</v>
      </c>
      <c r="BX11" s="70">
        <v>331</v>
      </c>
      <c r="BY11" s="70">
        <v>305</v>
      </c>
      <c r="BZ11" s="70">
        <v>1077</v>
      </c>
      <c r="CA11" s="70"/>
      <c r="CB11" s="70" t="s">
        <v>2017</v>
      </c>
      <c r="CC11" s="70">
        <v>31</v>
      </c>
      <c r="CD11" s="70">
        <v>0</v>
      </c>
      <c r="CE11" s="70">
        <v>0</v>
      </c>
      <c r="CF11" s="70">
        <v>0</v>
      </c>
      <c r="CG11" s="70">
        <v>0</v>
      </c>
      <c r="CH11" s="70">
        <v>31</v>
      </c>
      <c r="CL11" s="57" t="s">
        <v>357</v>
      </c>
      <c r="CM11" s="57" t="s">
        <v>2017</v>
      </c>
      <c r="CN11" s="57">
        <v>157</v>
      </c>
      <c r="CO11" s="57">
        <v>66</v>
      </c>
      <c r="CP11" s="57">
        <v>112</v>
      </c>
      <c r="CQ11" s="57">
        <v>129</v>
      </c>
      <c r="CR11" s="57">
        <v>170</v>
      </c>
      <c r="CS11" s="57">
        <v>634</v>
      </c>
      <c r="CT11" s="57"/>
      <c r="CU11" s="57" t="s">
        <v>2017</v>
      </c>
      <c r="CV11" s="57">
        <v>72</v>
      </c>
      <c r="CW11" s="57">
        <v>0</v>
      </c>
      <c r="CX11" s="57">
        <v>0</v>
      </c>
      <c r="CY11" s="57">
        <v>0</v>
      </c>
      <c r="CZ11" s="57">
        <v>0</v>
      </c>
      <c r="DA11" s="57">
        <v>72</v>
      </c>
      <c r="DD11" s="77" t="s">
        <v>1616</v>
      </c>
      <c r="DE11" s="77" t="s">
        <v>2017</v>
      </c>
      <c r="DF11" s="77">
        <v>490</v>
      </c>
      <c r="DG11" s="77">
        <v>665</v>
      </c>
      <c r="DH11" s="77">
        <v>754</v>
      </c>
      <c r="DI11" s="77">
        <v>711</v>
      </c>
      <c r="DJ11" s="77">
        <v>586</v>
      </c>
      <c r="DK11" s="77">
        <v>3206</v>
      </c>
      <c r="DL11" s="77"/>
      <c r="DM11" s="77" t="s">
        <v>2017</v>
      </c>
      <c r="DN11" s="77">
        <v>14</v>
      </c>
      <c r="DO11" s="77">
        <v>8</v>
      </c>
      <c r="DP11" s="77">
        <v>3</v>
      </c>
      <c r="DQ11" s="77">
        <v>0</v>
      </c>
      <c r="DR11" s="77">
        <v>0</v>
      </c>
      <c r="DS11" s="77">
        <v>25</v>
      </c>
      <c r="DU11" s="16" t="s">
        <v>1654</v>
      </c>
      <c r="DV11" s="79" t="s">
        <v>2673</v>
      </c>
      <c r="DW11" s="79" t="s">
        <v>2017</v>
      </c>
      <c r="DX11" s="79">
        <v>1548</v>
      </c>
      <c r="DY11" s="79">
        <v>1033</v>
      </c>
      <c r="DZ11" s="79">
        <v>1349</v>
      </c>
      <c r="EA11" s="79">
        <v>1468</v>
      </c>
      <c r="EB11" s="79">
        <v>1140</v>
      </c>
      <c r="EC11" s="79">
        <v>6538</v>
      </c>
      <c r="ED11" s="79"/>
      <c r="EE11" s="79" t="s">
        <v>2017</v>
      </c>
      <c r="EF11" s="79">
        <v>20</v>
      </c>
      <c r="EG11" s="79">
        <v>0</v>
      </c>
      <c r="EH11" s="79">
        <v>0</v>
      </c>
      <c r="EI11" s="79">
        <v>0</v>
      </c>
      <c r="EJ11" s="79">
        <v>0</v>
      </c>
      <c r="EK11" s="79">
        <v>20</v>
      </c>
      <c r="EN11" s="57" t="s">
        <v>1723</v>
      </c>
      <c r="EO11" s="57" t="s">
        <v>2017</v>
      </c>
      <c r="EP11" s="57">
        <v>653</v>
      </c>
      <c r="EQ11" s="57">
        <v>838</v>
      </c>
      <c r="ER11" s="57">
        <v>1071</v>
      </c>
      <c r="ES11" s="57">
        <v>1120</v>
      </c>
      <c r="ET11" s="57">
        <v>1131</v>
      </c>
      <c r="EU11" s="57">
        <v>4813</v>
      </c>
      <c r="EV11" s="57"/>
      <c r="EW11" s="57" t="s">
        <v>2017</v>
      </c>
      <c r="EX11" s="57">
        <v>125</v>
      </c>
      <c r="EY11" s="57">
        <v>70</v>
      </c>
      <c r="EZ11" s="57">
        <v>58</v>
      </c>
      <c r="FA11" s="57">
        <v>78</v>
      </c>
      <c r="FB11" s="57">
        <v>54</v>
      </c>
      <c r="FC11" s="57">
        <v>385</v>
      </c>
      <c r="FF11" s="70" t="s">
        <v>1807</v>
      </c>
      <c r="FG11" s="70" t="s">
        <v>2017</v>
      </c>
      <c r="FH11" s="70">
        <v>105</v>
      </c>
      <c r="FI11" s="70">
        <v>152</v>
      </c>
      <c r="FJ11" s="70">
        <v>170</v>
      </c>
      <c r="FK11" s="70">
        <v>215</v>
      </c>
      <c r="FL11" s="70">
        <v>259</v>
      </c>
      <c r="FM11" s="70">
        <v>901</v>
      </c>
      <c r="FN11" s="70"/>
      <c r="FO11" s="70" t="s">
        <v>2017</v>
      </c>
      <c r="FP11" s="70">
        <v>23</v>
      </c>
      <c r="FQ11" s="70">
        <v>12</v>
      </c>
      <c r="FR11" s="70">
        <v>14</v>
      </c>
      <c r="FS11" s="70">
        <v>9</v>
      </c>
      <c r="FT11" s="70">
        <v>14</v>
      </c>
      <c r="FU11" s="70">
        <v>72</v>
      </c>
    </row>
    <row r="12" spans="2:179">
      <c r="B12" s="64" t="s">
        <v>752</v>
      </c>
      <c r="C12" s="64" t="s">
        <v>2017</v>
      </c>
      <c r="D12" s="64" t="s">
        <v>324</v>
      </c>
      <c r="E12" s="64" t="s">
        <v>324</v>
      </c>
      <c r="F12" s="64" t="s">
        <v>324</v>
      </c>
      <c r="G12" s="64" t="s">
        <v>324</v>
      </c>
      <c r="H12" s="64" t="s">
        <v>324</v>
      </c>
      <c r="I12" s="64" t="s">
        <v>324</v>
      </c>
      <c r="K12" s="64" t="s">
        <v>2017</v>
      </c>
      <c r="L12" s="64" t="s">
        <v>324</v>
      </c>
      <c r="M12" s="64" t="s">
        <v>324</v>
      </c>
      <c r="N12" s="64" t="s">
        <v>324</v>
      </c>
      <c r="O12" s="64" t="s">
        <v>324</v>
      </c>
      <c r="P12" s="64" t="s">
        <v>324</v>
      </c>
      <c r="Q12" s="64" t="s">
        <v>324</v>
      </c>
      <c r="T12" s="65" t="s">
        <v>958</v>
      </c>
      <c r="U12" s="65" t="s">
        <v>2017</v>
      </c>
      <c r="V12" s="65">
        <v>891</v>
      </c>
      <c r="W12" s="65">
        <v>701</v>
      </c>
      <c r="X12" s="65">
        <v>884</v>
      </c>
      <c r="Y12" s="65">
        <v>933</v>
      </c>
      <c r="Z12" s="65">
        <v>655</v>
      </c>
      <c r="AA12" s="65">
        <v>4064</v>
      </c>
      <c r="AB12" s="65"/>
      <c r="AC12" s="65" t="s">
        <v>2017</v>
      </c>
      <c r="AD12" s="65">
        <v>32</v>
      </c>
      <c r="AE12" s="65">
        <v>3</v>
      </c>
      <c r="AF12" s="65">
        <v>0</v>
      </c>
      <c r="AG12" s="65">
        <v>0</v>
      </c>
      <c r="AH12" s="65">
        <v>0</v>
      </c>
      <c r="AI12" s="65">
        <v>35</v>
      </c>
      <c r="AK12" s="66" t="s">
        <v>1946</v>
      </c>
      <c r="AL12" s="66" t="s">
        <v>2017</v>
      </c>
      <c r="AM12" s="66">
        <v>606</v>
      </c>
      <c r="AN12" s="66">
        <v>682</v>
      </c>
      <c r="AO12" s="66">
        <v>865</v>
      </c>
      <c r="AP12" s="66">
        <v>989</v>
      </c>
      <c r="AQ12" s="66">
        <v>619</v>
      </c>
      <c r="AR12" s="66">
        <v>3761</v>
      </c>
      <c r="AS12" s="66"/>
      <c r="AT12" s="66" t="s">
        <v>2017</v>
      </c>
      <c r="AU12" s="66">
        <v>15</v>
      </c>
      <c r="AV12" s="66">
        <v>2</v>
      </c>
      <c r="AW12" s="66">
        <v>0</v>
      </c>
      <c r="AX12" s="66">
        <v>0</v>
      </c>
      <c r="AY12" s="66">
        <v>1</v>
      </c>
      <c r="AZ12" s="66">
        <v>18</v>
      </c>
      <c r="BB12" s="69" t="s">
        <v>1183</v>
      </c>
      <c r="BC12" s="69" t="s">
        <v>2017</v>
      </c>
      <c r="BD12" s="69">
        <v>261</v>
      </c>
      <c r="BE12" s="69">
        <v>307</v>
      </c>
      <c r="BF12" s="69">
        <v>436</v>
      </c>
      <c r="BG12" s="69">
        <v>590</v>
      </c>
      <c r="BH12" s="69">
        <v>573</v>
      </c>
      <c r="BI12" s="69">
        <v>2167</v>
      </c>
      <c r="BJ12" s="69"/>
      <c r="BK12" s="69" t="s">
        <v>2017</v>
      </c>
      <c r="BL12" s="69">
        <v>23</v>
      </c>
      <c r="BM12" s="69">
        <v>0</v>
      </c>
      <c r="BN12" s="69">
        <v>0</v>
      </c>
      <c r="BO12" s="69">
        <v>0</v>
      </c>
      <c r="BP12" s="69">
        <v>0</v>
      </c>
      <c r="BQ12" s="69">
        <v>23</v>
      </c>
      <c r="BS12" s="70" t="s">
        <v>1433</v>
      </c>
      <c r="BT12" s="70" t="s">
        <v>2017</v>
      </c>
      <c r="BU12" s="70">
        <v>106</v>
      </c>
      <c r="BV12" s="70">
        <v>47</v>
      </c>
      <c r="BW12" s="70">
        <v>119</v>
      </c>
      <c r="BX12" s="70">
        <v>148</v>
      </c>
      <c r="BY12" s="70">
        <v>255</v>
      </c>
      <c r="BZ12" s="70">
        <v>675</v>
      </c>
      <c r="CA12" s="70"/>
      <c r="CB12" s="70" t="s">
        <v>2017</v>
      </c>
      <c r="CC12" s="70">
        <v>20</v>
      </c>
      <c r="CD12" s="70">
        <v>0</v>
      </c>
      <c r="CE12" s="70">
        <v>0</v>
      </c>
      <c r="CF12" s="70">
        <v>0</v>
      </c>
      <c r="CG12" s="70">
        <v>0</v>
      </c>
      <c r="CH12" s="70">
        <v>20</v>
      </c>
      <c r="CL12" s="57" t="s">
        <v>361</v>
      </c>
      <c r="CM12" s="57" t="s">
        <v>2017</v>
      </c>
      <c r="CN12" s="57">
        <v>81</v>
      </c>
      <c r="CO12" s="57">
        <v>47</v>
      </c>
      <c r="CP12" s="57">
        <v>91</v>
      </c>
      <c r="CQ12" s="57">
        <v>140</v>
      </c>
      <c r="CR12" s="57">
        <v>120</v>
      </c>
      <c r="CS12" s="57">
        <v>479</v>
      </c>
      <c r="CT12" s="57"/>
      <c r="CU12" s="57" t="s">
        <v>2017</v>
      </c>
      <c r="CV12" s="57">
        <v>17</v>
      </c>
      <c r="CW12" s="57">
        <v>0</v>
      </c>
      <c r="CX12" s="57">
        <v>0</v>
      </c>
      <c r="CY12" s="57">
        <v>0</v>
      </c>
      <c r="CZ12" s="57">
        <v>0</v>
      </c>
      <c r="DA12" s="57">
        <v>17</v>
      </c>
      <c r="DD12" s="77" t="s">
        <v>1620</v>
      </c>
      <c r="DE12" s="77" t="s">
        <v>2017</v>
      </c>
      <c r="DF12" s="77">
        <v>505</v>
      </c>
      <c r="DG12" s="77">
        <v>679</v>
      </c>
      <c r="DH12" s="77">
        <v>763</v>
      </c>
      <c r="DI12" s="77">
        <v>868</v>
      </c>
      <c r="DJ12" s="77">
        <v>761</v>
      </c>
      <c r="DK12" s="77">
        <v>3576</v>
      </c>
      <c r="DL12" s="77"/>
      <c r="DM12" s="77" t="s">
        <v>2017</v>
      </c>
      <c r="DN12" s="77">
        <v>17</v>
      </c>
      <c r="DO12" s="77">
        <v>8</v>
      </c>
      <c r="DP12" s="77">
        <v>3</v>
      </c>
      <c r="DQ12" s="77">
        <v>2</v>
      </c>
      <c r="DR12" s="77">
        <v>1</v>
      </c>
      <c r="DS12" s="77">
        <v>31</v>
      </c>
      <c r="DV12" s="79" t="s">
        <v>1982</v>
      </c>
      <c r="DW12" s="79" t="s">
        <v>2017</v>
      </c>
      <c r="DX12" s="79">
        <v>391</v>
      </c>
      <c r="DY12" s="79">
        <v>388</v>
      </c>
      <c r="DZ12" s="79">
        <v>528</v>
      </c>
      <c r="EA12" s="79">
        <v>479</v>
      </c>
      <c r="EB12" s="79">
        <v>386</v>
      </c>
      <c r="EC12" s="79">
        <v>2172</v>
      </c>
      <c r="ED12" s="79"/>
      <c r="EE12" s="79" t="s">
        <v>2017</v>
      </c>
      <c r="EF12" s="79">
        <v>16</v>
      </c>
      <c r="EG12" s="79">
        <v>3</v>
      </c>
      <c r="EH12" s="79">
        <v>0</v>
      </c>
      <c r="EI12" s="79">
        <v>0</v>
      </c>
      <c r="EJ12" s="79">
        <v>0</v>
      </c>
      <c r="EK12" s="79">
        <v>19</v>
      </c>
      <c r="EN12" s="57" t="s">
        <v>1726</v>
      </c>
      <c r="EO12" s="57" t="s">
        <v>2017</v>
      </c>
      <c r="EP12" s="57" t="s">
        <v>324</v>
      </c>
      <c r="EQ12" s="57" t="s">
        <v>324</v>
      </c>
      <c r="ER12" s="57" t="s">
        <v>324</v>
      </c>
      <c r="ES12" s="57" t="s">
        <v>324</v>
      </c>
      <c r="ET12" s="57" t="s">
        <v>324</v>
      </c>
      <c r="EU12" s="57" t="s">
        <v>324</v>
      </c>
      <c r="EV12" s="57"/>
      <c r="EW12" s="57" t="s">
        <v>2017</v>
      </c>
      <c r="EX12" s="57" t="s">
        <v>324</v>
      </c>
      <c r="EY12" s="57" t="s">
        <v>324</v>
      </c>
      <c r="EZ12" s="57" t="s">
        <v>324</v>
      </c>
      <c r="FA12" s="57" t="s">
        <v>324</v>
      </c>
      <c r="FB12" s="57" t="s">
        <v>324</v>
      </c>
      <c r="FC12" s="57" t="s">
        <v>324</v>
      </c>
      <c r="FF12" s="70" t="s">
        <v>1808</v>
      </c>
      <c r="FG12" s="70" t="s">
        <v>2017</v>
      </c>
      <c r="FH12" s="70">
        <v>247</v>
      </c>
      <c r="FI12" s="70">
        <v>276</v>
      </c>
      <c r="FJ12" s="70">
        <v>285</v>
      </c>
      <c r="FK12" s="70">
        <v>355</v>
      </c>
      <c r="FL12" s="70">
        <v>429</v>
      </c>
      <c r="FM12" s="70">
        <v>1592</v>
      </c>
      <c r="FN12" s="70"/>
      <c r="FO12" s="70" t="s">
        <v>2017</v>
      </c>
      <c r="FP12" s="70">
        <v>83</v>
      </c>
      <c r="FQ12" s="70">
        <v>3</v>
      </c>
      <c r="FR12" s="70">
        <v>0</v>
      </c>
      <c r="FS12" s="70">
        <v>0</v>
      </c>
      <c r="FT12" s="70">
        <v>0</v>
      </c>
      <c r="FU12" s="70">
        <v>86</v>
      </c>
    </row>
    <row r="13" spans="2:179">
      <c r="B13" s="64" t="s">
        <v>755</v>
      </c>
      <c r="C13" s="64" t="s">
        <v>2017</v>
      </c>
      <c r="D13" s="64" t="s">
        <v>324</v>
      </c>
      <c r="E13" s="64" t="s">
        <v>324</v>
      </c>
      <c r="F13" s="64" t="s">
        <v>324</v>
      </c>
      <c r="G13" s="64" t="s">
        <v>324</v>
      </c>
      <c r="H13" s="64" t="s">
        <v>324</v>
      </c>
      <c r="I13" s="64" t="s">
        <v>324</v>
      </c>
      <c r="K13" s="64" t="s">
        <v>2017</v>
      </c>
      <c r="L13" s="64" t="s">
        <v>324</v>
      </c>
      <c r="M13" s="64" t="s">
        <v>324</v>
      </c>
      <c r="N13" s="64" t="s">
        <v>324</v>
      </c>
      <c r="O13" s="64" t="s">
        <v>324</v>
      </c>
      <c r="P13" s="64" t="s">
        <v>324</v>
      </c>
      <c r="Q13" s="64" t="s">
        <v>324</v>
      </c>
      <c r="T13" s="65" t="s">
        <v>962</v>
      </c>
      <c r="U13" s="65" t="s">
        <v>2017</v>
      </c>
      <c r="V13" s="65">
        <v>668</v>
      </c>
      <c r="W13" s="65">
        <v>905</v>
      </c>
      <c r="X13" s="65">
        <v>1336</v>
      </c>
      <c r="Y13" s="65">
        <v>1545</v>
      </c>
      <c r="Z13" s="65">
        <v>927</v>
      </c>
      <c r="AA13" s="65">
        <v>5381</v>
      </c>
      <c r="AB13" s="65"/>
      <c r="AC13" s="65" t="s">
        <v>2017</v>
      </c>
      <c r="AD13" s="65">
        <v>25</v>
      </c>
      <c r="AE13" s="65">
        <v>6</v>
      </c>
      <c r="AF13" s="65">
        <v>3</v>
      </c>
      <c r="AG13" s="65">
        <v>1</v>
      </c>
      <c r="AH13" s="65">
        <v>0</v>
      </c>
      <c r="AI13" s="65">
        <v>35</v>
      </c>
      <c r="AK13" s="66" t="s">
        <v>1123</v>
      </c>
      <c r="AL13" s="66" t="s">
        <v>2017</v>
      </c>
      <c r="AM13" s="66">
        <v>576</v>
      </c>
      <c r="AN13" s="66">
        <v>571</v>
      </c>
      <c r="AO13" s="66">
        <v>628</v>
      </c>
      <c r="AP13" s="66">
        <v>728</v>
      </c>
      <c r="AQ13" s="66">
        <v>552</v>
      </c>
      <c r="AR13" s="66">
        <v>3055</v>
      </c>
      <c r="AS13" s="66"/>
      <c r="AT13" s="66" t="s">
        <v>2017</v>
      </c>
      <c r="AU13" s="66">
        <v>28</v>
      </c>
      <c r="AV13" s="66">
        <v>4</v>
      </c>
      <c r="AW13" s="66">
        <v>2</v>
      </c>
      <c r="AX13" s="66">
        <v>2</v>
      </c>
      <c r="AY13" s="66">
        <v>1</v>
      </c>
      <c r="AZ13" s="66">
        <v>37</v>
      </c>
      <c r="BB13" s="69" t="s">
        <v>1186</v>
      </c>
      <c r="BC13" s="69" t="s">
        <v>2017</v>
      </c>
      <c r="BD13" s="69">
        <v>130</v>
      </c>
      <c r="BE13" s="69">
        <v>111</v>
      </c>
      <c r="BF13" s="69">
        <v>171</v>
      </c>
      <c r="BG13" s="69">
        <v>241</v>
      </c>
      <c r="BH13" s="69">
        <v>261</v>
      </c>
      <c r="BI13" s="69">
        <v>914</v>
      </c>
      <c r="BJ13" s="69"/>
      <c r="BK13" s="69" t="s">
        <v>2017</v>
      </c>
      <c r="BL13" s="69">
        <v>18</v>
      </c>
      <c r="BM13" s="69">
        <v>0</v>
      </c>
      <c r="BN13" s="69">
        <v>0</v>
      </c>
      <c r="BO13" s="69">
        <v>0</v>
      </c>
      <c r="BP13" s="69">
        <v>0</v>
      </c>
      <c r="BQ13" s="69">
        <v>18</v>
      </c>
      <c r="BS13" s="70" t="s">
        <v>1436</v>
      </c>
      <c r="BT13" s="70" t="s">
        <v>2017</v>
      </c>
      <c r="BU13" s="70">
        <v>67</v>
      </c>
      <c r="BV13" s="70">
        <v>94</v>
      </c>
      <c r="BW13" s="70">
        <v>133</v>
      </c>
      <c r="BX13" s="70">
        <v>241</v>
      </c>
      <c r="BY13" s="70">
        <v>214</v>
      </c>
      <c r="BZ13" s="70">
        <v>749</v>
      </c>
      <c r="CA13" s="70"/>
      <c r="CB13" s="70" t="s">
        <v>2017</v>
      </c>
      <c r="CC13" s="70">
        <v>18</v>
      </c>
      <c r="CD13" s="70">
        <v>0</v>
      </c>
      <c r="CE13" s="70">
        <v>0</v>
      </c>
      <c r="CF13" s="70">
        <v>0</v>
      </c>
      <c r="CG13" s="70">
        <v>0</v>
      </c>
      <c r="CH13" s="70">
        <v>18</v>
      </c>
      <c r="CL13" s="57" t="s">
        <v>359</v>
      </c>
      <c r="CM13" s="57" t="s">
        <v>2017</v>
      </c>
      <c r="CN13" s="57">
        <v>70</v>
      </c>
      <c r="CO13" s="57">
        <v>48</v>
      </c>
      <c r="CP13" s="57">
        <v>96</v>
      </c>
      <c r="CQ13" s="57">
        <v>152</v>
      </c>
      <c r="CR13" s="57">
        <v>217</v>
      </c>
      <c r="CS13" s="57">
        <v>583</v>
      </c>
      <c r="CT13" s="57"/>
      <c r="CU13" s="57" t="s">
        <v>2017</v>
      </c>
      <c r="CV13" s="57">
        <v>11</v>
      </c>
      <c r="CW13" s="57">
        <v>0</v>
      </c>
      <c r="CX13" s="57">
        <v>0</v>
      </c>
      <c r="CY13" s="57">
        <v>0</v>
      </c>
      <c r="CZ13" s="57">
        <v>0</v>
      </c>
      <c r="DA13" s="57">
        <v>11</v>
      </c>
      <c r="DD13" s="77" t="s">
        <v>1623</v>
      </c>
      <c r="DE13" s="77" t="s">
        <v>2017</v>
      </c>
      <c r="DF13" s="77">
        <v>370</v>
      </c>
      <c r="DG13" s="77">
        <v>481</v>
      </c>
      <c r="DH13" s="77">
        <v>612</v>
      </c>
      <c r="DI13" s="77">
        <v>631</v>
      </c>
      <c r="DJ13" s="77">
        <v>483</v>
      </c>
      <c r="DK13" s="77">
        <v>2577</v>
      </c>
      <c r="DL13" s="77"/>
      <c r="DM13" s="77" t="s">
        <v>2017</v>
      </c>
      <c r="DN13" s="77">
        <v>9</v>
      </c>
      <c r="DO13" s="77">
        <v>14</v>
      </c>
      <c r="DP13" s="77">
        <v>6</v>
      </c>
      <c r="DQ13" s="77">
        <v>2</v>
      </c>
      <c r="DR13" s="77">
        <v>2</v>
      </c>
      <c r="DS13" s="77">
        <v>33</v>
      </c>
      <c r="DU13" s="16" t="s">
        <v>1658</v>
      </c>
      <c r="DV13" s="79" t="s">
        <v>2691</v>
      </c>
      <c r="DW13" s="79" t="s">
        <v>2017</v>
      </c>
      <c r="DX13" s="79">
        <v>242</v>
      </c>
      <c r="DY13" s="79">
        <v>323</v>
      </c>
      <c r="DZ13" s="79">
        <v>472</v>
      </c>
      <c r="EA13" s="79">
        <v>505</v>
      </c>
      <c r="EB13" s="79">
        <v>407</v>
      </c>
      <c r="EC13" s="79">
        <v>1949</v>
      </c>
      <c r="ED13" s="79"/>
      <c r="EE13" s="79" t="s">
        <v>2017</v>
      </c>
      <c r="EF13" s="79">
        <v>16</v>
      </c>
      <c r="EG13" s="79">
        <v>0</v>
      </c>
      <c r="EH13" s="79">
        <v>0</v>
      </c>
      <c r="EI13" s="79">
        <v>0</v>
      </c>
      <c r="EJ13" s="79">
        <v>0</v>
      </c>
      <c r="EK13" s="79">
        <v>16</v>
      </c>
      <c r="EN13" s="57" t="s">
        <v>1729</v>
      </c>
      <c r="EO13" s="57" t="s">
        <v>2017</v>
      </c>
      <c r="EP13" s="57">
        <v>280</v>
      </c>
      <c r="EQ13" s="57">
        <v>345</v>
      </c>
      <c r="ER13" s="57">
        <v>389</v>
      </c>
      <c r="ES13" s="57">
        <v>439</v>
      </c>
      <c r="ET13" s="57">
        <v>620</v>
      </c>
      <c r="EU13" s="57">
        <v>2073</v>
      </c>
      <c r="EV13" s="57"/>
      <c r="EW13" s="57" t="s">
        <v>2017</v>
      </c>
      <c r="EX13" s="57">
        <v>82</v>
      </c>
      <c r="EY13" s="57">
        <v>54</v>
      </c>
      <c r="EZ13" s="57">
        <v>17</v>
      </c>
      <c r="FA13" s="57">
        <v>12</v>
      </c>
      <c r="FB13" s="57">
        <v>10</v>
      </c>
      <c r="FC13" s="57">
        <v>175</v>
      </c>
      <c r="FF13" s="70" t="s">
        <v>1809</v>
      </c>
      <c r="FG13" s="70" t="s">
        <v>2017</v>
      </c>
      <c r="FH13" s="70">
        <v>327</v>
      </c>
      <c r="FI13" s="70">
        <v>380</v>
      </c>
      <c r="FJ13" s="70">
        <v>399</v>
      </c>
      <c r="FK13" s="70">
        <v>483</v>
      </c>
      <c r="FL13" s="70">
        <v>640</v>
      </c>
      <c r="FM13" s="70">
        <v>2229</v>
      </c>
      <c r="FN13" s="70"/>
      <c r="FO13" s="70" t="s">
        <v>2017</v>
      </c>
      <c r="FP13" s="70">
        <v>68</v>
      </c>
      <c r="FQ13" s="70">
        <v>12</v>
      </c>
      <c r="FR13" s="70">
        <v>0</v>
      </c>
      <c r="FS13" s="70">
        <v>0</v>
      </c>
      <c r="FT13" s="70">
        <v>0</v>
      </c>
      <c r="FU13" s="70">
        <v>80</v>
      </c>
    </row>
    <row r="14" spans="2:179">
      <c r="B14" s="64" t="s">
        <v>759</v>
      </c>
      <c r="C14" s="64" t="s">
        <v>2017</v>
      </c>
      <c r="D14" s="64" t="s">
        <v>324</v>
      </c>
      <c r="E14" s="64" t="s">
        <v>324</v>
      </c>
      <c r="F14" s="64" t="s">
        <v>324</v>
      </c>
      <c r="G14" s="64" t="s">
        <v>324</v>
      </c>
      <c r="H14" s="64" t="s">
        <v>324</v>
      </c>
      <c r="I14" s="64" t="s">
        <v>324</v>
      </c>
      <c r="K14" s="64" t="s">
        <v>2017</v>
      </c>
      <c r="L14" s="64" t="s">
        <v>324</v>
      </c>
      <c r="M14" s="64" t="s">
        <v>324</v>
      </c>
      <c r="N14" s="64" t="s">
        <v>324</v>
      </c>
      <c r="O14" s="64" t="s">
        <v>324</v>
      </c>
      <c r="P14" s="64" t="s">
        <v>324</v>
      </c>
      <c r="Q14" s="64" t="s">
        <v>324</v>
      </c>
      <c r="T14" s="65" t="s">
        <v>1902</v>
      </c>
      <c r="U14" s="65" t="s">
        <v>2017</v>
      </c>
      <c r="V14" s="65">
        <v>705</v>
      </c>
      <c r="W14" s="65">
        <v>691</v>
      </c>
      <c r="X14" s="65">
        <v>956</v>
      </c>
      <c r="Y14" s="65">
        <v>1073</v>
      </c>
      <c r="Z14" s="65">
        <v>746</v>
      </c>
      <c r="AA14" s="65">
        <v>4171</v>
      </c>
      <c r="AB14" s="65"/>
      <c r="AC14" s="65" t="s">
        <v>2017</v>
      </c>
      <c r="AD14" s="65">
        <v>22</v>
      </c>
      <c r="AE14" s="65">
        <v>0</v>
      </c>
      <c r="AF14" s="65">
        <v>0</v>
      </c>
      <c r="AG14" s="65">
        <v>0</v>
      </c>
      <c r="AH14" s="65">
        <v>0</v>
      </c>
      <c r="AI14" s="65">
        <v>22</v>
      </c>
      <c r="AK14" s="66" t="s">
        <v>1126</v>
      </c>
      <c r="AL14" s="66" t="s">
        <v>2017</v>
      </c>
      <c r="AM14" s="66">
        <v>1170</v>
      </c>
      <c r="AN14" s="66">
        <v>469</v>
      </c>
      <c r="AO14" s="66">
        <v>594</v>
      </c>
      <c r="AP14" s="66">
        <v>609</v>
      </c>
      <c r="AQ14" s="66">
        <v>501</v>
      </c>
      <c r="AR14" s="66">
        <v>3343</v>
      </c>
      <c r="AS14" s="66"/>
      <c r="AT14" s="66" t="s">
        <v>2017</v>
      </c>
      <c r="AU14" s="66">
        <v>68</v>
      </c>
      <c r="AV14" s="66">
        <v>0</v>
      </c>
      <c r="AW14" s="66">
        <v>0</v>
      </c>
      <c r="AX14" s="66">
        <v>0</v>
      </c>
      <c r="AY14" s="66">
        <v>0</v>
      </c>
      <c r="AZ14" s="66">
        <v>68</v>
      </c>
      <c r="BB14" s="69" t="s">
        <v>1189</v>
      </c>
      <c r="BC14" s="69" t="s">
        <v>2017</v>
      </c>
      <c r="BD14" s="69">
        <v>35</v>
      </c>
      <c r="BE14" s="69">
        <v>44</v>
      </c>
      <c r="BF14" s="69">
        <v>80</v>
      </c>
      <c r="BG14" s="69">
        <v>130</v>
      </c>
      <c r="BH14" s="69">
        <v>146</v>
      </c>
      <c r="BI14" s="69">
        <v>435</v>
      </c>
      <c r="BJ14" s="69"/>
      <c r="BK14" s="69" t="s">
        <v>2017</v>
      </c>
      <c r="BL14" s="69">
        <v>1</v>
      </c>
      <c r="BM14" s="69">
        <v>0</v>
      </c>
      <c r="BN14" s="69">
        <v>0</v>
      </c>
      <c r="BO14" s="69">
        <v>0</v>
      </c>
      <c r="BP14" s="69">
        <v>0</v>
      </c>
      <c r="BQ14" s="69">
        <v>1</v>
      </c>
      <c r="BS14" s="70" t="s">
        <v>1438</v>
      </c>
      <c r="BT14" s="70" t="s">
        <v>2017</v>
      </c>
      <c r="BU14" s="70">
        <v>61</v>
      </c>
      <c r="BV14" s="70">
        <v>141</v>
      </c>
      <c r="BW14" s="70">
        <v>313</v>
      </c>
      <c r="BX14" s="70">
        <v>523</v>
      </c>
      <c r="BY14" s="70">
        <v>481</v>
      </c>
      <c r="BZ14" s="70">
        <v>1519</v>
      </c>
      <c r="CA14" s="70"/>
      <c r="CB14" s="70" t="s">
        <v>2017</v>
      </c>
      <c r="CC14" s="70">
        <v>10</v>
      </c>
      <c r="CD14" s="70">
        <v>0</v>
      </c>
      <c r="CE14" s="70">
        <v>0</v>
      </c>
      <c r="CF14" s="70">
        <v>0</v>
      </c>
      <c r="CG14" s="70">
        <v>0</v>
      </c>
      <c r="CH14" s="70">
        <v>10</v>
      </c>
      <c r="CL14" s="57" t="s">
        <v>507</v>
      </c>
      <c r="CM14" s="57" t="s">
        <v>2017</v>
      </c>
      <c r="CN14" s="57">
        <v>295</v>
      </c>
      <c r="CO14" s="57">
        <v>95</v>
      </c>
      <c r="CP14" s="57">
        <v>185</v>
      </c>
      <c r="CQ14" s="57">
        <v>226</v>
      </c>
      <c r="CR14" s="57">
        <v>332</v>
      </c>
      <c r="CS14" s="57">
        <v>1133</v>
      </c>
      <c r="CT14" s="57"/>
      <c r="CU14" s="57" t="s">
        <v>2017</v>
      </c>
      <c r="CV14" s="57">
        <v>53</v>
      </c>
      <c r="CW14" s="57">
        <v>0</v>
      </c>
      <c r="CX14" s="57">
        <v>0</v>
      </c>
      <c r="CY14" s="57">
        <v>0</v>
      </c>
      <c r="CZ14" s="57">
        <v>0</v>
      </c>
      <c r="DA14" s="57">
        <v>53</v>
      </c>
      <c r="DU14" s="16" t="s">
        <v>1661</v>
      </c>
      <c r="DV14" s="79" t="s">
        <v>2688</v>
      </c>
      <c r="DW14" s="79" t="s">
        <v>2017</v>
      </c>
      <c r="DX14" s="79">
        <v>155</v>
      </c>
      <c r="DY14" s="79">
        <v>251</v>
      </c>
      <c r="DZ14" s="79">
        <v>406</v>
      </c>
      <c r="EA14" s="79">
        <v>539</v>
      </c>
      <c r="EB14" s="79">
        <v>515</v>
      </c>
      <c r="EC14" s="79">
        <v>1866</v>
      </c>
      <c r="ED14" s="79"/>
      <c r="EE14" s="79" t="s">
        <v>2017</v>
      </c>
      <c r="EF14" s="79">
        <v>19</v>
      </c>
      <c r="EG14" s="79">
        <v>4</v>
      </c>
      <c r="EH14" s="79">
        <v>0</v>
      </c>
      <c r="EI14" s="79">
        <v>0</v>
      </c>
      <c r="EJ14" s="79">
        <v>0</v>
      </c>
      <c r="EK14" s="79">
        <v>23</v>
      </c>
      <c r="EN14" s="57" t="s">
        <v>1994</v>
      </c>
      <c r="EO14" s="57" t="s">
        <v>2017</v>
      </c>
      <c r="EP14" s="57" t="s">
        <v>324</v>
      </c>
      <c r="EQ14" s="57" t="s">
        <v>324</v>
      </c>
      <c r="ER14" s="57" t="s">
        <v>324</v>
      </c>
      <c r="ES14" s="57" t="s">
        <v>324</v>
      </c>
      <c r="ET14" s="57" t="s">
        <v>324</v>
      </c>
      <c r="EU14" s="57" t="s">
        <v>324</v>
      </c>
      <c r="EV14" s="57"/>
      <c r="EW14" s="57" t="s">
        <v>2017</v>
      </c>
      <c r="EX14" s="57" t="s">
        <v>324</v>
      </c>
      <c r="EY14" s="57" t="s">
        <v>324</v>
      </c>
      <c r="EZ14" s="57" t="s">
        <v>324</v>
      </c>
      <c r="FA14" s="57" t="s">
        <v>324</v>
      </c>
      <c r="FB14" s="57" t="s">
        <v>324</v>
      </c>
      <c r="FC14" s="57" t="s">
        <v>324</v>
      </c>
      <c r="FF14" s="70" t="s">
        <v>1811</v>
      </c>
      <c r="FG14" s="70" t="s">
        <v>2017</v>
      </c>
      <c r="FH14" s="70" t="s">
        <v>324</v>
      </c>
      <c r="FI14" s="70" t="s">
        <v>324</v>
      </c>
      <c r="FJ14" s="70" t="s">
        <v>324</v>
      </c>
      <c r="FK14" s="70" t="s">
        <v>324</v>
      </c>
      <c r="FL14" s="70" t="s">
        <v>324</v>
      </c>
      <c r="FM14" s="70" t="s">
        <v>324</v>
      </c>
      <c r="FN14" s="70"/>
      <c r="FO14" s="70" t="s">
        <v>2017</v>
      </c>
      <c r="FP14" s="70" t="s">
        <v>324</v>
      </c>
      <c r="FQ14" s="70" t="s">
        <v>324</v>
      </c>
      <c r="FR14" s="70" t="s">
        <v>324</v>
      </c>
      <c r="FS14" s="70" t="s">
        <v>324</v>
      </c>
      <c r="FT14" s="70" t="s">
        <v>324</v>
      </c>
      <c r="FU14" s="70" t="s">
        <v>324</v>
      </c>
    </row>
    <row r="15" spans="2:179">
      <c r="B15" s="64" t="s">
        <v>762</v>
      </c>
      <c r="C15" s="64" t="s">
        <v>2017</v>
      </c>
      <c r="D15" s="64" t="s">
        <v>324</v>
      </c>
      <c r="E15" s="64" t="s">
        <v>324</v>
      </c>
      <c r="F15" s="64" t="s">
        <v>324</v>
      </c>
      <c r="G15" s="64" t="s">
        <v>324</v>
      </c>
      <c r="H15" s="64" t="s">
        <v>324</v>
      </c>
      <c r="I15" s="64" t="s">
        <v>324</v>
      </c>
      <c r="K15" s="64" t="s">
        <v>2017</v>
      </c>
      <c r="L15" s="64" t="s">
        <v>324</v>
      </c>
      <c r="M15" s="64" t="s">
        <v>324</v>
      </c>
      <c r="N15" s="64" t="s">
        <v>324</v>
      </c>
      <c r="O15" s="64" t="s">
        <v>324</v>
      </c>
      <c r="P15" s="64" t="s">
        <v>324</v>
      </c>
      <c r="Q15" s="64" t="s">
        <v>324</v>
      </c>
      <c r="T15" s="65" t="s">
        <v>971</v>
      </c>
      <c r="U15" s="65" t="s">
        <v>2017</v>
      </c>
      <c r="V15" s="65" t="s">
        <v>324</v>
      </c>
      <c r="W15" s="65" t="s">
        <v>324</v>
      </c>
      <c r="X15" s="65" t="s">
        <v>324</v>
      </c>
      <c r="Y15" s="65" t="s">
        <v>324</v>
      </c>
      <c r="Z15" s="65" t="s">
        <v>324</v>
      </c>
      <c r="AA15" s="65" t="s">
        <v>324</v>
      </c>
      <c r="AB15" s="65"/>
      <c r="AC15" s="65" t="s">
        <v>2017</v>
      </c>
      <c r="AD15" s="65" t="s">
        <v>324</v>
      </c>
      <c r="AE15" s="65" t="s">
        <v>324</v>
      </c>
      <c r="AF15" s="65" t="s">
        <v>324</v>
      </c>
      <c r="AG15" s="65" t="s">
        <v>324</v>
      </c>
      <c r="AH15" s="65" t="s">
        <v>324</v>
      </c>
      <c r="AI15" s="65" t="s">
        <v>324</v>
      </c>
      <c r="AK15" s="66" t="s">
        <v>1131</v>
      </c>
      <c r="AL15" s="66" t="s">
        <v>2017</v>
      </c>
      <c r="AM15" s="66">
        <v>360</v>
      </c>
      <c r="AN15" s="66">
        <v>400</v>
      </c>
      <c r="AO15" s="66">
        <v>578</v>
      </c>
      <c r="AP15" s="66">
        <v>791</v>
      </c>
      <c r="AQ15" s="66">
        <v>664</v>
      </c>
      <c r="AR15" s="66">
        <v>2793</v>
      </c>
      <c r="AS15" s="66"/>
      <c r="AT15" s="66" t="s">
        <v>2017</v>
      </c>
      <c r="AU15" s="66">
        <v>30</v>
      </c>
      <c r="AV15" s="66">
        <v>2</v>
      </c>
      <c r="AW15" s="66">
        <v>2</v>
      </c>
      <c r="AX15" s="66">
        <v>0</v>
      </c>
      <c r="AY15" s="66">
        <v>0</v>
      </c>
      <c r="AZ15" s="66">
        <v>34</v>
      </c>
      <c r="BB15" s="69" t="s">
        <v>1193</v>
      </c>
      <c r="BC15" s="69" t="s">
        <v>2017</v>
      </c>
      <c r="BD15" s="69">
        <v>204</v>
      </c>
      <c r="BE15" s="69">
        <v>274</v>
      </c>
      <c r="BF15" s="69">
        <v>420</v>
      </c>
      <c r="BG15" s="69">
        <v>629</v>
      </c>
      <c r="BH15" s="69">
        <v>645</v>
      </c>
      <c r="BI15" s="69">
        <v>2172</v>
      </c>
      <c r="BJ15" s="69"/>
      <c r="BK15" s="69" t="s">
        <v>2017</v>
      </c>
      <c r="BL15" s="69">
        <v>36</v>
      </c>
      <c r="BM15" s="69">
        <v>0</v>
      </c>
      <c r="BN15" s="69">
        <v>0</v>
      </c>
      <c r="BO15" s="69">
        <v>0</v>
      </c>
      <c r="BP15" s="69">
        <v>0</v>
      </c>
      <c r="BQ15" s="69">
        <v>36</v>
      </c>
      <c r="BS15" s="70" t="s">
        <v>1440</v>
      </c>
      <c r="BT15" s="70" t="s">
        <v>2017</v>
      </c>
      <c r="BU15" s="70">
        <v>147</v>
      </c>
      <c r="BV15" s="70">
        <v>211</v>
      </c>
      <c r="BW15" s="70">
        <v>434</v>
      </c>
      <c r="BX15" s="70">
        <v>618</v>
      </c>
      <c r="BY15" s="70">
        <v>633</v>
      </c>
      <c r="BZ15" s="70">
        <v>2043</v>
      </c>
      <c r="CA15" s="70"/>
      <c r="CB15" s="70" t="s">
        <v>2017</v>
      </c>
      <c r="CC15" s="70">
        <v>17</v>
      </c>
      <c r="CD15" s="70">
        <v>0</v>
      </c>
      <c r="CE15" s="70">
        <v>0</v>
      </c>
      <c r="CF15" s="70">
        <v>0</v>
      </c>
      <c r="CG15" s="70">
        <v>0</v>
      </c>
      <c r="CH15" s="70">
        <v>17</v>
      </c>
      <c r="CL15" s="57" t="s">
        <v>511</v>
      </c>
      <c r="CM15" s="57" t="s">
        <v>2017</v>
      </c>
      <c r="CN15" s="57">
        <v>219</v>
      </c>
      <c r="CO15" s="57">
        <v>211</v>
      </c>
      <c r="CP15" s="57">
        <v>315</v>
      </c>
      <c r="CQ15" s="57">
        <v>384</v>
      </c>
      <c r="CR15" s="57">
        <v>313</v>
      </c>
      <c r="CS15" s="57">
        <v>1442</v>
      </c>
      <c r="CT15" s="57"/>
      <c r="CU15" s="57" t="s">
        <v>2017</v>
      </c>
      <c r="CV15" s="57">
        <v>35</v>
      </c>
      <c r="CW15" s="57">
        <v>0</v>
      </c>
      <c r="CX15" s="57">
        <v>0</v>
      </c>
      <c r="CY15" s="57">
        <v>0</v>
      </c>
      <c r="CZ15" s="57">
        <v>0</v>
      </c>
      <c r="DA15" s="57">
        <v>35</v>
      </c>
      <c r="DD15" s="77" t="s">
        <v>371</v>
      </c>
      <c r="DE15" s="77" t="s">
        <v>2018</v>
      </c>
      <c r="DF15" s="77">
        <v>414</v>
      </c>
      <c r="DG15" s="77">
        <v>552</v>
      </c>
      <c r="DH15" s="77">
        <v>670</v>
      </c>
      <c r="DI15" s="77">
        <v>651</v>
      </c>
      <c r="DJ15" s="77">
        <v>490</v>
      </c>
      <c r="DK15" s="77">
        <v>2777</v>
      </c>
      <c r="DL15" s="77"/>
      <c r="DM15" s="77" t="s">
        <v>2018</v>
      </c>
      <c r="DN15" s="77">
        <v>35</v>
      </c>
      <c r="DO15" s="77">
        <v>9</v>
      </c>
      <c r="DP15" s="77">
        <v>2</v>
      </c>
      <c r="DQ15" s="77">
        <v>0</v>
      </c>
      <c r="DR15" s="77">
        <v>0</v>
      </c>
      <c r="DS15" s="77">
        <v>46</v>
      </c>
      <c r="DU15" s="16" t="s">
        <v>1667</v>
      </c>
      <c r="DV15" s="79" t="s">
        <v>2697</v>
      </c>
      <c r="DW15" s="79" t="s">
        <v>2017</v>
      </c>
      <c r="DX15" s="79">
        <v>220</v>
      </c>
      <c r="DY15" s="79">
        <v>336</v>
      </c>
      <c r="DZ15" s="79">
        <v>348</v>
      </c>
      <c r="EA15" s="79">
        <v>471</v>
      </c>
      <c r="EB15" s="79">
        <v>390</v>
      </c>
      <c r="EC15" s="79">
        <v>1765</v>
      </c>
      <c r="ED15" s="79"/>
      <c r="EE15" s="79" t="s">
        <v>2017</v>
      </c>
      <c r="EF15" s="79">
        <v>13</v>
      </c>
      <c r="EG15" s="79">
        <v>3</v>
      </c>
      <c r="EH15" s="79">
        <v>0</v>
      </c>
      <c r="EI15" s="79">
        <v>0</v>
      </c>
      <c r="EJ15" s="79">
        <v>0</v>
      </c>
      <c r="EK15" s="79">
        <v>16</v>
      </c>
      <c r="EN15" s="57" t="s">
        <v>1734</v>
      </c>
      <c r="EO15" s="57" t="s">
        <v>2017</v>
      </c>
      <c r="EP15" s="57">
        <v>473</v>
      </c>
      <c r="EQ15" s="57">
        <v>683</v>
      </c>
      <c r="ER15" s="57">
        <v>731</v>
      </c>
      <c r="ES15" s="57">
        <v>897</v>
      </c>
      <c r="ET15" s="57">
        <v>1108</v>
      </c>
      <c r="EU15" s="57">
        <v>3892</v>
      </c>
      <c r="EV15" s="57"/>
      <c r="EW15" s="57" t="s">
        <v>2017</v>
      </c>
      <c r="EX15" s="57">
        <v>102</v>
      </c>
      <c r="EY15" s="57">
        <v>59</v>
      </c>
      <c r="EZ15" s="57">
        <v>35</v>
      </c>
      <c r="FA15" s="57">
        <v>53</v>
      </c>
      <c r="FB15" s="57">
        <v>56</v>
      </c>
      <c r="FC15" s="57">
        <v>305</v>
      </c>
      <c r="FF15" s="70" t="s">
        <v>1813</v>
      </c>
      <c r="FG15" s="70" t="s">
        <v>2017</v>
      </c>
      <c r="FH15" s="70">
        <v>1842</v>
      </c>
      <c r="FI15" s="70">
        <v>1412</v>
      </c>
      <c r="FJ15" s="70">
        <v>1055</v>
      </c>
      <c r="FK15" s="70">
        <v>881</v>
      </c>
      <c r="FL15" s="70">
        <v>974</v>
      </c>
      <c r="FM15" s="70">
        <v>6164</v>
      </c>
      <c r="FN15" s="70"/>
      <c r="FO15" s="70" t="s">
        <v>2017</v>
      </c>
      <c r="FP15" s="70">
        <v>201</v>
      </c>
      <c r="FQ15" s="70">
        <v>80</v>
      </c>
      <c r="FR15" s="70">
        <v>0</v>
      </c>
      <c r="FS15" s="70">
        <v>0</v>
      </c>
      <c r="FT15" s="70">
        <v>0</v>
      </c>
      <c r="FU15" s="70">
        <v>281</v>
      </c>
    </row>
    <row r="16" spans="2:179">
      <c r="B16" s="64" t="s">
        <v>765</v>
      </c>
      <c r="C16" s="64" t="s">
        <v>2017</v>
      </c>
      <c r="D16" s="64">
        <v>1064</v>
      </c>
      <c r="E16" s="64">
        <v>873</v>
      </c>
      <c r="F16" s="64">
        <v>1060</v>
      </c>
      <c r="G16" s="64">
        <v>1226</v>
      </c>
      <c r="H16" s="64">
        <v>960</v>
      </c>
      <c r="I16" s="64">
        <v>5183</v>
      </c>
      <c r="K16" s="64" t="s">
        <v>2017</v>
      </c>
      <c r="L16" s="64">
        <v>28</v>
      </c>
      <c r="M16" s="64">
        <v>0</v>
      </c>
      <c r="N16" s="64">
        <v>0</v>
      </c>
      <c r="O16" s="64">
        <v>0</v>
      </c>
      <c r="P16" s="64">
        <v>0</v>
      </c>
      <c r="Q16" s="64">
        <v>28</v>
      </c>
      <c r="T16" s="65" t="s">
        <v>978</v>
      </c>
      <c r="U16" s="65" t="s">
        <v>2017</v>
      </c>
      <c r="V16" s="65" t="s">
        <v>324</v>
      </c>
      <c r="W16" s="65" t="s">
        <v>324</v>
      </c>
      <c r="X16" s="65" t="s">
        <v>324</v>
      </c>
      <c r="Y16" s="65" t="s">
        <v>324</v>
      </c>
      <c r="Z16" s="65" t="s">
        <v>324</v>
      </c>
      <c r="AA16" s="65" t="s">
        <v>324</v>
      </c>
      <c r="AB16" s="65"/>
      <c r="AC16" s="65" t="s">
        <v>2017</v>
      </c>
      <c r="AD16" s="65" t="s">
        <v>324</v>
      </c>
      <c r="AE16" s="65" t="s">
        <v>324</v>
      </c>
      <c r="AF16" s="65" t="s">
        <v>324</v>
      </c>
      <c r="AG16" s="65" t="s">
        <v>324</v>
      </c>
      <c r="AH16" s="65" t="s">
        <v>324</v>
      </c>
      <c r="AI16" s="65" t="s">
        <v>324</v>
      </c>
      <c r="AK16" s="66" t="s">
        <v>1950</v>
      </c>
      <c r="AL16" s="66" t="s">
        <v>2017</v>
      </c>
      <c r="AM16" s="66">
        <v>502</v>
      </c>
      <c r="AN16" s="66">
        <v>928</v>
      </c>
      <c r="AO16" s="66">
        <v>1521</v>
      </c>
      <c r="AP16" s="66">
        <v>1880</v>
      </c>
      <c r="AQ16" s="66">
        <v>1207</v>
      </c>
      <c r="AR16" s="66">
        <v>6038</v>
      </c>
      <c r="AS16" s="66"/>
      <c r="AT16" s="66" t="s">
        <v>2017</v>
      </c>
      <c r="AU16" s="66">
        <v>27</v>
      </c>
      <c r="AV16" s="66">
        <v>7</v>
      </c>
      <c r="AW16" s="66">
        <v>1</v>
      </c>
      <c r="AX16" s="66">
        <v>0</v>
      </c>
      <c r="AY16" s="66">
        <v>0</v>
      </c>
      <c r="AZ16" s="66">
        <v>35</v>
      </c>
      <c r="BB16" s="69" t="s">
        <v>1197</v>
      </c>
      <c r="BC16" s="69" t="s">
        <v>2017</v>
      </c>
      <c r="BD16" s="69" t="s">
        <v>324</v>
      </c>
      <c r="BE16" s="69" t="s">
        <v>324</v>
      </c>
      <c r="BF16" s="69" t="s">
        <v>324</v>
      </c>
      <c r="BG16" s="69" t="s">
        <v>324</v>
      </c>
      <c r="BH16" s="69" t="s">
        <v>324</v>
      </c>
      <c r="BI16" s="69" t="s">
        <v>324</v>
      </c>
      <c r="BJ16" s="69"/>
      <c r="BK16" s="69" t="s">
        <v>2017</v>
      </c>
      <c r="BL16" s="69" t="s">
        <v>324</v>
      </c>
      <c r="BM16" s="69" t="s">
        <v>324</v>
      </c>
      <c r="BN16" s="69" t="s">
        <v>324</v>
      </c>
      <c r="BO16" s="69" t="s">
        <v>324</v>
      </c>
      <c r="BP16" s="69" t="s">
        <v>324</v>
      </c>
      <c r="BQ16" s="69" t="s">
        <v>324</v>
      </c>
      <c r="BS16" s="70" t="s">
        <v>1442</v>
      </c>
      <c r="BT16" s="70" t="s">
        <v>2017</v>
      </c>
      <c r="BU16" s="70">
        <v>31</v>
      </c>
      <c r="BV16" s="70">
        <v>66</v>
      </c>
      <c r="BW16" s="70">
        <v>161</v>
      </c>
      <c r="BX16" s="70">
        <v>242</v>
      </c>
      <c r="BY16" s="70">
        <v>312</v>
      </c>
      <c r="BZ16" s="70">
        <v>812</v>
      </c>
      <c r="CA16" s="70"/>
      <c r="CB16" s="70" t="s">
        <v>2017</v>
      </c>
      <c r="CC16" s="70">
        <v>3</v>
      </c>
      <c r="CD16" s="70">
        <v>0</v>
      </c>
      <c r="CE16" s="70">
        <v>0</v>
      </c>
      <c r="CF16" s="70">
        <v>0</v>
      </c>
      <c r="CG16" s="70">
        <v>0</v>
      </c>
      <c r="CH16" s="70">
        <v>3</v>
      </c>
      <c r="CL16" s="57" t="s">
        <v>513</v>
      </c>
      <c r="CM16" s="57" t="s">
        <v>2017</v>
      </c>
      <c r="CN16" s="57">
        <v>205</v>
      </c>
      <c r="CO16" s="57">
        <v>164</v>
      </c>
      <c r="CP16" s="57">
        <v>314</v>
      </c>
      <c r="CQ16" s="57">
        <v>433</v>
      </c>
      <c r="CR16" s="57">
        <v>349</v>
      </c>
      <c r="CS16" s="57">
        <v>1465</v>
      </c>
      <c r="CT16" s="57"/>
      <c r="CU16" s="57" t="s">
        <v>2017</v>
      </c>
      <c r="CV16" s="57">
        <v>22</v>
      </c>
      <c r="CW16" s="57">
        <v>0</v>
      </c>
      <c r="CX16" s="57">
        <v>0</v>
      </c>
      <c r="CY16" s="57">
        <v>0</v>
      </c>
      <c r="CZ16" s="57">
        <v>0</v>
      </c>
      <c r="DA16" s="57">
        <v>22</v>
      </c>
      <c r="DD16" s="77" t="s">
        <v>1569</v>
      </c>
      <c r="DE16" s="77" t="s">
        <v>2018</v>
      </c>
      <c r="DF16" s="77">
        <v>105</v>
      </c>
      <c r="DG16" s="77">
        <v>168</v>
      </c>
      <c r="DH16" s="77">
        <v>177</v>
      </c>
      <c r="DI16" s="77">
        <v>253</v>
      </c>
      <c r="DJ16" s="77">
        <v>210</v>
      </c>
      <c r="DK16" s="77">
        <v>913</v>
      </c>
      <c r="DL16" s="77"/>
      <c r="DM16" s="77" t="s">
        <v>2018</v>
      </c>
      <c r="DN16" s="77">
        <v>15</v>
      </c>
      <c r="DO16" s="77">
        <v>4</v>
      </c>
      <c r="DP16" s="77">
        <v>0</v>
      </c>
      <c r="DQ16" s="77">
        <v>0</v>
      </c>
      <c r="DR16" s="77">
        <v>0</v>
      </c>
      <c r="DS16" s="77">
        <v>19</v>
      </c>
      <c r="DV16" s="79" t="s">
        <v>1670</v>
      </c>
      <c r="DW16" s="79" t="s">
        <v>2017</v>
      </c>
      <c r="DX16" s="79">
        <v>123</v>
      </c>
      <c r="DY16" s="79">
        <v>197</v>
      </c>
      <c r="DZ16" s="79">
        <v>260</v>
      </c>
      <c r="EA16" s="79">
        <v>339</v>
      </c>
      <c r="EB16" s="79">
        <v>288</v>
      </c>
      <c r="EC16" s="79">
        <v>1207</v>
      </c>
      <c r="ED16" s="79"/>
      <c r="EE16" s="79" t="s">
        <v>2017</v>
      </c>
      <c r="EF16" s="79">
        <v>12</v>
      </c>
      <c r="EG16" s="79">
        <v>4</v>
      </c>
      <c r="EH16" s="79">
        <v>0</v>
      </c>
      <c r="EI16" s="79">
        <v>0</v>
      </c>
      <c r="EJ16" s="79">
        <v>0</v>
      </c>
      <c r="EK16" s="79">
        <v>16</v>
      </c>
      <c r="EN16" s="57" t="s">
        <v>1737</v>
      </c>
      <c r="EO16" s="57" t="s">
        <v>2017</v>
      </c>
      <c r="EP16" s="57">
        <v>335</v>
      </c>
      <c r="EQ16" s="57">
        <v>548</v>
      </c>
      <c r="ER16" s="57">
        <v>603</v>
      </c>
      <c r="ES16" s="57">
        <v>697</v>
      </c>
      <c r="ET16" s="57">
        <v>934</v>
      </c>
      <c r="EU16" s="57">
        <v>3117</v>
      </c>
      <c r="EV16" s="57"/>
      <c r="EW16" s="57" t="s">
        <v>2017</v>
      </c>
      <c r="EX16" s="57">
        <v>90</v>
      </c>
      <c r="EY16" s="57">
        <v>71</v>
      </c>
      <c r="EZ16" s="57">
        <v>34</v>
      </c>
      <c r="FA16" s="57">
        <v>38</v>
      </c>
      <c r="FB16" s="57">
        <v>44</v>
      </c>
      <c r="FC16" s="57">
        <v>277</v>
      </c>
      <c r="FF16" s="70" t="s">
        <v>1816</v>
      </c>
      <c r="FG16" s="70" t="s">
        <v>2017</v>
      </c>
      <c r="FH16" s="70">
        <v>388</v>
      </c>
      <c r="FI16" s="70">
        <v>630</v>
      </c>
      <c r="FJ16" s="70">
        <v>738</v>
      </c>
      <c r="FK16" s="70">
        <v>726</v>
      </c>
      <c r="FL16" s="70">
        <v>813</v>
      </c>
      <c r="FM16" s="70">
        <v>3295</v>
      </c>
      <c r="FN16" s="70"/>
      <c r="FO16" s="70" t="s">
        <v>2017</v>
      </c>
      <c r="FP16" s="70">
        <v>29</v>
      </c>
      <c r="FQ16" s="70">
        <v>1</v>
      </c>
      <c r="FR16" s="70">
        <v>0</v>
      </c>
      <c r="FS16" s="70">
        <v>0</v>
      </c>
      <c r="FT16" s="70">
        <v>0</v>
      </c>
      <c r="FU16" s="70">
        <v>30</v>
      </c>
    </row>
    <row r="17" spans="1:177">
      <c r="B17" s="64" t="s">
        <v>773</v>
      </c>
      <c r="C17" s="64" t="s">
        <v>2017</v>
      </c>
      <c r="D17" s="64">
        <v>592</v>
      </c>
      <c r="E17" s="64">
        <v>686</v>
      </c>
      <c r="F17" s="64">
        <v>837</v>
      </c>
      <c r="G17" s="64">
        <v>903</v>
      </c>
      <c r="H17" s="64">
        <v>660</v>
      </c>
      <c r="I17" s="64">
        <v>3678</v>
      </c>
      <c r="K17" s="64" t="s">
        <v>2017</v>
      </c>
      <c r="L17" s="64">
        <v>22</v>
      </c>
      <c r="M17" s="64">
        <v>0</v>
      </c>
      <c r="N17" s="64">
        <v>0</v>
      </c>
      <c r="O17" s="64">
        <v>0</v>
      </c>
      <c r="P17" s="64">
        <v>0</v>
      </c>
      <c r="Q17" s="64">
        <v>22</v>
      </c>
      <c r="T17" s="65" t="s">
        <v>1903</v>
      </c>
      <c r="U17" s="65" t="s">
        <v>2017</v>
      </c>
      <c r="V17" s="65" t="s">
        <v>324</v>
      </c>
      <c r="W17" s="65" t="s">
        <v>324</v>
      </c>
      <c r="X17" s="65" t="s">
        <v>324</v>
      </c>
      <c r="Y17" s="65" t="s">
        <v>324</v>
      </c>
      <c r="Z17" s="65" t="s">
        <v>324</v>
      </c>
      <c r="AA17" s="65" t="s">
        <v>324</v>
      </c>
      <c r="AB17" s="65"/>
      <c r="AC17" s="65" t="s">
        <v>2017</v>
      </c>
      <c r="AD17" s="65" t="s">
        <v>324</v>
      </c>
      <c r="AE17" s="65" t="s">
        <v>324</v>
      </c>
      <c r="AF17" s="65" t="s">
        <v>324</v>
      </c>
      <c r="AG17" s="65" t="s">
        <v>324</v>
      </c>
      <c r="AH17" s="65" t="s">
        <v>324</v>
      </c>
      <c r="AI17" s="65" t="s">
        <v>324</v>
      </c>
      <c r="AK17" s="66" t="s">
        <v>1913</v>
      </c>
      <c r="AL17" s="66" t="s">
        <v>2017</v>
      </c>
      <c r="AM17" s="66">
        <v>238</v>
      </c>
      <c r="AN17" s="66">
        <v>385</v>
      </c>
      <c r="AO17" s="66">
        <v>771</v>
      </c>
      <c r="AP17" s="66">
        <v>992</v>
      </c>
      <c r="AQ17" s="66">
        <v>743</v>
      </c>
      <c r="AR17" s="66">
        <v>3129</v>
      </c>
      <c r="AS17" s="66"/>
      <c r="AT17" s="66" t="s">
        <v>2017</v>
      </c>
      <c r="AU17" s="66">
        <v>18</v>
      </c>
      <c r="AV17" s="66">
        <v>3</v>
      </c>
      <c r="AW17" s="66">
        <v>1</v>
      </c>
      <c r="AX17" s="66">
        <v>1</v>
      </c>
      <c r="AY17" s="66">
        <v>0</v>
      </c>
      <c r="AZ17" s="66">
        <v>23</v>
      </c>
      <c r="BB17" s="69" t="s">
        <v>1201</v>
      </c>
      <c r="BC17" s="69" t="s">
        <v>2017</v>
      </c>
      <c r="BD17" s="69">
        <v>933</v>
      </c>
      <c r="BE17" s="69">
        <v>476</v>
      </c>
      <c r="BF17" s="69">
        <v>721</v>
      </c>
      <c r="BG17" s="69">
        <v>971</v>
      </c>
      <c r="BH17" s="69">
        <v>925</v>
      </c>
      <c r="BI17" s="69">
        <v>4026</v>
      </c>
      <c r="BJ17" s="69"/>
      <c r="BK17" s="69" t="s">
        <v>2017</v>
      </c>
      <c r="BL17" s="69">
        <v>217</v>
      </c>
      <c r="BM17" s="69">
        <v>0</v>
      </c>
      <c r="BN17" s="69">
        <v>0</v>
      </c>
      <c r="BO17" s="69">
        <v>0</v>
      </c>
      <c r="BP17" s="69">
        <v>0</v>
      </c>
      <c r="BQ17" s="69">
        <v>217</v>
      </c>
      <c r="BS17" s="70" t="s">
        <v>1444</v>
      </c>
      <c r="BT17" s="70" t="s">
        <v>2017</v>
      </c>
      <c r="BU17" s="70">
        <v>259</v>
      </c>
      <c r="BV17" s="70">
        <v>216</v>
      </c>
      <c r="BW17" s="70">
        <v>322</v>
      </c>
      <c r="BX17" s="70">
        <v>403</v>
      </c>
      <c r="BY17" s="70">
        <v>395</v>
      </c>
      <c r="BZ17" s="70">
        <v>1595</v>
      </c>
      <c r="CA17" s="70"/>
      <c r="CB17" s="70" t="s">
        <v>2017</v>
      </c>
      <c r="CC17" s="70">
        <v>60</v>
      </c>
      <c r="CD17" s="70">
        <v>0</v>
      </c>
      <c r="CE17" s="70">
        <v>0</v>
      </c>
      <c r="CF17" s="70">
        <v>0</v>
      </c>
      <c r="CG17" s="70">
        <v>0</v>
      </c>
      <c r="CH17" s="70">
        <v>60</v>
      </c>
      <c r="CL17" s="57" t="s">
        <v>515</v>
      </c>
      <c r="CM17" s="57" t="s">
        <v>2017</v>
      </c>
      <c r="CN17" s="57" t="s">
        <v>324</v>
      </c>
      <c r="CO17" s="57" t="s">
        <v>324</v>
      </c>
      <c r="CP17" s="57" t="s">
        <v>324</v>
      </c>
      <c r="CQ17" s="57" t="s">
        <v>324</v>
      </c>
      <c r="CR17" s="57" t="s">
        <v>324</v>
      </c>
      <c r="CS17" s="57" t="s">
        <v>324</v>
      </c>
      <c r="CT17" s="57"/>
      <c r="CU17" s="57" t="s">
        <v>2017</v>
      </c>
      <c r="CV17" s="57" t="s">
        <v>324</v>
      </c>
      <c r="CW17" s="57" t="s">
        <v>324</v>
      </c>
      <c r="CX17" s="57" t="s">
        <v>324</v>
      </c>
      <c r="CY17" s="57" t="s">
        <v>324</v>
      </c>
      <c r="CZ17" s="57" t="s">
        <v>324</v>
      </c>
      <c r="DA17" s="57" t="s">
        <v>324</v>
      </c>
      <c r="DD17" s="77" t="s">
        <v>1578</v>
      </c>
      <c r="DE17" s="77" t="s">
        <v>2018</v>
      </c>
      <c r="DF17" s="77">
        <v>1073</v>
      </c>
      <c r="DG17" s="77">
        <v>1141</v>
      </c>
      <c r="DH17" s="77">
        <v>1116</v>
      </c>
      <c r="DI17" s="77">
        <v>1361</v>
      </c>
      <c r="DJ17" s="77">
        <v>1176</v>
      </c>
      <c r="DK17" s="77">
        <v>5867</v>
      </c>
      <c r="DL17" s="77"/>
      <c r="DM17" s="77" t="s">
        <v>2018</v>
      </c>
      <c r="DN17" s="77">
        <v>95</v>
      </c>
      <c r="DO17" s="77">
        <v>59</v>
      </c>
      <c r="DP17" s="77">
        <v>13</v>
      </c>
      <c r="DQ17" s="77">
        <v>6</v>
      </c>
      <c r="DR17" s="77">
        <v>5</v>
      </c>
      <c r="DS17" s="77">
        <v>178</v>
      </c>
      <c r="DV17" s="79" t="s">
        <v>1985</v>
      </c>
      <c r="DW17" s="79" t="s">
        <v>2017</v>
      </c>
      <c r="DX17" s="79">
        <v>166</v>
      </c>
      <c r="DY17" s="79">
        <v>277</v>
      </c>
      <c r="DZ17" s="79">
        <v>430</v>
      </c>
      <c r="EA17" s="79">
        <v>605</v>
      </c>
      <c r="EB17" s="79">
        <v>517</v>
      </c>
      <c r="EC17" s="79">
        <v>1995</v>
      </c>
      <c r="ED17" s="79"/>
      <c r="EE17" s="79" t="s">
        <v>2017</v>
      </c>
      <c r="EF17" s="79">
        <v>17</v>
      </c>
      <c r="EG17" s="79">
        <v>0</v>
      </c>
      <c r="EH17" s="79">
        <v>0</v>
      </c>
      <c r="EI17" s="79">
        <v>0</v>
      </c>
      <c r="EJ17" s="79">
        <v>0</v>
      </c>
      <c r="EK17" s="79">
        <v>17</v>
      </c>
      <c r="EN17" s="57" t="s">
        <v>1740</v>
      </c>
      <c r="EO17" s="57" t="s">
        <v>2017</v>
      </c>
      <c r="EP17" s="57">
        <v>339</v>
      </c>
      <c r="EQ17" s="57">
        <v>332</v>
      </c>
      <c r="ER17" s="57">
        <v>379</v>
      </c>
      <c r="ES17" s="57">
        <v>450</v>
      </c>
      <c r="ET17" s="57">
        <v>597</v>
      </c>
      <c r="EU17" s="57">
        <v>2097</v>
      </c>
      <c r="EV17" s="57"/>
      <c r="EW17" s="57" t="s">
        <v>2017</v>
      </c>
      <c r="EX17" s="57">
        <v>38</v>
      </c>
      <c r="EY17" s="57">
        <v>7</v>
      </c>
      <c r="EZ17" s="57">
        <v>5</v>
      </c>
      <c r="FA17" s="57">
        <v>7</v>
      </c>
      <c r="FB17" s="57">
        <v>4</v>
      </c>
      <c r="FC17" s="57">
        <v>61</v>
      </c>
      <c r="FF17" s="70" t="s">
        <v>1818</v>
      </c>
      <c r="FG17" s="70" t="s">
        <v>2017</v>
      </c>
      <c r="FH17" s="70">
        <v>263</v>
      </c>
      <c r="FI17" s="70">
        <v>534</v>
      </c>
      <c r="FJ17" s="70">
        <v>602</v>
      </c>
      <c r="FK17" s="70">
        <v>608</v>
      </c>
      <c r="FL17" s="70">
        <v>716</v>
      </c>
      <c r="FM17" s="70">
        <v>2723</v>
      </c>
      <c r="FN17" s="70"/>
      <c r="FO17" s="70" t="s">
        <v>2017</v>
      </c>
      <c r="FP17" s="70">
        <v>14</v>
      </c>
      <c r="FQ17" s="70">
        <v>1</v>
      </c>
      <c r="FR17" s="70">
        <v>0</v>
      </c>
      <c r="FS17" s="70">
        <v>0</v>
      </c>
      <c r="FT17" s="70">
        <v>0</v>
      </c>
      <c r="FU17" s="70">
        <v>15</v>
      </c>
    </row>
    <row r="18" spans="1:177">
      <c r="B18" s="64" t="s">
        <v>776</v>
      </c>
      <c r="C18" s="64" t="s">
        <v>2017</v>
      </c>
      <c r="D18" s="64">
        <v>370</v>
      </c>
      <c r="E18" s="64">
        <v>488</v>
      </c>
      <c r="F18" s="64">
        <v>634</v>
      </c>
      <c r="G18" s="64">
        <v>682</v>
      </c>
      <c r="H18" s="64">
        <v>550</v>
      </c>
      <c r="I18" s="64">
        <v>2724</v>
      </c>
      <c r="K18" s="64" t="s">
        <v>2017</v>
      </c>
      <c r="L18" s="64">
        <v>29</v>
      </c>
      <c r="M18" s="64">
        <v>0</v>
      </c>
      <c r="N18" s="330">
        <v>0</v>
      </c>
      <c r="O18" s="64">
        <v>0</v>
      </c>
      <c r="P18" s="64">
        <v>0</v>
      </c>
      <c r="Q18" s="64">
        <v>29</v>
      </c>
      <c r="T18" s="65" t="s">
        <v>1904</v>
      </c>
      <c r="U18" s="65" t="s">
        <v>2017</v>
      </c>
      <c r="V18" s="65" t="s">
        <v>324</v>
      </c>
      <c r="W18" s="65" t="s">
        <v>324</v>
      </c>
      <c r="X18" s="65" t="s">
        <v>324</v>
      </c>
      <c r="Y18" s="65" t="s">
        <v>324</v>
      </c>
      <c r="Z18" s="65" t="s">
        <v>324</v>
      </c>
      <c r="AA18" s="65" t="s">
        <v>324</v>
      </c>
      <c r="AB18" s="65"/>
      <c r="AC18" s="65" t="s">
        <v>2017</v>
      </c>
      <c r="AD18" s="65" t="s">
        <v>324</v>
      </c>
      <c r="AE18" s="65" t="s">
        <v>324</v>
      </c>
      <c r="AF18" s="65" t="s">
        <v>324</v>
      </c>
      <c r="AG18" s="65" t="s">
        <v>324</v>
      </c>
      <c r="AH18" s="65" t="s">
        <v>324</v>
      </c>
      <c r="AI18" s="65" t="s">
        <v>324</v>
      </c>
      <c r="AK18" s="66" t="s">
        <v>1927</v>
      </c>
      <c r="AL18" s="66" t="s">
        <v>2017</v>
      </c>
      <c r="AM18" s="66">
        <v>155</v>
      </c>
      <c r="AN18" s="66">
        <v>257</v>
      </c>
      <c r="AO18" s="66">
        <v>534</v>
      </c>
      <c r="AP18" s="66">
        <v>923</v>
      </c>
      <c r="AQ18" s="66">
        <v>665</v>
      </c>
      <c r="AR18" s="66">
        <v>2534</v>
      </c>
      <c r="AS18" s="66"/>
      <c r="AT18" s="66" t="s">
        <v>2017</v>
      </c>
      <c r="AU18" s="66">
        <v>25</v>
      </c>
      <c r="AV18" s="66">
        <v>1</v>
      </c>
      <c r="AW18" s="66">
        <v>0</v>
      </c>
      <c r="AX18" s="66">
        <v>0</v>
      </c>
      <c r="AY18" s="66">
        <v>0</v>
      </c>
      <c r="AZ18" s="66">
        <v>26</v>
      </c>
      <c r="BB18" s="69" t="s">
        <v>1204</v>
      </c>
      <c r="BC18" s="69" t="s">
        <v>2017</v>
      </c>
      <c r="BD18" s="69">
        <v>44</v>
      </c>
      <c r="BE18" s="69">
        <v>40</v>
      </c>
      <c r="BF18" s="69">
        <v>99</v>
      </c>
      <c r="BG18" s="69">
        <v>140</v>
      </c>
      <c r="BH18" s="69">
        <v>201</v>
      </c>
      <c r="BI18" s="69">
        <v>524</v>
      </c>
      <c r="BJ18" s="69"/>
      <c r="BK18" s="69" t="s">
        <v>2017</v>
      </c>
      <c r="BL18" s="69">
        <v>10</v>
      </c>
      <c r="BM18" s="69">
        <v>0</v>
      </c>
      <c r="BN18" s="69">
        <v>0</v>
      </c>
      <c r="BO18" s="69">
        <v>0</v>
      </c>
      <c r="BP18" s="69">
        <v>0</v>
      </c>
      <c r="BQ18" s="69">
        <v>10</v>
      </c>
      <c r="BS18" s="70" t="s">
        <v>1446</v>
      </c>
      <c r="BT18" s="70" t="s">
        <v>2017</v>
      </c>
      <c r="BU18" s="70">
        <v>143</v>
      </c>
      <c r="BV18" s="70">
        <v>102</v>
      </c>
      <c r="BW18" s="70">
        <v>188</v>
      </c>
      <c r="BX18" s="70">
        <v>289</v>
      </c>
      <c r="BY18" s="70">
        <v>279</v>
      </c>
      <c r="BZ18" s="70">
        <v>1001</v>
      </c>
      <c r="CA18" s="70"/>
      <c r="CB18" s="70" t="s">
        <v>2017</v>
      </c>
      <c r="CC18" s="70">
        <v>27</v>
      </c>
      <c r="CD18" s="70">
        <v>0</v>
      </c>
      <c r="CE18" s="70">
        <v>0</v>
      </c>
      <c r="CF18" s="70">
        <v>0</v>
      </c>
      <c r="CG18" s="70">
        <v>0</v>
      </c>
      <c r="CH18" s="70">
        <v>27</v>
      </c>
      <c r="CL18" s="57" t="s">
        <v>519</v>
      </c>
      <c r="CM18" s="57" t="s">
        <v>2017</v>
      </c>
      <c r="CN18" s="57">
        <v>176</v>
      </c>
      <c r="CO18" s="57">
        <v>242</v>
      </c>
      <c r="CP18" s="57">
        <v>354</v>
      </c>
      <c r="CQ18" s="57">
        <v>407</v>
      </c>
      <c r="CR18" s="57">
        <v>408</v>
      </c>
      <c r="CS18" s="57">
        <v>1587</v>
      </c>
      <c r="CT18" s="57"/>
      <c r="CU18" s="57" t="s">
        <v>2017</v>
      </c>
      <c r="CV18" s="57">
        <v>45</v>
      </c>
      <c r="CW18" s="57">
        <v>0</v>
      </c>
      <c r="CX18" s="57">
        <v>0</v>
      </c>
      <c r="CY18" s="57">
        <v>0</v>
      </c>
      <c r="CZ18" s="57">
        <v>0</v>
      </c>
      <c r="DA18" s="57">
        <v>45</v>
      </c>
      <c r="DD18" s="77" t="s">
        <v>1581</v>
      </c>
      <c r="DE18" s="77" t="s">
        <v>2018</v>
      </c>
      <c r="DF18" s="77">
        <v>342</v>
      </c>
      <c r="DG18" s="77">
        <v>529</v>
      </c>
      <c r="DH18" s="77">
        <v>669</v>
      </c>
      <c r="DI18" s="77">
        <v>804</v>
      </c>
      <c r="DJ18" s="77">
        <v>656</v>
      </c>
      <c r="DK18" s="77">
        <v>3000</v>
      </c>
      <c r="DL18" s="77"/>
      <c r="DM18" s="77" t="s">
        <v>2018</v>
      </c>
      <c r="DN18" s="77">
        <v>20</v>
      </c>
      <c r="DO18" s="77">
        <v>12</v>
      </c>
      <c r="DP18" s="77">
        <v>3</v>
      </c>
      <c r="DQ18" s="77">
        <v>1</v>
      </c>
      <c r="DR18" s="77">
        <v>0</v>
      </c>
      <c r="DS18" s="77">
        <v>36</v>
      </c>
      <c r="DU18" s="16" t="s">
        <v>1673</v>
      </c>
      <c r="DV18" s="79" t="s">
        <v>2700</v>
      </c>
      <c r="DW18" s="79" t="s">
        <v>2017</v>
      </c>
      <c r="DX18" s="79">
        <v>184</v>
      </c>
      <c r="DY18" s="79">
        <v>127</v>
      </c>
      <c r="DZ18" s="79">
        <v>152</v>
      </c>
      <c r="EA18" s="79">
        <v>191</v>
      </c>
      <c r="EB18" s="79">
        <v>197</v>
      </c>
      <c r="EC18" s="79">
        <v>85</v>
      </c>
      <c r="ED18" s="79"/>
      <c r="EE18" s="79" t="s">
        <v>2017</v>
      </c>
      <c r="EF18" s="79">
        <v>8</v>
      </c>
      <c r="EG18" s="79">
        <v>0</v>
      </c>
      <c r="EH18" s="79">
        <v>0</v>
      </c>
      <c r="EI18" s="79">
        <v>0</v>
      </c>
      <c r="EJ18" s="79">
        <v>0</v>
      </c>
      <c r="EK18" s="79">
        <v>8</v>
      </c>
      <c r="EN18" s="57" t="s">
        <v>1995</v>
      </c>
      <c r="EO18" s="57" t="s">
        <v>2017</v>
      </c>
      <c r="EP18" s="57" t="s">
        <v>324</v>
      </c>
      <c r="EQ18" s="57" t="s">
        <v>324</v>
      </c>
      <c r="ER18" s="57" t="s">
        <v>324</v>
      </c>
      <c r="ES18" s="57" t="s">
        <v>324</v>
      </c>
      <c r="ET18" s="57" t="s">
        <v>324</v>
      </c>
      <c r="EU18" s="57" t="s">
        <v>324</v>
      </c>
      <c r="EV18" s="57"/>
      <c r="EW18" s="57" t="s">
        <v>2017</v>
      </c>
      <c r="EX18" s="57" t="s">
        <v>324</v>
      </c>
      <c r="EY18" s="57" t="s">
        <v>324</v>
      </c>
      <c r="EZ18" s="57" t="s">
        <v>324</v>
      </c>
      <c r="FA18" s="57" t="s">
        <v>324</v>
      </c>
      <c r="FB18" s="57" t="s">
        <v>324</v>
      </c>
      <c r="FC18" s="57" t="s">
        <v>324</v>
      </c>
      <c r="FF18" s="70" t="s">
        <v>1820</v>
      </c>
      <c r="FG18" s="70" t="s">
        <v>2017</v>
      </c>
      <c r="FH18" s="70">
        <v>651</v>
      </c>
      <c r="FI18" s="70">
        <v>860</v>
      </c>
      <c r="FJ18" s="70">
        <v>774</v>
      </c>
      <c r="FK18" s="70">
        <v>719</v>
      </c>
      <c r="FL18" s="70">
        <v>875</v>
      </c>
      <c r="FM18" s="70">
        <v>3879</v>
      </c>
      <c r="FN18" s="70"/>
      <c r="FO18" s="70" t="s">
        <v>2017</v>
      </c>
      <c r="FP18" s="70">
        <v>48</v>
      </c>
      <c r="FQ18" s="70">
        <v>3</v>
      </c>
      <c r="FR18" s="70">
        <v>0</v>
      </c>
      <c r="FS18" s="70">
        <v>0</v>
      </c>
      <c r="FT18" s="70">
        <v>0</v>
      </c>
      <c r="FU18" s="70">
        <v>51</v>
      </c>
    </row>
    <row r="19" spans="1:177">
      <c r="B19" s="64" t="s">
        <v>781</v>
      </c>
      <c r="C19" s="64" t="s">
        <v>2017</v>
      </c>
      <c r="D19" s="64">
        <v>149</v>
      </c>
      <c r="E19" s="64">
        <v>226</v>
      </c>
      <c r="F19" s="64">
        <v>365</v>
      </c>
      <c r="G19" s="64">
        <v>431</v>
      </c>
      <c r="H19" s="64">
        <v>342</v>
      </c>
      <c r="I19" s="64">
        <v>1513</v>
      </c>
      <c r="K19" s="64" t="s">
        <v>2017</v>
      </c>
      <c r="L19" s="64">
        <v>16</v>
      </c>
      <c r="M19" s="64">
        <v>0</v>
      </c>
      <c r="N19" s="64">
        <v>0</v>
      </c>
      <c r="O19" s="64">
        <v>0</v>
      </c>
      <c r="P19" s="64">
        <v>0</v>
      </c>
      <c r="Q19" s="64">
        <v>16</v>
      </c>
      <c r="T19" s="65" t="s">
        <v>993</v>
      </c>
      <c r="U19" s="65" t="s">
        <v>2017</v>
      </c>
      <c r="V19" s="65">
        <v>309</v>
      </c>
      <c r="W19" s="65">
        <v>221</v>
      </c>
      <c r="X19" s="65">
        <v>385</v>
      </c>
      <c r="Y19" s="65">
        <v>565</v>
      </c>
      <c r="Z19" s="65">
        <v>488</v>
      </c>
      <c r="AA19" s="65">
        <v>1968</v>
      </c>
      <c r="AB19" s="65"/>
      <c r="AC19" s="65" t="s">
        <v>2017</v>
      </c>
      <c r="AD19" s="65">
        <v>23</v>
      </c>
      <c r="AE19" s="65">
        <v>0</v>
      </c>
      <c r="AF19" s="65">
        <v>0</v>
      </c>
      <c r="AG19" s="65">
        <v>0</v>
      </c>
      <c r="AH19" s="65">
        <v>0</v>
      </c>
      <c r="AI19" s="65">
        <v>23</v>
      </c>
      <c r="AK19" s="66" t="s">
        <v>1134</v>
      </c>
      <c r="AL19" s="66" t="s">
        <v>2017</v>
      </c>
      <c r="AM19" s="66">
        <v>330</v>
      </c>
      <c r="AN19" s="66">
        <v>243</v>
      </c>
      <c r="AO19" s="66">
        <v>353</v>
      </c>
      <c r="AP19" s="66">
        <v>491</v>
      </c>
      <c r="AQ19" s="66">
        <v>529</v>
      </c>
      <c r="AR19" s="66">
        <v>1946</v>
      </c>
      <c r="AS19" s="66"/>
      <c r="AT19" s="66" t="s">
        <v>2017</v>
      </c>
      <c r="AU19" s="66">
        <v>115</v>
      </c>
      <c r="AV19" s="66">
        <v>0</v>
      </c>
      <c r="AW19" s="66">
        <v>0</v>
      </c>
      <c r="AX19" s="66">
        <v>0</v>
      </c>
      <c r="AY19" s="66">
        <v>0</v>
      </c>
      <c r="AZ19" s="66">
        <v>115</v>
      </c>
      <c r="BB19" s="69" t="s">
        <v>1207</v>
      </c>
      <c r="BC19" s="69" t="s">
        <v>2017</v>
      </c>
      <c r="BD19" s="69">
        <v>496</v>
      </c>
      <c r="BE19" s="69">
        <v>413</v>
      </c>
      <c r="BF19" s="69">
        <v>734</v>
      </c>
      <c r="BG19" s="69">
        <v>975</v>
      </c>
      <c r="BH19" s="69">
        <v>950</v>
      </c>
      <c r="BI19" s="69">
        <v>3568</v>
      </c>
      <c r="BJ19" s="69"/>
      <c r="BK19" s="69" t="s">
        <v>2017</v>
      </c>
      <c r="BL19" s="69">
        <v>52</v>
      </c>
      <c r="BM19" s="69">
        <v>0</v>
      </c>
      <c r="BN19" s="69">
        <v>0</v>
      </c>
      <c r="BO19" s="69">
        <v>0</v>
      </c>
      <c r="BP19" s="69">
        <v>0</v>
      </c>
      <c r="BQ19" s="69">
        <v>52</v>
      </c>
      <c r="BS19" s="70" t="s">
        <v>1448</v>
      </c>
      <c r="BT19" s="70" t="s">
        <v>2017</v>
      </c>
      <c r="BU19" s="70">
        <v>73</v>
      </c>
      <c r="BV19" s="70">
        <v>41</v>
      </c>
      <c r="BW19" s="70">
        <v>69</v>
      </c>
      <c r="BX19" s="70">
        <v>119</v>
      </c>
      <c r="BY19" s="70">
        <v>104</v>
      </c>
      <c r="BZ19" s="70">
        <v>406</v>
      </c>
      <c r="CA19" s="70"/>
      <c r="CB19" s="70" t="s">
        <v>2017</v>
      </c>
      <c r="CC19" s="70">
        <v>16</v>
      </c>
      <c r="CD19" s="70">
        <v>0</v>
      </c>
      <c r="CE19" s="70">
        <v>0</v>
      </c>
      <c r="CF19" s="70">
        <v>0</v>
      </c>
      <c r="CG19" s="70">
        <v>0</v>
      </c>
      <c r="CH19" s="70">
        <v>16</v>
      </c>
      <c r="CL19" s="57" t="s">
        <v>522</v>
      </c>
      <c r="CM19" s="57" t="s">
        <v>2017</v>
      </c>
      <c r="CN19" s="57">
        <v>90</v>
      </c>
      <c r="CO19" s="57">
        <v>58</v>
      </c>
      <c r="CP19" s="57">
        <v>130</v>
      </c>
      <c r="CQ19" s="57">
        <v>197</v>
      </c>
      <c r="CR19" s="57">
        <v>234</v>
      </c>
      <c r="CS19" s="57">
        <v>709</v>
      </c>
      <c r="CT19" s="57"/>
      <c r="CU19" s="57" t="s">
        <v>2017</v>
      </c>
      <c r="CV19" s="57">
        <v>36</v>
      </c>
      <c r="CW19" s="57">
        <v>0</v>
      </c>
      <c r="CX19" s="57">
        <v>0</v>
      </c>
      <c r="CY19" s="57">
        <v>0</v>
      </c>
      <c r="CZ19" s="57">
        <v>0</v>
      </c>
      <c r="DA19" s="57">
        <v>36</v>
      </c>
      <c r="DD19" s="77" t="s">
        <v>1585</v>
      </c>
      <c r="DE19" s="77" t="s">
        <v>2018</v>
      </c>
      <c r="DF19" s="77">
        <v>341</v>
      </c>
      <c r="DG19" s="77">
        <v>564</v>
      </c>
      <c r="DH19" s="77">
        <v>715</v>
      </c>
      <c r="DI19" s="77">
        <v>823</v>
      </c>
      <c r="DJ19" s="77">
        <v>795</v>
      </c>
      <c r="DK19" s="77">
        <v>3238</v>
      </c>
      <c r="DL19" s="77"/>
      <c r="DM19" s="77" t="s">
        <v>2018</v>
      </c>
      <c r="DN19" s="77">
        <v>16</v>
      </c>
      <c r="DO19" s="77">
        <v>9</v>
      </c>
      <c r="DP19" s="77">
        <v>3</v>
      </c>
      <c r="DQ19" s="77">
        <v>1</v>
      </c>
      <c r="DR19" s="77">
        <v>0</v>
      </c>
      <c r="DS19" s="77">
        <v>29</v>
      </c>
      <c r="DU19" s="16" t="s">
        <v>1676</v>
      </c>
      <c r="DV19" s="79" t="s">
        <v>2703</v>
      </c>
      <c r="DW19" s="79" t="s">
        <v>2017</v>
      </c>
      <c r="DX19" s="79">
        <v>299</v>
      </c>
      <c r="DY19" s="79">
        <v>462</v>
      </c>
      <c r="DZ19" s="79">
        <v>523</v>
      </c>
      <c r="EA19" s="79">
        <v>488</v>
      </c>
      <c r="EB19" s="79">
        <v>362</v>
      </c>
      <c r="EC19" s="79">
        <v>2134</v>
      </c>
      <c r="ED19" s="79"/>
      <c r="EE19" s="79" t="s">
        <v>2017</v>
      </c>
      <c r="EF19" s="79">
        <v>7</v>
      </c>
      <c r="EG19" s="79">
        <v>3</v>
      </c>
      <c r="EH19" s="79">
        <v>0</v>
      </c>
      <c r="EI19" s="79">
        <v>0</v>
      </c>
      <c r="EJ19" s="79">
        <v>0</v>
      </c>
      <c r="EK19" s="79">
        <v>10</v>
      </c>
      <c r="EN19" s="57" t="s">
        <v>1996</v>
      </c>
      <c r="EO19" s="57" t="s">
        <v>2017</v>
      </c>
      <c r="EP19" s="57" t="s">
        <v>324</v>
      </c>
      <c r="EQ19" s="57" t="s">
        <v>324</v>
      </c>
      <c r="ER19" s="57" t="s">
        <v>324</v>
      </c>
      <c r="ES19" s="57" t="s">
        <v>324</v>
      </c>
      <c r="ET19" s="57" t="s">
        <v>324</v>
      </c>
      <c r="EU19" s="57" t="s">
        <v>324</v>
      </c>
      <c r="EV19" s="57"/>
      <c r="EW19" s="57" t="s">
        <v>2017</v>
      </c>
      <c r="EX19" s="57" t="s">
        <v>324</v>
      </c>
      <c r="EY19" s="57" t="s">
        <v>324</v>
      </c>
      <c r="EZ19" s="57" t="s">
        <v>324</v>
      </c>
      <c r="FA19" s="57" t="s">
        <v>324</v>
      </c>
      <c r="FB19" s="57" t="s">
        <v>324</v>
      </c>
      <c r="FC19" s="57" t="s">
        <v>324</v>
      </c>
      <c r="FF19" s="70" t="s">
        <v>1822</v>
      </c>
      <c r="FG19" s="70" t="s">
        <v>2017</v>
      </c>
      <c r="FH19" s="70" t="s">
        <v>324</v>
      </c>
      <c r="FI19" s="70" t="s">
        <v>324</v>
      </c>
      <c r="FJ19" s="70" t="s">
        <v>324</v>
      </c>
      <c r="FK19" s="70" t="s">
        <v>324</v>
      </c>
      <c r="FL19" s="70" t="s">
        <v>324</v>
      </c>
      <c r="FM19" s="70" t="s">
        <v>324</v>
      </c>
      <c r="FN19" s="70"/>
      <c r="FO19" s="70" t="s">
        <v>2017</v>
      </c>
      <c r="FP19" s="70" t="s">
        <v>324</v>
      </c>
      <c r="FQ19" s="70" t="s">
        <v>324</v>
      </c>
      <c r="FR19" s="70" t="s">
        <v>324</v>
      </c>
      <c r="FS19" s="70" t="s">
        <v>324</v>
      </c>
      <c r="FT19" s="70" t="s">
        <v>324</v>
      </c>
      <c r="FU19" s="70" t="s">
        <v>324</v>
      </c>
    </row>
    <row r="20" spans="1:177">
      <c r="B20" s="64" t="s">
        <v>787</v>
      </c>
      <c r="C20" s="64" t="s">
        <v>2017</v>
      </c>
      <c r="D20" s="64">
        <v>388</v>
      </c>
      <c r="E20" s="64">
        <v>468</v>
      </c>
      <c r="F20" s="64">
        <v>558</v>
      </c>
      <c r="G20" s="64">
        <v>693</v>
      </c>
      <c r="H20" s="64">
        <v>524</v>
      </c>
      <c r="I20" s="64">
        <v>2631</v>
      </c>
      <c r="K20" s="64" t="s">
        <v>2017</v>
      </c>
      <c r="L20" s="64">
        <v>54</v>
      </c>
      <c r="M20" s="64">
        <v>6</v>
      </c>
      <c r="N20" s="64">
        <v>0</v>
      </c>
      <c r="O20" s="64">
        <v>1</v>
      </c>
      <c r="P20" s="64">
        <v>0</v>
      </c>
      <c r="Q20" s="64">
        <v>61</v>
      </c>
      <c r="T20" s="65" t="s">
        <v>999</v>
      </c>
      <c r="U20" s="65" t="s">
        <v>2017</v>
      </c>
      <c r="V20" s="65">
        <v>241</v>
      </c>
      <c r="W20" s="65">
        <v>303</v>
      </c>
      <c r="X20" s="65">
        <v>500</v>
      </c>
      <c r="Y20" s="65">
        <v>679</v>
      </c>
      <c r="Z20" s="65">
        <v>551</v>
      </c>
      <c r="AA20" s="65">
        <v>2274</v>
      </c>
      <c r="AB20" s="65"/>
      <c r="AC20" s="65" t="s">
        <v>2017</v>
      </c>
      <c r="AD20" s="65">
        <v>22</v>
      </c>
      <c r="AE20" s="65">
        <v>2</v>
      </c>
      <c r="AF20" s="65">
        <v>0</v>
      </c>
      <c r="AG20" s="65">
        <v>0</v>
      </c>
      <c r="AH20" s="65">
        <v>0</v>
      </c>
      <c r="AI20" s="65">
        <v>24</v>
      </c>
      <c r="AK20" s="66" t="s">
        <v>1137</v>
      </c>
      <c r="AL20" s="66" t="s">
        <v>2017</v>
      </c>
      <c r="AM20" s="66">
        <v>397</v>
      </c>
      <c r="AN20" s="66">
        <v>255</v>
      </c>
      <c r="AO20" s="66">
        <v>408</v>
      </c>
      <c r="AP20" s="66">
        <v>570</v>
      </c>
      <c r="AQ20" s="66">
        <v>583</v>
      </c>
      <c r="AR20" s="66">
        <v>2213</v>
      </c>
      <c r="AS20" s="66"/>
      <c r="AT20" s="66" t="s">
        <v>2017</v>
      </c>
      <c r="AU20" s="66">
        <v>92</v>
      </c>
      <c r="AV20" s="66">
        <v>1</v>
      </c>
      <c r="AW20" s="66">
        <v>0</v>
      </c>
      <c r="AX20" s="66">
        <v>0</v>
      </c>
      <c r="AY20" s="66">
        <v>0</v>
      </c>
      <c r="AZ20" s="66">
        <v>93</v>
      </c>
      <c r="BB20" s="69" t="s">
        <v>1210</v>
      </c>
      <c r="BC20" s="69" t="s">
        <v>2017</v>
      </c>
      <c r="BD20" s="69">
        <v>118</v>
      </c>
      <c r="BE20" s="69">
        <v>79</v>
      </c>
      <c r="BF20" s="69">
        <v>129</v>
      </c>
      <c r="BG20" s="69">
        <v>182</v>
      </c>
      <c r="BH20" s="69">
        <v>192</v>
      </c>
      <c r="BI20" s="69">
        <v>700</v>
      </c>
      <c r="BJ20" s="69"/>
      <c r="BK20" s="69" t="s">
        <v>2017</v>
      </c>
      <c r="BL20" s="69">
        <v>33</v>
      </c>
      <c r="BM20" s="69">
        <v>0</v>
      </c>
      <c r="BN20" s="69">
        <v>0</v>
      </c>
      <c r="BO20" s="69">
        <v>0</v>
      </c>
      <c r="BP20" s="69">
        <v>0</v>
      </c>
      <c r="BQ20" s="69">
        <v>33</v>
      </c>
      <c r="BS20" s="70" t="s">
        <v>1450</v>
      </c>
      <c r="BT20" s="70" t="s">
        <v>2017</v>
      </c>
      <c r="BU20" s="70">
        <v>152</v>
      </c>
      <c r="BV20" s="70">
        <v>143</v>
      </c>
      <c r="BW20" s="70">
        <v>236</v>
      </c>
      <c r="BX20" s="70">
        <v>329</v>
      </c>
      <c r="BY20" s="70">
        <v>335</v>
      </c>
      <c r="BZ20" s="70">
        <v>1195</v>
      </c>
      <c r="CA20" s="70"/>
      <c r="CB20" s="70" t="s">
        <v>2017</v>
      </c>
      <c r="CC20" s="70">
        <v>45</v>
      </c>
      <c r="CD20" s="70">
        <v>1</v>
      </c>
      <c r="CE20" s="70">
        <v>0</v>
      </c>
      <c r="CF20" s="70">
        <v>0</v>
      </c>
      <c r="CG20" s="70">
        <v>0</v>
      </c>
      <c r="CH20" s="70">
        <v>46</v>
      </c>
      <c r="CL20" s="57" t="s">
        <v>1961</v>
      </c>
      <c r="CM20" s="57" t="s">
        <v>2017</v>
      </c>
      <c r="CN20" s="57">
        <v>37</v>
      </c>
      <c r="CO20" s="57">
        <v>102</v>
      </c>
      <c r="CP20" s="57">
        <v>219</v>
      </c>
      <c r="CQ20" s="57">
        <v>327</v>
      </c>
      <c r="CR20" s="57">
        <v>351</v>
      </c>
      <c r="CS20" s="57">
        <v>1036</v>
      </c>
      <c r="CT20" s="57"/>
      <c r="CU20" s="57" t="s">
        <v>2017</v>
      </c>
      <c r="CV20" s="57">
        <v>10</v>
      </c>
      <c r="CW20" s="57">
        <v>0</v>
      </c>
      <c r="CX20" s="57">
        <v>0</v>
      </c>
      <c r="CY20" s="57">
        <v>0</v>
      </c>
      <c r="CZ20" s="57">
        <v>0</v>
      </c>
      <c r="DA20" s="57">
        <v>10</v>
      </c>
      <c r="DD20" s="77" t="s">
        <v>1588</v>
      </c>
      <c r="DE20" s="77" t="s">
        <v>2018</v>
      </c>
      <c r="DF20" s="77">
        <v>133</v>
      </c>
      <c r="DG20" s="77">
        <v>211</v>
      </c>
      <c r="DH20" s="77">
        <v>271</v>
      </c>
      <c r="DI20" s="77">
        <v>353</v>
      </c>
      <c r="DJ20" s="77">
        <v>382</v>
      </c>
      <c r="DK20" s="77">
        <v>1350</v>
      </c>
      <c r="DL20" s="77"/>
      <c r="DM20" s="77" t="s">
        <v>2018</v>
      </c>
      <c r="DN20" s="77">
        <v>10</v>
      </c>
      <c r="DO20" s="77">
        <v>12</v>
      </c>
      <c r="DP20" s="77">
        <v>1</v>
      </c>
      <c r="DQ20" s="77">
        <v>2</v>
      </c>
      <c r="DR20" s="77">
        <v>3</v>
      </c>
      <c r="DS20" s="77">
        <v>28</v>
      </c>
      <c r="DV20" s="79" t="s">
        <v>1679</v>
      </c>
      <c r="DW20" s="79" t="s">
        <v>2017</v>
      </c>
      <c r="DX20" s="79">
        <v>507</v>
      </c>
      <c r="DY20" s="79">
        <v>794</v>
      </c>
      <c r="DZ20" s="79">
        <v>1251</v>
      </c>
      <c r="EA20" s="79">
        <v>1701</v>
      </c>
      <c r="EB20" s="79">
        <v>1369</v>
      </c>
      <c r="EC20" s="79">
        <v>5622</v>
      </c>
      <c r="ED20" s="79"/>
      <c r="EE20" s="79" t="s">
        <v>2017</v>
      </c>
      <c r="EF20" s="79">
        <v>21</v>
      </c>
      <c r="EG20" s="79">
        <v>3</v>
      </c>
      <c r="EH20" s="79">
        <v>0</v>
      </c>
      <c r="EI20" s="79">
        <v>0</v>
      </c>
      <c r="EJ20" s="79">
        <v>0</v>
      </c>
      <c r="EK20" s="79">
        <v>24</v>
      </c>
      <c r="EN20" s="57" t="s">
        <v>1997</v>
      </c>
      <c r="EO20" s="57" t="s">
        <v>2017</v>
      </c>
      <c r="EP20" s="57" t="s">
        <v>324</v>
      </c>
      <c r="EQ20" s="57" t="s">
        <v>324</v>
      </c>
      <c r="ER20" s="57" t="s">
        <v>324</v>
      </c>
      <c r="ES20" s="57" t="s">
        <v>324</v>
      </c>
      <c r="ET20" s="57" t="s">
        <v>324</v>
      </c>
      <c r="EU20" s="57" t="s">
        <v>324</v>
      </c>
      <c r="EV20" s="57"/>
      <c r="EW20" s="57" t="s">
        <v>2017</v>
      </c>
      <c r="EX20" s="57" t="s">
        <v>324</v>
      </c>
      <c r="EY20" s="57" t="s">
        <v>324</v>
      </c>
      <c r="EZ20" s="57" t="s">
        <v>324</v>
      </c>
      <c r="FA20" s="57" t="s">
        <v>324</v>
      </c>
      <c r="FB20" s="57" t="s">
        <v>324</v>
      </c>
      <c r="FC20" s="57" t="s">
        <v>324</v>
      </c>
      <c r="FF20" s="70" t="s">
        <v>1825</v>
      </c>
      <c r="FG20" s="70" t="s">
        <v>2017</v>
      </c>
      <c r="FH20" s="70">
        <v>471</v>
      </c>
      <c r="FI20" s="70">
        <v>584</v>
      </c>
      <c r="FJ20" s="70">
        <v>709</v>
      </c>
      <c r="FK20" s="70">
        <v>837</v>
      </c>
      <c r="FL20" s="70">
        <v>926</v>
      </c>
      <c r="FM20" s="70">
        <v>3527</v>
      </c>
      <c r="FN20" s="70"/>
      <c r="FO20" s="70" t="s">
        <v>2017</v>
      </c>
      <c r="FP20" s="70">
        <v>89</v>
      </c>
      <c r="FQ20" s="70">
        <v>8</v>
      </c>
      <c r="FR20" s="70">
        <v>0</v>
      </c>
      <c r="FS20" s="70">
        <v>0</v>
      </c>
      <c r="FT20" s="70">
        <v>0</v>
      </c>
      <c r="FU20" s="70">
        <v>97</v>
      </c>
    </row>
    <row r="21" spans="1:177">
      <c r="B21" s="64" t="s">
        <v>795</v>
      </c>
      <c r="C21" s="64" t="s">
        <v>2017</v>
      </c>
      <c r="D21" s="64">
        <v>149</v>
      </c>
      <c r="E21" s="64">
        <v>163</v>
      </c>
      <c r="F21" s="64">
        <v>169</v>
      </c>
      <c r="G21" s="64">
        <v>255</v>
      </c>
      <c r="H21" s="64">
        <v>284</v>
      </c>
      <c r="I21" s="64">
        <v>1020</v>
      </c>
      <c r="K21" s="64" t="s">
        <v>2017</v>
      </c>
      <c r="L21" s="64">
        <v>51</v>
      </c>
      <c r="M21" s="64">
        <v>0</v>
      </c>
      <c r="N21" s="64">
        <v>0</v>
      </c>
      <c r="O21" s="64">
        <v>0</v>
      </c>
      <c r="P21" s="64">
        <v>0</v>
      </c>
      <c r="Q21" s="64">
        <v>51</v>
      </c>
      <c r="T21" s="65" t="s">
        <v>1004</v>
      </c>
      <c r="U21" s="65" t="s">
        <v>2017</v>
      </c>
      <c r="V21" s="65">
        <v>1181</v>
      </c>
      <c r="W21" s="65">
        <v>1277</v>
      </c>
      <c r="X21" s="65">
        <v>1379</v>
      </c>
      <c r="Y21" s="65">
        <v>1541</v>
      </c>
      <c r="Z21" s="65">
        <v>1074</v>
      </c>
      <c r="AA21" s="65">
        <v>6452</v>
      </c>
      <c r="AB21" s="65"/>
      <c r="AC21" s="65" t="s">
        <v>2017</v>
      </c>
      <c r="AD21" s="65">
        <v>138</v>
      </c>
      <c r="AE21" s="65">
        <v>25</v>
      </c>
      <c r="AF21" s="65">
        <v>5</v>
      </c>
      <c r="AG21" s="65">
        <v>6</v>
      </c>
      <c r="AH21" s="65">
        <v>4</v>
      </c>
      <c r="AI21" s="65">
        <v>178</v>
      </c>
      <c r="AK21" s="66" t="s">
        <v>1140</v>
      </c>
      <c r="AL21" s="66" t="s">
        <v>2017</v>
      </c>
      <c r="AM21" s="66">
        <v>465</v>
      </c>
      <c r="AN21" s="66">
        <v>283</v>
      </c>
      <c r="AO21" s="66">
        <v>446</v>
      </c>
      <c r="AP21" s="66">
        <v>542</v>
      </c>
      <c r="AQ21" s="66">
        <v>582</v>
      </c>
      <c r="AR21" s="66">
        <v>2318</v>
      </c>
      <c r="AS21" s="66"/>
      <c r="AT21" s="66" t="s">
        <v>2017</v>
      </c>
      <c r="AU21" s="66">
        <v>126</v>
      </c>
      <c r="AV21" s="66">
        <v>0</v>
      </c>
      <c r="AW21" s="66">
        <v>0</v>
      </c>
      <c r="AX21" s="66">
        <v>0</v>
      </c>
      <c r="AY21" s="66">
        <v>0</v>
      </c>
      <c r="AZ21" s="66">
        <v>126</v>
      </c>
      <c r="BB21" s="69" t="s">
        <v>1215</v>
      </c>
      <c r="BC21" s="69" t="s">
        <v>2017</v>
      </c>
      <c r="BD21" s="69">
        <v>228</v>
      </c>
      <c r="BE21" s="69">
        <v>193</v>
      </c>
      <c r="BF21" s="69">
        <v>316</v>
      </c>
      <c r="BG21" s="69">
        <v>449</v>
      </c>
      <c r="BH21" s="69">
        <v>389</v>
      </c>
      <c r="BI21" s="69">
        <v>1575</v>
      </c>
      <c r="BJ21" s="69"/>
      <c r="BK21" s="69" t="s">
        <v>2017</v>
      </c>
      <c r="BL21" s="69">
        <v>92</v>
      </c>
      <c r="BM21" s="69">
        <v>0</v>
      </c>
      <c r="BN21" s="69">
        <v>0</v>
      </c>
      <c r="BO21" s="69">
        <v>0</v>
      </c>
      <c r="BP21" s="69">
        <v>0</v>
      </c>
      <c r="BQ21" s="69">
        <v>92</v>
      </c>
      <c r="BS21" s="70" t="s">
        <v>1454</v>
      </c>
      <c r="BT21" s="70" t="s">
        <v>2017</v>
      </c>
      <c r="BU21" s="70">
        <v>736</v>
      </c>
      <c r="BV21" s="70">
        <v>424</v>
      </c>
      <c r="BW21" s="70">
        <v>297</v>
      </c>
      <c r="BX21" s="70">
        <v>243</v>
      </c>
      <c r="BY21" s="70">
        <v>233</v>
      </c>
      <c r="BZ21" s="70">
        <v>1933</v>
      </c>
      <c r="CA21" s="70"/>
      <c r="CB21" s="70" t="s">
        <v>2017</v>
      </c>
      <c r="CC21" s="70">
        <v>30</v>
      </c>
      <c r="CD21" s="70">
        <v>0</v>
      </c>
      <c r="CE21" s="70">
        <v>0</v>
      </c>
      <c r="CF21" s="70">
        <v>0</v>
      </c>
      <c r="CG21" s="70">
        <v>0</v>
      </c>
      <c r="CH21" s="70">
        <v>30</v>
      </c>
      <c r="CL21" s="57" t="s">
        <v>497</v>
      </c>
      <c r="CM21" s="57" t="s">
        <v>2017</v>
      </c>
      <c r="CN21" s="57">
        <v>93</v>
      </c>
      <c r="CO21" s="57">
        <v>62</v>
      </c>
      <c r="CP21" s="57">
        <v>67</v>
      </c>
      <c r="CQ21" s="57">
        <v>53</v>
      </c>
      <c r="CR21" s="57">
        <v>44</v>
      </c>
      <c r="CS21" s="57">
        <v>319</v>
      </c>
      <c r="CT21" s="57"/>
      <c r="CU21" s="57" t="s">
        <v>2017</v>
      </c>
      <c r="CV21" s="57">
        <v>20</v>
      </c>
      <c r="CW21" s="57">
        <v>0</v>
      </c>
      <c r="CX21" s="57">
        <v>0</v>
      </c>
      <c r="CY21" s="57">
        <v>0</v>
      </c>
      <c r="CZ21" s="57">
        <v>0</v>
      </c>
      <c r="DA21" s="57">
        <v>20</v>
      </c>
      <c r="DD21" s="77" t="s">
        <v>1979</v>
      </c>
      <c r="DE21" s="77" t="s">
        <v>2018</v>
      </c>
      <c r="DF21" s="77">
        <v>847</v>
      </c>
      <c r="DG21" s="77">
        <v>1026</v>
      </c>
      <c r="DH21" s="77">
        <v>1375</v>
      </c>
      <c r="DI21" s="77">
        <v>1623</v>
      </c>
      <c r="DJ21" s="77">
        <v>1278</v>
      </c>
      <c r="DK21" s="77">
        <v>6149</v>
      </c>
      <c r="DL21" s="77"/>
      <c r="DM21" s="77" t="s">
        <v>2018</v>
      </c>
      <c r="DN21" s="77">
        <v>70</v>
      </c>
      <c r="DO21" s="77">
        <v>40</v>
      </c>
      <c r="DP21" s="77">
        <v>9</v>
      </c>
      <c r="DQ21" s="77">
        <v>6</v>
      </c>
      <c r="DR21" s="77">
        <v>2</v>
      </c>
      <c r="DS21" s="77">
        <v>127</v>
      </c>
      <c r="DV21" s="79" t="s">
        <v>1682</v>
      </c>
      <c r="DW21" s="79" t="s">
        <v>2017</v>
      </c>
      <c r="DX21" s="79">
        <v>269</v>
      </c>
      <c r="DY21" s="79">
        <v>369</v>
      </c>
      <c r="DZ21" s="79">
        <v>486</v>
      </c>
      <c r="EA21" s="79">
        <v>542</v>
      </c>
      <c r="EB21" s="79">
        <v>412</v>
      </c>
      <c r="EC21" s="79">
        <v>2078</v>
      </c>
      <c r="ED21" s="79"/>
      <c r="EE21" s="79" t="s">
        <v>2017</v>
      </c>
      <c r="EF21" s="79">
        <v>18</v>
      </c>
      <c r="EG21" s="79">
        <v>1</v>
      </c>
      <c r="EH21" s="79">
        <v>0</v>
      </c>
      <c r="EI21" s="79">
        <v>0</v>
      </c>
      <c r="EJ21" s="79">
        <v>0</v>
      </c>
      <c r="EK21" s="79">
        <v>19</v>
      </c>
      <c r="EN21" s="57" t="s">
        <v>1747</v>
      </c>
      <c r="EO21" s="57" t="s">
        <v>2017</v>
      </c>
      <c r="EP21" s="57">
        <v>303</v>
      </c>
      <c r="EQ21" s="57">
        <v>493</v>
      </c>
      <c r="ER21" s="57">
        <v>579</v>
      </c>
      <c r="ES21" s="57">
        <v>755</v>
      </c>
      <c r="ET21" s="57">
        <v>878</v>
      </c>
      <c r="EU21" s="57">
        <v>3008</v>
      </c>
      <c r="EV21" s="57"/>
      <c r="EW21" s="57" t="s">
        <v>2017</v>
      </c>
      <c r="EX21" s="57">
        <v>54</v>
      </c>
      <c r="EY21" s="57">
        <v>31</v>
      </c>
      <c r="EZ21" s="57">
        <v>21</v>
      </c>
      <c r="FA21" s="57">
        <v>20</v>
      </c>
      <c r="FB21" s="57">
        <v>37</v>
      </c>
      <c r="FC21" s="57">
        <v>163</v>
      </c>
      <c r="FF21" s="70" t="s">
        <v>1827</v>
      </c>
      <c r="FG21" s="70" t="s">
        <v>2017</v>
      </c>
      <c r="FH21" s="70">
        <v>557</v>
      </c>
      <c r="FI21" s="70">
        <v>647</v>
      </c>
      <c r="FJ21" s="70">
        <v>786</v>
      </c>
      <c r="FK21" s="70">
        <v>842</v>
      </c>
      <c r="FL21" s="70">
        <v>886</v>
      </c>
      <c r="FM21" s="70">
        <v>3718</v>
      </c>
      <c r="FN21" s="70"/>
      <c r="FO21" s="70" t="s">
        <v>2017</v>
      </c>
      <c r="FP21" s="70">
        <v>67</v>
      </c>
      <c r="FQ21" s="70">
        <v>32</v>
      </c>
      <c r="FR21" s="70">
        <v>0</v>
      </c>
      <c r="FS21" s="70">
        <v>0</v>
      </c>
      <c r="FT21" s="70">
        <v>0</v>
      </c>
      <c r="FU21" s="70">
        <v>99</v>
      </c>
    </row>
    <row r="22" spans="1:177">
      <c r="B22" s="64" t="s">
        <v>805</v>
      </c>
      <c r="C22" s="64" t="s">
        <v>2017</v>
      </c>
      <c r="D22" s="64" t="s">
        <v>324</v>
      </c>
      <c r="E22" s="64" t="s">
        <v>324</v>
      </c>
      <c r="F22" s="64" t="s">
        <v>324</v>
      </c>
      <c r="G22" s="64" t="s">
        <v>324</v>
      </c>
      <c r="H22" s="64" t="s">
        <v>324</v>
      </c>
      <c r="I22" s="64" t="s">
        <v>324</v>
      </c>
      <c r="K22" s="64" t="s">
        <v>2017</v>
      </c>
      <c r="L22" s="64" t="s">
        <v>324</v>
      </c>
      <c r="M22" s="64" t="s">
        <v>324</v>
      </c>
      <c r="N22" s="64" t="s">
        <v>324</v>
      </c>
      <c r="O22" s="64" t="s">
        <v>324</v>
      </c>
      <c r="P22" s="64" t="s">
        <v>324</v>
      </c>
      <c r="Q22" s="64" t="s">
        <v>324</v>
      </c>
      <c r="T22" s="65" t="s">
        <v>1009</v>
      </c>
      <c r="U22" s="65" t="s">
        <v>2017</v>
      </c>
      <c r="V22" s="65">
        <v>1047</v>
      </c>
      <c r="W22" s="65">
        <v>1221</v>
      </c>
      <c r="X22" s="65">
        <v>1571</v>
      </c>
      <c r="Y22" s="65">
        <v>1755</v>
      </c>
      <c r="Z22" s="65">
        <v>1238</v>
      </c>
      <c r="AA22" s="65">
        <v>6832</v>
      </c>
      <c r="AB22" s="65"/>
      <c r="AC22" s="65" t="s">
        <v>2017</v>
      </c>
      <c r="AD22" s="65">
        <v>81</v>
      </c>
      <c r="AE22" s="65">
        <v>5</v>
      </c>
      <c r="AF22" s="65">
        <v>0</v>
      </c>
      <c r="AG22" s="65">
        <v>2</v>
      </c>
      <c r="AH22" s="65">
        <v>1</v>
      </c>
      <c r="AI22" s="65">
        <v>89</v>
      </c>
      <c r="AK22" s="66" t="s">
        <v>1143</v>
      </c>
      <c r="AL22" s="66" t="s">
        <v>2017</v>
      </c>
      <c r="AM22" s="66">
        <v>1086</v>
      </c>
      <c r="AN22" s="66">
        <v>926</v>
      </c>
      <c r="AO22" s="66">
        <v>1079</v>
      </c>
      <c r="AP22" s="66">
        <v>1143</v>
      </c>
      <c r="AQ22" s="66">
        <v>843</v>
      </c>
      <c r="AR22" s="66">
        <v>5077</v>
      </c>
      <c r="AS22" s="66"/>
      <c r="AT22" s="66" t="s">
        <v>2017</v>
      </c>
      <c r="AU22" s="66">
        <v>155</v>
      </c>
      <c r="AV22" s="66">
        <v>1</v>
      </c>
      <c r="AW22" s="66">
        <v>0</v>
      </c>
      <c r="AX22" s="66">
        <v>0</v>
      </c>
      <c r="AY22" s="66">
        <v>0</v>
      </c>
      <c r="AZ22" s="66">
        <v>156</v>
      </c>
      <c r="BB22" s="69" t="s">
        <v>1218</v>
      </c>
      <c r="BC22" s="69" t="s">
        <v>2017</v>
      </c>
      <c r="BD22" s="69">
        <v>146</v>
      </c>
      <c r="BE22" s="69">
        <v>53</v>
      </c>
      <c r="BF22" s="69">
        <v>122</v>
      </c>
      <c r="BG22" s="69">
        <v>172</v>
      </c>
      <c r="BH22" s="69">
        <v>166</v>
      </c>
      <c r="BI22" s="69">
        <v>659</v>
      </c>
      <c r="BJ22" s="69"/>
      <c r="BK22" s="69" t="s">
        <v>2017</v>
      </c>
      <c r="BL22" s="69">
        <v>32</v>
      </c>
      <c r="BM22" s="69">
        <v>0</v>
      </c>
      <c r="BN22" s="69">
        <v>0</v>
      </c>
      <c r="BO22" s="69">
        <v>0</v>
      </c>
      <c r="BP22" s="69">
        <v>0</v>
      </c>
      <c r="BQ22" s="69">
        <v>32</v>
      </c>
      <c r="BS22" s="70" t="s">
        <v>1458</v>
      </c>
      <c r="BT22" s="70" t="s">
        <v>2017</v>
      </c>
      <c r="BU22" s="70">
        <v>81</v>
      </c>
      <c r="BV22" s="70">
        <v>84</v>
      </c>
      <c r="BW22" s="70">
        <v>171</v>
      </c>
      <c r="BX22" s="70">
        <v>285</v>
      </c>
      <c r="BY22" s="70">
        <v>244</v>
      </c>
      <c r="BZ22" s="70">
        <v>865</v>
      </c>
      <c r="CA22" s="70"/>
      <c r="CB22" s="70" t="s">
        <v>2017</v>
      </c>
      <c r="CC22" s="70">
        <v>24</v>
      </c>
      <c r="CD22" s="70">
        <v>0</v>
      </c>
      <c r="CE22" s="70">
        <v>0</v>
      </c>
      <c r="CF22" s="70">
        <v>0</v>
      </c>
      <c r="CG22" s="70">
        <v>0</v>
      </c>
      <c r="CH22" s="70">
        <v>24</v>
      </c>
      <c r="CL22" s="57" t="s">
        <v>525</v>
      </c>
      <c r="CM22" s="57" t="s">
        <v>2017</v>
      </c>
      <c r="CN22" s="57" t="s">
        <v>324</v>
      </c>
      <c r="CO22" s="57" t="s">
        <v>324</v>
      </c>
      <c r="CP22" s="57" t="s">
        <v>324</v>
      </c>
      <c r="CQ22" s="57" t="s">
        <v>324</v>
      </c>
      <c r="CR22" s="57" t="s">
        <v>324</v>
      </c>
      <c r="CS22" s="57" t="s">
        <v>324</v>
      </c>
      <c r="CT22" s="57"/>
      <c r="CU22" s="57" t="s">
        <v>2017</v>
      </c>
      <c r="CV22" s="57" t="s">
        <v>324</v>
      </c>
      <c r="CW22" s="57" t="s">
        <v>324</v>
      </c>
      <c r="CX22" s="57" t="s">
        <v>324</v>
      </c>
      <c r="CY22" s="57" t="s">
        <v>324</v>
      </c>
      <c r="CZ22" s="57" t="s">
        <v>324</v>
      </c>
      <c r="DA22" s="57" t="s">
        <v>324</v>
      </c>
      <c r="DD22" s="77" t="s">
        <v>1609</v>
      </c>
      <c r="DE22" s="77" t="s">
        <v>2018</v>
      </c>
      <c r="DF22" s="77">
        <v>144</v>
      </c>
      <c r="DG22" s="77">
        <v>219</v>
      </c>
      <c r="DH22" s="77">
        <v>260</v>
      </c>
      <c r="DI22" s="77">
        <v>325</v>
      </c>
      <c r="DJ22" s="77">
        <v>253</v>
      </c>
      <c r="DK22" s="77">
        <v>1201</v>
      </c>
      <c r="DL22" s="77"/>
      <c r="DM22" s="77" t="s">
        <v>2018</v>
      </c>
      <c r="DN22" s="77">
        <v>7</v>
      </c>
      <c r="DO22" s="77">
        <v>11</v>
      </c>
      <c r="DP22" s="77">
        <v>0</v>
      </c>
      <c r="DQ22" s="77">
        <v>2</v>
      </c>
      <c r="DR22" s="77">
        <v>2</v>
      </c>
      <c r="DS22" s="77">
        <v>22</v>
      </c>
      <c r="DU22" s="16" t="s">
        <v>1695</v>
      </c>
      <c r="DV22" s="79" t="s">
        <v>2658</v>
      </c>
      <c r="DW22" s="79" t="s">
        <v>2017</v>
      </c>
      <c r="DX22" s="79">
        <v>168</v>
      </c>
      <c r="DY22" s="79">
        <v>132</v>
      </c>
      <c r="DZ22" s="79">
        <v>123</v>
      </c>
      <c r="EA22" s="79">
        <v>157</v>
      </c>
      <c r="EB22" s="79">
        <v>170</v>
      </c>
      <c r="EC22" s="79">
        <v>750</v>
      </c>
      <c r="ED22" s="79"/>
      <c r="EE22" s="79" t="s">
        <v>2017</v>
      </c>
      <c r="EF22" s="79">
        <v>16</v>
      </c>
      <c r="EG22" s="79">
        <v>1</v>
      </c>
      <c r="EH22" s="79">
        <v>0</v>
      </c>
      <c r="EI22" s="79">
        <v>0</v>
      </c>
      <c r="EJ22" s="79">
        <v>0</v>
      </c>
      <c r="EK22" s="79">
        <v>17</v>
      </c>
      <c r="EN22" s="57" t="s">
        <v>1750</v>
      </c>
      <c r="EO22" s="57" t="s">
        <v>2017</v>
      </c>
      <c r="EP22" s="57" t="s">
        <v>324</v>
      </c>
      <c r="EQ22" s="57" t="s">
        <v>324</v>
      </c>
      <c r="ER22" s="57" t="s">
        <v>324</v>
      </c>
      <c r="ES22" s="57" t="s">
        <v>324</v>
      </c>
      <c r="ET22" s="57" t="s">
        <v>324</v>
      </c>
      <c r="EU22" s="57" t="s">
        <v>324</v>
      </c>
      <c r="EV22" s="57"/>
      <c r="EW22" s="57" t="s">
        <v>2017</v>
      </c>
      <c r="EX22" s="57" t="s">
        <v>324</v>
      </c>
      <c r="EY22" s="57" t="s">
        <v>324</v>
      </c>
      <c r="EZ22" s="57" t="s">
        <v>324</v>
      </c>
      <c r="FA22" s="57" t="s">
        <v>324</v>
      </c>
      <c r="FB22" s="57" t="s">
        <v>324</v>
      </c>
      <c r="FC22" s="57" t="s">
        <v>324</v>
      </c>
      <c r="FF22" s="70" t="s">
        <v>1828</v>
      </c>
      <c r="FG22" s="70" t="s">
        <v>2017</v>
      </c>
      <c r="FH22" s="70">
        <v>567</v>
      </c>
      <c r="FI22" s="70">
        <v>663</v>
      </c>
      <c r="FJ22" s="70">
        <v>780</v>
      </c>
      <c r="FK22" s="70">
        <v>800</v>
      </c>
      <c r="FL22" s="70">
        <v>927</v>
      </c>
      <c r="FM22" s="70">
        <v>3737</v>
      </c>
      <c r="FN22" s="70"/>
      <c r="FO22" s="70" t="s">
        <v>2017</v>
      </c>
      <c r="FP22" s="70">
        <v>85</v>
      </c>
      <c r="FQ22" s="70">
        <v>12</v>
      </c>
      <c r="FR22" s="70">
        <v>0</v>
      </c>
      <c r="FS22" s="70">
        <v>0</v>
      </c>
      <c r="FT22" s="70">
        <v>0</v>
      </c>
      <c r="FU22" s="70">
        <v>97</v>
      </c>
    </row>
    <row r="23" spans="1:177">
      <c r="B23" s="64" t="s">
        <v>812</v>
      </c>
      <c r="C23" s="64" t="s">
        <v>2017</v>
      </c>
      <c r="D23" s="64" t="s">
        <v>324</v>
      </c>
      <c r="E23" s="64" t="s">
        <v>324</v>
      </c>
      <c r="F23" s="64" t="s">
        <v>324</v>
      </c>
      <c r="G23" s="64" t="s">
        <v>324</v>
      </c>
      <c r="H23" s="64" t="s">
        <v>324</v>
      </c>
      <c r="I23" s="64" t="s">
        <v>324</v>
      </c>
      <c r="K23" s="64" t="s">
        <v>2017</v>
      </c>
      <c r="L23" s="64" t="s">
        <v>324</v>
      </c>
      <c r="M23" s="64" t="s">
        <v>324</v>
      </c>
      <c r="N23" s="64" t="s">
        <v>324</v>
      </c>
      <c r="O23" s="64" t="s">
        <v>324</v>
      </c>
      <c r="P23" s="64" t="s">
        <v>324</v>
      </c>
      <c r="Q23" s="64" t="s">
        <v>324</v>
      </c>
      <c r="T23" s="65" t="s">
        <v>1014</v>
      </c>
      <c r="U23" s="65" t="s">
        <v>2017</v>
      </c>
      <c r="V23" s="65">
        <v>1042</v>
      </c>
      <c r="W23" s="65">
        <v>585</v>
      </c>
      <c r="X23" s="65">
        <v>615</v>
      </c>
      <c r="Y23" s="65">
        <v>685</v>
      </c>
      <c r="Z23" s="65">
        <v>550</v>
      </c>
      <c r="AA23" s="65">
        <v>3477</v>
      </c>
      <c r="AB23" s="65"/>
      <c r="AC23" s="65" t="s">
        <v>2017</v>
      </c>
      <c r="AD23" s="65">
        <v>11</v>
      </c>
      <c r="AE23" s="65">
        <v>1</v>
      </c>
      <c r="AF23" s="65">
        <v>0</v>
      </c>
      <c r="AG23" s="65">
        <v>0</v>
      </c>
      <c r="AH23" s="65">
        <v>0</v>
      </c>
      <c r="AI23" s="65">
        <v>12</v>
      </c>
      <c r="AK23" s="66" t="s">
        <v>1952</v>
      </c>
      <c r="AL23" s="66" t="s">
        <v>2017</v>
      </c>
      <c r="AM23" s="66">
        <v>343</v>
      </c>
      <c r="AN23" s="66">
        <v>289</v>
      </c>
      <c r="AO23" s="66">
        <v>407</v>
      </c>
      <c r="AP23" s="66">
        <v>633</v>
      </c>
      <c r="AQ23" s="66">
        <v>631</v>
      </c>
      <c r="AR23" s="66">
        <v>2303</v>
      </c>
      <c r="AS23" s="66"/>
      <c r="AT23" s="66" t="s">
        <v>2017</v>
      </c>
      <c r="AU23" s="66">
        <v>42</v>
      </c>
      <c r="AV23" s="66">
        <v>1</v>
      </c>
      <c r="AW23" s="66">
        <v>0</v>
      </c>
      <c r="AX23" s="66">
        <v>0</v>
      </c>
      <c r="AY23" s="66">
        <v>0</v>
      </c>
      <c r="AZ23" s="66">
        <v>43</v>
      </c>
      <c r="BB23" s="69" t="s">
        <v>1221</v>
      </c>
      <c r="BC23" s="69" t="s">
        <v>2017</v>
      </c>
      <c r="BD23" s="69">
        <v>35</v>
      </c>
      <c r="BE23" s="69">
        <v>34</v>
      </c>
      <c r="BF23" s="69">
        <v>91</v>
      </c>
      <c r="BG23" s="69">
        <v>127</v>
      </c>
      <c r="BH23" s="69">
        <v>122</v>
      </c>
      <c r="BI23" s="69">
        <v>409</v>
      </c>
      <c r="BJ23" s="69"/>
      <c r="BK23" s="69" t="s">
        <v>2017</v>
      </c>
      <c r="BL23" s="69">
        <v>15</v>
      </c>
      <c r="BM23" s="69">
        <v>1</v>
      </c>
      <c r="BN23" s="69">
        <v>0</v>
      </c>
      <c r="BO23" s="69">
        <v>0</v>
      </c>
      <c r="BP23" s="69">
        <v>0</v>
      </c>
      <c r="BQ23" s="69">
        <v>16</v>
      </c>
      <c r="BS23" s="70" t="s">
        <v>1462</v>
      </c>
      <c r="BT23" s="70" t="s">
        <v>2017</v>
      </c>
      <c r="BU23" s="70">
        <v>50</v>
      </c>
      <c r="BV23" s="70">
        <v>79</v>
      </c>
      <c r="BW23" s="70">
        <v>163</v>
      </c>
      <c r="BX23" s="70">
        <v>280</v>
      </c>
      <c r="BY23" s="70">
        <v>290</v>
      </c>
      <c r="BZ23" s="70">
        <v>862</v>
      </c>
      <c r="CA23" s="70"/>
      <c r="CB23" s="70" t="s">
        <v>2017</v>
      </c>
      <c r="CC23" s="70">
        <v>14</v>
      </c>
      <c r="CD23" s="70">
        <v>0</v>
      </c>
      <c r="CE23" s="70">
        <v>0</v>
      </c>
      <c r="CF23" s="70">
        <v>0</v>
      </c>
      <c r="CG23" s="70">
        <v>0</v>
      </c>
      <c r="CH23" s="70">
        <v>14</v>
      </c>
      <c r="CL23" s="57" t="s">
        <v>527</v>
      </c>
      <c r="CM23" s="57" t="s">
        <v>2017</v>
      </c>
      <c r="CN23" s="57">
        <v>72</v>
      </c>
      <c r="CO23" s="57">
        <v>132</v>
      </c>
      <c r="CP23" s="57">
        <v>298</v>
      </c>
      <c r="CQ23" s="57">
        <v>484</v>
      </c>
      <c r="CR23" s="57">
        <v>410</v>
      </c>
      <c r="CS23" s="57">
        <v>1396</v>
      </c>
      <c r="CT23" s="57"/>
      <c r="CU23" s="57" t="s">
        <v>2017</v>
      </c>
      <c r="CV23" s="57">
        <v>15</v>
      </c>
      <c r="CW23" s="57">
        <v>1</v>
      </c>
      <c r="CX23" s="57">
        <v>0</v>
      </c>
      <c r="CY23" s="57">
        <v>0</v>
      </c>
      <c r="CZ23" s="57">
        <v>0</v>
      </c>
      <c r="DA23" s="57">
        <v>16</v>
      </c>
      <c r="DD23" s="77" t="s">
        <v>1613</v>
      </c>
      <c r="DE23" s="77" t="s">
        <v>2018</v>
      </c>
      <c r="DF23" s="77">
        <v>341</v>
      </c>
      <c r="DG23" s="77">
        <v>556</v>
      </c>
      <c r="DH23" s="77">
        <v>721</v>
      </c>
      <c r="DI23" s="77">
        <v>941</v>
      </c>
      <c r="DJ23" s="77">
        <v>701</v>
      </c>
      <c r="DK23" s="77">
        <v>3260</v>
      </c>
      <c r="DL23" s="77"/>
      <c r="DM23" s="77" t="s">
        <v>2018</v>
      </c>
      <c r="DN23" s="77">
        <v>15</v>
      </c>
      <c r="DO23" s="77">
        <v>6</v>
      </c>
      <c r="DP23" s="77">
        <v>1</v>
      </c>
      <c r="DQ23" s="77">
        <v>3</v>
      </c>
      <c r="DR23" s="77">
        <v>0</v>
      </c>
      <c r="DS23" s="77">
        <v>25</v>
      </c>
      <c r="DU23" s="16" t="s">
        <v>1698</v>
      </c>
      <c r="DV23" s="79" t="s">
        <v>2661</v>
      </c>
      <c r="DW23" s="79" t="s">
        <v>2017</v>
      </c>
      <c r="DX23" s="79">
        <v>247</v>
      </c>
      <c r="DY23" s="79">
        <v>283</v>
      </c>
      <c r="DZ23" s="79">
        <v>381</v>
      </c>
      <c r="EA23" s="79">
        <v>406</v>
      </c>
      <c r="EB23" s="79">
        <v>293</v>
      </c>
      <c r="EC23" s="79">
        <v>1610</v>
      </c>
      <c r="ED23" s="79"/>
      <c r="EE23" s="79" t="s">
        <v>2017</v>
      </c>
      <c r="EF23" s="79">
        <v>16</v>
      </c>
      <c r="EG23" s="79">
        <v>1</v>
      </c>
      <c r="EH23" s="79">
        <v>0</v>
      </c>
      <c r="EI23" s="79">
        <v>0</v>
      </c>
      <c r="EJ23" s="79">
        <v>0</v>
      </c>
      <c r="EK23" s="79">
        <v>17</v>
      </c>
      <c r="EN23" s="57" t="s">
        <v>1753</v>
      </c>
      <c r="EO23" s="57" t="s">
        <v>2017</v>
      </c>
      <c r="EP23" s="57" t="s">
        <v>324</v>
      </c>
      <c r="EQ23" s="57" t="s">
        <v>324</v>
      </c>
      <c r="ER23" s="57" t="s">
        <v>324</v>
      </c>
      <c r="ES23" s="57" t="s">
        <v>324</v>
      </c>
      <c r="ET23" s="57" t="s">
        <v>324</v>
      </c>
      <c r="EU23" s="57" t="s">
        <v>324</v>
      </c>
      <c r="EV23" s="57"/>
      <c r="EW23" s="57" t="s">
        <v>2017</v>
      </c>
      <c r="EX23" s="57" t="s">
        <v>324</v>
      </c>
      <c r="EY23" s="57" t="s">
        <v>324</v>
      </c>
      <c r="EZ23" s="57" t="s">
        <v>324</v>
      </c>
      <c r="FA23" s="57" t="s">
        <v>324</v>
      </c>
      <c r="FB23" s="57" t="s">
        <v>324</v>
      </c>
      <c r="FC23" s="57" t="s">
        <v>324</v>
      </c>
      <c r="FF23" s="70" t="s">
        <v>1829</v>
      </c>
      <c r="FG23" s="70" t="s">
        <v>2017</v>
      </c>
      <c r="FH23" s="70">
        <v>2297</v>
      </c>
      <c r="FI23" s="70">
        <v>1249</v>
      </c>
      <c r="FJ23" s="70">
        <v>908</v>
      </c>
      <c r="FK23" s="70">
        <v>806</v>
      </c>
      <c r="FL23" s="70">
        <v>903</v>
      </c>
      <c r="FM23" s="70">
        <v>6163</v>
      </c>
      <c r="FN23" s="70"/>
      <c r="FO23" s="70" t="s">
        <v>2017</v>
      </c>
      <c r="FP23" s="70">
        <v>277</v>
      </c>
      <c r="FQ23" s="70">
        <v>0</v>
      </c>
      <c r="FR23" s="70">
        <v>0</v>
      </c>
      <c r="FS23" s="70">
        <v>0</v>
      </c>
      <c r="FT23" s="70">
        <v>0</v>
      </c>
      <c r="FU23" s="70">
        <v>277</v>
      </c>
    </row>
    <row r="24" spans="1:177">
      <c r="A24" s="16" t="s">
        <v>2019</v>
      </c>
      <c r="B24" s="64" t="s">
        <v>2020</v>
      </c>
      <c r="C24" s="64" t="s">
        <v>2017</v>
      </c>
      <c r="D24" s="64" t="s">
        <v>324</v>
      </c>
      <c r="E24" s="64" t="s">
        <v>324</v>
      </c>
      <c r="F24" s="64" t="s">
        <v>324</v>
      </c>
      <c r="G24" s="64" t="s">
        <v>324</v>
      </c>
      <c r="H24" s="64" t="s">
        <v>324</v>
      </c>
      <c r="I24" s="64" t="s">
        <v>324</v>
      </c>
      <c r="K24" s="64" t="s">
        <v>2017</v>
      </c>
      <c r="L24" s="64" t="s">
        <v>324</v>
      </c>
      <c r="M24" s="64" t="s">
        <v>324</v>
      </c>
      <c r="N24" s="64" t="s">
        <v>324</v>
      </c>
      <c r="O24" s="64" t="s">
        <v>324</v>
      </c>
      <c r="P24" s="64" t="s">
        <v>324</v>
      </c>
      <c r="Q24" s="64" t="s">
        <v>324</v>
      </c>
      <c r="T24" s="65" t="s">
        <v>1905</v>
      </c>
      <c r="U24" s="65" t="s">
        <v>2017</v>
      </c>
      <c r="V24" s="65">
        <v>154</v>
      </c>
      <c r="W24" s="65">
        <v>234</v>
      </c>
      <c r="X24" s="65">
        <v>425</v>
      </c>
      <c r="Y24" s="65">
        <v>502</v>
      </c>
      <c r="Z24" s="65">
        <v>396</v>
      </c>
      <c r="AA24" s="65">
        <v>1711</v>
      </c>
      <c r="AB24" s="65"/>
      <c r="AC24" s="65" t="s">
        <v>2017</v>
      </c>
      <c r="AD24" s="65">
        <v>10</v>
      </c>
      <c r="AE24" s="65">
        <v>2</v>
      </c>
      <c r="AF24" s="65">
        <v>3</v>
      </c>
      <c r="AG24" s="65">
        <v>1</v>
      </c>
      <c r="AH24" s="65">
        <v>1</v>
      </c>
      <c r="AI24" s="65">
        <v>17</v>
      </c>
      <c r="AK24" s="66" t="s">
        <v>1917</v>
      </c>
      <c r="AL24" s="66" t="s">
        <v>2017</v>
      </c>
      <c r="AM24" s="66">
        <v>622</v>
      </c>
      <c r="AN24" s="66">
        <v>481</v>
      </c>
      <c r="AO24" s="66">
        <v>894</v>
      </c>
      <c r="AP24" s="66">
        <v>1279</v>
      </c>
      <c r="AQ24" s="66">
        <v>1122</v>
      </c>
      <c r="AR24" s="66">
        <v>4398</v>
      </c>
      <c r="AS24" s="66"/>
      <c r="AT24" s="66" t="s">
        <v>2017</v>
      </c>
      <c r="AU24" s="66">
        <v>38</v>
      </c>
      <c r="AV24" s="66">
        <v>0</v>
      </c>
      <c r="AW24" s="66">
        <v>0</v>
      </c>
      <c r="AX24" s="66">
        <v>0</v>
      </c>
      <c r="AY24" s="66">
        <v>0</v>
      </c>
      <c r="AZ24" s="66">
        <v>38</v>
      </c>
      <c r="BB24" s="69" t="s">
        <v>1225</v>
      </c>
      <c r="BC24" s="69" t="s">
        <v>2017</v>
      </c>
      <c r="BD24" s="69">
        <v>106</v>
      </c>
      <c r="BE24" s="69">
        <v>69</v>
      </c>
      <c r="BF24" s="69">
        <v>118</v>
      </c>
      <c r="BG24" s="69">
        <v>135</v>
      </c>
      <c r="BH24" s="69">
        <v>174</v>
      </c>
      <c r="BI24" s="69">
        <v>602</v>
      </c>
      <c r="BJ24" s="69"/>
      <c r="BK24" s="69" t="s">
        <v>2017</v>
      </c>
      <c r="BL24" s="69">
        <v>15</v>
      </c>
      <c r="BM24" s="69">
        <v>0</v>
      </c>
      <c r="BN24" s="69">
        <v>0</v>
      </c>
      <c r="BO24" s="69">
        <v>0</v>
      </c>
      <c r="BP24" s="69">
        <v>0</v>
      </c>
      <c r="BQ24" s="69">
        <v>15</v>
      </c>
      <c r="BS24" s="70" t="s">
        <v>1464</v>
      </c>
      <c r="BT24" s="70" t="s">
        <v>2017</v>
      </c>
      <c r="BU24" s="70">
        <v>58</v>
      </c>
      <c r="BV24" s="70">
        <v>77</v>
      </c>
      <c r="BW24" s="70">
        <v>142</v>
      </c>
      <c r="BX24" s="70">
        <v>236</v>
      </c>
      <c r="BY24" s="70">
        <v>209</v>
      </c>
      <c r="BZ24" s="70">
        <v>722</v>
      </c>
      <c r="CA24" s="70"/>
      <c r="CB24" s="70" t="s">
        <v>2017</v>
      </c>
      <c r="CC24" s="70">
        <v>17</v>
      </c>
      <c r="CD24" s="70">
        <v>0</v>
      </c>
      <c r="CE24" s="70">
        <v>0</v>
      </c>
      <c r="CF24" s="70">
        <v>0</v>
      </c>
      <c r="CG24" s="70">
        <v>0</v>
      </c>
      <c r="CH24" s="70">
        <v>17</v>
      </c>
      <c r="CL24" s="57" t="s">
        <v>529</v>
      </c>
      <c r="CM24" s="57" t="s">
        <v>2017</v>
      </c>
      <c r="CN24" s="57">
        <v>1143</v>
      </c>
      <c r="CO24" s="57">
        <v>628</v>
      </c>
      <c r="CP24" s="57">
        <v>835</v>
      </c>
      <c r="CQ24" s="57">
        <v>865</v>
      </c>
      <c r="CR24" s="57">
        <v>747</v>
      </c>
      <c r="CS24" s="57">
        <v>4218</v>
      </c>
      <c r="CT24" s="57"/>
      <c r="CU24" s="57" t="s">
        <v>2017</v>
      </c>
      <c r="CV24" s="57">
        <v>337</v>
      </c>
      <c r="CW24" s="57">
        <v>1</v>
      </c>
      <c r="CX24" s="57">
        <v>1</v>
      </c>
      <c r="CY24" s="57">
        <v>1</v>
      </c>
      <c r="CZ24" s="57">
        <v>0</v>
      </c>
      <c r="DA24" s="57">
        <v>340</v>
      </c>
      <c r="DD24" s="77" t="s">
        <v>1616</v>
      </c>
      <c r="DE24" s="77" t="s">
        <v>2018</v>
      </c>
      <c r="DF24" s="77">
        <v>353</v>
      </c>
      <c r="DG24" s="77">
        <v>442</v>
      </c>
      <c r="DH24" s="77">
        <v>589</v>
      </c>
      <c r="DI24" s="77">
        <v>644</v>
      </c>
      <c r="DJ24" s="77">
        <v>499</v>
      </c>
      <c r="DK24" s="77">
        <v>2527</v>
      </c>
      <c r="DL24" s="77"/>
      <c r="DM24" s="77" t="s">
        <v>2018</v>
      </c>
      <c r="DN24" s="77">
        <v>15</v>
      </c>
      <c r="DO24" s="77">
        <v>8</v>
      </c>
      <c r="DP24" s="77">
        <v>1</v>
      </c>
      <c r="DQ24" s="77">
        <v>0</v>
      </c>
      <c r="DR24" s="77">
        <v>0</v>
      </c>
      <c r="DS24" s="77">
        <v>24</v>
      </c>
      <c r="DV24" s="79" t="s">
        <v>1701</v>
      </c>
      <c r="DW24" s="79" t="s">
        <v>2017</v>
      </c>
      <c r="DX24" s="79">
        <v>130</v>
      </c>
      <c r="DY24" s="79">
        <v>132</v>
      </c>
      <c r="DZ24" s="79">
        <v>189</v>
      </c>
      <c r="EA24" s="79">
        <v>221</v>
      </c>
      <c r="EB24" s="79">
        <v>220</v>
      </c>
      <c r="EC24" s="79">
        <v>892</v>
      </c>
      <c r="ED24" s="79"/>
      <c r="EE24" s="79" t="s">
        <v>2017</v>
      </c>
      <c r="EF24" s="79">
        <v>13</v>
      </c>
      <c r="EG24" s="79">
        <v>0</v>
      </c>
      <c r="EH24" s="79">
        <v>0</v>
      </c>
      <c r="EI24" s="79">
        <v>0</v>
      </c>
      <c r="EJ24" s="79">
        <v>0</v>
      </c>
      <c r="EK24" s="79">
        <v>13</v>
      </c>
      <c r="EN24" s="57" t="s">
        <v>1756</v>
      </c>
      <c r="EO24" s="57" t="s">
        <v>2017</v>
      </c>
      <c r="EP24" s="57">
        <v>189</v>
      </c>
      <c r="EQ24" s="57">
        <v>188</v>
      </c>
      <c r="ER24" s="57">
        <v>207</v>
      </c>
      <c r="ES24" s="57">
        <v>240</v>
      </c>
      <c r="ET24" s="57">
        <v>269</v>
      </c>
      <c r="EU24" s="57">
        <v>1093</v>
      </c>
      <c r="EV24" s="57"/>
      <c r="EW24" s="57" t="s">
        <v>2017</v>
      </c>
      <c r="EX24" s="57">
        <v>36</v>
      </c>
      <c r="EY24" s="57">
        <v>5</v>
      </c>
      <c r="EZ24" s="57">
        <v>1</v>
      </c>
      <c r="FA24" s="57">
        <v>0</v>
      </c>
      <c r="FB24" s="57">
        <v>0</v>
      </c>
      <c r="FC24" s="57">
        <v>42</v>
      </c>
      <c r="FF24" s="70" t="s">
        <v>1831</v>
      </c>
      <c r="FG24" s="70" t="s">
        <v>2017</v>
      </c>
      <c r="FH24" s="70">
        <v>902</v>
      </c>
      <c r="FI24" s="70">
        <v>1079</v>
      </c>
      <c r="FJ24" s="70">
        <v>833</v>
      </c>
      <c r="FK24" s="70">
        <v>718</v>
      </c>
      <c r="FL24" s="70">
        <v>683</v>
      </c>
      <c r="FM24" s="70">
        <v>4215</v>
      </c>
      <c r="FN24" s="70"/>
      <c r="FO24" s="70" t="s">
        <v>2017</v>
      </c>
      <c r="FP24" s="70">
        <v>78</v>
      </c>
      <c r="FQ24" s="70">
        <v>0</v>
      </c>
      <c r="FR24" s="70">
        <v>0</v>
      </c>
      <c r="FS24" s="70">
        <v>0</v>
      </c>
      <c r="FT24" s="70">
        <v>0</v>
      </c>
      <c r="FU24" s="70">
        <v>78</v>
      </c>
    </row>
    <row r="25" spans="1:177">
      <c r="B25" s="64" t="s">
        <v>2021</v>
      </c>
      <c r="C25" s="64" t="s">
        <v>2017</v>
      </c>
      <c r="D25" s="64">
        <v>1120</v>
      </c>
      <c r="E25" s="64">
        <v>812</v>
      </c>
      <c r="F25" s="64">
        <v>761</v>
      </c>
      <c r="G25" s="64">
        <v>853</v>
      </c>
      <c r="H25" s="64">
        <v>1062</v>
      </c>
      <c r="I25" s="64">
        <v>4608</v>
      </c>
      <c r="K25" s="64" t="s">
        <v>2017</v>
      </c>
      <c r="L25" s="64">
        <v>688</v>
      </c>
      <c r="M25" s="64">
        <v>310</v>
      </c>
      <c r="N25" s="64">
        <v>248</v>
      </c>
      <c r="O25" s="64">
        <v>259</v>
      </c>
      <c r="P25" s="64">
        <v>295</v>
      </c>
      <c r="Q25" s="64">
        <v>1800</v>
      </c>
      <c r="T25" s="65" t="s">
        <v>1906</v>
      </c>
      <c r="U25" s="65" t="s">
        <v>2017</v>
      </c>
      <c r="V25" s="65">
        <v>160</v>
      </c>
      <c r="W25" s="65">
        <v>270</v>
      </c>
      <c r="X25" s="65">
        <v>429</v>
      </c>
      <c r="Y25" s="65">
        <v>467</v>
      </c>
      <c r="Z25" s="65">
        <v>407</v>
      </c>
      <c r="AA25" s="65">
        <v>1733</v>
      </c>
      <c r="AB25" s="65"/>
      <c r="AC25" s="65" t="s">
        <v>2017</v>
      </c>
      <c r="AD25" s="65">
        <v>11</v>
      </c>
      <c r="AE25" s="65">
        <v>1</v>
      </c>
      <c r="AF25" s="65">
        <v>0</v>
      </c>
      <c r="AG25" s="65">
        <v>0</v>
      </c>
      <c r="AH25" s="65">
        <v>0</v>
      </c>
      <c r="AI25" s="65">
        <v>12</v>
      </c>
      <c r="AK25" s="66" t="s">
        <v>1923</v>
      </c>
      <c r="AL25" s="66" t="s">
        <v>2017</v>
      </c>
      <c r="AM25" s="66">
        <v>370</v>
      </c>
      <c r="AN25" s="66">
        <v>459</v>
      </c>
      <c r="AO25" s="66">
        <v>836</v>
      </c>
      <c r="AP25" s="66">
        <v>1083</v>
      </c>
      <c r="AQ25" s="66">
        <v>834</v>
      </c>
      <c r="AR25" s="66">
        <v>3582</v>
      </c>
      <c r="AS25" s="66"/>
      <c r="AT25" s="66" t="s">
        <v>2017</v>
      </c>
      <c r="AU25" s="66">
        <v>20</v>
      </c>
      <c r="AV25" s="66">
        <v>3</v>
      </c>
      <c r="AW25" s="66">
        <v>1</v>
      </c>
      <c r="AX25" s="66">
        <v>1</v>
      </c>
      <c r="AY25" s="66">
        <v>0</v>
      </c>
      <c r="AZ25" s="66">
        <v>25</v>
      </c>
      <c r="BB25" s="69" t="s">
        <v>1229</v>
      </c>
      <c r="BC25" s="69" t="s">
        <v>2017</v>
      </c>
      <c r="BD25" s="69">
        <v>47</v>
      </c>
      <c r="BE25" s="69">
        <v>30</v>
      </c>
      <c r="BF25" s="69">
        <v>93</v>
      </c>
      <c r="BG25" s="69">
        <v>139</v>
      </c>
      <c r="BH25" s="69">
        <v>133</v>
      </c>
      <c r="BI25" s="69">
        <v>442</v>
      </c>
      <c r="BJ25" s="69"/>
      <c r="BK25" s="69" t="s">
        <v>2017</v>
      </c>
      <c r="BL25" s="69">
        <v>17</v>
      </c>
      <c r="BM25" s="69">
        <v>0</v>
      </c>
      <c r="BN25" s="69">
        <v>0</v>
      </c>
      <c r="BO25" s="69">
        <v>0</v>
      </c>
      <c r="BP25" s="69">
        <v>0</v>
      </c>
      <c r="BQ25" s="69">
        <v>17</v>
      </c>
      <c r="BS25" s="70" t="s">
        <v>1466</v>
      </c>
      <c r="BT25" s="70" t="s">
        <v>2017</v>
      </c>
      <c r="BU25" s="70">
        <v>67</v>
      </c>
      <c r="BV25" s="70">
        <v>54</v>
      </c>
      <c r="BW25" s="70">
        <v>132</v>
      </c>
      <c r="BX25" s="70">
        <v>191</v>
      </c>
      <c r="BY25" s="70">
        <v>225</v>
      </c>
      <c r="BZ25" s="70">
        <v>669</v>
      </c>
      <c r="CA25" s="70"/>
      <c r="CB25" s="70" t="s">
        <v>2017</v>
      </c>
      <c r="CC25" s="70">
        <v>22</v>
      </c>
      <c r="CD25" s="70">
        <v>0</v>
      </c>
      <c r="CE25" s="70">
        <v>0</v>
      </c>
      <c r="CF25" s="70">
        <v>0</v>
      </c>
      <c r="CG25" s="70">
        <v>0</v>
      </c>
      <c r="CH25" s="70">
        <v>22</v>
      </c>
      <c r="CL25" s="57" t="s">
        <v>531</v>
      </c>
      <c r="CM25" s="57" t="s">
        <v>2017</v>
      </c>
      <c r="CN25" s="57">
        <v>51</v>
      </c>
      <c r="CO25" s="57">
        <v>43</v>
      </c>
      <c r="CP25" s="57">
        <v>69</v>
      </c>
      <c r="CQ25" s="57">
        <v>90</v>
      </c>
      <c r="CR25" s="57">
        <v>92</v>
      </c>
      <c r="CS25" s="57">
        <v>345</v>
      </c>
      <c r="CT25" s="57"/>
      <c r="CU25" s="57" t="s">
        <v>2017</v>
      </c>
      <c r="CV25" s="57">
        <v>18</v>
      </c>
      <c r="CW25" s="57">
        <v>0</v>
      </c>
      <c r="CX25" s="57">
        <v>0</v>
      </c>
      <c r="CY25" s="57">
        <v>0</v>
      </c>
      <c r="CZ25" s="57">
        <v>0</v>
      </c>
      <c r="DA25" s="57">
        <v>18</v>
      </c>
      <c r="DD25" s="77" t="s">
        <v>1620</v>
      </c>
      <c r="DE25" s="77" t="s">
        <v>2018</v>
      </c>
      <c r="DF25" s="77">
        <v>391</v>
      </c>
      <c r="DG25" s="77">
        <v>431</v>
      </c>
      <c r="DH25" s="77">
        <v>508</v>
      </c>
      <c r="DI25" s="77">
        <v>702</v>
      </c>
      <c r="DJ25" s="77">
        <v>660</v>
      </c>
      <c r="DK25" s="77">
        <v>2692</v>
      </c>
      <c r="DL25" s="77"/>
      <c r="DM25" s="77" t="s">
        <v>2018</v>
      </c>
      <c r="DN25" s="77">
        <v>13</v>
      </c>
      <c r="DO25" s="77">
        <v>9</v>
      </c>
      <c r="DP25" s="77">
        <v>1</v>
      </c>
      <c r="DQ25" s="77">
        <v>2</v>
      </c>
      <c r="DR25" s="77">
        <v>0</v>
      </c>
      <c r="DS25" s="77">
        <v>25</v>
      </c>
      <c r="DV25" s="79" t="s">
        <v>1664</v>
      </c>
      <c r="DW25" s="79" t="s">
        <v>2017</v>
      </c>
      <c r="DX25" s="79">
        <v>3117</v>
      </c>
      <c r="DY25" s="79">
        <v>1364</v>
      </c>
      <c r="DZ25" s="79">
        <v>1252</v>
      </c>
      <c r="EA25" s="79">
        <v>1139</v>
      </c>
      <c r="EB25" s="79">
        <v>1413</v>
      </c>
      <c r="EC25" s="79">
        <v>8285</v>
      </c>
      <c r="ED25" s="79"/>
      <c r="EE25" s="79" t="s">
        <v>2017</v>
      </c>
      <c r="EF25" s="79">
        <v>313</v>
      </c>
      <c r="EG25" s="79">
        <v>0</v>
      </c>
      <c r="EH25" s="79">
        <v>0</v>
      </c>
      <c r="EI25" s="79">
        <v>0</v>
      </c>
      <c r="EJ25" s="79">
        <v>0</v>
      </c>
      <c r="EK25" s="79">
        <v>313</v>
      </c>
      <c r="EN25" s="57" t="s">
        <v>1760</v>
      </c>
      <c r="EO25" s="57" t="s">
        <v>2017</v>
      </c>
      <c r="EP25" s="57">
        <v>151</v>
      </c>
      <c r="EQ25" s="57">
        <v>245</v>
      </c>
      <c r="ER25" s="57">
        <v>255</v>
      </c>
      <c r="ES25" s="57">
        <v>292</v>
      </c>
      <c r="ET25" s="57">
        <v>325</v>
      </c>
      <c r="EU25" s="57">
        <v>1268</v>
      </c>
      <c r="EV25" s="57"/>
      <c r="EW25" s="57" t="s">
        <v>2017</v>
      </c>
      <c r="EX25" s="57">
        <v>43</v>
      </c>
      <c r="EY25" s="57">
        <v>21</v>
      </c>
      <c r="EZ25" s="57">
        <v>14</v>
      </c>
      <c r="FA25" s="57">
        <v>18</v>
      </c>
      <c r="FB25" s="57">
        <v>31</v>
      </c>
      <c r="FC25" s="57">
        <v>127</v>
      </c>
      <c r="FE25" s="16" t="s">
        <v>2022</v>
      </c>
      <c r="FF25" s="70" t="s">
        <v>1833</v>
      </c>
      <c r="FG25" s="70" t="s">
        <v>2017</v>
      </c>
      <c r="FH25" s="70" t="s">
        <v>324</v>
      </c>
      <c r="FI25" s="70" t="s">
        <v>324</v>
      </c>
      <c r="FJ25" s="70" t="s">
        <v>324</v>
      </c>
      <c r="FK25" s="70" t="s">
        <v>324</v>
      </c>
      <c r="FL25" s="70" t="s">
        <v>324</v>
      </c>
      <c r="FM25" s="70" t="s">
        <v>324</v>
      </c>
      <c r="FN25" s="70"/>
      <c r="FO25" s="70" t="s">
        <v>2017</v>
      </c>
      <c r="FP25" s="70" t="s">
        <v>324</v>
      </c>
      <c r="FQ25" s="70" t="s">
        <v>324</v>
      </c>
      <c r="FR25" s="70" t="s">
        <v>324</v>
      </c>
      <c r="FS25" s="70" t="s">
        <v>324</v>
      </c>
      <c r="FT25" s="70" t="s">
        <v>324</v>
      </c>
      <c r="FU25" s="70" t="s">
        <v>324</v>
      </c>
    </row>
    <row r="26" spans="1:177">
      <c r="B26" s="64" t="s">
        <v>2023</v>
      </c>
      <c r="C26" s="64" t="s">
        <v>2017</v>
      </c>
      <c r="D26" s="64">
        <v>820</v>
      </c>
      <c r="E26" s="64">
        <v>721</v>
      </c>
      <c r="F26" s="64">
        <v>632</v>
      </c>
      <c r="G26" s="64">
        <v>665</v>
      </c>
      <c r="H26" s="64">
        <v>890</v>
      </c>
      <c r="I26" s="64">
        <v>3728</v>
      </c>
      <c r="K26" s="64" t="s">
        <v>2017</v>
      </c>
      <c r="L26" s="64">
        <v>282</v>
      </c>
      <c r="M26" s="64">
        <v>13</v>
      </c>
      <c r="N26" s="64">
        <v>0</v>
      </c>
      <c r="O26" s="64">
        <v>0</v>
      </c>
      <c r="P26" s="64">
        <v>0</v>
      </c>
      <c r="Q26" s="64">
        <v>295</v>
      </c>
      <c r="T26" s="65" t="s">
        <v>1017</v>
      </c>
      <c r="U26" s="65" t="s">
        <v>2017</v>
      </c>
      <c r="V26" s="65">
        <v>1195</v>
      </c>
      <c r="W26" s="65">
        <v>1004</v>
      </c>
      <c r="X26" s="65">
        <v>1428</v>
      </c>
      <c r="Y26" s="65">
        <v>1894</v>
      </c>
      <c r="Z26" s="65">
        <v>1490</v>
      </c>
      <c r="AA26" s="65">
        <v>7011</v>
      </c>
      <c r="AB26" s="65"/>
      <c r="AC26" s="65" t="s">
        <v>2017</v>
      </c>
      <c r="AD26" s="65">
        <v>34</v>
      </c>
      <c r="AE26" s="65">
        <v>0</v>
      </c>
      <c r="AF26" s="65">
        <v>1</v>
      </c>
      <c r="AG26" s="65">
        <v>0</v>
      </c>
      <c r="AH26" s="65">
        <v>0</v>
      </c>
      <c r="AI26" s="65">
        <v>35</v>
      </c>
      <c r="AK26" s="66" t="s">
        <v>1947</v>
      </c>
      <c r="AL26" s="66" t="s">
        <v>2017</v>
      </c>
      <c r="AM26" s="66">
        <v>502</v>
      </c>
      <c r="AN26" s="66">
        <v>684</v>
      </c>
      <c r="AO26" s="66">
        <v>941</v>
      </c>
      <c r="AP26" s="66">
        <v>937</v>
      </c>
      <c r="AQ26" s="66">
        <v>560</v>
      </c>
      <c r="AR26" s="66">
        <v>3624</v>
      </c>
      <c r="AS26" s="66"/>
      <c r="AT26" s="66" t="s">
        <v>2017</v>
      </c>
      <c r="AU26" s="66">
        <v>24</v>
      </c>
      <c r="AV26" s="66">
        <v>2</v>
      </c>
      <c r="AW26" s="66">
        <v>1</v>
      </c>
      <c r="AX26" s="66">
        <v>1</v>
      </c>
      <c r="AY26" s="66">
        <v>0</v>
      </c>
      <c r="AZ26" s="66">
        <v>28</v>
      </c>
      <c r="BB26" s="69" t="s">
        <v>1233</v>
      </c>
      <c r="BC26" s="69" t="s">
        <v>2017</v>
      </c>
      <c r="BD26" s="69">
        <v>559</v>
      </c>
      <c r="BE26" s="69">
        <v>379</v>
      </c>
      <c r="BF26" s="69">
        <v>419</v>
      </c>
      <c r="BG26" s="69">
        <v>550</v>
      </c>
      <c r="BH26" s="69">
        <v>416</v>
      </c>
      <c r="BI26" s="69">
        <v>2323</v>
      </c>
      <c r="BJ26" s="69"/>
      <c r="BK26" s="69" t="s">
        <v>2017</v>
      </c>
      <c r="BL26" s="69">
        <v>22</v>
      </c>
      <c r="BM26" s="69">
        <v>0</v>
      </c>
      <c r="BN26" s="69">
        <v>0</v>
      </c>
      <c r="BO26" s="69">
        <v>0</v>
      </c>
      <c r="BP26" s="69">
        <v>0</v>
      </c>
      <c r="BQ26" s="69">
        <v>22</v>
      </c>
      <c r="BS26" s="70" t="s">
        <v>1471</v>
      </c>
      <c r="BT26" s="70" t="s">
        <v>2017</v>
      </c>
      <c r="BU26" s="70">
        <v>84</v>
      </c>
      <c r="BV26" s="70">
        <v>55</v>
      </c>
      <c r="BW26" s="70">
        <v>102</v>
      </c>
      <c r="BX26" s="70">
        <v>149</v>
      </c>
      <c r="BY26" s="70">
        <v>155</v>
      </c>
      <c r="BZ26" s="70">
        <v>545</v>
      </c>
      <c r="CA26" s="70"/>
      <c r="CB26" s="70" t="s">
        <v>2017</v>
      </c>
      <c r="CC26" s="70">
        <v>18</v>
      </c>
      <c r="CD26" s="70">
        <v>0</v>
      </c>
      <c r="CE26" s="70">
        <v>0</v>
      </c>
      <c r="CF26" s="70">
        <v>0</v>
      </c>
      <c r="CG26" s="70">
        <v>0</v>
      </c>
      <c r="CH26" s="70">
        <v>18</v>
      </c>
      <c r="CL26" s="57" t="s">
        <v>534</v>
      </c>
      <c r="CM26" s="57" t="s">
        <v>2017</v>
      </c>
      <c r="CN26" s="57">
        <v>266</v>
      </c>
      <c r="CO26" s="57">
        <v>101</v>
      </c>
      <c r="CP26" s="57">
        <v>142</v>
      </c>
      <c r="CQ26" s="57">
        <v>237</v>
      </c>
      <c r="CR26" s="57">
        <v>315</v>
      </c>
      <c r="CS26" s="57">
        <v>1061</v>
      </c>
      <c r="CT26" s="57"/>
      <c r="CU26" s="57" t="s">
        <v>2017</v>
      </c>
      <c r="CV26" s="57">
        <v>75</v>
      </c>
      <c r="CW26" s="57">
        <v>0</v>
      </c>
      <c r="CX26" s="57">
        <v>0</v>
      </c>
      <c r="CY26" s="57">
        <v>0</v>
      </c>
      <c r="CZ26" s="57">
        <v>0</v>
      </c>
      <c r="DA26" s="57">
        <v>75</v>
      </c>
      <c r="DD26" s="77" t="s">
        <v>1623</v>
      </c>
      <c r="DE26" s="77" t="s">
        <v>2018</v>
      </c>
      <c r="DF26" s="77">
        <v>250</v>
      </c>
      <c r="DG26" s="77">
        <v>398</v>
      </c>
      <c r="DH26" s="77">
        <v>513</v>
      </c>
      <c r="DI26" s="77">
        <v>545</v>
      </c>
      <c r="DJ26" s="77">
        <v>443</v>
      </c>
      <c r="DK26" s="77">
        <v>2149</v>
      </c>
      <c r="DL26" s="77"/>
      <c r="DM26" s="77" t="s">
        <v>2018</v>
      </c>
      <c r="DN26" s="77">
        <v>35</v>
      </c>
      <c r="DO26" s="77">
        <v>0</v>
      </c>
      <c r="DP26" s="77">
        <v>0</v>
      </c>
      <c r="DQ26" s="77">
        <v>0</v>
      </c>
      <c r="DR26" s="77">
        <v>0</v>
      </c>
      <c r="DS26" s="77">
        <v>35</v>
      </c>
      <c r="EN26" s="57" t="s">
        <v>1763</v>
      </c>
      <c r="EO26" s="57" t="s">
        <v>2017</v>
      </c>
      <c r="EP26" s="57">
        <v>104</v>
      </c>
      <c r="EQ26" s="57">
        <v>188</v>
      </c>
      <c r="ER26" s="57">
        <v>223</v>
      </c>
      <c r="ES26" s="57">
        <v>348</v>
      </c>
      <c r="ET26" s="57">
        <v>374</v>
      </c>
      <c r="EU26" s="57">
        <v>1237</v>
      </c>
      <c r="EV26" s="57"/>
      <c r="EW26" s="57" t="s">
        <v>2017</v>
      </c>
      <c r="EX26" s="57">
        <v>21</v>
      </c>
      <c r="EY26" s="57">
        <v>11</v>
      </c>
      <c r="EZ26" s="57">
        <v>3</v>
      </c>
      <c r="FA26" s="57">
        <v>14</v>
      </c>
      <c r="FB26" s="57">
        <v>15</v>
      </c>
      <c r="FC26" s="57">
        <v>64</v>
      </c>
      <c r="FE26" s="16" t="s">
        <v>2024</v>
      </c>
      <c r="FF26" s="70" t="s">
        <v>2008</v>
      </c>
      <c r="FG26" s="70" t="s">
        <v>2017</v>
      </c>
      <c r="FH26" s="70">
        <v>197</v>
      </c>
      <c r="FI26" s="70">
        <v>282</v>
      </c>
      <c r="FJ26" s="70">
        <v>375</v>
      </c>
      <c r="FK26" s="70">
        <v>420</v>
      </c>
      <c r="FL26" s="70">
        <v>493</v>
      </c>
      <c r="FM26" s="70">
        <v>1767</v>
      </c>
      <c r="FN26" s="70"/>
      <c r="FO26" s="70" t="s">
        <v>2017</v>
      </c>
      <c r="FP26" s="70">
        <v>83</v>
      </c>
      <c r="FQ26" s="70">
        <v>43</v>
      </c>
      <c r="FR26" s="70">
        <v>8</v>
      </c>
      <c r="FS26" s="70">
        <v>0</v>
      </c>
      <c r="FT26" s="70">
        <v>0</v>
      </c>
      <c r="FU26" s="70">
        <v>134</v>
      </c>
    </row>
    <row r="27" spans="1:177">
      <c r="B27" s="64" t="s">
        <v>818</v>
      </c>
      <c r="C27" s="64" t="s">
        <v>2017</v>
      </c>
      <c r="D27" s="64">
        <v>139</v>
      </c>
      <c r="E27" s="64">
        <v>220</v>
      </c>
      <c r="F27" s="64">
        <v>479</v>
      </c>
      <c r="G27" s="64">
        <v>691</v>
      </c>
      <c r="H27" s="64">
        <v>591</v>
      </c>
      <c r="I27" s="64">
        <v>2120</v>
      </c>
      <c r="K27" s="64" t="s">
        <v>2017</v>
      </c>
      <c r="L27" s="64">
        <v>11</v>
      </c>
      <c r="M27" s="64">
        <v>3</v>
      </c>
      <c r="N27" s="64">
        <v>0</v>
      </c>
      <c r="O27" s="64">
        <v>1</v>
      </c>
      <c r="P27" s="64">
        <v>0</v>
      </c>
      <c r="Q27" s="64">
        <v>15</v>
      </c>
      <c r="T27" s="65" t="s">
        <v>1907</v>
      </c>
      <c r="U27" s="65" t="s">
        <v>2017</v>
      </c>
      <c r="V27" s="65" t="s">
        <v>324</v>
      </c>
      <c r="W27" s="65" t="s">
        <v>324</v>
      </c>
      <c r="X27" s="65" t="s">
        <v>324</v>
      </c>
      <c r="Y27" s="65" t="s">
        <v>324</v>
      </c>
      <c r="Z27" s="65" t="s">
        <v>324</v>
      </c>
      <c r="AA27" s="65" t="s">
        <v>324</v>
      </c>
      <c r="AB27" s="65"/>
      <c r="AC27" s="65" t="s">
        <v>2017</v>
      </c>
      <c r="AD27" s="65" t="s">
        <v>324</v>
      </c>
      <c r="AE27" s="65" t="s">
        <v>324</v>
      </c>
      <c r="AF27" s="65" t="s">
        <v>324</v>
      </c>
      <c r="AG27" s="65" t="s">
        <v>324</v>
      </c>
      <c r="AH27" s="65" t="s">
        <v>324</v>
      </c>
      <c r="AI27" s="65" t="s">
        <v>324</v>
      </c>
      <c r="AK27" s="66" t="s">
        <v>1941</v>
      </c>
      <c r="AL27" s="66" t="s">
        <v>2017</v>
      </c>
      <c r="AM27" s="66">
        <v>223</v>
      </c>
      <c r="AN27" s="66">
        <v>383</v>
      </c>
      <c r="AO27" s="66">
        <v>696</v>
      </c>
      <c r="AP27" s="66">
        <v>907</v>
      </c>
      <c r="AQ27" s="66">
        <v>497</v>
      </c>
      <c r="AR27" s="66">
        <v>2706</v>
      </c>
      <c r="AS27" s="66"/>
      <c r="AT27" s="66" t="s">
        <v>2017</v>
      </c>
      <c r="AU27" s="66">
        <v>30</v>
      </c>
      <c r="AV27" s="66">
        <v>0</v>
      </c>
      <c r="AW27" s="66">
        <v>0</v>
      </c>
      <c r="AX27" s="66">
        <v>0</v>
      </c>
      <c r="AY27" s="66">
        <v>0</v>
      </c>
      <c r="AZ27" s="66">
        <v>30</v>
      </c>
      <c r="BB27" s="69" t="s">
        <v>1237</v>
      </c>
      <c r="BC27" s="69" t="s">
        <v>2017</v>
      </c>
      <c r="BD27" s="69">
        <v>230</v>
      </c>
      <c r="BE27" s="69">
        <v>181</v>
      </c>
      <c r="BF27" s="69">
        <v>314</v>
      </c>
      <c r="BG27" s="69">
        <v>438</v>
      </c>
      <c r="BH27" s="69">
        <v>360</v>
      </c>
      <c r="BI27" s="69">
        <v>1523</v>
      </c>
      <c r="BJ27" s="69"/>
      <c r="BK27" s="69" t="s">
        <v>2017</v>
      </c>
      <c r="BL27" s="69">
        <v>20</v>
      </c>
      <c r="BM27" s="69">
        <v>0</v>
      </c>
      <c r="BN27" s="69">
        <v>0</v>
      </c>
      <c r="BO27" s="69">
        <v>0</v>
      </c>
      <c r="BP27" s="69">
        <v>0</v>
      </c>
      <c r="BQ27" s="69">
        <v>20</v>
      </c>
      <c r="CL27" s="57" t="s">
        <v>367</v>
      </c>
      <c r="CM27" s="57" t="s">
        <v>2017</v>
      </c>
      <c r="CN27" s="57" t="s">
        <v>324</v>
      </c>
      <c r="CO27" s="57" t="s">
        <v>324</v>
      </c>
      <c r="CP27" s="57" t="s">
        <v>324</v>
      </c>
      <c r="CQ27" s="57" t="s">
        <v>324</v>
      </c>
      <c r="CR27" s="57" t="s">
        <v>324</v>
      </c>
      <c r="CS27" s="57" t="s">
        <v>324</v>
      </c>
      <c r="CT27" s="57"/>
      <c r="CU27" s="57" t="s">
        <v>2017</v>
      </c>
      <c r="CV27" s="57" t="s">
        <v>324</v>
      </c>
      <c r="CW27" s="57" t="s">
        <v>324</v>
      </c>
      <c r="CX27" s="57" t="s">
        <v>324</v>
      </c>
      <c r="CY27" s="57" t="s">
        <v>324</v>
      </c>
      <c r="CZ27" s="57" t="s">
        <v>324</v>
      </c>
      <c r="DA27" s="57" t="s">
        <v>324</v>
      </c>
      <c r="DU27" s="16" t="s">
        <v>1627</v>
      </c>
      <c r="DV27" s="79" t="s">
        <v>2664</v>
      </c>
      <c r="DW27" s="79" t="s">
        <v>2018</v>
      </c>
      <c r="DX27" s="79">
        <v>554</v>
      </c>
      <c r="DY27" s="79">
        <v>511</v>
      </c>
      <c r="DZ27" s="79">
        <v>637</v>
      </c>
      <c r="EA27" s="79">
        <v>733</v>
      </c>
      <c r="EB27" s="79">
        <v>510</v>
      </c>
      <c r="EC27" s="79">
        <v>2945</v>
      </c>
      <c r="ED27" s="79"/>
      <c r="EE27" s="79" t="s">
        <v>2018</v>
      </c>
      <c r="EF27" s="79">
        <v>53</v>
      </c>
      <c r="EG27" s="79">
        <v>4</v>
      </c>
      <c r="EH27" s="79">
        <v>0</v>
      </c>
      <c r="EI27" s="79">
        <v>0</v>
      </c>
      <c r="EJ27" s="79">
        <v>0</v>
      </c>
      <c r="EK27" s="79">
        <v>57</v>
      </c>
      <c r="EN27" s="57" t="s">
        <v>1767</v>
      </c>
      <c r="EO27" s="57" t="s">
        <v>2017</v>
      </c>
      <c r="EP27" s="57">
        <v>133</v>
      </c>
      <c r="EQ27" s="57">
        <v>186</v>
      </c>
      <c r="ER27" s="57">
        <v>211</v>
      </c>
      <c r="ES27" s="57">
        <v>238</v>
      </c>
      <c r="ET27" s="57">
        <v>345</v>
      </c>
      <c r="EU27" s="57">
        <v>1113</v>
      </c>
      <c r="EV27" s="57"/>
      <c r="EW27" s="57" t="s">
        <v>2017</v>
      </c>
      <c r="EX27" s="57">
        <v>23</v>
      </c>
      <c r="EY27" s="57">
        <v>7</v>
      </c>
      <c r="EZ27" s="57">
        <v>0</v>
      </c>
      <c r="FA27" s="57">
        <v>1</v>
      </c>
      <c r="FB27" s="57">
        <v>0</v>
      </c>
      <c r="FC27" s="57">
        <v>31</v>
      </c>
      <c r="FF27" s="70" t="s">
        <v>1837</v>
      </c>
      <c r="FG27" s="70" t="s">
        <v>2017</v>
      </c>
      <c r="FH27" s="70" t="s">
        <v>324</v>
      </c>
      <c r="FI27" s="70" t="s">
        <v>324</v>
      </c>
      <c r="FJ27" s="70" t="s">
        <v>324</v>
      </c>
      <c r="FK27" s="70" t="s">
        <v>324</v>
      </c>
      <c r="FL27" s="70" t="s">
        <v>324</v>
      </c>
      <c r="FM27" s="70" t="s">
        <v>324</v>
      </c>
      <c r="FN27" s="70"/>
      <c r="FO27" s="70" t="s">
        <v>2017</v>
      </c>
      <c r="FP27" s="70" t="s">
        <v>324</v>
      </c>
      <c r="FQ27" s="70" t="s">
        <v>324</v>
      </c>
      <c r="FR27" s="70" t="s">
        <v>324</v>
      </c>
      <c r="FS27" s="70" t="s">
        <v>324</v>
      </c>
      <c r="FT27" s="70" t="s">
        <v>324</v>
      </c>
      <c r="FU27" s="70" t="s">
        <v>324</v>
      </c>
    </row>
    <row r="28" spans="1:177">
      <c r="B28" s="64" t="s">
        <v>822</v>
      </c>
      <c r="C28" s="64" t="s">
        <v>2017</v>
      </c>
      <c r="D28" s="64">
        <v>454</v>
      </c>
      <c r="E28" s="64">
        <v>507</v>
      </c>
      <c r="F28" s="64">
        <v>674</v>
      </c>
      <c r="G28" s="64">
        <v>838</v>
      </c>
      <c r="H28" s="64">
        <v>572</v>
      </c>
      <c r="I28" s="64">
        <v>3045</v>
      </c>
      <c r="K28" s="64" t="s">
        <v>2017</v>
      </c>
      <c r="L28" s="64">
        <v>34</v>
      </c>
      <c r="M28" s="64">
        <v>1</v>
      </c>
      <c r="N28" s="64">
        <v>4</v>
      </c>
      <c r="O28" s="64">
        <v>2</v>
      </c>
      <c r="P28" s="64">
        <v>2</v>
      </c>
      <c r="Q28" s="64">
        <v>43</v>
      </c>
      <c r="T28" s="65" t="s">
        <v>2025</v>
      </c>
      <c r="U28" s="65" t="s">
        <v>2017</v>
      </c>
      <c r="V28" s="65">
        <v>308</v>
      </c>
      <c r="W28" s="65">
        <v>552</v>
      </c>
      <c r="X28" s="65">
        <v>863</v>
      </c>
      <c r="Y28" s="65">
        <v>1101</v>
      </c>
      <c r="Z28" s="65">
        <v>758</v>
      </c>
      <c r="AA28" s="65">
        <v>3582</v>
      </c>
      <c r="AB28" s="65"/>
      <c r="AC28" s="65" t="s">
        <v>2017</v>
      </c>
      <c r="AD28" s="65">
        <v>18</v>
      </c>
      <c r="AE28" s="65">
        <v>5</v>
      </c>
      <c r="AF28" s="65">
        <v>0</v>
      </c>
      <c r="AG28" s="65">
        <v>0</v>
      </c>
      <c r="AH28" s="65">
        <v>0</v>
      </c>
      <c r="AI28" s="65">
        <v>23</v>
      </c>
      <c r="AK28" s="66" t="s">
        <v>1937</v>
      </c>
      <c r="AL28" s="66" t="s">
        <v>2017</v>
      </c>
      <c r="AM28" s="66">
        <v>379</v>
      </c>
      <c r="AN28" s="66">
        <v>503</v>
      </c>
      <c r="AO28" s="66">
        <v>679</v>
      </c>
      <c r="AP28" s="66">
        <v>859</v>
      </c>
      <c r="AQ28" s="66">
        <v>581</v>
      </c>
      <c r="AR28" s="66">
        <v>3001</v>
      </c>
      <c r="AS28" s="66"/>
      <c r="AT28" s="66" t="s">
        <v>2017</v>
      </c>
      <c r="AU28" s="66">
        <v>56</v>
      </c>
      <c r="AV28" s="66">
        <v>0</v>
      </c>
      <c r="AW28" s="66">
        <v>0</v>
      </c>
      <c r="AX28" s="66">
        <v>0</v>
      </c>
      <c r="AY28" s="66">
        <v>0</v>
      </c>
      <c r="AZ28" s="66">
        <v>56</v>
      </c>
      <c r="BB28" s="69" t="s">
        <v>1241</v>
      </c>
      <c r="BC28" s="69" t="s">
        <v>2017</v>
      </c>
      <c r="BD28" s="69">
        <v>114</v>
      </c>
      <c r="BE28" s="69">
        <v>158</v>
      </c>
      <c r="BF28" s="69">
        <v>280</v>
      </c>
      <c r="BG28" s="69">
        <v>394</v>
      </c>
      <c r="BH28" s="69">
        <v>283</v>
      </c>
      <c r="BI28" s="69">
        <v>1229</v>
      </c>
      <c r="BJ28" s="69"/>
      <c r="BK28" s="69" t="s">
        <v>2017</v>
      </c>
      <c r="BL28" s="69">
        <v>19</v>
      </c>
      <c r="BM28" s="69">
        <v>0</v>
      </c>
      <c r="BN28" s="69">
        <v>0</v>
      </c>
      <c r="BO28" s="69">
        <v>0</v>
      </c>
      <c r="BP28" s="69">
        <v>0</v>
      </c>
      <c r="BQ28" s="69">
        <v>19</v>
      </c>
      <c r="BS28" s="70" t="s">
        <v>459</v>
      </c>
      <c r="BT28" s="70" t="s">
        <v>2018</v>
      </c>
      <c r="BU28" s="70">
        <v>91</v>
      </c>
      <c r="BV28" s="70">
        <v>47</v>
      </c>
      <c r="BW28" s="70">
        <v>84</v>
      </c>
      <c r="BX28" s="70">
        <v>94</v>
      </c>
      <c r="BY28" s="70">
        <v>108</v>
      </c>
      <c r="BZ28" s="70">
        <v>424</v>
      </c>
      <c r="CA28" s="70"/>
      <c r="CB28" s="70" t="s">
        <v>2018</v>
      </c>
      <c r="CC28" s="70">
        <v>20</v>
      </c>
      <c r="CD28" s="70">
        <v>0</v>
      </c>
      <c r="CE28" s="70">
        <v>0</v>
      </c>
      <c r="CF28" s="70">
        <v>0</v>
      </c>
      <c r="CG28" s="70">
        <v>0</v>
      </c>
      <c r="CH28" s="70">
        <v>20</v>
      </c>
      <c r="CL28" s="57" t="s">
        <v>506</v>
      </c>
      <c r="CM28" s="57" t="s">
        <v>2017</v>
      </c>
      <c r="CN28" s="57">
        <v>300</v>
      </c>
      <c r="CO28" s="57">
        <v>76</v>
      </c>
      <c r="CP28" s="57">
        <v>161</v>
      </c>
      <c r="CQ28" s="57">
        <v>184</v>
      </c>
      <c r="CR28" s="57">
        <v>390</v>
      </c>
      <c r="CS28" s="57">
        <v>1111</v>
      </c>
      <c r="CT28" s="57"/>
      <c r="CU28" s="57" t="s">
        <v>2017</v>
      </c>
      <c r="CV28" s="57">
        <v>114</v>
      </c>
      <c r="CW28" s="57">
        <v>0</v>
      </c>
      <c r="CX28" s="57">
        <v>0</v>
      </c>
      <c r="CY28" s="57">
        <v>0</v>
      </c>
      <c r="CZ28" s="57">
        <v>0</v>
      </c>
      <c r="DA28" s="57">
        <v>114</v>
      </c>
      <c r="DD28" s="77" t="s">
        <v>2026</v>
      </c>
      <c r="DE28" s="77" t="s">
        <v>2027</v>
      </c>
      <c r="DF28" s="77">
        <v>338</v>
      </c>
      <c r="DG28" s="77">
        <v>429</v>
      </c>
      <c r="DH28" s="77">
        <v>503</v>
      </c>
      <c r="DI28" s="77">
        <v>546</v>
      </c>
      <c r="DJ28" s="77">
        <v>417</v>
      </c>
      <c r="DK28" s="77">
        <v>2233</v>
      </c>
      <c r="DL28" s="77"/>
      <c r="DM28" s="77" t="s">
        <v>2028</v>
      </c>
      <c r="DN28" s="77">
        <v>39</v>
      </c>
      <c r="DO28" s="77">
        <v>11</v>
      </c>
      <c r="DP28" s="77">
        <v>0</v>
      </c>
      <c r="DQ28" s="77">
        <v>0</v>
      </c>
      <c r="DR28" s="77">
        <v>0</v>
      </c>
      <c r="DS28" s="77">
        <v>50</v>
      </c>
      <c r="DU28" s="16" t="s">
        <v>1632</v>
      </c>
      <c r="DV28" s="79" t="s">
        <v>2667</v>
      </c>
      <c r="DW28" s="79" t="s">
        <v>2018</v>
      </c>
      <c r="DX28" s="79">
        <v>243</v>
      </c>
      <c r="DY28" s="79">
        <v>317</v>
      </c>
      <c r="DZ28" s="79">
        <v>418</v>
      </c>
      <c r="EA28" s="79">
        <v>401</v>
      </c>
      <c r="EB28" s="79">
        <v>348</v>
      </c>
      <c r="EC28" s="79">
        <v>1727</v>
      </c>
      <c r="ED28" s="79"/>
      <c r="EE28" s="79" t="s">
        <v>2018</v>
      </c>
      <c r="EF28" s="79">
        <v>13</v>
      </c>
      <c r="EG28" s="79">
        <v>3</v>
      </c>
      <c r="EH28" s="79">
        <v>0</v>
      </c>
      <c r="EI28" s="79">
        <v>0</v>
      </c>
      <c r="EJ28" s="79">
        <v>0</v>
      </c>
      <c r="EK28" s="79">
        <v>16</v>
      </c>
      <c r="EN28" s="57" t="s">
        <v>1998</v>
      </c>
      <c r="EO28" s="57" t="s">
        <v>2017</v>
      </c>
      <c r="EP28" s="57">
        <v>70</v>
      </c>
      <c r="EQ28" s="57">
        <v>125</v>
      </c>
      <c r="ER28" s="57">
        <v>150</v>
      </c>
      <c r="ES28" s="57">
        <v>213</v>
      </c>
      <c r="ET28" s="57">
        <v>249</v>
      </c>
      <c r="EU28" s="57">
        <v>807</v>
      </c>
      <c r="EV28" s="57"/>
      <c r="EW28" s="57" t="s">
        <v>2017</v>
      </c>
      <c r="EX28" s="57">
        <v>18</v>
      </c>
      <c r="EY28" s="57">
        <v>8</v>
      </c>
      <c r="EZ28" s="57">
        <v>8</v>
      </c>
      <c r="FA28" s="57">
        <v>8</v>
      </c>
      <c r="FB28" s="57">
        <v>14</v>
      </c>
      <c r="FC28" s="57">
        <v>56</v>
      </c>
      <c r="FF28" s="70" t="s">
        <v>1838</v>
      </c>
      <c r="FG28" s="70" t="s">
        <v>2017</v>
      </c>
      <c r="FH28" s="70" t="s">
        <v>324</v>
      </c>
      <c r="FI28" s="70" t="s">
        <v>324</v>
      </c>
      <c r="FJ28" s="70" t="s">
        <v>324</v>
      </c>
      <c r="FK28" s="70" t="s">
        <v>324</v>
      </c>
      <c r="FL28" s="70" t="s">
        <v>324</v>
      </c>
      <c r="FM28" s="70" t="s">
        <v>324</v>
      </c>
      <c r="FN28" s="70"/>
      <c r="FO28" s="70" t="s">
        <v>2017</v>
      </c>
      <c r="FP28" s="70" t="s">
        <v>324</v>
      </c>
      <c r="FQ28" s="70" t="s">
        <v>324</v>
      </c>
      <c r="FR28" s="70" t="s">
        <v>324</v>
      </c>
      <c r="FS28" s="70" t="s">
        <v>324</v>
      </c>
      <c r="FT28" s="70" t="s">
        <v>324</v>
      </c>
      <c r="FU28" s="70" t="s">
        <v>324</v>
      </c>
    </row>
    <row r="29" spans="1:177">
      <c r="B29" s="64" t="s">
        <v>826</v>
      </c>
      <c r="C29" s="64" t="s">
        <v>2017</v>
      </c>
      <c r="D29" s="64">
        <v>277</v>
      </c>
      <c r="E29" s="64">
        <v>360</v>
      </c>
      <c r="F29" s="64">
        <v>472</v>
      </c>
      <c r="G29" s="64">
        <v>552</v>
      </c>
      <c r="H29" s="64">
        <v>421</v>
      </c>
      <c r="I29" s="64">
        <v>2082</v>
      </c>
      <c r="K29" s="64" t="s">
        <v>2017</v>
      </c>
      <c r="L29" s="64">
        <v>21</v>
      </c>
      <c r="M29" s="64">
        <v>0</v>
      </c>
      <c r="N29" s="64">
        <v>0</v>
      </c>
      <c r="O29" s="64">
        <v>0</v>
      </c>
      <c r="P29" s="64">
        <v>0</v>
      </c>
      <c r="Q29" s="64">
        <v>21</v>
      </c>
      <c r="T29" s="65" t="s">
        <v>1908</v>
      </c>
      <c r="U29" s="65" t="s">
        <v>2017</v>
      </c>
      <c r="V29" s="65" t="s">
        <v>324</v>
      </c>
      <c r="W29" s="65" t="s">
        <v>324</v>
      </c>
      <c r="X29" s="65" t="s">
        <v>324</v>
      </c>
      <c r="Y29" s="65" t="s">
        <v>324</v>
      </c>
      <c r="Z29" s="65" t="s">
        <v>324</v>
      </c>
      <c r="AA29" s="65" t="s">
        <v>324</v>
      </c>
      <c r="AB29" s="65"/>
      <c r="AC29" s="65" t="s">
        <v>2017</v>
      </c>
      <c r="AD29" s="65" t="s">
        <v>324</v>
      </c>
      <c r="AE29" s="65" t="s">
        <v>324</v>
      </c>
      <c r="AF29" s="65" t="s">
        <v>324</v>
      </c>
      <c r="AG29" s="65" t="s">
        <v>324</v>
      </c>
      <c r="AH29" s="65" t="s">
        <v>324</v>
      </c>
      <c r="AI29" s="65" t="s">
        <v>324</v>
      </c>
      <c r="AK29" s="66" t="s">
        <v>1146</v>
      </c>
      <c r="AL29" s="66" t="s">
        <v>2017</v>
      </c>
      <c r="AM29" s="66">
        <v>367</v>
      </c>
      <c r="AN29" s="66">
        <v>496</v>
      </c>
      <c r="AO29" s="66">
        <v>716</v>
      </c>
      <c r="AP29" s="66">
        <v>785</v>
      </c>
      <c r="AQ29" s="66">
        <v>559</v>
      </c>
      <c r="AR29" s="66">
        <v>2923</v>
      </c>
      <c r="AS29" s="66"/>
      <c r="AT29" s="66" t="s">
        <v>2017</v>
      </c>
      <c r="AU29" s="66">
        <v>42</v>
      </c>
      <c r="AV29" s="66">
        <v>3</v>
      </c>
      <c r="AW29" s="66">
        <v>0</v>
      </c>
      <c r="AX29" s="66">
        <v>0</v>
      </c>
      <c r="AY29" s="66">
        <v>0</v>
      </c>
      <c r="AZ29" s="66">
        <v>45</v>
      </c>
      <c r="BB29" s="69" t="s">
        <v>330</v>
      </c>
      <c r="BC29" s="69" t="s">
        <v>2017</v>
      </c>
      <c r="BD29" s="69">
        <v>128</v>
      </c>
      <c r="BE29" s="69">
        <v>176</v>
      </c>
      <c r="BF29" s="69">
        <v>240</v>
      </c>
      <c r="BG29" s="69">
        <v>319</v>
      </c>
      <c r="BH29" s="69">
        <v>255</v>
      </c>
      <c r="BI29" s="69">
        <v>1118</v>
      </c>
      <c r="BJ29" s="69"/>
      <c r="BK29" s="69" t="s">
        <v>2017</v>
      </c>
      <c r="BL29" s="69">
        <v>22</v>
      </c>
      <c r="BM29" s="69">
        <v>0</v>
      </c>
      <c r="BN29" s="69">
        <v>0</v>
      </c>
      <c r="BO29" s="69">
        <v>0</v>
      </c>
      <c r="BP29" s="69">
        <v>0</v>
      </c>
      <c r="BQ29" s="69">
        <v>22</v>
      </c>
      <c r="BS29" s="70" t="s">
        <v>460</v>
      </c>
      <c r="BT29" s="70" t="s">
        <v>2018</v>
      </c>
      <c r="BU29" s="70" t="s">
        <v>324</v>
      </c>
      <c r="BV29" s="70" t="s">
        <v>324</v>
      </c>
      <c r="BW29" s="70" t="s">
        <v>324</v>
      </c>
      <c r="BX29" s="70" t="s">
        <v>324</v>
      </c>
      <c r="BY29" s="70" t="s">
        <v>324</v>
      </c>
      <c r="BZ29" s="70" t="s">
        <v>324</v>
      </c>
      <c r="CA29" s="70"/>
      <c r="CB29" s="70" t="s">
        <v>2018</v>
      </c>
      <c r="CC29" s="70" t="s">
        <v>324</v>
      </c>
      <c r="CD29" s="70" t="s">
        <v>324</v>
      </c>
      <c r="CE29" s="70" t="s">
        <v>324</v>
      </c>
      <c r="CF29" s="70" t="s">
        <v>324</v>
      </c>
      <c r="CG29" s="70" t="s">
        <v>324</v>
      </c>
      <c r="CH29" s="70" t="s">
        <v>324</v>
      </c>
      <c r="CL29" s="57" t="s">
        <v>368</v>
      </c>
      <c r="CM29" s="57" t="s">
        <v>2017</v>
      </c>
      <c r="CN29" s="57">
        <v>1013</v>
      </c>
      <c r="CO29" s="57">
        <v>847</v>
      </c>
      <c r="CP29" s="57">
        <v>1073</v>
      </c>
      <c r="CQ29" s="57">
        <v>1060</v>
      </c>
      <c r="CR29" s="57">
        <v>901</v>
      </c>
      <c r="CS29" s="57">
        <v>4894</v>
      </c>
      <c r="CT29" s="57"/>
      <c r="CU29" s="57" t="s">
        <v>2017</v>
      </c>
      <c r="CV29" s="57">
        <v>120</v>
      </c>
      <c r="CW29" s="57">
        <v>0</v>
      </c>
      <c r="CX29" s="57">
        <v>0</v>
      </c>
      <c r="CY29" s="57">
        <v>0</v>
      </c>
      <c r="CZ29" s="57">
        <v>0</v>
      </c>
      <c r="DA29" s="57">
        <v>120</v>
      </c>
      <c r="DD29" s="77" t="s">
        <v>1569</v>
      </c>
      <c r="DE29" s="77" t="s">
        <v>2028</v>
      </c>
      <c r="DF29" s="77">
        <v>435</v>
      </c>
      <c r="DG29" s="77">
        <v>354</v>
      </c>
      <c r="DH29" s="77">
        <v>280</v>
      </c>
      <c r="DI29" s="77">
        <v>282</v>
      </c>
      <c r="DJ29" s="77">
        <v>209</v>
      </c>
      <c r="DK29" s="77">
        <v>1560</v>
      </c>
      <c r="DL29" s="77"/>
      <c r="DM29" s="77" t="s">
        <v>2028</v>
      </c>
      <c r="DN29" s="77">
        <v>18</v>
      </c>
      <c r="DO29" s="77">
        <v>0</v>
      </c>
      <c r="DP29" s="77">
        <v>0</v>
      </c>
      <c r="DQ29" s="77">
        <v>0</v>
      </c>
      <c r="DR29" s="77">
        <v>0</v>
      </c>
      <c r="DS29" s="77">
        <v>18</v>
      </c>
      <c r="DU29" s="16" t="s">
        <v>1636</v>
      </c>
      <c r="DV29" s="79" t="s">
        <v>2694</v>
      </c>
      <c r="DW29" s="79" t="s">
        <v>2018</v>
      </c>
      <c r="DX29" s="79">
        <v>588</v>
      </c>
      <c r="DY29" s="79">
        <v>807</v>
      </c>
      <c r="DZ29" s="79">
        <v>1024</v>
      </c>
      <c r="EA29" s="79">
        <v>1066</v>
      </c>
      <c r="EB29" s="79">
        <v>750</v>
      </c>
      <c r="EC29" s="79">
        <v>4235</v>
      </c>
      <c r="ED29" s="79"/>
      <c r="EE29" s="79" t="s">
        <v>2018</v>
      </c>
      <c r="EF29" s="79">
        <v>24</v>
      </c>
      <c r="EG29" s="79">
        <v>8</v>
      </c>
      <c r="EH29" s="79">
        <v>0</v>
      </c>
      <c r="EI29" s="79">
        <v>0</v>
      </c>
      <c r="EJ29" s="79">
        <v>0</v>
      </c>
      <c r="EK29" s="79">
        <v>32</v>
      </c>
      <c r="EN29" s="57" t="s">
        <v>1770</v>
      </c>
      <c r="EO29" s="57" t="s">
        <v>2017</v>
      </c>
      <c r="EP29" s="57">
        <v>662</v>
      </c>
      <c r="EQ29" s="57">
        <v>648</v>
      </c>
      <c r="ER29" s="57">
        <v>685</v>
      </c>
      <c r="ES29" s="57">
        <v>689</v>
      </c>
      <c r="ET29" s="57">
        <v>758</v>
      </c>
      <c r="EU29" s="57">
        <v>3442</v>
      </c>
      <c r="EV29" s="57"/>
      <c r="EW29" s="57" t="s">
        <v>2017</v>
      </c>
      <c r="EX29" s="57">
        <v>25</v>
      </c>
      <c r="EY29" s="57">
        <v>7</v>
      </c>
      <c r="EZ29" s="57">
        <v>5</v>
      </c>
      <c r="FA29" s="57">
        <v>0</v>
      </c>
      <c r="FB29" s="57">
        <v>0</v>
      </c>
      <c r="FC29" s="57">
        <v>37</v>
      </c>
      <c r="FF29" s="70" t="s">
        <v>1840</v>
      </c>
      <c r="FG29" s="70" t="s">
        <v>2017</v>
      </c>
      <c r="FH29" s="70" t="s">
        <v>324</v>
      </c>
      <c r="FI29" s="70" t="s">
        <v>324</v>
      </c>
      <c r="FJ29" s="70" t="s">
        <v>324</v>
      </c>
      <c r="FK29" s="70" t="s">
        <v>324</v>
      </c>
      <c r="FL29" s="70" t="s">
        <v>324</v>
      </c>
      <c r="FM29" s="70" t="s">
        <v>324</v>
      </c>
      <c r="FN29" s="70"/>
      <c r="FO29" s="70" t="s">
        <v>2017</v>
      </c>
      <c r="FP29" s="70" t="s">
        <v>324</v>
      </c>
      <c r="FQ29" s="70" t="s">
        <v>324</v>
      </c>
      <c r="FR29" s="70" t="s">
        <v>324</v>
      </c>
      <c r="FS29" s="70" t="s">
        <v>324</v>
      </c>
      <c r="FT29" s="70" t="s">
        <v>324</v>
      </c>
      <c r="FU29" s="70" t="s">
        <v>324</v>
      </c>
    </row>
    <row r="30" spans="1:177">
      <c r="A30" s="21" t="s">
        <v>2029</v>
      </c>
      <c r="B30" s="124" t="s">
        <v>1891</v>
      </c>
      <c r="C30" s="64" t="s">
        <v>2017</v>
      </c>
      <c r="D30" s="64">
        <v>313</v>
      </c>
      <c r="E30" s="64">
        <v>442</v>
      </c>
      <c r="F30" s="64">
        <v>732</v>
      </c>
      <c r="G30" s="64">
        <v>953</v>
      </c>
      <c r="H30" s="64">
        <v>770</v>
      </c>
      <c r="I30" s="64">
        <v>3210</v>
      </c>
      <c r="K30" s="64" t="s">
        <v>2017</v>
      </c>
      <c r="L30" s="64">
        <v>30</v>
      </c>
      <c r="M30" s="64">
        <v>4</v>
      </c>
      <c r="N30" s="64">
        <v>0</v>
      </c>
      <c r="O30" s="64">
        <v>2</v>
      </c>
      <c r="P30" s="64">
        <v>0</v>
      </c>
      <c r="Q30" s="64">
        <v>36</v>
      </c>
      <c r="T30" s="65" t="s">
        <v>1020</v>
      </c>
      <c r="U30" s="65" t="s">
        <v>2017</v>
      </c>
      <c r="V30" s="65">
        <v>966</v>
      </c>
      <c r="W30" s="65">
        <v>475</v>
      </c>
      <c r="X30" s="65">
        <v>512</v>
      </c>
      <c r="Y30" s="65">
        <v>504</v>
      </c>
      <c r="Z30" s="65">
        <v>370</v>
      </c>
      <c r="AA30" s="65">
        <v>2827</v>
      </c>
      <c r="AB30" s="65"/>
      <c r="AC30" s="65" t="s">
        <v>2017</v>
      </c>
      <c r="AD30" s="65">
        <v>51</v>
      </c>
      <c r="AE30" s="65">
        <v>0</v>
      </c>
      <c r="AF30" s="65">
        <v>0</v>
      </c>
      <c r="AG30" s="65">
        <v>0</v>
      </c>
      <c r="AH30" s="65">
        <v>0</v>
      </c>
      <c r="AI30" s="65">
        <v>51</v>
      </c>
      <c r="AK30" s="66" t="s">
        <v>1935</v>
      </c>
      <c r="AL30" s="66" t="s">
        <v>2017</v>
      </c>
      <c r="AM30" s="66">
        <v>182</v>
      </c>
      <c r="AN30" s="66">
        <v>281</v>
      </c>
      <c r="AO30" s="66">
        <v>437</v>
      </c>
      <c r="AP30" s="66">
        <v>643</v>
      </c>
      <c r="AQ30" s="66">
        <v>434</v>
      </c>
      <c r="AR30" s="66">
        <v>1977</v>
      </c>
      <c r="AS30" s="66"/>
      <c r="AT30" s="66" t="s">
        <v>2017</v>
      </c>
      <c r="AU30" s="66">
        <v>28</v>
      </c>
      <c r="AV30" s="66">
        <v>1</v>
      </c>
      <c r="AW30" s="66">
        <v>0</v>
      </c>
      <c r="AX30" s="66">
        <v>2</v>
      </c>
      <c r="AY30" s="66">
        <v>0</v>
      </c>
      <c r="AZ30" s="66">
        <v>31</v>
      </c>
      <c r="BB30" s="69" t="s">
        <v>1250</v>
      </c>
      <c r="BC30" s="69" t="s">
        <v>2017</v>
      </c>
      <c r="BD30" s="69" t="s">
        <v>324</v>
      </c>
      <c r="BE30" s="69" t="s">
        <v>324</v>
      </c>
      <c r="BF30" s="69" t="s">
        <v>324</v>
      </c>
      <c r="BG30" s="69" t="s">
        <v>324</v>
      </c>
      <c r="BH30" s="69" t="s">
        <v>324</v>
      </c>
      <c r="BI30" s="69" t="s">
        <v>324</v>
      </c>
      <c r="BJ30" s="69"/>
      <c r="BK30" s="69" t="s">
        <v>2017</v>
      </c>
      <c r="BL30" s="69" t="s">
        <v>324</v>
      </c>
      <c r="BM30" s="69" t="s">
        <v>324</v>
      </c>
      <c r="BN30" s="69" t="s">
        <v>324</v>
      </c>
      <c r="BO30" s="69" t="s">
        <v>324</v>
      </c>
      <c r="BP30" s="69" t="s">
        <v>324</v>
      </c>
      <c r="BQ30" s="69" t="s">
        <v>324</v>
      </c>
      <c r="BS30" s="70" t="s">
        <v>461</v>
      </c>
      <c r="BT30" s="70" t="s">
        <v>2018</v>
      </c>
      <c r="BU30" s="70" t="s">
        <v>324</v>
      </c>
      <c r="BV30" s="70" t="s">
        <v>324</v>
      </c>
      <c r="BW30" s="70" t="s">
        <v>324</v>
      </c>
      <c r="BX30" s="70" t="s">
        <v>324</v>
      </c>
      <c r="BY30" s="70" t="s">
        <v>324</v>
      </c>
      <c r="BZ30" s="70" t="s">
        <v>324</v>
      </c>
      <c r="CA30" s="70"/>
      <c r="CB30" s="70" t="s">
        <v>2018</v>
      </c>
      <c r="CC30" s="70" t="s">
        <v>324</v>
      </c>
      <c r="CD30" s="70" t="s">
        <v>324</v>
      </c>
      <c r="CE30" s="70" t="s">
        <v>324</v>
      </c>
      <c r="CF30" s="70" t="s">
        <v>324</v>
      </c>
      <c r="CG30" s="70" t="s">
        <v>324</v>
      </c>
      <c r="CH30" s="70" t="s">
        <v>324</v>
      </c>
      <c r="CL30" s="57" t="s">
        <v>369</v>
      </c>
      <c r="CM30" s="57" t="s">
        <v>2017</v>
      </c>
      <c r="CN30" s="57">
        <v>116</v>
      </c>
      <c r="CO30" s="57">
        <v>111</v>
      </c>
      <c r="CP30" s="57">
        <v>247</v>
      </c>
      <c r="CQ30" s="57">
        <v>347</v>
      </c>
      <c r="CR30" s="57">
        <v>373</v>
      </c>
      <c r="CS30" s="57">
        <v>1194</v>
      </c>
      <c r="CT30" s="57"/>
      <c r="CU30" s="57" t="s">
        <v>2017</v>
      </c>
      <c r="CV30" s="57">
        <v>21</v>
      </c>
      <c r="CW30" s="57">
        <v>1</v>
      </c>
      <c r="CX30" s="57">
        <v>0</v>
      </c>
      <c r="CY30" s="57">
        <v>0</v>
      </c>
      <c r="CZ30" s="57">
        <v>0</v>
      </c>
      <c r="DA30" s="57">
        <v>22</v>
      </c>
      <c r="DD30" s="77" t="s">
        <v>1578</v>
      </c>
      <c r="DE30" s="77" t="s">
        <v>2028</v>
      </c>
      <c r="DF30" s="77">
        <v>811</v>
      </c>
      <c r="DG30" s="77">
        <v>938</v>
      </c>
      <c r="DH30" s="77">
        <v>966</v>
      </c>
      <c r="DI30" s="77">
        <v>1013</v>
      </c>
      <c r="DJ30" s="77">
        <v>906</v>
      </c>
      <c r="DK30" s="77">
        <v>4634</v>
      </c>
      <c r="DL30" s="77"/>
      <c r="DM30" s="77" t="s">
        <v>2028</v>
      </c>
      <c r="DN30" s="77">
        <v>115</v>
      </c>
      <c r="DO30" s="77">
        <v>48</v>
      </c>
      <c r="DP30" s="77">
        <v>12</v>
      </c>
      <c r="DQ30" s="77">
        <v>5</v>
      </c>
      <c r="DR30" s="77">
        <v>9</v>
      </c>
      <c r="DS30" s="77">
        <v>189</v>
      </c>
      <c r="DU30" s="16" t="s">
        <v>1640</v>
      </c>
      <c r="DV30" s="79" t="s">
        <v>2682</v>
      </c>
      <c r="DW30" s="79" t="s">
        <v>2018</v>
      </c>
      <c r="DX30" s="79">
        <v>366</v>
      </c>
      <c r="DY30" s="79">
        <v>423</v>
      </c>
      <c r="DZ30" s="79">
        <v>594</v>
      </c>
      <c r="EA30" s="79">
        <v>695</v>
      </c>
      <c r="EB30" s="79">
        <v>551</v>
      </c>
      <c r="EC30" s="79">
        <v>2629</v>
      </c>
      <c r="ED30" s="79"/>
      <c r="EE30" s="79" t="s">
        <v>2018</v>
      </c>
      <c r="EF30" s="79">
        <v>38</v>
      </c>
      <c r="EG30" s="79">
        <v>0</v>
      </c>
      <c r="EH30" s="79">
        <v>0</v>
      </c>
      <c r="EI30" s="79">
        <v>0</v>
      </c>
      <c r="EJ30" s="79">
        <v>0</v>
      </c>
      <c r="EK30" s="79">
        <v>38</v>
      </c>
      <c r="EN30" s="57" t="s">
        <v>1999</v>
      </c>
      <c r="EO30" s="57" t="s">
        <v>2017</v>
      </c>
      <c r="EP30" s="57" t="s">
        <v>324</v>
      </c>
      <c r="EQ30" s="57" t="s">
        <v>324</v>
      </c>
      <c r="ER30" s="57" t="s">
        <v>324</v>
      </c>
      <c r="ES30" s="57" t="s">
        <v>324</v>
      </c>
      <c r="ET30" s="57" t="s">
        <v>324</v>
      </c>
      <c r="EU30" s="57" t="s">
        <v>324</v>
      </c>
      <c r="EV30" s="57"/>
      <c r="EW30" s="57" t="s">
        <v>2017</v>
      </c>
      <c r="EX30" s="57" t="s">
        <v>324</v>
      </c>
      <c r="EY30" s="57" t="s">
        <v>324</v>
      </c>
      <c r="EZ30" s="57" t="s">
        <v>324</v>
      </c>
      <c r="FA30" s="57" t="s">
        <v>324</v>
      </c>
      <c r="FB30" s="57" t="s">
        <v>324</v>
      </c>
      <c r="FC30" s="57" t="s">
        <v>324</v>
      </c>
      <c r="FF30" s="70" t="s">
        <v>2009</v>
      </c>
      <c r="FG30" s="70" t="s">
        <v>2017</v>
      </c>
      <c r="FH30" s="70">
        <v>214</v>
      </c>
      <c r="FI30" s="70">
        <v>267</v>
      </c>
      <c r="FJ30" s="70">
        <v>361</v>
      </c>
      <c r="FK30" s="70">
        <v>424</v>
      </c>
      <c r="FL30" s="70">
        <v>512</v>
      </c>
      <c r="FM30" s="70">
        <v>1778</v>
      </c>
      <c r="FN30" s="70"/>
      <c r="FO30" s="70" t="s">
        <v>2017</v>
      </c>
      <c r="FP30" s="70">
        <v>31</v>
      </c>
      <c r="FQ30" s="70">
        <v>13</v>
      </c>
      <c r="FR30" s="70">
        <v>12</v>
      </c>
      <c r="FS30" s="70">
        <v>10</v>
      </c>
      <c r="FT30" s="70">
        <v>6</v>
      </c>
      <c r="FU30" s="70">
        <v>72</v>
      </c>
    </row>
    <row r="31" spans="1:177">
      <c r="B31" s="64" t="s">
        <v>830</v>
      </c>
      <c r="C31" s="64" t="s">
        <v>2017</v>
      </c>
      <c r="D31" s="64">
        <v>483</v>
      </c>
      <c r="E31" s="64">
        <v>541</v>
      </c>
      <c r="F31" s="64">
        <v>911</v>
      </c>
      <c r="G31" s="64">
        <v>1166</v>
      </c>
      <c r="H31" s="64">
        <v>1004</v>
      </c>
      <c r="I31" s="64">
        <v>4105</v>
      </c>
      <c r="K31" s="64" t="s">
        <v>2017</v>
      </c>
      <c r="L31" s="64">
        <v>38</v>
      </c>
      <c r="M31" s="64">
        <v>2</v>
      </c>
      <c r="N31" s="64">
        <v>2</v>
      </c>
      <c r="O31" s="64">
        <v>0</v>
      </c>
      <c r="P31" s="64">
        <v>0</v>
      </c>
      <c r="Q31" s="64">
        <v>42</v>
      </c>
      <c r="T31" s="65" t="s">
        <v>1026</v>
      </c>
      <c r="U31" s="65" t="s">
        <v>2017</v>
      </c>
      <c r="V31" s="65" t="s">
        <v>324</v>
      </c>
      <c r="W31" s="65" t="s">
        <v>324</v>
      </c>
      <c r="X31" s="65" t="s">
        <v>324</v>
      </c>
      <c r="Y31" s="65" t="s">
        <v>324</v>
      </c>
      <c r="Z31" s="65" t="s">
        <v>324</v>
      </c>
      <c r="AA31" s="65" t="s">
        <v>324</v>
      </c>
      <c r="AB31" s="65"/>
      <c r="AC31" s="65" t="s">
        <v>2017</v>
      </c>
      <c r="AD31" s="65" t="s">
        <v>324</v>
      </c>
      <c r="AE31" s="65" t="s">
        <v>324</v>
      </c>
      <c r="AF31" s="65" t="s">
        <v>324</v>
      </c>
      <c r="AG31" s="65" t="s">
        <v>324</v>
      </c>
      <c r="AH31" s="65" t="s">
        <v>324</v>
      </c>
      <c r="AI31" s="65" t="s">
        <v>324</v>
      </c>
      <c r="AK31" s="66" t="s">
        <v>2030</v>
      </c>
      <c r="AL31" s="66" t="s">
        <v>2017</v>
      </c>
      <c r="AM31" s="66" t="s">
        <v>394</v>
      </c>
      <c r="AN31" s="66" t="s">
        <v>394</v>
      </c>
      <c r="AO31" s="66" t="s">
        <v>394</v>
      </c>
      <c r="AP31" s="66" t="s">
        <v>394</v>
      </c>
      <c r="AQ31" s="66" t="s">
        <v>394</v>
      </c>
      <c r="AR31" s="66" t="s">
        <v>394</v>
      </c>
      <c r="AS31" s="66"/>
      <c r="AT31" s="66" t="s">
        <v>2017</v>
      </c>
      <c r="AU31" s="66" t="s">
        <v>394</v>
      </c>
      <c r="AV31" s="66" t="s">
        <v>394</v>
      </c>
      <c r="AW31" s="66" t="s">
        <v>394</v>
      </c>
      <c r="AX31" s="66" t="s">
        <v>394</v>
      </c>
      <c r="AY31" s="66" t="s">
        <v>394</v>
      </c>
      <c r="AZ31" s="66" t="s">
        <v>394</v>
      </c>
      <c r="BB31" s="69" t="s">
        <v>1954</v>
      </c>
      <c r="BC31" s="69" t="s">
        <v>2017</v>
      </c>
      <c r="BD31" s="69">
        <v>2530</v>
      </c>
      <c r="BE31" s="69">
        <v>1559</v>
      </c>
      <c r="BF31" s="69">
        <v>1478</v>
      </c>
      <c r="BG31" s="69">
        <v>1236</v>
      </c>
      <c r="BH31" s="69">
        <v>858</v>
      </c>
      <c r="BI31" s="69">
        <v>7661</v>
      </c>
      <c r="BJ31" s="69"/>
      <c r="BK31" s="69" t="s">
        <v>2017</v>
      </c>
      <c r="BL31" s="69">
        <v>324</v>
      </c>
      <c r="BM31" s="69">
        <v>0</v>
      </c>
      <c r="BN31" s="69">
        <v>0</v>
      </c>
      <c r="BO31" s="69">
        <v>0</v>
      </c>
      <c r="BP31" s="69">
        <v>0</v>
      </c>
      <c r="BQ31" s="69">
        <v>324</v>
      </c>
      <c r="BS31" s="70" t="s">
        <v>463</v>
      </c>
      <c r="BT31" s="70" t="s">
        <v>2018</v>
      </c>
      <c r="BU31" s="70" t="s">
        <v>324</v>
      </c>
      <c r="BV31" s="70" t="s">
        <v>324</v>
      </c>
      <c r="BW31" s="70" t="s">
        <v>324</v>
      </c>
      <c r="BX31" s="70" t="s">
        <v>324</v>
      </c>
      <c r="BY31" s="70" t="s">
        <v>324</v>
      </c>
      <c r="BZ31" s="70" t="s">
        <v>324</v>
      </c>
      <c r="CA31" s="70"/>
      <c r="CB31" s="70" t="s">
        <v>2018</v>
      </c>
      <c r="CC31" s="70" t="s">
        <v>324</v>
      </c>
      <c r="CD31" s="70" t="s">
        <v>324</v>
      </c>
      <c r="CE31" s="70" t="s">
        <v>324</v>
      </c>
      <c r="CF31" s="70" t="s">
        <v>324</v>
      </c>
      <c r="CG31" s="70" t="s">
        <v>324</v>
      </c>
      <c r="CH31" s="70" t="s">
        <v>324</v>
      </c>
      <c r="CL31" s="57" t="s">
        <v>540</v>
      </c>
      <c r="CM31" s="57" t="s">
        <v>2017</v>
      </c>
      <c r="CN31" s="57">
        <v>62</v>
      </c>
      <c r="CO31" s="57">
        <v>66</v>
      </c>
      <c r="CP31" s="57">
        <v>169</v>
      </c>
      <c r="CQ31" s="57">
        <v>239</v>
      </c>
      <c r="CR31" s="57">
        <v>297</v>
      </c>
      <c r="CS31" s="57">
        <v>833</v>
      </c>
      <c r="CT31" s="57"/>
      <c r="CU31" s="57" t="s">
        <v>2017</v>
      </c>
      <c r="CV31" s="57">
        <v>12</v>
      </c>
      <c r="CW31" s="57">
        <v>0</v>
      </c>
      <c r="CX31" s="57">
        <v>0</v>
      </c>
      <c r="CY31" s="57">
        <v>0</v>
      </c>
      <c r="CZ31" s="57">
        <v>0</v>
      </c>
      <c r="DA31" s="57">
        <v>12</v>
      </c>
      <c r="DD31" s="77" t="s">
        <v>1581</v>
      </c>
      <c r="DE31" s="77" t="s">
        <v>2028</v>
      </c>
      <c r="DF31" s="77">
        <v>208</v>
      </c>
      <c r="DG31" s="77">
        <v>333</v>
      </c>
      <c r="DH31" s="77">
        <v>453</v>
      </c>
      <c r="DI31" s="77">
        <v>538</v>
      </c>
      <c r="DJ31" s="77">
        <v>480</v>
      </c>
      <c r="DK31" s="77">
        <v>2012</v>
      </c>
      <c r="DL31" s="77"/>
      <c r="DM31" s="77" t="s">
        <v>2028</v>
      </c>
      <c r="DN31" s="77">
        <v>27</v>
      </c>
      <c r="DO31" s="77">
        <v>5</v>
      </c>
      <c r="DP31" s="77">
        <v>1</v>
      </c>
      <c r="DQ31" s="77">
        <v>3</v>
      </c>
      <c r="DR31" s="77">
        <v>1</v>
      </c>
      <c r="DS31" s="77">
        <v>37</v>
      </c>
      <c r="DU31" s="16" t="s">
        <v>1643</v>
      </c>
      <c r="DV31" s="79" t="s">
        <v>2685</v>
      </c>
      <c r="DW31" s="79" t="s">
        <v>2018</v>
      </c>
      <c r="DX31" s="79">
        <v>992</v>
      </c>
      <c r="DY31" s="79">
        <v>453</v>
      </c>
      <c r="DZ31" s="79">
        <v>464</v>
      </c>
      <c r="EA31" s="79">
        <v>476</v>
      </c>
      <c r="EB31" s="79">
        <v>399</v>
      </c>
      <c r="EC31" s="79">
        <v>2784</v>
      </c>
      <c r="ED31" s="79"/>
      <c r="EE31" s="79" t="s">
        <v>2018</v>
      </c>
      <c r="EF31" s="79">
        <v>21</v>
      </c>
      <c r="EG31" s="79">
        <v>0</v>
      </c>
      <c r="EH31" s="79">
        <v>0</v>
      </c>
      <c r="EI31" s="79">
        <v>0</v>
      </c>
      <c r="EJ31" s="79">
        <v>0</v>
      </c>
      <c r="EK31" s="79">
        <v>21</v>
      </c>
      <c r="EN31" s="57" t="s">
        <v>1774</v>
      </c>
      <c r="EO31" s="57" t="s">
        <v>2017</v>
      </c>
      <c r="EP31" s="57" t="s">
        <v>324</v>
      </c>
      <c r="EQ31" s="57" t="s">
        <v>324</v>
      </c>
      <c r="ER31" s="57" t="s">
        <v>324</v>
      </c>
      <c r="ES31" s="57" t="s">
        <v>324</v>
      </c>
      <c r="ET31" s="57" t="s">
        <v>324</v>
      </c>
      <c r="EU31" s="57" t="s">
        <v>324</v>
      </c>
      <c r="EV31" s="57"/>
      <c r="EW31" s="57" t="s">
        <v>2017</v>
      </c>
      <c r="EX31" s="57" t="s">
        <v>324</v>
      </c>
      <c r="EY31" s="57" t="s">
        <v>324</v>
      </c>
      <c r="EZ31" s="57" t="s">
        <v>324</v>
      </c>
      <c r="FA31" s="57" t="s">
        <v>324</v>
      </c>
      <c r="FB31" s="57" t="s">
        <v>324</v>
      </c>
      <c r="FC31" s="57" t="s">
        <v>324</v>
      </c>
      <c r="FF31" s="70" t="s">
        <v>1850</v>
      </c>
      <c r="FG31" s="70" t="s">
        <v>2017</v>
      </c>
      <c r="FH31" s="70">
        <v>940</v>
      </c>
      <c r="FI31" s="70">
        <v>841</v>
      </c>
      <c r="FJ31" s="70">
        <v>787</v>
      </c>
      <c r="FK31" s="70">
        <v>815</v>
      </c>
      <c r="FL31" s="70">
        <v>916</v>
      </c>
      <c r="FM31" s="70">
        <v>4299</v>
      </c>
      <c r="FN31" s="70"/>
      <c r="FO31" s="70" t="s">
        <v>2017</v>
      </c>
      <c r="FP31" s="70">
        <v>99</v>
      </c>
      <c r="FQ31" s="70">
        <v>0</v>
      </c>
      <c r="FR31" s="70">
        <v>0</v>
      </c>
      <c r="FS31" s="70">
        <v>0</v>
      </c>
      <c r="FT31" s="70">
        <v>0</v>
      </c>
      <c r="FU31" s="70">
        <v>99</v>
      </c>
    </row>
    <row r="32" spans="1:177">
      <c r="B32" s="64" t="s">
        <v>836</v>
      </c>
      <c r="C32" s="64" t="s">
        <v>2017</v>
      </c>
      <c r="D32" s="64">
        <v>289</v>
      </c>
      <c r="E32" s="64">
        <v>387</v>
      </c>
      <c r="F32" s="64">
        <v>656</v>
      </c>
      <c r="G32" s="64">
        <v>973</v>
      </c>
      <c r="H32" s="64">
        <v>760</v>
      </c>
      <c r="I32" s="64">
        <v>3065</v>
      </c>
      <c r="K32" s="64" t="s">
        <v>2017</v>
      </c>
      <c r="L32" s="64">
        <v>51</v>
      </c>
      <c r="M32" s="64">
        <v>10</v>
      </c>
      <c r="N32" s="64">
        <v>2</v>
      </c>
      <c r="O32" s="64">
        <v>3</v>
      </c>
      <c r="P32" s="64">
        <v>1</v>
      </c>
      <c r="Q32" s="64">
        <v>67</v>
      </c>
      <c r="AK32" s="66" t="s">
        <v>2031</v>
      </c>
      <c r="AL32" s="66" t="s">
        <v>2017</v>
      </c>
      <c r="AM32" s="66" t="s">
        <v>394</v>
      </c>
      <c r="AN32" s="66" t="s">
        <v>394</v>
      </c>
      <c r="AO32" s="66" t="s">
        <v>394</v>
      </c>
      <c r="AP32" s="66" t="s">
        <v>394</v>
      </c>
      <c r="AQ32" s="66" t="s">
        <v>394</v>
      </c>
      <c r="AR32" s="66" t="s">
        <v>394</v>
      </c>
      <c r="AS32" s="66"/>
      <c r="AT32" s="66" t="s">
        <v>2017</v>
      </c>
      <c r="AU32" s="66" t="s">
        <v>394</v>
      </c>
      <c r="AV32" s="66" t="s">
        <v>394</v>
      </c>
      <c r="AW32" s="66" t="s">
        <v>394</v>
      </c>
      <c r="AX32" s="66" t="s">
        <v>394</v>
      </c>
      <c r="AY32" s="66" t="s">
        <v>394</v>
      </c>
      <c r="AZ32" s="66" t="s">
        <v>394</v>
      </c>
      <c r="BB32" s="69" t="s">
        <v>1268</v>
      </c>
      <c r="BC32" s="69" t="s">
        <v>2017</v>
      </c>
      <c r="BD32" s="69">
        <v>149</v>
      </c>
      <c r="BE32" s="69">
        <v>130</v>
      </c>
      <c r="BF32" s="69">
        <v>180</v>
      </c>
      <c r="BG32" s="69">
        <v>268</v>
      </c>
      <c r="BH32" s="69">
        <v>229</v>
      </c>
      <c r="BI32" s="69">
        <v>956</v>
      </c>
      <c r="BJ32" s="69"/>
      <c r="BK32" s="69" t="s">
        <v>2017</v>
      </c>
      <c r="BL32" s="69">
        <v>27</v>
      </c>
      <c r="BM32" s="69">
        <v>0</v>
      </c>
      <c r="BN32" s="69">
        <v>0</v>
      </c>
      <c r="BO32" s="69">
        <v>0</v>
      </c>
      <c r="BP32" s="69">
        <v>0</v>
      </c>
      <c r="BQ32" s="69">
        <v>27</v>
      </c>
      <c r="BS32" s="70" t="s">
        <v>1411</v>
      </c>
      <c r="BT32" s="70" t="s">
        <v>2018</v>
      </c>
      <c r="BU32" s="70">
        <v>1794</v>
      </c>
      <c r="BV32" s="70">
        <v>1053</v>
      </c>
      <c r="BW32" s="70">
        <v>1048</v>
      </c>
      <c r="BX32" s="70">
        <v>998</v>
      </c>
      <c r="BY32" s="70">
        <v>696</v>
      </c>
      <c r="BZ32" s="70">
        <v>5589</v>
      </c>
      <c r="CA32" s="70"/>
      <c r="CB32" s="70" t="s">
        <v>2018</v>
      </c>
      <c r="CC32" s="70">
        <v>541</v>
      </c>
      <c r="CD32" s="70">
        <v>5</v>
      </c>
      <c r="CE32" s="70">
        <v>0</v>
      </c>
      <c r="CF32" s="70">
        <v>0</v>
      </c>
      <c r="CG32" s="70">
        <v>0</v>
      </c>
      <c r="CH32" s="70">
        <v>546</v>
      </c>
      <c r="CL32" s="57" t="s">
        <v>546</v>
      </c>
      <c r="CM32" s="57" t="s">
        <v>2017</v>
      </c>
      <c r="CN32" s="57">
        <v>161</v>
      </c>
      <c r="CO32" s="57">
        <v>189</v>
      </c>
      <c r="CP32" s="57">
        <v>326</v>
      </c>
      <c r="CQ32" s="57">
        <v>448</v>
      </c>
      <c r="CR32" s="57">
        <v>427</v>
      </c>
      <c r="CS32" s="57">
        <v>1551</v>
      </c>
      <c r="CT32" s="57"/>
      <c r="CU32" s="57" t="s">
        <v>2017</v>
      </c>
      <c r="CV32" s="57">
        <v>23</v>
      </c>
      <c r="CW32" s="57">
        <v>1</v>
      </c>
      <c r="CX32" s="57">
        <v>0</v>
      </c>
      <c r="CY32" s="57">
        <v>0</v>
      </c>
      <c r="CZ32" s="57">
        <v>0</v>
      </c>
      <c r="DA32" s="57">
        <v>24</v>
      </c>
      <c r="DD32" s="77" t="s">
        <v>1585</v>
      </c>
      <c r="DE32" s="77" t="s">
        <v>2028</v>
      </c>
      <c r="DF32" s="77">
        <v>203</v>
      </c>
      <c r="DG32" s="77">
        <v>379</v>
      </c>
      <c r="DH32" s="77">
        <v>499</v>
      </c>
      <c r="DI32" s="77">
        <v>628</v>
      </c>
      <c r="DJ32" s="77">
        <v>590</v>
      </c>
      <c r="DK32" s="77">
        <v>2299</v>
      </c>
      <c r="DL32" s="77"/>
      <c r="DM32" s="77" t="s">
        <v>2028</v>
      </c>
      <c r="DN32" s="77">
        <v>18</v>
      </c>
      <c r="DO32" s="77">
        <v>11</v>
      </c>
      <c r="DP32" s="77">
        <v>6</v>
      </c>
      <c r="DQ32" s="77">
        <v>1</v>
      </c>
      <c r="DR32" s="77">
        <v>0</v>
      </c>
      <c r="DS32" s="77">
        <v>36</v>
      </c>
      <c r="DU32" s="16" t="s">
        <v>1646</v>
      </c>
      <c r="DV32" s="79" t="s">
        <v>2679</v>
      </c>
      <c r="DW32" s="79" t="s">
        <v>2018</v>
      </c>
      <c r="DX32" s="79">
        <v>230</v>
      </c>
      <c r="DY32" s="79">
        <v>212</v>
      </c>
      <c r="DZ32" s="79">
        <v>257</v>
      </c>
      <c r="EA32" s="79">
        <v>305</v>
      </c>
      <c r="EB32" s="79">
        <v>245</v>
      </c>
      <c r="EC32" s="79">
        <v>1249</v>
      </c>
      <c r="ED32" s="79"/>
      <c r="EE32" s="79" t="s">
        <v>2018</v>
      </c>
      <c r="EF32" s="79">
        <v>15</v>
      </c>
      <c r="EG32" s="79">
        <v>5</v>
      </c>
      <c r="EH32" s="79">
        <v>0</v>
      </c>
      <c r="EI32" s="79">
        <v>0</v>
      </c>
      <c r="EJ32" s="79">
        <v>0</v>
      </c>
      <c r="EK32" s="79">
        <v>20</v>
      </c>
      <c r="EN32" s="57" t="s">
        <v>1778</v>
      </c>
      <c r="EO32" s="57" t="s">
        <v>2017</v>
      </c>
      <c r="EP32" s="57">
        <v>223</v>
      </c>
      <c r="EQ32" s="57">
        <v>296</v>
      </c>
      <c r="ER32" s="57">
        <v>370</v>
      </c>
      <c r="ES32" s="57">
        <v>543</v>
      </c>
      <c r="ET32" s="57">
        <v>663</v>
      </c>
      <c r="EU32" s="57">
        <v>2095</v>
      </c>
      <c r="EV32" s="57"/>
      <c r="EW32" s="57" t="s">
        <v>2017</v>
      </c>
      <c r="EX32" s="57">
        <v>47</v>
      </c>
      <c r="EY32" s="57">
        <v>17</v>
      </c>
      <c r="EZ32" s="57">
        <v>12</v>
      </c>
      <c r="FA32" s="57">
        <v>16</v>
      </c>
      <c r="FB32" s="57">
        <v>7</v>
      </c>
      <c r="FC32" s="57">
        <v>99</v>
      </c>
      <c r="FF32" s="70" t="s">
        <v>1851</v>
      </c>
      <c r="FG32" s="70" t="s">
        <v>2017</v>
      </c>
      <c r="FH32" s="70">
        <v>626</v>
      </c>
      <c r="FI32" s="70">
        <v>606</v>
      </c>
      <c r="FJ32" s="70">
        <v>486</v>
      </c>
      <c r="FK32" s="70">
        <v>540</v>
      </c>
      <c r="FL32" s="70">
        <v>585</v>
      </c>
      <c r="FM32" s="70">
        <v>2843</v>
      </c>
      <c r="FN32" s="70"/>
      <c r="FO32" s="70" t="s">
        <v>2017</v>
      </c>
      <c r="FP32" s="70">
        <v>49</v>
      </c>
      <c r="FQ32" s="70">
        <v>0</v>
      </c>
      <c r="FR32" s="70">
        <v>0</v>
      </c>
      <c r="FS32" s="70">
        <v>0</v>
      </c>
      <c r="FT32" s="70">
        <v>0</v>
      </c>
      <c r="FU32" s="70">
        <v>49</v>
      </c>
    </row>
    <row r="33" spans="2:177">
      <c r="B33" s="64" t="s">
        <v>845</v>
      </c>
      <c r="C33" s="64" t="s">
        <v>2017</v>
      </c>
      <c r="D33" s="64" t="s">
        <v>324</v>
      </c>
      <c r="E33" s="64" t="s">
        <v>324</v>
      </c>
      <c r="F33" s="64" t="s">
        <v>324</v>
      </c>
      <c r="G33" s="64" t="s">
        <v>324</v>
      </c>
      <c r="H33" s="64" t="s">
        <v>324</v>
      </c>
      <c r="I33" s="64" t="s">
        <v>324</v>
      </c>
      <c r="K33" s="64" t="s">
        <v>2017</v>
      </c>
      <c r="L33" s="64" t="s">
        <v>324</v>
      </c>
      <c r="M33" s="64" t="s">
        <v>324</v>
      </c>
      <c r="N33" s="64" t="s">
        <v>324</v>
      </c>
      <c r="O33" s="64" t="s">
        <v>324</v>
      </c>
      <c r="P33" s="64" t="s">
        <v>324</v>
      </c>
      <c r="Q33" s="64" t="s">
        <v>324</v>
      </c>
      <c r="T33" s="65" t="s">
        <v>939</v>
      </c>
      <c r="U33" s="65" t="s">
        <v>2018</v>
      </c>
      <c r="V33" s="65">
        <v>1241</v>
      </c>
      <c r="W33" s="65">
        <v>1151</v>
      </c>
      <c r="X33" s="65">
        <v>1295</v>
      </c>
      <c r="Y33" s="65">
        <v>1231</v>
      </c>
      <c r="Z33" s="65">
        <v>814</v>
      </c>
      <c r="AA33" s="65">
        <v>5732</v>
      </c>
      <c r="AB33" s="65"/>
      <c r="AC33" s="65" t="s">
        <v>2018</v>
      </c>
      <c r="AD33" s="65">
        <v>128</v>
      </c>
      <c r="AE33" s="65">
        <v>10</v>
      </c>
      <c r="AF33" s="65">
        <v>1</v>
      </c>
      <c r="AG33" s="65">
        <v>3</v>
      </c>
      <c r="AH33" s="65">
        <v>1</v>
      </c>
      <c r="AI33" s="65">
        <v>143</v>
      </c>
      <c r="AK33" s="66" t="s">
        <v>1933</v>
      </c>
      <c r="AL33" s="66" t="s">
        <v>2017</v>
      </c>
      <c r="AM33" s="66">
        <v>129</v>
      </c>
      <c r="AN33" s="66">
        <v>133</v>
      </c>
      <c r="AO33" s="66">
        <v>240</v>
      </c>
      <c r="AP33" s="66">
        <v>338</v>
      </c>
      <c r="AQ33" s="66">
        <v>312</v>
      </c>
      <c r="AR33" s="66">
        <v>1152</v>
      </c>
      <c r="AS33" s="66"/>
      <c r="AT33" s="66" t="s">
        <v>2017</v>
      </c>
      <c r="AU33" s="66">
        <v>40</v>
      </c>
      <c r="AV33" s="66">
        <v>0</v>
      </c>
      <c r="AW33" s="66">
        <v>0</v>
      </c>
      <c r="AX33" s="66">
        <v>1</v>
      </c>
      <c r="AY33" s="66">
        <v>0</v>
      </c>
      <c r="AZ33" s="66">
        <v>41</v>
      </c>
      <c r="BB33" s="69" t="s">
        <v>1272</v>
      </c>
      <c r="BC33" s="69" t="s">
        <v>2017</v>
      </c>
      <c r="BD33" s="69">
        <v>242</v>
      </c>
      <c r="BE33" s="69">
        <v>385</v>
      </c>
      <c r="BF33" s="69">
        <v>552</v>
      </c>
      <c r="BG33" s="69">
        <v>610</v>
      </c>
      <c r="BH33" s="69">
        <v>371</v>
      </c>
      <c r="BI33" s="69">
        <v>2160</v>
      </c>
      <c r="BJ33" s="69"/>
      <c r="BK33" s="69" t="s">
        <v>2017</v>
      </c>
      <c r="BL33" s="69">
        <v>25</v>
      </c>
      <c r="BM33" s="69">
        <v>3</v>
      </c>
      <c r="BN33" s="69">
        <v>0</v>
      </c>
      <c r="BO33" s="69">
        <v>0</v>
      </c>
      <c r="BP33" s="69">
        <v>0</v>
      </c>
      <c r="BQ33" s="69">
        <v>28</v>
      </c>
      <c r="BR33" s="16" t="s">
        <v>2243</v>
      </c>
      <c r="BS33" s="70" t="s">
        <v>2116</v>
      </c>
      <c r="BT33" s="70" t="s">
        <v>2018</v>
      </c>
      <c r="BU33" s="70">
        <v>69</v>
      </c>
      <c r="BV33" s="70">
        <v>61</v>
      </c>
      <c r="BW33" s="70">
        <v>87</v>
      </c>
      <c r="BX33" s="70">
        <v>113</v>
      </c>
      <c r="BY33" s="70">
        <v>95</v>
      </c>
      <c r="BZ33" s="70">
        <v>425</v>
      </c>
      <c r="CA33" s="70"/>
      <c r="CB33" s="70" t="s">
        <v>2018</v>
      </c>
      <c r="CC33" s="70">
        <v>10</v>
      </c>
      <c r="CD33" s="70">
        <v>0</v>
      </c>
      <c r="CE33" s="70">
        <v>0</v>
      </c>
      <c r="CF33" s="70">
        <v>0</v>
      </c>
      <c r="CG33" s="70">
        <v>0</v>
      </c>
      <c r="CH33" s="70">
        <v>10</v>
      </c>
      <c r="CL33" s="57" t="s">
        <v>549</v>
      </c>
      <c r="CM33" s="57" t="s">
        <v>2017</v>
      </c>
      <c r="CN33" s="57" t="s">
        <v>324</v>
      </c>
      <c r="CO33" s="57" t="s">
        <v>324</v>
      </c>
      <c r="CP33" s="57" t="s">
        <v>324</v>
      </c>
      <c r="CQ33" s="57" t="s">
        <v>324</v>
      </c>
      <c r="CR33" s="57" t="s">
        <v>324</v>
      </c>
      <c r="CS33" s="57" t="s">
        <v>324</v>
      </c>
      <c r="CT33" s="57"/>
      <c r="CU33" s="57" t="s">
        <v>2017</v>
      </c>
      <c r="CV33" s="57" t="s">
        <v>324</v>
      </c>
      <c r="CW33" s="57" t="s">
        <v>324</v>
      </c>
      <c r="CX33" s="57" t="s">
        <v>324</v>
      </c>
      <c r="CY33" s="57" t="s">
        <v>324</v>
      </c>
      <c r="CZ33" s="57" t="s">
        <v>324</v>
      </c>
      <c r="DA33" s="57" t="s">
        <v>324</v>
      </c>
      <c r="DD33" s="77" t="s">
        <v>1588</v>
      </c>
      <c r="DE33" s="77" t="s">
        <v>2028</v>
      </c>
      <c r="DF33" s="77">
        <v>169</v>
      </c>
      <c r="DG33" s="77">
        <v>236</v>
      </c>
      <c r="DH33" s="77">
        <v>264</v>
      </c>
      <c r="DI33" s="77">
        <v>387</v>
      </c>
      <c r="DJ33" s="77">
        <v>364</v>
      </c>
      <c r="DK33" s="77">
        <v>1420</v>
      </c>
      <c r="DL33" s="77"/>
      <c r="DM33" s="77" t="s">
        <v>2028</v>
      </c>
      <c r="DN33" s="77">
        <v>20</v>
      </c>
      <c r="DO33" s="77">
        <v>5</v>
      </c>
      <c r="DP33" s="77">
        <v>0</v>
      </c>
      <c r="DQ33" s="77">
        <v>1</v>
      </c>
      <c r="DR33" s="77">
        <v>0</v>
      </c>
      <c r="DS33" s="77">
        <v>26</v>
      </c>
      <c r="DU33" s="16" t="s">
        <v>1649</v>
      </c>
      <c r="DV33" s="79" t="s">
        <v>2676</v>
      </c>
      <c r="DW33" s="79" t="s">
        <v>2018</v>
      </c>
      <c r="DX33" s="79">
        <v>272</v>
      </c>
      <c r="DY33" s="79">
        <v>324</v>
      </c>
      <c r="DZ33" s="79">
        <v>398</v>
      </c>
      <c r="EA33" s="79">
        <v>466</v>
      </c>
      <c r="EB33" s="79">
        <v>444</v>
      </c>
      <c r="EC33" s="79">
        <v>1904</v>
      </c>
      <c r="ED33" s="79"/>
      <c r="EE33" s="79" t="s">
        <v>2018</v>
      </c>
      <c r="EF33" s="79">
        <v>24</v>
      </c>
      <c r="EG33" s="79">
        <v>0</v>
      </c>
      <c r="EH33" s="79">
        <v>0</v>
      </c>
      <c r="EI33" s="79">
        <v>0</v>
      </c>
      <c r="EJ33" s="79">
        <v>0</v>
      </c>
      <c r="EK33" s="79">
        <v>24</v>
      </c>
      <c r="EN33" s="57" t="s">
        <v>2001</v>
      </c>
      <c r="EO33" s="57" t="s">
        <v>2017</v>
      </c>
      <c r="EP33" s="57" t="s">
        <v>324</v>
      </c>
      <c r="EQ33" s="57" t="s">
        <v>324</v>
      </c>
      <c r="ER33" s="57" t="s">
        <v>324</v>
      </c>
      <c r="ES33" s="57" t="s">
        <v>324</v>
      </c>
      <c r="ET33" s="57" t="s">
        <v>324</v>
      </c>
      <c r="EU33" s="57" t="s">
        <v>324</v>
      </c>
      <c r="EV33" s="57"/>
      <c r="EW33" s="57" t="s">
        <v>2017</v>
      </c>
      <c r="EX33" s="57" t="s">
        <v>324</v>
      </c>
      <c r="EY33" s="57" t="s">
        <v>324</v>
      </c>
      <c r="EZ33" s="57" t="s">
        <v>324</v>
      </c>
      <c r="FA33" s="57" t="s">
        <v>324</v>
      </c>
      <c r="FB33" s="57" t="s">
        <v>324</v>
      </c>
      <c r="FC33" s="57" t="s">
        <v>324</v>
      </c>
      <c r="FF33" s="70" t="s">
        <v>1852</v>
      </c>
      <c r="FG33" s="70" t="s">
        <v>2017</v>
      </c>
      <c r="FH33" s="70">
        <v>113</v>
      </c>
      <c r="FI33" s="70">
        <v>217</v>
      </c>
      <c r="FJ33" s="70">
        <v>318</v>
      </c>
      <c r="FK33" s="70">
        <v>372</v>
      </c>
      <c r="FL33" s="70">
        <v>502</v>
      </c>
      <c r="FM33" s="70">
        <v>1522</v>
      </c>
      <c r="FN33" s="70"/>
      <c r="FO33" s="70" t="s">
        <v>2017</v>
      </c>
      <c r="FP33" s="70">
        <v>20</v>
      </c>
      <c r="FQ33" s="70">
        <v>18</v>
      </c>
      <c r="FR33" s="70">
        <v>15</v>
      </c>
      <c r="FS33" s="70">
        <v>8</v>
      </c>
      <c r="FT33" s="70">
        <v>22</v>
      </c>
      <c r="FU33" s="70">
        <v>83</v>
      </c>
    </row>
    <row r="34" spans="2:177">
      <c r="B34" s="64" t="s">
        <v>849</v>
      </c>
      <c r="C34" s="64" t="s">
        <v>2017</v>
      </c>
      <c r="D34" s="64" t="s">
        <v>324</v>
      </c>
      <c r="E34" s="64" t="s">
        <v>324</v>
      </c>
      <c r="F34" s="64" t="s">
        <v>324</v>
      </c>
      <c r="G34" s="64" t="s">
        <v>324</v>
      </c>
      <c r="H34" s="64" t="s">
        <v>324</v>
      </c>
      <c r="I34" s="64" t="s">
        <v>324</v>
      </c>
      <c r="K34" s="64" t="s">
        <v>2017</v>
      </c>
      <c r="L34" s="64" t="s">
        <v>324</v>
      </c>
      <c r="M34" s="64" t="s">
        <v>324</v>
      </c>
      <c r="N34" s="64" t="s">
        <v>324</v>
      </c>
      <c r="O34" s="64" t="s">
        <v>324</v>
      </c>
      <c r="P34" s="64" t="s">
        <v>324</v>
      </c>
      <c r="Q34" s="64" t="s">
        <v>324</v>
      </c>
      <c r="T34" s="65" t="s">
        <v>1894</v>
      </c>
      <c r="U34" s="65" t="s">
        <v>2018</v>
      </c>
      <c r="V34" s="65" t="s">
        <v>324</v>
      </c>
      <c r="W34" s="65" t="s">
        <v>324</v>
      </c>
      <c r="X34" s="65" t="s">
        <v>324</v>
      </c>
      <c r="Y34" s="65" t="s">
        <v>324</v>
      </c>
      <c r="Z34" s="65" t="s">
        <v>324</v>
      </c>
      <c r="AA34" s="65" t="s">
        <v>324</v>
      </c>
      <c r="AB34" s="65"/>
      <c r="AC34" s="65" t="s">
        <v>2018</v>
      </c>
      <c r="AD34" s="65" t="s">
        <v>324</v>
      </c>
      <c r="AE34" s="65" t="s">
        <v>324</v>
      </c>
      <c r="AF34" s="65" t="s">
        <v>324</v>
      </c>
      <c r="AG34" s="65" t="s">
        <v>324</v>
      </c>
      <c r="AH34" s="65" t="s">
        <v>324</v>
      </c>
      <c r="AI34" s="65" t="s">
        <v>324</v>
      </c>
      <c r="AK34" s="66" t="s">
        <v>1934</v>
      </c>
      <c r="AL34" s="66" t="s">
        <v>2017</v>
      </c>
      <c r="AM34" s="66">
        <v>153</v>
      </c>
      <c r="AN34" s="66">
        <v>208</v>
      </c>
      <c r="AO34" s="66">
        <v>469</v>
      </c>
      <c r="AP34" s="66">
        <v>741</v>
      </c>
      <c r="AQ34" s="66">
        <v>520</v>
      </c>
      <c r="AR34" s="66">
        <v>2091</v>
      </c>
      <c r="AS34" s="66"/>
      <c r="AT34" s="66" t="s">
        <v>2017</v>
      </c>
      <c r="AU34" s="66">
        <v>17</v>
      </c>
      <c r="AV34" s="66">
        <v>0</v>
      </c>
      <c r="AW34" s="66">
        <v>0</v>
      </c>
      <c r="AX34" s="66">
        <v>1</v>
      </c>
      <c r="AY34" s="66">
        <v>0</v>
      </c>
      <c r="AZ34" s="66">
        <v>18</v>
      </c>
      <c r="BB34" s="69" t="s">
        <v>430</v>
      </c>
      <c r="BC34" s="69" t="s">
        <v>2017</v>
      </c>
      <c r="BD34" s="69">
        <v>208</v>
      </c>
      <c r="BE34" s="69">
        <v>215</v>
      </c>
      <c r="BF34" s="69">
        <v>429</v>
      </c>
      <c r="BG34" s="69">
        <v>508</v>
      </c>
      <c r="BH34" s="69">
        <v>400</v>
      </c>
      <c r="BI34" s="69">
        <v>1760</v>
      </c>
      <c r="BJ34" s="69"/>
      <c r="BK34" s="69" t="s">
        <v>2017</v>
      </c>
      <c r="BL34" s="69">
        <v>25</v>
      </c>
      <c r="BM34" s="69">
        <v>0</v>
      </c>
      <c r="BN34" s="69">
        <v>0</v>
      </c>
      <c r="BO34" s="69">
        <v>0</v>
      </c>
      <c r="BP34" s="69">
        <v>0</v>
      </c>
      <c r="BQ34" s="69">
        <v>25</v>
      </c>
      <c r="BS34" s="70" t="s">
        <v>1423</v>
      </c>
      <c r="BT34" s="70" t="s">
        <v>2018</v>
      </c>
      <c r="BU34" s="70" t="s">
        <v>324</v>
      </c>
      <c r="BV34" s="70" t="s">
        <v>324</v>
      </c>
      <c r="BW34" s="70" t="s">
        <v>324</v>
      </c>
      <c r="BX34" s="70" t="s">
        <v>324</v>
      </c>
      <c r="BY34" s="70" t="s">
        <v>324</v>
      </c>
      <c r="BZ34" s="70" t="s">
        <v>324</v>
      </c>
      <c r="CA34" s="70"/>
      <c r="CB34" s="70" t="s">
        <v>2018</v>
      </c>
      <c r="CC34" s="70" t="s">
        <v>324</v>
      </c>
      <c r="CD34" s="70" t="s">
        <v>324</v>
      </c>
      <c r="CE34" s="70" t="s">
        <v>324</v>
      </c>
      <c r="CF34" s="70" t="s">
        <v>324</v>
      </c>
      <c r="CG34" s="70" t="s">
        <v>324</v>
      </c>
      <c r="CH34" s="70" t="s">
        <v>324</v>
      </c>
      <c r="CL34" s="57" t="s">
        <v>551</v>
      </c>
      <c r="CM34" s="57" t="s">
        <v>2017</v>
      </c>
      <c r="CN34" s="57">
        <v>175</v>
      </c>
      <c r="CO34" s="57">
        <v>61</v>
      </c>
      <c r="CP34" s="57">
        <v>112</v>
      </c>
      <c r="CQ34" s="57">
        <v>158</v>
      </c>
      <c r="CR34" s="57">
        <v>157</v>
      </c>
      <c r="CS34" s="57">
        <v>663</v>
      </c>
      <c r="CT34" s="57"/>
      <c r="CU34" s="57" t="s">
        <v>2017</v>
      </c>
      <c r="CV34" s="57">
        <v>56</v>
      </c>
      <c r="CW34" s="57">
        <v>0</v>
      </c>
      <c r="CX34" s="57">
        <v>0</v>
      </c>
      <c r="CY34" s="57">
        <v>0</v>
      </c>
      <c r="CZ34" s="57">
        <v>0</v>
      </c>
      <c r="DA34" s="57">
        <v>56</v>
      </c>
      <c r="DD34" s="77" t="s">
        <v>1979</v>
      </c>
      <c r="DE34" s="77" t="s">
        <v>2028</v>
      </c>
      <c r="DF34" s="77">
        <v>573</v>
      </c>
      <c r="DG34" s="77">
        <v>822</v>
      </c>
      <c r="DH34" s="77">
        <v>1039</v>
      </c>
      <c r="DI34" s="77">
        <v>1159</v>
      </c>
      <c r="DJ34" s="77">
        <v>1032</v>
      </c>
      <c r="DK34" s="77">
        <v>4625</v>
      </c>
      <c r="DL34" s="77"/>
      <c r="DM34" s="77" t="s">
        <v>2028</v>
      </c>
      <c r="DN34" s="77">
        <v>75</v>
      </c>
      <c r="DO34" s="77">
        <v>42</v>
      </c>
      <c r="DP34" s="77">
        <v>15</v>
      </c>
      <c r="DQ34" s="77">
        <v>0</v>
      </c>
      <c r="DR34" s="77">
        <v>0</v>
      </c>
      <c r="DS34" s="77">
        <v>132</v>
      </c>
      <c r="DU34" s="16" t="s">
        <v>1652</v>
      </c>
      <c r="DV34" s="79" t="s">
        <v>2670</v>
      </c>
      <c r="DW34" s="79" t="s">
        <v>2018</v>
      </c>
      <c r="DX34" s="79" t="s">
        <v>324</v>
      </c>
      <c r="DY34" s="79" t="s">
        <v>324</v>
      </c>
      <c r="DZ34" s="79" t="s">
        <v>324</v>
      </c>
      <c r="EA34" s="79" t="s">
        <v>324</v>
      </c>
      <c r="EB34" s="79" t="s">
        <v>324</v>
      </c>
      <c r="EC34" s="79" t="s">
        <v>324</v>
      </c>
      <c r="ED34" s="79"/>
      <c r="EE34" s="79" t="s">
        <v>2018</v>
      </c>
      <c r="EF34" s="79" t="s">
        <v>324</v>
      </c>
      <c r="EG34" s="79" t="s">
        <v>324</v>
      </c>
      <c r="EH34" s="79" t="s">
        <v>324</v>
      </c>
      <c r="EI34" s="79" t="s">
        <v>324</v>
      </c>
      <c r="EJ34" s="79" t="s">
        <v>324</v>
      </c>
      <c r="EK34" s="79" t="s">
        <v>324</v>
      </c>
      <c r="EN34" s="57" t="s">
        <v>2003</v>
      </c>
      <c r="EO34" s="57" t="s">
        <v>2017</v>
      </c>
      <c r="EP34" s="57" t="s">
        <v>324</v>
      </c>
      <c r="EQ34" s="57" t="s">
        <v>324</v>
      </c>
      <c r="ER34" s="57" t="s">
        <v>324</v>
      </c>
      <c r="ES34" s="57" t="s">
        <v>324</v>
      </c>
      <c r="ET34" s="57" t="s">
        <v>324</v>
      </c>
      <c r="EU34" s="57" t="s">
        <v>324</v>
      </c>
      <c r="EV34" s="57"/>
      <c r="EW34" s="57" t="s">
        <v>2017</v>
      </c>
      <c r="EX34" s="57" t="s">
        <v>324</v>
      </c>
      <c r="EY34" s="57" t="s">
        <v>324</v>
      </c>
      <c r="EZ34" s="57" t="s">
        <v>324</v>
      </c>
      <c r="FA34" s="57" t="s">
        <v>324</v>
      </c>
      <c r="FB34" s="57" t="s">
        <v>324</v>
      </c>
      <c r="FC34" s="57" t="s">
        <v>324</v>
      </c>
      <c r="FF34" s="70" t="s">
        <v>1853</v>
      </c>
      <c r="FG34" s="70" t="s">
        <v>2017</v>
      </c>
      <c r="FH34" s="70">
        <v>256</v>
      </c>
      <c r="FI34" s="70">
        <v>454</v>
      </c>
      <c r="FJ34" s="70">
        <v>529</v>
      </c>
      <c r="FK34" s="70">
        <v>607</v>
      </c>
      <c r="FL34" s="70">
        <v>799</v>
      </c>
      <c r="FM34" s="70">
        <v>2645</v>
      </c>
      <c r="FN34" s="70"/>
      <c r="FO34" s="70" t="s">
        <v>2017</v>
      </c>
      <c r="FP34" s="70">
        <v>62</v>
      </c>
      <c r="FQ34" s="70">
        <v>0</v>
      </c>
      <c r="FR34" s="70">
        <v>0</v>
      </c>
      <c r="FS34" s="70">
        <v>0</v>
      </c>
      <c r="FT34" s="70">
        <v>0</v>
      </c>
      <c r="FU34" s="70">
        <v>62</v>
      </c>
    </row>
    <row r="35" spans="2:177">
      <c r="B35" s="64" t="s">
        <v>852</v>
      </c>
      <c r="C35" s="64" t="s">
        <v>2017</v>
      </c>
      <c r="D35" s="64" t="s">
        <v>324</v>
      </c>
      <c r="E35" s="64" t="s">
        <v>324</v>
      </c>
      <c r="F35" s="64" t="s">
        <v>324</v>
      </c>
      <c r="G35" s="64" t="s">
        <v>324</v>
      </c>
      <c r="H35" s="64" t="s">
        <v>324</v>
      </c>
      <c r="I35" s="64" t="s">
        <v>324</v>
      </c>
      <c r="K35" s="64" t="s">
        <v>2017</v>
      </c>
      <c r="L35" s="64" t="s">
        <v>324</v>
      </c>
      <c r="M35" s="64" t="s">
        <v>324</v>
      </c>
      <c r="N35" s="64" t="s">
        <v>324</v>
      </c>
      <c r="O35" s="64" t="s">
        <v>324</v>
      </c>
      <c r="P35" s="64" t="s">
        <v>324</v>
      </c>
      <c r="Q35" s="64" t="s">
        <v>324</v>
      </c>
      <c r="T35" s="65" t="s">
        <v>1895</v>
      </c>
      <c r="U35" s="65" t="s">
        <v>2018</v>
      </c>
      <c r="V35" s="65" t="s">
        <v>324</v>
      </c>
      <c r="W35" s="65" t="s">
        <v>324</v>
      </c>
      <c r="X35" s="65" t="s">
        <v>324</v>
      </c>
      <c r="Y35" s="65" t="s">
        <v>324</v>
      </c>
      <c r="Z35" s="65" t="s">
        <v>324</v>
      </c>
      <c r="AA35" s="65" t="s">
        <v>324</v>
      </c>
      <c r="AB35" s="65"/>
      <c r="AC35" s="65" t="s">
        <v>2018</v>
      </c>
      <c r="AD35" s="65" t="s">
        <v>324</v>
      </c>
      <c r="AE35" s="65" t="s">
        <v>324</v>
      </c>
      <c r="AF35" s="65" t="s">
        <v>324</v>
      </c>
      <c r="AG35" s="65" t="s">
        <v>324</v>
      </c>
      <c r="AH35" s="65" t="s">
        <v>324</v>
      </c>
      <c r="AI35" s="65" t="s">
        <v>324</v>
      </c>
      <c r="AK35" s="66" t="s">
        <v>1939</v>
      </c>
      <c r="AL35" s="66" t="s">
        <v>2017</v>
      </c>
      <c r="AM35" s="66" t="s">
        <v>394</v>
      </c>
      <c r="AN35" s="66" t="s">
        <v>394</v>
      </c>
      <c r="AO35" s="66" t="s">
        <v>394</v>
      </c>
      <c r="AP35" s="66" t="s">
        <v>394</v>
      </c>
      <c r="AQ35" s="66" t="s">
        <v>394</v>
      </c>
      <c r="AR35" s="66" t="s">
        <v>394</v>
      </c>
      <c r="AS35" s="66"/>
      <c r="AT35" s="66" t="s">
        <v>2017</v>
      </c>
      <c r="AU35" s="66" t="s">
        <v>394</v>
      </c>
      <c r="AV35" s="66" t="s">
        <v>394</v>
      </c>
      <c r="AW35" s="66" t="s">
        <v>394</v>
      </c>
      <c r="AX35" s="66" t="s">
        <v>394</v>
      </c>
      <c r="AY35" s="66" t="s">
        <v>394</v>
      </c>
      <c r="AZ35" s="66" t="s">
        <v>394</v>
      </c>
      <c r="BB35" s="69" t="s">
        <v>1285</v>
      </c>
      <c r="BC35" s="69" t="s">
        <v>2017</v>
      </c>
      <c r="BD35" s="69">
        <v>158</v>
      </c>
      <c r="BE35" s="69">
        <v>188</v>
      </c>
      <c r="BF35" s="69">
        <v>331</v>
      </c>
      <c r="BG35" s="69">
        <v>421</v>
      </c>
      <c r="BH35" s="69">
        <v>314</v>
      </c>
      <c r="BI35" s="69">
        <v>1412</v>
      </c>
      <c r="BJ35" s="69"/>
      <c r="BK35" s="69" t="s">
        <v>2017</v>
      </c>
      <c r="BL35" s="69">
        <v>28</v>
      </c>
      <c r="BM35" s="69">
        <v>0</v>
      </c>
      <c r="BN35" s="69">
        <v>0</v>
      </c>
      <c r="BO35" s="69">
        <v>0</v>
      </c>
      <c r="BP35" s="69">
        <v>0</v>
      </c>
      <c r="BQ35" s="69">
        <v>28</v>
      </c>
      <c r="BS35" s="70" t="s">
        <v>1425</v>
      </c>
      <c r="BT35" s="70" t="s">
        <v>2018</v>
      </c>
      <c r="BU35" s="70">
        <v>1129</v>
      </c>
      <c r="BV35" s="70">
        <v>427</v>
      </c>
      <c r="BW35" s="70">
        <v>595</v>
      </c>
      <c r="BX35" s="70">
        <v>856</v>
      </c>
      <c r="BY35" s="70">
        <v>719</v>
      </c>
      <c r="BZ35" s="70">
        <v>3726</v>
      </c>
      <c r="CA35" s="70"/>
      <c r="CB35" s="70" t="s">
        <v>2018</v>
      </c>
      <c r="CC35" s="70">
        <v>301</v>
      </c>
      <c r="CD35" s="70">
        <v>0</v>
      </c>
      <c r="CE35" s="70">
        <v>0</v>
      </c>
      <c r="CF35" s="70">
        <v>0</v>
      </c>
      <c r="CG35" s="70">
        <v>0</v>
      </c>
      <c r="CH35" s="70">
        <v>301</v>
      </c>
      <c r="CL35" s="57" t="s">
        <v>553</v>
      </c>
      <c r="CM35" s="57" t="s">
        <v>2017</v>
      </c>
      <c r="CN35" s="57">
        <v>1153</v>
      </c>
      <c r="CO35" s="57">
        <v>1123</v>
      </c>
      <c r="CP35" s="57">
        <v>1279</v>
      </c>
      <c r="CQ35" s="57">
        <v>1326</v>
      </c>
      <c r="CR35" s="57">
        <v>962</v>
      </c>
      <c r="CS35" s="57">
        <v>5843</v>
      </c>
      <c r="CT35" s="57"/>
      <c r="CU35" s="57" t="s">
        <v>2017</v>
      </c>
      <c r="CV35" s="57">
        <v>301</v>
      </c>
      <c r="CW35" s="57">
        <v>1</v>
      </c>
      <c r="CX35" s="57">
        <v>0</v>
      </c>
      <c r="CY35" s="57">
        <v>0</v>
      </c>
      <c r="CZ35" s="57">
        <v>0</v>
      </c>
      <c r="DA35" s="57">
        <v>302</v>
      </c>
      <c r="DD35" s="77" t="s">
        <v>1609</v>
      </c>
      <c r="DE35" s="77" t="s">
        <v>2028</v>
      </c>
      <c r="DF35" s="77">
        <v>95</v>
      </c>
      <c r="DG35" s="77">
        <v>161</v>
      </c>
      <c r="DH35" s="77">
        <v>204</v>
      </c>
      <c r="DI35" s="77">
        <v>240</v>
      </c>
      <c r="DJ35" s="77">
        <v>213</v>
      </c>
      <c r="DK35" s="77">
        <v>913</v>
      </c>
      <c r="DL35" s="77"/>
      <c r="DM35" s="77" t="s">
        <v>2028</v>
      </c>
      <c r="DN35" s="77">
        <v>14</v>
      </c>
      <c r="DO35" s="77">
        <v>4</v>
      </c>
      <c r="DP35" s="77">
        <v>0</v>
      </c>
      <c r="DQ35" s="77">
        <v>2</v>
      </c>
      <c r="DR35" s="77">
        <v>2</v>
      </c>
      <c r="DS35" s="77">
        <v>22</v>
      </c>
      <c r="DV35" s="79" t="s">
        <v>1980</v>
      </c>
      <c r="DW35" s="79" t="s">
        <v>2018</v>
      </c>
      <c r="DX35" s="79">
        <v>366</v>
      </c>
      <c r="DY35" s="79">
        <v>329</v>
      </c>
      <c r="DZ35" s="79">
        <v>442</v>
      </c>
      <c r="EA35" s="79">
        <v>504</v>
      </c>
      <c r="EB35" s="79">
        <v>460</v>
      </c>
      <c r="EC35" s="79">
        <v>2101</v>
      </c>
      <c r="ED35" s="79"/>
      <c r="EE35" s="79" t="s">
        <v>2018</v>
      </c>
      <c r="EF35" s="79">
        <v>17</v>
      </c>
      <c r="EG35" s="79">
        <v>0</v>
      </c>
      <c r="EH35" s="79">
        <v>0</v>
      </c>
      <c r="EI35" s="79">
        <v>0</v>
      </c>
      <c r="EJ35" s="79">
        <v>0</v>
      </c>
      <c r="EK35" s="79">
        <v>17</v>
      </c>
      <c r="EN35" s="57" t="s">
        <v>1781</v>
      </c>
      <c r="EO35" s="57" t="s">
        <v>2017</v>
      </c>
      <c r="EP35" s="57" t="s">
        <v>324</v>
      </c>
      <c r="EQ35" s="57" t="s">
        <v>324</v>
      </c>
      <c r="ER35" s="57" t="s">
        <v>324</v>
      </c>
      <c r="ES35" s="57" t="s">
        <v>324</v>
      </c>
      <c r="ET35" s="57" t="s">
        <v>324</v>
      </c>
      <c r="EU35" s="57" t="s">
        <v>324</v>
      </c>
      <c r="EV35" s="57"/>
      <c r="EW35" s="57" t="s">
        <v>2017</v>
      </c>
      <c r="EX35" s="57" t="s">
        <v>324</v>
      </c>
      <c r="EY35" s="57" t="s">
        <v>324</v>
      </c>
      <c r="EZ35" s="57" t="s">
        <v>324</v>
      </c>
      <c r="FA35" s="57" t="s">
        <v>324</v>
      </c>
      <c r="FB35" s="57" t="s">
        <v>324</v>
      </c>
      <c r="FC35" s="57" t="s">
        <v>324</v>
      </c>
      <c r="FF35" s="70" t="s">
        <v>1854</v>
      </c>
      <c r="FG35" s="70" t="s">
        <v>2017</v>
      </c>
      <c r="FH35" s="70">
        <v>496</v>
      </c>
      <c r="FI35" s="70">
        <v>462</v>
      </c>
      <c r="FJ35" s="70">
        <v>534</v>
      </c>
      <c r="FK35" s="70">
        <v>542</v>
      </c>
      <c r="FL35" s="70">
        <v>554</v>
      </c>
      <c r="FM35" s="70">
        <v>2588</v>
      </c>
      <c r="FN35" s="70"/>
      <c r="FO35" s="70" t="s">
        <v>2017</v>
      </c>
      <c r="FP35" s="70">
        <v>82</v>
      </c>
      <c r="FQ35" s="70">
        <v>12</v>
      </c>
      <c r="FR35" s="70">
        <v>0</v>
      </c>
      <c r="FS35" s="70">
        <v>0</v>
      </c>
      <c r="FT35" s="70">
        <v>0</v>
      </c>
      <c r="FU35" s="70">
        <v>94</v>
      </c>
    </row>
    <row r="36" spans="2:177">
      <c r="B36" s="64" t="s">
        <v>864</v>
      </c>
      <c r="C36" s="64" t="s">
        <v>2017</v>
      </c>
      <c r="D36" s="64" t="s">
        <v>324</v>
      </c>
      <c r="E36" s="64" t="s">
        <v>324</v>
      </c>
      <c r="F36" s="64" t="s">
        <v>324</v>
      </c>
      <c r="G36" s="64" t="s">
        <v>324</v>
      </c>
      <c r="H36" s="64" t="s">
        <v>324</v>
      </c>
      <c r="I36" s="64" t="s">
        <v>324</v>
      </c>
      <c r="K36" s="64" t="s">
        <v>2017</v>
      </c>
      <c r="L36" s="64" t="s">
        <v>324</v>
      </c>
      <c r="M36" s="64" t="s">
        <v>324</v>
      </c>
      <c r="N36" s="64" t="s">
        <v>324</v>
      </c>
      <c r="O36" s="64" t="s">
        <v>324</v>
      </c>
      <c r="P36" s="64" t="s">
        <v>324</v>
      </c>
      <c r="Q36" s="64" t="s">
        <v>324</v>
      </c>
      <c r="T36" s="65" t="s">
        <v>1896</v>
      </c>
      <c r="U36" s="65" t="s">
        <v>2018</v>
      </c>
      <c r="V36" s="65" t="s">
        <v>324</v>
      </c>
      <c r="W36" s="65" t="s">
        <v>324</v>
      </c>
      <c r="X36" s="65" t="s">
        <v>324</v>
      </c>
      <c r="Y36" s="65" t="s">
        <v>324</v>
      </c>
      <c r="Z36" s="65" t="s">
        <v>324</v>
      </c>
      <c r="AA36" s="65" t="s">
        <v>324</v>
      </c>
      <c r="AB36" s="65"/>
      <c r="AC36" s="65" t="s">
        <v>2018</v>
      </c>
      <c r="AD36" s="65" t="s">
        <v>324</v>
      </c>
      <c r="AE36" s="65" t="s">
        <v>324</v>
      </c>
      <c r="AF36" s="65" t="s">
        <v>324</v>
      </c>
      <c r="AG36" s="65" t="s">
        <v>324</v>
      </c>
      <c r="AH36" s="65" t="s">
        <v>324</v>
      </c>
      <c r="AI36" s="65" t="s">
        <v>324</v>
      </c>
      <c r="AK36" s="66" t="s">
        <v>1949</v>
      </c>
      <c r="AL36" s="66" t="s">
        <v>2017</v>
      </c>
      <c r="AM36" s="66" t="s">
        <v>394</v>
      </c>
      <c r="AN36" s="66" t="s">
        <v>394</v>
      </c>
      <c r="AO36" s="66" t="s">
        <v>394</v>
      </c>
      <c r="AP36" s="66" t="s">
        <v>394</v>
      </c>
      <c r="AQ36" s="66" t="s">
        <v>394</v>
      </c>
      <c r="AR36" s="66" t="s">
        <v>394</v>
      </c>
      <c r="AS36" s="66"/>
      <c r="AT36" s="66" t="s">
        <v>2017</v>
      </c>
      <c r="AU36" s="66" t="s">
        <v>394</v>
      </c>
      <c r="AV36" s="66" t="s">
        <v>394</v>
      </c>
      <c r="AW36" s="66" t="s">
        <v>394</v>
      </c>
      <c r="AX36" s="66" t="s">
        <v>394</v>
      </c>
      <c r="AY36" s="66" t="s">
        <v>394</v>
      </c>
      <c r="AZ36" s="66" t="s">
        <v>394</v>
      </c>
      <c r="BB36" s="69" t="s">
        <v>1289</v>
      </c>
      <c r="BC36" s="69" t="s">
        <v>2017</v>
      </c>
      <c r="BD36" s="69" t="s">
        <v>324</v>
      </c>
      <c r="BE36" s="69" t="s">
        <v>324</v>
      </c>
      <c r="BF36" s="69" t="s">
        <v>324</v>
      </c>
      <c r="BG36" s="69" t="s">
        <v>324</v>
      </c>
      <c r="BH36" s="69" t="s">
        <v>324</v>
      </c>
      <c r="BI36" s="69" t="s">
        <v>324</v>
      </c>
      <c r="BJ36" s="69"/>
      <c r="BK36" s="69" t="s">
        <v>2017</v>
      </c>
      <c r="BL36" s="69" t="s">
        <v>324</v>
      </c>
      <c r="BM36" s="69" t="s">
        <v>324</v>
      </c>
      <c r="BN36" s="69" t="s">
        <v>324</v>
      </c>
      <c r="BO36" s="69" t="s">
        <v>324</v>
      </c>
      <c r="BP36" s="69" t="s">
        <v>324</v>
      </c>
      <c r="BQ36" s="69" t="s">
        <v>324</v>
      </c>
      <c r="BS36" s="70" t="s">
        <v>1428</v>
      </c>
      <c r="BT36" s="70" t="s">
        <v>2018</v>
      </c>
      <c r="BU36" s="70">
        <v>63</v>
      </c>
      <c r="BV36" s="70">
        <v>112</v>
      </c>
      <c r="BW36" s="70">
        <v>174</v>
      </c>
      <c r="BX36" s="70">
        <v>341</v>
      </c>
      <c r="BY36" s="70">
        <v>282</v>
      </c>
      <c r="BZ36" s="70">
        <v>972</v>
      </c>
      <c r="CA36" s="70"/>
      <c r="CB36" s="70" t="s">
        <v>2018</v>
      </c>
      <c r="CC36" s="70">
        <v>14</v>
      </c>
      <c r="CD36" s="70">
        <v>0</v>
      </c>
      <c r="CE36" s="70">
        <v>0</v>
      </c>
      <c r="CF36" s="70">
        <v>0</v>
      </c>
      <c r="CG36" s="70">
        <v>0</v>
      </c>
      <c r="CH36" s="70">
        <v>14</v>
      </c>
      <c r="CL36" s="57" t="s">
        <v>555</v>
      </c>
      <c r="CM36" s="57" t="s">
        <v>2017</v>
      </c>
      <c r="CN36" s="57">
        <v>591</v>
      </c>
      <c r="CO36" s="57">
        <v>505</v>
      </c>
      <c r="CP36" s="57">
        <v>982</v>
      </c>
      <c r="CQ36" s="57">
        <v>1470</v>
      </c>
      <c r="CR36" s="57">
        <v>1463</v>
      </c>
      <c r="CS36" s="57">
        <v>5011</v>
      </c>
      <c r="CT36" s="57"/>
      <c r="CU36" s="57" t="s">
        <v>2017</v>
      </c>
      <c r="CV36" s="57">
        <v>139</v>
      </c>
      <c r="CW36" s="57">
        <v>0</v>
      </c>
      <c r="CX36" s="57">
        <v>0</v>
      </c>
      <c r="CY36" s="57">
        <v>0</v>
      </c>
      <c r="CZ36" s="57">
        <v>0</v>
      </c>
      <c r="DA36" s="57">
        <v>139</v>
      </c>
      <c r="DD36" s="77" t="s">
        <v>1613</v>
      </c>
      <c r="DE36" s="77" t="s">
        <v>2028</v>
      </c>
      <c r="DF36" s="77">
        <v>303</v>
      </c>
      <c r="DG36" s="77">
        <v>432</v>
      </c>
      <c r="DH36" s="77">
        <v>599</v>
      </c>
      <c r="DI36" s="77">
        <v>770</v>
      </c>
      <c r="DJ36" s="77">
        <v>609</v>
      </c>
      <c r="DK36" s="77">
        <v>2713</v>
      </c>
      <c r="DL36" s="77"/>
      <c r="DM36" s="77" t="s">
        <v>2028</v>
      </c>
      <c r="DN36" s="77">
        <v>21</v>
      </c>
      <c r="DO36" s="77">
        <v>3</v>
      </c>
      <c r="DP36" s="77">
        <v>1</v>
      </c>
      <c r="DQ36" s="77">
        <v>0</v>
      </c>
      <c r="DR36" s="77">
        <v>1</v>
      </c>
      <c r="DS36" s="77">
        <v>26</v>
      </c>
      <c r="DU36" s="16" t="s">
        <v>1654</v>
      </c>
      <c r="DV36" s="79" t="s">
        <v>2673</v>
      </c>
      <c r="DW36" s="79" t="s">
        <v>2018</v>
      </c>
      <c r="DX36" s="79">
        <v>1503</v>
      </c>
      <c r="DY36" s="79">
        <v>1036</v>
      </c>
      <c r="DZ36" s="79">
        <v>1291</v>
      </c>
      <c r="EA36" s="79">
        <v>1419</v>
      </c>
      <c r="EB36" s="79">
        <v>1098</v>
      </c>
      <c r="EC36" s="79">
        <v>6347</v>
      </c>
      <c r="ED36" s="79"/>
      <c r="EE36" s="79" t="s">
        <v>2018</v>
      </c>
      <c r="EF36" s="79">
        <v>40</v>
      </c>
      <c r="EG36" s="79">
        <v>0</v>
      </c>
      <c r="EH36" s="79">
        <v>0</v>
      </c>
      <c r="EI36" s="79">
        <v>0</v>
      </c>
      <c r="EJ36" s="79">
        <v>0</v>
      </c>
      <c r="EK36" s="79">
        <v>40</v>
      </c>
      <c r="EN36" s="57" t="s">
        <v>1784</v>
      </c>
      <c r="EO36" s="57" t="s">
        <v>2017</v>
      </c>
      <c r="EP36" s="57" t="s">
        <v>324</v>
      </c>
      <c r="EQ36" s="57" t="s">
        <v>324</v>
      </c>
      <c r="ER36" s="57" t="s">
        <v>324</v>
      </c>
      <c r="ES36" s="57" t="s">
        <v>324</v>
      </c>
      <c r="ET36" s="57" t="s">
        <v>324</v>
      </c>
      <c r="EU36" s="57" t="s">
        <v>324</v>
      </c>
      <c r="EV36" s="57"/>
      <c r="EW36" s="57" t="s">
        <v>2017</v>
      </c>
      <c r="EX36" s="57" t="s">
        <v>324</v>
      </c>
      <c r="EY36" s="57" t="s">
        <v>324</v>
      </c>
      <c r="EZ36" s="57" t="s">
        <v>324</v>
      </c>
      <c r="FA36" s="57" t="s">
        <v>324</v>
      </c>
      <c r="FB36" s="57" t="s">
        <v>324</v>
      </c>
      <c r="FC36" s="57" t="s">
        <v>324</v>
      </c>
      <c r="FF36" s="70" t="s">
        <v>1857</v>
      </c>
      <c r="FG36" s="70" t="s">
        <v>2017</v>
      </c>
      <c r="FH36" s="70">
        <v>517</v>
      </c>
      <c r="FI36" s="70">
        <v>545</v>
      </c>
      <c r="FJ36" s="70">
        <v>646</v>
      </c>
      <c r="FK36" s="70">
        <v>734</v>
      </c>
      <c r="FL36" s="70">
        <v>773</v>
      </c>
      <c r="FM36" s="70">
        <v>3215</v>
      </c>
      <c r="FN36" s="70"/>
      <c r="FO36" s="70" t="s">
        <v>2017</v>
      </c>
      <c r="FP36" s="70">
        <v>66</v>
      </c>
      <c r="FQ36" s="70">
        <v>23</v>
      </c>
      <c r="FR36" s="70">
        <v>0</v>
      </c>
      <c r="FS36" s="70">
        <v>0</v>
      </c>
      <c r="FT36" s="70">
        <v>0</v>
      </c>
      <c r="FU36" s="70">
        <v>89</v>
      </c>
    </row>
    <row r="37" spans="2:177">
      <c r="B37" s="64" t="s">
        <v>869</v>
      </c>
      <c r="C37" s="64" t="s">
        <v>2017</v>
      </c>
      <c r="D37" s="64">
        <v>574</v>
      </c>
      <c r="E37" s="64">
        <v>650</v>
      </c>
      <c r="F37" s="64">
        <v>792</v>
      </c>
      <c r="G37" s="64">
        <v>910</v>
      </c>
      <c r="H37" s="64">
        <v>678</v>
      </c>
      <c r="I37" s="64">
        <v>3604</v>
      </c>
      <c r="K37" s="64" t="s">
        <v>2017</v>
      </c>
      <c r="L37" s="64">
        <v>103</v>
      </c>
      <c r="M37" s="64">
        <v>11</v>
      </c>
      <c r="N37" s="64">
        <v>1</v>
      </c>
      <c r="O37" s="64">
        <v>3</v>
      </c>
      <c r="P37" s="64">
        <v>0</v>
      </c>
      <c r="Q37" s="64">
        <v>118</v>
      </c>
      <c r="T37" s="65" t="s">
        <v>1897</v>
      </c>
      <c r="U37" s="65" t="s">
        <v>2018</v>
      </c>
      <c r="V37" s="65" t="s">
        <v>324</v>
      </c>
      <c r="W37" s="65" t="s">
        <v>324</v>
      </c>
      <c r="X37" s="65" t="s">
        <v>324</v>
      </c>
      <c r="Y37" s="65" t="s">
        <v>324</v>
      </c>
      <c r="Z37" s="65" t="s">
        <v>324</v>
      </c>
      <c r="AA37" s="65" t="s">
        <v>324</v>
      </c>
      <c r="AB37" s="65"/>
      <c r="AC37" s="65" t="s">
        <v>2018</v>
      </c>
      <c r="AD37" s="65" t="s">
        <v>324</v>
      </c>
      <c r="AE37" s="65" t="s">
        <v>324</v>
      </c>
      <c r="AF37" s="65" t="s">
        <v>324</v>
      </c>
      <c r="AG37" s="65" t="s">
        <v>324</v>
      </c>
      <c r="AH37" s="65" t="s">
        <v>324</v>
      </c>
      <c r="AI37" s="65" t="s">
        <v>324</v>
      </c>
      <c r="AK37" s="66" t="s">
        <v>1944</v>
      </c>
      <c r="AL37" s="66" t="s">
        <v>2017</v>
      </c>
      <c r="AM37" s="66" t="s">
        <v>394</v>
      </c>
      <c r="AN37" s="66" t="s">
        <v>394</v>
      </c>
      <c r="AO37" s="66" t="s">
        <v>394</v>
      </c>
      <c r="AP37" s="66" t="s">
        <v>394</v>
      </c>
      <c r="AQ37" s="66" t="s">
        <v>394</v>
      </c>
      <c r="AR37" s="66" t="s">
        <v>394</v>
      </c>
      <c r="AS37" s="66"/>
      <c r="AT37" s="66" t="s">
        <v>2017</v>
      </c>
      <c r="AU37" s="66" t="s">
        <v>394</v>
      </c>
      <c r="AV37" s="66" t="s">
        <v>394</v>
      </c>
      <c r="AW37" s="66" t="s">
        <v>394</v>
      </c>
      <c r="AX37" s="66" t="s">
        <v>394</v>
      </c>
      <c r="AY37" s="66" t="s">
        <v>394</v>
      </c>
      <c r="AZ37" s="66" t="s">
        <v>394</v>
      </c>
      <c r="BB37" s="69" t="s">
        <v>1292</v>
      </c>
      <c r="BC37" s="69" t="s">
        <v>2017</v>
      </c>
      <c r="BD37" s="69">
        <v>396</v>
      </c>
      <c r="BE37" s="69">
        <v>52</v>
      </c>
      <c r="BF37" s="69">
        <v>126</v>
      </c>
      <c r="BG37" s="69">
        <v>154</v>
      </c>
      <c r="BH37" s="69">
        <v>266</v>
      </c>
      <c r="BI37" s="69">
        <v>994</v>
      </c>
      <c r="BJ37" s="69"/>
      <c r="BK37" s="69" t="s">
        <v>2017</v>
      </c>
      <c r="BL37" s="69">
        <v>126</v>
      </c>
      <c r="BM37" s="69">
        <v>0</v>
      </c>
      <c r="BN37" s="69">
        <v>0</v>
      </c>
      <c r="BO37" s="69">
        <v>0</v>
      </c>
      <c r="BP37" s="69">
        <v>0</v>
      </c>
      <c r="BQ37" s="69">
        <v>126</v>
      </c>
      <c r="BS37" s="70" t="s">
        <v>1430</v>
      </c>
      <c r="BT37" s="70" t="s">
        <v>2018</v>
      </c>
      <c r="BU37" s="70">
        <v>139</v>
      </c>
      <c r="BV37" s="70">
        <v>103</v>
      </c>
      <c r="BW37" s="70">
        <v>179</v>
      </c>
      <c r="BX37" s="70">
        <v>294</v>
      </c>
      <c r="BY37" s="70">
        <v>266</v>
      </c>
      <c r="BZ37" s="70">
        <v>981</v>
      </c>
      <c r="CA37" s="70"/>
      <c r="CB37" s="70" t="s">
        <v>2018</v>
      </c>
      <c r="CC37" s="70">
        <v>45</v>
      </c>
      <c r="CD37" s="70">
        <v>0</v>
      </c>
      <c r="CE37" s="70">
        <v>0</v>
      </c>
      <c r="CF37" s="70">
        <v>0</v>
      </c>
      <c r="CG37" s="70">
        <v>0</v>
      </c>
      <c r="CH37" s="70">
        <v>45</v>
      </c>
      <c r="CL37" s="57" t="s">
        <v>557</v>
      </c>
      <c r="CM37" s="57" t="s">
        <v>2017</v>
      </c>
      <c r="CN37" s="57">
        <v>319</v>
      </c>
      <c r="CO37" s="57">
        <v>366</v>
      </c>
      <c r="CP37" s="57">
        <v>746</v>
      </c>
      <c r="CQ37" s="57">
        <v>1068</v>
      </c>
      <c r="CR37" s="57">
        <v>1065</v>
      </c>
      <c r="CS37" s="57">
        <v>3564</v>
      </c>
      <c r="CT37" s="57"/>
      <c r="CU37" s="57" t="s">
        <v>2017</v>
      </c>
      <c r="CV37" s="57">
        <v>33</v>
      </c>
      <c r="CW37" s="57">
        <v>0</v>
      </c>
      <c r="CX37" s="57">
        <v>0</v>
      </c>
      <c r="CY37" s="57">
        <v>0</v>
      </c>
      <c r="CZ37" s="57">
        <v>0</v>
      </c>
      <c r="DA37" s="57">
        <v>33</v>
      </c>
      <c r="DD37" s="77" t="s">
        <v>1616</v>
      </c>
      <c r="DE37" s="77" t="s">
        <v>2028</v>
      </c>
      <c r="DF37" s="77">
        <v>331</v>
      </c>
      <c r="DG37" s="77">
        <v>388</v>
      </c>
      <c r="DH37" s="77">
        <v>546</v>
      </c>
      <c r="DI37" s="77">
        <v>582</v>
      </c>
      <c r="DJ37" s="77">
        <v>443</v>
      </c>
      <c r="DK37" s="77">
        <v>2290</v>
      </c>
      <c r="DL37" s="77"/>
      <c r="DM37" s="77" t="s">
        <v>2028</v>
      </c>
      <c r="DN37" s="77">
        <v>28</v>
      </c>
      <c r="DO37" s="77">
        <v>4</v>
      </c>
      <c r="DP37" s="77">
        <v>2</v>
      </c>
      <c r="DQ37" s="77">
        <v>1</v>
      </c>
      <c r="DR37" s="77">
        <v>0</v>
      </c>
      <c r="DS37" s="77">
        <v>35</v>
      </c>
      <c r="DV37" s="79" t="s">
        <v>1982</v>
      </c>
      <c r="DW37" s="79" t="s">
        <v>2018</v>
      </c>
      <c r="DX37" s="79">
        <v>349</v>
      </c>
      <c r="DY37" s="79">
        <v>359</v>
      </c>
      <c r="DZ37" s="79">
        <v>526</v>
      </c>
      <c r="EA37" s="79">
        <v>503</v>
      </c>
      <c r="EB37" s="79">
        <v>354</v>
      </c>
      <c r="EC37" s="79">
        <v>2091</v>
      </c>
      <c r="ED37" s="79"/>
      <c r="EE37" s="79" t="s">
        <v>2018</v>
      </c>
      <c r="EF37" s="79">
        <v>9</v>
      </c>
      <c r="EG37" s="79">
        <v>1</v>
      </c>
      <c r="EH37" s="79">
        <v>0</v>
      </c>
      <c r="EI37" s="79">
        <v>0</v>
      </c>
      <c r="EJ37" s="79">
        <v>0</v>
      </c>
      <c r="EK37" s="79">
        <v>10</v>
      </c>
      <c r="FF37" s="70" t="s">
        <v>1859</v>
      </c>
      <c r="FG37" s="70" t="s">
        <v>2017</v>
      </c>
      <c r="FH37" s="70">
        <v>180</v>
      </c>
      <c r="FI37" s="70">
        <v>252</v>
      </c>
      <c r="FJ37" s="70">
        <v>314</v>
      </c>
      <c r="FK37" s="70">
        <v>404</v>
      </c>
      <c r="FL37" s="70">
        <v>501</v>
      </c>
      <c r="FM37" s="70">
        <v>1651</v>
      </c>
      <c r="FN37" s="70"/>
      <c r="FO37" s="70" t="s">
        <v>2017</v>
      </c>
      <c r="FP37" s="70">
        <v>39</v>
      </c>
      <c r="FQ37" s="70">
        <v>8</v>
      </c>
      <c r="FR37" s="70">
        <v>0</v>
      </c>
      <c r="FS37" s="70">
        <v>0</v>
      </c>
      <c r="FT37" s="70">
        <v>0</v>
      </c>
      <c r="FU37" s="70">
        <v>47</v>
      </c>
    </row>
    <row r="38" spans="2:177">
      <c r="B38" s="64" t="s">
        <v>874</v>
      </c>
      <c r="C38" s="64" t="s">
        <v>2017</v>
      </c>
      <c r="D38" s="64">
        <v>293</v>
      </c>
      <c r="E38" s="64">
        <v>492</v>
      </c>
      <c r="F38" s="64">
        <v>651</v>
      </c>
      <c r="G38" s="64">
        <v>665</v>
      </c>
      <c r="H38" s="64">
        <v>469</v>
      </c>
      <c r="I38" s="64">
        <v>2570</v>
      </c>
      <c r="K38" s="64" t="s">
        <v>2017</v>
      </c>
      <c r="L38" s="64">
        <v>36</v>
      </c>
      <c r="M38" s="64">
        <v>6</v>
      </c>
      <c r="N38" s="64">
        <v>2</v>
      </c>
      <c r="O38" s="64">
        <v>0</v>
      </c>
      <c r="P38" s="64">
        <v>0</v>
      </c>
      <c r="Q38" s="64">
        <v>44</v>
      </c>
      <c r="T38" s="65" t="s">
        <v>947</v>
      </c>
      <c r="U38" s="65" t="s">
        <v>2018</v>
      </c>
      <c r="V38" s="65" t="s">
        <v>324</v>
      </c>
      <c r="W38" s="65" t="s">
        <v>324</v>
      </c>
      <c r="X38" s="65" t="s">
        <v>324</v>
      </c>
      <c r="Y38" s="65" t="s">
        <v>324</v>
      </c>
      <c r="Z38" s="65" t="s">
        <v>324</v>
      </c>
      <c r="AA38" s="65" t="s">
        <v>324</v>
      </c>
      <c r="AB38" s="65"/>
      <c r="AC38" s="65" t="s">
        <v>2018</v>
      </c>
      <c r="AD38" s="65" t="s">
        <v>324</v>
      </c>
      <c r="AE38" s="65" t="s">
        <v>324</v>
      </c>
      <c r="AF38" s="65" t="s">
        <v>324</v>
      </c>
      <c r="AG38" s="65" t="s">
        <v>324</v>
      </c>
      <c r="AH38" s="65" t="s">
        <v>324</v>
      </c>
      <c r="AI38" s="65" t="s">
        <v>324</v>
      </c>
      <c r="AK38" s="66" t="s">
        <v>1942</v>
      </c>
      <c r="AL38" s="66" t="s">
        <v>2017</v>
      </c>
      <c r="AM38" s="66" t="s">
        <v>394</v>
      </c>
      <c r="AN38" s="66" t="s">
        <v>394</v>
      </c>
      <c r="AO38" s="66" t="s">
        <v>394</v>
      </c>
      <c r="AP38" s="66" t="s">
        <v>394</v>
      </c>
      <c r="AQ38" s="66" t="s">
        <v>394</v>
      </c>
      <c r="AR38" s="66" t="s">
        <v>394</v>
      </c>
      <c r="AS38" s="66"/>
      <c r="AT38" s="66" t="s">
        <v>2017</v>
      </c>
      <c r="AU38" s="66" t="s">
        <v>394</v>
      </c>
      <c r="AV38" s="66" t="s">
        <v>394</v>
      </c>
      <c r="AW38" s="66" t="s">
        <v>394</v>
      </c>
      <c r="AX38" s="66" t="s">
        <v>394</v>
      </c>
      <c r="AY38" s="66" t="s">
        <v>394</v>
      </c>
      <c r="AZ38" s="66" t="s">
        <v>394</v>
      </c>
      <c r="BB38" s="69" t="s">
        <v>439</v>
      </c>
      <c r="BC38" s="69" t="s">
        <v>2017</v>
      </c>
      <c r="BD38" s="69">
        <v>61</v>
      </c>
      <c r="BE38" s="69">
        <v>16</v>
      </c>
      <c r="BF38" s="69">
        <v>30</v>
      </c>
      <c r="BG38" s="69">
        <v>33</v>
      </c>
      <c r="BH38" s="69">
        <v>99</v>
      </c>
      <c r="BI38" s="69">
        <v>239</v>
      </c>
      <c r="BJ38" s="69"/>
      <c r="BK38" s="69" t="s">
        <v>2017</v>
      </c>
      <c r="BL38" s="69">
        <v>29</v>
      </c>
      <c r="BM38" s="69">
        <v>0</v>
      </c>
      <c r="BN38" s="69">
        <v>0</v>
      </c>
      <c r="BO38" s="69">
        <v>0</v>
      </c>
      <c r="BP38" s="69">
        <v>0</v>
      </c>
      <c r="BQ38" s="69">
        <v>29</v>
      </c>
      <c r="BS38" s="70" t="s">
        <v>1433</v>
      </c>
      <c r="BT38" s="70" t="s">
        <v>2018</v>
      </c>
      <c r="BU38" s="70">
        <v>104</v>
      </c>
      <c r="BV38" s="70">
        <v>57</v>
      </c>
      <c r="BW38" s="70">
        <v>98</v>
      </c>
      <c r="BX38" s="70">
        <v>136</v>
      </c>
      <c r="BY38" s="70">
        <v>214</v>
      </c>
      <c r="BZ38" s="70">
        <v>609</v>
      </c>
      <c r="CA38" s="70"/>
      <c r="CB38" s="70" t="s">
        <v>2018</v>
      </c>
      <c r="CC38" s="70">
        <v>20</v>
      </c>
      <c r="CD38" s="70">
        <v>0</v>
      </c>
      <c r="CE38" s="70">
        <v>0</v>
      </c>
      <c r="CF38" s="70">
        <v>0</v>
      </c>
      <c r="CG38" s="70">
        <v>0</v>
      </c>
      <c r="CH38" s="70">
        <v>20</v>
      </c>
      <c r="CL38" s="57" t="s">
        <v>559</v>
      </c>
      <c r="CM38" s="57" t="s">
        <v>2017</v>
      </c>
      <c r="CN38" s="57">
        <v>137</v>
      </c>
      <c r="CO38" s="57">
        <v>69</v>
      </c>
      <c r="CP38" s="57">
        <v>123</v>
      </c>
      <c r="CQ38" s="57">
        <v>158</v>
      </c>
      <c r="CR38" s="57">
        <v>187</v>
      </c>
      <c r="CS38" s="57">
        <v>674</v>
      </c>
      <c r="CT38" s="57"/>
      <c r="CU38" s="57" t="s">
        <v>2017</v>
      </c>
      <c r="CV38" s="57">
        <v>51</v>
      </c>
      <c r="CW38" s="57">
        <v>0</v>
      </c>
      <c r="CX38" s="57">
        <v>0</v>
      </c>
      <c r="CY38" s="57">
        <v>0</v>
      </c>
      <c r="CZ38" s="57">
        <v>0</v>
      </c>
      <c r="DA38" s="57">
        <v>51</v>
      </c>
      <c r="DD38" s="77" t="s">
        <v>1620</v>
      </c>
      <c r="DE38" s="77" t="s">
        <v>2028</v>
      </c>
      <c r="DF38" s="77">
        <v>506</v>
      </c>
      <c r="DG38" s="77">
        <v>485</v>
      </c>
      <c r="DH38" s="77">
        <v>449</v>
      </c>
      <c r="DI38" s="77">
        <v>582</v>
      </c>
      <c r="DJ38" s="77">
        <v>496</v>
      </c>
      <c r="DK38" s="77">
        <v>2518</v>
      </c>
      <c r="DL38" s="77"/>
      <c r="DM38" s="77" t="s">
        <v>2028</v>
      </c>
      <c r="DN38" s="77">
        <v>26</v>
      </c>
      <c r="DO38" s="77">
        <v>3</v>
      </c>
      <c r="DP38" s="77">
        <v>2</v>
      </c>
      <c r="DQ38" s="77">
        <v>1</v>
      </c>
      <c r="DR38" s="77">
        <v>1</v>
      </c>
      <c r="DS38" s="77">
        <v>33</v>
      </c>
      <c r="DU38" s="16" t="s">
        <v>1658</v>
      </c>
      <c r="DV38" s="79" t="s">
        <v>2691</v>
      </c>
      <c r="DW38" s="79" t="s">
        <v>2018</v>
      </c>
      <c r="DX38" s="79">
        <v>191</v>
      </c>
      <c r="DY38" s="79">
        <v>261</v>
      </c>
      <c r="DZ38" s="79">
        <v>376</v>
      </c>
      <c r="EA38" s="79">
        <v>460</v>
      </c>
      <c r="EB38" s="79">
        <v>352</v>
      </c>
      <c r="EC38" s="79">
        <v>1640</v>
      </c>
      <c r="ED38" s="79"/>
      <c r="EE38" s="79" t="s">
        <v>2018</v>
      </c>
      <c r="EF38" s="79">
        <v>9</v>
      </c>
      <c r="EG38" s="79">
        <v>0</v>
      </c>
      <c r="EH38" s="79">
        <v>0</v>
      </c>
      <c r="EI38" s="79">
        <v>0</v>
      </c>
      <c r="EJ38" s="79">
        <v>0</v>
      </c>
      <c r="EK38" s="79">
        <v>9</v>
      </c>
      <c r="EN38" s="57" t="s">
        <v>1987</v>
      </c>
      <c r="EO38" s="57" t="s">
        <v>2018</v>
      </c>
      <c r="EP38" s="57">
        <v>665</v>
      </c>
      <c r="EQ38" s="57">
        <v>1005</v>
      </c>
      <c r="ER38" s="57">
        <v>1233</v>
      </c>
      <c r="ES38" s="57">
        <v>1478</v>
      </c>
      <c r="ET38" s="57">
        <v>1547</v>
      </c>
      <c r="EU38" s="57">
        <v>5928</v>
      </c>
      <c r="EV38" s="57"/>
      <c r="EW38" s="57" t="s">
        <v>2018</v>
      </c>
      <c r="EX38" s="57">
        <v>173</v>
      </c>
      <c r="EY38" s="57">
        <v>93</v>
      </c>
      <c r="EZ38" s="57">
        <v>62</v>
      </c>
      <c r="FA38" s="57">
        <v>53</v>
      </c>
      <c r="FB38" s="57">
        <v>63</v>
      </c>
      <c r="FC38" s="57">
        <v>444</v>
      </c>
      <c r="FF38" s="70" t="s">
        <v>1861</v>
      </c>
      <c r="FG38" s="70" t="s">
        <v>2017</v>
      </c>
      <c r="FH38" s="70">
        <v>563</v>
      </c>
      <c r="FI38" s="70">
        <v>497</v>
      </c>
      <c r="FJ38" s="70">
        <v>556</v>
      </c>
      <c r="FK38" s="70">
        <v>735</v>
      </c>
      <c r="FL38" s="70">
        <v>851</v>
      </c>
      <c r="FM38" s="70">
        <v>3202</v>
      </c>
      <c r="FN38" s="70"/>
      <c r="FO38" s="70" t="s">
        <v>2017</v>
      </c>
      <c r="FP38" s="70">
        <v>63</v>
      </c>
      <c r="FQ38" s="70">
        <v>22</v>
      </c>
      <c r="FR38" s="70">
        <v>12</v>
      </c>
      <c r="FS38" s="70">
        <v>0</v>
      </c>
      <c r="FT38" s="70">
        <v>0</v>
      </c>
      <c r="FU38" s="70">
        <v>97</v>
      </c>
    </row>
    <row r="39" spans="2:177">
      <c r="B39" s="64" t="s">
        <v>878</v>
      </c>
      <c r="C39" s="64" t="s">
        <v>2017</v>
      </c>
      <c r="D39" s="64">
        <v>650</v>
      </c>
      <c r="E39" s="64">
        <v>646</v>
      </c>
      <c r="F39" s="64">
        <v>695</v>
      </c>
      <c r="G39" s="64">
        <v>673</v>
      </c>
      <c r="H39" s="64">
        <v>498</v>
      </c>
      <c r="I39" s="64">
        <v>3162</v>
      </c>
      <c r="K39" s="64" t="s">
        <v>2017</v>
      </c>
      <c r="L39" s="64">
        <v>78</v>
      </c>
      <c r="M39" s="64">
        <v>8</v>
      </c>
      <c r="N39" s="64">
        <v>1</v>
      </c>
      <c r="O39" s="64">
        <v>0</v>
      </c>
      <c r="P39" s="64">
        <v>0</v>
      </c>
      <c r="Q39" s="64">
        <v>87</v>
      </c>
      <c r="T39" s="65" t="s">
        <v>1898</v>
      </c>
      <c r="U39" s="65" t="s">
        <v>2018</v>
      </c>
      <c r="V39" s="65" t="s">
        <v>324</v>
      </c>
      <c r="W39" s="65" t="s">
        <v>324</v>
      </c>
      <c r="X39" s="65" t="s">
        <v>324</v>
      </c>
      <c r="Y39" s="65" t="s">
        <v>324</v>
      </c>
      <c r="Z39" s="65" t="s">
        <v>324</v>
      </c>
      <c r="AA39" s="65" t="s">
        <v>324</v>
      </c>
      <c r="AB39" s="65"/>
      <c r="AC39" s="65" t="s">
        <v>2018</v>
      </c>
      <c r="AD39" s="65" t="s">
        <v>324</v>
      </c>
      <c r="AE39" s="65" t="s">
        <v>324</v>
      </c>
      <c r="AF39" s="65" t="s">
        <v>324</v>
      </c>
      <c r="AG39" s="65" t="s">
        <v>324</v>
      </c>
      <c r="AH39" s="65" t="s">
        <v>324</v>
      </c>
      <c r="AI39" s="65" t="s">
        <v>324</v>
      </c>
      <c r="AK39" s="66" t="s">
        <v>1925</v>
      </c>
      <c r="AL39" s="66" t="s">
        <v>2017</v>
      </c>
      <c r="AM39" s="66" t="s">
        <v>394</v>
      </c>
      <c r="AN39" s="66" t="s">
        <v>394</v>
      </c>
      <c r="AO39" s="66" t="s">
        <v>394</v>
      </c>
      <c r="AP39" s="66" t="s">
        <v>394</v>
      </c>
      <c r="AQ39" s="66" t="s">
        <v>394</v>
      </c>
      <c r="AR39" s="66" t="s">
        <v>394</v>
      </c>
      <c r="AS39" s="66"/>
      <c r="AT39" s="66" t="s">
        <v>2017</v>
      </c>
      <c r="AU39" s="66" t="s">
        <v>394</v>
      </c>
      <c r="AV39" s="66" t="s">
        <v>394</v>
      </c>
      <c r="AW39" s="66" t="s">
        <v>394</v>
      </c>
      <c r="AX39" s="66" t="s">
        <v>394</v>
      </c>
      <c r="AY39" s="66" t="s">
        <v>394</v>
      </c>
      <c r="AZ39" s="66" t="s">
        <v>394</v>
      </c>
      <c r="BB39" s="69" t="s">
        <v>1300</v>
      </c>
      <c r="BC39" s="69" t="s">
        <v>2017</v>
      </c>
      <c r="BD39" s="69">
        <v>732</v>
      </c>
      <c r="BE39" s="69">
        <v>646</v>
      </c>
      <c r="BF39" s="69">
        <v>954</v>
      </c>
      <c r="BG39" s="69">
        <v>948</v>
      </c>
      <c r="BH39" s="69">
        <v>785</v>
      </c>
      <c r="BI39" s="69">
        <v>4065</v>
      </c>
      <c r="BJ39" s="69"/>
      <c r="BK39" s="69" t="s">
        <v>2017</v>
      </c>
      <c r="BL39" s="69">
        <v>166</v>
      </c>
      <c r="BM39" s="69">
        <v>0</v>
      </c>
      <c r="BN39" s="69">
        <v>0</v>
      </c>
      <c r="BO39" s="69">
        <v>0</v>
      </c>
      <c r="BP39" s="69">
        <v>0</v>
      </c>
      <c r="BQ39" s="69">
        <v>166</v>
      </c>
      <c r="BS39" s="70" t="s">
        <v>1436</v>
      </c>
      <c r="BT39" s="70" t="s">
        <v>2018</v>
      </c>
      <c r="BU39" s="70">
        <v>96</v>
      </c>
      <c r="BV39" s="70">
        <v>77</v>
      </c>
      <c r="BW39" s="70">
        <v>162</v>
      </c>
      <c r="BX39" s="70">
        <v>215</v>
      </c>
      <c r="BY39" s="70">
        <v>202</v>
      </c>
      <c r="BZ39" s="70">
        <v>752</v>
      </c>
      <c r="CA39" s="70"/>
      <c r="CB39" s="70" t="s">
        <v>2018</v>
      </c>
      <c r="CC39" s="70">
        <v>40</v>
      </c>
      <c r="CD39" s="70">
        <v>0</v>
      </c>
      <c r="CE39" s="70">
        <v>0</v>
      </c>
      <c r="CF39" s="70">
        <v>0</v>
      </c>
      <c r="CG39" s="70">
        <v>0</v>
      </c>
      <c r="CH39" s="70">
        <v>40</v>
      </c>
      <c r="CL39" s="57" t="s">
        <v>561</v>
      </c>
      <c r="CM39" s="57" t="s">
        <v>2017</v>
      </c>
      <c r="CN39" s="57">
        <v>83</v>
      </c>
      <c r="CO39" s="57">
        <v>133</v>
      </c>
      <c r="CP39" s="57">
        <v>283</v>
      </c>
      <c r="CQ39" s="57">
        <v>434</v>
      </c>
      <c r="CR39" s="57">
        <v>455</v>
      </c>
      <c r="CS39" s="57">
        <v>1388</v>
      </c>
      <c r="CT39" s="57"/>
      <c r="CU39" s="57" t="s">
        <v>2017</v>
      </c>
      <c r="CV39" s="57">
        <v>11</v>
      </c>
      <c r="CW39" s="57">
        <v>0</v>
      </c>
      <c r="CX39" s="57">
        <v>0</v>
      </c>
      <c r="CY39" s="57">
        <v>0</v>
      </c>
      <c r="CZ39" s="57">
        <v>0</v>
      </c>
      <c r="DA39" s="57">
        <v>11</v>
      </c>
      <c r="DD39" s="77" t="s">
        <v>1623</v>
      </c>
      <c r="DE39" s="77" t="s">
        <v>2028</v>
      </c>
      <c r="DF39" s="77">
        <v>270</v>
      </c>
      <c r="DG39" s="77">
        <v>371</v>
      </c>
      <c r="DH39" s="77">
        <v>432</v>
      </c>
      <c r="DI39" s="77">
        <v>421</v>
      </c>
      <c r="DJ39" s="77">
        <v>328</v>
      </c>
      <c r="DK39" s="77">
        <v>1822</v>
      </c>
      <c r="DL39" s="77"/>
      <c r="DM39" s="77" t="s">
        <v>2028</v>
      </c>
      <c r="DN39" s="77">
        <v>26</v>
      </c>
      <c r="DO39" s="77">
        <v>0</v>
      </c>
      <c r="DP39" s="77">
        <v>2</v>
      </c>
      <c r="DQ39" s="77">
        <v>0</v>
      </c>
      <c r="DR39" s="77">
        <v>0</v>
      </c>
      <c r="DS39" s="77">
        <v>28</v>
      </c>
      <c r="DU39" s="16" t="s">
        <v>1661</v>
      </c>
      <c r="DV39" s="79" t="s">
        <v>2688</v>
      </c>
      <c r="DW39" s="79" t="s">
        <v>2018</v>
      </c>
      <c r="DX39" s="79">
        <v>181</v>
      </c>
      <c r="DY39" s="79">
        <v>309</v>
      </c>
      <c r="DZ39" s="79">
        <v>423</v>
      </c>
      <c r="EA39" s="79">
        <v>514</v>
      </c>
      <c r="EB39" s="79">
        <v>489</v>
      </c>
      <c r="EC39" s="79">
        <v>1916</v>
      </c>
      <c r="ED39" s="79"/>
      <c r="EE39" s="79" t="s">
        <v>2018</v>
      </c>
      <c r="EF39" s="79">
        <v>17</v>
      </c>
      <c r="EG39" s="79">
        <v>1</v>
      </c>
      <c r="EH39" s="79">
        <v>0</v>
      </c>
      <c r="EI39" s="79">
        <v>0</v>
      </c>
      <c r="EJ39" s="79">
        <v>0</v>
      </c>
      <c r="EK39" s="79">
        <v>18</v>
      </c>
      <c r="EN39" s="57" t="s">
        <v>1988</v>
      </c>
      <c r="EO39" s="57" t="s">
        <v>2018</v>
      </c>
      <c r="EP39" s="57">
        <v>196</v>
      </c>
      <c r="EQ39" s="57">
        <v>289</v>
      </c>
      <c r="ER39" s="57">
        <v>359</v>
      </c>
      <c r="ES39" s="57">
        <v>463</v>
      </c>
      <c r="ET39" s="57">
        <v>562</v>
      </c>
      <c r="EU39" s="57">
        <v>1869</v>
      </c>
      <c r="EV39" s="57"/>
      <c r="EW39" s="57" t="s">
        <v>2018</v>
      </c>
      <c r="EX39" s="57">
        <v>49</v>
      </c>
      <c r="EY39" s="57">
        <v>25</v>
      </c>
      <c r="EZ39" s="57">
        <v>12</v>
      </c>
      <c r="FA39" s="57">
        <v>9</v>
      </c>
      <c r="FB39" s="57">
        <v>18</v>
      </c>
      <c r="FC39" s="57">
        <v>113</v>
      </c>
      <c r="FF39" s="70" t="s">
        <v>1863</v>
      </c>
      <c r="FG39" s="70" t="s">
        <v>2017</v>
      </c>
      <c r="FH39" s="70">
        <v>275</v>
      </c>
      <c r="FI39" s="70">
        <v>376</v>
      </c>
      <c r="FJ39" s="70">
        <v>482</v>
      </c>
      <c r="FK39" s="70">
        <v>537</v>
      </c>
      <c r="FL39" s="70">
        <v>749</v>
      </c>
      <c r="FM39" s="70">
        <v>2419</v>
      </c>
      <c r="FN39" s="70"/>
      <c r="FO39" s="70" t="s">
        <v>2017</v>
      </c>
      <c r="FP39" s="70">
        <v>54</v>
      </c>
      <c r="FQ39" s="70">
        <v>23</v>
      </c>
      <c r="FR39" s="70">
        <v>7</v>
      </c>
      <c r="FS39" s="70">
        <v>4</v>
      </c>
      <c r="FT39" s="70">
        <v>10</v>
      </c>
      <c r="FU39" s="70">
        <v>98</v>
      </c>
    </row>
    <row r="40" spans="2:177">
      <c r="B40" s="64" t="s">
        <v>882</v>
      </c>
      <c r="C40" s="64" t="s">
        <v>2017</v>
      </c>
      <c r="D40" s="64">
        <v>854</v>
      </c>
      <c r="E40" s="64">
        <v>771</v>
      </c>
      <c r="F40" s="64">
        <v>830</v>
      </c>
      <c r="G40" s="64">
        <v>882</v>
      </c>
      <c r="H40" s="64">
        <v>531</v>
      </c>
      <c r="I40" s="64">
        <v>3868</v>
      </c>
      <c r="K40" s="64" t="s">
        <v>2017</v>
      </c>
      <c r="L40" s="64">
        <v>149</v>
      </c>
      <c r="M40" s="64">
        <v>13</v>
      </c>
      <c r="N40" s="64">
        <v>4</v>
      </c>
      <c r="O40" s="64">
        <v>1</v>
      </c>
      <c r="P40" s="64">
        <v>0</v>
      </c>
      <c r="Q40" s="64">
        <v>167</v>
      </c>
      <c r="T40" s="65" t="s">
        <v>1899</v>
      </c>
      <c r="U40" s="65" t="s">
        <v>2018</v>
      </c>
      <c r="V40" s="65">
        <v>281</v>
      </c>
      <c r="W40" s="65">
        <v>118</v>
      </c>
      <c r="X40" s="65">
        <v>212</v>
      </c>
      <c r="Y40" s="65">
        <v>231</v>
      </c>
      <c r="Z40" s="65">
        <v>241</v>
      </c>
      <c r="AA40" s="65">
        <v>1083</v>
      </c>
      <c r="AB40" s="65"/>
      <c r="AC40" s="65" t="s">
        <v>2018</v>
      </c>
      <c r="AD40" s="65">
        <v>14</v>
      </c>
      <c r="AE40" s="65">
        <v>0</v>
      </c>
      <c r="AF40" s="65">
        <v>0</v>
      </c>
      <c r="AG40" s="65">
        <v>0</v>
      </c>
      <c r="AH40" s="65">
        <v>0</v>
      </c>
      <c r="AI40" s="65">
        <v>14</v>
      </c>
      <c r="AK40" s="66" t="s">
        <v>1149</v>
      </c>
      <c r="AL40" s="66" t="s">
        <v>2017</v>
      </c>
      <c r="AM40" s="66">
        <v>723</v>
      </c>
      <c r="AN40" s="66">
        <v>497</v>
      </c>
      <c r="AO40" s="66">
        <v>550</v>
      </c>
      <c r="AP40" s="66">
        <v>539</v>
      </c>
      <c r="AQ40" s="66">
        <v>333</v>
      </c>
      <c r="AR40" s="66">
        <v>2642</v>
      </c>
      <c r="AS40" s="66"/>
      <c r="AT40" s="66" t="s">
        <v>2017</v>
      </c>
      <c r="AU40" s="66">
        <v>66</v>
      </c>
      <c r="AV40" s="66">
        <v>3</v>
      </c>
      <c r="AW40" s="66">
        <v>1</v>
      </c>
      <c r="AX40" s="66">
        <v>0</v>
      </c>
      <c r="AY40" s="66">
        <v>0</v>
      </c>
      <c r="AZ40" s="66">
        <v>70</v>
      </c>
      <c r="BB40" s="69" t="s">
        <v>1303</v>
      </c>
      <c r="BC40" s="69" t="s">
        <v>2017</v>
      </c>
      <c r="BD40" s="69">
        <v>91</v>
      </c>
      <c r="BE40" s="69">
        <v>89</v>
      </c>
      <c r="BF40" s="69">
        <v>185</v>
      </c>
      <c r="BG40" s="69">
        <v>293</v>
      </c>
      <c r="BH40" s="69">
        <v>310</v>
      </c>
      <c r="BI40" s="69">
        <v>968</v>
      </c>
      <c r="BJ40" s="69"/>
      <c r="BK40" s="69" t="s">
        <v>2017</v>
      </c>
      <c r="BL40" s="69">
        <v>29</v>
      </c>
      <c r="BM40" s="69">
        <v>0</v>
      </c>
      <c r="BN40" s="69">
        <v>0</v>
      </c>
      <c r="BO40" s="69">
        <v>0</v>
      </c>
      <c r="BP40" s="69">
        <v>0</v>
      </c>
      <c r="BQ40" s="69">
        <v>29</v>
      </c>
      <c r="BS40" s="70" t="s">
        <v>1438</v>
      </c>
      <c r="BT40" s="70" t="s">
        <v>2018</v>
      </c>
      <c r="BU40" s="70">
        <v>90</v>
      </c>
      <c r="BV40" s="70">
        <v>165</v>
      </c>
      <c r="BW40" s="70">
        <v>374</v>
      </c>
      <c r="BX40" s="70">
        <v>537</v>
      </c>
      <c r="BY40" s="70">
        <v>515</v>
      </c>
      <c r="BZ40" s="70">
        <v>1681</v>
      </c>
      <c r="CA40" s="70"/>
      <c r="CB40" s="70" t="s">
        <v>2018</v>
      </c>
      <c r="CC40" s="70">
        <v>16</v>
      </c>
      <c r="CD40" s="70">
        <v>0</v>
      </c>
      <c r="CE40" s="70">
        <v>0</v>
      </c>
      <c r="CF40" s="70">
        <v>0</v>
      </c>
      <c r="CG40" s="70">
        <v>0</v>
      </c>
      <c r="CH40" s="70">
        <v>16</v>
      </c>
      <c r="CL40" s="57" t="s">
        <v>563</v>
      </c>
      <c r="CM40" s="57" t="s">
        <v>2017</v>
      </c>
      <c r="CN40" s="57" t="s">
        <v>324</v>
      </c>
      <c r="CO40" s="57" t="s">
        <v>324</v>
      </c>
      <c r="CP40" s="57" t="s">
        <v>324</v>
      </c>
      <c r="CQ40" s="57" t="s">
        <v>324</v>
      </c>
      <c r="CR40" s="57" t="s">
        <v>324</v>
      </c>
      <c r="CS40" s="57" t="s">
        <v>324</v>
      </c>
      <c r="CT40" s="57"/>
      <c r="CU40" s="57" t="s">
        <v>2017</v>
      </c>
      <c r="CV40" s="57" t="s">
        <v>324</v>
      </c>
      <c r="CW40" s="57" t="s">
        <v>324</v>
      </c>
      <c r="CX40" s="57" t="s">
        <v>324</v>
      </c>
      <c r="CY40" s="57" t="s">
        <v>324</v>
      </c>
      <c r="CZ40" s="57" t="s">
        <v>324</v>
      </c>
      <c r="DA40" s="57" t="s">
        <v>324</v>
      </c>
      <c r="DU40" s="16" t="s">
        <v>1667</v>
      </c>
      <c r="DV40" s="79" t="s">
        <v>2697</v>
      </c>
      <c r="DW40" s="79" t="s">
        <v>2018</v>
      </c>
      <c r="DX40" s="79">
        <v>169</v>
      </c>
      <c r="DY40" s="79">
        <v>286</v>
      </c>
      <c r="DZ40" s="79">
        <v>387</v>
      </c>
      <c r="EA40" s="79">
        <v>495</v>
      </c>
      <c r="EB40" s="79">
        <v>342</v>
      </c>
      <c r="EC40" s="79">
        <v>1679</v>
      </c>
      <c r="ED40" s="79"/>
      <c r="EE40" s="79" t="s">
        <v>2018</v>
      </c>
      <c r="EF40" s="79">
        <v>10</v>
      </c>
      <c r="EG40" s="79">
        <v>6</v>
      </c>
      <c r="EH40" s="79">
        <v>0</v>
      </c>
      <c r="EI40" s="79">
        <v>0</v>
      </c>
      <c r="EJ40" s="79">
        <v>0</v>
      </c>
      <c r="EK40" s="79">
        <v>16</v>
      </c>
      <c r="EN40" s="57" t="s">
        <v>1989</v>
      </c>
      <c r="EO40" s="57" t="s">
        <v>2018</v>
      </c>
      <c r="EP40" s="57">
        <v>275</v>
      </c>
      <c r="EQ40" s="57">
        <v>419</v>
      </c>
      <c r="ER40" s="57">
        <v>578</v>
      </c>
      <c r="ES40" s="57">
        <v>715</v>
      </c>
      <c r="ET40" s="57">
        <v>813</v>
      </c>
      <c r="EU40" s="57">
        <v>2800</v>
      </c>
      <c r="EV40" s="57"/>
      <c r="EW40" s="57" t="s">
        <v>2018</v>
      </c>
      <c r="EX40" s="57">
        <v>65</v>
      </c>
      <c r="EY40" s="57">
        <v>32</v>
      </c>
      <c r="EZ40" s="57">
        <v>18</v>
      </c>
      <c r="FA40" s="57">
        <v>18</v>
      </c>
      <c r="FB40" s="57">
        <v>19</v>
      </c>
      <c r="FC40" s="57">
        <v>152</v>
      </c>
      <c r="FF40" s="70" t="s">
        <v>1865</v>
      </c>
      <c r="FG40" s="70" t="s">
        <v>2017</v>
      </c>
      <c r="FH40" s="70">
        <v>241</v>
      </c>
      <c r="FI40" s="70">
        <v>279</v>
      </c>
      <c r="FJ40" s="70">
        <v>381</v>
      </c>
      <c r="FK40" s="70">
        <v>439</v>
      </c>
      <c r="FL40" s="70">
        <v>572</v>
      </c>
      <c r="FM40" s="70">
        <v>1912</v>
      </c>
      <c r="FN40" s="70"/>
      <c r="FO40" s="70" t="s">
        <v>2017</v>
      </c>
      <c r="FP40" s="70">
        <v>34</v>
      </c>
      <c r="FQ40" s="70">
        <v>17</v>
      </c>
      <c r="FR40" s="70">
        <v>23</v>
      </c>
      <c r="FS40" s="70">
        <v>8</v>
      </c>
      <c r="FT40" s="70">
        <v>0</v>
      </c>
      <c r="FU40" s="70">
        <v>82</v>
      </c>
    </row>
    <row r="41" spans="2:177">
      <c r="B41" s="64" t="s">
        <v>889</v>
      </c>
      <c r="C41" s="64" t="s">
        <v>2017</v>
      </c>
      <c r="D41" s="64">
        <v>214</v>
      </c>
      <c r="E41" s="64">
        <v>316</v>
      </c>
      <c r="F41" s="64">
        <v>434</v>
      </c>
      <c r="G41" s="64">
        <v>490</v>
      </c>
      <c r="H41" s="64">
        <v>379</v>
      </c>
      <c r="I41" s="64">
        <v>1833</v>
      </c>
      <c r="K41" s="64" t="s">
        <v>2017</v>
      </c>
      <c r="L41" s="64">
        <v>25</v>
      </c>
      <c r="M41" s="64">
        <v>6</v>
      </c>
      <c r="N41" s="64">
        <v>2</v>
      </c>
      <c r="O41" s="64">
        <v>1</v>
      </c>
      <c r="P41" s="64">
        <v>1</v>
      </c>
      <c r="Q41" s="64">
        <v>35</v>
      </c>
      <c r="T41" s="65" t="s">
        <v>1900</v>
      </c>
      <c r="U41" s="65" t="s">
        <v>2018</v>
      </c>
      <c r="V41" s="65">
        <v>415</v>
      </c>
      <c r="W41" s="65">
        <v>372</v>
      </c>
      <c r="X41" s="65">
        <v>396</v>
      </c>
      <c r="Y41" s="65">
        <v>468</v>
      </c>
      <c r="Z41" s="65">
        <v>324</v>
      </c>
      <c r="AA41" s="65">
        <v>1975</v>
      </c>
      <c r="AB41" s="65"/>
      <c r="AC41" s="65" t="s">
        <v>2018</v>
      </c>
      <c r="AD41" s="65">
        <v>33</v>
      </c>
      <c r="AE41" s="65">
        <v>4</v>
      </c>
      <c r="AF41" s="65">
        <v>0</v>
      </c>
      <c r="AG41" s="65">
        <v>0</v>
      </c>
      <c r="AH41" s="65">
        <v>0</v>
      </c>
      <c r="AI41" s="65">
        <v>37</v>
      </c>
      <c r="AK41" s="66" t="s">
        <v>1945</v>
      </c>
      <c r="AL41" s="66" t="s">
        <v>2017</v>
      </c>
      <c r="AM41" s="66" t="s">
        <v>394</v>
      </c>
      <c r="AN41" s="66" t="s">
        <v>394</v>
      </c>
      <c r="AO41" s="66" t="s">
        <v>394</v>
      </c>
      <c r="AP41" s="66" t="s">
        <v>394</v>
      </c>
      <c r="AQ41" s="66" t="s">
        <v>394</v>
      </c>
      <c r="AR41" s="66" t="s">
        <v>394</v>
      </c>
      <c r="AS41" s="66"/>
      <c r="AT41" s="66" t="s">
        <v>2017</v>
      </c>
      <c r="AU41" s="66" t="s">
        <v>394</v>
      </c>
      <c r="AV41" s="66" t="s">
        <v>394</v>
      </c>
      <c r="AW41" s="66" t="s">
        <v>394</v>
      </c>
      <c r="AX41" s="66" t="s">
        <v>394</v>
      </c>
      <c r="AY41" s="66" t="s">
        <v>394</v>
      </c>
      <c r="AZ41" s="66" t="s">
        <v>394</v>
      </c>
      <c r="BB41" s="69" t="s">
        <v>1306</v>
      </c>
      <c r="BC41" s="69" t="s">
        <v>2017</v>
      </c>
      <c r="BD41" s="69">
        <v>77</v>
      </c>
      <c r="BE41" s="69">
        <v>127</v>
      </c>
      <c r="BF41" s="69">
        <v>274</v>
      </c>
      <c r="BG41" s="69">
        <v>439</v>
      </c>
      <c r="BH41" s="69">
        <v>412</v>
      </c>
      <c r="BI41" s="69">
        <v>1329</v>
      </c>
      <c r="BJ41" s="69"/>
      <c r="BK41" s="69" t="s">
        <v>2017</v>
      </c>
      <c r="BL41" s="69">
        <v>19</v>
      </c>
      <c r="BM41" s="69">
        <v>5</v>
      </c>
      <c r="BN41" s="69">
        <v>0</v>
      </c>
      <c r="BO41" s="69">
        <v>0</v>
      </c>
      <c r="BP41" s="69">
        <v>0</v>
      </c>
      <c r="BQ41" s="69">
        <v>24</v>
      </c>
      <c r="BS41" s="70" t="s">
        <v>1440</v>
      </c>
      <c r="BT41" s="70" t="s">
        <v>2018</v>
      </c>
      <c r="BU41" s="70">
        <v>121</v>
      </c>
      <c r="BV41" s="70">
        <v>179</v>
      </c>
      <c r="BW41" s="70">
        <v>376</v>
      </c>
      <c r="BX41" s="70">
        <v>587</v>
      </c>
      <c r="BY41" s="70">
        <v>570</v>
      </c>
      <c r="BZ41" s="70">
        <v>1833</v>
      </c>
      <c r="CA41" s="70"/>
      <c r="CB41" s="70" t="s">
        <v>2018</v>
      </c>
      <c r="CC41" s="70">
        <v>30</v>
      </c>
      <c r="CD41" s="70">
        <v>0</v>
      </c>
      <c r="CE41" s="70">
        <v>0</v>
      </c>
      <c r="CF41" s="70">
        <v>0</v>
      </c>
      <c r="CG41" s="70">
        <v>0</v>
      </c>
      <c r="CH41" s="70">
        <v>30</v>
      </c>
      <c r="CL41" s="57" t="s">
        <v>565</v>
      </c>
      <c r="CM41" s="57" t="s">
        <v>2017</v>
      </c>
      <c r="CN41" s="57" t="s">
        <v>324</v>
      </c>
      <c r="CO41" s="57" t="s">
        <v>324</v>
      </c>
      <c r="CP41" s="57" t="s">
        <v>324</v>
      </c>
      <c r="CQ41" s="57" t="s">
        <v>324</v>
      </c>
      <c r="CR41" s="57" t="s">
        <v>324</v>
      </c>
      <c r="CS41" s="57" t="s">
        <v>324</v>
      </c>
      <c r="CT41" s="57"/>
      <c r="CU41" s="57" t="s">
        <v>2017</v>
      </c>
      <c r="CV41" s="57" t="s">
        <v>324</v>
      </c>
      <c r="CW41" s="57" t="s">
        <v>324</v>
      </c>
      <c r="CX41" s="57" t="s">
        <v>324</v>
      </c>
      <c r="CY41" s="57" t="s">
        <v>324</v>
      </c>
      <c r="CZ41" s="57" t="s">
        <v>324</v>
      </c>
      <c r="DA41" s="57" t="s">
        <v>324</v>
      </c>
      <c r="DD41" s="77" t="s">
        <v>371</v>
      </c>
      <c r="DE41" s="77" t="s">
        <v>2032</v>
      </c>
      <c r="DF41" s="77">
        <v>381</v>
      </c>
      <c r="DG41" s="77">
        <v>400</v>
      </c>
      <c r="DH41" s="77">
        <v>478</v>
      </c>
      <c r="DI41" s="77">
        <v>455</v>
      </c>
      <c r="DJ41" s="77">
        <v>360</v>
      </c>
      <c r="DK41" s="77">
        <v>2074</v>
      </c>
      <c r="DL41" s="77"/>
      <c r="DM41" s="77" t="s">
        <v>2032</v>
      </c>
      <c r="DN41" s="77">
        <v>56</v>
      </c>
      <c r="DO41" s="77">
        <v>2</v>
      </c>
      <c r="DP41" s="77">
        <v>0</v>
      </c>
      <c r="DQ41" s="77">
        <v>0</v>
      </c>
      <c r="DR41" s="77">
        <v>0</v>
      </c>
      <c r="DS41" s="77">
        <v>58</v>
      </c>
      <c r="DU41" s="21"/>
      <c r="DV41" s="79" t="s">
        <v>1670</v>
      </c>
      <c r="DW41" s="79" t="s">
        <v>2018</v>
      </c>
      <c r="DX41" s="79">
        <v>140</v>
      </c>
      <c r="DY41" s="79">
        <v>209</v>
      </c>
      <c r="DZ41" s="79">
        <v>260</v>
      </c>
      <c r="EA41" s="79">
        <v>357</v>
      </c>
      <c r="EB41" s="79">
        <v>255</v>
      </c>
      <c r="EC41" s="79">
        <v>1221</v>
      </c>
      <c r="ED41" s="79"/>
      <c r="EE41" s="79" t="s">
        <v>2018</v>
      </c>
      <c r="EF41" s="79">
        <v>10</v>
      </c>
      <c r="EG41" s="79">
        <v>5</v>
      </c>
      <c r="EH41" s="79">
        <v>0</v>
      </c>
      <c r="EI41" s="79">
        <v>0</v>
      </c>
      <c r="EJ41" s="79">
        <v>0</v>
      </c>
      <c r="EK41" s="79">
        <v>15</v>
      </c>
      <c r="EN41" s="57" t="s">
        <v>1990</v>
      </c>
      <c r="EO41" s="57" t="s">
        <v>2018</v>
      </c>
      <c r="EP41" s="57">
        <v>74</v>
      </c>
      <c r="EQ41" s="57">
        <v>118</v>
      </c>
      <c r="ER41" s="57">
        <v>175</v>
      </c>
      <c r="ES41" s="57">
        <v>256</v>
      </c>
      <c r="ET41" s="57">
        <v>316</v>
      </c>
      <c r="EU41" s="57">
        <v>939</v>
      </c>
      <c r="EV41" s="57"/>
      <c r="EW41" s="57" t="s">
        <v>2018</v>
      </c>
      <c r="EX41" s="57">
        <v>18</v>
      </c>
      <c r="EY41" s="57">
        <v>8</v>
      </c>
      <c r="EZ41" s="57">
        <v>6</v>
      </c>
      <c r="FA41" s="57">
        <v>7</v>
      </c>
      <c r="FB41" s="57">
        <v>3</v>
      </c>
      <c r="FC41" s="57">
        <v>42</v>
      </c>
      <c r="FF41" s="70" t="s">
        <v>1867</v>
      </c>
      <c r="FG41" s="70" t="s">
        <v>2017</v>
      </c>
      <c r="FH41" s="70">
        <v>162</v>
      </c>
      <c r="FI41" s="70">
        <v>227</v>
      </c>
      <c r="FJ41" s="70">
        <v>292</v>
      </c>
      <c r="FK41" s="70">
        <v>333</v>
      </c>
      <c r="FL41" s="70">
        <v>452</v>
      </c>
      <c r="FM41" s="70">
        <v>1466</v>
      </c>
      <c r="FN41" s="70"/>
      <c r="FO41" s="70" t="s">
        <v>2017</v>
      </c>
      <c r="FP41" s="70">
        <v>43</v>
      </c>
      <c r="FQ41" s="70">
        <v>9</v>
      </c>
      <c r="FR41" s="70">
        <v>4</v>
      </c>
      <c r="FS41" s="70">
        <v>4</v>
      </c>
      <c r="FT41" s="70">
        <v>7</v>
      </c>
      <c r="FU41" s="70">
        <v>67</v>
      </c>
    </row>
    <row r="42" spans="2:177">
      <c r="B42" s="64" t="s">
        <v>893</v>
      </c>
      <c r="C42" s="64" t="s">
        <v>2017</v>
      </c>
      <c r="D42" s="64">
        <v>451</v>
      </c>
      <c r="E42" s="64">
        <v>525</v>
      </c>
      <c r="F42" s="64">
        <v>718</v>
      </c>
      <c r="G42" s="64">
        <v>843</v>
      </c>
      <c r="H42" s="64">
        <v>611</v>
      </c>
      <c r="I42" s="64">
        <v>3148</v>
      </c>
      <c r="K42" s="64" t="s">
        <v>2017</v>
      </c>
      <c r="L42" s="64">
        <v>99</v>
      </c>
      <c r="M42" s="64">
        <v>16</v>
      </c>
      <c r="N42" s="64">
        <v>3</v>
      </c>
      <c r="O42" s="64">
        <v>3</v>
      </c>
      <c r="P42" s="64">
        <v>1</v>
      </c>
      <c r="Q42" s="64">
        <v>122</v>
      </c>
      <c r="T42" s="65" t="s">
        <v>1901</v>
      </c>
      <c r="U42" s="65" t="s">
        <v>2018</v>
      </c>
      <c r="V42" s="65">
        <v>203</v>
      </c>
      <c r="W42" s="65">
        <v>140</v>
      </c>
      <c r="X42" s="65">
        <v>185</v>
      </c>
      <c r="Y42" s="65">
        <v>186</v>
      </c>
      <c r="Z42" s="65">
        <v>194</v>
      </c>
      <c r="AA42" s="65">
        <v>908</v>
      </c>
      <c r="AB42" s="65"/>
      <c r="AC42" s="65" t="s">
        <v>2018</v>
      </c>
      <c r="AD42" s="65">
        <v>7</v>
      </c>
      <c r="AE42" s="65">
        <v>0</v>
      </c>
      <c r="AF42" s="65">
        <v>0</v>
      </c>
      <c r="AG42" s="65">
        <v>0</v>
      </c>
      <c r="AH42" s="65">
        <v>0</v>
      </c>
      <c r="AI42" s="65">
        <v>7</v>
      </c>
      <c r="AK42" s="66" t="s">
        <v>1951</v>
      </c>
      <c r="AL42" s="66" t="s">
        <v>2017</v>
      </c>
      <c r="AM42" s="66">
        <v>823</v>
      </c>
      <c r="AN42" s="66">
        <v>1079</v>
      </c>
      <c r="AO42" s="66">
        <v>1656</v>
      </c>
      <c r="AP42" s="66">
        <v>1892</v>
      </c>
      <c r="AQ42" s="66">
        <v>1175</v>
      </c>
      <c r="AR42" s="66">
        <v>6625</v>
      </c>
      <c r="AS42" s="66"/>
      <c r="AT42" s="66" t="s">
        <v>2017</v>
      </c>
      <c r="AU42" s="66">
        <v>36</v>
      </c>
      <c r="AV42" s="66">
        <v>3</v>
      </c>
      <c r="AW42" s="66">
        <v>0</v>
      </c>
      <c r="AX42" s="66">
        <v>0</v>
      </c>
      <c r="AY42" s="66">
        <v>0</v>
      </c>
      <c r="AZ42" s="66">
        <v>39</v>
      </c>
      <c r="BB42" s="69" t="s">
        <v>1309</v>
      </c>
      <c r="BC42" s="69" t="s">
        <v>2017</v>
      </c>
      <c r="BD42" s="69">
        <v>166</v>
      </c>
      <c r="BE42" s="69">
        <v>142</v>
      </c>
      <c r="BF42" s="69">
        <v>280</v>
      </c>
      <c r="BG42" s="69">
        <v>389</v>
      </c>
      <c r="BH42" s="69">
        <v>378</v>
      </c>
      <c r="BI42" s="69">
        <v>1355</v>
      </c>
      <c r="BJ42" s="69"/>
      <c r="BK42" s="69" t="s">
        <v>2017</v>
      </c>
      <c r="BL42" s="69">
        <v>22</v>
      </c>
      <c r="BM42" s="69">
        <v>0</v>
      </c>
      <c r="BN42" s="69">
        <v>0</v>
      </c>
      <c r="BO42" s="69">
        <v>0</v>
      </c>
      <c r="BP42" s="69">
        <v>0</v>
      </c>
      <c r="BQ42" s="69">
        <v>22</v>
      </c>
      <c r="BS42" s="70" t="s">
        <v>1442</v>
      </c>
      <c r="BT42" s="70" t="s">
        <v>2018</v>
      </c>
      <c r="BU42" s="70">
        <v>31</v>
      </c>
      <c r="BV42" s="70">
        <v>52</v>
      </c>
      <c r="BW42" s="70">
        <v>113</v>
      </c>
      <c r="BX42" s="70">
        <v>220</v>
      </c>
      <c r="BY42" s="70">
        <v>209</v>
      </c>
      <c r="BZ42" s="70">
        <v>625</v>
      </c>
      <c r="CA42" s="70"/>
      <c r="CB42" s="70" t="s">
        <v>2018</v>
      </c>
      <c r="CC42" s="70">
        <v>7</v>
      </c>
      <c r="CD42" s="70">
        <v>0</v>
      </c>
      <c r="CE42" s="70">
        <v>0</v>
      </c>
      <c r="CF42" s="70">
        <v>0</v>
      </c>
      <c r="CG42" s="70">
        <v>0</v>
      </c>
      <c r="CH42" s="70">
        <v>7</v>
      </c>
      <c r="CL42" s="57" t="s">
        <v>569</v>
      </c>
      <c r="CM42" s="57" t="s">
        <v>2017</v>
      </c>
      <c r="CN42" s="57" t="s">
        <v>324</v>
      </c>
      <c r="CO42" s="57" t="s">
        <v>324</v>
      </c>
      <c r="CP42" s="57" t="s">
        <v>324</v>
      </c>
      <c r="CQ42" s="57" t="s">
        <v>324</v>
      </c>
      <c r="CR42" s="57" t="s">
        <v>324</v>
      </c>
      <c r="CS42" s="57" t="s">
        <v>324</v>
      </c>
      <c r="CT42" s="57"/>
      <c r="CU42" s="57" t="s">
        <v>2017</v>
      </c>
      <c r="CV42" s="57" t="s">
        <v>324</v>
      </c>
      <c r="CW42" s="57" t="s">
        <v>324</v>
      </c>
      <c r="CX42" s="57" t="s">
        <v>324</v>
      </c>
      <c r="CY42" s="57" t="s">
        <v>324</v>
      </c>
      <c r="CZ42" s="57" t="s">
        <v>324</v>
      </c>
      <c r="DA42" s="57" t="s">
        <v>324</v>
      </c>
      <c r="DD42" s="77" t="s">
        <v>1569</v>
      </c>
      <c r="DE42" s="77" t="s">
        <v>2032</v>
      </c>
      <c r="DF42" s="77">
        <v>107</v>
      </c>
      <c r="DG42" s="77">
        <v>139</v>
      </c>
      <c r="DH42" s="77">
        <v>181</v>
      </c>
      <c r="DI42" s="77">
        <v>231</v>
      </c>
      <c r="DJ42" s="77">
        <v>199</v>
      </c>
      <c r="DK42" s="77">
        <v>857</v>
      </c>
      <c r="DL42" s="77"/>
      <c r="DM42" s="77" t="s">
        <v>2032</v>
      </c>
      <c r="DN42" s="77">
        <v>10</v>
      </c>
      <c r="DO42" s="77">
        <v>2</v>
      </c>
      <c r="DP42" s="77">
        <v>0</v>
      </c>
      <c r="DQ42" s="77">
        <v>0</v>
      </c>
      <c r="DR42" s="77">
        <v>0</v>
      </c>
      <c r="DS42" s="77">
        <v>12</v>
      </c>
      <c r="DU42" s="21"/>
      <c r="DV42" s="79" t="s">
        <v>1985</v>
      </c>
      <c r="DW42" s="79" t="s">
        <v>2018</v>
      </c>
      <c r="DX42" s="79">
        <v>308</v>
      </c>
      <c r="DY42" s="79">
        <v>331</v>
      </c>
      <c r="DZ42" s="79">
        <v>427</v>
      </c>
      <c r="EA42" s="79">
        <v>561</v>
      </c>
      <c r="EB42" s="79">
        <v>457</v>
      </c>
      <c r="EC42" s="79">
        <v>2084</v>
      </c>
      <c r="ED42" s="79"/>
      <c r="EE42" s="79" t="s">
        <v>2018</v>
      </c>
      <c r="EF42" s="79">
        <v>21</v>
      </c>
      <c r="EG42" s="79">
        <v>0</v>
      </c>
      <c r="EH42" s="79">
        <v>0</v>
      </c>
      <c r="EI42" s="79">
        <v>0</v>
      </c>
      <c r="EJ42" s="79">
        <v>0</v>
      </c>
      <c r="EK42" s="79">
        <v>21</v>
      </c>
      <c r="EN42" s="57" t="s">
        <v>1991</v>
      </c>
      <c r="EO42" s="57" t="s">
        <v>2018</v>
      </c>
      <c r="EP42" s="57">
        <v>70</v>
      </c>
      <c r="EQ42" s="57">
        <v>128</v>
      </c>
      <c r="ER42" s="57">
        <v>215</v>
      </c>
      <c r="ES42" s="57">
        <v>270</v>
      </c>
      <c r="ET42" s="57">
        <v>349</v>
      </c>
      <c r="EU42" s="57">
        <v>1032</v>
      </c>
      <c r="EV42" s="57"/>
      <c r="EW42" s="57" t="s">
        <v>2018</v>
      </c>
      <c r="EX42" s="57">
        <v>9</v>
      </c>
      <c r="EY42" s="57">
        <v>6</v>
      </c>
      <c r="EZ42" s="57">
        <v>3</v>
      </c>
      <c r="FA42" s="57">
        <v>2</v>
      </c>
      <c r="FB42" s="57">
        <v>0</v>
      </c>
      <c r="FC42" s="57">
        <v>20</v>
      </c>
      <c r="FF42" s="70" t="s">
        <v>1869</v>
      </c>
      <c r="FG42" s="70" t="s">
        <v>2017</v>
      </c>
      <c r="FH42" s="70">
        <v>563</v>
      </c>
      <c r="FI42" s="70">
        <v>498</v>
      </c>
      <c r="FJ42" s="70">
        <v>446</v>
      </c>
      <c r="FK42" s="70">
        <v>467</v>
      </c>
      <c r="FL42" s="70">
        <v>574</v>
      </c>
      <c r="FM42" s="70">
        <v>2548</v>
      </c>
      <c r="FN42" s="70"/>
      <c r="FO42" s="70" t="s">
        <v>2017</v>
      </c>
      <c r="FP42" s="70">
        <v>49</v>
      </c>
      <c r="FQ42" s="70">
        <v>0</v>
      </c>
      <c r="FR42" s="70">
        <v>0</v>
      </c>
      <c r="FS42" s="70">
        <v>0</v>
      </c>
      <c r="FT42" s="70">
        <v>0</v>
      </c>
      <c r="FU42" s="70">
        <v>49</v>
      </c>
    </row>
    <row r="43" spans="2:177">
      <c r="B43" s="64" t="s">
        <v>897</v>
      </c>
      <c r="C43" s="64" t="s">
        <v>2017</v>
      </c>
      <c r="D43" s="64">
        <v>156</v>
      </c>
      <c r="E43" s="64">
        <v>300</v>
      </c>
      <c r="F43" s="64">
        <v>405</v>
      </c>
      <c r="G43" s="64">
        <v>539</v>
      </c>
      <c r="H43" s="64">
        <v>408</v>
      </c>
      <c r="I43" s="64">
        <v>1808</v>
      </c>
      <c r="K43" s="64" t="s">
        <v>2017</v>
      </c>
      <c r="L43" s="64">
        <v>23</v>
      </c>
      <c r="M43" s="64">
        <v>8</v>
      </c>
      <c r="N43" s="64">
        <v>2</v>
      </c>
      <c r="O43" s="64">
        <v>0</v>
      </c>
      <c r="P43" s="64">
        <v>0</v>
      </c>
      <c r="Q43" s="64">
        <v>33</v>
      </c>
      <c r="T43" s="65" t="s">
        <v>958</v>
      </c>
      <c r="U43" s="65" t="s">
        <v>2018</v>
      </c>
      <c r="V43" s="65">
        <v>718</v>
      </c>
      <c r="W43" s="65">
        <v>626</v>
      </c>
      <c r="X43" s="65">
        <v>713</v>
      </c>
      <c r="Y43" s="65">
        <v>855</v>
      </c>
      <c r="Z43" s="65">
        <v>571</v>
      </c>
      <c r="AA43" s="65">
        <v>3483</v>
      </c>
      <c r="AB43" s="65"/>
      <c r="AC43" s="65" t="s">
        <v>2018</v>
      </c>
      <c r="AD43" s="65">
        <v>28</v>
      </c>
      <c r="AE43" s="65">
        <v>3</v>
      </c>
      <c r="AF43" s="65">
        <v>0</v>
      </c>
      <c r="AG43" s="65">
        <v>0</v>
      </c>
      <c r="AH43" s="65">
        <v>0</v>
      </c>
      <c r="AI43" s="65">
        <v>31</v>
      </c>
      <c r="AK43" s="66" t="s">
        <v>1915</v>
      </c>
      <c r="AL43" s="66" t="s">
        <v>2017</v>
      </c>
      <c r="AM43" s="66">
        <v>559</v>
      </c>
      <c r="AN43" s="66">
        <v>623</v>
      </c>
      <c r="AO43" s="66">
        <v>754</v>
      </c>
      <c r="AP43" s="66">
        <v>963</v>
      </c>
      <c r="AQ43" s="66">
        <v>672</v>
      </c>
      <c r="AR43" s="66">
        <v>3571</v>
      </c>
      <c r="AS43" s="66"/>
      <c r="AT43" s="66" t="s">
        <v>2017</v>
      </c>
      <c r="AU43" s="66">
        <v>76</v>
      </c>
      <c r="AV43" s="66">
        <v>1</v>
      </c>
      <c r="AW43" s="66">
        <v>0</v>
      </c>
      <c r="AX43" s="66">
        <v>2</v>
      </c>
      <c r="AY43" s="66">
        <v>0</v>
      </c>
      <c r="AZ43" s="66">
        <v>79</v>
      </c>
      <c r="BB43" s="69" t="s">
        <v>1312</v>
      </c>
      <c r="BC43" s="69" t="s">
        <v>2017</v>
      </c>
      <c r="BD43" s="69">
        <v>136</v>
      </c>
      <c r="BE43" s="69">
        <v>182</v>
      </c>
      <c r="BF43" s="69">
        <v>387</v>
      </c>
      <c r="BG43" s="69">
        <v>540</v>
      </c>
      <c r="BH43" s="69">
        <v>432</v>
      </c>
      <c r="BI43" s="69">
        <v>1677</v>
      </c>
      <c r="BJ43" s="69"/>
      <c r="BK43" s="69" t="s">
        <v>2017</v>
      </c>
      <c r="BL43" s="69">
        <v>21</v>
      </c>
      <c r="BM43" s="69">
        <v>0</v>
      </c>
      <c r="BN43" s="69">
        <v>0</v>
      </c>
      <c r="BO43" s="69">
        <v>0</v>
      </c>
      <c r="BP43" s="69">
        <v>0</v>
      </c>
      <c r="BQ43" s="69">
        <v>21</v>
      </c>
      <c r="BS43" s="70" t="s">
        <v>1444</v>
      </c>
      <c r="BT43" s="70" t="s">
        <v>2018</v>
      </c>
      <c r="BU43" s="70">
        <v>207</v>
      </c>
      <c r="BV43" s="70">
        <v>179</v>
      </c>
      <c r="BW43" s="70">
        <v>263</v>
      </c>
      <c r="BX43" s="70">
        <v>350</v>
      </c>
      <c r="BY43" s="70">
        <v>311</v>
      </c>
      <c r="BZ43" s="70">
        <v>1310</v>
      </c>
      <c r="CA43" s="70"/>
      <c r="CB43" s="70" t="s">
        <v>2018</v>
      </c>
      <c r="CC43" s="70">
        <v>80</v>
      </c>
      <c r="CD43" s="70">
        <v>0</v>
      </c>
      <c r="CE43" s="70">
        <v>0</v>
      </c>
      <c r="CF43" s="70">
        <v>0</v>
      </c>
      <c r="CG43" s="70">
        <v>0</v>
      </c>
      <c r="CH43" s="70">
        <v>80</v>
      </c>
      <c r="CL43" s="57" t="s">
        <v>571</v>
      </c>
      <c r="CM43" s="57" t="s">
        <v>2017</v>
      </c>
      <c r="CN43" s="57" t="s">
        <v>324</v>
      </c>
      <c r="CO43" s="57" t="s">
        <v>324</v>
      </c>
      <c r="CP43" s="57" t="s">
        <v>324</v>
      </c>
      <c r="CQ43" s="57" t="s">
        <v>324</v>
      </c>
      <c r="CR43" s="57" t="s">
        <v>324</v>
      </c>
      <c r="CS43" s="57" t="s">
        <v>324</v>
      </c>
      <c r="CT43" s="57"/>
      <c r="CU43" s="57" t="s">
        <v>2017</v>
      </c>
      <c r="CV43" s="57" t="s">
        <v>324</v>
      </c>
      <c r="CW43" s="57" t="s">
        <v>324</v>
      </c>
      <c r="CX43" s="57" t="s">
        <v>324</v>
      </c>
      <c r="CY43" s="57" t="s">
        <v>324</v>
      </c>
      <c r="CZ43" s="57" t="s">
        <v>324</v>
      </c>
      <c r="DA43" s="57" t="s">
        <v>324</v>
      </c>
      <c r="DD43" s="77" t="s">
        <v>1573</v>
      </c>
      <c r="DE43" s="77" t="s">
        <v>2032</v>
      </c>
      <c r="DF43" s="77" t="s">
        <v>324</v>
      </c>
      <c r="DG43" s="77" t="s">
        <v>324</v>
      </c>
      <c r="DH43" s="77" t="s">
        <v>324</v>
      </c>
      <c r="DI43" s="77" t="s">
        <v>324</v>
      </c>
      <c r="DJ43" s="77" t="s">
        <v>324</v>
      </c>
      <c r="DK43" s="77" t="s">
        <v>324</v>
      </c>
      <c r="DL43" s="77"/>
      <c r="DM43" s="77" t="s">
        <v>2032</v>
      </c>
      <c r="DN43" s="77" t="s">
        <v>324</v>
      </c>
      <c r="DO43" s="77" t="s">
        <v>324</v>
      </c>
      <c r="DP43" s="77" t="s">
        <v>324</v>
      </c>
      <c r="DQ43" s="77" t="s">
        <v>324</v>
      </c>
      <c r="DR43" s="77" t="s">
        <v>324</v>
      </c>
      <c r="DS43" s="77" t="s">
        <v>324</v>
      </c>
      <c r="DU43" s="16" t="s">
        <v>1673</v>
      </c>
      <c r="DV43" s="79" t="s">
        <v>2700</v>
      </c>
      <c r="DW43" s="79" t="s">
        <v>2018</v>
      </c>
      <c r="DX43" s="79">
        <v>138</v>
      </c>
      <c r="DY43" s="79">
        <v>144</v>
      </c>
      <c r="DZ43" s="79">
        <v>146</v>
      </c>
      <c r="EA43" s="79">
        <v>165</v>
      </c>
      <c r="EB43" s="79">
        <v>161</v>
      </c>
      <c r="EC43" s="79">
        <v>754</v>
      </c>
      <c r="ED43" s="79"/>
      <c r="EE43" s="79" t="s">
        <v>2018</v>
      </c>
      <c r="EF43" s="79">
        <v>12</v>
      </c>
      <c r="EG43" s="79">
        <v>1</v>
      </c>
      <c r="EH43" s="79">
        <v>0</v>
      </c>
      <c r="EI43" s="79">
        <v>0</v>
      </c>
      <c r="EJ43" s="79">
        <v>0</v>
      </c>
      <c r="EK43" s="79">
        <v>13</v>
      </c>
      <c r="EN43" s="57" t="s">
        <v>1992</v>
      </c>
      <c r="EO43" s="57" t="s">
        <v>2018</v>
      </c>
      <c r="EP43" s="57" t="s">
        <v>324</v>
      </c>
      <c r="EQ43" s="57" t="s">
        <v>324</v>
      </c>
      <c r="ER43" s="57" t="s">
        <v>324</v>
      </c>
      <c r="ES43" s="57" t="s">
        <v>324</v>
      </c>
      <c r="ET43" s="57" t="s">
        <v>324</v>
      </c>
      <c r="EU43" s="57" t="s">
        <v>324</v>
      </c>
      <c r="EV43" s="57"/>
      <c r="EW43" s="57" t="s">
        <v>2018</v>
      </c>
      <c r="EX43" s="57" t="s">
        <v>324</v>
      </c>
      <c r="EY43" s="57" t="s">
        <v>324</v>
      </c>
      <c r="EZ43" s="57" t="s">
        <v>324</v>
      </c>
      <c r="FA43" s="57" t="s">
        <v>324</v>
      </c>
      <c r="FB43" s="57" t="s">
        <v>324</v>
      </c>
      <c r="FC43" s="57" t="s">
        <v>324</v>
      </c>
      <c r="FF43" s="70" t="s">
        <v>2010</v>
      </c>
      <c r="FG43" s="70" t="s">
        <v>2017</v>
      </c>
      <c r="FH43" s="70">
        <v>289</v>
      </c>
      <c r="FI43" s="70">
        <v>368</v>
      </c>
      <c r="FJ43" s="70">
        <v>504</v>
      </c>
      <c r="FK43" s="70">
        <v>653</v>
      </c>
      <c r="FL43" s="70">
        <v>756</v>
      </c>
      <c r="FM43" s="70">
        <v>2570</v>
      </c>
      <c r="FN43" s="70"/>
      <c r="FO43" s="70" t="s">
        <v>2017</v>
      </c>
      <c r="FP43" s="70">
        <v>31</v>
      </c>
      <c r="FQ43" s="70">
        <v>5</v>
      </c>
      <c r="FR43" s="70">
        <v>0</v>
      </c>
      <c r="FS43" s="70">
        <v>0</v>
      </c>
      <c r="FT43" s="70">
        <v>0</v>
      </c>
      <c r="FU43" s="70">
        <v>36</v>
      </c>
    </row>
    <row r="44" spans="2:177">
      <c r="B44" s="64" t="s">
        <v>902</v>
      </c>
      <c r="C44" s="64" t="s">
        <v>2017</v>
      </c>
      <c r="D44" s="64">
        <v>90</v>
      </c>
      <c r="E44" s="64">
        <v>145</v>
      </c>
      <c r="F44" s="64">
        <v>262</v>
      </c>
      <c r="G44" s="64">
        <v>375</v>
      </c>
      <c r="H44" s="64">
        <v>343</v>
      </c>
      <c r="I44" s="64">
        <v>1215</v>
      </c>
      <c r="K44" s="64" t="s">
        <v>2017</v>
      </c>
      <c r="L44" s="64">
        <v>14</v>
      </c>
      <c r="M44" s="64">
        <v>8</v>
      </c>
      <c r="N44" s="64">
        <v>6</v>
      </c>
      <c r="O44" s="64">
        <v>2</v>
      </c>
      <c r="P44" s="64">
        <v>2</v>
      </c>
      <c r="Q44" s="64">
        <v>32</v>
      </c>
      <c r="T44" s="65" t="s">
        <v>962</v>
      </c>
      <c r="U44" s="65" t="s">
        <v>2018</v>
      </c>
      <c r="V44" s="65">
        <v>684</v>
      </c>
      <c r="W44" s="65">
        <v>867</v>
      </c>
      <c r="X44" s="65">
        <v>1075</v>
      </c>
      <c r="Y44" s="65">
        <v>1215</v>
      </c>
      <c r="Z44" s="65">
        <v>743</v>
      </c>
      <c r="AA44" s="65">
        <v>4584</v>
      </c>
      <c r="AB44" s="65"/>
      <c r="AC44" s="65" t="s">
        <v>2018</v>
      </c>
      <c r="AD44" s="65">
        <v>18</v>
      </c>
      <c r="AE44" s="65">
        <v>2</v>
      </c>
      <c r="AF44" s="65">
        <v>0</v>
      </c>
      <c r="AG44" s="65">
        <v>2</v>
      </c>
      <c r="AH44" s="65">
        <v>0</v>
      </c>
      <c r="AI44" s="65">
        <v>22</v>
      </c>
      <c r="AK44" s="66" t="s">
        <v>1930</v>
      </c>
      <c r="AL44" s="66" t="s">
        <v>2017</v>
      </c>
      <c r="AM44" s="66">
        <v>340</v>
      </c>
      <c r="AN44" s="66">
        <v>575</v>
      </c>
      <c r="AO44" s="66">
        <v>857</v>
      </c>
      <c r="AP44" s="66">
        <v>1043</v>
      </c>
      <c r="AQ44" s="66">
        <v>686</v>
      </c>
      <c r="AR44" s="66">
        <v>3501</v>
      </c>
      <c r="AS44" s="66"/>
      <c r="AT44" s="66" t="s">
        <v>2017</v>
      </c>
      <c r="AU44" s="66">
        <v>18</v>
      </c>
      <c r="AV44" s="66">
        <v>1</v>
      </c>
      <c r="AW44" s="66">
        <v>1</v>
      </c>
      <c r="AX44" s="66">
        <v>0</v>
      </c>
      <c r="AY44" s="66">
        <v>0</v>
      </c>
      <c r="AZ44" s="66">
        <v>20</v>
      </c>
      <c r="BB44" s="69" t="s">
        <v>1315</v>
      </c>
      <c r="BC44" s="69" t="s">
        <v>2017</v>
      </c>
      <c r="BD44" s="69">
        <v>2030</v>
      </c>
      <c r="BE44" s="69">
        <v>1233</v>
      </c>
      <c r="BF44" s="69">
        <v>1492</v>
      </c>
      <c r="BG44" s="69">
        <v>1427</v>
      </c>
      <c r="BH44" s="69">
        <v>947</v>
      </c>
      <c r="BI44" s="69">
        <v>7129</v>
      </c>
      <c r="BJ44" s="69"/>
      <c r="BK44" s="69" t="s">
        <v>2017</v>
      </c>
      <c r="BL44" s="69">
        <v>402</v>
      </c>
      <c r="BM44" s="69">
        <v>0</v>
      </c>
      <c r="BN44" s="69">
        <v>0</v>
      </c>
      <c r="BO44" s="69">
        <v>0</v>
      </c>
      <c r="BP44" s="69">
        <v>0</v>
      </c>
      <c r="BQ44" s="69">
        <v>402</v>
      </c>
      <c r="BS44" s="70" t="s">
        <v>1446</v>
      </c>
      <c r="BT44" s="70" t="s">
        <v>2018</v>
      </c>
      <c r="BU44" s="70">
        <v>134</v>
      </c>
      <c r="BV44" s="70">
        <v>98</v>
      </c>
      <c r="BW44" s="70">
        <v>167</v>
      </c>
      <c r="BX44" s="70">
        <v>241</v>
      </c>
      <c r="BY44" s="70">
        <v>223</v>
      </c>
      <c r="BZ44" s="70">
        <v>863</v>
      </c>
      <c r="CA44" s="70"/>
      <c r="CB44" s="70" t="s">
        <v>2018</v>
      </c>
      <c r="CC44" s="70">
        <v>27</v>
      </c>
      <c r="CD44" s="70">
        <v>0</v>
      </c>
      <c r="CE44" s="70">
        <v>0</v>
      </c>
      <c r="CF44" s="70">
        <v>0</v>
      </c>
      <c r="CG44" s="70">
        <v>0</v>
      </c>
      <c r="CH44" s="70">
        <v>27</v>
      </c>
      <c r="CL44" s="57" t="s">
        <v>573</v>
      </c>
      <c r="CM44" s="57" t="s">
        <v>2017</v>
      </c>
      <c r="CN44" s="57" t="s">
        <v>324</v>
      </c>
      <c r="CO44" s="57" t="s">
        <v>324</v>
      </c>
      <c r="CP44" s="57" t="s">
        <v>324</v>
      </c>
      <c r="CQ44" s="57" t="s">
        <v>324</v>
      </c>
      <c r="CR44" s="57" t="s">
        <v>324</v>
      </c>
      <c r="CS44" s="57" t="s">
        <v>324</v>
      </c>
      <c r="CT44" s="57"/>
      <c r="CU44" s="57" t="s">
        <v>2017</v>
      </c>
      <c r="CV44" s="57" t="s">
        <v>324</v>
      </c>
      <c r="CW44" s="57" t="s">
        <v>324</v>
      </c>
      <c r="CX44" s="57" t="s">
        <v>324</v>
      </c>
      <c r="CY44" s="57" t="s">
        <v>324</v>
      </c>
      <c r="CZ44" s="57" t="s">
        <v>324</v>
      </c>
      <c r="DA44" s="57" t="s">
        <v>324</v>
      </c>
      <c r="DD44" s="77" t="s">
        <v>1578</v>
      </c>
      <c r="DE44" s="77" t="s">
        <v>2032</v>
      </c>
      <c r="DF44" s="77">
        <v>869</v>
      </c>
      <c r="DG44" s="77">
        <v>969</v>
      </c>
      <c r="DH44" s="77">
        <v>946</v>
      </c>
      <c r="DI44" s="77">
        <v>1082</v>
      </c>
      <c r="DJ44" s="77">
        <v>895</v>
      </c>
      <c r="DK44" s="77">
        <v>4761</v>
      </c>
      <c r="DL44" s="77"/>
      <c r="DM44" s="77" t="s">
        <v>2032</v>
      </c>
      <c r="DN44" s="77">
        <v>154</v>
      </c>
      <c r="DO44" s="77">
        <v>46</v>
      </c>
      <c r="DP44" s="77">
        <v>0</v>
      </c>
      <c r="DQ44" s="77">
        <v>0</v>
      </c>
      <c r="DR44" s="77">
        <v>0</v>
      </c>
      <c r="DS44" s="77">
        <v>200</v>
      </c>
      <c r="DU44" s="16" t="s">
        <v>1676</v>
      </c>
      <c r="DV44" s="79" t="s">
        <v>2703</v>
      </c>
      <c r="DW44" s="79" t="s">
        <v>2018</v>
      </c>
      <c r="DX44" s="79">
        <v>296</v>
      </c>
      <c r="DY44" s="79">
        <v>431</v>
      </c>
      <c r="DZ44" s="79">
        <v>493</v>
      </c>
      <c r="EA44" s="79">
        <v>479</v>
      </c>
      <c r="EB44" s="79">
        <v>284</v>
      </c>
      <c r="EC44" s="79">
        <v>1983</v>
      </c>
      <c r="ED44" s="79"/>
      <c r="EE44" s="79" t="s">
        <v>2018</v>
      </c>
      <c r="EF44" s="79">
        <v>14</v>
      </c>
      <c r="EG44" s="79">
        <v>2</v>
      </c>
      <c r="EH44" s="79">
        <v>0</v>
      </c>
      <c r="EI44" s="79">
        <v>0</v>
      </c>
      <c r="EJ44" s="79">
        <v>0</v>
      </c>
      <c r="EK44" s="79">
        <v>16</v>
      </c>
      <c r="EN44" s="57" t="s">
        <v>1993</v>
      </c>
      <c r="EO44" s="57" t="s">
        <v>2018</v>
      </c>
      <c r="EP44" s="57" t="s">
        <v>324</v>
      </c>
      <c r="EQ44" s="57" t="s">
        <v>324</v>
      </c>
      <c r="ER44" s="57" t="s">
        <v>324</v>
      </c>
      <c r="ES44" s="57" t="s">
        <v>324</v>
      </c>
      <c r="ET44" s="57" t="s">
        <v>324</v>
      </c>
      <c r="EU44" s="57" t="s">
        <v>324</v>
      </c>
      <c r="EV44" s="57"/>
      <c r="EW44" s="57" t="s">
        <v>2018</v>
      </c>
      <c r="EX44" s="57" t="s">
        <v>324</v>
      </c>
      <c r="EY44" s="57" t="s">
        <v>324</v>
      </c>
      <c r="EZ44" s="57" t="s">
        <v>324</v>
      </c>
      <c r="FA44" s="57" t="s">
        <v>324</v>
      </c>
      <c r="FB44" s="57" t="s">
        <v>324</v>
      </c>
      <c r="FC44" s="57" t="s">
        <v>324</v>
      </c>
      <c r="FF44" s="70" t="s">
        <v>2011</v>
      </c>
      <c r="FG44" s="70" t="s">
        <v>2017</v>
      </c>
      <c r="FH44" s="70">
        <v>276</v>
      </c>
      <c r="FI44" s="70">
        <v>359</v>
      </c>
      <c r="FJ44" s="70">
        <v>411</v>
      </c>
      <c r="FK44" s="70">
        <v>505</v>
      </c>
      <c r="FL44" s="70">
        <v>640</v>
      </c>
      <c r="FM44" s="70">
        <v>2191</v>
      </c>
      <c r="FN44" s="70"/>
      <c r="FO44" s="70" t="s">
        <v>2017</v>
      </c>
      <c r="FP44" s="70">
        <v>41</v>
      </c>
      <c r="FQ44" s="70">
        <v>9</v>
      </c>
      <c r="FR44" s="70">
        <v>5</v>
      </c>
      <c r="FS44" s="70">
        <v>11</v>
      </c>
      <c r="FT44" s="70">
        <v>14</v>
      </c>
      <c r="FU44" s="70">
        <v>80</v>
      </c>
    </row>
    <row r="45" spans="2:177">
      <c r="B45" s="64" t="s">
        <v>907</v>
      </c>
      <c r="C45" s="64" t="s">
        <v>2017</v>
      </c>
      <c r="D45" s="64" t="s">
        <v>324</v>
      </c>
      <c r="E45" s="64" t="s">
        <v>324</v>
      </c>
      <c r="F45" s="64" t="s">
        <v>324</v>
      </c>
      <c r="G45" s="64" t="s">
        <v>324</v>
      </c>
      <c r="H45" s="64" t="s">
        <v>324</v>
      </c>
      <c r="I45" s="64" t="s">
        <v>324</v>
      </c>
      <c r="K45" s="64" t="s">
        <v>2017</v>
      </c>
      <c r="L45" s="64" t="s">
        <v>324</v>
      </c>
      <c r="M45" s="64" t="s">
        <v>324</v>
      </c>
      <c r="N45" s="64" t="s">
        <v>324</v>
      </c>
      <c r="O45" s="64" t="s">
        <v>324</v>
      </c>
      <c r="P45" s="64" t="s">
        <v>324</v>
      </c>
      <c r="Q45" s="64" t="s">
        <v>324</v>
      </c>
      <c r="T45" s="65" t="s">
        <v>1902</v>
      </c>
      <c r="U45" s="65" t="s">
        <v>2018</v>
      </c>
      <c r="V45" s="65">
        <v>698</v>
      </c>
      <c r="W45" s="65">
        <v>780</v>
      </c>
      <c r="X45" s="65">
        <v>945</v>
      </c>
      <c r="Y45" s="65">
        <v>1022</v>
      </c>
      <c r="Z45" s="65">
        <v>739</v>
      </c>
      <c r="AA45" s="65">
        <v>4184</v>
      </c>
      <c r="AB45" s="65"/>
      <c r="AC45" s="65" t="s">
        <v>2018</v>
      </c>
      <c r="AD45" s="65">
        <v>16</v>
      </c>
      <c r="AE45" s="65">
        <v>0</v>
      </c>
      <c r="AF45" s="65">
        <v>0</v>
      </c>
      <c r="AG45" s="65">
        <v>0</v>
      </c>
      <c r="AH45" s="65">
        <v>0</v>
      </c>
      <c r="AI45" s="65">
        <v>16</v>
      </c>
      <c r="AK45" s="66" t="s">
        <v>2033</v>
      </c>
      <c r="AL45" s="66" t="s">
        <v>2017</v>
      </c>
      <c r="AM45" s="66">
        <v>263</v>
      </c>
      <c r="AN45" s="66">
        <v>421</v>
      </c>
      <c r="AO45" s="66">
        <v>673</v>
      </c>
      <c r="AP45" s="66">
        <v>841</v>
      </c>
      <c r="AQ45" s="66">
        <v>583</v>
      </c>
      <c r="AR45" s="66">
        <v>2781</v>
      </c>
      <c r="AS45" s="66"/>
      <c r="AT45" s="66" t="s">
        <v>2017</v>
      </c>
      <c r="AU45" s="66">
        <v>22</v>
      </c>
      <c r="AV45" s="66">
        <v>0</v>
      </c>
      <c r="AW45" s="66">
        <v>0</v>
      </c>
      <c r="AX45" s="66">
        <v>0</v>
      </c>
      <c r="AY45" s="66">
        <v>0</v>
      </c>
      <c r="AZ45" s="66">
        <v>22</v>
      </c>
      <c r="BB45" s="69" t="s">
        <v>1955</v>
      </c>
      <c r="BC45" s="69" t="s">
        <v>2017</v>
      </c>
      <c r="BD45" s="69">
        <v>66</v>
      </c>
      <c r="BE45" s="69">
        <v>87</v>
      </c>
      <c r="BF45" s="69">
        <v>173</v>
      </c>
      <c r="BG45" s="69">
        <v>207</v>
      </c>
      <c r="BH45" s="69">
        <v>209</v>
      </c>
      <c r="BI45" s="69">
        <v>742</v>
      </c>
      <c r="BJ45" s="69"/>
      <c r="BK45" s="69" t="s">
        <v>2017</v>
      </c>
      <c r="BL45" s="69">
        <v>17</v>
      </c>
      <c r="BM45" s="69">
        <v>0</v>
      </c>
      <c r="BN45" s="69">
        <v>0</v>
      </c>
      <c r="BO45" s="69">
        <v>0</v>
      </c>
      <c r="BP45" s="69">
        <v>0</v>
      </c>
      <c r="BQ45" s="69">
        <v>17</v>
      </c>
      <c r="BS45" s="70" t="s">
        <v>1448</v>
      </c>
      <c r="BT45" s="70" t="s">
        <v>2018</v>
      </c>
      <c r="BU45" s="70">
        <v>63</v>
      </c>
      <c r="BV45" s="70">
        <v>30</v>
      </c>
      <c r="BW45" s="70">
        <v>65</v>
      </c>
      <c r="BX45" s="70">
        <v>105</v>
      </c>
      <c r="BY45" s="70">
        <v>106</v>
      </c>
      <c r="BZ45" s="70">
        <v>369</v>
      </c>
      <c r="CA45" s="70"/>
      <c r="CB45" s="70" t="s">
        <v>2018</v>
      </c>
      <c r="CC45" s="70">
        <v>16</v>
      </c>
      <c r="CD45" s="70">
        <v>0</v>
      </c>
      <c r="CE45" s="70">
        <v>0</v>
      </c>
      <c r="CF45" s="70">
        <v>0</v>
      </c>
      <c r="CG45" s="70">
        <v>0</v>
      </c>
      <c r="CH45" s="70">
        <v>16</v>
      </c>
      <c r="DD45" s="77" t="s">
        <v>1581</v>
      </c>
      <c r="DE45" s="77" t="s">
        <v>2032</v>
      </c>
      <c r="DF45" s="77">
        <v>186</v>
      </c>
      <c r="DG45" s="77">
        <v>245</v>
      </c>
      <c r="DH45" s="77">
        <v>368</v>
      </c>
      <c r="DI45" s="77">
        <v>470</v>
      </c>
      <c r="DJ45" s="77">
        <v>476</v>
      </c>
      <c r="DK45" s="77">
        <v>1745</v>
      </c>
      <c r="DL45" s="77"/>
      <c r="DM45" s="77" t="s">
        <v>2032</v>
      </c>
      <c r="DN45" s="77">
        <v>37</v>
      </c>
      <c r="DO45" s="77">
        <v>6</v>
      </c>
      <c r="DP45" s="77">
        <v>2</v>
      </c>
      <c r="DQ45" s="77">
        <v>1</v>
      </c>
      <c r="DR45" s="77">
        <v>2</v>
      </c>
      <c r="DS45" s="77">
        <v>48</v>
      </c>
      <c r="DU45" s="21"/>
      <c r="DV45" s="79" t="s">
        <v>1679</v>
      </c>
      <c r="DW45" s="79" t="s">
        <v>2018</v>
      </c>
      <c r="DX45" s="79">
        <v>573</v>
      </c>
      <c r="DY45" s="79">
        <v>790</v>
      </c>
      <c r="DZ45" s="79">
        <v>1219</v>
      </c>
      <c r="EA45" s="79">
        <v>1579</v>
      </c>
      <c r="EB45" s="79">
        <v>1315</v>
      </c>
      <c r="EC45" s="79">
        <v>5476</v>
      </c>
      <c r="ED45" s="79"/>
      <c r="EE45" s="79" t="s">
        <v>2018</v>
      </c>
      <c r="EF45" s="79">
        <v>25</v>
      </c>
      <c r="EG45" s="79">
        <v>4</v>
      </c>
      <c r="EH45" s="79">
        <v>0</v>
      </c>
      <c r="EI45" s="79">
        <v>0</v>
      </c>
      <c r="EJ45" s="79">
        <v>0</v>
      </c>
      <c r="EK45" s="79">
        <v>29</v>
      </c>
      <c r="EN45" s="57" t="s">
        <v>1716</v>
      </c>
      <c r="EO45" s="57" t="s">
        <v>2018</v>
      </c>
      <c r="EP45" s="57">
        <v>169</v>
      </c>
      <c r="EQ45" s="57">
        <v>250</v>
      </c>
      <c r="ER45" s="57">
        <v>290</v>
      </c>
      <c r="ES45" s="57">
        <v>467</v>
      </c>
      <c r="ET45" s="57">
        <v>522</v>
      </c>
      <c r="EU45" s="57">
        <v>1698</v>
      </c>
      <c r="EV45" s="57"/>
      <c r="EW45" s="57" t="s">
        <v>2018</v>
      </c>
      <c r="EX45" s="57">
        <v>33</v>
      </c>
      <c r="EY45" s="57">
        <v>31</v>
      </c>
      <c r="EZ45" s="57">
        <v>23</v>
      </c>
      <c r="FA45" s="57">
        <v>28</v>
      </c>
      <c r="FB45" s="57">
        <v>20</v>
      </c>
      <c r="FC45" s="57">
        <v>135</v>
      </c>
      <c r="FF45" s="70" t="s">
        <v>1871</v>
      </c>
      <c r="FG45" s="70" t="s">
        <v>2017</v>
      </c>
      <c r="FH45" s="70" t="s">
        <v>324</v>
      </c>
      <c r="FI45" s="70" t="s">
        <v>324</v>
      </c>
      <c r="FJ45" s="70" t="s">
        <v>324</v>
      </c>
      <c r="FK45" s="70" t="s">
        <v>324</v>
      </c>
      <c r="FL45" s="70" t="s">
        <v>324</v>
      </c>
      <c r="FM45" s="70" t="s">
        <v>324</v>
      </c>
      <c r="FN45" s="70"/>
      <c r="FO45" s="70" t="s">
        <v>2017</v>
      </c>
      <c r="FP45" s="70" t="s">
        <v>324</v>
      </c>
      <c r="FQ45" s="70" t="s">
        <v>324</v>
      </c>
      <c r="FR45" s="70" t="s">
        <v>324</v>
      </c>
      <c r="FS45" s="70" t="s">
        <v>324</v>
      </c>
      <c r="FT45" s="70" t="s">
        <v>324</v>
      </c>
      <c r="FU45" s="70" t="s">
        <v>324</v>
      </c>
    </row>
    <row r="46" spans="2:177">
      <c r="B46" s="64" t="s">
        <v>911</v>
      </c>
      <c r="C46" s="64" t="s">
        <v>2017</v>
      </c>
      <c r="D46" s="64" t="s">
        <v>324</v>
      </c>
      <c r="E46" s="64" t="s">
        <v>324</v>
      </c>
      <c r="F46" s="64" t="s">
        <v>324</v>
      </c>
      <c r="G46" s="64" t="s">
        <v>324</v>
      </c>
      <c r="H46" s="64" t="s">
        <v>324</v>
      </c>
      <c r="I46" s="64" t="s">
        <v>324</v>
      </c>
      <c r="K46" s="64" t="s">
        <v>2017</v>
      </c>
      <c r="L46" s="64" t="s">
        <v>324</v>
      </c>
      <c r="M46" s="64" t="s">
        <v>324</v>
      </c>
      <c r="N46" s="64" t="s">
        <v>324</v>
      </c>
      <c r="O46" s="64" t="s">
        <v>324</v>
      </c>
      <c r="P46" s="64" t="s">
        <v>324</v>
      </c>
      <c r="Q46" s="64" t="s">
        <v>324</v>
      </c>
      <c r="T46" s="65" t="s">
        <v>971</v>
      </c>
      <c r="U46" s="65" t="s">
        <v>2018</v>
      </c>
      <c r="V46" s="65">
        <v>706</v>
      </c>
      <c r="W46" s="65">
        <v>519</v>
      </c>
      <c r="X46" s="65">
        <v>777</v>
      </c>
      <c r="Y46" s="65">
        <v>792</v>
      </c>
      <c r="Z46" s="65">
        <v>549</v>
      </c>
      <c r="AA46" s="65">
        <v>3343</v>
      </c>
      <c r="AB46" s="65"/>
      <c r="AC46" s="65" t="s">
        <v>2018</v>
      </c>
      <c r="AD46" s="65">
        <v>28</v>
      </c>
      <c r="AE46" s="65">
        <v>0</v>
      </c>
      <c r="AF46" s="65">
        <v>0</v>
      </c>
      <c r="AG46" s="65">
        <v>0</v>
      </c>
      <c r="AH46" s="65">
        <v>0</v>
      </c>
      <c r="AI46" s="65">
        <v>28</v>
      </c>
      <c r="AK46" s="66" t="s">
        <v>1931</v>
      </c>
      <c r="AL46" s="66" t="s">
        <v>2017</v>
      </c>
      <c r="AM46" s="66">
        <v>216</v>
      </c>
      <c r="AN46" s="66">
        <v>406</v>
      </c>
      <c r="AO46" s="66">
        <v>670</v>
      </c>
      <c r="AP46" s="66">
        <v>851</v>
      </c>
      <c r="AQ46" s="66">
        <v>598</v>
      </c>
      <c r="AR46" s="66">
        <v>2741</v>
      </c>
      <c r="AS46" s="66"/>
      <c r="AT46" s="66" t="s">
        <v>2017</v>
      </c>
      <c r="AU46" s="66">
        <v>17</v>
      </c>
      <c r="AV46" s="66">
        <v>3</v>
      </c>
      <c r="AW46" s="66">
        <v>0</v>
      </c>
      <c r="AX46" s="66">
        <v>0</v>
      </c>
      <c r="AY46" s="66">
        <v>0</v>
      </c>
      <c r="AZ46" s="66">
        <v>20</v>
      </c>
      <c r="BB46" s="69" t="s">
        <v>1322</v>
      </c>
      <c r="BC46" s="69" t="s">
        <v>2017</v>
      </c>
      <c r="BD46" s="69">
        <v>103</v>
      </c>
      <c r="BE46" s="69">
        <v>76</v>
      </c>
      <c r="BF46" s="69">
        <v>139</v>
      </c>
      <c r="BG46" s="69">
        <v>167</v>
      </c>
      <c r="BH46" s="69">
        <v>166</v>
      </c>
      <c r="BI46" s="69">
        <v>651</v>
      </c>
      <c r="BJ46" s="69"/>
      <c r="BK46" s="69" t="s">
        <v>2017</v>
      </c>
      <c r="BL46" s="69">
        <v>32</v>
      </c>
      <c r="BM46" s="69">
        <v>0</v>
      </c>
      <c r="BN46" s="69">
        <v>0</v>
      </c>
      <c r="BO46" s="69">
        <v>0</v>
      </c>
      <c r="BP46" s="69">
        <v>0</v>
      </c>
      <c r="BQ46" s="69">
        <v>32</v>
      </c>
      <c r="BS46" s="70" t="s">
        <v>1450</v>
      </c>
      <c r="BT46" s="70" t="s">
        <v>2018</v>
      </c>
      <c r="BU46" s="70">
        <v>182</v>
      </c>
      <c r="BV46" s="70">
        <v>112</v>
      </c>
      <c r="BW46" s="70">
        <v>157</v>
      </c>
      <c r="BX46" s="70">
        <v>234</v>
      </c>
      <c r="BY46" s="70">
        <v>194</v>
      </c>
      <c r="BZ46" s="70">
        <v>879</v>
      </c>
      <c r="CA46" s="70"/>
      <c r="CB46" s="70" t="s">
        <v>2018</v>
      </c>
      <c r="CC46" s="70">
        <v>50</v>
      </c>
      <c r="CD46" s="70">
        <v>2</v>
      </c>
      <c r="CE46" s="70">
        <v>0</v>
      </c>
      <c r="CF46" s="70">
        <v>0</v>
      </c>
      <c r="CG46" s="70">
        <v>0</v>
      </c>
      <c r="CH46" s="70">
        <v>52</v>
      </c>
      <c r="CL46" s="57" t="s">
        <v>474</v>
      </c>
      <c r="CM46" s="57" t="s">
        <v>2018</v>
      </c>
      <c r="CN46" s="57">
        <v>147</v>
      </c>
      <c r="CO46" s="57">
        <v>63</v>
      </c>
      <c r="CP46" s="57">
        <v>149</v>
      </c>
      <c r="CQ46" s="57">
        <v>212</v>
      </c>
      <c r="CR46" s="57">
        <v>224</v>
      </c>
      <c r="CS46" s="57">
        <v>795</v>
      </c>
      <c r="CT46" s="57"/>
      <c r="CU46" s="57" t="s">
        <v>2018</v>
      </c>
      <c r="CV46" s="57">
        <v>43</v>
      </c>
      <c r="CW46" s="57">
        <v>0</v>
      </c>
      <c r="CX46" s="57">
        <v>0</v>
      </c>
      <c r="CY46" s="57">
        <v>0</v>
      </c>
      <c r="CZ46" s="57">
        <v>0</v>
      </c>
      <c r="DA46" s="57">
        <v>43</v>
      </c>
      <c r="DD46" s="77" t="s">
        <v>1585</v>
      </c>
      <c r="DE46" s="77" t="s">
        <v>2032</v>
      </c>
      <c r="DF46" s="77">
        <v>277</v>
      </c>
      <c r="DG46" s="77">
        <v>419</v>
      </c>
      <c r="DH46" s="77">
        <v>497</v>
      </c>
      <c r="DI46" s="77">
        <v>657</v>
      </c>
      <c r="DJ46" s="77">
        <v>560</v>
      </c>
      <c r="DK46" s="77">
        <v>2410</v>
      </c>
      <c r="DL46" s="77"/>
      <c r="DM46" s="77" t="s">
        <v>2032</v>
      </c>
      <c r="DN46" s="77">
        <v>36</v>
      </c>
      <c r="DO46" s="77">
        <v>9</v>
      </c>
      <c r="DP46" s="77">
        <v>0</v>
      </c>
      <c r="DQ46" s="77">
        <v>0</v>
      </c>
      <c r="DR46" s="77">
        <v>0</v>
      </c>
      <c r="DS46" s="77">
        <v>45</v>
      </c>
      <c r="DU46" s="21"/>
      <c r="DV46" s="79" t="s">
        <v>1682</v>
      </c>
      <c r="DW46" s="79" t="s">
        <v>2018</v>
      </c>
      <c r="DX46" s="79">
        <v>389</v>
      </c>
      <c r="DY46" s="79">
        <v>476</v>
      </c>
      <c r="DZ46" s="79">
        <v>494</v>
      </c>
      <c r="EA46" s="79">
        <v>548</v>
      </c>
      <c r="EB46" s="79">
        <v>410</v>
      </c>
      <c r="EC46" s="79">
        <v>2317</v>
      </c>
      <c r="ED46" s="79"/>
      <c r="EE46" s="79" t="s">
        <v>2018</v>
      </c>
      <c r="EF46" s="79">
        <v>19</v>
      </c>
      <c r="EG46" s="79">
        <v>0</v>
      </c>
      <c r="EH46" s="79">
        <v>0</v>
      </c>
      <c r="EI46" s="79">
        <v>0</v>
      </c>
      <c r="EJ46" s="79">
        <v>0</v>
      </c>
      <c r="EK46" s="79">
        <v>19</v>
      </c>
      <c r="EN46" s="57" t="s">
        <v>1720</v>
      </c>
      <c r="EO46" s="57" t="s">
        <v>2018</v>
      </c>
      <c r="EP46" s="57">
        <v>205</v>
      </c>
      <c r="EQ46" s="57">
        <v>302</v>
      </c>
      <c r="ER46" s="57">
        <v>460</v>
      </c>
      <c r="ES46" s="57">
        <v>571</v>
      </c>
      <c r="ET46" s="57">
        <v>651</v>
      </c>
      <c r="EU46" s="57">
        <v>2189</v>
      </c>
      <c r="EV46" s="57"/>
      <c r="EW46" s="57" t="s">
        <v>2018</v>
      </c>
      <c r="EX46" s="57">
        <v>53</v>
      </c>
      <c r="EY46" s="57">
        <v>28</v>
      </c>
      <c r="EZ46" s="57">
        <v>33</v>
      </c>
      <c r="FA46" s="57">
        <v>17</v>
      </c>
      <c r="FB46" s="57">
        <v>22</v>
      </c>
      <c r="FC46" s="57">
        <v>153</v>
      </c>
      <c r="FF46" s="70" t="s">
        <v>1875</v>
      </c>
      <c r="FG46" s="70" t="s">
        <v>2017</v>
      </c>
      <c r="FH46" s="70" t="s">
        <v>324</v>
      </c>
      <c r="FI46" s="70" t="s">
        <v>324</v>
      </c>
      <c r="FJ46" s="70" t="s">
        <v>324</v>
      </c>
      <c r="FK46" s="70" t="s">
        <v>324</v>
      </c>
      <c r="FL46" s="70" t="s">
        <v>324</v>
      </c>
      <c r="FM46" s="70" t="s">
        <v>324</v>
      </c>
      <c r="FN46" s="70"/>
      <c r="FO46" s="70" t="s">
        <v>2017</v>
      </c>
      <c r="FP46" s="70" t="s">
        <v>324</v>
      </c>
      <c r="FQ46" s="70" t="s">
        <v>324</v>
      </c>
      <c r="FR46" s="70" t="s">
        <v>324</v>
      </c>
      <c r="FS46" s="70" t="s">
        <v>324</v>
      </c>
      <c r="FT46" s="70" t="s">
        <v>324</v>
      </c>
      <c r="FU46" s="70" t="s">
        <v>324</v>
      </c>
    </row>
    <row r="47" spans="2:177">
      <c r="B47" s="64" t="s">
        <v>925</v>
      </c>
      <c r="C47" s="64" t="s">
        <v>2017</v>
      </c>
      <c r="D47" s="64" t="s">
        <v>324</v>
      </c>
      <c r="E47" s="64" t="s">
        <v>324</v>
      </c>
      <c r="F47" s="64" t="s">
        <v>324</v>
      </c>
      <c r="G47" s="64" t="s">
        <v>324</v>
      </c>
      <c r="H47" s="64" t="s">
        <v>324</v>
      </c>
      <c r="I47" s="64" t="s">
        <v>324</v>
      </c>
      <c r="K47" s="64" t="s">
        <v>2017</v>
      </c>
      <c r="L47" s="64" t="s">
        <v>324</v>
      </c>
      <c r="M47" s="64" t="s">
        <v>324</v>
      </c>
      <c r="N47" s="64" t="s">
        <v>324</v>
      </c>
      <c r="O47" s="64" t="s">
        <v>324</v>
      </c>
      <c r="P47" s="64" t="s">
        <v>324</v>
      </c>
      <c r="Q47" s="64" t="s">
        <v>324</v>
      </c>
      <c r="T47" s="65" t="s">
        <v>978</v>
      </c>
      <c r="U47" s="65" t="s">
        <v>2018</v>
      </c>
      <c r="V47" s="65" t="s">
        <v>324</v>
      </c>
      <c r="W47" s="65" t="s">
        <v>324</v>
      </c>
      <c r="X47" s="65" t="s">
        <v>324</v>
      </c>
      <c r="Y47" s="65" t="s">
        <v>324</v>
      </c>
      <c r="Z47" s="65" t="s">
        <v>324</v>
      </c>
      <c r="AA47" s="65" t="s">
        <v>324</v>
      </c>
      <c r="AB47" s="65"/>
      <c r="AC47" s="65" t="s">
        <v>2018</v>
      </c>
      <c r="AD47" s="65" t="s">
        <v>324</v>
      </c>
      <c r="AE47" s="65" t="s">
        <v>324</v>
      </c>
      <c r="AF47" s="65" t="s">
        <v>324</v>
      </c>
      <c r="AG47" s="65" t="s">
        <v>324</v>
      </c>
      <c r="AH47" s="65" t="s">
        <v>324</v>
      </c>
      <c r="AI47" s="65" t="s">
        <v>324</v>
      </c>
      <c r="BB47" s="69" t="s">
        <v>1327</v>
      </c>
      <c r="BC47" s="69" t="s">
        <v>2017</v>
      </c>
      <c r="BD47" s="69">
        <v>76</v>
      </c>
      <c r="BE47" s="69">
        <v>44</v>
      </c>
      <c r="BF47" s="69">
        <v>69</v>
      </c>
      <c r="BG47" s="69">
        <v>92</v>
      </c>
      <c r="BH47" s="69">
        <v>98</v>
      </c>
      <c r="BI47" s="69">
        <v>379</v>
      </c>
      <c r="BJ47" s="69"/>
      <c r="BK47" s="69" t="s">
        <v>2017</v>
      </c>
      <c r="BL47" s="69">
        <v>26</v>
      </c>
      <c r="BM47" s="69">
        <v>0</v>
      </c>
      <c r="BN47" s="69">
        <v>0</v>
      </c>
      <c r="BO47" s="69">
        <v>0</v>
      </c>
      <c r="BP47" s="69">
        <v>0</v>
      </c>
      <c r="BQ47" s="69">
        <v>26</v>
      </c>
      <c r="BS47" s="70" t="s">
        <v>1454</v>
      </c>
      <c r="BT47" s="70" t="s">
        <v>2018</v>
      </c>
      <c r="BU47" s="70">
        <v>143</v>
      </c>
      <c r="BV47" s="70">
        <v>86</v>
      </c>
      <c r="BW47" s="70">
        <v>162</v>
      </c>
      <c r="BX47" s="70">
        <v>213</v>
      </c>
      <c r="BY47" s="70">
        <v>181</v>
      </c>
      <c r="BZ47" s="70">
        <v>785</v>
      </c>
      <c r="CA47" s="70"/>
      <c r="CB47" s="70" t="s">
        <v>2018</v>
      </c>
      <c r="CC47" s="70">
        <v>27</v>
      </c>
      <c r="CD47" s="70">
        <v>1</v>
      </c>
      <c r="CE47" s="70">
        <v>0</v>
      </c>
      <c r="CF47" s="70">
        <v>0</v>
      </c>
      <c r="CG47" s="70">
        <v>0</v>
      </c>
      <c r="CH47" s="70">
        <v>28</v>
      </c>
      <c r="CL47" s="57" t="s">
        <v>476</v>
      </c>
      <c r="CM47" s="57" t="s">
        <v>2018</v>
      </c>
      <c r="CN47" s="57">
        <v>154</v>
      </c>
      <c r="CO47" s="57">
        <v>80</v>
      </c>
      <c r="CP47" s="57">
        <v>156</v>
      </c>
      <c r="CQ47" s="57">
        <v>295</v>
      </c>
      <c r="CR47" s="57">
        <v>302</v>
      </c>
      <c r="CS47" s="57">
        <v>987</v>
      </c>
      <c r="CT47" s="57"/>
      <c r="CU47" s="57" t="s">
        <v>2018</v>
      </c>
      <c r="CV47" s="57">
        <v>44</v>
      </c>
      <c r="CW47" s="57">
        <v>0</v>
      </c>
      <c r="CX47" s="57">
        <v>0</v>
      </c>
      <c r="CY47" s="57">
        <v>0</v>
      </c>
      <c r="CZ47" s="57">
        <v>0</v>
      </c>
      <c r="DA47" s="57">
        <v>44</v>
      </c>
      <c r="DD47" s="77" t="s">
        <v>1588</v>
      </c>
      <c r="DE47" s="77" t="s">
        <v>2032</v>
      </c>
      <c r="DF47" s="77">
        <v>116</v>
      </c>
      <c r="DG47" s="77">
        <v>166</v>
      </c>
      <c r="DH47" s="77">
        <v>275</v>
      </c>
      <c r="DI47" s="77">
        <v>404</v>
      </c>
      <c r="DJ47" s="77">
        <v>330</v>
      </c>
      <c r="DK47" s="77">
        <v>1291</v>
      </c>
      <c r="DL47" s="77"/>
      <c r="DM47" s="77" t="s">
        <v>2032</v>
      </c>
      <c r="DN47" s="77">
        <v>21</v>
      </c>
      <c r="DO47" s="77">
        <v>5</v>
      </c>
      <c r="DP47" s="77">
        <v>2</v>
      </c>
      <c r="DQ47" s="77">
        <v>0</v>
      </c>
      <c r="DR47" s="77">
        <v>0</v>
      </c>
      <c r="DS47" s="77">
        <v>28</v>
      </c>
      <c r="DU47" s="16" t="s">
        <v>1695</v>
      </c>
      <c r="DV47" s="79" t="s">
        <v>2658</v>
      </c>
      <c r="DW47" s="79" t="s">
        <v>2018</v>
      </c>
      <c r="DX47" s="79">
        <v>165</v>
      </c>
      <c r="DY47" s="79">
        <v>94</v>
      </c>
      <c r="DZ47" s="79">
        <v>132</v>
      </c>
      <c r="EA47" s="79">
        <v>168</v>
      </c>
      <c r="EB47" s="79">
        <v>132</v>
      </c>
      <c r="EC47" s="79">
        <v>691</v>
      </c>
      <c r="ED47" s="79"/>
      <c r="EE47" s="79" t="s">
        <v>2018</v>
      </c>
      <c r="EF47" s="79">
        <v>24</v>
      </c>
      <c r="EG47" s="79">
        <v>0</v>
      </c>
      <c r="EH47" s="79">
        <v>0</v>
      </c>
      <c r="EI47" s="79">
        <v>0</v>
      </c>
      <c r="EJ47" s="79">
        <v>0</v>
      </c>
      <c r="EK47" s="79">
        <v>24</v>
      </c>
      <c r="EN47" s="57" t="s">
        <v>1723</v>
      </c>
      <c r="EO47" s="57" t="s">
        <v>2018</v>
      </c>
      <c r="EP47" s="57">
        <v>543</v>
      </c>
      <c r="EQ47" s="57">
        <v>779</v>
      </c>
      <c r="ER47" s="57">
        <v>952</v>
      </c>
      <c r="ES47" s="57">
        <v>1109</v>
      </c>
      <c r="ET47" s="57">
        <v>1104</v>
      </c>
      <c r="EU47" s="57">
        <v>4487</v>
      </c>
      <c r="EV47" s="57"/>
      <c r="EW47" s="57" t="s">
        <v>2018</v>
      </c>
      <c r="EX47" s="57">
        <v>75</v>
      </c>
      <c r="EY47" s="57">
        <v>55</v>
      </c>
      <c r="EZ47" s="57">
        <v>37</v>
      </c>
      <c r="FA47" s="57">
        <v>30</v>
      </c>
      <c r="FB47" s="57">
        <v>32</v>
      </c>
      <c r="FC47" s="57">
        <v>229</v>
      </c>
    </row>
    <row r="48" spans="2:177">
      <c r="B48" s="64" t="s">
        <v>71</v>
      </c>
      <c r="C48" s="64" t="s">
        <v>2017</v>
      </c>
      <c r="D48" s="64" t="s">
        <v>324</v>
      </c>
      <c r="E48" s="64" t="s">
        <v>324</v>
      </c>
      <c r="F48" s="64" t="s">
        <v>324</v>
      </c>
      <c r="G48" s="64" t="s">
        <v>324</v>
      </c>
      <c r="H48" s="64" t="s">
        <v>324</v>
      </c>
      <c r="I48" s="64" t="s">
        <v>324</v>
      </c>
      <c r="K48" s="64" t="s">
        <v>2017</v>
      </c>
      <c r="L48" s="64" t="s">
        <v>324</v>
      </c>
      <c r="M48" s="64" t="s">
        <v>324</v>
      </c>
      <c r="N48" s="64" t="s">
        <v>324</v>
      </c>
      <c r="O48" s="64" t="s">
        <v>324</v>
      </c>
      <c r="P48" s="64" t="s">
        <v>324</v>
      </c>
      <c r="Q48" s="64" t="s">
        <v>324</v>
      </c>
      <c r="T48" s="65" t="s">
        <v>1903</v>
      </c>
      <c r="U48" s="65" t="s">
        <v>2018</v>
      </c>
      <c r="V48" s="65" t="s">
        <v>324</v>
      </c>
      <c r="W48" s="65" t="s">
        <v>324</v>
      </c>
      <c r="X48" s="65" t="s">
        <v>324</v>
      </c>
      <c r="Y48" s="65" t="s">
        <v>324</v>
      </c>
      <c r="Z48" s="65" t="s">
        <v>324</v>
      </c>
      <c r="AA48" s="65" t="s">
        <v>324</v>
      </c>
      <c r="AB48" s="65"/>
      <c r="AC48" s="65" t="s">
        <v>2018</v>
      </c>
      <c r="AD48" s="65" t="s">
        <v>324</v>
      </c>
      <c r="AE48" s="65" t="s">
        <v>324</v>
      </c>
      <c r="AF48" s="65" t="s">
        <v>324</v>
      </c>
      <c r="AG48" s="65" t="s">
        <v>324</v>
      </c>
      <c r="AH48" s="65" t="s">
        <v>324</v>
      </c>
      <c r="AI48" s="65" t="s">
        <v>324</v>
      </c>
      <c r="AK48" s="66" t="s">
        <v>1910</v>
      </c>
      <c r="AL48" s="66" t="s">
        <v>2017</v>
      </c>
      <c r="AM48" s="66">
        <v>409</v>
      </c>
      <c r="AN48" s="66">
        <v>435</v>
      </c>
      <c r="AO48" s="66">
        <v>447</v>
      </c>
      <c r="AP48" s="66">
        <v>481</v>
      </c>
      <c r="AQ48" s="66">
        <v>505</v>
      </c>
      <c r="AR48" s="66">
        <v>2277</v>
      </c>
      <c r="AS48" s="66"/>
      <c r="AT48" s="66" t="s">
        <v>2017</v>
      </c>
      <c r="AU48" s="66">
        <v>57</v>
      </c>
      <c r="AV48" s="66">
        <v>21</v>
      </c>
      <c r="AW48" s="66">
        <v>9</v>
      </c>
      <c r="AX48" s="66">
        <v>11</v>
      </c>
      <c r="AY48" s="66">
        <v>25</v>
      </c>
      <c r="AZ48" s="66">
        <v>123</v>
      </c>
      <c r="BB48" s="69" t="s">
        <v>1333</v>
      </c>
      <c r="BC48" s="69" t="s">
        <v>2017</v>
      </c>
      <c r="BD48" s="69">
        <v>111</v>
      </c>
      <c r="BE48" s="69">
        <v>63</v>
      </c>
      <c r="BF48" s="69">
        <v>126</v>
      </c>
      <c r="BG48" s="69">
        <v>224</v>
      </c>
      <c r="BH48" s="69">
        <v>192</v>
      </c>
      <c r="BI48" s="69">
        <v>716</v>
      </c>
      <c r="BJ48" s="69"/>
      <c r="BK48" s="69" t="s">
        <v>2017</v>
      </c>
      <c r="BL48" s="69">
        <v>29</v>
      </c>
      <c r="BM48" s="69">
        <v>0</v>
      </c>
      <c r="BN48" s="69">
        <v>0</v>
      </c>
      <c r="BO48" s="69">
        <v>0</v>
      </c>
      <c r="BP48" s="69">
        <v>0</v>
      </c>
      <c r="BQ48" s="69">
        <v>29</v>
      </c>
      <c r="BS48" s="70" t="s">
        <v>1458</v>
      </c>
      <c r="BT48" s="70" t="s">
        <v>2018</v>
      </c>
      <c r="BU48" s="70">
        <v>88</v>
      </c>
      <c r="BV48" s="70">
        <v>66</v>
      </c>
      <c r="BW48" s="70">
        <v>169</v>
      </c>
      <c r="BX48" s="70">
        <v>238</v>
      </c>
      <c r="BY48" s="70">
        <v>204</v>
      </c>
      <c r="BZ48" s="70">
        <v>765</v>
      </c>
      <c r="CA48" s="70"/>
      <c r="CB48" s="70" t="s">
        <v>2018</v>
      </c>
      <c r="CC48" s="70">
        <v>23</v>
      </c>
      <c r="CD48" s="70">
        <v>0</v>
      </c>
      <c r="CE48" s="70">
        <v>0</v>
      </c>
      <c r="CF48" s="70">
        <v>0</v>
      </c>
      <c r="CG48" s="70">
        <v>0</v>
      </c>
      <c r="CH48" s="70">
        <v>23</v>
      </c>
      <c r="CL48" s="57" t="s">
        <v>479</v>
      </c>
      <c r="CM48" s="57" t="s">
        <v>2018</v>
      </c>
      <c r="CN48" s="57">
        <v>37</v>
      </c>
      <c r="CO48" s="57">
        <v>45</v>
      </c>
      <c r="CP48" s="57">
        <v>93</v>
      </c>
      <c r="CQ48" s="57">
        <v>136</v>
      </c>
      <c r="CR48" s="57">
        <v>174</v>
      </c>
      <c r="CS48" s="57">
        <v>485</v>
      </c>
      <c r="CT48" s="57"/>
      <c r="CU48" s="57" t="s">
        <v>2018</v>
      </c>
      <c r="CV48" s="57">
        <v>7</v>
      </c>
      <c r="CW48" s="57">
        <v>0</v>
      </c>
      <c r="CX48" s="57">
        <v>0</v>
      </c>
      <c r="CY48" s="57">
        <v>0</v>
      </c>
      <c r="CZ48" s="57">
        <v>0</v>
      </c>
      <c r="DA48" s="57">
        <v>7</v>
      </c>
      <c r="DD48" s="77" t="s">
        <v>1591</v>
      </c>
      <c r="DE48" s="77" t="s">
        <v>2032</v>
      </c>
      <c r="DF48" s="77" t="s">
        <v>324</v>
      </c>
      <c r="DG48" s="77" t="s">
        <v>324</v>
      </c>
      <c r="DH48" s="77" t="s">
        <v>324</v>
      </c>
      <c r="DI48" s="77" t="s">
        <v>324</v>
      </c>
      <c r="DJ48" s="77" t="s">
        <v>324</v>
      </c>
      <c r="DK48" s="77" t="s">
        <v>324</v>
      </c>
      <c r="DL48" s="77"/>
      <c r="DM48" s="77" t="s">
        <v>2032</v>
      </c>
      <c r="DN48" s="77" t="s">
        <v>324</v>
      </c>
      <c r="DO48" s="77" t="s">
        <v>324</v>
      </c>
      <c r="DP48" s="77" t="s">
        <v>324</v>
      </c>
      <c r="DQ48" s="77" t="s">
        <v>324</v>
      </c>
      <c r="DR48" s="77" t="s">
        <v>324</v>
      </c>
      <c r="DS48" s="77" t="s">
        <v>324</v>
      </c>
      <c r="DU48" s="16" t="s">
        <v>1698</v>
      </c>
      <c r="DV48" s="79" t="s">
        <v>2661</v>
      </c>
      <c r="DW48" s="79" t="s">
        <v>2018</v>
      </c>
      <c r="DX48" s="79">
        <v>286</v>
      </c>
      <c r="DY48" s="79">
        <v>289</v>
      </c>
      <c r="DZ48" s="79">
        <v>329</v>
      </c>
      <c r="EA48" s="79">
        <v>371</v>
      </c>
      <c r="EB48" s="79">
        <v>249</v>
      </c>
      <c r="EC48" s="79">
        <v>1524</v>
      </c>
      <c r="ED48" s="79"/>
      <c r="EE48" s="79" t="s">
        <v>2018</v>
      </c>
      <c r="EF48" s="79">
        <v>32</v>
      </c>
      <c r="EG48" s="79">
        <v>0</v>
      </c>
      <c r="EH48" s="79">
        <v>0</v>
      </c>
      <c r="EI48" s="79">
        <v>0</v>
      </c>
      <c r="EJ48" s="79">
        <v>0</v>
      </c>
      <c r="EK48" s="79">
        <v>32</v>
      </c>
      <c r="EN48" s="57" t="s">
        <v>1726</v>
      </c>
      <c r="EO48" s="57" t="s">
        <v>2018</v>
      </c>
      <c r="EP48" s="57" t="s">
        <v>324</v>
      </c>
      <c r="EQ48" s="57" t="s">
        <v>324</v>
      </c>
      <c r="ER48" s="57" t="s">
        <v>324</v>
      </c>
      <c r="ES48" s="57" t="s">
        <v>324</v>
      </c>
      <c r="ET48" s="57" t="s">
        <v>324</v>
      </c>
      <c r="EU48" s="57" t="s">
        <v>324</v>
      </c>
      <c r="EV48" s="57"/>
      <c r="EW48" s="57" t="s">
        <v>2018</v>
      </c>
      <c r="EX48" s="57" t="s">
        <v>324</v>
      </c>
      <c r="EY48" s="57" t="s">
        <v>324</v>
      </c>
      <c r="EZ48" s="57" t="s">
        <v>324</v>
      </c>
      <c r="FA48" s="57" t="s">
        <v>324</v>
      </c>
      <c r="FB48" s="57" t="s">
        <v>324</v>
      </c>
      <c r="FC48" s="57" t="s">
        <v>324</v>
      </c>
      <c r="FF48" s="70" t="s">
        <v>1790</v>
      </c>
      <c r="FG48" s="70" t="s">
        <v>2018</v>
      </c>
      <c r="FH48" s="70">
        <v>1982</v>
      </c>
      <c r="FI48" s="70">
        <v>1159</v>
      </c>
      <c r="FJ48" s="70">
        <v>928</v>
      </c>
      <c r="FK48" s="70">
        <v>864</v>
      </c>
      <c r="FL48" s="70">
        <v>947</v>
      </c>
      <c r="FM48" s="70">
        <v>5880</v>
      </c>
      <c r="FN48" s="70"/>
      <c r="FO48" s="70" t="s">
        <v>2018</v>
      </c>
      <c r="FP48" s="70">
        <v>450</v>
      </c>
      <c r="FQ48" s="70">
        <v>0</v>
      </c>
      <c r="FR48" s="70">
        <v>0</v>
      </c>
      <c r="FS48" s="70">
        <v>0</v>
      </c>
      <c r="FT48" s="70">
        <v>0</v>
      </c>
      <c r="FU48" s="70">
        <v>450</v>
      </c>
    </row>
    <row r="49" spans="2:177">
      <c r="B49" s="64" t="s">
        <v>933</v>
      </c>
      <c r="C49" s="64" t="s">
        <v>2017</v>
      </c>
      <c r="D49" s="64" t="s">
        <v>324</v>
      </c>
      <c r="E49" s="64" t="s">
        <v>324</v>
      </c>
      <c r="F49" s="64" t="s">
        <v>324</v>
      </c>
      <c r="G49" s="64" t="s">
        <v>324</v>
      </c>
      <c r="H49" s="64" t="s">
        <v>324</v>
      </c>
      <c r="I49" s="64" t="s">
        <v>324</v>
      </c>
      <c r="K49" s="64" t="s">
        <v>2017</v>
      </c>
      <c r="L49" s="64" t="s">
        <v>324</v>
      </c>
      <c r="M49" s="64" t="s">
        <v>324</v>
      </c>
      <c r="N49" s="64" t="s">
        <v>324</v>
      </c>
      <c r="O49" s="64" t="s">
        <v>324</v>
      </c>
      <c r="P49" s="64" t="s">
        <v>324</v>
      </c>
      <c r="Q49" s="64" t="s">
        <v>324</v>
      </c>
      <c r="T49" s="65" t="s">
        <v>1904</v>
      </c>
      <c r="U49" s="65" t="s">
        <v>2018</v>
      </c>
      <c r="V49" s="65" t="s">
        <v>324</v>
      </c>
      <c r="W49" s="65" t="s">
        <v>324</v>
      </c>
      <c r="X49" s="65" t="s">
        <v>324</v>
      </c>
      <c r="Y49" s="65" t="s">
        <v>324</v>
      </c>
      <c r="Z49" s="65" t="s">
        <v>324</v>
      </c>
      <c r="AA49" s="65" t="s">
        <v>324</v>
      </c>
      <c r="AB49" s="65"/>
      <c r="AC49" s="65" t="s">
        <v>2018</v>
      </c>
      <c r="AD49" s="65" t="s">
        <v>324</v>
      </c>
      <c r="AE49" s="65" t="s">
        <v>324</v>
      </c>
      <c r="AF49" s="65" t="s">
        <v>324</v>
      </c>
      <c r="AG49" s="65" t="s">
        <v>324</v>
      </c>
      <c r="AH49" s="65" t="s">
        <v>324</v>
      </c>
      <c r="AI49" s="65" t="s">
        <v>324</v>
      </c>
      <c r="AK49" s="66" t="s">
        <v>1912</v>
      </c>
      <c r="AL49" s="66" t="s">
        <v>2017</v>
      </c>
      <c r="AM49" s="66">
        <v>866</v>
      </c>
      <c r="AN49" s="66">
        <v>942</v>
      </c>
      <c r="AO49" s="66">
        <v>717</v>
      </c>
      <c r="AP49" s="66">
        <v>684</v>
      </c>
      <c r="AQ49" s="66">
        <v>785</v>
      </c>
      <c r="AR49" s="66">
        <v>3994</v>
      </c>
      <c r="AS49" s="66"/>
      <c r="AT49" s="66" t="s">
        <v>2017</v>
      </c>
      <c r="AU49" s="66">
        <v>68</v>
      </c>
      <c r="AV49" s="66">
        <v>22</v>
      </c>
      <c r="AW49" s="66">
        <v>3</v>
      </c>
      <c r="AX49" s="66">
        <v>5</v>
      </c>
      <c r="AY49" s="66">
        <v>8</v>
      </c>
      <c r="AZ49" s="66">
        <v>106</v>
      </c>
      <c r="BB49" s="69" t="s">
        <v>1347</v>
      </c>
      <c r="BC49" s="69" t="s">
        <v>2017</v>
      </c>
      <c r="BD49" s="69">
        <v>474</v>
      </c>
      <c r="BE49" s="69">
        <v>483</v>
      </c>
      <c r="BF49" s="69">
        <v>998</v>
      </c>
      <c r="BG49" s="69">
        <v>1505</v>
      </c>
      <c r="BH49" s="69">
        <v>1343</v>
      </c>
      <c r="BI49" s="69">
        <v>4803</v>
      </c>
      <c r="BJ49" s="69"/>
      <c r="BK49" s="69" t="s">
        <v>2017</v>
      </c>
      <c r="BL49" s="69">
        <v>83</v>
      </c>
      <c r="BM49" s="69">
        <v>0</v>
      </c>
      <c r="BN49" s="69">
        <v>0</v>
      </c>
      <c r="BO49" s="69">
        <v>0</v>
      </c>
      <c r="BP49" s="69">
        <v>0</v>
      </c>
      <c r="BQ49" s="69">
        <v>83</v>
      </c>
      <c r="BS49" s="70" t="s">
        <v>1462</v>
      </c>
      <c r="BT49" s="70" t="s">
        <v>2018</v>
      </c>
      <c r="BU49" s="70">
        <v>48</v>
      </c>
      <c r="BV49" s="70">
        <v>47</v>
      </c>
      <c r="BW49" s="70">
        <v>127</v>
      </c>
      <c r="BX49" s="70">
        <v>203</v>
      </c>
      <c r="BY49" s="70">
        <v>217</v>
      </c>
      <c r="BZ49" s="70">
        <v>642</v>
      </c>
      <c r="CA49" s="70"/>
      <c r="CB49" s="70" t="s">
        <v>2018</v>
      </c>
      <c r="CC49" s="70">
        <v>13</v>
      </c>
      <c r="CD49" s="70">
        <v>0</v>
      </c>
      <c r="CE49" s="70">
        <v>0</v>
      </c>
      <c r="CF49" s="70">
        <v>0</v>
      </c>
      <c r="CG49" s="70">
        <v>0</v>
      </c>
      <c r="CH49" s="70">
        <v>13</v>
      </c>
      <c r="CL49" s="57" t="s">
        <v>482</v>
      </c>
      <c r="CM49" s="57" t="s">
        <v>2018</v>
      </c>
      <c r="CN49" s="57">
        <v>119</v>
      </c>
      <c r="CO49" s="57">
        <v>78</v>
      </c>
      <c r="CP49" s="57">
        <v>155</v>
      </c>
      <c r="CQ49" s="57">
        <v>259</v>
      </c>
      <c r="CR49" s="57">
        <v>280</v>
      </c>
      <c r="CS49" s="57">
        <v>891</v>
      </c>
      <c r="CT49" s="57"/>
      <c r="CU49" s="57" t="s">
        <v>2018</v>
      </c>
      <c r="CV49" s="57">
        <v>21</v>
      </c>
      <c r="CW49" s="57">
        <v>0</v>
      </c>
      <c r="CX49" s="57">
        <v>0</v>
      </c>
      <c r="CY49" s="57">
        <v>0</v>
      </c>
      <c r="CZ49" s="57">
        <v>0</v>
      </c>
      <c r="DA49" s="57">
        <v>21</v>
      </c>
      <c r="DD49" s="77" t="s">
        <v>1594</v>
      </c>
      <c r="DE49" s="77" t="s">
        <v>2032</v>
      </c>
      <c r="DF49" s="77" t="s">
        <v>324</v>
      </c>
      <c r="DG49" s="77" t="s">
        <v>324</v>
      </c>
      <c r="DH49" s="77" t="s">
        <v>324</v>
      </c>
      <c r="DI49" s="77" t="s">
        <v>324</v>
      </c>
      <c r="DJ49" s="77" t="s">
        <v>324</v>
      </c>
      <c r="DK49" s="77" t="s">
        <v>324</v>
      </c>
      <c r="DL49" s="77"/>
      <c r="DM49" s="77" t="s">
        <v>2032</v>
      </c>
      <c r="DN49" s="77" t="s">
        <v>324</v>
      </c>
      <c r="DO49" s="77" t="s">
        <v>324</v>
      </c>
      <c r="DP49" s="77" t="s">
        <v>324</v>
      </c>
      <c r="DQ49" s="77" t="s">
        <v>324</v>
      </c>
      <c r="DR49" s="77" t="s">
        <v>324</v>
      </c>
      <c r="DS49" s="77" t="s">
        <v>324</v>
      </c>
      <c r="DU49" s="21"/>
      <c r="DV49" s="79" t="s">
        <v>1701</v>
      </c>
      <c r="DW49" s="79" t="s">
        <v>2018</v>
      </c>
      <c r="DX49" s="79">
        <v>137</v>
      </c>
      <c r="DY49" s="79">
        <v>119</v>
      </c>
      <c r="DZ49" s="79">
        <v>209</v>
      </c>
      <c r="EA49" s="79">
        <v>277</v>
      </c>
      <c r="EB49" s="79">
        <v>231</v>
      </c>
      <c r="EC49" s="79">
        <v>973</v>
      </c>
      <c r="ED49" s="79"/>
      <c r="EE49" s="79" t="s">
        <v>2018</v>
      </c>
      <c r="EF49" s="79">
        <v>20</v>
      </c>
      <c r="EG49" s="79">
        <v>0</v>
      </c>
      <c r="EH49" s="79">
        <v>0</v>
      </c>
      <c r="EI49" s="79">
        <v>0</v>
      </c>
      <c r="EJ49" s="79">
        <v>0</v>
      </c>
      <c r="EK49" s="79">
        <v>20</v>
      </c>
      <c r="EN49" s="57" t="s">
        <v>1729</v>
      </c>
      <c r="EO49" s="57" t="s">
        <v>2018</v>
      </c>
      <c r="EP49" s="57">
        <v>176</v>
      </c>
      <c r="EQ49" s="57">
        <v>265</v>
      </c>
      <c r="ER49" s="57">
        <v>359</v>
      </c>
      <c r="ES49" s="57">
        <v>394</v>
      </c>
      <c r="ET49" s="57">
        <v>524</v>
      </c>
      <c r="EU49" s="57">
        <v>1718</v>
      </c>
      <c r="EV49" s="57"/>
      <c r="EW49" s="57" t="s">
        <v>2018</v>
      </c>
      <c r="EX49" s="57">
        <v>50</v>
      </c>
      <c r="EY49" s="57">
        <v>29</v>
      </c>
      <c r="EZ49" s="57">
        <v>29</v>
      </c>
      <c r="FA49" s="57">
        <v>14</v>
      </c>
      <c r="FB49" s="57">
        <v>18</v>
      </c>
      <c r="FC49" s="57">
        <v>140</v>
      </c>
      <c r="FF49" s="70" t="s">
        <v>1793</v>
      </c>
      <c r="FG49" s="70" t="s">
        <v>2018</v>
      </c>
      <c r="FH49" s="70">
        <v>167</v>
      </c>
      <c r="FI49" s="70">
        <v>238</v>
      </c>
      <c r="FJ49" s="70">
        <v>349</v>
      </c>
      <c r="FK49" s="70">
        <v>421</v>
      </c>
      <c r="FL49" s="70">
        <v>507</v>
      </c>
      <c r="FM49" s="70">
        <v>1682</v>
      </c>
      <c r="FN49" s="70"/>
      <c r="FO49" s="70" t="s">
        <v>2018</v>
      </c>
      <c r="FP49" s="70">
        <v>13</v>
      </c>
      <c r="FQ49" s="70">
        <v>4</v>
      </c>
      <c r="FR49" s="70">
        <v>4</v>
      </c>
      <c r="FS49" s="70">
        <v>5</v>
      </c>
      <c r="FT49" s="70">
        <v>4</v>
      </c>
      <c r="FU49" s="70">
        <v>30</v>
      </c>
    </row>
    <row r="50" spans="2:177">
      <c r="B50" s="64" t="s">
        <v>145</v>
      </c>
      <c r="C50" s="64" t="s">
        <v>2017</v>
      </c>
      <c r="D50" s="64" t="s">
        <v>324</v>
      </c>
      <c r="E50" s="64" t="s">
        <v>324</v>
      </c>
      <c r="F50" s="64" t="s">
        <v>324</v>
      </c>
      <c r="G50" s="64" t="s">
        <v>324</v>
      </c>
      <c r="H50" s="64" t="s">
        <v>324</v>
      </c>
      <c r="I50" s="64" t="s">
        <v>324</v>
      </c>
      <c r="K50" s="64" t="s">
        <v>2017</v>
      </c>
      <c r="L50" s="64" t="s">
        <v>324</v>
      </c>
      <c r="M50" s="64" t="s">
        <v>324</v>
      </c>
      <c r="N50" s="64" t="s">
        <v>324</v>
      </c>
      <c r="O50" s="64" t="s">
        <v>324</v>
      </c>
      <c r="P50" s="64" t="s">
        <v>324</v>
      </c>
      <c r="Q50" s="64" t="s">
        <v>324</v>
      </c>
      <c r="T50" s="65" t="s">
        <v>993</v>
      </c>
      <c r="U50" s="65" t="s">
        <v>2018</v>
      </c>
      <c r="V50" s="65">
        <v>267</v>
      </c>
      <c r="W50" s="65">
        <v>179</v>
      </c>
      <c r="X50" s="65">
        <v>331</v>
      </c>
      <c r="Y50" s="65">
        <v>505</v>
      </c>
      <c r="Z50" s="65">
        <v>410</v>
      </c>
      <c r="AA50" s="65">
        <v>1692</v>
      </c>
      <c r="AB50" s="65"/>
      <c r="AC50" s="65" t="s">
        <v>2018</v>
      </c>
      <c r="AD50" s="65">
        <v>26</v>
      </c>
      <c r="AE50" s="65">
        <v>0</v>
      </c>
      <c r="AF50" s="65">
        <v>0</v>
      </c>
      <c r="AG50" s="65">
        <v>0</v>
      </c>
      <c r="AH50" s="65">
        <v>0</v>
      </c>
      <c r="AI50" s="65">
        <v>26</v>
      </c>
      <c r="AK50" s="66" t="s">
        <v>1914</v>
      </c>
      <c r="AL50" s="66" t="s">
        <v>2017</v>
      </c>
      <c r="AM50" s="66">
        <v>744</v>
      </c>
      <c r="AN50" s="66">
        <v>1033</v>
      </c>
      <c r="AO50" s="66">
        <v>740</v>
      </c>
      <c r="AP50" s="66">
        <v>742</v>
      </c>
      <c r="AQ50" s="66">
        <v>864</v>
      </c>
      <c r="AR50" s="66">
        <v>4123</v>
      </c>
      <c r="AS50" s="66"/>
      <c r="AT50" s="66" t="s">
        <v>2017</v>
      </c>
      <c r="AU50" s="66">
        <v>53</v>
      </c>
      <c r="AV50" s="66">
        <v>12</v>
      </c>
      <c r="AW50" s="66">
        <v>5</v>
      </c>
      <c r="AX50" s="66">
        <v>8</v>
      </c>
      <c r="AY50" s="66">
        <v>18</v>
      </c>
      <c r="AZ50" s="66">
        <v>96</v>
      </c>
      <c r="BB50" s="69" t="s">
        <v>1351</v>
      </c>
      <c r="BC50" s="69" t="s">
        <v>2017</v>
      </c>
      <c r="BD50" s="69">
        <v>86</v>
      </c>
      <c r="BE50" s="69">
        <v>81</v>
      </c>
      <c r="BF50" s="69">
        <v>169</v>
      </c>
      <c r="BG50" s="69">
        <v>256</v>
      </c>
      <c r="BH50" s="69">
        <v>279</v>
      </c>
      <c r="BI50" s="69">
        <v>871</v>
      </c>
      <c r="BJ50" s="69"/>
      <c r="BK50" s="69" t="s">
        <v>2017</v>
      </c>
      <c r="BL50" s="69">
        <v>24</v>
      </c>
      <c r="BM50" s="69">
        <v>0</v>
      </c>
      <c r="BN50" s="69">
        <v>0</v>
      </c>
      <c r="BO50" s="69">
        <v>0</v>
      </c>
      <c r="BP50" s="69">
        <v>0</v>
      </c>
      <c r="BQ50" s="69">
        <v>24</v>
      </c>
      <c r="BS50" s="70" t="s">
        <v>1464</v>
      </c>
      <c r="BT50" s="70" t="s">
        <v>2018</v>
      </c>
      <c r="BU50" s="70">
        <v>50</v>
      </c>
      <c r="BV50" s="70">
        <v>66</v>
      </c>
      <c r="BW50" s="70">
        <v>122</v>
      </c>
      <c r="BX50" s="70">
        <v>184</v>
      </c>
      <c r="BY50" s="70">
        <v>183</v>
      </c>
      <c r="BZ50" s="70">
        <v>605</v>
      </c>
      <c r="CA50" s="70"/>
      <c r="CB50" s="70" t="s">
        <v>2018</v>
      </c>
      <c r="CC50" s="70">
        <v>12</v>
      </c>
      <c r="CD50" s="70">
        <v>0</v>
      </c>
      <c r="CE50" s="70">
        <v>0</v>
      </c>
      <c r="CF50" s="70">
        <v>0</v>
      </c>
      <c r="CG50" s="70">
        <v>0</v>
      </c>
      <c r="CH50" s="70">
        <v>12</v>
      </c>
      <c r="CL50" s="57" t="s">
        <v>484</v>
      </c>
      <c r="CM50" s="57" t="s">
        <v>2018</v>
      </c>
      <c r="CN50" s="57">
        <v>1643</v>
      </c>
      <c r="CO50" s="57">
        <v>661</v>
      </c>
      <c r="CP50" s="57">
        <v>795</v>
      </c>
      <c r="CQ50" s="57">
        <v>945</v>
      </c>
      <c r="CR50" s="57">
        <v>859</v>
      </c>
      <c r="CS50" s="57">
        <v>4903</v>
      </c>
      <c r="CT50" s="57"/>
      <c r="CU50" s="57" t="s">
        <v>2018</v>
      </c>
      <c r="CV50" s="57">
        <v>314</v>
      </c>
      <c r="CW50" s="57">
        <v>0</v>
      </c>
      <c r="CX50" s="57">
        <v>0</v>
      </c>
      <c r="CY50" s="57">
        <v>0</v>
      </c>
      <c r="CZ50" s="57">
        <v>0</v>
      </c>
      <c r="DA50" s="57">
        <v>314</v>
      </c>
      <c r="DD50" s="77" t="s">
        <v>1597</v>
      </c>
      <c r="DE50" s="77" t="s">
        <v>2032</v>
      </c>
      <c r="DF50" s="77" t="s">
        <v>324</v>
      </c>
      <c r="DG50" s="77" t="s">
        <v>324</v>
      </c>
      <c r="DH50" s="77" t="s">
        <v>324</v>
      </c>
      <c r="DI50" s="77" t="s">
        <v>324</v>
      </c>
      <c r="DJ50" s="77" t="s">
        <v>324</v>
      </c>
      <c r="DK50" s="77" t="s">
        <v>324</v>
      </c>
      <c r="DL50" s="77"/>
      <c r="DM50" s="77" t="s">
        <v>2032</v>
      </c>
      <c r="DN50" s="77" t="s">
        <v>324</v>
      </c>
      <c r="DO50" s="77" t="s">
        <v>324</v>
      </c>
      <c r="DP50" s="77" t="s">
        <v>324</v>
      </c>
      <c r="DQ50" s="77" t="s">
        <v>324</v>
      </c>
      <c r="DR50" s="77" t="s">
        <v>324</v>
      </c>
      <c r="DS50" s="77" t="s">
        <v>324</v>
      </c>
      <c r="DU50" s="21"/>
      <c r="DV50" s="79" t="s">
        <v>1664</v>
      </c>
      <c r="DW50" s="79" t="s">
        <v>2018</v>
      </c>
      <c r="DX50" s="79">
        <v>2837</v>
      </c>
      <c r="DY50" s="79">
        <v>1171</v>
      </c>
      <c r="DZ50" s="79">
        <v>1044</v>
      </c>
      <c r="EA50" s="79">
        <v>1022</v>
      </c>
      <c r="EB50" s="79">
        <v>1266</v>
      </c>
      <c r="EC50" s="79">
        <v>7340</v>
      </c>
      <c r="ED50" s="79"/>
      <c r="EE50" s="79" t="s">
        <v>2018</v>
      </c>
      <c r="EF50" s="79">
        <v>351</v>
      </c>
      <c r="EG50" s="79">
        <v>0</v>
      </c>
      <c r="EH50" s="79">
        <v>0</v>
      </c>
      <c r="EI50" s="79">
        <v>0</v>
      </c>
      <c r="EJ50" s="79">
        <v>0</v>
      </c>
      <c r="EK50" s="79">
        <v>351</v>
      </c>
      <c r="EN50" s="57" t="s">
        <v>1994</v>
      </c>
      <c r="EO50" s="57" t="s">
        <v>2018</v>
      </c>
      <c r="EP50" s="57">
        <v>69</v>
      </c>
      <c r="EQ50" s="57">
        <v>160</v>
      </c>
      <c r="ER50" s="57">
        <v>207</v>
      </c>
      <c r="ES50" s="57">
        <v>254</v>
      </c>
      <c r="ET50" s="57">
        <v>362</v>
      </c>
      <c r="EU50" s="57">
        <v>1052</v>
      </c>
      <c r="EV50" s="57"/>
      <c r="EW50" s="57" t="s">
        <v>2018</v>
      </c>
      <c r="EX50" s="57">
        <v>5</v>
      </c>
      <c r="EY50" s="57">
        <v>6</v>
      </c>
      <c r="EZ50" s="57">
        <v>2</v>
      </c>
      <c r="FA50" s="57">
        <v>1</v>
      </c>
      <c r="FB50" s="57">
        <v>5</v>
      </c>
      <c r="FC50" s="57">
        <v>19</v>
      </c>
      <c r="FF50" s="70" t="s">
        <v>1795</v>
      </c>
      <c r="FG50" s="70" t="s">
        <v>2018</v>
      </c>
      <c r="FH50" s="70" t="s">
        <v>324</v>
      </c>
      <c r="FI50" s="70" t="s">
        <v>324</v>
      </c>
      <c r="FJ50" s="70" t="s">
        <v>324</v>
      </c>
      <c r="FK50" s="70" t="s">
        <v>324</v>
      </c>
      <c r="FL50" s="70" t="s">
        <v>324</v>
      </c>
      <c r="FM50" s="70" t="s">
        <v>324</v>
      </c>
      <c r="FN50" s="70"/>
      <c r="FO50" s="70" t="s">
        <v>2018</v>
      </c>
      <c r="FP50" s="70" t="s">
        <v>324</v>
      </c>
      <c r="FQ50" s="70" t="s">
        <v>324</v>
      </c>
      <c r="FR50" s="70" t="s">
        <v>324</v>
      </c>
      <c r="FS50" s="70" t="s">
        <v>324</v>
      </c>
      <c r="FT50" s="70" t="s">
        <v>324</v>
      </c>
      <c r="FU50" s="70" t="s">
        <v>324</v>
      </c>
    </row>
    <row r="51" spans="2:177">
      <c r="B51" s="15"/>
      <c r="D51" s="15"/>
      <c r="E51" s="15"/>
      <c r="F51" s="15"/>
      <c r="G51" s="15"/>
      <c r="H51" s="15"/>
      <c r="I51" s="15"/>
      <c r="J51" s="15"/>
      <c r="L51" s="15"/>
      <c r="M51" s="15"/>
      <c r="N51" s="15"/>
      <c r="O51" s="15"/>
      <c r="P51" s="15"/>
      <c r="Q51" s="15"/>
      <c r="T51" s="65" t="s">
        <v>999</v>
      </c>
      <c r="U51" s="65" t="s">
        <v>2018</v>
      </c>
      <c r="V51" s="65">
        <v>197</v>
      </c>
      <c r="W51" s="65">
        <v>249</v>
      </c>
      <c r="X51" s="65">
        <v>427</v>
      </c>
      <c r="Y51" s="65">
        <v>611</v>
      </c>
      <c r="Z51" s="65">
        <v>434</v>
      </c>
      <c r="AA51" s="65">
        <v>1918</v>
      </c>
      <c r="AB51" s="65"/>
      <c r="AC51" s="65" t="s">
        <v>2018</v>
      </c>
      <c r="AD51" s="65">
        <v>18</v>
      </c>
      <c r="AE51" s="65">
        <v>2</v>
      </c>
      <c r="AF51" s="65">
        <v>0</v>
      </c>
      <c r="AG51" s="65">
        <v>0</v>
      </c>
      <c r="AH51" s="65">
        <v>0</v>
      </c>
      <c r="AI51" s="65">
        <v>20</v>
      </c>
      <c r="AK51" s="66" t="s">
        <v>1916</v>
      </c>
      <c r="AL51" s="66" t="s">
        <v>2017</v>
      </c>
      <c r="AM51" s="66">
        <v>601</v>
      </c>
      <c r="AN51" s="66">
        <v>464</v>
      </c>
      <c r="AO51" s="66">
        <v>580</v>
      </c>
      <c r="AP51" s="66">
        <v>549</v>
      </c>
      <c r="AQ51" s="66">
        <v>757</v>
      </c>
      <c r="AR51" s="66">
        <v>2951</v>
      </c>
      <c r="AS51" s="66"/>
      <c r="AT51" s="66" t="s">
        <v>2017</v>
      </c>
      <c r="AU51" s="66">
        <v>63</v>
      </c>
      <c r="AV51" s="66">
        <v>12</v>
      </c>
      <c r="AW51" s="66">
        <v>11</v>
      </c>
      <c r="AX51" s="66">
        <v>4</v>
      </c>
      <c r="AY51" s="66">
        <v>16</v>
      </c>
      <c r="AZ51" s="66">
        <v>106</v>
      </c>
      <c r="BB51" s="69" t="s">
        <v>1356</v>
      </c>
      <c r="BC51" s="69" t="s">
        <v>2017</v>
      </c>
      <c r="BD51" s="69">
        <v>505</v>
      </c>
      <c r="BE51" s="69">
        <v>363</v>
      </c>
      <c r="BF51" s="69">
        <v>530</v>
      </c>
      <c r="BG51" s="69">
        <v>738</v>
      </c>
      <c r="BH51" s="69">
        <v>691</v>
      </c>
      <c r="BI51" s="69">
        <v>2827</v>
      </c>
      <c r="BJ51" s="69"/>
      <c r="BK51" s="69" t="s">
        <v>2017</v>
      </c>
      <c r="BL51" s="69">
        <v>63</v>
      </c>
      <c r="BM51" s="69">
        <v>0</v>
      </c>
      <c r="BN51" s="69">
        <v>0</v>
      </c>
      <c r="BO51" s="69">
        <v>0</v>
      </c>
      <c r="BP51" s="69">
        <v>0</v>
      </c>
      <c r="BQ51" s="69">
        <v>63</v>
      </c>
      <c r="BS51" s="70" t="s">
        <v>1466</v>
      </c>
      <c r="BT51" s="70" t="s">
        <v>2018</v>
      </c>
      <c r="BU51" s="70">
        <v>99</v>
      </c>
      <c r="BV51" s="70">
        <v>60</v>
      </c>
      <c r="BW51" s="70">
        <v>111</v>
      </c>
      <c r="BX51" s="70">
        <v>179</v>
      </c>
      <c r="BY51" s="70">
        <v>176</v>
      </c>
      <c r="BZ51" s="70">
        <v>625</v>
      </c>
      <c r="CA51" s="70"/>
      <c r="CB51" s="70" t="s">
        <v>2018</v>
      </c>
      <c r="CC51" s="70">
        <v>18</v>
      </c>
      <c r="CD51" s="70">
        <v>0</v>
      </c>
      <c r="CE51" s="70">
        <v>0</v>
      </c>
      <c r="CF51" s="70">
        <v>0</v>
      </c>
      <c r="CG51" s="70">
        <v>0</v>
      </c>
      <c r="CH51" s="70">
        <v>18</v>
      </c>
      <c r="CL51" s="57" t="s">
        <v>354</v>
      </c>
      <c r="CM51" s="57" t="s">
        <v>2018</v>
      </c>
      <c r="CN51" s="57">
        <v>489</v>
      </c>
      <c r="CO51" s="57">
        <v>320</v>
      </c>
      <c r="CP51" s="57">
        <v>375</v>
      </c>
      <c r="CQ51" s="57">
        <v>442</v>
      </c>
      <c r="CR51" s="57">
        <v>430</v>
      </c>
      <c r="CS51" s="57">
        <v>2056</v>
      </c>
      <c r="CT51" s="57"/>
      <c r="CU51" s="57" t="s">
        <v>2018</v>
      </c>
      <c r="CV51" s="57">
        <v>93</v>
      </c>
      <c r="CW51" s="57">
        <v>0</v>
      </c>
      <c r="CX51" s="57">
        <v>0</v>
      </c>
      <c r="CY51" s="57">
        <v>0</v>
      </c>
      <c r="CZ51" s="57">
        <v>0</v>
      </c>
      <c r="DA51" s="57">
        <v>93</v>
      </c>
      <c r="DD51" s="77" t="s">
        <v>1600</v>
      </c>
      <c r="DE51" s="77" t="s">
        <v>2032</v>
      </c>
      <c r="DF51" s="77" t="s">
        <v>324</v>
      </c>
      <c r="DG51" s="77" t="s">
        <v>324</v>
      </c>
      <c r="DH51" s="77" t="s">
        <v>324</v>
      </c>
      <c r="DI51" s="77" t="s">
        <v>324</v>
      </c>
      <c r="DJ51" s="77" t="s">
        <v>324</v>
      </c>
      <c r="DK51" s="77" t="s">
        <v>324</v>
      </c>
      <c r="DL51" s="77"/>
      <c r="DM51" s="77" t="s">
        <v>2032</v>
      </c>
      <c r="DN51" s="77" t="s">
        <v>324</v>
      </c>
      <c r="DO51" s="77" t="s">
        <v>324</v>
      </c>
      <c r="DP51" s="77" t="s">
        <v>324</v>
      </c>
      <c r="DQ51" s="77" t="s">
        <v>324</v>
      </c>
      <c r="DR51" s="77" t="s">
        <v>324</v>
      </c>
      <c r="DS51" s="77" t="s">
        <v>324</v>
      </c>
      <c r="DU51" s="21"/>
      <c r="EN51" s="57" t="s">
        <v>1734</v>
      </c>
      <c r="EO51" s="57" t="s">
        <v>2018</v>
      </c>
      <c r="EP51" s="57">
        <v>448</v>
      </c>
      <c r="EQ51" s="57">
        <v>596</v>
      </c>
      <c r="ER51" s="57">
        <v>705</v>
      </c>
      <c r="ES51" s="57">
        <v>813</v>
      </c>
      <c r="ET51" s="57">
        <v>997</v>
      </c>
      <c r="EU51" s="57">
        <v>3559</v>
      </c>
      <c r="EV51" s="57"/>
      <c r="EW51" s="57" t="s">
        <v>2018</v>
      </c>
      <c r="EX51" s="57">
        <v>74</v>
      </c>
      <c r="EY51" s="57">
        <v>30</v>
      </c>
      <c r="EZ51" s="57">
        <v>24</v>
      </c>
      <c r="FA51" s="57">
        <v>25</v>
      </c>
      <c r="FB51" s="57">
        <v>33</v>
      </c>
      <c r="FC51" s="57">
        <v>186</v>
      </c>
      <c r="FF51" s="70" t="s">
        <v>1797</v>
      </c>
      <c r="FG51" s="70" t="s">
        <v>2018</v>
      </c>
      <c r="FH51" s="70" t="s">
        <v>324</v>
      </c>
      <c r="FI51" s="70" t="s">
        <v>324</v>
      </c>
      <c r="FJ51" s="70" t="s">
        <v>324</v>
      </c>
      <c r="FK51" s="70" t="s">
        <v>324</v>
      </c>
      <c r="FL51" s="70" t="s">
        <v>324</v>
      </c>
      <c r="FM51" s="70" t="s">
        <v>324</v>
      </c>
      <c r="FN51" s="70"/>
      <c r="FO51" s="70" t="s">
        <v>2018</v>
      </c>
      <c r="FP51" s="70" t="s">
        <v>324</v>
      </c>
      <c r="FQ51" s="70" t="s">
        <v>324</v>
      </c>
      <c r="FR51" s="70" t="s">
        <v>324</v>
      </c>
      <c r="FS51" s="70" t="s">
        <v>324</v>
      </c>
      <c r="FT51" s="70" t="s">
        <v>324</v>
      </c>
      <c r="FU51" s="70" t="s">
        <v>324</v>
      </c>
    </row>
    <row r="52" spans="2:177">
      <c r="B52" s="64" t="s">
        <v>709</v>
      </c>
      <c r="C52" s="64" t="s">
        <v>2018</v>
      </c>
      <c r="D52" s="64">
        <v>103</v>
      </c>
      <c r="E52" s="64">
        <v>170</v>
      </c>
      <c r="F52" s="64">
        <v>284</v>
      </c>
      <c r="G52" s="64">
        <v>348</v>
      </c>
      <c r="H52" s="64">
        <v>336</v>
      </c>
      <c r="I52" s="64">
        <v>1241</v>
      </c>
      <c r="K52" s="64" t="s">
        <v>2018</v>
      </c>
      <c r="L52" s="64">
        <v>7</v>
      </c>
      <c r="M52" s="64">
        <v>1</v>
      </c>
      <c r="N52" s="64">
        <v>0</v>
      </c>
      <c r="O52" s="64">
        <v>0</v>
      </c>
      <c r="P52" s="64">
        <v>0</v>
      </c>
      <c r="Q52" s="64">
        <v>8</v>
      </c>
      <c r="T52" s="65" t="s">
        <v>1004</v>
      </c>
      <c r="U52" s="65" t="s">
        <v>2018</v>
      </c>
      <c r="V52" s="65">
        <v>1500</v>
      </c>
      <c r="W52" s="65">
        <v>1409</v>
      </c>
      <c r="X52" s="65">
        <v>1373</v>
      </c>
      <c r="Y52" s="65">
        <v>1382</v>
      </c>
      <c r="Z52" s="65">
        <v>1011</v>
      </c>
      <c r="AA52" s="65">
        <v>6675</v>
      </c>
      <c r="AB52" s="65"/>
      <c r="AC52" s="65" t="s">
        <v>2018</v>
      </c>
      <c r="AD52" s="65">
        <v>143</v>
      </c>
      <c r="AE52" s="65">
        <v>40</v>
      </c>
      <c r="AF52" s="65">
        <v>7</v>
      </c>
      <c r="AG52" s="65">
        <v>0</v>
      </c>
      <c r="AH52" s="65">
        <v>0</v>
      </c>
      <c r="AI52" s="65">
        <v>190</v>
      </c>
      <c r="AK52" s="66" t="s">
        <v>1918</v>
      </c>
      <c r="AL52" s="66" t="s">
        <v>2017</v>
      </c>
      <c r="AM52" s="66">
        <v>1021</v>
      </c>
      <c r="AN52" s="66">
        <v>956</v>
      </c>
      <c r="AO52" s="66">
        <v>850</v>
      </c>
      <c r="AP52" s="66">
        <v>809</v>
      </c>
      <c r="AQ52" s="66">
        <v>1126</v>
      </c>
      <c r="AR52" s="66">
        <v>4762</v>
      </c>
      <c r="AS52" s="66"/>
      <c r="AT52" s="66" t="s">
        <v>2017</v>
      </c>
      <c r="AU52" s="66">
        <v>82</v>
      </c>
      <c r="AV52" s="66">
        <v>4</v>
      </c>
      <c r="AW52" s="66">
        <v>3</v>
      </c>
      <c r="AX52" s="66">
        <v>1</v>
      </c>
      <c r="AY52" s="66">
        <v>9</v>
      </c>
      <c r="AZ52" s="66">
        <v>99</v>
      </c>
      <c r="BB52" s="69" t="s">
        <v>1359</v>
      </c>
      <c r="BC52" s="69" t="s">
        <v>2017</v>
      </c>
      <c r="BD52" s="69">
        <v>192</v>
      </c>
      <c r="BE52" s="69">
        <v>190</v>
      </c>
      <c r="BF52" s="69">
        <v>350</v>
      </c>
      <c r="BG52" s="69">
        <v>470</v>
      </c>
      <c r="BH52" s="69">
        <v>443</v>
      </c>
      <c r="BI52" s="69">
        <v>1645</v>
      </c>
      <c r="BJ52" s="69"/>
      <c r="BK52" s="69" t="s">
        <v>2017</v>
      </c>
      <c r="BL52" s="69">
        <v>40</v>
      </c>
      <c r="BM52" s="69">
        <v>0</v>
      </c>
      <c r="BN52" s="69">
        <v>0</v>
      </c>
      <c r="BO52" s="69">
        <v>0</v>
      </c>
      <c r="BP52" s="69">
        <v>0</v>
      </c>
      <c r="BQ52" s="69">
        <v>40</v>
      </c>
      <c r="BS52" s="70" t="s">
        <v>1471</v>
      </c>
      <c r="BT52" s="70" t="s">
        <v>2018</v>
      </c>
      <c r="BU52" s="70">
        <v>71</v>
      </c>
      <c r="BV52" s="70">
        <v>36</v>
      </c>
      <c r="BW52" s="70">
        <v>90</v>
      </c>
      <c r="BX52" s="70">
        <v>99</v>
      </c>
      <c r="BY52" s="70">
        <v>130</v>
      </c>
      <c r="BZ52" s="70">
        <v>426</v>
      </c>
      <c r="CA52" s="70"/>
      <c r="CB52" s="70" t="s">
        <v>2018</v>
      </c>
      <c r="CC52" s="70">
        <v>20</v>
      </c>
      <c r="CD52" s="70">
        <v>0</v>
      </c>
      <c r="CE52" s="70">
        <v>0</v>
      </c>
      <c r="CF52" s="70">
        <v>0</v>
      </c>
      <c r="CG52" s="70">
        <v>0</v>
      </c>
      <c r="CH52" s="70">
        <v>20</v>
      </c>
      <c r="CL52" s="57" t="s">
        <v>355</v>
      </c>
      <c r="CM52" s="57" t="s">
        <v>2018</v>
      </c>
      <c r="CN52" s="57">
        <v>469</v>
      </c>
      <c r="CO52" s="57">
        <v>276</v>
      </c>
      <c r="CP52" s="57">
        <v>428</v>
      </c>
      <c r="CQ52" s="57">
        <v>518</v>
      </c>
      <c r="CR52" s="57">
        <v>502</v>
      </c>
      <c r="CS52" s="57">
        <v>2193</v>
      </c>
      <c r="CT52" s="57"/>
      <c r="CU52" s="57" t="s">
        <v>2018</v>
      </c>
      <c r="CV52" s="57">
        <v>150</v>
      </c>
      <c r="CW52" s="57">
        <v>0</v>
      </c>
      <c r="CX52" s="57">
        <v>0</v>
      </c>
      <c r="CY52" s="57">
        <v>0</v>
      </c>
      <c r="CZ52" s="57">
        <v>0</v>
      </c>
      <c r="DA52" s="57">
        <v>150</v>
      </c>
      <c r="DD52" s="77" t="s">
        <v>1603</v>
      </c>
      <c r="DE52" s="77" t="s">
        <v>2032</v>
      </c>
      <c r="DF52" s="77" t="s">
        <v>324</v>
      </c>
      <c r="DG52" s="77" t="s">
        <v>324</v>
      </c>
      <c r="DH52" s="77" t="s">
        <v>324</v>
      </c>
      <c r="DI52" s="77" t="s">
        <v>324</v>
      </c>
      <c r="DJ52" s="77" t="s">
        <v>324</v>
      </c>
      <c r="DK52" s="77" t="s">
        <v>324</v>
      </c>
      <c r="DL52" s="77"/>
      <c r="DM52" s="77" t="s">
        <v>2032</v>
      </c>
      <c r="DN52" s="77" t="s">
        <v>324</v>
      </c>
      <c r="DO52" s="77" t="s">
        <v>324</v>
      </c>
      <c r="DP52" s="77" t="s">
        <v>324</v>
      </c>
      <c r="DQ52" s="77" t="s">
        <v>324</v>
      </c>
      <c r="DR52" s="77" t="s">
        <v>324</v>
      </c>
      <c r="DS52" s="77" t="s">
        <v>324</v>
      </c>
      <c r="DU52" s="16" t="s">
        <v>1627</v>
      </c>
      <c r="DV52" s="79" t="s">
        <v>2664</v>
      </c>
      <c r="DW52" s="79" t="s">
        <v>2028</v>
      </c>
      <c r="DX52" s="79">
        <v>619</v>
      </c>
      <c r="DY52" s="79">
        <v>517</v>
      </c>
      <c r="DZ52" s="79">
        <v>565</v>
      </c>
      <c r="EA52" s="79">
        <v>618</v>
      </c>
      <c r="EB52" s="79">
        <v>471</v>
      </c>
      <c r="EC52" s="79">
        <v>2790</v>
      </c>
      <c r="ED52" s="79"/>
      <c r="EE52" s="79" t="s">
        <v>2028</v>
      </c>
      <c r="EF52" s="79">
        <v>58</v>
      </c>
      <c r="EG52" s="79">
        <v>3</v>
      </c>
      <c r="EH52" s="79">
        <v>0</v>
      </c>
      <c r="EI52" s="79">
        <v>0</v>
      </c>
      <c r="EJ52" s="79">
        <v>0</v>
      </c>
      <c r="EK52" s="79">
        <v>61</v>
      </c>
      <c r="EN52" s="57" t="s">
        <v>1737</v>
      </c>
      <c r="EO52" s="57" t="s">
        <v>2018</v>
      </c>
      <c r="EP52" s="57">
        <v>278</v>
      </c>
      <c r="EQ52" s="57">
        <v>483</v>
      </c>
      <c r="ER52" s="57">
        <v>557</v>
      </c>
      <c r="ES52" s="57">
        <v>683</v>
      </c>
      <c r="ET52" s="57">
        <v>853</v>
      </c>
      <c r="EU52" s="57">
        <v>2854</v>
      </c>
      <c r="EV52" s="57"/>
      <c r="EW52" s="57" t="s">
        <v>2018</v>
      </c>
      <c r="EX52" s="57">
        <v>68</v>
      </c>
      <c r="EY52" s="57">
        <v>46</v>
      </c>
      <c r="EZ52" s="57">
        <v>18</v>
      </c>
      <c r="FA52" s="57">
        <v>15</v>
      </c>
      <c r="FB52" s="57">
        <v>23</v>
      </c>
      <c r="FC52" s="57">
        <v>170</v>
      </c>
      <c r="FF52" s="70" t="s">
        <v>1800</v>
      </c>
      <c r="FG52" s="70" t="s">
        <v>2018</v>
      </c>
      <c r="FH52" s="70">
        <v>137</v>
      </c>
      <c r="FI52" s="70">
        <v>147</v>
      </c>
      <c r="FJ52" s="70">
        <v>264</v>
      </c>
      <c r="FK52" s="70">
        <v>372</v>
      </c>
      <c r="FL52" s="70">
        <v>408</v>
      </c>
      <c r="FM52" s="70">
        <v>1328</v>
      </c>
      <c r="FN52" s="70"/>
      <c r="FO52" s="70" t="s">
        <v>2018</v>
      </c>
      <c r="FP52" s="70">
        <v>26</v>
      </c>
      <c r="FQ52" s="70">
        <v>3</v>
      </c>
      <c r="FR52" s="70">
        <v>5</v>
      </c>
      <c r="FS52" s="70">
        <v>3</v>
      </c>
      <c r="FT52" s="70">
        <v>2</v>
      </c>
      <c r="FU52" s="70">
        <v>39</v>
      </c>
    </row>
    <row r="53" spans="2:177">
      <c r="B53" s="64" t="s">
        <v>717</v>
      </c>
      <c r="C53" s="64" t="s">
        <v>2018</v>
      </c>
      <c r="D53" s="64">
        <v>207</v>
      </c>
      <c r="E53" s="64">
        <v>422</v>
      </c>
      <c r="F53" s="64">
        <v>553</v>
      </c>
      <c r="G53" s="64">
        <v>698</v>
      </c>
      <c r="H53" s="64">
        <v>555</v>
      </c>
      <c r="I53" s="64">
        <v>2435</v>
      </c>
      <c r="K53" s="64" t="s">
        <v>2018</v>
      </c>
      <c r="L53" s="64">
        <v>7</v>
      </c>
      <c r="M53" s="64">
        <v>1</v>
      </c>
      <c r="N53" s="64">
        <v>0</v>
      </c>
      <c r="O53" s="64">
        <v>0</v>
      </c>
      <c r="P53" s="64">
        <v>0</v>
      </c>
      <c r="Q53" s="64">
        <v>8</v>
      </c>
      <c r="T53" s="65" t="s">
        <v>1009</v>
      </c>
      <c r="U53" s="65" t="s">
        <v>2018</v>
      </c>
      <c r="V53" s="65">
        <v>1452</v>
      </c>
      <c r="W53" s="65">
        <v>1157</v>
      </c>
      <c r="X53" s="65">
        <v>1382</v>
      </c>
      <c r="Y53" s="65">
        <v>1401</v>
      </c>
      <c r="Z53" s="65">
        <v>927</v>
      </c>
      <c r="AA53" s="65">
        <v>6319</v>
      </c>
      <c r="AB53" s="65"/>
      <c r="AC53" s="65" t="s">
        <v>2018</v>
      </c>
      <c r="AD53" s="65">
        <v>81</v>
      </c>
      <c r="AE53" s="65">
        <v>9</v>
      </c>
      <c r="AF53" s="65">
        <v>1</v>
      </c>
      <c r="AG53" s="65">
        <v>0</v>
      </c>
      <c r="AH53" s="65">
        <v>1</v>
      </c>
      <c r="AI53" s="65">
        <v>92</v>
      </c>
      <c r="AK53" s="66" t="s">
        <v>1920</v>
      </c>
      <c r="AL53" s="66" t="s">
        <v>2017</v>
      </c>
      <c r="AM53" s="66">
        <v>852</v>
      </c>
      <c r="AN53" s="66">
        <v>760</v>
      </c>
      <c r="AO53" s="66">
        <v>732</v>
      </c>
      <c r="AP53" s="66">
        <v>725</v>
      </c>
      <c r="AQ53" s="66">
        <v>909</v>
      </c>
      <c r="AR53" s="66">
        <v>3978</v>
      </c>
      <c r="AS53" s="66"/>
      <c r="AT53" s="66" t="s">
        <v>2017</v>
      </c>
      <c r="AU53" s="66">
        <v>58</v>
      </c>
      <c r="AV53" s="66">
        <v>6</v>
      </c>
      <c r="AW53" s="66">
        <v>3</v>
      </c>
      <c r="AX53" s="66">
        <v>12</v>
      </c>
      <c r="AY53" s="66">
        <v>11</v>
      </c>
      <c r="AZ53" s="66">
        <v>90</v>
      </c>
      <c r="BB53" s="69" t="s">
        <v>1363</v>
      </c>
      <c r="BC53" s="69" t="s">
        <v>2017</v>
      </c>
      <c r="BD53" s="69">
        <v>111</v>
      </c>
      <c r="BE53" s="69">
        <v>124</v>
      </c>
      <c r="BF53" s="69">
        <v>292</v>
      </c>
      <c r="BG53" s="69">
        <v>458</v>
      </c>
      <c r="BH53" s="69">
        <v>477</v>
      </c>
      <c r="BI53" s="69">
        <v>1462</v>
      </c>
      <c r="BJ53" s="69"/>
      <c r="BK53" s="69" t="s">
        <v>2017</v>
      </c>
      <c r="BL53" s="69">
        <v>20</v>
      </c>
      <c r="BM53" s="69">
        <v>0</v>
      </c>
      <c r="BN53" s="69">
        <v>0</v>
      </c>
      <c r="BO53" s="69">
        <v>0</v>
      </c>
      <c r="BP53" s="69">
        <v>0</v>
      </c>
      <c r="BQ53" s="69">
        <v>20</v>
      </c>
      <c r="CL53" s="57" t="s">
        <v>356</v>
      </c>
      <c r="CM53" s="57" t="s">
        <v>2018</v>
      </c>
      <c r="CN53" s="57">
        <v>138</v>
      </c>
      <c r="CO53" s="57">
        <v>77</v>
      </c>
      <c r="CP53" s="57">
        <v>115</v>
      </c>
      <c r="CQ53" s="57">
        <v>178</v>
      </c>
      <c r="CR53" s="57">
        <v>164</v>
      </c>
      <c r="CS53" s="57">
        <v>672</v>
      </c>
      <c r="CT53" s="57"/>
      <c r="CU53" s="57" t="s">
        <v>2018</v>
      </c>
      <c r="CV53" s="57">
        <v>18</v>
      </c>
      <c r="CW53" s="57">
        <v>0</v>
      </c>
      <c r="CX53" s="57">
        <v>0</v>
      </c>
      <c r="CY53" s="57">
        <v>0</v>
      </c>
      <c r="CZ53" s="57">
        <v>0</v>
      </c>
      <c r="DA53" s="57">
        <v>18</v>
      </c>
      <c r="DD53" s="77" t="s">
        <v>1606</v>
      </c>
      <c r="DE53" s="77" t="s">
        <v>2032</v>
      </c>
      <c r="DF53" s="77" t="s">
        <v>324</v>
      </c>
      <c r="DG53" s="77" t="s">
        <v>324</v>
      </c>
      <c r="DH53" s="77" t="s">
        <v>324</v>
      </c>
      <c r="DI53" s="77" t="s">
        <v>324</v>
      </c>
      <c r="DJ53" s="77" t="s">
        <v>324</v>
      </c>
      <c r="DK53" s="77" t="s">
        <v>324</v>
      </c>
      <c r="DL53" s="77"/>
      <c r="DM53" s="77" t="s">
        <v>2032</v>
      </c>
      <c r="DN53" s="77" t="s">
        <v>324</v>
      </c>
      <c r="DO53" s="77" t="s">
        <v>324</v>
      </c>
      <c r="DP53" s="77" t="s">
        <v>324</v>
      </c>
      <c r="DQ53" s="77" t="s">
        <v>324</v>
      </c>
      <c r="DR53" s="77" t="s">
        <v>324</v>
      </c>
      <c r="DS53" s="77" t="s">
        <v>324</v>
      </c>
      <c r="DU53" s="16" t="s">
        <v>1632</v>
      </c>
      <c r="DV53" s="79" t="s">
        <v>2667</v>
      </c>
      <c r="DW53" s="79" t="s">
        <v>2028</v>
      </c>
      <c r="DX53" s="79">
        <v>260</v>
      </c>
      <c r="DY53" s="79">
        <v>317</v>
      </c>
      <c r="DZ53" s="79">
        <v>369</v>
      </c>
      <c r="EA53" s="79">
        <v>372</v>
      </c>
      <c r="EB53" s="79">
        <v>305</v>
      </c>
      <c r="EC53" s="79">
        <v>1623</v>
      </c>
      <c r="ED53" s="79"/>
      <c r="EE53" s="79" t="s">
        <v>2028</v>
      </c>
      <c r="EF53" s="79">
        <v>20</v>
      </c>
      <c r="EG53" s="79">
        <v>0</v>
      </c>
      <c r="EH53" s="79">
        <v>0</v>
      </c>
      <c r="EI53" s="79">
        <v>0</v>
      </c>
      <c r="EJ53" s="79">
        <v>0</v>
      </c>
      <c r="EK53" s="79">
        <v>20</v>
      </c>
      <c r="EN53" s="57" t="s">
        <v>1740</v>
      </c>
      <c r="EO53" s="57" t="s">
        <v>2018</v>
      </c>
      <c r="EP53" s="57">
        <v>170</v>
      </c>
      <c r="EQ53" s="57">
        <v>266</v>
      </c>
      <c r="ER53" s="57">
        <v>323</v>
      </c>
      <c r="ES53" s="57">
        <v>430</v>
      </c>
      <c r="ET53" s="57">
        <v>550</v>
      </c>
      <c r="EU53" s="57">
        <v>1739</v>
      </c>
      <c r="EV53" s="57"/>
      <c r="EW53" s="57" t="s">
        <v>2018</v>
      </c>
      <c r="EX53" s="57">
        <v>18</v>
      </c>
      <c r="EY53" s="57">
        <v>8</v>
      </c>
      <c r="EZ53" s="57">
        <v>1</v>
      </c>
      <c r="FA53" s="57">
        <v>5</v>
      </c>
      <c r="FB53" s="57">
        <v>2</v>
      </c>
      <c r="FC53" s="57">
        <v>34</v>
      </c>
      <c r="FF53" s="70" t="s">
        <v>2005</v>
      </c>
      <c r="FG53" s="70" t="s">
        <v>2018</v>
      </c>
      <c r="FH53" s="70">
        <v>142</v>
      </c>
      <c r="FI53" s="70">
        <v>248</v>
      </c>
      <c r="FJ53" s="70">
        <v>313</v>
      </c>
      <c r="FK53" s="70">
        <v>379</v>
      </c>
      <c r="FL53" s="70">
        <v>483</v>
      </c>
      <c r="FM53" s="70">
        <v>1565</v>
      </c>
      <c r="FN53" s="70"/>
      <c r="FO53" s="70" t="s">
        <v>2018</v>
      </c>
      <c r="FP53" s="70">
        <v>12</v>
      </c>
      <c r="FQ53" s="70">
        <v>6</v>
      </c>
      <c r="FR53" s="70">
        <v>2</v>
      </c>
      <c r="FS53" s="70">
        <v>7</v>
      </c>
      <c r="FT53" s="70">
        <v>1</v>
      </c>
      <c r="FU53" s="70">
        <v>28</v>
      </c>
    </row>
    <row r="54" spans="2:177">
      <c r="B54" s="64" t="s">
        <v>721</v>
      </c>
      <c r="C54" s="64" t="s">
        <v>2018</v>
      </c>
      <c r="D54" s="64">
        <v>1043</v>
      </c>
      <c r="E54" s="64">
        <v>759</v>
      </c>
      <c r="F54" s="64">
        <v>890</v>
      </c>
      <c r="G54" s="64">
        <v>852</v>
      </c>
      <c r="H54" s="64">
        <v>633</v>
      </c>
      <c r="I54" s="64">
        <v>4177</v>
      </c>
      <c r="K54" s="64" t="s">
        <v>2018</v>
      </c>
      <c r="L54" s="64">
        <v>115</v>
      </c>
      <c r="M54" s="64">
        <v>4</v>
      </c>
      <c r="N54" s="64">
        <v>1</v>
      </c>
      <c r="O54" s="64">
        <v>1</v>
      </c>
      <c r="P54" s="64">
        <v>1</v>
      </c>
      <c r="Q54" s="64">
        <v>122</v>
      </c>
      <c r="T54" s="65" t="s">
        <v>1014</v>
      </c>
      <c r="U54" s="65" t="s">
        <v>2018</v>
      </c>
      <c r="V54" s="65">
        <v>877</v>
      </c>
      <c r="W54" s="65">
        <v>477</v>
      </c>
      <c r="X54" s="65">
        <v>536</v>
      </c>
      <c r="Y54" s="65">
        <v>569</v>
      </c>
      <c r="Z54" s="65">
        <v>439</v>
      </c>
      <c r="AA54" s="65">
        <v>2898</v>
      </c>
      <c r="AB54" s="65"/>
      <c r="AC54" s="65" t="s">
        <v>2018</v>
      </c>
      <c r="AD54" s="65">
        <v>17</v>
      </c>
      <c r="AE54" s="65">
        <v>0</v>
      </c>
      <c r="AF54" s="65">
        <v>0</v>
      </c>
      <c r="AG54" s="65">
        <v>0</v>
      </c>
      <c r="AH54" s="65">
        <v>0</v>
      </c>
      <c r="AI54" s="65">
        <v>17</v>
      </c>
      <c r="AK54" s="66" t="s">
        <v>1922</v>
      </c>
      <c r="AL54" s="66" t="s">
        <v>2017</v>
      </c>
      <c r="AM54" s="66">
        <v>960</v>
      </c>
      <c r="AN54" s="66">
        <v>761</v>
      </c>
      <c r="AO54" s="66">
        <v>823</v>
      </c>
      <c r="AP54" s="66">
        <v>804</v>
      </c>
      <c r="AQ54" s="66">
        <v>905</v>
      </c>
      <c r="AR54" s="66">
        <v>4253</v>
      </c>
      <c r="AS54" s="66"/>
      <c r="AT54" s="66" t="s">
        <v>2017</v>
      </c>
      <c r="AU54" s="66">
        <v>123</v>
      </c>
      <c r="AV54" s="66">
        <v>22</v>
      </c>
      <c r="AW54" s="66">
        <v>12</v>
      </c>
      <c r="AX54" s="66">
        <v>12</v>
      </c>
      <c r="AY54" s="66">
        <v>17</v>
      </c>
      <c r="AZ54" s="66">
        <v>186</v>
      </c>
      <c r="BB54" s="69" t="s">
        <v>1366</v>
      </c>
      <c r="BC54" s="69" t="s">
        <v>2017</v>
      </c>
      <c r="BD54" s="69">
        <v>167</v>
      </c>
      <c r="BE54" s="69">
        <v>174</v>
      </c>
      <c r="BF54" s="69">
        <v>285</v>
      </c>
      <c r="BG54" s="69">
        <v>433</v>
      </c>
      <c r="BH54" s="69">
        <v>410</v>
      </c>
      <c r="BI54" s="69">
        <v>1469</v>
      </c>
      <c r="BJ54" s="69"/>
      <c r="BK54" s="69" t="s">
        <v>2017</v>
      </c>
      <c r="BL54" s="69">
        <v>39</v>
      </c>
      <c r="BM54" s="69">
        <v>0</v>
      </c>
      <c r="BN54" s="69">
        <v>0</v>
      </c>
      <c r="BO54" s="69">
        <v>0</v>
      </c>
      <c r="BP54" s="69">
        <v>0</v>
      </c>
      <c r="BQ54" s="69">
        <v>39</v>
      </c>
      <c r="BS54" s="70" t="s">
        <v>459</v>
      </c>
      <c r="BT54" s="70" t="s">
        <v>2028</v>
      </c>
      <c r="BU54" s="70">
        <v>91</v>
      </c>
      <c r="BV54" s="70">
        <v>74</v>
      </c>
      <c r="BW54" s="70">
        <v>96</v>
      </c>
      <c r="BX54" s="70">
        <v>96</v>
      </c>
      <c r="BY54" s="70">
        <v>126</v>
      </c>
      <c r="BZ54" s="70">
        <v>483</v>
      </c>
      <c r="CA54" s="70"/>
      <c r="CB54" s="70" t="s">
        <v>2028</v>
      </c>
      <c r="CC54" s="70">
        <v>23</v>
      </c>
      <c r="CD54" s="70">
        <v>0</v>
      </c>
      <c r="CE54" s="70">
        <v>0</v>
      </c>
      <c r="CF54" s="70">
        <v>0</v>
      </c>
      <c r="CG54" s="70">
        <v>0</v>
      </c>
      <c r="CH54" s="70">
        <v>23</v>
      </c>
      <c r="CL54" s="57" t="s">
        <v>358</v>
      </c>
      <c r="CM54" s="57" t="s">
        <v>2018</v>
      </c>
      <c r="CN54" s="57">
        <v>91</v>
      </c>
      <c r="CO54" s="57">
        <v>72</v>
      </c>
      <c r="CP54" s="57">
        <v>141</v>
      </c>
      <c r="CQ54" s="57">
        <v>201</v>
      </c>
      <c r="CR54" s="57">
        <v>218</v>
      </c>
      <c r="CS54" s="57">
        <v>723</v>
      </c>
      <c r="CT54" s="57"/>
      <c r="CU54" s="57" t="s">
        <v>2018</v>
      </c>
      <c r="CV54" s="57">
        <v>15</v>
      </c>
      <c r="CW54" s="57">
        <v>0</v>
      </c>
      <c r="CX54" s="57">
        <v>0</v>
      </c>
      <c r="CY54" s="57">
        <v>0</v>
      </c>
      <c r="CZ54" s="57">
        <v>0</v>
      </c>
      <c r="DA54" s="57">
        <v>15</v>
      </c>
      <c r="DD54" s="77" t="s">
        <v>1609</v>
      </c>
      <c r="DE54" s="77" t="s">
        <v>2032</v>
      </c>
      <c r="DF54" s="77">
        <v>176</v>
      </c>
      <c r="DG54" s="77">
        <v>172</v>
      </c>
      <c r="DH54" s="77">
        <v>193</v>
      </c>
      <c r="DI54" s="77">
        <v>214</v>
      </c>
      <c r="DJ54" s="77">
        <v>210</v>
      </c>
      <c r="DK54" s="77">
        <v>965</v>
      </c>
      <c r="DL54" s="77"/>
      <c r="DM54" s="77" t="s">
        <v>2032</v>
      </c>
      <c r="DN54" s="77">
        <v>25</v>
      </c>
      <c r="DO54" s="77">
        <v>9</v>
      </c>
      <c r="DP54" s="77">
        <v>2</v>
      </c>
      <c r="DQ54" s="77">
        <v>0</v>
      </c>
      <c r="DR54" s="77">
        <v>0</v>
      </c>
      <c r="DS54" s="77">
        <v>36</v>
      </c>
      <c r="DU54" s="16" t="s">
        <v>1636</v>
      </c>
      <c r="DV54" s="79" t="s">
        <v>2694</v>
      </c>
      <c r="DW54" s="79" t="s">
        <v>2028</v>
      </c>
      <c r="DX54" s="79">
        <v>793</v>
      </c>
      <c r="DY54" s="79">
        <v>1011</v>
      </c>
      <c r="DZ54" s="79">
        <v>1000</v>
      </c>
      <c r="EA54" s="79">
        <v>1017</v>
      </c>
      <c r="EB54" s="79">
        <v>757</v>
      </c>
      <c r="EC54" s="79">
        <v>4578</v>
      </c>
      <c r="ED54" s="79"/>
      <c r="EE54" s="79" t="s">
        <v>2028</v>
      </c>
      <c r="EF54" s="79">
        <v>39</v>
      </c>
      <c r="EG54" s="79">
        <v>1</v>
      </c>
      <c r="EH54" s="79">
        <v>0</v>
      </c>
      <c r="EI54" s="79">
        <v>0</v>
      </c>
      <c r="EJ54" s="79">
        <v>0</v>
      </c>
      <c r="EK54" s="79">
        <v>40</v>
      </c>
      <c r="EN54" s="57" t="s">
        <v>1995</v>
      </c>
      <c r="EO54" s="57" t="s">
        <v>2018</v>
      </c>
      <c r="EP54" s="57" t="s">
        <v>324</v>
      </c>
      <c r="EQ54" s="57" t="s">
        <v>324</v>
      </c>
      <c r="ER54" s="57" t="s">
        <v>324</v>
      </c>
      <c r="ES54" s="57" t="s">
        <v>324</v>
      </c>
      <c r="ET54" s="57" t="s">
        <v>324</v>
      </c>
      <c r="EU54" s="57" t="s">
        <v>324</v>
      </c>
      <c r="EV54" s="57"/>
      <c r="EW54" s="57" t="s">
        <v>2018</v>
      </c>
      <c r="EX54" s="57" t="s">
        <v>324</v>
      </c>
      <c r="EY54" s="57" t="s">
        <v>324</v>
      </c>
      <c r="EZ54" s="57" t="s">
        <v>324</v>
      </c>
      <c r="FA54" s="57" t="s">
        <v>324</v>
      </c>
      <c r="FB54" s="57" t="s">
        <v>324</v>
      </c>
      <c r="FC54" s="57" t="s">
        <v>324</v>
      </c>
      <c r="FF54" s="70" t="s">
        <v>2006</v>
      </c>
      <c r="FG54" s="70" t="s">
        <v>2018</v>
      </c>
      <c r="FH54" s="70" t="s">
        <v>324</v>
      </c>
      <c r="FI54" s="70" t="s">
        <v>324</v>
      </c>
      <c r="FJ54" s="70" t="s">
        <v>324</v>
      </c>
      <c r="FK54" s="70" t="s">
        <v>324</v>
      </c>
      <c r="FL54" s="70" t="s">
        <v>324</v>
      </c>
      <c r="FM54" s="70" t="s">
        <v>324</v>
      </c>
      <c r="FN54" s="70"/>
      <c r="FO54" s="70" t="s">
        <v>2018</v>
      </c>
      <c r="FP54" s="70" t="s">
        <v>324</v>
      </c>
      <c r="FQ54" s="70" t="s">
        <v>324</v>
      </c>
      <c r="FR54" s="70" t="s">
        <v>324</v>
      </c>
      <c r="FS54" s="70" t="s">
        <v>324</v>
      </c>
      <c r="FT54" s="70" t="s">
        <v>324</v>
      </c>
      <c r="FU54" s="70" t="s">
        <v>324</v>
      </c>
    </row>
    <row r="55" spans="2:177">
      <c r="B55" s="64" t="s">
        <v>726</v>
      </c>
      <c r="C55" s="64" t="s">
        <v>2018</v>
      </c>
      <c r="D55" s="64">
        <v>843</v>
      </c>
      <c r="E55" s="64">
        <v>1058</v>
      </c>
      <c r="F55" s="64">
        <v>1488</v>
      </c>
      <c r="G55" s="64">
        <v>1567</v>
      </c>
      <c r="H55" s="64">
        <v>1038</v>
      </c>
      <c r="I55" s="64">
        <v>5994</v>
      </c>
      <c r="K55" s="64" t="s">
        <v>2018</v>
      </c>
      <c r="L55" s="64">
        <v>49</v>
      </c>
      <c r="M55" s="64">
        <v>11</v>
      </c>
      <c r="N55" s="64">
        <v>1</v>
      </c>
      <c r="O55" s="64">
        <v>0</v>
      </c>
      <c r="P55" s="64">
        <v>0</v>
      </c>
      <c r="Q55" s="64">
        <v>61</v>
      </c>
      <c r="T55" s="65" t="s">
        <v>1905</v>
      </c>
      <c r="U55" s="65" t="s">
        <v>2018</v>
      </c>
      <c r="V55" s="65">
        <v>198</v>
      </c>
      <c r="W55" s="65">
        <v>255</v>
      </c>
      <c r="X55" s="65">
        <v>377</v>
      </c>
      <c r="Y55" s="65">
        <v>431</v>
      </c>
      <c r="Z55" s="65">
        <v>347</v>
      </c>
      <c r="AA55" s="65">
        <v>1608</v>
      </c>
      <c r="AB55" s="65"/>
      <c r="AC55" s="65" t="s">
        <v>2018</v>
      </c>
      <c r="AD55" s="65">
        <v>9</v>
      </c>
      <c r="AE55" s="65">
        <v>1</v>
      </c>
      <c r="AF55" s="65">
        <v>1</v>
      </c>
      <c r="AG55" s="65">
        <v>0</v>
      </c>
      <c r="AH55" s="65">
        <v>0</v>
      </c>
      <c r="AI55" s="65">
        <v>11</v>
      </c>
      <c r="AK55" s="66" t="s">
        <v>1924</v>
      </c>
      <c r="AL55" s="66" t="s">
        <v>2017</v>
      </c>
      <c r="AM55" s="66">
        <v>602</v>
      </c>
      <c r="AN55" s="66">
        <v>441</v>
      </c>
      <c r="AO55" s="66">
        <v>197</v>
      </c>
      <c r="AP55" s="66">
        <v>114</v>
      </c>
      <c r="AQ55" s="66">
        <v>167</v>
      </c>
      <c r="AR55" s="66">
        <v>1521</v>
      </c>
      <c r="AS55" s="66"/>
      <c r="AT55" s="66" t="s">
        <v>2017</v>
      </c>
      <c r="AU55" s="66">
        <v>103</v>
      </c>
      <c r="AV55" s="66">
        <v>31</v>
      </c>
      <c r="AW55" s="66">
        <v>14</v>
      </c>
      <c r="AX55" s="66">
        <v>7</v>
      </c>
      <c r="AY55" s="66">
        <v>11</v>
      </c>
      <c r="AZ55" s="66">
        <v>166</v>
      </c>
      <c r="BB55" s="69" t="s">
        <v>1369</v>
      </c>
      <c r="BC55" s="69" t="s">
        <v>2017</v>
      </c>
      <c r="BD55" s="69">
        <v>180</v>
      </c>
      <c r="BE55" s="69">
        <v>182</v>
      </c>
      <c r="BF55" s="69">
        <v>387</v>
      </c>
      <c r="BG55" s="69">
        <v>625</v>
      </c>
      <c r="BH55" s="69">
        <v>626</v>
      </c>
      <c r="BI55" s="69">
        <v>2000</v>
      </c>
      <c r="BJ55" s="69"/>
      <c r="BK55" s="69" t="s">
        <v>2017</v>
      </c>
      <c r="BL55" s="69">
        <v>39</v>
      </c>
      <c r="BM55" s="69">
        <v>0</v>
      </c>
      <c r="BN55" s="69">
        <v>0</v>
      </c>
      <c r="BO55" s="69">
        <v>0</v>
      </c>
      <c r="BP55" s="69">
        <v>0</v>
      </c>
      <c r="BQ55" s="69">
        <v>39</v>
      </c>
      <c r="BS55" s="70" t="s">
        <v>460</v>
      </c>
      <c r="BT55" s="70" t="s">
        <v>2028</v>
      </c>
      <c r="BU55" s="70">
        <v>651</v>
      </c>
      <c r="BV55" s="70">
        <v>661</v>
      </c>
      <c r="BW55" s="70">
        <v>647</v>
      </c>
      <c r="BX55" s="70">
        <v>558</v>
      </c>
      <c r="BY55" s="70">
        <v>409</v>
      </c>
      <c r="BZ55" s="70">
        <v>2926</v>
      </c>
      <c r="CA55" s="70"/>
      <c r="CB55" s="70" t="s">
        <v>2028</v>
      </c>
      <c r="CC55" s="70">
        <v>179</v>
      </c>
      <c r="CD55" s="70">
        <v>12</v>
      </c>
      <c r="CE55" s="70">
        <v>0</v>
      </c>
      <c r="CF55" s="70">
        <v>0</v>
      </c>
      <c r="CG55" s="70">
        <v>0</v>
      </c>
      <c r="CH55" s="70">
        <v>191</v>
      </c>
      <c r="CL55" s="57" t="s">
        <v>357</v>
      </c>
      <c r="CM55" s="57" t="s">
        <v>2018</v>
      </c>
      <c r="CN55" s="57">
        <v>130</v>
      </c>
      <c r="CO55" s="57">
        <v>64</v>
      </c>
      <c r="CP55" s="57">
        <v>85</v>
      </c>
      <c r="CQ55" s="57">
        <v>116</v>
      </c>
      <c r="CR55" s="57">
        <v>145</v>
      </c>
      <c r="CS55" s="57">
        <v>540</v>
      </c>
      <c r="CT55" s="57"/>
      <c r="CU55" s="57" t="s">
        <v>2018</v>
      </c>
      <c r="CV55" s="57">
        <v>61</v>
      </c>
      <c r="CW55" s="57">
        <v>0</v>
      </c>
      <c r="CX55" s="57">
        <v>0</v>
      </c>
      <c r="CY55" s="57">
        <v>0</v>
      </c>
      <c r="CZ55" s="57">
        <v>0</v>
      </c>
      <c r="DA55" s="57">
        <v>61</v>
      </c>
      <c r="DD55" s="77" t="s">
        <v>1613</v>
      </c>
      <c r="DE55" s="77" t="s">
        <v>2032</v>
      </c>
      <c r="DF55" s="77">
        <v>218</v>
      </c>
      <c r="DG55" s="77">
        <v>353</v>
      </c>
      <c r="DH55" s="77">
        <v>496</v>
      </c>
      <c r="DI55" s="77">
        <v>584</v>
      </c>
      <c r="DJ55" s="77">
        <v>482</v>
      </c>
      <c r="DK55" s="77">
        <v>2133</v>
      </c>
      <c r="DL55" s="77"/>
      <c r="DM55" s="77" t="s">
        <v>2032</v>
      </c>
      <c r="DN55" s="77">
        <v>30</v>
      </c>
      <c r="DO55" s="77">
        <v>3</v>
      </c>
      <c r="DP55" s="77">
        <v>3</v>
      </c>
      <c r="DQ55" s="77">
        <v>0</v>
      </c>
      <c r="DR55" s="77">
        <v>0</v>
      </c>
      <c r="DS55" s="77">
        <v>36</v>
      </c>
      <c r="DU55" s="16" t="s">
        <v>1640</v>
      </c>
      <c r="DV55" s="79" t="s">
        <v>2682</v>
      </c>
      <c r="DW55" s="79" t="s">
        <v>2028</v>
      </c>
      <c r="DX55" s="79">
        <v>403</v>
      </c>
      <c r="DY55" s="79">
        <v>439</v>
      </c>
      <c r="DZ55" s="79">
        <v>657</v>
      </c>
      <c r="EA55" s="79">
        <v>681</v>
      </c>
      <c r="EB55" s="79">
        <v>637</v>
      </c>
      <c r="EC55" s="79">
        <v>2817</v>
      </c>
      <c r="ED55" s="79"/>
      <c r="EE55" s="79" t="s">
        <v>2028</v>
      </c>
      <c r="EF55" s="79">
        <v>39</v>
      </c>
      <c r="EG55" s="79">
        <v>2</v>
      </c>
      <c r="EH55" s="79">
        <v>0</v>
      </c>
      <c r="EI55" s="79">
        <v>0</v>
      </c>
      <c r="EJ55" s="79">
        <v>0</v>
      </c>
      <c r="EK55" s="79">
        <v>41</v>
      </c>
      <c r="EN55" s="57" t="s">
        <v>1996</v>
      </c>
      <c r="EO55" s="57" t="s">
        <v>2018</v>
      </c>
      <c r="EP55" s="57" t="s">
        <v>324</v>
      </c>
      <c r="EQ55" s="57" t="s">
        <v>324</v>
      </c>
      <c r="ER55" s="57" t="s">
        <v>324</v>
      </c>
      <c r="ES55" s="57" t="s">
        <v>324</v>
      </c>
      <c r="ET55" s="57" t="s">
        <v>324</v>
      </c>
      <c r="EU55" s="57" t="s">
        <v>324</v>
      </c>
      <c r="EV55" s="57"/>
      <c r="EW55" s="57" t="s">
        <v>2018</v>
      </c>
      <c r="EX55" s="57" t="s">
        <v>324</v>
      </c>
      <c r="EY55" s="57" t="s">
        <v>324</v>
      </c>
      <c r="EZ55" s="57" t="s">
        <v>324</v>
      </c>
      <c r="FA55" s="57" t="s">
        <v>324</v>
      </c>
      <c r="FB55" s="57" t="s">
        <v>324</v>
      </c>
      <c r="FC55" s="57" t="s">
        <v>324</v>
      </c>
      <c r="FF55" s="70" t="s">
        <v>1803</v>
      </c>
      <c r="FG55" s="70" t="s">
        <v>2018</v>
      </c>
      <c r="FH55" s="70">
        <v>1016</v>
      </c>
      <c r="FI55" s="70">
        <v>858</v>
      </c>
      <c r="FJ55" s="70">
        <v>774</v>
      </c>
      <c r="FK55" s="70">
        <v>814</v>
      </c>
      <c r="FL55" s="70">
        <v>1094</v>
      </c>
      <c r="FM55" s="70">
        <v>4556</v>
      </c>
      <c r="FN55" s="70"/>
      <c r="FO55" s="70" t="s">
        <v>2018</v>
      </c>
      <c r="FP55" s="70">
        <v>168</v>
      </c>
      <c r="FQ55" s="70">
        <v>0</v>
      </c>
      <c r="FR55" s="70">
        <v>0</v>
      </c>
      <c r="FS55" s="70">
        <v>0</v>
      </c>
      <c r="FT55" s="70">
        <v>0</v>
      </c>
      <c r="FU55" s="70">
        <v>168</v>
      </c>
    </row>
    <row r="56" spans="2:177">
      <c r="B56" s="64" t="s">
        <v>730</v>
      </c>
      <c r="C56" s="64" t="s">
        <v>2018</v>
      </c>
      <c r="D56" s="64">
        <v>813</v>
      </c>
      <c r="E56" s="64">
        <v>960</v>
      </c>
      <c r="F56" s="64">
        <v>1200</v>
      </c>
      <c r="G56" s="64">
        <v>1437</v>
      </c>
      <c r="H56" s="64">
        <v>951</v>
      </c>
      <c r="I56" s="64">
        <v>5361</v>
      </c>
      <c r="K56" s="64" t="s">
        <v>2018</v>
      </c>
      <c r="L56" s="64">
        <v>63</v>
      </c>
      <c r="M56" s="64">
        <v>3</v>
      </c>
      <c r="N56" s="64">
        <v>1</v>
      </c>
      <c r="O56" s="64">
        <v>0</v>
      </c>
      <c r="P56" s="64">
        <v>1</v>
      </c>
      <c r="Q56" s="64">
        <v>68</v>
      </c>
      <c r="T56" s="65" t="s">
        <v>1906</v>
      </c>
      <c r="U56" s="65" t="s">
        <v>2018</v>
      </c>
      <c r="V56" s="65">
        <v>131</v>
      </c>
      <c r="W56" s="65">
        <v>188</v>
      </c>
      <c r="X56" s="65">
        <v>288</v>
      </c>
      <c r="Y56" s="65">
        <v>362</v>
      </c>
      <c r="Z56" s="65">
        <v>284</v>
      </c>
      <c r="AA56" s="65">
        <v>1253</v>
      </c>
      <c r="AB56" s="65"/>
      <c r="AC56" s="65" t="s">
        <v>2018</v>
      </c>
      <c r="AD56" s="65">
        <v>9</v>
      </c>
      <c r="AE56" s="65">
        <v>2</v>
      </c>
      <c r="AF56" s="65">
        <v>1</v>
      </c>
      <c r="AG56" s="65">
        <v>0</v>
      </c>
      <c r="AH56" s="65">
        <v>1</v>
      </c>
      <c r="AI56" s="65">
        <v>13</v>
      </c>
      <c r="AK56" s="66" t="s">
        <v>1926</v>
      </c>
      <c r="AL56" s="66" t="s">
        <v>2017</v>
      </c>
      <c r="AM56" s="66">
        <v>523</v>
      </c>
      <c r="AN56" s="66">
        <v>634</v>
      </c>
      <c r="AO56" s="66">
        <v>613</v>
      </c>
      <c r="AP56" s="66">
        <v>552</v>
      </c>
      <c r="AQ56" s="66">
        <v>665</v>
      </c>
      <c r="AR56" s="66">
        <v>2987</v>
      </c>
      <c r="AS56" s="66"/>
      <c r="AT56" s="66" t="s">
        <v>2017</v>
      </c>
      <c r="AU56" s="66">
        <v>50</v>
      </c>
      <c r="AV56" s="66">
        <v>24</v>
      </c>
      <c r="AW56" s="66">
        <v>17</v>
      </c>
      <c r="AX56" s="66">
        <v>6</v>
      </c>
      <c r="AY56" s="66">
        <v>18</v>
      </c>
      <c r="AZ56" s="66">
        <v>115</v>
      </c>
      <c r="BB56" s="69" t="s">
        <v>1373</v>
      </c>
      <c r="BC56" s="69" t="s">
        <v>2017</v>
      </c>
      <c r="BD56" s="69">
        <v>57</v>
      </c>
      <c r="BE56" s="69">
        <v>85</v>
      </c>
      <c r="BF56" s="69">
        <v>178</v>
      </c>
      <c r="BG56" s="69">
        <v>283</v>
      </c>
      <c r="BH56" s="69">
        <v>277</v>
      </c>
      <c r="BI56" s="69">
        <v>880</v>
      </c>
      <c r="BJ56" s="69"/>
      <c r="BK56" s="69" t="s">
        <v>2017</v>
      </c>
      <c r="BL56" s="69">
        <v>15</v>
      </c>
      <c r="BM56" s="69">
        <v>0</v>
      </c>
      <c r="BN56" s="69">
        <v>0</v>
      </c>
      <c r="BO56" s="69">
        <v>0</v>
      </c>
      <c r="BP56" s="69">
        <v>0</v>
      </c>
      <c r="BQ56" s="69">
        <v>15</v>
      </c>
      <c r="BS56" s="70" t="s">
        <v>461</v>
      </c>
      <c r="BT56" s="70" t="s">
        <v>2028</v>
      </c>
      <c r="BU56" s="70">
        <v>1110</v>
      </c>
      <c r="BV56" s="70">
        <v>816</v>
      </c>
      <c r="BW56" s="70">
        <v>792</v>
      </c>
      <c r="BX56" s="70">
        <v>606</v>
      </c>
      <c r="BY56" s="70">
        <v>430</v>
      </c>
      <c r="BZ56" s="70">
        <v>3754</v>
      </c>
      <c r="CA56" s="70"/>
      <c r="CB56" s="70" t="s">
        <v>2028</v>
      </c>
      <c r="CC56" s="70">
        <v>262</v>
      </c>
      <c r="CD56" s="70">
        <v>11</v>
      </c>
      <c r="CE56" s="70">
        <v>0</v>
      </c>
      <c r="CF56" s="70">
        <v>0</v>
      </c>
      <c r="CG56" s="70">
        <v>0</v>
      </c>
      <c r="CH56" s="70">
        <v>273</v>
      </c>
      <c r="CL56" s="57" t="s">
        <v>361</v>
      </c>
      <c r="CM56" s="57" t="s">
        <v>2018</v>
      </c>
      <c r="CN56" s="57">
        <v>89</v>
      </c>
      <c r="CO56" s="57">
        <v>46</v>
      </c>
      <c r="CP56" s="57">
        <v>92</v>
      </c>
      <c r="CQ56" s="57">
        <v>107</v>
      </c>
      <c r="CR56" s="57">
        <v>110</v>
      </c>
      <c r="CS56" s="57">
        <v>444</v>
      </c>
      <c r="CT56" s="57"/>
      <c r="CU56" s="57" t="s">
        <v>2018</v>
      </c>
      <c r="CV56" s="57">
        <v>21</v>
      </c>
      <c r="CW56" s="57">
        <v>0</v>
      </c>
      <c r="CX56" s="57">
        <v>0</v>
      </c>
      <c r="CY56" s="57">
        <v>0</v>
      </c>
      <c r="CZ56" s="57">
        <v>0</v>
      </c>
      <c r="DA56" s="57">
        <v>21</v>
      </c>
      <c r="DD56" s="77" t="s">
        <v>1616</v>
      </c>
      <c r="DE56" s="77" t="s">
        <v>2032</v>
      </c>
      <c r="DF56" s="77">
        <v>346</v>
      </c>
      <c r="DG56" s="77">
        <v>459</v>
      </c>
      <c r="DH56" s="77">
        <v>492</v>
      </c>
      <c r="DI56" s="77">
        <v>531</v>
      </c>
      <c r="DJ56" s="77">
        <v>421</v>
      </c>
      <c r="DK56" s="77">
        <v>2249</v>
      </c>
      <c r="DL56" s="77"/>
      <c r="DM56" s="77" t="s">
        <v>2032</v>
      </c>
      <c r="DN56" s="77">
        <v>35</v>
      </c>
      <c r="DO56" s="77">
        <v>3</v>
      </c>
      <c r="DP56" s="77">
        <v>3</v>
      </c>
      <c r="DQ56" s="77">
        <v>0</v>
      </c>
      <c r="DR56" s="77">
        <v>0</v>
      </c>
      <c r="DS56" s="77">
        <v>41</v>
      </c>
      <c r="DU56" s="16" t="s">
        <v>1643</v>
      </c>
      <c r="DV56" s="79" t="s">
        <v>2685</v>
      </c>
      <c r="DW56" s="79" t="s">
        <v>2028</v>
      </c>
      <c r="DX56" s="79">
        <v>890</v>
      </c>
      <c r="DY56" s="79">
        <v>436</v>
      </c>
      <c r="DZ56" s="79">
        <v>448</v>
      </c>
      <c r="EA56" s="79">
        <v>425</v>
      </c>
      <c r="EB56" s="79">
        <v>308</v>
      </c>
      <c r="EC56" s="79">
        <v>2507</v>
      </c>
      <c r="ED56" s="79"/>
      <c r="EE56" s="79" t="s">
        <v>2028</v>
      </c>
      <c r="EF56" s="79">
        <v>19</v>
      </c>
      <c r="EG56" s="79">
        <v>0</v>
      </c>
      <c r="EH56" s="79">
        <v>0</v>
      </c>
      <c r="EI56" s="79">
        <v>0</v>
      </c>
      <c r="EJ56" s="79">
        <v>0</v>
      </c>
      <c r="EK56" s="79">
        <v>19</v>
      </c>
      <c r="EN56" s="57" t="s">
        <v>1997</v>
      </c>
      <c r="EO56" s="57" t="s">
        <v>2018</v>
      </c>
      <c r="EP56" s="57" t="s">
        <v>324</v>
      </c>
      <c r="EQ56" s="57" t="s">
        <v>324</v>
      </c>
      <c r="ER56" s="57" t="s">
        <v>324</v>
      </c>
      <c r="ES56" s="57" t="s">
        <v>324</v>
      </c>
      <c r="ET56" s="57" t="s">
        <v>324</v>
      </c>
      <c r="EU56" s="57" t="s">
        <v>324</v>
      </c>
      <c r="EV56" s="57"/>
      <c r="EW56" s="57" t="s">
        <v>2018</v>
      </c>
      <c r="EX56" s="57" t="s">
        <v>324</v>
      </c>
      <c r="EY56" s="57" t="s">
        <v>324</v>
      </c>
      <c r="EZ56" s="57" t="s">
        <v>324</v>
      </c>
      <c r="FA56" s="57" t="s">
        <v>324</v>
      </c>
      <c r="FB56" s="57" t="s">
        <v>324</v>
      </c>
      <c r="FC56" s="57" t="s">
        <v>324</v>
      </c>
      <c r="FF56" s="70" t="s">
        <v>1806</v>
      </c>
      <c r="FG56" s="70" t="s">
        <v>2018</v>
      </c>
      <c r="FH56" s="70">
        <v>210</v>
      </c>
      <c r="FI56" s="70">
        <v>341</v>
      </c>
      <c r="FJ56" s="70">
        <v>330</v>
      </c>
      <c r="FK56" s="70">
        <v>381</v>
      </c>
      <c r="FL56" s="70">
        <v>496</v>
      </c>
      <c r="FM56" s="70">
        <v>1758</v>
      </c>
      <c r="FN56" s="70"/>
      <c r="FO56" s="70" t="s">
        <v>2018</v>
      </c>
      <c r="FP56" s="70">
        <v>56</v>
      </c>
      <c r="FQ56" s="70">
        <v>0</v>
      </c>
      <c r="FR56" s="70">
        <v>0</v>
      </c>
      <c r="FS56" s="70">
        <v>0</v>
      </c>
      <c r="FT56" s="70">
        <v>0</v>
      </c>
      <c r="FU56" s="70">
        <v>56</v>
      </c>
    </row>
    <row r="57" spans="2:177">
      <c r="B57" s="64" t="s">
        <v>736</v>
      </c>
      <c r="C57" s="64" t="s">
        <v>2018</v>
      </c>
      <c r="D57" s="64" t="s">
        <v>324</v>
      </c>
      <c r="E57" s="64" t="s">
        <v>324</v>
      </c>
      <c r="F57" s="64" t="s">
        <v>324</v>
      </c>
      <c r="G57" s="64" t="s">
        <v>324</v>
      </c>
      <c r="H57" s="64" t="s">
        <v>324</v>
      </c>
      <c r="I57" s="64" t="s">
        <v>324</v>
      </c>
      <c r="K57" s="64" t="s">
        <v>2018</v>
      </c>
      <c r="L57" s="64" t="s">
        <v>324</v>
      </c>
      <c r="M57" s="64" t="s">
        <v>324</v>
      </c>
      <c r="N57" s="64" t="s">
        <v>324</v>
      </c>
      <c r="O57" s="64" t="s">
        <v>324</v>
      </c>
      <c r="P57" s="64" t="s">
        <v>324</v>
      </c>
      <c r="Q57" s="64" t="s">
        <v>324</v>
      </c>
      <c r="T57" s="65" t="s">
        <v>1017</v>
      </c>
      <c r="U57" s="65" t="s">
        <v>2018</v>
      </c>
      <c r="V57" s="65">
        <v>1128</v>
      </c>
      <c r="W57" s="65">
        <v>996</v>
      </c>
      <c r="X57" s="65">
        <v>1433</v>
      </c>
      <c r="Y57" s="65">
        <v>1700</v>
      </c>
      <c r="Z57" s="65">
        <v>1332</v>
      </c>
      <c r="AA57" s="65">
        <v>6589</v>
      </c>
      <c r="AB57" s="65"/>
      <c r="AC57" s="65" t="s">
        <v>2018</v>
      </c>
      <c r="AD57" s="65">
        <v>34</v>
      </c>
      <c r="AE57" s="65">
        <v>0</v>
      </c>
      <c r="AF57" s="65">
        <v>0</v>
      </c>
      <c r="AG57" s="65">
        <v>0</v>
      </c>
      <c r="AH57" s="65">
        <v>0</v>
      </c>
      <c r="AI57" s="65">
        <v>34</v>
      </c>
      <c r="AK57" s="66" t="s">
        <v>1928</v>
      </c>
      <c r="AL57" s="66" t="s">
        <v>2017</v>
      </c>
      <c r="AM57" s="66">
        <v>721</v>
      </c>
      <c r="AN57" s="66">
        <v>851</v>
      </c>
      <c r="AO57" s="66">
        <v>652</v>
      </c>
      <c r="AP57" s="66">
        <v>666</v>
      </c>
      <c r="AQ57" s="66">
        <v>872</v>
      </c>
      <c r="AR57" s="66">
        <v>3762</v>
      </c>
      <c r="AS57" s="66"/>
      <c r="AT57" s="66" t="s">
        <v>2017</v>
      </c>
      <c r="AU57" s="66">
        <v>57</v>
      </c>
      <c r="AV57" s="66">
        <v>12</v>
      </c>
      <c r="AW57" s="66">
        <v>3</v>
      </c>
      <c r="AX57" s="66">
        <v>6</v>
      </c>
      <c r="AY57" s="66">
        <v>8</v>
      </c>
      <c r="AZ57" s="66">
        <v>86</v>
      </c>
      <c r="BB57" s="69" t="s">
        <v>41</v>
      </c>
      <c r="BC57" s="69" t="s">
        <v>2017</v>
      </c>
      <c r="BD57" s="69">
        <v>359</v>
      </c>
      <c r="BE57" s="69">
        <v>468</v>
      </c>
      <c r="BF57" s="69">
        <v>860</v>
      </c>
      <c r="BG57" s="69">
        <v>1189</v>
      </c>
      <c r="BH57" s="69">
        <v>1206</v>
      </c>
      <c r="BI57" s="69">
        <v>4082</v>
      </c>
      <c r="BJ57" s="69"/>
      <c r="BK57" s="69" t="s">
        <v>2017</v>
      </c>
      <c r="BL57" s="69">
        <v>55</v>
      </c>
      <c r="BM57" s="69">
        <v>2</v>
      </c>
      <c r="BN57" s="69">
        <v>0</v>
      </c>
      <c r="BO57" s="69">
        <v>0</v>
      </c>
      <c r="BP57" s="69">
        <v>0</v>
      </c>
      <c r="BQ57" s="69">
        <v>57</v>
      </c>
      <c r="BS57" s="70" t="s">
        <v>463</v>
      </c>
      <c r="BT57" s="70" t="s">
        <v>2028</v>
      </c>
      <c r="BU57" s="70" t="s">
        <v>324</v>
      </c>
      <c r="BV57" s="70" t="s">
        <v>324</v>
      </c>
      <c r="BW57" s="70" t="s">
        <v>324</v>
      </c>
      <c r="BX57" s="70" t="s">
        <v>324</v>
      </c>
      <c r="BY57" s="70" t="s">
        <v>324</v>
      </c>
      <c r="BZ57" s="70" t="s">
        <v>324</v>
      </c>
      <c r="CA57" s="70"/>
      <c r="CB57" s="70" t="s">
        <v>2028</v>
      </c>
      <c r="CC57" s="70" t="s">
        <v>324</v>
      </c>
      <c r="CD57" s="70" t="s">
        <v>324</v>
      </c>
      <c r="CE57" s="70" t="s">
        <v>324</v>
      </c>
      <c r="CF57" s="70" t="s">
        <v>324</v>
      </c>
      <c r="CG57" s="70" t="s">
        <v>324</v>
      </c>
      <c r="CH57" s="70" t="s">
        <v>324</v>
      </c>
      <c r="CL57" s="57" t="s">
        <v>359</v>
      </c>
      <c r="CM57" s="57" t="s">
        <v>2018</v>
      </c>
      <c r="CN57" s="57">
        <v>54</v>
      </c>
      <c r="CO57" s="57">
        <v>51</v>
      </c>
      <c r="CP57" s="57">
        <v>94</v>
      </c>
      <c r="CQ57" s="57">
        <v>132</v>
      </c>
      <c r="CR57" s="57">
        <v>173</v>
      </c>
      <c r="CS57" s="57">
        <v>504</v>
      </c>
      <c r="CT57" s="57"/>
      <c r="CU57" s="57" t="s">
        <v>2018</v>
      </c>
      <c r="CV57" s="57">
        <v>12</v>
      </c>
      <c r="CW57" s="57">
        <v>0</v>
      </c>
      <c r="CX57" s="57">
        <v>0</v>
      </c>
      <c r="CY57" s="57">
        <v>0</v>
      </c>
      <c r="CZ57" s="57">
        <v>0</v>
      </c>
      <c r="DA57" s="57">
        <v>12</v>
      </c>
      <c r="DD57" s="77" t="s">
        <v>1620</v>
      </c>
      <c r="DE57" s="77" t="s">
        <v>2032</v>
      </c>
      <c r="DF57" s="77">
        <v>265</v>
      </c>
      <c r="DG57" s="77">
        <v>281</v>
      </c>
      <c r="DH57" s="77">
        <v>378</v>
      </c>
      <c r="DI57" s="77">
        <v>506</v>
      </c>
      <c r="DJ57" s="77">
        <v>528</v>
      </c>
      <c r="DK57" s="77">
        <v>1958</v>
      </c>
      <c r="DL57" s="77"/>
      <c r="DM57" s="77" t="s">
        <v>2032</v>
      </c>
      <c r="DN57" s="77">
        <v>35</v>
      </c>
      <c r="DO57" s="77">
        <v>2</v>
      </c>
      <c r="DP57" s="77">
        <v>1</v>
      </c>
      <c r="DQ57" s="77">
        <v>1</v>
      </c>
      <c r="DR57" s="77">
        <v>0</v>
      </c>
      <c r="DS57" s="77">
        <v>39</v>
      </c>
      <c r="DU57" s="16" t="s">
        <v>1646</v>
      </c>
      <c r="DV57" s="79" t="s">
        <v>2679</v>
      </c>
      <c r="DW57" s="79" t="s">
        <v>2028</v>
      </c>
      <c r="DX57" s="79">
        <v>198</v>
      </c>
      <c r="DY57" s="79">
        <v>204</v>
      </c>
      <c r="DZ57" s="79">
        <v>226</v>
      </c>
      <c r="EA57" s="79">
        <v>247</v>
      </c>
      <c r="EB57" s="79">
        <v>194</v>
      </c>
      <c r="EC57" s="79">
        <v>1069</v>
      </c>
      <c r="ED57" s="79"/>
      <c r="EE57" s="79" t="s">
        <v>2028</v>
      </c>
      <c r="EF57" s="79">
        <v>14</v>
      </c>
      <c r="EG57" s="79">
        <v>0</v>
      </c>
      <c r="EH57" s="79">
        <v>0</v>
      </c>
      <c r="EI57" s="79">
        <v>0</v>
      </c>
      <c r="EJ57" s="79">
        <v>0</v>
      </c>
      <c r="EK57" s="79">
        <v>14</v>
      </c>
      <c r="EN57" s="57" t="s">
        <v>1747</v>
      </c>
      <c r="EO57" s="57" t="s">
        <v>2018</v>
      </c>
      <c r="EP57" s="57">
        <v>297</v>
      </c>
      <c r="EQ57" s="57">
        <v>500</v>
      </c>
      <c r="ER57" s="57">
        <v>639</v>
      </c>
      <c r="ES57" s="57">
        <v>678</v>
      </c>
      <c r="ET57" s="57">
        <v>851</v>
      </c>
      <c r="EU57" s="57">
        <v>2965</v>
      </c>
      <c r="EV57" s="57"/>
      <c r="EW57" s="57" t="s">
        <v>2018</v>
      </c>
      <c r="EX57" s="57">
        <v>49</v>
      </c>
      <c r="EY57" s="57">
        <v>19</v>
      </c>
      <c r="EZ57" s="57">
        <v>12</v>
      </c>
      <c r="FA57" s="57">
        <v>5</v>
      </c>
      <c r="FB57" s="57">
        <v>14</v>
      </c>
      <c r="FC57" s="57">
        <v>99</v>
      </c>
      <c r="FF57" s="70" t="s">
        <v>1807</v>
      </c>
      <c r="FG57" s="70" t="s">
        <v>2018</v>
      </c>
      <c r="FH57" s="70">
        <v>203</v>
      </c>
      <c r="FI57" s="70">
        <v>238</v>
      </c>
      <c r="FJ57" s="70">
        <v>233</v>
      </c>
      <c r="FK57" s="70">
        <v>282</v>
      </c>
      <c r="FL57" s="70">
        <v>317</v>
      </c>
      <c r="FM57" s="70">
        <v>1273</v>
      </c>
      <c r="FN57" s="70"/>
      <c r="FO57" s="70" t="s">
        <v>2018</v>
      </c>
      <c r="FP57" s="70">
        <v>48</v>
      </c>
      <c r="FQ57" s="70">
        <v>29</v>
      </c>
      <c r="FR57" s="70">
        <v>14</v>
      </c>
      <c r="FS57" s="70">
        <v>5</v>
      </c>
      <c r="FT57" s="70">
        <v>0</v>
      </c>
      <c r="FU57" s="70">
        <v>96</v>
      </c>
    </row>
    <row r="58" spans="2:177">
      <c r="B58" s="64" t="s">
        <v>741</v>
      </c>
      <c r="C58" s="64" t="s">
        <v>2018</v>
      </c>
      <c r="D58" s="64" t="s">
        <v>324</v>
      </c>
      <c r="E58" s="64" t="s">
        <v>324</v>
      </c>
      <c r="F58" s="64" t="s">
        <v>324</v>
      </c>
      <c r="G58" s="64" t="s">
        <v>324</v>
      </c>
      <c r="H58" s="64" t="s">
        <v>324</v>
      </c>
      <c r="I58" s="64" t="s">
        <v>324</v>
      </c>
      <c r="K58" s="64" t="s">
        <v>2018</v>
      </c>
      <c r="L58" s="64" t="s">
        <v>324</v>
      </c>
      <c r="M58" s="64" t="s">
        <v>324</v>
      </c>
      <c r="N58" s="64" t="s">
        <v>324</v>
      </c>
      <c r="O58" s="64" t="s">
        <v>324</v>
      </c>
      <c r="P58" s="64" t="s">
        <v>324</v>
      </c>
      <c r="Q58" s="64" t="s">
        <v>324</v>
      </c>
      <c r="T58" s="65" t="s">
        <v>1907</v>
      </c>
      <c r="U58" s="65" t="s">
        <v>2018</v>
      </c>
      <c r="V58" s="65" t="s">
        <v>324</v>
      </c>
      <c r="W58" s="65" t="s">
        <v>324</v>
      </c>
      <c r="X58" s="65" t="s">
        <v>324</v>
      </c>
      <c r="Y58" s="65" t="s">
        <v>324</v>
      </c>
      <c r="Z58" s="65" t="s">
        <v>324</v>
      </c>
      <c r="AA58" s="65" t="s">
        <v>324</v>
      </c>
      <c r="AB58" s="65"/>
      <c r="AC58" s="65" t="s">
        <v>2018</v>
      </c>
      <c r="AD58" s="65" t="s">
        <v>324</v>
      </c>
      <c r="AE58" s="65" t="s">
        <v>324</v>
      </c>
      <c r="AF58" s="65" t="s">
        <v>324</v>
      </c>
      <c r="AG58" s="65" t="s">
        <v>324</v>
      </c>
      <c r="AH58" s="65" t="s">
        <v>324</v>
      </c>
      <c r="AI58" s="65" t="s">
        <v>324</v>
      </c>
      <c r="BB58" s="69" t="s">
        <v>1380</v>
      </c>
      <c r="BC58" s="69" t="s">
        <v>2017</v>
      </c>
      <c r="BD58" s="69">
        <v>315</v>
      </c>
      <c r="BE58" s="69">
        <v>440</v>
      </c>
      <c r="BF58" s="69">
        <v>694</v>
      </c>
      <c r="BG58" s="69">
        <v>969</v>
      </c>
      <c r="BH58" s="69">
        <v>908</v>
      </c>
      <c r="BI58" s="69">
        <v>3326</v>
      </c>
      <c r="BJ58" s="69"/>
      <c r="BK58" s="69" t="s">
        <v>2017</v>
      </c>
      <c r="BL58" s="69">
        <v>39</v>
      </c>
      <c r="BM58" s="69">
        <v>0</v>
      </c>
      <c r="BN58" s="69">
        <v>0</v>
      </c>
      <c r="BO58" s="69">
        <v>0</v>
      </c>
      <c r="BP58" s="69">
        <v>0</v>
      </c>
      <c r="BQ58" s="69">
        <v>39</v>
      </c>
      <c r="BS58" s="70" t="s">
        <v>1411</v>
      </c>
      <c r="BT58" s="70" t="s">
        <v>2028</v>
      </c>
      <c r="BU58" s="70">
        <v>1513</v>
      </c>
      <c r="BV58" s="70">
        <v>903</v>
      </c>
      <c r="BW58" s="70">
        <v>891</v>
      </c>
      <c r="BX58" s="70">
        <v>835</v>
      </c>
      <c r="BY58" s="70">
        <v>636</v>
      </c>
      <c r="BZ58" s="70">
        <v>4778</v>
      </c>
      <c r="CA58" s="70"/>
      <c r="CB58" s="70" t="s">
        <v>2028</v>
      </c>
      <c r="CC58" s="70">
        <v>485</v>
      </c>
      <c r="CD58" s="70">
        <v>3</v>
      </c>
      <c r="CE58" s="70">
        <v>0</v>
      </c>
      <c r="CF58" s="70">
        <v>0</v>
      </c>
      <c r="CG58" s="70">
        <v>0</v>
      </c>
      <c r="CH58" s="70">
        <v>488</v>
      </c>
      <c r="CL58" s="57" t="s">
        <v>507</v>
      </c>
      <c r="CM58" s="57" t="s">
        <v>2018</v>
      </c>
      <c r="CN58" s="57">
        <v>235</v>
      </c>
      <c r="CO58" s="57">
        <v>118</v>
      </c>
      <c r="CP58" s="57">
        <v>158</v>
      </c>
      <c r="CQ58" s="57">
        <v>209</v>
      </c>
      <c r="CR58" s="57">
        <v>321</v>
      </c>
      <c r="CS58" s="57">
        <v>1041</v>
      </c>
      <c r="CT58" s="57"/>
      <c r="CU58" s="57" t="s">
        <v>2018</v>
      </c>
      <c r="CV58" s="57">
        <v>55</v>
      </c>
      <c r="CW58" s="57">
        <v>0</v>
      </c>
      <c r="CX58" s="57">
        <v>0</v>
      </c>
      <c r="CY58" s="57">
        <v>0</v>
      </c>
      <c r="CZ58" s="57">
        <v>0</v>
      </c>
      <c r="DA58" s="57">
        <v>55</v>
      </c>
      <c r="DD58" s="77" t="s">
        <v>1623</v>
      </c>
      <c r="DE58" s="77" t="s">
        <v>2032</v>
      </c>
      <c r="DF58" s="77">
        <v>300</v>
      </c>
      <c r="DG58" s="77">
        <v>367</v>
      </c>
      <c r="DH58" s="77">
        <v>452</v>
      </c>
      <c r="DI58" s="77">
        <v>460</v>
      </c>
      <c r="DJ58" s="77">
        <v>391</v>
      </c>
      <c r="DK58" s="77">
        <v>1970</v>
      </c>
      <c r="DL58" s="77"/>
      <c r="DM58" s="77" t="s">
        <v>2032</v>
      </c>
      <c r="DN58" s="77">
        <v>32</v>
      </c>
      <c r="DO58" s="77">
        <v>8</v>
      </c>
      <c r="DP58" s="77">
        <v>0</v>
      </c>
      <c r="DQ58" s="77">
        <v>1</v>
      </c>
      <c r="DR58" s="77">
        <v>0</v>
      </c>
      <c r="DS58" s="77">
        <v>41</v>
      </c>
      <c r="DU58" s="16" t="s">
        <v>1649</v>
      </c>
      <c r="DV58" s="79" t="s">
        <v>2676</v>
      </c>
      <c r="DW58" s="79" t="s">
        <v>2028</v>
      </c>
      <c r="DX58" s="79">
        <v>221</v>
      </c>
      <c r="DY58" s="79">
        <v>260</v>
      </c>
      <c r="DZ58" s="79">
        <v>384</v>
      </c>
      <c r="EA58" s="79">
        <v>463</v>
      </c>
      <c r="EB58" s="79">
        <v>412</v>
      </c>
      <c r="EC58" s="79">
        <v>1740</v>
      </c>
      <c r="ED58" s="79"/>
      <c r="EE58" s="79" t="s">
        <v>2028</v>
      </c>
      <c r="EF58" s="79">
        <v>20</v>
      </c>
      <c r="EG58" s="79">
        <v>0</v>
      </c>
      <c r="EH58" s="79">
        <v>0</v>
      </c>
      <c r="EI58" s="79">
        <v>0</v>
      </c>
      <c r="EJ58" s="79">
        <v>0</v>
      </c>
      <c r="EK58" s="79">
        <v>20</v>
      </c>
      <c r="EN58" s="57" t="s">
        <v>1750</v>
      </c>
      <c r="EO58" s="57" t="s">
        <v>2018</v>
      </c>
      <c r="EP58" s="57">
        <v>635</v>
      </c>
      <c r="EQ58" s="57">
        <v>739</v>
      </c>
      <c r="ER58" s="57">
        <v>895</v>
      </c>
      <c r="ES58" s="57">
        <v>1022</v>
      </c>
      <c r="ET58" s="57">
        <v>1107</v>
      </c>
      <c r="EU58" s="57">
        <v>4398</v>
      </c>
      <c r="EV58" s="57"/>
      <c r="EW58" s="57" t="s">
        <v>2018</v>
      </c>
      <c r="EX58" s="57">
        <v>75</v>
      </c>
      <c r="EY58" s="57">
        <v>37</v>
      </c>
      <c r="EZ58" s="57">
        <v>30</v>
      </c>
      <c r="FA58" s="57">
        <v>35</v>
      </c>
      <c r="FB58" s="57">
        <v>24</v>
      </c>
      <c r="FC58" s="57">
        <v>201</v>
      </c>
      <c r="FF58" s="70" t="s">
        <v>1808</v>
      </c>
      <c r="FG58" s="70" t="s">
        <v>2018</v>
      </c>
      <c r="FH58" s="70">
        <v>459</v>
      </c>
      <c r="FI58" s="70">
        <v>463</v>
      </c>
      <c r="FJ58" s="70">
        <v>417</v>
      </c>
      <c r="FK58" s="70">
        <v>462</v>
      </c>
      <c r="FL58" s="70">
        <v>647</v>
      </c>
      <c r="FM58" s="70">
        <v>2448</v>
      </c>
      <c r="FN58" s="70"/>
      <c r="FO58" s="70" t="s">
        <v>2018</v>
      </c>
      <c r="FP58" s="70">
        <v>112</v>
      </c>
      <c r="FQ58" s="70">
        <v>0</v>
      </c>
      <c r="FR58" s="70">
        <v>0</v>
      </c>
      <c r="FS58" s="70">
        <v>0</v>
      </c>
      <c r="FT58" s="70">
        <v>0</v>
      </c>
      <c r="FU58" s="70">
        <v>112</v>
      </c>
    </row>
    <row r="59" spans="2:177">
      <c r="B59" s="64" t="s">
        <v>744</v>
      </c>
      <c r="C59" s="64" t="s">
        <v>2018</v>
      </c>
      <c r="D59" s="64" t="s">
        <v>324</v>
      </c>
      <c r="E59" s="64" t="s">
        <v>324</v>
      </c>
      <c r="F59" s="64" t="s">
        <v>324</v>
      </c>
      <c r="G59" s="64" t="s">
        <v>324</v>
      </c>
      <c r="H59" s="64" t="s">
        <v>324</v>
      </c>
      <c r="I59" s="64" t="s">
        <v>324</v>
      </c>
      <c r="K59" s="64" t="s">
        <v>2018</v>
      </c>
      <c r="L59" s="64" t="s">
        <v>324</v>
      </c>
      <c r="M59" s="64" t="s">
        <v>324</v>
      </c>
      <c r="N59" s="64" t="s">
        <v>324</v>
      </c>
      <c r="O59" s="64" t="s">
        <v>324</v>
      </c>
      <c r="P59" s="64" t="s">
        <v>324</v>
      </c>
      <c r="Q59" s="64" t="s">
        <v>324</v>
      </c>
      <c r="T59" s="65" t="s">
        <v>2025</v>
      </c>
      <c r="U59" s="65" t="s">
        <v>2018</v>
      </c>
      <c r="V59" s="65">
        <v>233</v>
      </c>
      <c r="W59" s="65">
        <v>494</v>
      </c>
      <c r="X59" s="65">
        <v>793</v>
      </c>
      <c r="Y59" s="65">
        <v>887</v>
      </c>
      <c r="Z59" s="65">
        <v>565</v>
      </c>
      <c r="AA59" s="65">
        <v>2972</v>
      </c>
      <c r="AB59" s="65"/>
      <c r="AC59" s="65" t="s">
        <v>2018</v>
      </c>
      <c r="AD59" s="65">
        <v>5</v>
      </c>
      <c r="AE59" s="65">
        <v>3</v>
      </c>
      <c r="AF59" s="65">
        <v>1</v>
      </c>
      <c r="AG59" s="65">
        <v>0</v>
      </c>
      <c r="AH59" s="65">
        <v>0</v>
      </c>
      <c r="AI59" s="65">
        <v>9</v>
      </c>
      <c r="AK59" s="66" t="s">
        <v>1117</v>
      </c>
      <c r="AL59" s="66" t="s">
        <v>2018</v>
      </c>
      <c r="AM59" s="66">
        <v>349</v>
      </c>
      <c r="AN59" s="66">
        <v>540</v>
      </c>
      <c r="AO59" s="66">
        <v>852</v>
      </c>
      <c r="AP59" s="66">
        <v>996</v>
      </c>
      <c r="AQ59" s="66">
        <v>689</v>
      </c>
      <c r="AR59" s="66">
        <v>3426</v>
      </c>
      <c r="AS59" s="66"/>
      <c r="AT59" s="66" t="s">
        <v>2018</v>
      </c>
      <c r="AU59" s="66">
        <v>60</v>
      </c>
      <c r="AV59" s="66">
        <v>4</v>
      </c>
      <c r="AW59" s="66">
        <v>1</v>
      </c>
      <c r="AX59" s="66">
        <v>0</v>
      </c>
      <c r="AY59" s="66">
        <v>1</v>
      </c>
      <c r="AZ59" s="66">
        <v>66</v>
      </c>
      <c r="BB59" s="69" t="s">
        <v>1383</v>
      </c>
      <c r="BC59" s="69" t="s">
        <v>2017</v>
      </c>
      <c r="BD59" s="69">
        <v>172</v>
      </c>
      <c r="BE59" s="69">
        <v>219</v>
      </c>
      <c r="BF59" s="69">
        <v>435</v>
      </c>
      <c r="BG59" s="69">
        <v>729</v>
      </c>
      <c r="BH59" s="69">
        <v>682</v>
      </c>
      <c r="BI59" s="69">
        <v>2237</v>
      </c>
      <c r="BJ59" s="69"/>
      <c r="BK59" s="69" t="s">
        <v>2017</v>
      </c>
      <c r="BL59" s="69">
        <v>36</v>
      </c>
      <c r="BM59" s="69">
        <v>0</v>
      </c>
      <c r="BN59" s="69">
        <v>0</v>
      </c>
      <c r="BO59" s="69">
        <v>0</v>
      </c>
      <c r="BP59" s="69">
        <v>0</v>
      </c>
      <c r="BQ59" s="69">
        <v>36</v>
      </c>
      <c r="BR59" s="16" t="s">
        <v>2243</v>
      </c>
      <c r="BS59" s="70" t="s">
        <v>2116</v>
      </c>
      <c r="BT59" s="70" t="s">
        <v>2028</v>
      </c>
      <c r="BU59" s="70">
        <v>31</v>
      </c>
      <c r="BV59" s="70">
        <v>40</v>
      </c>
      <c r="BW59" s="70">
        <v>77</v>
      </c>
      <c r="BX59" s="70">
        <v>105</v>
      </c>
      <c r="BY59" s="70">
        <v>90</v>
      </c>
      <c r="BZ59" s="70">
        <v>343</v>
      </c>
      <c r="CA59" s="70"/>
      <c r="CB59" s="70" t="s">
        <v>2028</v>
      </c>
      <c r="CC59" s="70">
        <v>10</v>
      </c>
      <c r="CD59" s="70">
        <v>0</v>
      </c>
      <c r="CE59" s="70">
        <v>0</v>
      </c>
      <c r="CF59" s="70">
        <v>0</v>
      </c>
      <c r="CG59" s="70">
        <v>0</v>
      </c>
      <c r="CH59" s="70">
        <v>10</v>
      </c>
      <c r="CL59" s="57" t="s">
        <v>511</v>
      </c>
      <c r="CM59" s="57" t="s">
        <v>2018</v>
      </c>
      <c r="CN59" s="57">
        <v>284</v>
      </c>
      <c r="CO59" s="57">
        <v>225</v>
      </c>
      <c r="CP59" s="57">
        <v>298</v>
      </c>
      <c r="CQ59" s="57">
        <v>398</v>
      </c>
      <c r="CR59" s="57">
        <v>313</v>
      </c>
      <c r="CS59" s="57">
        <v>1518</v>
      </c>
      <c r="CT59" s="57"/>
      <c r="CU59" s="57" t="s">
        <v>2018</v>
      </c>
      <c r="CV59" s="57">
        <v>25</v>
      </c>
      <c r="CW59" s="57">
        <v>0</v>
      </c>
      <c r="CX59" s="57">
        <v>0</v>
      </c>
      <c r="CY59" s="57">
        <v>0</v>
      </c>
      <c r="CZ59" s="57">
        <v>0</v>
      </c>
      <c r="DA59" s="57">
        <v>25</v>
      </c>
      <c r="DU59" s="16" t="s">
        <v>1652</v>
      </c>
      <c r="DV59" s="79" t="s">
        <v>2670</v>
      </c>
      <c r="DW59" s="79" t="s">
        <v>2028</v>
      </c>
      <c r="DX59" s="79">
        <v>336</v>
      </c>
      <c r="DY59" s="79">
        <v>56</v>
      </c>
      <c r="DZ59" s="79">
        <v>406</v>
      </c>
      <c r="EA59" s="79">
        <v>411</v>
      </c>
      <c r="EB59" s="79">
        <v>326</v>
      </c>
      <c r="EC59" s="79">
        <v>1835</v>
      </c>
      <c r="ED59" s="79"/>
      <c r="EE59" s="79" t="s">
        <v>2028</v>
      </c>
      <c r="EF59" s="79">
        <v>9</v>
      </c>
      <c r="EG59" s="79">
        <v>0</v>
      </c>
      <c r="EH59" s="79">
        <v>0</v>
      </c>
      <c r="EI59" s="79">
        <v>0</v>
      </c>
      <c r="EJ59" s="79">
        <v>0</v>
      </c>
      <c r="EK59" s="79">
        <v>9</v>
      </c>
      <c r="EN59" s="57" t="s">
        <v>1753</v>
      </c>
      <c r="EO59" s="57" t="s">
        <v>2018</v>
      </c>
      <c r="EP59" s="57">
        <v>322</v>
      </c>
      <c r="EQ59" s="57">
        <v>379</v>
      </c>
      <c r="ER59" s="57">
        <v>429</v>
      </c>
      <c r="ES59" s="57">
        <v>459</v>
      </c>
      <c r="ET59" s="57">
        <v>560</v>
      </c>
      <c r="EU59" s="57">
        <v>2149</v>
      </c>
      <c r="EV59" s="57"/>
      <c r="EW59" s="57" t="s">
        <v>2018</v>
      </c>
      <c r="EX59" s="57">
        <v>16</v>
      </c>
      <c r="EY59" s="57">
        <v>9</v>
      </c>
      <c r="EZ59" s="57">
        <v>8</v>
      </c>
      <c r="FA59" s="57">
        <v>6</v>
      </c>
      <c r="FB59" s="57">
        <v>12</v>
      </c>
      <c r="FC59" s="57">
        <v>51</v>
      </c>
      <c r="FF59" s="70" t="s">
        <v>1809</v>
      </c>
      <c r="FG59" s="70" t="s">
        <v>2018</v>
      </c>
      <c r="FH59" s="70">
        <v>500</v>
      </c>
      <c r="FI59" s="70">
        <v>602</v>
      </c>
      <c r="FJ59" s="70">
        <v>520</v>
      </c>
      <c r="FK59" s="70">
        <v>583</v>
      </c>
      <c r="FL59" s="70">
        <v>816</v>
      </c>
      <c r="FM59" s="70">
        <v>3021</v>
      </c>
      <c r="FN59" s="70"/>
      <c r="FO59" s="70" t="s">
        <v>2018</v>
      </c>
      <c r="FP59" s="70">
        <v>77</v>
      </c>
      <c r="FQ59" s="70">
        <v>27</v>
      </c>
      <c r="FR59" s="70">
        <v>0</v>
      </c>
      <c r="FS59" s="70">
        <v>0</v>
      </c>
      <c r="FT59" s="70">
        <v>0</v>
      </c>
      <c r="FU59" s="70">
        <v>104</v>
      </c>
    </row>
    <row r="60" spans="2:177">
      <c r="B60" s="64" t="s">
        <v>747</v>
      </c>
      <c r="C60" s="64" t="s">
        <v>2018</v>
      </c>
      <c r="D60" s="64" t="s">
        <v>324</v>
      </c>
      <c r="E60" s="64" t="s">
        <v>324</v>
      </c>
      <c r="F60" s="64" t="s">
        <v>324</v>
      </c>
      <c r="G60" s="64" t="s">
        <v>324</v>
      </c>
      <c r="H60" s="64" t="s">
        <v>324</v>
      </c>
      <c r="I60" s="64" t="s">
        <v>324</v>
      </c>
      <c r="K60" s="64" t="s">
        <v>2018</v>
      </c>
      <c r="L60" s="64" t="s">
        <v>324</v>
      </c>
      <c r="M60" s="64" t="s">
        <v>324</v>
      </c>
      <c r="N60" s="64" t="s">
        <v>324</v>
      </c>
      <c r="O60" s="64" t="s">
        <v>324</v>
      </c>
      <c r="P60" s="64" t="s">
        <v>324</v>
      </c>
      <c r="Q60" s="64" t="s">
        <v>324</v>
      </c>
      <c r="T60" s="65" t="s">
        <v>1908</v>
      </c>
      <c r="U60" s="65" t="s">
        <v>2018</v>
      </c>
      <c r="V60" s="65">
        <v>212</v>
      </c>
      <c r="W60" s="65">
        <v>370</v>
      </c>
      <c r="X60" s="65">
        <v>625</v>
      </c>
      <c r="Y60" s="65">
        <v>707</v>
      </c>
      <c r="Z60" s="65">
        <v>502</v>
      </c>
      <c r="AA60" s="65">
        <v>2416</v>
      </c>
      <c r="AB60" s="65"/>
      <c r="AC60" s="65" t="s">
        <v>2018</v>
      </c>
      <c r="AD60" s="65">
        <v>7</v>
      </c>
      <c r="AE60" s="65">
        <v>1</v>
      </c>
      <c r="AF60" s="65">
        <v>1</v>
      </c>
      <c r="AG60" s="65">
        <v>0</v>
      </c>
      <c r="AH60" s="65">
        <v>0</v>
      </c>
      <c r="AI60" s="65">
        <v>9</v>
      </c>
      <c r="AK60" s="66" t="s">
        <v>1929</v>
      </c>
      <c r="AL60" s="66" t="s">
        <v>2018</v>
      </c>
      <c r="AM60" s="66">
        <v>303</v>
      </c>
      <c r="AN60" s="66">
        <v>518</v>
      </c>
      <c r="AO60" s="66">
        <v>898</v>
      </c>
      <c r="AP60" s="66">
        <v>1276</v>
      </c>
      <c r="AQ60" s="66">
        <v>945</v>
      </c>
      <c r="AR60" s="66">
        <v>3940</v>
      </c>
      <c r="AS60" s="66"/>
      <c r="AT60" s="66" t="s">
        <v>2018</v>
      </c>
      <c r="AU60" s="66">
        <v>22</v>
      </c>
      <c r="AV60" s="66">
        <v>3</v>
      </c>
      <c r="AW60" s="66">
        <v>0</v>
      </c>
      <c r="AX60" s="66">
        <v>0</v>
      </c>
      <c r="AY60" s="66">
        <v>0</v>
      </c>
      <c r="AZ60" s="66">
        <v>25</v>
      </c>
      <c r="BB60" s="69" t="s">
        <v>1386</v>
      </c>
      <c r="BC60" s="69" t="s">
        <v>2017</v>
      </c>
      <c r="BD60" s="69">
        <v>53</v>
      </c>
      <c r="BE60" s="69">
        <v>73</v>
      </c>
      <c r="BF60" s="69">
        <v>138</v>
      </c>
      <c r="BG60" s="69">
        <v>267</v>
      </c>
      <c r="BH60" s="69">
        <v>260</v>
      </c>
      <c r="BI60" s="69">
        <v>791</v>
      </c>
      <c r="BJ60" s="69"/>
      <c r="BK60" s="69" t="s">
        <v>2017</v>
      </c>
      <c r="BL60" s="69">
        <v>16</v>
      </c>
      <c r="BM60" s="69">
        <v>0</v>
      </c>
      <c r="BN60" s="69">
        <v>0</v>
      </c>
      <c r="BO60" s="69">
        <v>0</v>
      </c>
      <c r="BP60" s="69">
        <v>0</v>
      </c>
      <c r="BQ60" s="69">
        <v>16</v>
      </c>
      <c r="BS60" s="70" t="s">
        <v>1423</v>
      </c>
      <c r="BT60" s="70" t="s">
        <v>2028</v>
      </c>
      <c r="BU60" s="70" t="s">
        <v>324</v>
      </c>
      <c r="BV60" s="70" t="s">
        <v>324</v>
      </c>
      <c r="BW60" s="70" t="s">
        <v>324</v>
      </c>
      <c r="BX60" s="70" t="s">
        <v>324</v>
      </c>
      <c r="BY60" s="70" t="s">
        <v>324</v>
      </c>
      <c r="BZ60" s="70" t="s">
        <v>324</v>
      </c>
      <c r="CA60" s="70"/>
      <c r="CB60" s="70" t="s">
        <v>2028</v>
      </c>
      <c r="CC60" s="70" t="s">
        <v>324</v>
      </c>
      <c r="CD60" s="70" t="s">
        <v>324</v>
      </c>
      <c r="CE60" s="70" t="s">
        <v>324</v>
      </c>
      <c r="CF60" s="70" t="s">
        <v>324</v>
      </c>
      <c r="CG60" s="70" t="s">
        <v>324</v>
      </c>
      <c r="CH60" s="70" t="s">
        <v>324</v>
      </c>
      <c r="CL60" s="57" t="s">
        <v>513</v>
      </c>
      <c r="CM60" s="57" t="s">
        <v>2018</v>
      </c>
      <c r="CN60" s="57">
        <v>192</v>
      </c>
      <c r="CO60" s="57">
        <v>178</v>
      </c>
      <c r="CP60" s="57">
        <v>280</v>
      </c>
      <c r="CQ60" s="57">
        <v>379</v>
      </c>
      <c r="CR60" s="57">
        <v>337</v>
      </c>
      <c r="CS60" s="57">
        <v>1366</v>
      </c>
      <c r="CT60" s="57"/>
      <c r="CU60" s="57" t="s">
        <v>2018</v>
      </c>
      <c r="CV60" s="57">
        <v>23</v>
      </c>
      <c r="CW60" s="57">
        <v>0</v>
      </c>
      <c r="CX60" s="57">
        <v>0</v>
      </c>
      <c r="CY60" s="57">
        <v>0</v>
      </c>
      <c r="CZ60" s="57">
        <v>0</v>
      </c>
      <c r="DA60" s="57">
        <v>23</v>
      </c>
      <c r="DD60" s="77" t="s">
        <v>371</v>
      </c>
      <c r="DE60" s="77" t="s">
        <v>708</v>
      </c>
      <c r="DF60" s="77">
        <v>515</v>
      </c>
      <c r="DG60" s="77">
        <v>417</v>
      </c>
      <c r="DH60" s="77">
        <v>470</v>
      </c>
      <c r="DI60" s="77">
        <v>517</v>
      </c>
      <c r="DJ60" s="77">
        <v>379</v>
      </c>
      <c r="DK60" s="77">
        <v>2298</v>
      </c>
      <c r="DL60" s="77"/>
      <c r="DM60" s="77" t="s">
        <v>708</v>
      </c>
      <c r="DN60" s="77">
        <v>39</v>
      </c>
      <c r="DO60" s="77">
        <v>3</v>
      </c>
      <c r="DP60" s="77">
        <v>0</v>
      </c>
      <c r="DQ60" s="77">
        <v>0</v>
      </c>
      <c r="DR60" s="77">
        <v>0</v>
      </c>
      <c r="DS60" s="77">
        <v>42</v>
      </c>
      <c r="DW60" s="79" t="s">
        <v>2028</v>
      </c>
      <c r="DX60" s="79">
        <v>208</v>
      </c>
      <c r="DY60" s="79">
        <v>250</v>
      </c>
      <c r="DZ60" s="79">
        <v>356</v>
      </c>
      <c r="EA60" s="79">
        <v>436</v>
      </c>
      <c r="EB60" s="79">
        <v>376</v>
      </c>
      <c r="EC60" s="79">
        <v>1626</v>
      </c>
      <c r="ED60" s="79"/>
      <c r="EE60" s="79" t="s">
        <v>2028</v>
      </c>
      <c r="EF60" s="79">
        <v>16</v>
      </c>
      <c r="EG60" s="79">
        <v>0</v>
      </c>
      <c r="EH60" s="79">
        <v>0</v>
      </c>
      <c r="EI60" s="79">
        <v>0</v>
      </c>
      <c r="EJ60" s="79">
        <v>0</v>
      </c>
      <c r="EK60" s="79">
        <v>16</v>
      </c>
      <c r="EN60" s="57" t="s">
        <v>1756</v>
      </c>
      <c r="EO60" s="57" t="s">
        <v>2018</v>
      </c>
      <c r="EP60" s="57">
        <v>100</v>
      </c>
      <c r="EQ60" s="57">
        <v>126</v>
      </c>
      <c r="ER60" s="57">
        <v>184</v>
      </c>
      <c r="ES60" s="57">
        <v>215</v>
      </c>
      <c r="ET60" s="57">
        <v>252</v>
      </c>
      <c r="EU60" s="57">
        <v>877</v>
      </c>
      <c r="EV60" s="57"/>
      <c r="EW60" s="57" t="s">
        <v>2018</v>
      </c>
      <c r="EX60" s="57">
        <v>28</v>
      </c>
      <c r="EY60" s="57">
        <v>5</v>
      </c>
      <c r="EZ60" s="57">
        <v>1</v>
      </c>
      <c r="FA60" s="57">
        <v>0</v>
      </c>
      <c r="FB60" s="57">
        <v>0</v>
      </c>
      <c r="FC60" s="57">
        <v>34</v>
      </c>
      <c r="FF60" s="70" t="s">
        <v>1811</v>
      </c>
      <c r="FG60" s="70" t="s">
        <v>2018</v>
      </c>
      <c r="FH60" s="70" t="s">
        <v>324</v>
      </c>
      <c r="FI60" s="70" t="s">
        <v>324</v>
      </c>
      <c r="FJ60" s="70" t="s">
        <v>324</v>
      </c>
      <c r="FK60" s="70" t="s">
        <v>324</v>
      </c>
      <c r="FL60" s="70" t="s">
        <v>324</v>
      </c>
      <c r="FM60" s="70" t="s">
        <v>324</v>
      </c>
      <c r="FN60" s="70"/>
      <c r="FO60" s="70" t="s">
        <v>2018</v>
      </c>
      <c r="FP60" s="70" t="s">
        <v>324</v>
      </c>
      <c r="FQ60" s="70" t="s">
        <v>324</v>
      </c>
      <c r="FR60" s="70" t="s">
        <v>324</v>
      </c>
      <c r="FS60" s="70" t="s">
        <v>324</v>
      </c>
      <c r="FT60" s="70" t="s">
        <v>324</v>
      </c>
      <c r="FU60" s="70" t="s">
        <v>324</v>
      </c>
    </row>
    <row r="61" spans="2:177">
      <c r="B61" s="64" t="s">
        <v>749</v>
      </c>
      <c r="C61" s="64" t="s">
        <v>2018</v>
      </c>
      <c r="D61" s="64" t="s">
        <v>324</v>
      </c>
      <c r="E61" s="64" t="s">
        <v>324</v>
      </c>
      <c r="F61" s="64" t="s">
        <v>324</v>
      </c>
      <c r="G61" s="64" t="s">
        <v>324</v>
      </c>
      <c r="H61" s="64" t="s">
        <v>324</v>
      </c>
      <c r="I61" s="64" t="s">
        <v>324</v>
      </c>
      <c r="K61" s="64" t="s">
        <v>2018</v>
      </c>
      <c r="L61" s="64" t="s">
        <v>324</v>
      </c>
      <c r="M61" s="64" t="s">
        <v>324</v>
      </c>
      <c r="N61" s="64" t="s">
        <v>324</v>
      </c>
      <c r="O61" s="64" t="s">
        <v>324</v>
      </c>
      <c r="P61" s="64" t="s">
        <v>324</v>
      </c>
      <c r="Q61" s="64" t="s">
        <v>324</v>
      </c>
      <c r="T61" s="65" t="s">
        <v>1020</v>
      </c>
      <c r="U61" s="65" t="s">
        <v>2018</v>
      </c>
      <c r="V61" s="65">
        <v>939</v>
      </c>
      <c r="W61" s="65">
        <v>446</v>
      </c>
      <c r="X61" s="65">
        <v>448</v>
      </c>
      <c r="Y61" s="65">
        <v>412</v>
      </c>
      <c r="Z61" s="65">
        <v>300</v>
      </c>
      <c r="AA61" s="65">
        <v>2545</v>
      </c>
      <c r="AB61" s="65"/>
      <c r="AC61" s="65" t="s">
        <v>2018</v>
      </c>
      <c r="AD61" s="65">
        <v>44</v>
      </c>
      <c r="AE61" s="65">
        <v>0</v>
      </c>
      <c r="AF61" s="65">
        <v>0</v>
      </c>
      <c r="AG61" s="65">
        <v>0</v>
      </c>
      <c r="AH61" s="65">
        <v>0</v>
      </c>
      <c r="AI61" s="65">
        <v>44</v>
      </c>
      <c r="AK61" s="66" t="s">
        <v>1940</v>
      </c>
      <c r="AL61" s="66" t="s">
        <v>2018</v>
      </c>
      <c r="AM61" s="66">
        <v>223</v>
      </c>
      <c r="AN61" s="66">
        <v>329</v>
      </c>
      <c r="AO61" s="66">
        <v>507</v>
      </c>
      <c r="AP61" s="66">
        <v>571</v>
      </c>
      <c r="AQ61" s="66">
        <v>424</v>
      </c>
      <c r="AR61" s="66">
        <v>2054</v>
      </c>
      <c r="AS61" s="66"/>
      <c r="AT61" s="66" t="s">
        <v>2018</v>
      </c>
      <c r="AU61" s="66">
        <v>19</v>
      </c>
      <c r="AV61" s="66">
        <v>0</v>
      </c>
      <c r="AW61" s="66">
        <v>0</v>
      </c>
      <c r="AX61" s="66">
        <v>0</v>
      </c>
      <c r="AY61" s="66">
        <v>0</v>
      </c>
      <c r="AZ61" s="66">
        <v>19</v>
      </c>
      <c r="BB61" s="69" t="s">
        <v>1389</v>
      </c>
      <c r="BC61" s="69" t="s">
        <v>2017</v>
      </c>
      <c r="BD61" s="69" t="s">
        <v>324</v>
      </c>
      <c r="BE61" s="69" t="s">
        <v>324</v>
      </c>
      <c r="BF61" s="69" t="s">
        <v>324</v>
      </c>
      <c r="BG61" s="69" t="s">
        <v>324</v>
      </c>
      <c r="BH61" s="69" t="s">
        <v>324</v>
      </c>
      <c r="BI61" s="69" t="s">
        <v>324</v>
      </c>
      <c r="BJ61" s="69"/>
      <c r="BK61" s="69" t="s">
        <v>2017</v>
      </c>
      <c r="BL61" s="69" t="s">
        <v>324</v>
      </c>
      <c r="BM61" s="69" t="s">
        <v>324</v>
      </c>
      <c r="BN61" s="69" t="s">
        <v>324</v>
      </c>
      <c r="BO61" s="69" t="s">
        <v>324</v>
      </c>
      <c r="BP61" s="69" t="s">
        <v>324</v>
      </c>
      <c r="BQ61" s="69" t="s">
        <v>324</v>
      </c>
      <c r="BS61" s="70" t="s">
        <v>1425</v>
      </c>
      <c r="BT61" s="70" t="s">
        <v>2028</v>
      </c>
      <c r="BU61" s="70">
        <v>1038</v>
      </c>
      <c r="BV61" s="70">
        <v>382</v>
      </c>
      <c r="BW61" s="70">
        <v>517</v>
      </c>
      <c r="BX61" s="70">
        <v>687</v>
      </c>
      <c r="BY61" s="70">
        <v>636</v>
      </c>
      <c r="BZ61" s="70">
        <v>3260</v>
      </c>
      <c r="CA61" s="70"/>
      <c r="CB61" s="70" t="s">
        <v>2028</v>
      </c>
      <c r="CC61" s="70">
        <v>295</v>
      </c>
      <c r="CD61" s="70">
        <v>0</v>
      </c>
      <c r="CE61" s="70">
        <v>0</v>
      </c>
      <c r="CF61" s="70">
        <v>0</v>
      </c>
      <c r="CG61" s="70">
        <v>0</v>
      </c>
      <c r="CH61" s="70">
        <v>295</v>
      </c>
      <c r="CL61" s="57" t="s">
        <v>515</v>
      </c>
      <c r="CM61" s="57" t="s">
        <v>2018</v>
      </c>
      <c r="CN61" s="57">
        <v>233</v>
      </c>
      <c r="CO61" s="57">
        <v>414</v>
      </c>
      <c r="CP61" s="57">
        <v>510</v>
      </c>
      <c r="CQ61" s="57">
        <v>647</v>
      </c>
      <c r="CR61" s="57">
        <v>528</v>
      </c>
      <c r="CS61" s="57">
        <v>2332</v>
      </c>
      <c r="CT61" s="57"/>
      <c r="CU61" s="57" t="s">
        <v>2018</v>
      </c>
      <c r="CV61" s="57">
        <v>15</v>
      </c>
      <c r="CW61" s="57">
        <v>0</v>
      </c>
      <c r="CX61" s="57">
        <v>0</v>
      </c>
      <c r="CY61" s="57">
        <v>0</v>
      </c>
      <c r="CZ61" s="57">
        <v>0</v>
      </c>
      <c r="DA61" s="57">
        <v>15</v>
      </c>
      <c r="DD61" s="77" t="s">
        <v>1569</v>
      </c>
      <c r="DE61" s="77" t="s">
        <v>708</v>
      </c>
      <c r="DF61" s="77">
        <v>104</v>
      </c>
      <c r="DG61" s="77">
        <v>138</v>
      </c>
      <c r="DH61" s="77">
        <v>233</v>
      </c>
      <c r="DI61" s="77">
        <v>282</v>
      </c>
      <c r="DJ61" s="77">
        <v>277</v>
      </c>
      <c r="DK61" s="77">
        <v>1034</v>
      </c>
      <c r="DL61" s="77"/>
      <c r="DM61" s="77" t="s">
        <v>708</v>
      </c>
      <c r="DN61" s="77">
        <v>10</v>
      </c>
      <c r="DO61" s="77">
        <v>4</v>
      </c>
      <c r="DP61" s="77">
        <v>2</v>
      </c>
      <c r="DQ61" s="77">
        <v>2</v>
      </c>
      <c r="DR61" s="77">
        <v>0</v>
      </c>
      <c r="DS61" s="77">
        <v>18</v>
      </c>
      <c r="DU61" s="16" t="s">
        <v>1654</v>
      </c>
      <c r="DV61" s="79" t="s">
        <v>2673</v>
      </c>
      <c r="DW61" s="79" t="s">
        <v>2028</v>
      </c>
      <c r="DX61" s="79">
        <v>1491</v>
      </c>
      <c r="DY61" s="79">
        <v>1039</v>
      </c>
      <c r="DZ61" s="79">
        <v>1275</v>
      </c>
      <c r="EA61" s="79">
        <v>1334</v>
      </c>
      <c r="EB61" s="79">
        <v>1000</v>
      </c>
      <c r="EC61" s="79">
        <v>6139</v>
      </c>
      <c r="ED61" s="79"/>
      <c r="EE61" s="79" t="s">
        <v>2028</v>
      </c>
      <c r="EF61" s="79">
        <v>46</v>
      </c>
      <c r="EG61" s="79">
        <v>0</v>
      </c>
      <c r="EH61" s="79">
        <v>0</v>
      </c>
      <c r="EI61" s="79">
        <v>0</v>
      </c>
      <c r="EJ61" s="79">
        <v>0</v>
      </c>
      <c r="EK61" s="79">
        <v>46</v>
      </c>
      <c r="EN61" s="57" t="s">
        <v>1760</v>
      </c>
      <c r="EO61" s="57" t="s">
        <v>2018</v>
      </c>
      <c r="EP61" s="57">
        <v>86</v>
      </c>
      <c r="EQ61" s="57">
        <v>128</v>
      </c>
      <c r="ER61" s="57">
        <v>186</v>
      </c>
      <c r="ES61" s="57">
        <v>255</v>
      </c>
      <c r="ET61" s="57">
        <v>292</v>
      </c>
      <c r="EU61" s="57">
        <v>947</v>
      </c>
      <c r="EV61" s="57"/>
      <c r="EW61" s="57" t="s">
        <v>2018</v>
      </c>
      <c r="EX61" s="57">
        <v>12</v>
      </c>
      <c r="EY61" s="57">
        <v>13</v>
      </c>
      <c r="EZ61" s="57">
        <v>7</v>
      </c>
      <c r="FA61" s="57">
        <v>9</v>
      </c>
      <c r="FB61" s="57">
        <v>12</v>
      </c>
      <c r="FC61" s="57">
        <v>53</v>
      </c>
      <c r="FF61" s="70" t="s">
        <v>1813</v>
      </c>
      <c r="FG61" s="70" t="s">
        <v>2018</v>
      </c>
      <c r="FH61" s="70">
        <v>1849</v>
      </c>
      <c r="FI61" s="70">
        <v>1445</v>
      </c>
      <c r="FJ61" s="70">
        <v>954</v>
      </c>
      <c r="FK61" s="70">
        <v>877</v>
      </c>
      <c r="FL61" s="70">
        <v>955</v>
      </c>
      <c r="FM61" s="70">
        <v>6080</v>
      </c>
      <c r="FN61" s="70"/>
      <c r="FO61" s="70" t="s">
        <v>2018</v>
      </c>
      <c r="FP61" s="70">
        <v>320</v>
      </c>
      <c r="FQ61" s="70">
        <v>104</v>
      </c>
      <c r="FR61" s="70">
        <v>36</v>
      </c>
      <c r="FS61" s="70">
        <v>0</v>
      </c>
      <c r="FT61" s="70">
        <v>0</v>
      </c>
      <c r="FU61" s="70">
        <v>460</v>
      </c>
    </row>
    <row r="62" spans="2:177">
      <c r="B62" s="64" t="s">
        <v>752</v>
      </c>
      <c r="C62" s="64" t="s">
        <v>2018</v>
      </c>
      <c r="D62" s="64" t="s">
        <v>324</v>
      </c>
      <c r="E62" s="64" t="s">
        <v>324</v>
      </c>
      <c r="F62" s="64" t="s">
        <v>324</v>
      </c>
      <c r="G62" s="64" t="s">
        <v>324</v>
      </c>
      <c r="H62" s="64" t="s">
        <v>324</v>
      </c>
      <c r="I62" s="64" t="s">
        <v>324</v>
      </c>
      <c r="K62" s="64" t="s">
        <v>2018</v>
      </c>
      <c r="L62" s="64" t="s">
        <v>324</v>
      </c>
      <c r="M62" s="64" t="s">
        <v>324</v>
      </c>
      <c r="N62" s="64" t="s">
        <v>324</v>
      </c>
      <c r="O62" s="64" t="s">
        <v>324</v>
      </c>
      <c r="P62" s="64" t="s">
        <v>324</v>
      </c>
      <c r="Q62" s="64" t="s">
        <v>324</v>
      </c>
      <c r="T62" s="65" t="s">
        <v>1026</v>
      </c>
      <c r="U62" s="65" t="s">
        <v>2018</v>
      </c>
      <c r="V62" s="65">
        <v>98</v>
      </c>
      <c r="W62" s="65">
        <v>156</v>
      </c>
      <c r="X62" s="65">
        <v>297</v>
      </c>
      <c r="Y62" s="65">
        <v>381</v>
      </c>
      <c r="Z62" s="65">
        <v>327</v>
      </c>
      <c r="AA62" s="65">
        <v>1259</v>
      </c>
      <c r="AB62" s="65"/>
      <c r="AC62" s="65" t="s">
        <v>2018</v>
      </c>
      <c r="AD62" s="65">
        <v>8</v>
      </c>
      <c r="AE62" s="65">
        <v>6</v>
      </c>
      <c r="AF62" s="65">
        <v>0</v>
      </c>
      <c r="AG62" s="65">
        <v>0</v>
      </c>
      <c r="AH62" s="65">
        <v>0</v>
      </c>
      <c r="AI62" s="65">
        <v>14</v>
      </c>
      <c r="AK62" s="66" t="s">
        <v>1936</v>
      </c>
      <c r="AL62" s="66" t="s">
        <v>2018</v>
      </c>
      <c r="AM62" s="66">
        <v>266</v>
      </c>
      <c r="AN62" s="66">
        <v>442</v>
      </c>
      <c r="AO62" s="66">
        <v>653</v>
      </c>
      <c r="AP62" s="66">
        <v>871</v>
      </c>
      <c r="AQ62" s="66">
        <v>582</v>
      </c>
      <c r="AR62" s="66">
        <v>2814</v>
      </c>
      <c r="AS62" s="66"/>
      <c r="AT62" s="66" t="s">
        <v>2018</v>
      </c>
      <c r="AU62" s="66">
        <v>17</v>
      </c>
      <c r="AV62" s="66">
        <v>5</v>
      </c>
      <c r="AW62" s="66">
        <v>1</v>
      </c>
      <c r="AX62" s="66">
        <v>1</v>
      </c>
      <c r="AY62" s="66">
        <v>0</v>
      </c>
      <c r="AZ62" s="66">
        <v>24</v>
      </c>
      <c r="BB62" s="69" t="s">
        <v>1392</v>
      </c>
      <c r="BC62" s="69" t="s">
        <v>2017</v>
      </c>
      <c r="BD62" s="69">
        <v>272</v>
      </c>
      <c r="BE62" s="69">
        <v>106</v>
      </c>
      <c r="BF62" s="69">
        <v>148</v>
      </c>
      <c r="BG62" s="69">
        <v>187</v>
      </c>
      <c r="BH62" s="69">
        <v>237</v>
      </c>
      <c r="BI62" s="69">
        <v>950</v>
      </c>
      <c r="BJ62" s="69"/>
      <c r="BK62" s="69" t="s">
        <v>2017</v>
      </c>
      <c r="BL62" s="69">
        <v>45</v>
      </c>
      <c r="BM62" s="69">
        <v>0</v>
      </c>
      <c r="BN62" s="69">
        <v>0</v>
      </c>
      <c r="BO62" s="69">
        <v>0</v>
      </c>
      <c r="BP62" s="69">
        <v>0</v>
      </c>
      <c r="BQ62" s="69">
        <v>45</v>
      </c>
      <c r="BS62" s="70" t="s">
        <v>1428</v>
      </c>
      <c r="BT62" s="70" t="s">
        <v>2028</v>
      </c>
      <c r="BU62" s="70">
        <v>65</v>
      </c>
      <c r="BV62" s="70">
        <v>131</v>
      </c>
      <c r="BW62" s="70">
        <v>244</v>
      </c>
      <c r="BX62" s="70">
        <v>369</v>
      </c>
      <c r="BY62" s="70">
        <v>306</v>
      </c>
      <c r="BZ62" s="70">
        <v>1115</v>
      </c>
      <c r="CA62" s="70"/>
      <c r="CB62" s="70" t="s">
        <v>2028</v>
      </c>
      <c r="CC62" s="70">
        <v>15</v>
      </c>
      <c r="CD62" s="70">
        <v>0</v>
      </c>
      <c r="CE62" s="70">
        <v>0</v>
      </c>
      <c r="CF62" s="70">
        <v>0</v>
      </c>
      <c r="CG62" s="70">
        <v>0</v>
      </c>
      <c r="CH62" s="70">
        <v>15</v>
      </c>
      <c r="CL62" s="57" t="s">
        <v>519</v>
      </c>
      <c r="CM62" s="57" t="s">
        <v>2018</v>
      </c>
      <c r="CN62" s="57">
        <v>145</v>
      </c>
      <c r="CO62" s="57">
        <v>157</v>
      </c>
      <c r="CP62" s="57">
        <v>296</v>
      </c>
      <c r="CQ62" s="57">
        <v>374</v>
      </c>
      <c r="CR62" s="57">
        <v>287</v>
      </c>
      <c r="CS62" s="57">
        <v>1259</v>
      </c>
      <c r="CT62" s="57"/>
      <c r="CU62" s="57" t="s">
        <v>2018</v>
      </c>
      <c r="CV62" s="57">
        <v>18</v>
      </c>
      <c r="CW62" s="57">
        <v>0</v>
      </c>
      <c r="CX62" s="57">
        <v>0</v>
      </c>
      <c r="CY62" s="57">
        <v>0</v>
      </c>
      <c r="CZ62" s="57">
        <v>0</v>
      </c>
      <c r="DA62" s="57">
        <v>18</v>
      </c>
      <c r="DD62" s="77" t="s">
        <v>1573</v>
      </c>
      <c r="DE62" s="77" t="s">
        <v>25</v>
      </c>
      <c r="DF62" s="77">
        <v>433</v>
      </c>
      <c r="DG62" s="77">
        <v>430</v>
      </c>
      <c r="DH62" s="77">
        <v>522</v>
      </c>
      <c r="DI62" s="77">
        <v>524</v>
      </c>
      <c r="DJ62" s="77">
        <v>421</v>
      </c>
      <c r="DK62" s="77">
        <v>2330</v>
      </c>
      <c r="DL62" s="77"/>
      <c r="DM62" s="77" t="s">
        <v>25</v>
      </c>
      <c r="DN62" s="77">
        <v>12</v>
      </c>
      <c r="DO62" s="77">
        <v>0</v>
      </c>
      <c r="DP62" s="77">
        <v>0</v>
      </c>
      <c r="DQ62" s="77">
        <v>0</v>
      </c>
      <c r="DR62" s="77">
        <v>0</v>
      </c>
      <c r="DS62" s="77">
        <v>12</v>
      </c>
      <c r="DU62" s="21"/>
      <c r="DV62" s="79" t="s">
        <v>1982</v>
      </c>
      <c r="DW62" s="79" t="s">
        <v>2028</v>
      </c>
      <c r="DX62" s="79" t="s">
        <v>324</v>
      </c>
      <c r="DY62" s="79" t="s">
        <v>324</v>
      </c>
      <c r="DZ62" s="79" t="s">
        <v>324</v>
      </c>
      <c r="EA62" s="79" t="s">
        <v>324</v>
      </c>
      <c r="EB62" s="79" t="s">
        <v>324</v>
      </c>
      <c r="EC62" s="79" t="s">
        <v>324</v>
      </c>
      <c r="ED62" s="79"/>
      <c r="EE62" s="79" t="s">
        <v>2028</v>
      </c>
      <c r="EF62" s="79" t="s">
        <v>324</v>
      </c>
      <c r="EG62" s="79" t="s">
        <v>324</v>
      </c>
      <c r="EH62" s="79" t="s">
        <v>324</v>
      </c>
      <c r="EI62" s="79" t="s">
        <v>324</v>
      </c>
      <c r="EJ62" s="79" t="s">
        <v>324</v>
      </c>
      <c r="EK62" s="79" t="s">
        <v>324</v>
      </c>
      <c r="EN62" s="57" t="s">
        <v>1763</v>
      </c>
      <c r="EO62" s="57" t="s">
        <v>2018</v>
      </c>
      <c r="EP62" s="57">
        <v>96</v>
      </c>
      <c r="EQ62" s="57">
        <v>136</v>
      </c>
      <c r="ER62" s="57">
        <v>190</v>
      </c>
      <c r="ES62" s="57">
        <v>280</v>
      </c>
      <c r="ET62" s="57">
        <v>352</v>
      </c>
      <c r="EU62" s="57">
        <v>1054</v>
      </c>
      <c r="EV62" s="57"/>
      <c r="EW62" s="57" t="s">
        <v>2018</v>
      </c>
      <c r="EX62" s="57">
        <v>17</v>
      </c>
      <c r="EY62" s="57">
        <v>9</v>
      </c>
      <c r="EZ62" s="57">
        <v>6</v>
      </c>
      <c r="FA62" s="57">
        <v>4</v>
      </c>
      <c r="FB62" s="57">
        <v>2</v>
      </c>
      <c r="FC62" s="57">
        <v>38</v>
      </c>
      <c r="FF62" s="70" t="s">
        <v>1816</v>
      </c>
      <c r="FG62" s="70" t="s">
        <v>2018</v>
      </c>
      <c r="FH62" s="70">
        <v>307</v>
      </c>
      <c r="FI62" s="70">
        <v>526</v>
      </c>
      <c r="FJ62" s="70">
        <v>679</v>
      </c>
      <c r="FK62" s="70">
        <v>650</v>
      </c>
      <c r="FL62" s="70">
        <v>706</v>
      </c>
      <c r="FM62" s="70">
        <v>2868</v>
      </c>
      <c r="FN62" s="70"/>
      <c r="FO62" s="70" t="s">
        <v>2018</v>
      </c>
      <c r="FP62" s="70">
        <v>41</v>
      </c>
      <c r="FQ62" s="70">
        <v>4</v>
      </c>
      <c r="FR62" s="70">
        <v>0</v>
      </c>
      <c r="FS62" s="70">
        <v>0</v>
      </c>
      <c r="FT62" s="70">
        <v>0</v>
      </c>
      <c r="FU62" s="70">
        <v>45</v>
      </c>
    </row>
    <row r="63" spans="2:177">
      <c r="B63" s="64" t="s">
        <v>755</v>
      </c>
      <c r="C63" s="64" t="s">
        <v>2018</v>
      </c>
      <c r="D63" s="64" t="s">
        <v>324</v>
      </c>
      <c r="E63" s="64" t="s">
        <v>324</v>
      </c>
      <c r="F63" s="64" t="s">
        <v>324</v>
      </c>
      <c r="G63" s="64" t="s">
        <v>324</v>
      </c>
      <c r="H63" s="64" t="s">
        <v>324</v>
      </c>
      <c r="I63" s="64" t="s">
        <v>324</v>
      </c>
      <c r="K63" s="64" t="s">
        <v>2018</v>
      </c>
      <c r="L63" s="64" t="s">
        <v>324</v>
      </c>
      <c r="M63" s="64" t="s">
        <v>324</v>
      </c>
      <c r="N63" s="64" t="s">
        <v>324</v>
      </c>
      <c r="O63" s="64" t="s">
        <v>324</v>
      </c>
      <c r="P63" s="64" t="s">
        <v>324</v>
      </c>
      <c r="Q63" s="64" t="s">
        <v>324</v>
      </c>
      <c r="AK63" s="66" t="s">
        <v>1953</v>
      </c>
      <c r="AL63" s="66" t="s">
        <v>2018</v>
      </c>
      <c r="AM63" s="66">
        <v>225</v>
      </c>
      <c r="AN63" s="66">
        <v>254</v>
      </c>
      <c r="AO63" s="66">
        <v>456</v>
      </c>
      <c r="AP63" s="66">
        <v>557</v>
      </c>
      <c r="AQ63" s="66">
        <v>433</v>
      </c>
      <c r="AR63" s="66">
        <v>1925</v>
      </c>
      <c r="AS63" s="66"/>
      <c r="AT63" s="66" t="s">
        <v>2018</v>
      </c>
      <c r="AU63" s="66">
        <v>34</v>
      </c>
      <c r="AV63" s="66">
        <v>0</v>
      </c>
      <c r="AW63" s="66">
        <v>0</v>
      </c>
      <c r="AX63" s="66">
        <v>0</v>
      </c>
      <c r="AY63" s="66">
        <v>0</v>
      </c>
      <c r="AZ63" s="66">
        <v>34</v>
      </c>
      <c r="BS63" s="70" t="s">
        <v>1430</v>
      </c>
      <c r="BT63" s="70" t="s">
        <v>2028</v>
      </c>
      <c r="BU63" s="70">
        <v>115</v>
      </c>
      <c r="BV63" s="70">
        <v>79</v>
      </c>
      <c r="BW63" s="70">
        <v>209</v>
      </c>
      <c r="BX63" s="70">
        <v>314</v>
      </c>
      <c r="BY63" s="70">
        <v>264</v>
      </c>
      <c r="BZ63" s="70">
        <v>981</v>
      </c>
      <c r="CA63" s="70"/>
      <c r="CB63" s="70" t="s">
        <v>2028</v>
      </c>
      <c r="CC63" s="70">
        <v>45</v>
      </c>
      <c r="CD63" s="70">
        <v>0</v>
      </c>
      <c r="CE63" s="70">
        <v>0</v>
      </c>
      <c r="CF63" s="70">
        <v>0</v>
      </c>
      <c r="CG63" s="70">
        <v>0</v>
      </c>
      <c r="CH63" s="70">
        <v>45</v>
      </c>
      <c r="CL63" s="57" t="s">
        <v>522</v>
      </c>
      <c r="CM63" s="57" t="s">
        <v>2018</v>
      </c>
      <c r="CN63" s="57">
        <v>137</v>
      </c>
      <c r="CO63" s="57">
        <v>85</v>
      </c>
      <c r="CP63" s="57">
        <v>118</v>
      </c>
      <c r="CQ63" s="57">
        <v>161</v>
      </c>
      <c r="CR63" s="57">
        <v>194</v>
      </c>
      <c r="CS63" s="57">
        <v>695</v>
      </c>
      <c r="CT63" s="57"/>
      <c r="CU63" s="57" t="s">
        <v>2018</v>
      </c>
      <c r="CV63" s="57">
        <v>43</v>
      </c>
      <c r="CW63" s="57">
        <v>0</v>
      </c>
      <c r="CX63" s="57">
        <v>0</v>
      </c>
      <c r="CY63" s="57">
        <v>0</v>
      </c>
      <c r="CZ63" s="57">
        <v>0</v>
      </c>
      <c r="DA63" s="57">
        <v>43</v>
      </c>
      <c r="DD63" s="77" t="s">
        <v>1578</v>
      </c>
      <c r="DE63" s="77" t="s">
        <v>25</v>
      </c>
      <c r="DF63" s="77">
        <v>1182</v>
      </c>
      <c r="DG63" s="77">
        <v>1117</v>
      </c>
      <c r="DH63" s="77">
        <v>990</v>
      </c>
      <c r="DI63" s="77">
        <v>1157</v>
      </c>
      <c r="DJ63" s="77">
        <v>964</v>
      </c>
      <c r="DK63" s="77">
        <v>5410</v>
      </c>
      <c r="DL63" s="77"/>
      <c r="DM63" s="77" t="s">
        <v>25</v>
      </c>
      <c r="DN63" s="77">
        <v>165</v>
      </c>
      <c r="DO63" s="77">
        <v>10</v>
      </c>
      <c r="DP63" s="77">
        <v>0</v>
      </c>
      <c r="DQ63" s="77">
        <v>0</v>
      </c>
      <c r="DR63" s="77">
        <v>0</v>
      </c>
      <c r="DS63" s="77">
        <v>175</v>
      </c>
      <c r="DU63" s="16" t="s">
        <v>1658</v>
      </c>
      <c r="DV63" s="79" t="s">
        <v>2691</v>
      </c>
      <c r="DW63" s="79" t="s">
        <v>2028</v>
      </c>
      <c r="DX63" s="79">
        <v>188</v>
      </c>
      <c r="DY63" s="79">
        <v>238</v>
      </c>
      <c r="DZ63" s="79">
        <v>353</v>
      </c>
      <c r="EA63" s="79">
        <v>404</v>
      </c>
      <c r="EB63" s="79">
        <v>271</v>
      </c>
      <c r="EC63" s="79">
        <v>1454</v>
      </c>
      <c r="ED63" s="79"/>
      <c r="EE63" s="79" t="s">
        <v>2028</v>
      </c>
      <c r="EF63" s="79">
        <v>11</v>
      </c>
      <c r="EG63" s="79">
        <v>0</v>
      </c>
      <c r="EH63" s="79">
        <v>0</v>
      </c>
      <c r="EI63" s="79">
        <v>0</v>
      </c>
      <c r="EJ63" s="79">
        <v>0</v>
      </c>
      <c r="EK63" s="79">
        <v>11</v>
      </c>
      <c r="EN63" s="57" t="s">
        <v>1767</v>
      </c>
      <c r="EO63" s="57" t="s">
        <v>2018</v>
      </c>
      <c r="EP63" s="57">
        <v>98</v>
      </c>
      <c r="EQ63" s="57">
        <v>137</v>
      </c>
      <c r="ER63" s="57">
        <v>188</v>
      </c>
      <c r="ES63" s="57">
        <v>242</v>
      </c>
      <c r="ET63" s="57">
        <v>347</v>
      </c>
      <c r="EU63" s="57">
        <v>1012</v>
      </c>
      <c r="EV63" s="57"/>
      <c r="EW63" s="57" t="s">
        <v>2018</v>
      </c>
      <c r="EX63" s="57">
        <v>9</v>
      </c>
      <c r="EY63" s="57">
        <v>4</v>
      </c>
      <c r="EZ63" s="57">
        <v>0</v>
      </c>
      <c r="FA63" s="57">
        <v>0</v>
      </c>
      <c r="FB63" s="57">
        <v>0</v>
      </c>
      <c r="FC63" s="57">
        <v>13</v>
      </c>
      <c r="FF63" s="70" t="s">
        <v>1818</v>
      </c>
      <c r="FG63" s="70" t="s">
        <v>2018</v>
      </c>
      <c r="FH63" s="70">
        <v>306</v>
      </c>
      <c r="FI63" s="70">
        <v>542</v>
      </c>
      <c r="FJ63" s="70">
        <v>676</v>
      </c>
      <c r="FK63" s="70">
        <v>682</v>
      </c>
      <c r="FL63" s="70">
        <v>795</v>
      </c>
      <c r="FM63" s="70">
        <v>3001</v>
      </c>
      <c r="FN63" s="70"/>
      <c r="FO63" s="70" t="s">
        <v>2018</v>
      </c>
      <c r="FP63" s="70">
        <v>15</v>
      </c>
      <c r="FQ63" s="70">
        <v>0</v>
      </c>
      <c r="FR63" s="70">
        <v>0</v>
      </c>
      <c r="FS63" s="70">
        <v>0</v>
      </c>
      <c r="FT63" s="70">
        <v>0</v>
      </c>
      <c r="FU63" s="70">
        <v>15</v>
      </c>
    </row>
    <row r="64" spans="2:177">
      <c r="B64" s="64" t="s">
        <v>759</v>
      </c>
      <c r="C64" s="64" t="s">
        <v>2018</v>
      </c>
      <c r="D64" s="64" t="s">
        <v>324</v>
      </c>
      <c r="E64" s="64" t="s">
        <v>324</v>
      </c>
      <c r="F64" s="64" t="s">
        <v>324</v>
      </c>
      <c r="G64" s="64" t="s">
        <v>324</v>
      </c>
      <c r="H64" s="64" t="s">
        <v>324</v>
      </c>
      <c r="I64" s="64" t="s">
        <v>324</v>
      </c>
      <c r="K64" s="64" t="s">
        <v>2018</v>
      </c>
      <c r="L64" s="64" t="s">
        <v>324</v>
      </c>
      <c r="M64" s="64" t="s">
        <v>324</v>
      </c>
      <c r="N64" s="64" t="s">
        <v>324</v>
      </c>
      <c r="O64" s="64" t="s">
        <v>324</v>
      </c>
      <c r="P64" s="64" t="s">
        <v>324</v>
      </c>
      <c r="Q64" s="64" t="s">
        <v>324</v>
      </c>
      <c r="T64" s="65" t="s">
        <v>939</v>
      </c>
      <c r="U64" s="65" t="s">
        <v>2028</v>
      </c>
      <c r="V64" s="65">
        <v>765</v>
      </c>
      <c r="W64" s="65">
        <v>826</v>
      </c>
      <c r="X64" s="65">
        <v>1021</v>
      </c>
      <c r="Y64" s="65">
        <v>1045</v>
      </c>
      <c r="Z64" s="65">
        <v>643</v>
      </c>
      <c r="AA64" s="65">
        <v>4300</v>
      </c>
      <c r="AB64" s="65"/>
      <c r="AC64" s="65" t="s">
        <v>2028</v>
      </c>
      <c r="AD64" s="65">
        <v>47</v>
      </c>
      <c r="AE64" s="65">
        <v>3</v>
      </c>
      <c r="AF64" s="65">
        <v>2</v>
      </c>
      <c r="AG64" s="65">
        <v>0</v>
      </c>
      <c r="AH64" s="65">
        <v>1</v>
      </c>
      <c r="AI64" s="65">
        <v>53</v>
      </c>
      <c r="AK64" s="66" t="s">
        <v>1932</v>
      </c>
      <c r="AL64" s="66" t="s">
        <v>2018</v>
      </c>
      <c r="AM64" s="66">
        <v>245</v>
      </c>
      <c r="AN64" s="66">
        <v>286</v>
      </c>
      <c r="AO64" s="66">
        <v>553</v>
      </c>
      <c r="AP64" s="66">
        <v>660</v>
      </c>
      <c r="AQ64" s="66">
        <v>553</v>
      </c>
      <c r="AR64" s="66">
        <v>2297</v>
      </c>
      <c r="AS64" s="66"/>
      <c r="AT64" s="66" t="s">
        <v>2018</v>
      </c>
      <c r="AU64" s="66">
        <v>24</v>
      </c>
      <c r="AV64" s="66">
        <v>0</v>
      </c>
      <c r="AW64" s="66">
        <v>0</v>
      </c>
      <c r="AX64" s="66">
        <v>0</v>
      </c>
      <c r="AY64" s="66">
        <v>0</v>
      </c>
      <c r="AZ64" s="66">
        <v>24</v>
      </c>
      <c r="BB64" s="69" t="s">
        <v>1152</v>
      </c>
      <c r="BC64" s="69" t="s">
        <v>2018</v>
      </c>
      <c r="BD64" s="69">
        <v>188</v>
      </c>
      <c r="BE64" s="69">
        <v>240</v>
      </c>
      <c r="BF64" s="69">
        <v>446</v>
      </c>
      <c r="BG64" s="69">
        <v>659</v>
      </c>
      <c r="BH64" s="69">
        <v>637</v>
      </c>
      <c r="BI64" s="69">
        <v>2170</v>
      </c>
      <c r="BJ64" s="69"/>
      <c r="BK64" s="69" t="s">
        <v>2018</v>
      </c>
      <c r="BL64" s="69">
        <v>20</v>
      </c>
      <c r="BM64" s="69">
        <v>0</v>
      </c>
      <c r="BN64" s="69">
        <v>0</v>
      </c>
      <c r="BO64" s="69">
        <v>0</v>
      </c>
      <c r="BP64" s="69">
        <v>0</v>
      </c>
      <c r="BQ64" s="69">
        <v>20</v>
      </c>
      <c r="BS64" s="70" t="s">
        <v>1433</v>
      </c>
      <c r="BT64" s="70" t="s">
        <v>2028</v>
      </c>
      <c r="BU64" s="70">
        <v>73</v>
      </c>
      <c r="BV64" s="70">
        <v>57</v>
      </c>
      <c r="BW64" s="70">
        <v>83</v>
      </c>
      <c r="BX64" s="70">
        <v>166</v>
      </c>
      <c r="BY64" s="70">
        <v>194</v>
      </c>
      <c r="BZ64" s="70">
        <v>573</v>
      </c>
      <c r="CA64" s="70"/>
      <c r="CB64" s="70" t="s">
        <v>2028</v>
      </c>
      <c r="CC64" s="70">
        <v>20</v>
      </c>
      <c r="CD64" s="70">
        <v>0</v>
      </c>
      <c r="CE64" s="70">
        <v>0</v>
      </c>
      <c r="CF64" s="70">
        <v>0</v>
      </c>
      <c r="CG64" s="70">
        <v>0</v>
      </c>
      <c r="CH64" s="70">
        <v>20</v>
      </c>
      <c r="CL64" s="57" t="s">
        <v>1961</v>
      </c>
      <c r="CM64" s="57" t="s">
        <v>2018</v>
      </c>
      <c r="CN64" s="57">
        <v>49</v>
      </c>
      <c r="CO64" s="57">
        <v>84</v>
      </c>
      <c r="CP64" s="57">
        <v>169</v>
      </c>
      <c r="CQ64" s="57">
        <v>283</v>
      </c>
      <c r="CR64" s="57">
        <v>283</v>
      </c>
      <c r="CS64" s="57">
        <v>868</v>
      </c>
      <c r="CT64" s="57"/>
      <c r="CU64" s="57" t="s">
        <v>2018</v>
      </c>
      <c r="CV64" s="57">
        <v>7</v>
      </c>
      <c r="CW64" s="57">
        <v>0</v>
      </c>
      <c r="CX64" s="57">
        <v>0</v>
      </c>
      <c r="CY64" s="57">
        <v>0</v>
      </c>
      <c r="CZ64" s="57">
        <v>0</v>
      </c>
      <c r="DA64" s="57">
        <v>7</v>
      </c>
      <c r="DD64" s="77" t="s">
        <v>1581</v>
      </c>
      <c r="DE64" s="77" t="s">
        <v>25</v>
      </c>
      <c r="DF64" s="77">
        <v>221</v>
      </c>
      <c r="DG64" s="77">
        <v>270</v>
      </c>
      <c r="DH64" s="77">
        <v>353</v>
      </c>
      <c r="DI64" s="77">
        <v>461</v>
      </c>
      <c r="DJ64" s="77">
        <v>449</v>
      </c>
      <c r="DK64" s="77">
        <v>1754</v>
      </c>
      <c r="DL64" s="77"/>
      <c r="DM64" s="77" t="s">
        <v>25</v>
      </c>
      <c r="DN64" s="77">
        <v>47</v>
      </c>
      <c r="DO64" s="77">
        <v>0</v>
      </c>
      <c r="DP64" s="77">
        <v>0</v>
      </c>
      <c r="DQ64" s="77">
        <v>0</v>
      </c>
      <c r="DR64" s="77">
        <v>0</v>
      </c>
      <c r="DS64" s="77">
        <v>47</v>
      </c>
      <c r="DU64" s="16" t="s">
        <v>1661</v>
      </c>
      <c r="DV64" s="79" t="s">
        <v>2688</v>
      </c>
      <c r="DW64" s="79" t="s">
        <v>2028</v>
      </c>
      <c r="DX64" s="79">
        <v>131</v>
      </c>
      <c r="DY64" s="79">
        <v>215</v>
      </c>
      <c r="DZ64" s="79">
        <v>372</v>
      </c>
      <c r="EA64" s="79">
        <v>439</v>
      </c>
      <c r="EB64" s="79">
        <v>364</v>
      </c>
      <c r="EC64" s="79">
        <v>1521</v>
      </c>
      <c r="ED64" s="79"/>
      <c r="EE64" s="79" t="s">
        <v>2028</v>
      </c>
      <c r="EF64" s="79">
        <v>15</v>
      </c>
      <c r="EG64" s="79">
        <v>1</v>
      </c>
      <c r="EH64" s="79">
        <v>0</v>
      </c>
      <c r="EI64" s="79">
        <v>0</v>
      </c>
      <c r="EJ64" s="79">
        <v>0</v>
      </c>
      <c r="EK64" s="79">
        <v>16</v>
      </c>
      <c r="EN64" s="57" t="s">
        <v>1998</v>
      </c>
      <c r="EO64" s="57" t="s">
        <v>2018</v>
      </c>
      <c r="EP64" s="57">
        <v>158</v>
      </c>
      <c r="EQ64" s="57">
        <v>185</v>
      </c>
      <c r="ER64" s="57">
        <v>190</v>
      </c>
      <c r="ES64" s="57">
        <v>217</v>
      </c>
      <c r="ET64" s="57">
        <v>271</v>
      </c>
      <c r="EU64" s="57">
        <v>1021</v>
      </c>
      <c r="EV64" s="57"/>
      <c r="EW64" s="57" t="s">
        <v>2018</v>
      </c>
      <c r="EX64" s="57">
        <v>51</v>
      </c>
      <c r="EY64" s="57">
        <v>13</v>
      </c>
      <c r="EZ64" s="57">
        <v>8</v>
      </c>
      <c r="FA64" s="57">
        <v>2</v>
      </c>
      <c r="FB64" s="57">
        <v>6</v>
      </c>
      <c r="FC64" s="57">
        <v>80</v>
      </c>
      <c r="FF64" s="70" t="s">
        <v>1820</v>
      </c>
      <c r="FG64" s="70" t="s">
        <v>2018</v>
      </c>
      <c r="FH64" s="70">
        <v>445</v>
      </c>
      <c r="FI64" s="70">
        <v>665</v>
      </c>
      <c r="FJ64" s="70">
        <v>791</v>
      </c>
      <c r="FK64" s="70">
        <v>791</v>
      </c>
      <c r="FL64" s="70">
        <v>910</v>
      </c>
      <c r="FM64" s="70">
        <v>3602</v>
      </c>
      <c r="FN64" s="70"/>
      <c r="FO64" s="70" t="s">
        <v>2018</v>
      </c>
      <c r="FP64" s="70">
        <v>50</v>
      </c>
      <c r="FQ64" s="70">
        <v>1</v>
      </c>
      <c r="FR64" s="70">
        <v>0</v>
      </c>
      <c r="FS64" s="70">
        <v>0</v>
      </c>
      <c r="FT64" s="70">
        <v>0</v>
      </c>
      <c r="FU64" s="70">
        <v>51</v>
      </c>
    </row>
    <row r="65" spans="1:177">
      <c r="B65" s="64" t="s">
        <v>762</v>
      </c>
      <c r="C65" s="64" t="s">
        <v>2018</v>
      </c>
      <c r="D65" s="64" t="s">
        <v>324</v>
      </c>
      <c r="E65" s="64" t="s">
        <v>324</v>
      </c>
      <c r="F65" s="64" t="s">
        <v>324</v>
      </c>
      <c r="G65" s="64" t="s">
        <v>324</v>
      </c>
      <c r="H65" s="64" t="s">
        <v>324</v>
      </c>
      <c r="I65" s="64" t="s">
        <v>324</v>
      </c>
      <c r="K65" s="64" t="s">
        <v>2018</v>
      </c>
      <c r="L65" s="64" t="s">
        <v>324</v>
      </c>
      <c r="M65" s="64" t="s">
        <v>324</v>
      </c>
      <c r="N65" s="64" t="s">
        <v>324</v>
      </c>
      <c r="O65" s="64" t="s">
        <v>324</v>
      </c>
      <c r="P65" s="64" t="s">
        <v>324</v>
      </c>
      <c r="Q65" s="64" t="s">
        <v>324</v>
      </c>
      <c r="T65" s="65" t="s">
        <v>1894</v>
      </c>
      <c r="U65" s="65" t="s">
        <v>2028</v>
      </c>
      <c r="V65" s="65">
        <v>285</v>
      </c>
      <c r="W65" s="65">
        <v>368</v>
      </c>
      <c r="X65" s="65">
        <v>475</v>
      </c>
      <c r="Y65" s="65">
        <v>491</v>
      </c>
      <c r="Z65" s="65">
        <v>323</v>
      </c>
      <c r="AA65" s="65">
        <v>1942</v>
      </c>
      <c r="AB65" s="65"/>
      <c r="AC65" s="65" t="s">
        <v>2028</v>
      </c>
      <c r="AD65" s="65">
        <v>20</v>
      </c>
      <c r="AE65" s="65">
        <v>0</v>
      </c>
      <c r="AF65" s="65">
        <v>0</v>
      </c>
      <c r="AG65" s="65">
        <v>0</v>
      </c>
      <c r="AH65" s="65">
        <v>0</v>
      </c>
      <c r="AI65" s="65">
        <v>20</v>
      </c>
      <c r="AK65" s="66" t="s">
        <v>1911</v>
      </c>
      <c r="AL65" s="66" t="s">
        <v>2018</v>
      </c>
      <c r="AM65" s="66">
        <v>458</v>
      </c>
      <c r="AN65" s="66">
        <v>656</v>
      </c>
      <c r="AO65" s="66">
        <v>906</v>
      </c>
      <c r="AP65" s="66">
        <v>1122</v>
      </c>
      <c r="AQ65" s="66">
        <v>656</v>
      </c>
      <c r="AR65" s="66">
        <v>3798</v>
      </c>
      <c r="AS65" s="66"/>
      <c r="AT65" s="66" t="s">
        <v>2018</v>
      </c>
      <c r="AU65" s="66">
        <v>34</v>
      </c>
      <c r="AV65" s="66">
        <v>2</v>
      </c>
      <c r="AW65" s="66">
        <v>0</v>
      </c>
      <c r="AX65" s="66">
        <v>0</v>
      </c>
      <c r="AY65" s="66">
        <v>0</v>
      </c>
      <c r="AZ65" s="66">
        <v>36</v>
      </c>
      <c r="BB65" s="69" t="s">
        <v>1155</v>
      </c>
      <c r="BC65" s="69" t="s">
        <v>2018</v>
      </c>
      <c r="BD65" s="69">
        <v>375</v>
      </c>
      <c r="BE65" s="69">
        <v>233</v>
      </c>
      <c r="BF65" s="69">
        <v>413</v>
      </c>
      <c r="BG65" s="69">
        <v>474</v>
      </c>
      <c r="BH65" s="69">
        <v>421</v>
      </c>
      <c r="BI65" s="69">
        <v>1916</v>
      </c>
      <c r="BJ65" s="69"/>
      <c r="BK65" s="69" t="s">
        <v>2018</v>
      </c>
      <c r="BL65" s="69">
        <v>83</v>
      </c>
      <c r="BM65" s="69">
        <v>0</v>
      </c>
      <c r="BN65" s="69">
        <v>0</v>
      </c>
      <c r="BO65" s="69">
        <v>0</v>
      </c>
      <c r="BP65" s="69">
        <v>0</v>
      </c>
      <c r="BQ65" s="69">
        <v>83</v>
      </c>
      <c r="BS65" s="70" t="s">
        <v>1436</v>
      </c>
      <c r="BT65" s="70" t="s">
        <v>2028</v>
      </c>
      <c r="BU65" s="70">
        <v>106</v>
      </c>
      <c r="BV65" s="70">
        <v>87</v>
      </c>
      <c r="BW65" s="70">
        <v>153</v>
      </c>
      <c r="BX65" s="70">
        <v>226</v>
      </c>
      <c r="BY65" s="70">
        <v>212</v>
      </c>
      <c r="BZ65" s="70">
        <v>784</v>
      </c>
      <c r="CA65" s="70"/>
      <c r="CB65" s="70" t="s">
        <v>2028</v>
      </c>
      <c r="CC65" s="70">
        <v>32</v>
      </c>
      <c r="CD65" s="70">
        <v>0</v>
      </c>
      <c r="CE65" s="70">
        <v>0</v>
      </c>
      <c r="CF65" s="70">
        <v>0</v>
      </c>
      <c r="CG65" s="70">
        <v>0</v>
      </c>
      <c r="CH65" s="70">
        <v>32</v>
      </c>
      <c r="CL65" s="57" t="s">
        <v>497</v>
      </c>
      <c r="CM65" s="57" t="s">
        <v>2018</v>
      </c>
      <c r="CN65" s="57">
        <v>68</v>
      </c>
      <c r="CO65" s="57">
        <v>90</v>
      </c>
      <c r="CP65" s="57">
        <v>217</v>
      </c>
      <c r="CQ65" s="57">
        <v>367</v>
      </c>
      <c r="CR65" s="57">
        <v>299</v>
      </c>
      <c r="CS65" s="57">
        <v>1041</v>
      </c>
      <c r="CT65" s="57"/>
      <c r="CU65" s="57" t="s">
        <v>2018</v>
      </c>
      <c r="CV65" s="57">
        <v>25</v>
      </c>
      <c r="CW65" s="57">
        <v>0</v>
      </c>
      <c r="CX65" s="57">
        <v>0</v>
      </c>
      <c r="CY65" s="57">
        <v>0</v>
      </c>
      <c r="CZ65" s="57">
        <v>0</v>
      </c>
      <c r="DA65" s="57">
        <v>25</v>
      </c>
      <c r="DD65" s="77" t="s">
        <v>1585</v>
      </c>
      <c r="DE65" s="77" t="s">
        <v>25</v>
      </c>
      <c r="DF65" s="77">
        <v>252</v>
      </c>
      <c r="DG65" s="77">
        <v>432</v>
      </c>
      <c r="DH65" s="77">
        <v>530</v>
      </c>
      <c r="DI65" s="77">
        <v>708</v>
      </c>
      <c r="DJ65" s="77">
        <v>607</v>
      </c>
      <c r="DK65" s="77">
        <v>2529</v>
      </c>
      <c r="DL65" s="77"/>
      <c r="DM65" s="77" t="s">
        <v>25</v>
      </c>
      <c r="DN65" s="77">
        <v>11</v>
      </c>
      <c r="DO65" s="77">
        <v>19</v>
      </c>
      <c r="DP65" s="77">
        <v>5</v>
      </c>
      <c r="DQ65" s="77">
        <v>1</v>
      </c>
      <c r="DR65" s="77">
        <v>0</v>
      </c>
      <c r="DS65" s="77">
        <v>36</v>
      </c>
      <c r="DU65" s="16" t="s">
        <v>1667</v>
      </c>
      <c r="DV65" s="79" t="s">
        <v>2697</v>
      </c>
      <c r="DW65" s="79" t="s">
        <v>2028</v>
      </c>
      <c r="DX65" s="79">
        <v>203</v>
      </c>
      <c r="DY65" s="79">
        <v>264</v>
      </c>
      <c r="DZ65" s="79">
        <v>311</v>
      </c>
      <c r="EA65" s="79">
        <v>390</v>
      </c>
      <c r="EB65" s="79">
        <v>300</v>
      </c>
      <c r="EC65" s="79">
        <v>1468</v>
      </c>
      <c r="ED65" s="79"/>
      <c r="EE65" s="79" t="s">
        <v>2028</v>
      </c>
      <c r="EF65" s="79">
        <v>19</v>
      </c>
      <c r="EG65" s="79">
        <v>2</v>
      </c>
      <c r="EH65" s="79">
        <v>0</v>
      </c>
      <c r="EI65" s="79">
        <v>0</v>
      </c>
      <c r="EJ65" s="79">
        <v>0</v>
      </c>
      <c r="EK65" s="79">
        <v>21</v>
      </c>
      <c r="EN65" s="57" t="s">
        <v>1770</v>
      </c>
      <c r="EO65" s="57" t="s">
        <v>2018</v>
      </c>
      <c r="EP65" s="57">
        <v>758</v>
      </c>
      <c r="EQ65" s="57">
        <v>773</v>
      </c>
      <c r="ER65" s="57">
        <v>732</v>
      </c>
      <c r="ES65" s="57">
        <v>715</v>
      </c>
      <c r="ET65" s="57">
        <v>756</v>
      </c>
      <c r="EU65" s="57">
        <v>3734</v>
      </c>
      <c r="EV65" s="57"/>
      <c r="EW65" s="57" t="s">
        <v>2018</v>
      </c>
      <c r="EX65" s="57">
        <v>54</v>
      </c>
      <c r="EY65" s="57">
        <v>8</v>
      </c>
      <c r="EZ65" s="57">
        <v>1</v>
      </c>
      <c r="FA65" s="57">
        <v>0</v>
      </c>
      <c r="FB65" s="57">
        <v>0</v>
      </c>
      <c r="FC65" s="57">
        <v>63</v>
      </c>
      <c r="FF65" s="70" t="s">
        <v>1822</v>
      </c>
      <c r="FG65" s="70" t="s">
        <v>2018</v>
      </c>
      <c r="FH65" s="70">
        <v>496</v>
      </c>
      <c r="FI65" s="70">
        <v>729</v>
      </c>
      <c r="FJ65" s="70">
        <v>885</v>
      </c>
      <c r="FK65" s="70">
        <v>793</v>
      </c>
      <c r="FL65" s="70">
        <v>950</v>
      </c>
      <c r="FM65" s="70">
        <v>3853</v>
      </c>
      <c r="FN65" s="70"/>
      <c r="FO65" s="70" t="s">
        <v>2018</v>
      </c>
      <c r="FP65" s="70">
        <v>46</v>
      </c>
      <c r="FQ65" s="70">
        <v>4</v>
      </c>
      <c r="FR65" s="70">
        <v>0</v>
      </c>
      <c r="FS65" s="70">
        <v>0</v>
      </c>
      <c r="FT65" s="70">
        <v>0</v>
      </c>
      <c r="FU65" s="70">
        <v>50</v>
      </c>
    </row>
    <row r="66" spans="1:177">
      <c r="B66" s="64" t="s">
        <v>765</v>
      </c>
      <c r="C66" s="64" t="s">
        <v>2018</v>
      </c>
      <c r="D66" s="64">
        <v>473</v>
      </c>
      <c r="E66" s="64">
        <v>594</v>
      </c>
      <c r="F66" s="64">
        <v>837</v>
      </c>
      <c r="G66" s="64">
        <v>913</v>
      </c>
      <c r="H66" s="64">
        <v>717</v>
      </c>
      <c r="I66" s="64">
        <v>3534</v>
      </c>
      <c r="K66" s="64" t="s">
        <v>2018</v>
      </c>
      <c r="L66" s="64">
        <v>29</v>
      </c>
      <c r="M66" s="64">
        <v>0</v>
      </c>
      <c r="N66" s="64">
        <v>0</v>
      </c>
      <c r="O66" s="64">
        <v>0</v>
      </c>
      <c r="P66" s="64">
        <v>0</v>
      </c>
      <c r="Q66" s="64">
        <v>29</v>
      </c>
      <c r="T66" s="65" t="s">
        <v>1895</v>
      </c>
      <c r="U66" s="65" t="s">
        <v>2028</v>
      </c>
      <c r="V66" s="65">
        <v>152</v>
      </c>
      <c r="W66" s="65">
        <v>220</v>
      </c>
      <c r="X66" s="65">
        <v>339</v>
      </c>
      <c r="Y66" s="65">
        <v>346</v>
      </c>
      <c r="Z66" s="65">
        <v>253</v>
      </c>
      <c r="AA66" s="65">
        <v>1310</v>
      </c>
      <c r="AB66" s="65"/>
      <c r="AC66" s="65" t="s">
        <v>2028</v>
      </c>
      <c r="AD66" s="65">
        <v>8</v>
      </c>
      <c r="AE66" s="65">
        <v>3</v>
      </c>
      <c r="AF66" s="65">
        <v>1</v>
      </c>
      <c r="AG66" s="65">
        <v>0</v>
      </c>
      <c r="AH66" s="65">
        <v>1</v>
      </c>
      <c r="AI66" s="65">
        <v>13</v>
      </c>
      <c r="AK66" s="66" t="s">
        <v>1120</v>
      </c>
      <c r="AL66" s="66" t="s">
        <v>2018</v>
      </c>
      <c r="AM66" s="66">
        <v>214</v>
      </c>
      <c r="AN66" s="66">
        <v>214</v>
      </c>
      <c r="AO66" s="66">
        <v>383</v>
      </c>
      <c r="AP66" s="66">
        <v>596</v>
      </c>
      <c r="AQ66" s="66">
        <v>495</v>
      </c>
      <c r="AR66" s="66">
        <v>1902</v>
      </c>
      <c r="AS66" s="66"/>
      <c r="AT66" s="66" t="s">
        <v>2018</v>
      </c>
      <c r="AU66" s="66">
        <v>53</v>
      </c>
      <c r="AV66" s="66">
        <v>1</v>
      </c>
      <c r="AW66" s="66">
        <v>0</v>
      </c>
      <c r="AX66" s="66">
        <v>0</v>
      </c>
      <c r="AY66" s="66">
        <v>0</v>
      </c>
      <c r="AZ66" s="66">
        <v>54</v>
      </c>
      <c r="BB66" s="69" t="s">
        <v>1159</v>
      </c>
      <c r="BC66" s="69" t="s">
        <v>2018</v>
      </c>
      <c r="BD66" s="69">
        <v>374</v>
      </c>
      <c r="BE66" s="69">
        <v>292</v>
      </c>
      <c r="BF66" s="69">
        <v>558</v>
      </c>
      <c r="BG66" s="69">
        <v>803</v>
      </c>
      <c r="BH66" s="69">
        <v>634</v>
      </c>
      <c r="BI66" s="69">
        <v>2661</v>
      </c>
      <c r="BJ66" s="69"/>
      <c r="BK66" s="69" t="s">
        <v>2018</v>
      </c>
      <c r="BL66" s="69">
        <v>17</v>
      </c>
      <c r="BM66" s="69">
        <v>0</v>
      </c>
      <c r="BN66" s="69">
        <v>0</v>
      </c>
      <c r="BO66" s="69">
        <v>0</v>
      </c>
      <c r="BP66" s="69">
        <v>0</v>
      </c>
      <c r="BQ66" s="69">
        <v>17</v>
      </c>
      <c r="BS66" s="70" t="s">
        <v>1438</v>
      </c>
      <c r="BT66" s="70" t="s">
        <v>2028</v>
      </c>
      <c r="BU66" s="70">
        <v>82</v>
      </c>
      <c r="BV66" s="70">
        <v>187</v>
      </c>
      <c r="BW66" s="70">
        <v>357</v>
      </c>
      <c r="BX66" s="70">
        <v>536</v>
      </c>
      <c r="BY66" s="70">
        <v>489</v>
      </c>
      <c r="BZ66" s="70">
        <v>1651</v>
      </c>
      <c r="CA66" s="70"/>
      <c r="CB66" s="70" t="s">
        <v>2028</v>
      </c>
      <c r="CC66" s="70">
        <v>10</v>
      </c>
      <c r="CD66" s="70">
        <v>0</v>
      </c>
      <c r="CE66" s="70">
        <v>0</v>
      </c>
      <c r="CF66" s="70">
        <v>0</v>
      </c>
      <c r="CG66" s="70">
        <v>0</v>
      </c>
      <c r="CH66" s="70">
        <v>10</v>
      </c>
      <c r="CL66" s="57" t="s">
        <v>525</v>
      </c>
      <c r="CM66" s="57" t="s">
        <v>2018</v>
      </c>
      <c r="CN66" s="57" t="s">
        <v>324</v>
      </c>
      <c r="CO66" s="57" t="s">
        <v>324</v>
      </c>
      <c r="CP66" s="57" t="s">
        <v>324</v>
      </c>
      <c r="CQ66" s="57" t="s">
        <v>324</v>
      </c>
      <c r="CR66" s="57" t="s">
        <v>324</v>
      </c>
      <c r="CS66" s="57" t="s">
        <v>324</v>
      </c>
      <c r="CT66" s="57"/>
      <c r="CU66" s="57" t="s">
        <v>2018</v>
      </c>
      <c r="CV66" s="57" t="s">
        <v>324</v>
      </c>
      <c r="CW66" s="57" t="s">
        <v>324</v>
      </c>
      <c r="CX66" s="57" t="s">
        <v>324</v>
      </c>
      <c r="CY66" s="57" t="s">
        <v>324</v>
      </c>
      <c r="CZ66" s="57" t="s">
        <v>324</v>
      </c>
      <c r="DA66" s="57" t="s">
        <v>324</v>
      </c>
      <c r="DD66" s="77" t="s">
        <v>1588</v>
      </c>
      <c r="DE66" s="77" t="s">
        <v>25</v>
      </c>
      <c r="DF66" s="77">
        <v>196</v>
      </c>
      <c r="DG66" s="77">
        <v>210</v>
      </c>
      <c r="DH66" s="77">
        <v>244</v>
      </c>
      <c r="DI66" s="77">
        <v>375</v>
      </c>
      <c r="DJ66" s="77">
        <v>413</v>
      </c>
      <c r="DK66" s="77">
        <v>1438</v>
      </c>
      <c r="DL66" s="77"/>
      <c r="DM66" s="77" t="s">
        <v>25</v>
      </c>
      <c r="DN66" s="77">
        <v>13</v>
      </c>
      <c r="DO66" s="77">
        <v>5</v>
      </c>
      <c r="DP66" s="77">
        <v>3</v>
      </c>
      <c r="DQ66" s="77">
        <v>1</v>
      </c>
      <c r="DR66" s="77">
        <v>0</v>
      </c>
      <c r="DS66" s="77">
        <v>22</v>
      </c>
      <c r="DU66" s="21"/>
      <c r="DV66" s="79" t="s">
        <v>1670</v>
      </c>
      <c r="DW66" s="79" t="s">
        <v>2028</v>
      </c>
      <c r="DX66" s="79">
        <v>123</v>
      </c>
      <c r="DY66" s="79">
        <v>169</v>
      </c>
      <c r="DZ66" s="79">
        <v>208</v>
      </c>
      <c r="EA66" s="79">
        <v>263</v>
      </c>
      <c r="EB66" s="79">
        <v>262</v>
      </c>
      <c r="EC66" s="79">
        <v>1025</v>
      </c>
      <c r="ED66" s="79"/>
      <c r="EE66" s="79" t="s">
        <v>2028</v>
      </c>
      <c r="EF66" s="79">
        <v>11</v>
      </c>
      <c r="EG66" s="79">
        <v>1</v>
      </c>
      <c r="EH66" s="79">
        <v>0</v>
      </c>
      <c r="EI66" s="79">
        <v>0</v>
      </c>
      <c r="EJ66" s="79">
        <v>0</v>
      </c>
      <c r="EK66" s="79">
        <v>12</v>
      </c>
      <c r="EN66" s="57" t="s">
        <v>1999</v>
      </c>
      <c r="EO66" s="57" t="s">
        <v>2018</v>
      </c>
      <c r="EP66" s="57" t="s">
        <v>324</v>
      </c>
      <c r="EQ66" s="57" t="s">
        <v>324</v>
      </c>
      <c r="ER66" s="57" t="s">
        <v>324</v>
      </c>
      <c r="ES66" s="57" t="s">
        <v>324</v>
      </c>
      <c r="ET66" s="57" t="s">
        <v>324</v>
      </c>
      <c r="EU66" s="57" t="s">
        <v>324</v>
      </c>
      <c r="EV66" s="57"/>
      <c r="EW66" s="57" t="s">
        <v>2018</v>
      </c>
      <c r="EX66" s="57" t="s">
        <v>324</v>
      </c>
      <c r="EY66" s="57" t="s">
        <v>324</v>
      </c>
      <c r="EZ66" s="57" t="s">
        <v>324</v>
      </c>
      <c r="FA66" s="57" t="s">
        <v>324</v>
      </c>
      <c r="FB66" s="57" t="s">
        <v>324</v>
      </c>
      <c r="FC66" s="57" t="s">
        <v>324</v>
      </c>
      <c r="FF66" s="70" t="s">
        <v>1825</v>
      </c>
      <c r="FG66" s="70" t="s">
        <v>2018</v>
      </c>
      <c r="FH66" s="70">
        <v>449</v>
      </c>
      <c r="FI66" s="70">
        <v>572</v>
      </c>
      <c r="FJ66" s="70">
        <v>660</v>
      </c>
      <c r="FK66" s="70">
        <v>775</v>
      </c>
      <c r="FL66" s="70">
        <v>966</v>
      </c>
      <c r="FM66" s="70">
        <v>3422</v>
      </c>
      <c r="FN66" s="70"/>
      <c r="FO66" s="70" t="s">
        <v>2018</v>
      </c>
      <c r="FP66" s="70">
        <v>98</v>
      </c>
      <c r="FQ66" s="70">
        <v>44</v>
      </c>
      <c r="FR66" s="70">
        <v>23</v>
      </c>
      <c r="FS66" s="70">
        <v>16</v>
      </c>
      <c r="FT66" s="70">
        <v>14</v>
      </c>
      <c r="FU66" s="70">
        <v>195</v>
      </c>
    </row>
    <row r="67" spans="1:177">
      <c r="B67" s="64" t="s">
        <v>773</v>
      </c>
      <c r="C67" s="64" t="s">
        <v>2018</v>
      </c>
      <c r="D67" s="64">
        <v>447</v>
      </c>
      <c r="E67" s="64">
        <v>536</v>
      </c>
      <c r="F67" s="64">
        <v>681</v>
      </c>
      <c r="G67" s="64">
        <v>814</v>
      </c>
      <c r="H67" s="64">
        <v>601</v>
      </c>
      <c r="I67" s="64">
        <v>3079</v>
      </c>
      <c r="K67" s="64" t="s">
        <v>2018</v>
      </c>
      <c r="L67" s="64">
        <v>20</v>
      </c>
      <c r="M67" s="64">
        <v>0</v>
      </c>
      <c r="N67" s="64">
        <v>0</v>
      </c>
      <c r="O67" s="64">
        <v>0</v>
      </c>
      <c r="P67" s="64">
        <v>0</v>
      </c>
      <c r="Q67" s="64">
        <v>20</v>
      </c>
      <c r="T67" s="65" t="s">
        <v>1896</v>
      </c>
      <c r="U67" s="65" t="s">
        <v>2028</v>
      </c>
      <c r="V67" s="65">
        <v>80</v>
      </c>
      <c r="W67" s="65">
        <v>176</v>
      </c>
      <c r="X67" s="65">
        <v>294</v>
      </c>
      <c r="Y67" s="65">
        <v>301</v>
      </c>
      <c r="Z67" s="65">
        <v>204</v>
      </c>
      <c r="AA67" s="65">
        <v>1055</v>
      </c>
      <c r="AB67" s="65"/>
      <c r="AC67" s="65" t="s">
        <v>2028</v>
      </c>
      <c r="AD67" s="65">
        <v>10</v>
      </c>
      <c r="AE67" s="65">
        <v>2</v>
      </c>
      <c r="AF67" s="65">
        <v>2</v>
      </c>
      <c r="AG67" s="65">
        <v>0</v>
      </c>
      <c r="AH67" s="65">
        <v>1</v>
      </c>
      <c r="AI67" s="65">
        <v>15</v>
      </c>
      <c r="AK67" s="66" t="s">
        <v>1943</v>
      </c>
      <c r="AL67" s="66" t="s">
        <v>2018</v>
      </c>
      <c r="AM67" s="66">
        <v>671</v>
      </c>
      <c r="AN67" s="66">
        <v>486</v>
      </c>
      <c r="AO67" s="66">
        <v>499</v>
      </c>
      <c r="AP67" s="66">
        <v>548</v>
      </c>
      <c r="AQ67" s="66">
        <v>467</v>
      </c>
      <c r="AR67" s="66">
        <v>2671</v>
      </c>
      <c r="AS67" s="66"/>
      <c r="AT67" s="66" t="s">
        <v>2018</v>
      </c>
      <c r="AU67" s="66">
        <v>71</v>
      </c>
      <c r="AV67" s="66">
        <v>13</v>
      </c>
      <c r="AW67" s="66">
        <v>6</v>
      </c>
      <c r="AX67" s="66">
        <v>0</v>
      </c>
      <c r="AY67" s="66">
        <v>0</v>
      </c>
      <c r="AZ67" s="66">
        <v>90</v>
      </c>
      <c r="BB67" s="69" t="s">
        <v>1162</v>
      </c>
      <c r="BC67" s="69" t="s">
        <v>2018</v>
      </c>
      <c r="BD67" s="69">
        <v>208</v>
      </c>
      <c r="BE67" s="69">
        <v>221</v>
      </c>
      <c r="BF67" s="69">
        <v>406</v>
      </c>
      <c r="BG67" s="69">
        <v>576</v>
      </c>
      <c r="BH67" s="69">
        <v>518</v>
      </c>
      <c r="BI67" s="69">
        <v>1929</v>
      </c>
      <c r="BJ67" s="69"/>
      <c r="BK67" s="69" t="s">
        <v>2018</v>
      </c>
      <c r="BL67" s="69">
        <v>21</v>
      </c>
      <c r="BM67" s="69">
        <v>0</v>
      </c>
      <c r="BN67" s="69">
        <v>0</v>
      </c>
      <c r="BO67" s="69">
        <v>0</v>
      </c>
      <c r="BP67" s="69">
        <v>0</v>
      </c>
      <c r="BQ67" s="69">
        <v>21</v>
      </c>
      <c r="BS67" s="70" t="s">
        <v>1440</v>
      </c>
      <c r="BT67" s="70" t="s">
        <v>2028</v>
      </c>
      <c r="BU67" s="70">
        <v>134</v>
      </c>
      <c r="BV67" s="70">
        <v>191</v>
      </c>
      <c r="BW67" s="70">
        <v>380</v>
      </c>
      <c r="BX67" s="70">
        <v>548</v>
      </c>
      <c r="BY67" s="70">
        <v>519</v>
      </c>
      <c r="BZ67" s="70">
        <v>1772</v>
      </c>
      <c r="CA67" s="70"/>
      <c r="CB67" s="70" t="s">
        <v>2028</v>
      </c>
      <c r="CC67" s="70">
        <v>17</v>
      </c>
      <c r="CD67" s="70">
        <v>0</v>
      </c>
      <c r="CE67" s="70">
        <v>0</v>
      </c>
      <c r="CF67" s="70">
        <v>0</v>
      </c>
      <c r="CG67" s="70">
        <v>0</v>
      </c>
      <c r="CH67" s="70">
        <v>17</v>
      </c>
      <c r="CL67" s="57" t="s">
        <v>527</v>
      </c>
      <c r="CM67" s="57" t="s">
        <v>2018</v>
      </c>
      <c r="CN67" s="57">
        <v>69</v>
      </c>
      <c r="CO67" s="57">
        <v>150</v>
      </c>
      <c r="CP67" s="57">
        <v>306</v>
      </c>
      <c r="CQ67" s="57">
        <v>443</v>
      </c>
      <c r="CR67" s="57">
        <v>410</v>
      </c>
      <c r="CS67" s="57">
        <v>1378</v>
      </c>
      <c r="CT67" s="57"/>
      <c r="CU67" s="57" t="s">
        <v>2018</v>
      </c>
      <c r="CV67" s="57">
        <v>18</v>
      </c>
      <c r="CW67" s="57">
        <v>0</v>
      </c>
      <c r="CX67" s="57">
        <v>0</v>
      </c>
      <c r="CY67" s="57">
        <v>0</v>
      </c>
      <c r="CZ67" s="57">
        <v>0</v>
      </c>
      <c r="DA67" s="57">
        <v>18</v>
      </c>
      <c r="DD67" s="77" t="s">
        <v>1591</v>
      </c>
      <c r="DE67" s="77" t="s">
        <v>25</v>
      </c>
      <c r="DF67" s="77">
        <v>132</v>
      </c>
      <c r="DG67" s="77">
        <v>189</v>
      </c>
      <c r="DH67" s="77">
        <v>268</v>
      </c>
      <c r="DI67" s="77">
        <v>347</v>
      </c>
      <c r="DJ67" s="77">
        <v>335</v>
      </c>
      <c r="DK67" s="77">
        <v>1271</v>
      </c>
      <c r="DL67" s="77"/>
      <c r="DM67" s="77" t="s">
        <v>25</v>
      </c>
      <c r="DN67" s="77">
        <v>7</v>
      </c>
      <c r="DO67" s="77">
        <v>10</v>
      </c>
      <c r="DP67" s="77">
        <v>4</v>
      </c>
      <c r="DQ67" s="77">
        <v>0</v>
      </c>
      <c r="DR67" s="77">
        <v>0</v>
      </c>
      <c r="DS67" s="77">
        <v>21</v>
      </c>
      <c r="DU67" s="21"/>
      <c r="DV67" s="79" t="s">
        <v>1985</v>
      </c>
      <c r="DW67" s="79" t="s">
        <v>2028</v>
      </c>
      <c r="DX67" s="79">
        <v>225</v>
      </c>
      <c r="DY67" s="79">
        <v>250</v>
      </c>
      <c r="DZ67" s="79">
        <v>357</v>
      </c>
      <c r="EA67" s="79">
        <v>428</v>
      </c>
      <c r="EB67" s="79">
        <v>398</v>
      </c>
      <c r="EC67" s="79">
        <v>1658</v>
      </c>
      <c r="ED67" s="79"/>
      <c r="EE67" s="79" t="s">
        <v>2028</v>
      </c>
      <c r="EF67" s="79">
        <v>21</v>
      </c>
      <c r="EG67" s="79">
        <v>0</v>
      </c>
      <c r="EH67" s="79">
        <v>0</v>
      </c>
      <c r="EI67" s="79">
        <v>0</v>
      </c>
      <c r="EJ67" s="79">
        <v>0</v>
      </c>
      <c r="EK67" s="79">
        <v>21</v>
      </c>
      <c r="EN67" s="57" t="s">
        <v>1774</v>
      </c>
      <c r="EO67" s="57" t="s">
        <v>2018</v>
      </c>
      <c r="EP67" s="57" t="s">
        <v>324</v>
      </c>
      <c r="EQ67" s="57" t="s">
        <v>324</v>
      </c>
      <c r="ER67" s="57" t="s">
        <v>324</v>
      </c>
      <c r="ES67" s="57" t="s">
        <v>324</v>
      </c>
      <c r="ET67" s="57" t="s">
        <v>324</v>
      </c>
      <c r="EU67" s="57" t="s">
        <v>324</v>
      </c>
      <c r="EV67" s="57"/>
      <c r="EW67" s="57" t="s">
        <v>2018</v>
      </c>
      <c r="EX67" s="57" t="s">
        <v>324</v>
      </c>
      <c r="EY67" s="57" t="s">
        <v>324</v>
      </c>
      <c r="EZ67" s="57" t="s">
        <v>324</v>
      </c>
      <c r="FA67" s="57" t="s">
        <v>324</v>
      </c>
      <c r="FB67" s="57" t="s">
        <v>324</v>
      </c>
      <c r="FC67" s="57" t="s">
        <v>324</v>
      </c>
      <c r="FF67" s="70" t="s">
        <v>1827</v>
      </c>
      <c r="FG67" s="70" t="s">
        <v>2018</v>
      </c>
      <c r="FH67" s="70">
        <v>580</v>
      </c>
      <c r="FI67" s="70">
        <v>621</v>
      </c>
      <c r="FJ67" s="70">
        <v>671</v>
      </c>
      <c r="FK67" s="70">
        <v>739</v>
      </c>
      <c r="FL67" s="70">
        <v>878</v>
      </c>
      <c r="FM67" s="70">
        <v>3489</v>
      </c>
      <c r="FN67" s="70"/>
      <c r="FO67" s="70" t="s">
        <v>2018</v>
      </c>
      <c r="FP67" s="70">
        <v>109</v>
      </c>
      <c r="FQ67" s="70">
        <v>20</v>
      </c>
      <c r="FR67" s="70">
        <v>11</v>
      </c>
      <c r="FS67" s="70">
        <v>8</v>
      </c>
      <c r="FT67" s="70">
        <v>5</v>
      </c>
      <c r="FU67" s="70">
        <v>153</v>
      </c>
    </row>
    <row r="68" spans="1:177">
      <c r="B68" s="64" t="s">
        <v>776</v>
      </c>
      <c r="C68" s="64" t="s">
        <v>2018</v>
      </c>
      <c r="D68" s="64">
        <v>349</v>
      </c>
      <c r="E68" s="64">
        <v>424</v>
      </c>
      <c r="F68" s="64">
        <v>561</v>
      </c>
      <c r="G68" s="64">
        <v>596</v>
      </c>
      <c r="H68" s="64">
        <v>526</v>
      </c>
      <c r="I68" s="64">
        <v>2456</v>
      </c>
      <c r="K68" s="64" t="s">
        <v>2018</v>
      </c>
      <c r="L68" s="64">
        <v>26</v>
      </c>
      <c r="M68" s="64">
        <v>0</v>
      </c>
      <c r="N68" s="64">
        <v>0</v>
      </c>
      <c r="O68" s="64">
        <v>0</v>
      </c>
      <c r="P68" s="64">
        <v>0</v>
      </c>
      <c r="Q68" s="64">
        <v>26</v>
      </c>
      <c r="T68" s="65" t="s">
        <v>1897</v>
      </c>
      <c r="U68" s="65" t="s">
        <v>2028</v>
      </c>
      <c r="V68" s="65">
        <v>76</v>
      </c>
      <c r="W68" s="65">
        <v>177</v>
      </c>
      <c r="X68" s="65">
        <v>362</v>
      </c>
      <c r="Y68" s="65">
        <v>509</v>
      </c>
      <c r="Z68" s="65">
        <v>398</v>
      </c>
      <c r="AA68" s="65">
        <v>1522</v>
      </c>
      <c r="AB68" s="65"/>
      <c r="AC68" s="65" t="s">
        <v>2028</v>
      </c>
      <c r="AD68" s="65">
        <v>10</v>
      </c>
      <c r="AE68" s="65">
        <v>2</v>
      </c>
      <c r="AF68" s="65">
        <v>2</v>
      </c>
      <c r="AG68" s="65">
        <v>1</v>
      </c>
      <c r="AH68" s="65">
        <v>1</v>
      </c>
      <c r="AI68" s="65">
        <v>16</v>
      </c>
      <c r="AK68" s="66" t="s">
        <v>1921</v>
      </c>
      <c r="AL68" s="66" t="s">
        <v>2018</v>
      </c>
      <c r="AM68" s="66">
        <v>500</v>
      </c>
      <c r="AN68" s="66">
        <v>435</v>
      </c>
      <c r="AO68" s="66">
        <v>760</v>
      </c>
      <c r="AP68" s="66">
        <v>895</v>
      </c>
      <c r="AQ68" s="66">
        <v>669</v>
      </c>
      <c r="AR68" s="66">
        <v>3259</v>
      </c>
      <c r="AS68" s="66"/>
      <c r="AT68" s="66" t="s">
        <v>2018</v>
      </c>
      <c r="AU68" s="66">
        <v>46</v>
      </c>
      <c r="AV68" s="66">
        <v>1</v>
      </c>
      <c r="AW68" s="66">
        <v>3</v>
      </c>
      <c r="AX68" s="66">
        <v>0</v>
      </c>
      <c r="AY68" s="66">
        <v>0</v>
      </c>
      <c r="AZ68" s="66">
        <v>50</v>
      </c>
      <c r="BB68" s="69" t="s">
        <v>1165</v>
      </c>
      <c r="BC68" s="69" t="s">
        <v>2018</v>
      </c>
      <c r="BD68" s="69">
        <v>376</v>
      </c>
      <c r="BE68" s="69">
        <v>274</v>
      </c>
      <c r="BF68" s="69">
        <v>392</v>
      </c>
      <c r="BG68" s="69">
        <v>441</v>
      </c>
      <c r="BH68" s="69">
        <v>348</v>
      </c>
      <c r="BI68" s="69">
        <v>1831</v>
      </c>
      <c r="BJ68" s="69"/>
      <c r="BK68" s="69" t="s">
        <v>2018</v>
      </c>
      <c r="BL68" s="69">
        <v>50</v>
      </c>
      <c r="BM68" s="69">
        <v>2</v>
      </c>
      <c r="BN68" s="69">
        <v>0</v>
      </c>
      <c r="BO68" s="69">
        <v>0</v>
      </c>
      <c r="BP68" s="69">
        <v>0</v>
      </c>
      <c r="BQ68" s="69">
        <v>52</v>
      </c>
      <c r="BS68" s="70" t="s">
        <v>1442</v>
      </c>
      <c r="BT68" s="70" t="s">
        <v>2028</v>
      </c>
      <c r="BU68" s="70">
        <v>45</v>
      </c>
      <c r="BV68" s="70">
        <v>91</v>
      </c>
      <c r="BW68" s="70">
        <v>207</v>
      </c>
      <c r="BX68" s="70">
        <v>284</v>
      </c>
      <c r="BY68" s="70">
        <v>297</v>
      </c>
      <c r="BZ68" s="70">
        <v>924</v>
      </c>
      <c r="CA68" s="70"/>
      <c r="CB68" s="70" t="s">
        <v>2028</v>
      </c>
      <c r="CC68" s="70">
        <v>3</v>
      </c>
      <c r="CD68" s="70">
        <v>0</v>
      </c>
      <c r="CE68" s="70">
        <v>0</v>
      </c>
      <c r="CF68" s="70">
        <v>0</v>
      </c>
      <c r="CG68" s="70">
        <v>0</v>
      </c>
      <c r="CH68" s="70">
        <v>3</v>
      </c>
      <c r="CL68" s="57" t="s">
        <v>529</v>
      </c>
      <c r="CM68" s="57" t="s">
        <v>2018</v>
      </c>
      <c r="CN68" s="57">
        <v>1081</v>
      </c>
      <c r="CO68" s="57">
        <v>637</v>
      </c>
      <c r="CP68" s="57">
        <v>756</v>
      </c>
      <c r="CQ68" s="57">
        <v>848</v>
      </c>
      <c r="CR68" s="57">
        <v>641</v>
      </c>
      <c r="CS68" s="57">
        <v>3963</v>
      </c>
      <c r="CT68" s="57"/>
      <c r="CU68" s="57" t="s">
        <v>2018</v>
      </c>
      <c r="CV68" s="57">
        <v>357</v>
      </c>
      <c r="CW68" s="57">
        <v>6</v>
      </c>
      <c r="CX68" s="57">
        <v>0</v>
      </c>
      <c r="CY68" s="57">
        <v>0</v>
      </c>
      <c r="CZ68" s="57">
        <v>0</v>
      </c>
      <c r="DA68" s="57">
        <v>363</v>
      </c>
      <c r="DD68" s="77" t="s">
        <v>1594</v>
      </c>
      <c r="DE68" s="77" t="s">
        <v>25</v>
      </c>
      <c r="DF68" s="77">
        <v>102</v>
      </c>
      <c r="DG68" s="77">
        <v>118</v>
      </c>
      <c r="DH68" s="77">
        <v>156</v>
      </c>
      <c r="DI68" s="77">
        <v>199</v>
      </c>
      <c r="DJ68" s="77">
        <v>173</v>
      </c>
      <c r="DK68" s="77">
        <v>748</v>
      </c>
      <c r="DL68" s="77"/>
      <c r="DM68" s="77" t="s">
        <v>25</v>
      </c>
      <c r="DN68" s="77">
        <v>6</v>
      </c>
      <c r="DO68" s="77">
        <v>11</v>
      </c>
      <c r="DP68" s="77">
        <v>0</v>
      </c>
      <c r="DQ68" s="77">
        <v>0</v>
      </c>
      <c r="DR68" s="77">
        <v>0</v>
      </c>
      <c r="DS68" s="77">
        <v>17</v>
      </c>
      <c r="DU68" s="16" t="s">
        <v>1673</v>
      </c>
      <c r="DV68" s="79" t="s">
        <v>2700</v>
      </c>
      <c r="DW68" s="79" t="s">
        <v>2028</v>
      </c>
      <c r="DX68" s="79">
        <v>178</v>
      </c>
      <c r="DY68" s="79">
        <v>141</v>
      </c>
      <c r="DZ68" s="79">
        <v>152</v>
      </c>
      <c r="EA68" s="79">
        <v>169</v>
      </c>
      <c r="EB68" s="79">
        <v>136</v>
      </c>
      <c r="EC68" s="79">
        <v>776</v>
      </c>
      <c r="ED68" s="79"/>
      <c r="EE68" s="79" t="s">
        <v>2028</v>
      </c>
      <c r="EF68" s="79">
        <v>14</v>
      </c>
      <c r="EG68" s="79">
        <v>0</v>
      </c>
      <c r="EH68" s="79">
        <v>0</v>
      </c>
      <c r="EI68" s="79">
        <v>0</v>
      </c>
      <c r="EJ68" s="79">
        <v>0</v>
      </c>
      <c r="EK68" s="79">
        <v>14</v>
      </c>
      <c r="EN68" s="57" t="s">
        <v>1778</v>
      </c>
      <c r="EO68" s="57" t="s">
        <v>2018</v>
      </c>
      <c r="EP68" s="57">
        <v>194</v>
      </c>
      <c r="EQ68" s="57">
        <v>305</v>
      </c>
      <c r="ER68" s="57">
        <v>349</v>
      </c>
      <c r="ES68" s="57">
        <v>473</v>
      </c>
      <c r="ET68" s="57">
        <v>560</v>
      </c>
      <c r="EU68" s="57">
        <v>1881</v>
      </c>
      <c r="EV68" s="57"/>
      <c r="EW68" s="57" t="s">
        <v>2018</v>
      </c>
      <c r="EX68" s="57">
        <v>30</v>
      </c>
      <c r="EY68" s="57">
        <v>15</v>
      </c>
      <c r="EZ68" s="57">
        <v>6</v>
      </c>
      <c r="FA68" s="57">
        <v>4</v>
      </c>
      <c r="FB68" s="57">
        <v>7</v>
      </c>
      <c r="FC68" s="57">
        <v>62</v>
      </c>
      <c r="FF68" s="70" t="s">
        <v>1828</v>
      </c>
      <c r="FG68" s="70" t="s">
        <v>2018</v>
      </c>
      <c r="FH68" s="70">
        <v>523</v>
      </c>
      <c r="FI68" s="70">
        <v>640</v>
      </c>
      <c r="FJ68" s="70">
        <v>708</v>
      </c>
      <c r="FK68" s="70">
        <v>806</v>
      </c>
      <c r="FL68" s="70">
        <v>976</v>
      </c>
      <c r="FM68" s="70">
        <v>3653</v>
      </c>
      <c r="FN68" s="70"/>
      <c r="FO68" s="70" t="s">
        <v>2018</v>
      </c>
      <c r="FP68" s="70">
        <v>66</v>
      </c>
      <c r="FQ68" s="70">
        <v>21</v>
      </c>
      <c r="FR68" s="70">
        <v>13</v>
      </c>
      <c r="FS68" s="70">
        <v>14</v>
      </c>
      <c r="FT68" s="70">
        <v>9</v>
      </c>
      <c r="FU68" s="70">
        <v>123</v>
      </c>
    </row>
    <row r="69" spans="1:177">
      <c r="B69" s="64" t="s">
        <v>781</v>
      </c>
      <c r="C69" s="64" t="s">
        <v>2018</v>
      </c>
      <c r="D69" s="64">
        <v>267</v>
      </c>
      <c r="E69" s="64">
        <v>294</v>
      </c>
      <c r="F69" s="64">
        <v>409</v>
      </c>
      <c r="G69" s="64">
        <v>507</v>
      </c>
      <c r="H69" s="64">
        <v>382</v>
      </c>
      <c r="I69" s="64">
        <v>1859</v>
      </c>
      <c r="K69" s="64" t="s">
        <v>2018</v>
      </c>
      <c r="L69" s="64">
        <v>18</v>
      </c>
      <c r="M69" s="64">
        <v>0</v>
      </c>
      <c r="N69" s="64">
        <v>0</v>
      </c>
      <c r="O69" s="64">
        <v>0</v>
      </c>
      <c r="P69" s="64">
        <v>0</v>
      </c>
      <c r="Q69" s="64">
        <v>18</v>
      </c>
      <c r="T69" s="65" t="s">
        <v>947</v>
      </c>
      <c r="U69" s="65" t="s">
        <v>2028</v>
      </c>
      <c r="V69" s="65">
        <v>102</v>
      </c>
      <c r="W69" s="65">
        <v>130</v>
      </c>
      <c r="X69" s="65">
        <v>231</v>
      </c>
      <c r="Y69" s="65">
        <v>260</v>
      </c>
      <c r="Z69" s="65">
        <v>229</v>
      </c>
      <c r="AA69" s="65">
        <v>952</v>
      </c>
      <c r="AB69" s="65"/>
      <c r="AC69" s="65" t="s">
        <v>2028</v>
      </c>
      <c r="AD69" s="65">
        <v>7</v>
      </c>
      <c r="AE69" s="65">
        <v>0</v>
      </c>
      <c r="AF69" s="65">
        <v>1</v>
      </c>
      <c r="AG69" s="65">
        <v>0</v>
      </c>
      <c r="AH69" s="65">
        <v>0</v>
      </c>
      <c r="AI69" s="65">
        <v>8</v>
      </c>
      <c r="AK69" s="66" t="s">
        <v>1946</v>
      </c>
      <c r="AL69" s="66" t="s">
        <v>2018</v>
      </c>
      <c r="AM69" s="66">
        <v>575</v>
      </c>
      <c r="AN69" s="66">
        <v>564</v>
      </c>
      <c r="AO69" s="66">
        <v>760</v>
      </c>
      <c r="AP69" s="66">
        <v>836</v>
      </c>
      <c r="AQ69" s="66">
        <v>602</v>
      </c>
      <c r="AR69" s="66">
        <v>3337</v>
      </c>
      <c r="AS69" s="66"/>
      <c r="AT69" s="66" t="s">
        <v>2018</v>
      </c>
      <c r="AU69" s="66">
        <v>18</v>
      </c>
      <c r="AV69" s="66">
        <v>4</v>
      </c>
      <c r="AW69" s="66">
        <v>1</v>
      </c>
      <c r="AX69" s="66">
        <v>0</v>
      </c>
      <c r="AY69" s="66">
        <v>2</v>
      </c>
      <c r="AZ69" s="66">
        <v>25</v>
      </c>
      <c r="BB69" s="69" t="s">
        <v>1168</v>
      </c>
      <c r="BC69" s="69" t="s">
        <v>2018</v>
      </c>
      <c r="BD69" s="69">
        <v>278</v>
      </c>
      <c r="BE69" s="69">
        <v>295</v>
      </c>
      <c r="BF69" s="69">
        <v>318</v>
      </c>
      <c r="BG69" s="69">
        <v>320</v>
      </c>
      <c r="BH69" s="69">
        <v>262</v>
      </c>
      <c r="BI69" s="69">
        <v>1473</v>
      </c>
      <c r="BJ69" s="69"/>
      <c r="BK69" s="69" t="s">
        <v>2018</v>
      </c>
      <c r="BL69" s="69">
        <v>22</v>
      </c>
      <c r="BM69" s="69">
        <v>0</v>
      </c>
      <c r="BN69" s="69">
        <v>0</v>
      </c>
      <c r="BO69" s="69">
        <v>0</v>
      </c>
      <c r="BP69" s="69">
        <v>0</v>
      </c>
      <c r="BQ69" s="69">
        <v>22</v>
      </c>
      <c r="BS69" s="70" t="s">
        <v>1444</v>
      </c>
      <c r="BT69" s="70" t="s">
        <v>2028</v>
      </c>
      <c r="BU69" s="70">
        <v>229</v>
      </c>
      <c r="BV69" s="70">
        <v>184</v>
      </c>
      <c r="BW69" s="70">
        <v>242</v>
      </c>
      <c r="BX69" s="70">
        <v>326</v>
      </c>
      <c r="BY69" s="70">
        <v>296</v>
      </c>
      <c r="BZ69" s="70">
        <v>1277</v>
      </c>
      <c r="CA69" s="70"/>
      <c r="CB69" s="70" t="s">
        <v>2028</v>
      </c>
      <c r="CC69" s="70">
        <v>55</v>
      </c>
      <c r="CD69" s="70">
        <v>0</v>
      </c>
      <c r="CE69" s="70">
        <v>0</v>
      </c>
      <c r="CF69" s="70">
        <v>0</v>
      </c>
      <c r="CG69" s="70">
        <v>0</v>
      </c>
      <c r="CH69" s="70">
        <v>55</v>
      </c>
      <c r="CL69" s="57" t="s">
        <v>531</v>
      </c>
      <c r="CM69" s="57" t="s">
        <v>2018</v>
      </c>
      <c r="CN69" s="57">
        <v>54</v>
      </c>
      <c r="CO69" s="57">
        <v>40</v>
      </c>
      <c r="CP69" s="57">
        <v>71</v>
      </c>
      <c r="CQ69" s="57">
        <v>74</v>
      </c>
      <c r="CR69" s="57">
        <v>103</v>
      </c>
      <c r="CS69" s="57">
        <v>342</v>
      </c>
      <c r="CT69" s="57"/>
      <c r="CU69" s="57" t="s">
        <v>2018</v>
      </c>
      <c r="CV69" s="57">
        <v>19</v>
      </c>
      <c r="CW69" s="57">
        <v>0</v>
      </c>
      <c r="CX69" s="57">
        <v>0</v>
      </c>
      <c r="CY69" s="57">
        <v>0</v>
      </c>
      <c r="CZ69" s="57">
        <v>0</v>
      </c>
      <c r="DA69" s="57">
        <v>19</v>
      </c>
      <c r="DD69" s="77" t="s">
        <v>1597</v>
      </c>
      <c r="DE69" s="77" t="s">
        <v>25</v>
      </c>
      <c r="DF69" s="77">
        <v>455</v>
      </c>
      <c r="DG69" s="77">
        <v>593</v>
      </c>
      <c r="DH69" s="77">
        <v>779</v>
      </c>
      <c r="DI69" s="77">
        <v>933</v>
      </c>
      <c r="DJ69" s="77">
        <v>843</v>
      </c>
      <c r="DK69" s="77">
        <v>3603</v>
      </c>
      <c r="DL69" s="77"/>
      <c r="DM69" s="77" t="s">
        <v>25</v>
      </c>
      <c r="DN69" s="77">
        <v>22</v>
      </c>
      <c r="DO69" s="77">
        <v>3</v>
      </c>
      <c r="DP69" s="77">
        <v>0</v>
      </c>
      <c r="DQ69" s="77">
        <v>0</v>
      </c>
      <c r="DR69" s="77">
        <v>0</v>
      </c>
      <c r="DS69" s="77">
        <v>25</v>
      </c>
      <c r="DU69" s="16" t="s">
        <v>1676</v>
      </c>
      <c r="DV69" s="79" t="s">
        <v>2703</v>
      </c>
      <c r="DW69" s="79" t="s">
        <v>2028</v>
      </c>
      <c r="DX69" s="79">
        <v>354</v>
      </c>
      <c r="DY69" s="79">
        <v>424</v>
      </c>
      <c r="DZ69" s="79">
        <v>439</v>
      </c>
      <c r="EA69" s="79">
        <v>395</v>
      </c>
      <c r="EB69" s="79">
        <v>285</v>
      </c>
      <c r="EC69" s="79">
        <v>1897</v>
      </c>
      <c r="ED69" s="79"/>
      <c r="EE69" s="79" t="s">
        <v>2028</v>
      </c>
      <c r="EF69" s="79">
        <v>8</v>
      </c>
      <c r="EG69" s="79">
        <v>5</v>
      </c>
      <c r="EH69" s="79">
        <v>0</v>
      </c>
      <c r="EI69" s="79">
        <v>0</v>
      </c>
      <c r="EJ69" s="79">
        <v>0</v>
      </c>
      <c r="EK69" s="79">
        <v>13</v>
      </c>
      <c r="EN69" s="57" t="s">
        <v>2001</v>
      </c>
      <c r="EO69" s="57" t="s">
        <v>2018</v>
      </c>
      <c r="EP69" s="57" t="s">
        <v>324</v>
      </c>
      <c r="EQ69" s="57" t="s">
        <v>324</v>
      </c>
      <c r="ER69" s="57" t="s">
        <v>324</v>
      </c>
      <c r="ES69" s="57" t="s">
        <v>324</v>
      </c>
      <c r="ET69" s="57" t="s">
        <v>324</v>
      </c>
      <c r="EU69" s="57" t="s">
        <v>324</v>
      </c>
      <c r="EV69" s="57"/>
      <c r="EW69" s="57" t="s">
        <v>2018</v>
      </c>
      <c r="EX69" s="57" t="s">
        <v>324</v>
      </c>
      <c r="EY69" s="57" t="s">
        <v>324</v>
      </c>
      <c r="EZ69" s="57" t="s">
        <v>324</v>
      </c>
      <c r="FA69" s="57" t="s">
        <v>324</v>
      </c>
      <c r="FB69" s="57" t="s">
        <v>324</v>
      </c>
      <c r="FC69" s="57" t="s">
        <v>324</v>
      </c>
      <c r="FF69" s="70" t="s">
        <v>1829</v>
      </c>
      <c r="FG69" s="70" t="s">
        <v>2018</v>
      </c>
      <c r="FH69" s="70">
        <v>1938</v>
      </c>
      <c r="FI69" s="70">
        <v>1021</v>
      </c>
      <c r="FJ69" s="70">
        <v>789</v>
      </c>
      <c r="FK69" s="70">
        <v>768</v>
      </c>
      <c r="FL69" s="70">
        <v>776</v>
      </c>
      <c r="FM69" s="70">
        <v>5292</v>
      </c>
      <c r="FN69" s="70"/>
      <c r="FO69" s="70" t="s">
        <v>2018</v>
      </c>
      <c r="FP69" s="70">
        <v>345</v>
      </c>
      <c r="FQ69" s="70">
        <v>0</v>
      </c>
      <c r="FR69" s="70">
        <v>0</v>
      </c>
      <c r="FS69" s="70">
        <v>0</v>
      </c>
      <c r="FT69" s="70">
        <v>0</v>
      </c>
      <c r="FU69" s="70">
        <v>345</v>
      </c>
    </row>
    <row r="70" spans="1:177">
      <c r="B70" s="64" t="s">
        <v>787</v>
      </c>
      <c r="C70" s="64" t="s">
        <v>2018</v>
      </c>
      <c r="D70" s="64">
        <v>312</v>
      </c>
      <c r="E70" s="64">
        <v>377</v>
      </c>
      <c r="F70" s="64">
        <v>468</v>
      </c>
      <c r="G70" s="64">
        <v>482</v>
      </c>
      <c r="H70" s="64">
        <v>439</v>
      </c>
      <c r="I70" s="64">
        <v>2078</v>
      </c>
      <c r="K70" s="64" t="s">
        <v>2018</v>
      </c>
      <c r="L70" s="64">
        <v>50</v>
      </c>
      <c r="M70" s="64">
        <v>10</v>
      </c>
      <c r="N70" s="64">
        <v>4</v>
      </c>
      <c r="O70" s="64">
        <v>0</v>
      </c>
      <c r="P70" s="64">
        <v>0</v>
      </c>
      <c r="Q70" s="64">
        <v>64</v>
      </c>
      <c r="T70" s="65" t="s">
        <v>1898</v>
      </c>
      <c r="U70" s="65" t="s">
        <v>2028</v>
      </c>
      <c r="V70" s="65">
        <v>135</v>
      </c>
      <c r="W70" s="65">
        <v>257</v>
      </c>
      <c r="X70" s="65">
        <v>445</v>
      </c>
      <c r="Y70" s="65">
        <v>560</v>
      </c>
      <c r="Z70" s="65">
        <v>398</v>
      </c>
      <c r="AA70" s="65">
        <v>1795</v>
      </c>
      <c r="AB70" s="65"/>
      <c r="AC70" s="65" t="s">
        <v>2028</v>
      </c>
      <c r="AD70" s="65">
        <v>9</v>
      </c>
      <c r="AE70" s="65">
        <v>3</v>
      </c>
      <c r="AF70" s="65">
        <v>2</v>
      </c>
      <c r="AG70" s="65">
        <v>0</v>
      </c>
      <c r="AH70" s="65">
        <v>0</v>
      </c>
      <c r="AI70" s="65">
        <v>14</v>
      </c>
      <c r="AK70" s="66" t="s">
        <v>1123</v>
      </c>
      <c r="AL70" s="66" t="s">
        <v>2018</v>
      </c>
      <c r="AM70" s="66">
        <v>237</v>
      </c>
      <c r="AN70" s="66">
        <v>285</v>
      </c>
      <c r="AO70" s="66">
        <v>446</v>
      </c>
      <c r="AP70" s="66">
        <v>548</v>
      </c>
      <c r="AQ70" s="66">
        <v>487</v>
      </c>
      <c r="AR70" s="66">
        <v>2003</v>
      </c>
      <c r="AS70" s="66"/>
      <c r="AT70" s="66" t="s">
        <v>2018</v>
      </c>
      <c r="AU70" s="66">
        <v>30</v>
      </c>
      <c r="AV70" s="66">
        <v>9</v>
      </c>
      <c r="AW70" s="66">
        <v>2</v>
      </c>
      <c r="AX70" s="66">
        <v>4</v>
      </c>
      <c r="AY70" s="66">
        <v>0</v>
      </c>
      <c r="AZ70" s="66">
        <v>45</v>
      </c>
      <c r="BB70" s="69" t="s">
        <v>1172</v>
      </c>
      <c r="BC70" s="69" t="s">
        <v>2018</v>
      </c>
      <c r="BD70" s="69">
        <v>403</v>
      </c>
      <c r="BE70" s="69">
        <v>280</v>
      </c>
      <c r="BF70" s="69">
        <v>412</v>
      </c>
      <c r="BG70" s="69">
        <v>497</v>
      </c>
      <c r="BH70" s="69">
        <v>465</v>
      </c>
      <c r="BI70" s="69">
        <v>2057</v>
      </c>
      <c r="BJ70" s="69"/>
      <c r="BK70" s="69" t="s">
        <v>2018</v>
      </c>
      <c r="BL70" s="69">
        <v>49</v>
      </c>
      <c r="BM70" s="69">
        <v>0</v>
      </c>
      <c r="BN70" s="69">
        <v>0</v>
      </c>
      <c r="BO70" s="69">
        <v>0</v>
      </c>
      <c r="BP70" s="69">
        <v>0</v>
      </c>
      <c r="BQ70" s="69">
        <v>49</v>
      </c>
      <c r="BS70" s="70" t="s">
        <v>1446</v>
      </c>
      <c r="BT70" s="70" t="s">
        <v>2028</v>
      </c>
      <c r="BU70" s="70">
        <v>72</v>
      </c>
      <c r="BV70" s="70">
        <v>83</v>
      </c>
      <c r="BW70" s="70">
        <v>186</v>
      </c>
      <c r="BX70" s="70">
        <v>238</v>
      </c>
      <c r="BY70" s="70">
        <v>199</v>
      </c>
      <c r="BZ70" s="70">
        <v>778</v>
      </c>
      <c r="CA70" s="70"/>
      <c r="CB70" s="70" t="s">
        <v>2028</v>
      </c>
      <c r="CC70" s="70">
        <v>27</v>
      </c>
      <c r="CD70" s="70">
        <v>0</v>
      </c>
      <c r="CE70" s="70">
        <v>0</v>
      </c>
      <c r="CF70" s="70">
        <v>0</v>
      </c>
      <c r="CG70" s="70">
        <v>0</v>
      </c>
      <c r="CH70" s="70">
        <v>27</v>
      </c>
      <c r="CL70" s="57" t="s">
        <v>534</v>
      </c>
      <c r="CM70" s="57" t="s">
        <v>2018</v>
      </c>
      <c r="CN70" s="57">
        <v>221</v>
      </c>
      <c r="CO70" s="57">
        <v>100</v>
      </c>
      <c r="CP70" s="57">
        <v>144</v>
      </c>
      <c r="CQ70" s="57">
        <v>214</v>
      </c>
      <c r="CR70" s="57">
        <v>316</v>
      </c>
      <c r="CS70" s="57">
        <v>995</v>
      </c>
      <c r="CT70" s="57"/>
      <c r="CU70" s="57" t="s">
        <v>2018</v>
      </c>
      <c r="CV70" s="57">
        <v>67</v>
      </c>
      <c r="CW70" s="57">
        <v>0</v>
      </c>
      <c r="CX70" s="57">
        <v>0</v>
      </c>
      <c r="CY70" s="57">
        <v>0</v>
      </c>
      <c r="CZ70" s="57">
        <v>0</v>
      </c>
      <c r="DA70" s="57">
        <v>67</v>
      </c>
      <c r="DD70" s="77" t="s">
        <v>1600</v>
      </c>
      <c r="DE70" s="77" t="s">
        <v>25</v>
      </c>
      <c r="DF70" s="77">
        <v>299</v>
      </c>
      <c r="DG70" s="77">
        <v>432</v>
      </c>
      <c r="DH70" s="77">
        <v>625</v>
      </c>
      <c r="DI70" s="77">
        <v>657</v>
      </c>
      <c r="DJ70" s="77">
        <v>608</v>
      </c>
      <c r="DK70" s="77">
        <v>2621</v>
      </c>
      <c r="DL70" s="77"/>
      <c r="DM70" s="77" t="s">
        <v>25</v>
      </c>
      <c r="DN70" s="77">
        <v>24</v>
      </c>
      <c r="DO70" s="77">
        <v>6</v>
      </c>
      <c r="DP70" s="77">
        <v>0</v>
      </c>
      <c r="DQ70" s="77">
        <v>0</v>
      </c>
      <c r="DR70" s="77">
        <v>0</v>
      </c>
      <c r="DS70" s="77">
        <v>30</v>
      </c>
      <c r="DU70" s="21"/>
      <c r="DV70" s="79" t="s">
        <v>1679</v>
      </c>
      <c r="DW70" s="79" t="s">
        <v>2028</v>
      </c>
      <c r="DX70" s="79">
        <v>481</v>
      </c>
      <c r="DY70" s="79">
        <v>689</v>
      </c>
      <c r="DZ70" s="79">
        <v>1066</v>
      </c>
      <c r="EA70" s="79">
        <v>1307</v>
      </c>
      <c r="EB70" s="79">
        <v>1146</v>
      </c>
      <c r="EC70" s="79">
        <v>4689</v>
      </c>
      <c r="ED70" s="79"/>
      <c r="EE70" s="79" t="s">
        <v>2028</v>
      </c>
      <c r="EF70" s="79">
        <v>21</v>
      </c>
      <c r="EG70" s="79">
        <v>5</v>
      </c>
      <c r="EH70" s="79">
        <v>0</v>
      </c>
      <c r="EI70" s="79">
        <v>0</v>
      </c>
      <c r="EJ70" s="79">
        <v>0</v>
      </c>
      <c r="EK70" s="79">
        <v>26</v>
      </c>
      <c r="EN70" s="57" t="s">
        <v>2003</v>
      </c>
      <c r="EO70" s="57" t="s">
        <v>2018</v>
      </c>
      <c r="EP70" s="57" t="s">
        <v>324</v>
      </c>
      <c r="EQ70" s="57" t="s">
        <v>324</v>
      </c>
      <c r="ER70" s="57" t="s">
        <v>324</v>
      </c>
      <c r="ES70" s="57" t="s">
        <v>324</v>
      </c>
      <c r="ET70" s="57" t="s">
        <v>324</v>
      </c>
      <c r="EU70" s="57" t="s">
        <v>324</v>
      </c>
      <c r="EV70" s="57"/>
      <c r="EW70" s="57" t="s">
        <v>2018</v>
      </c>
      <c r="EX70" s="57" t="s">
        <v>324</v>
      </c>
      <c r="EY70" s="57" t="s">
        <v>324</v>
      </c>
      <c r="EZ70" s="57" t="s">
        <v>324</v>
      </c>
      <c r="FA70" s="57" t="s">
        <v>324</v>
      </c>
      <c r="FB70" s="57" t="s">
        <v>324</v>
      </c>
      <c r="FC70" s="57" t="s">
        <v>324</v>
      </c>
      <c r="FF70" s="70" t="s">
        <v>1831</v>
      </c>
      <c r="FG70" s="70" t="s">
        <v>2018</v>
      </c>
      <c r="FH70" s="70">
        <v>654</v>
      </c>
      <c r="FI70" s="70">
        <v>987</v>
      </c>
      <c r="FJ70" s="70">
        <v>704</v>
      </c>
      <c r="FK70" s="70">
        <v>588</v>
      </c>
      <c r="FL70" s="70">
        <v>608</v>
      </c>
      <c r="FM70" s="70">
        <v>3541</v>
      </c>
      <c r="FN70" s="70"/>
      <c r="FO70" s="70" t="s">
        <v>2018</v>
      </c>
      <c r="FP70" s="70">
        <v>110</v>
      </c>
      <c r="FQ70" s="70">
        <v>1</v>
      </c>
      <c r="FR70" s="70">
        <v>0</v>
      </c>
      <c r="FS70" s="70">
        <v>0</v>
      </c>
      <c r="FT70" s="70">
        <v>0</v>
      </c>
      <c r="FU70" s="70">
        <v>111</v>
      </c>
    </row>
    <row r="71" spans="1:177">
      <c r="B71" s="64" t="s">
        <v>795</v>
      </c>
      <c r="C71" s="64" t="s">
        <v>2018</v>
      </c>
      <c r="D71" s="64">
        <v>109</v>
      </c>
      <c r="E71" s="64">
        <v>120</v>
      </c>
      <c r="F71" s="64">
        <v>163</v>
      </c>
      <c r="G71" s="64">
        <v>235</v>
      </c>
      <c r="H71" s="64">
        <v>233</v>
      </c>
      <c r="I71" s="64">
        <v>860</v>
      </c>
      <c r="K71" s="64" t="s">
        <v>2018</v>
      </c>
      <c r="L71" s="64">
        <v>48</v>
      </c>
      <c r="M71" s="64">
        <v>1</v>
      </c>
      <c r="N71" s="64">
        <v>1</v>
      </c>
      <c r="O71" s="64">
        <v>1</v>
      </c>
      <c r="P71" s="64">
        <v>0</v>
      </c>
      <c r="Q71" s="64">
        <v>51</v>
      </c>
      <c r="T71" s="65" t="s">
        <v>1899</v>
      </c>
      <c r="U71" s="65" t="s">
        <v>2028</v>
      </c>
      <c r="V71" s="65">
        <v>237</v>
      </c>
      <c r="W71" s="65">
        <v>121</v>
      </c>
      <c r="X71" s="65">
        <v>145</v>
      </c>
      <c r="Y71" s="65">
        <v>215</v>
      </c>
      <c r="Z71" s="65">
        <v>202</v>
      </c>
      <c r="AA71" s="65">
        <v>920</v>
      </c>
      <c r="AB71" s="65"/>
      <c r="AC71" s="65" t="s">
        <v>2028</v>
      </c>
      <c r="AD71" s="65">
        <v>12</v>
      </c>
      <c r="AE71" s="65">
        <v>0</v>
      </c>
      <c r="AF71" s="65">
        <v>0</v>
      </c>
      <c r="AG71" s="65">
        <v>0</v>
      </c>
      <c r="AH71" s="65">
        <v>0</v>
      </c>
      <c r="AI71" s="65">
        <v>12</v>
      </c>
      <c r="AK71" s="66" t="s">
        <v>1126</v>
      </c>
      <c r="AL71" s="66" t="s">
        <v>2018</v>
      </c>
      <c r="AM71" s="66">
        <v>1106</v>
      </c>
      <c r="AN71" s="66">
        <v>447</v>
      </c>
      <c r="AO71" s="66">
        <v>546</v>
      </c>
      <c r="AP71" s="66">
        <v>582</v>
      </c>
      <c r="AQ71" s="66">
        <v>482</v>
      </c>
      <c r="AR71" s="66">
        <v>3163</v>
      </c>
      <c r="AS71" s="66"/>
      <c r="AT71" s="66" t="s">
        <v>2018</v>
      </c>
      <c r="AU71" s="66">
        <v>68</v>
      </c>
      <c r="AV71" s="66">
        <v>0</v>
      </c>
      <c r="AW71" s="66">
        <v>0</v>
      </c>
      <c r="AX71" s="66">
        <v>0</v>
      </c>
      <c r="AY71" s="66">
        <v>0</v>
      </c>
      <c r="AZ71" s="66">
        <v>68</v>
      </c>
      <c r="BB71" s="69" t="s">
        <v>1174</v>
      </c>
      <c r="BC71" s="69" t="s">
        <v>2018</v>
      </c>
      <c r="BD71" s="69">
        <v>459</v>
      </c>
      <c r="BE71" s="69">
        <v>317</v>
      </c>
      <c r="BF71" s="69">
        <v>480</v>
      </c>
      <c r="BG71" s="69">
        <v>566</v>
      </c>
      <c r="BH71" s="69">
        <v>546</v>
      </c>
      <c r="BI71" s="69">
        <v>2368</v>
      </c>
      <c r="BJ71" s="69"/>
      <c r="BK71" s="69" t="s">
        <v>2018</v>
      </c>
      <c r="BL71" s="69">
        <v>21</v>
      </c>
      <c r="BM71" s="69">
        <v>0</v>
      </c>
      <c r="BN71" s="69">
        <v>0</v>
      </c>
      <c r="BO71" s="69">
        <v>0</v>
      </c>
      <c r="BP71" s="69">
        <v>0</v>
      </c>
      <c r="BQ71" s="69">
        <v>21</v>
      </c>
      <c r="BS71" s="70" t="s">
        <v>1448</v>
      </c>
      <c r="BT71" s="70" t="s">
        <v>2028</v>
      </c>
      <c r="BU71" s="70">
        <v>68</v>
      </c>
      <c r="BV71" s="70">
        <v>44</v>
      </c>
      <c r="BW71" s="70">
        <v>68</v>
      </c>
      <c r="BX71" s="70">
        <v>81</v>
      </c>
      <c r="BY71" s="70">
        <v>109</v>
      </c>
      <c r="BZ71" s="70">
        <v>370</v>
      </c>
      <c r="CA71" s="70"/>
      <c r="CB71" s="70" t="s">
        <v>2028</v>
      </c>
      <c r="CC71" s="70">
        <v>20</v>
      </c>
      <c r="CD71" s="70">
        <v>0</v>
      </c>
      <c r="CE71" s="70">
        <v>0</v>
      </c>
      <c r="CF71" s="70">
        <v>0</v>
      </c>
      <c r="CG71" s="70">
        <v>0</v>
      </c>
      <c r="CH71" s="70">
        <v>20</v>
      </c>
      <c r="CL71" s="57" t="s">
        <v>367</v>
      </c>
      <c r="CM71" s="57" t="s">
        <v>2018</v>
      </c>
      <c r="CN71" s="57" t="s">
        <v>324</v>
      </c>
      <c r="CO71" s="57" t="s">
        <v>324</v>
      </c>
      <c r="CP71" s="57" t="s">
        <v>324</v>
      </c>
      <c r="CQ71" s="57" t="s">
        <v>324</v>
      </c>
      <c r="CR71" s="57" t="s">
        <v>324</v>
      </c>
      <c r="CS71" s="57" t="s">
        <v>324</v>
      </c>
      <c r="CT71" s="57"/>
      <c r="CU71" s="57" t="s">
        <v>2018</v>
      </c>
      <c r="CV71" s="57" t="s">
        <v>324</v>
      </c>
      <c r="CW71" s="57" t="s">
        <v>324</v>
      </c>
      <c r="CX71" s="57" t="s">
        <v>324</v>
      </c>
      <c r="CY71" s="57" t="s">
        <v>324</v>
      </c>
      <c r="CZ71" s="57" t="s">
        <v>324</v>
      </c>
      <c r="DA71" s="57" t="s">
        <v>324</v>
      </c>
      <c r="DD71" s="77" t="s">
        <v>1603</v>
      </c>
      <c r="DE71" s="77" t="s">
        <v>25</v>
      </c>
      <c r="DF71" s="77">
        <v>130</v>
      </c>
      <c r="DG71" s="77">
        <v>243</v>
      </c>
      <c r="DH71" s="77">
        <v>367</v>
      </c>
      <c r="DI71" s="77">
        <v>456</v>
      </c>
      <c r="DJ71" s="77">
        <v>417</v>
      </c>
      <c r="DK71" s="77">
        <v>1613</v>
      </c>
      <c r="DL71" s="77"/>
      <c r="DM71" s="77" t="s">
        <v>25</v>
      </c>
      <c r="DN71" s="77">
        <v>4</v>
      </c>
      <c r="DO71" s="77">
        <v>5</v>
      </c>
      <c r="DP71" s="77">
        <v>3</v>
      </c>
      <c r="DQ71" s="77">
        <v>3</v>
      </c>
      <c r="DR71" s="77">
        <v>2</v>
      </c>
      <c r="DS71" s="77">
        <v>17</v>
      </c>
      <c r="DU71" s="21"/>
      <c r="DV71" s="79" t="s">
        <v>1682</v>
      </c>
      <c r="DW71" s="79" t="s">
        <v>2028</v>
      </c>
      <c r="DX71" s="79">
        <v>303</v>
      </c>
      <c r="DY71" s="79">
        <v>410</v>
      </c>
      <c r="DZ71" s="79">
        <v>465</v>
      </c>
      <c r="EA71" s="79">
        <v>450</v>
      </c>
      <c r="EB71" s="79">
        <v>361</v>
      </c>
      <c r="EC71" s="79">
        <v>1989</v>
      </c>
      <c r="ED71" s="79"/>
      <c r="EE71" s="79" t="s">
        <v>2028</v>
      </c>
      <c r="EF71" s="79">
        <v>21</v>
      </c>
      <c r="EG71" s="79">
        <v>0</v>
      </c>
      <c r="EH71" s="79">
        <v>0</v>
      </c>
      <c r="EI71" s="79">
        <v>0</v>
      </c>
      <c r="EJ71" s="79">
        <v>0</v>
      </c>
      <c r="EK71" s="79">
        <v>21</v>
      </c>
      <c r="EN71" s="57" t="s">
        <v>1781</v>
      </c>
      <c r="EO71" s="57" t="s">
        <v>2018</v>
      </c>
      <c r="EP71" s="57" t="s">
        <v>324</v>
      </c>
      <c r="EQ71" s="57" t="s">
        <v>324</v>
      </c>
      <c r="ER71" s="57" t="s">
        <v>324</v>
      </c>
      <c r="ES71" s="57" t="s">
        <v>324</v>
      </c>
      <c r="ET71" s="57" t="s">
        <v>324</v>
      </c>
      <c r="EU71" s="57" t="s">
        <v>324</v>
      </c>
      <c r="EV71" s="57"/>
      <c r="EW71" s="57" t="s">
        <v>2018</v>
      </c>
      <c r="EX71" s="57" t="s">
        <v>324</v>
      </c>
      <c r="EY71" s="57" t="s">
        <v>324</v>
      </c>
      <c r="EZ71" s="57" t="s">
        <v>324</v>
      </c>
      <c r="FA71" s="57" t="s">
        <v>324</v>
      </c>
      <c r="FB71" s="57" t="s">
        <v>324</v>
      </c>
      <c r="FC71" s="57" t="s">
        <v>324</v>
      </c>
      <c r="FE71" s="16" t="s">
        <v>2022</v>
      </c>
      <c r="FF71" s="70" t="s">
        <v>1833</v>
      </c>
      <c r="FG71" s="70" t="s">
        <v>2018</v>
      </c>
      <c r="FH71" s="70" t="s">
        <v>324</v>
      </c>
      <c r="FI71" s="70" t="s">
        <v>324</v>
      </c>
      <c r="FJ71" s="70" t="s">
        <v>324</v>
      </c>
      <c r="FK71" s="70" t="s">
        <v>324</v>
      </c>
      <c r="FL71" s="70" t="s">
        <v>324</v>
      </c>
      <c r="FM71" s="70" t="s">
        <v>324</v>
      </c>
      <c r="FN71" s="70"/>
      <c r="FO71" s="70" t="s">
        <v>2018</v>
      </c>
      <c r="FP71" s="70" t="s">
        <v>324</v>
      </c>
      <c r="FQ71" s="70" t="s">
        <v>324</v>
      </c>
      <c r="FR71" s="70" t="s">
        <v>324</v>
      </c>
      <c r="FS71" s="70" t="s">
        <v>324</v>
      </c>
      <c r="FT71" s="70" t="s">
        <v>324</v>
      </c>
      <c r="FU71" s="70" t="s">
        <v>324</v>
      </c>
    </row>
    <row r="72" spans="1:177">
      <c r="B72" s="64" t="s">
        <v>805</v>
      </c>
      <c r="C72" s="64" t="s">
        <v>2018</v>
      </c>
      <c r="D72" s="64">
        <v>81</v>
      </c>
      <c r="E72" s="64">
        <v>188</v>
      </c>
      <c r="F72" s="64">
        <v>268</v>
      </c>
      <c r="G72" s="64">
        <v>327</v>
      </c>
      <c r="H72" s="64">
        <v>259</v>
      </c>
      <c r="I72" s="64">
        <v>1123</v>
      </c>
      <c r="K72" s="64" t="s">
        <v>2018</v>
      </c>
      <c r="L72" s="64">
        <v>8</v>
      </c>
      <c r="M72" s="64">
        <v>4</v>
      </c>
      <c r="N72" s="64">
        <v>1</v>
      </c>
      <c r="O72" s="64">
        <v>1</v>
      </c>
      <c r="P72" s="64">
        <v>0</v>
      </c>
      <c r="Q72" s="64">
        <v>14</v>
      </c>
      <c r="T72" s="65" t="s">
        <v>1900</v>
      </c>
      <c r="U72" s="65" t="s">
        <v>2028</v>
      </c>
      <c r="V72" s="65">
        <v>234</v>
      </c>
      <c r="W72" s="65">
        <v>264</v>
      </c>
      <c r="X72" s="65">
        <v>284</v>
      </c>
      <c r="Y72" s="65">
        <v>298</v>
      </c>
      <c r="Z72" s="65">
        <v>225</v>
      </c>
      <c r="AA72" s="65">
        <v>1305</v>
      </c>
      <c r="AB72" s="65"/>
      <c r="AC72" s="65" t="s">
        <v>2028</v>
      </c>
      <c r="AD72" s="65">
        <v>34</v>
      </c>
      <c r="AE72" s="65">
        <v>4</v>
      </c>
      <c r="AF72" s="65">
        <v>0</v>
      </c>
      <c r="AG72" s="65">
        <v>0</v>
      </c>
      <c r="AH72" s="65">
        <v>0</v>
      </c>
      <c r="AI72" s="65">
        <v>38</v>
      </c>
      <c r="AK72" s="66" t="s">
        <v>1131</v>
      </c>
      <c r="AL72" s="66" t="s">
        <v>2018</v>
      </c>
      <c r="AM72" s="66">
        <v>326</v>
      </c>
      <c r="AN72" s="66">
        <v>361</v>
      </c>
      <c r="AO72" s="66">
        <v>482</v>
      </c>
      <c r="AP72" s="66">
        <v>694</v>
      </c>
      <c r="AQ72" s="66">
        <v>562</v>
      </c>
      <c r="AR72" s="66">
        <v>2425</v>
      </c>
      <c r="AS72" s="66"/>
      <c r="AT72" s="66" t="s">
        <v>2018</v>
      </c>
      <c r="AU72" s="66">
        <v>26</v>
      </c>
      <c r="AV72" s="66">
        <v>10</v>
      </c>
      <c r="AW72" s="66">
        <v>3</v>
      </c>
      <c r="AX72" s="66">
        <v>0</v>
      </c>
      <c r="AY72" s="66">
        <v>1</v>
      </c>
      <c r="AZ72" s="66">
        <v>40</v>
      </c>
      <c r="BB72" s="69" t="s">
        <v>1177</v>
      </c>
      <c r="BC72" s="69" t="s">
        <v>2018</v>
      </c>
      <c r="BD72" s="69">
        <v>147</v>
      </c>
      <c r="BE72" s="69">
        <v>220</v>
      </c>
      <c r="BF72" s="69">
        <v>350</v>
      </c>
      <c r="BG72" s="69">
        <v>496</v>
      </c>
      <c r="BH72" s="69">
        <v>484</v>
      </c>
      <c r="BI72" s="69">
        <v>1697</v>
      </c>
      <c r="BJ72" s="69"/>
      <c r="BK72" s="69" t="s">
        <v>2018</v>
      </c>
      <c r="BL72" s="69">
        <v>20</v>
      </c>
      <c r="BM72" s="69">
        <v>0</v>
      </c>
      <c r="BN72" s="69">
        <v>0</v>
      </c>
      <c r="BO72" s="69">
        <v>0</v>
      </c>
      <c r="BP72" s="69">
        <v>0</v>
      </c>
      <c r="BQ72" s="69">
        <v>20</v>
      </c>
      <c r="BS72" s="70" t="s">
        <v>1450</v>
      </c>
      <c r="BT72" s="70" t="s">
        <v>2028</v>
      </c>
      <c r="BU72" s="70">
        <v>107</v>
      </c>
      <c r="BV72" s="70">
        <v>109</v>
      </c>
      <c r="BW72" s="70">
        <v>115</v>
      </c>
      <c r="BX72" s="70">
        <v>165</v>
      </c>
      <c r="BY72" s="70">
        <v>148</v>
      </c>
      <c r="BZ72" s="70">
        <v>644</v>
      </c>
      <c r="CA72" s="70"/>
      <c r="CB72" s="70" t="s">
        <v>2028</v>
      </c>
      <c r="CC72" s="70">
        <v>41</v>
      </c>
      <c r="CD72" s="70">
        <v>1</v>
      </c>
      <c r="CE72" s="70">
        <v>0</v>
      </c>
      <c r="CF72" s="70">
        <v>0</v>
      </c>
      <c r="CG72" s="70">
        <v>0</v>
      </c>
      <c r="CH72" s="70">
        <v>42</v>
      </c>
      <c r="CL72" s="57" t="s">
        <v>506</v>
      </c>
      <c r="CM72" s="57" t="s">
        <v>2018</v>
      </c>
      <c r="CN72" s="57">
        <v>401</v>
      </c>
      <c r="CO72" s="57">
        <v>63</v>
      </c>
      <c r="CP72" s="57">
        <v>157</v>
      </c>
      <c r="CQ72" s="57">
        <v>185</v>
      </c>
      <c r="CR72" s="57">
        <v>376</v>
      </c>
      <c r="CS72" s="57">
        <v>1182</v>
      </c>
      <c r="CT72" s="57"/>
      <c r="CU72" s="57" t="s">
        <v>2018</v>
      </c>
      <c r="CV72" s="57">
        <v>138</v>
      </c>
      <c r="CW72" s="57">
        <v>0</v>
      </c>
      <c r="CX72" s="57">
        <v>0</v>
      </c>
      <c r="CY72" s="57">
        <v>0</v>
      </c>
      <c r="CZ72" s="57">
        <v>0</v>
      </c>
      <c r="DA72" s="57">
        <v>138</v>
      </c>
      <c r="DD72" s="77" t="s">
        <v>1606</v>
      </c>
      <c r="DE72" s="77" t="s">
        <v>25</v>
      </c>
      <c r="DF72" s="77">
        <v>143</v>
      </c>
      <c r="DG72" s="77">
        <v>186</v>
      </c>
      <c r="DH72" s="77">
        <v>291</v>
      </c>
      <c r="DI72" s="77">
        <v>312</v>
      </c>
      <c r="DJ72" s="77">
        <v>287</v>
      </c>
      <c r="DK72" s="77">
        <v>1219</v>
      </c>
      <c r="DL72" s="77"/>
      <c r="DM72" s="77" t="s">
        <v>25</v>
      </c>
      <c r="DN72" s="77">
        <v>13</v>
      </c>
      <c r="DO72" s="77">
        <v>5</v>
      </c>
      <c r="DP72" s="77">
        <v>6</v>
      </c>
      <c r="DQ72" s="77">
        <v>0</v>
      </c>
      <c r="DR72" s="77">
        <v>0</v>
      </c>
      <c r="DS72" s="77">
        <v>24</v>
      </c>
      <c r="DU72" s="16" t="s">
        <v>1695</v>
      </c>
      <c r="DV72" s="79" t="s">
        <v>2658</v>
      </c>
      <c r="DW72" s="79" t="s">
        <v>2028</v>
      </c>
      <c r="DX72" s="79">
        <v>164</v>
      </c>
      <c r="DY72" s="79">
        <v>107</v>
      </c>
      <c r="DZ72" s="79">
        <v>104</v>
      </c>
      <c r="EA72" s="79">
        <v>105</v>
      </c>
      <c r="EB72" s="79">
        <v>119</v>
      </c>
      <c r="EC72" s="79">
        <v>599</v>
      </c>
      <c r="ED72" s="79"/>
      <c r="EE72" s="79" t="s">
        <v>2028</v>
      </c>
      <c r="EF72" s="79">
        <v>31</v>
      </c>
      <c r="EG72" s="79">
        <v>1</v>
      </c>
      <c r="EH72" s="79">
        <v>0</v>
      </c>
      <c r="EI72" s="79">
        <v>0</v>
      </c>
      <c r="EJ72" s="79">
        <v>0</v>
      </c>
      <c r="EK72" s="79">
        <v>32</v>
      </c>
      <c r="EN72" s="57" t="s">
        <v>1784</v>
      </c>
      <c r="EO72" s="57" t="s">
        <v>2018</v>
      </c>
      <c r="EP72" s="57" t="s">
        <v>324</v>
      </c>
      <c r="EQ72" s="57" t="s">
        <v>324</v>
      </c>
      <c r="ER72" s="57" t="s">
        <v>324</v>
      </c>
      <c r="ES72" s="57" t="s">
        <v>324</v>
      </c>
      <c r="ET72" s="57" t="s">
        <v>324</v>
      </c>
      <c r="EU72" s="57" t="s">
        <v>324</v>
      </c>
      <c r="EV72" s="57"/>
      <c r="EW72" s="57" t="s">
        <v>2018</v>
      </c>
      <c r="EX72" s="57" t="s">
        <v>324</v>
      </c>
      <c r="EY72" s="57" t="s">
        <v>324</v>
      </c>
      <c r="EZ72" s="57" t="s">
        <v>324</v>
      </c>
      <c r="FA72" s="57" t="s">
        <v>324</v>
      </c>
      <c r="FB72" s="57" t="s">
        <v>324</v>
      </c>
      <c r="FC72" s="57" t="s">
        <v>324</v>
      </c>
      <c r="FE72" s="16" t="s">
        <v>2024</v>
      </c>
      <c r="FF72" s="70" t="s">
        <v>2008</v>
      </c>
      <c r="FG72" s="70" t="s">
        <v>2018</v>
      </c>
      <c r="FH72" s="70">
        <v>167</v>
      </c>
      <c r="FI72" s="70">
        <v>263</v>
      </c>
      <c r="FJ72" s="70">
        <v>302</v>
      </c>
      <c r="FK72" s="70">
        <v>379</v>
      </c>
      <c r="FL72" s="70">
        <v>403</v>
      </c>
      <c r="FM72" s="70">
        <v>1514</v>
      </c>
      <c r="FN72" s="70"/>
      <c r="FO72" s="70" t="s">
        <v>2018</v>
      </c>
      <c r="FP72" s="70">
        <v>49</v>
      </c>
      <c r="FQ72" s="70">
        <v>12</v>
      </c>
      <c r="FR72" s="70">
        <v>5</v>
      </c>
      <c r="FS72" s="70">
        <v>4</v>
      </c>
      <c r="FT72" s="70">
        <v>1</v>
      </c>
      <c r="FU72" s="70">
        <v>71</v>
      </c>
    </row>
    <row r="73" spans="1:177">
      <c r="B73" s="64" t="s">
        <v>812</v>
      </c>
      <c r="C73" s="64" t="s">
        <v>2018</v>
      </c>
      <c r="D73" s="64">
        <v>123</v>
      </c>
      <c r="E73" s="64">
        <v>184</v>
      </c>
      <c r="F73" s="64">
        <v>291</v>
      </c>
      <c r="G73" s="64">
        <v>328</v>
      </c>
      <c r="H73" s="64">
        <v>267</v>
      </c>
      <c r="I73" s="64">
        <v>1193</v>
      </c>
      <c r="K73" s="64" t="s">
        <v>2018</v>
      </c>
      <c r="L73" s="64">
        <v>20</v>
      </c>
      <c r="M73" s="64">
        <v>4</v>
      </c>
      <c r="N73" s="64">
        <v>1</v>
      </c>
      <c r="O73" s="64">
        <v>2</v>
      </c>
      <c r="P73" s="64">
        <v>0</v>
      </c>
      <c r="Q73" s="64">
        <v>27</v>
      </c>
      <c r="T73" s="65" t="s">
        <v>1901</v>
      </c>
      <c r="U73" s="65" t="s">
        <v>2028</v>
      </c>
      <c r="V73" s="65">
        <v>135</v>
      </c>
      <c r="W73" s="65">
        <v>97</v>
      </c>
      <c r="X73" s="65">
        <v>141</v>
      </c>
      <c r="Y73" s="65">
        <v>176</v>
      </c>
      <c r="Z73" s="65">
        <v>186</v>
      </c>
      <c r="AA73" s="65">
        <v>735</v>
      </c>
      <c r="AB73" s="65"/>
      <c r="AC73" s="65" t="s">
        <v>2028</v>
      </c>
      <c r="AD73" s="65">
        <v>7</v>
      </c>
      <c r="AE73" s="65">
        <v>0</v>
      </c>
      <c r="AF73" s="65">
        <v>0</v>
      </c>
      <c r="AG73" s="65">
        <v>0</v>
      </c>
      <c r="AH73" s="65">
        <v>0</v>
      </c>
      <c r="AI73" s="65">
        <v>7</v>
      </c>
      <c r="AK73" s="66" t="s">
        <v>1950</v>
      </c>
      <c r="AL73" s="66" t="s">
        <v>2018</v>
      </c>
      <c r="AM73" s="66">
        <v>706</v>
      </c>
      <c r="AN73" s="66">
        <v>1021</v>
      </c>
      <c r="AO73" s="66">
        <v>1525</v>
      </c>
      <c r="AP73" s="66">
        <v>1770</v>
      </c>
      <c r="AQ73" s="66">
        <v>1074</v>
      </c>
      <c r="AR73" s="66">
        <v>6096</v>
      </c>
      <c r="AS73" s="66"/>
      <c r="AT73" s="66" t="s">
        <v>2018</v>
      </c>
      <c r="AU73" s="66">
        <v>33</v>
      </c>
      <c r="AV73" s="66">
        <v>5</v>
      </c>
      <c r="AW73" s="66">
        <v>3</v>
      </c>
      <c r="AX73" s="66">
        <v>1</v>
      </c>
      <c r="AY73" s="66">
        <v>1</v>
      </c>
      <c r="AZ73" s="66">
        <v>43</v>
      </c>
      <c r="BB73" s="69" t="s">
        <v>1180</v>
      </c>
      <c r="BC73" s="69" t="s">
        <v>2018</v>
      </c>
      <c r="BD73" s="69">
        <v>202</v>
      </c>
      <c r="BE73" s="69">
        <v>106</v>
      </c>
      <c r="BF73" s="69">
        <v>137</v>
      </c>
      <c r="BG73" s="69">
        <v>197</v>
      </c>
      <c r="BH73" s="69">
        <v>201</v>
      </c>
      <c r="BI73" s="69">
        <v>843</v>
      </c>
      <c r="BJ73" s="69"/>
      <c r="BK73" s="69" t="s">
        <v>2018</v>
      </c>
      <c r="BL73" s="69">
        <v>26</v>
      </c>
      <c r="BM73" s="69">
        <v>0</v>
      </c>
      <c r="BN73" s="69">
        <v>0</v>
      </c>
      <c r="BO73" s="69">
        <v>0</v>
      </c>
      <c r="BP73" s="69">
        <v>0</v>
      </c>
      <c r="BQ73" s="69">
        <v>26</v>
      </c>
      <c r="BS73" s="70" t="s">
        <v>1454</v>
      </c>
      <c r="BT73" s="70" t="s">
        <v>2028</v>
      </c>
      <c r="BU73" s="70">
        <v>55</v>
      </c>
      <c r="BV73" s="70">
        <v>71</v>
      </c>
      <c r="BW73" s="70">
        <v>112</v>
      </c>
      <c r="BX73" s="70">
        <v>157</v>
      </c>
      <c r="BY73" s="70">
        <v>149</v>
      </c>
      <c r="BZ73" s="70">
        <v>544</v>
      </c>
      <c r="CA73" s="70"/>
      <c r="CB73" s="70" t="s">
        <v>2028</v>
      </c>
      <c r="CC73" s="70">
        <v>17</v>
      </c>
      <c r="CD73" s="70">
        <v>1</v>
      </c>
      <c r="CE73" s="70">
        <v>0</v>
      </c>
      <c r="CF73" s="70">
        <v>0</v>
      </c>
      <c r="CG73" s="70">
        <v>0</v>
      </c>
      <c r="CH73" s="70">
        <v>18</v>
      </c>
      <c r="CL73" s="57" t="s">
        <v>368</v>
      </c>
      <c r="CM73" s="57" t="s">
        <v>2018</v>
      </c>
      <c r="CN73" s="57">
        <v>1146</v>
      </c>
      <c r="CO73" s="57">
        <v>833</v>
      </c>
      <c r="CP73" s="57">
        <v>1086</v>
      </c>
      <c r="CQ73" s="57">
        <v>1097</v>
      </c>
      <c r="CR73" s="57">
        <v>875</v>
      </c>
      <c r="CS73" s="57">
        <v>5037</v>
      </c>
      <c r="CT73" s="57"/>
      <c r="CU73" s="57" t="s">
        <v>2018</v>
      </c>
      <c r="CV73" s="57">
        <v>166</v>
      </c>
      <c r="CW73" s="57">
        <v>0</v>
      </c>
      <c r="CX73" s="57">
        <v>0</v>
      </c>
      <c r="CY73" s="57">
        <v>0</v>
      </c>
      <c r="CZ73" s="57">
        <v>0</v>
      </c>
      <c r="DA73" s="57">
        <v>166</v>
      </c>
      <c r="DD73" s="77" t="s">
        <v>1609</v>
      </c>
      <c r="DE73" s="77" t="s">
        <v>25</v>
      </c>
      <c r="DF73" s="77">
        <v>165</v>
      </c>
      <c r="DG73" s="77">
        <v>168</v>
      </c>
      <c r="DH73" s="77">
        <v>226</v>
      </c>
      <c r="DI73" s="77">
        <v>225</v>
      </c>
      <c r="DJ73" s="77">
        <v>167</v>
      </c>
      <c r="DK73" s="77">
        <v>951</v>
      </c>
      <c r="DL73" s="77"/>
      <c r="DM73" s="77" t="s">
        <v>25</v>
      </c>
      <c r="DN73" s="77">
        <v>23</v>
      </c>
      <c r="DO73" s="77">
        <v>0</v>
      </c>
      <c r="DP73" s="77">
        <v>0</v>
      </c>
      <c r="DQ73" s="77">
        <v>0</v>
      </c>
      <c r="DR73" s="77">
        <v>0</v>
      </c>
      <c r="DS73" s="77">
        <v>23</v>
      </c>
      <c r="DU73" s="16" t="s">
        <v>1698</v>
      </c>
      <c r="DV73" s="79" t="s">
        <v>2661</v>
      </c>
      <c r="DW73" s="79" t="s">
        <v>2028</v>
      </c>
      <c r="DX73" s="79">
        <v>298</v>
      </c>
      <c r="DY73" s="79">
        <v>264</v>
      </c>
      <c r="DZ73" s="79">
        <v>326</v>
      </c>
      <c r="EA73" s="79">
        <v>274</v>
      </c>
      <c r="EB73" s="79">
        <v>223</v>
      </c>
      <c r="EC73" s="79">
        <v>1385</v>
      </c>
      <c r="ED73" s="79"/>
      <c r="EE73" s="79" t="s">
        <v>2028</v>
      </c>
      <c r="EF73" s="79">
        <v>27</v>
      </c>
      <c r="EG73" s="79">
        <v>0</v>
      </c>
      <c r="EH73" s="79">
        <v>0</v>
      </c>
      <c r="EI73" s="79">
        <v>0</v>
      </c>
      <c r="EJ73" s="79">
        <v>0</v>
      </c>
      <c r="EK73" s="79">
        <v>27</v>
      </c>
      <c r="FF73" s="70" t="s">
        <v>1837</v>
      </c>
      <c r="FG73" s="70" t="s">
        <v>2018</v>
      </c>
      <c r="FH73" s="70" t="s">
        <v>324</v>
      </c>
      <c r="FI73" s="70" t="s">
        <v>324</v>
      </c>
      <c r="FJ73" s="70" t="s">
        <v>324</v>
      </c>
      <c r="FK73" s="70" t="s">
        <v>324</v>
      </c>
      <c r="FL73" s="70" t="s">
        <v>324</v>
      </c>
      <c r="FM73" s="70" t="s">
        <v>324</v>
      </c>
      <c r="FN73" s="70"/>
      <c r="FO73" s="70" t="s">
        <v>2018</v>
      </c>
      <c r="FP73" s="70" t="s">
        <v>324</v>
      </c>
      <c r="FQ73" s="70" t="s">
        <v>324</v>
      </c>
      <c r="FR73" s="70" t="s">
        <v>324</v>
      </c>
      <c r="FS73" s="70" t="s">
        <v>324</v>
      </c>
      <c r="FT73" s="70" t="s">
        <v>324</v>
      </c>
      <c r="FU73" s="70" t="s">
        <v>324</v>
      </c>
    </row>
    <row r="74" spans="1:177">
      <c r="A74" s="16" t="s">
        <v>2019</v>
      </c>
      <c r="B74" s="64" t="s">
        <v>2020</v>
      </c>
      <c r="C74" s="64" t="s">
        <v>2018</v>
      </c>
      <c r="D74" s="64">
        <v>70</v>
      </c>
      <c r="E74" s="64">
        <v>110</v>
      </c>
      <c r="F74" s="64">
        <v>197</v>
      </c>
      <c r="G74" s="64">
        <v>267</v>
      </c>
      <c r="H74" s="64">
        <v>209</v>
      </c>
      <c r="I74" s="64">
        <v>853</v>
      </c>
      <c r="K74" s="64" t="s">
        <v>2018</v>
      </c>
      <c r="L74" s="64">
        <v>8</v>
      </c>
      <c r="M74" s="64">
        <v>1</v>
      </c>
      <c r="N74" s="64">
        <v>2</v>
      </c>
      <c r="O74" s="64">
        <v>2</v>
      </c>
      <c r="P74" s="64">
        <v>0</v>
      </c>
      <c r="Q74" s="64">
        <v>13</v>
      </c>
      <c r="T74" s="65" t="s">
        <v>958</v>
      </c>
      <c r="U74" s="65" t="s">
        <v>2028</v>
      </c>
      <c r="V74" s="65">
        <v>553</v>
      </c>
      <c r="W74" s="65">
        <v>640</v>
      </c>
      <c r="X74" s="65">
        <v>714</v>
      </c>
      <c r="Y74" s="65">
        <v>765</v>
      </c>
      <c r="Z74" s="65">
        <v>544</v>
      </c>
      <c r="AA74" s="65">
        <v>3216</v>
      </c>
      <c r="AB74" s="65"/>
      <c r="AC74" s="65" t="s">
        <v>2028</v>
      </c>
      <c r="AD74" s="65">
        <v>23</v>
      </c>
      <c r="AE74" s="65">
        <v>4</v>
      </c>
      <c r="AF74" s="65">
        <v>1</v>
      </c>
      <c r="AG74" s="65">
        <v>1</v>
      </c>
      <c r="AH74" s="65">
        <v>0</v>
      </c>
      <c r="AI74" s="65">
        <v>29</v>
      </c>
      <c r="AK74" s="66" t="s">
        <v>1913</v>
      </c>
      <c r="AL74" s="66" t="s">
        <v>2018</v>
      </c>
      <c r="AM74" s="66">
        <v>270</v>
      </c>
      <c r="AN74" s="66">
        <v>506</v>
      </c>
      <c r="AO74" s="66">
        <v>814</v>
      </c>
      <c r="AP74" s="66">
        <v>1011</v>
      </c>
      <c r="AQ74" s="66">
        <v>632</v>
      </c>
      <c r="AR74" s="66">
        <v>3233</v>
      </c>
      <c r="AS74" s="66"/>
      <c r="AT74" s="66" t="s">
        <v>2018</v>
      </c>
      <c r="AU74" s="66">
        <v>20</v>
      </c>
      <c r="AV74" s="66">
        <v>3</v>
      </c>
      <c r="AW74" s="66">
        <v>1</v>
      </c>
      <c r="AX74" s="66">
        <v>0</v>
      </c>
      <c r="AY74" s="66">
        <v>0</v>
      </c>
      <c r="AZ74" s="66">
        <v>24</v>
      </c>
      <c r="BB74" s="69" t="s">
        <v>1183</v>
      </c>
      <c r="BC74" s="69" t="s">
        <v>2018</v>
      </c>
      <c r="BD74" s="69">
        <v>264</v>
      </c>
      <c r="BE74" s="69">
        <v>263</v>
      </c>
      <c r="BF74" s="69">
        <v>492</v>
      </c>
      <c r="BG74" s="69">
        <v>609</v>
      </c>
      <c r="BH74" s="69">
        <v>573</v>
      </c>
      <c r="BI74" s="69">
        <v>2201</v>
      </c>
      <c r="BJ74" s="69"/>
      <c r="BK74" s="69" t="s">
        <v>2018</v>
      </c>
      <c r="BL74" s="69">
        <v>22</v>
      </c>
      <c r="BM74" s="69">
        <v>0</v>
      </c>
      <c r="BN74" s="69">
        <v>0</v>
      </c>
      <c r="BO74" s="69">
        <v>0</v>
      </c>
      <c r="BP74" s="69">
        <v>0</v>
      </c>
      <c r="BQ74" s="69">
        <v>22</v>
      </c>
      <c r="BS74" s="70" t="s">
        <v>1458</v>
      </c>
      <c r="BT74" s="70" t="s">
        <v>2028</v>
      </c>
      <c r="BU74" s="70">
        <v>64</v>
      </c>
      <c r="BV74" s="70">
        <v>68</v>
      </c>
      <c r="BW74" s="70">
        <v>172</v>
      </c>
      <c r="BX74" s="70">
        <v>269</v>
      </c>
      <c r="BY74" s="70">
        <v>232</v>
      </c>
      <c r="BZ74" s="70">
        <v>805</v>
      </c>
      <c r="CA74" s="70"/>
      <c r="CB74" s="70" t="s">
        <v>2028</v>
      </c>
      <c r="CC74" s="70">
        <v>19</v>
      </c>
      <c r="CD74" s="70">
        <v>0</v>
      </c>
      <c r="CE74" s="70">
        <v>0</v>
      </c>
      <c r="CF74" s="70">
        <v>0</v>
      </c>
      <c r="CG74" s="70">
        <v>0</v>
      </c>
      <c r="CH74" s="70">
        <v>19</v>
      </c>
      <c r="CL74" s="57" t="s">
        <v>369</v>
      </c>
      <c r="CM74" s="57" t="s">
        <v>2018</v>
      </c>
      <c r="CN74" s="57">
        <v>132</v>
      </c>
      <c r="CO74" s="57">
        <v>135</v>
      </c>
      <c r="CP74" s="57">
        <v>211</v>
      </c>
      <c r="CQ74" s="57">
        <v>377</v>
      </c>
      <c r="CR74" s="57">
        <v>366</v>
      </c>
      <c r="CS74" s="57">
        <v>1221</v>
      </c>
      <c r="CT74" s="57"/>
      <c r="CU74" s="57" t="s">
        <v>2018</v>
      </c>
      <c r="CV74" s="57">
        <v>20</v>
      </c>
      <c r="CW74" s="57">
        <v>0</v>
      </c>
      <c r="CX74" s="57">
        <v>0</v>
      </c>
      <c r="CY74" s="57">
        <v>0</v>
      </c>
      <c r="CZ74" s="57">
        <v>0</v>
      </c>
      <c r="DA74" s="57">
        <v>20</v>
      </c>
      <c r="DD74" s="77" t="s">
        <v>1613</v>
      </c>
      <c r="DE74" s="77" t="s">
        <v>25</v>
      </c>
      <c r="DF74" s="77">
        <v>232</v>
      </c>
      <c r="DG74" s="77">
        <v>370</v>
      </c>
      <c r="DH74" s="77">
        <v>521</v>
      </c>
      <c r="DI74" s="77">
        <v>640</v>
      </c>
      <c r="DJ74" s="77">
        <v>497</v>
      </c>
      <c r="DK74" s="77">
        <v>2260</v>
      </c>
      <c r="DL74" s="77"/>
      <c r="DM74" s="77" t="s">
        <v>25</v>
      </c>
      <c r="DN74" s="77">
        <v>21</v>
      </c>
      <c r="DO74" s="77">
        <v>6</v>
      </c>
      <c r="DP74" s="77">
        <v>0</v>
      </c>
      <c r="DQ74" s="77">
        <v>0</v>
      </c>
      <c r="DR74" s="77">
        <v>0</v>
      </c>
      <c r="DS74" s="77">
        <v>27</v>
      </c>
      <c r="DU74" s="21"/>
      <c r="DV74" s="79" t="s">
        <v>1701</v>
      </c>
      <c r="DW74" s="79" t="s">
        <v>2028</v>
      </c>
      <c r="DX74" s="79">
        <v>147</v>
      </c>
      <c r="DY74" s="79">
        <v>121</v>
      </c>
      <c r="DZ74" s="79">
        <v>177</v>
      </c>
      <c r="EA74" s="79">
        <v>182</v>
      </c>
      <c r="EB74" s="79">
        <v>177</v>
      </c>
      <c r="EC74" s="79">
        <v>804</v>
      </c>
      <c r="ED74" s="79"/>
      <c r="EE74" s="79" t="s">
        <v>2028</v>
      </c>
      <c r="EF74" s="79">
        <v>15</v>
      </c>
      <c r="EG74" s="79">
        <v>0</v>
      </c>
      <c r="EH74" s="79">
        <v>0</v>
      </c>
      <c r="EI74" s="79">
        <v>0</v>
      </c>
      <c r="EJ74" s="79">
        <v>0</v>
      </c>
      <c r="EK74" s="79">
        <v>15</v>
      </c>
      <c r="EN74" s="57" t="s">
        <v>1987</v>
      </c>
      <c r="EO74" s="57" t="s">
        <v>2028</v>
      </c>
      <c r="EP74" s="57">
        <v>626</v>
      </c>
      <c r="EQ74" s="57">
        <v>979</v>
      </c>
      <c r="ER74" s="57">
        <v>1135</v>
      </c>
      <c r="ES74" s="57">
        <v>1339</v>
      </c>
      <c r="ET74" s="57">
        <v>1395</v>
      </c>
      <c r="EU74" s="57">
        <v>5474</v>
      </c>
      <c r="EV74" s="57"/>
      <c r="EW74" s="57" t="s">
        <v>2028</v>
      </c>
      <c r="EX74" s="57">
        <v>133</v>
      </c>
      <c r="EY74" s="57">
        <v>65</v>
      </c>
      <c r="EZ74" s="57">
        <v>38</v>
      </c>
      <c r="FA74" s="57">
        <v>48</v>
      </c>
      <c r="FB74" s="57">
        <v>28</v>
      </c>
      <c r="FC74" s="57">
        <v>312</v>
      </c>
      <c r="FF74" s="70" t="s">
        <v>1838</v>
      </c>
      <c r="FG74" s="70" t="s">
        <v>2018</v>
      </c>
      <c r="FH74" s="70" t="s">
        <v>324</v>
      </c>
      <c r="FI74" s="70" t="s">
        <v>324</v>
      </c>
      <c r="FJ74" s="70" t="s">
        <v>324</v>
      </c>
      <c r="FK74" s="70" t="s">
        <v>324</v>
      </c>
      <c r="FL74" s="70" t="s">
        <v>324</v>
      </c>
      <c r="FM74" s="70" t="s">
        <v>324</v>
      </c>
      <c r="FN74" s="70"/>
      <c r="FO74" s="70" t="s">
        <v>2018</v>
      </c>
      <c r="FP74" s="70" t="s">
        <v>324</v>
      </c>
      <c r="FQ74" s="70" t="s">
        <v>324</v>
      </c>
      <c r="FR74" s="70" t="s">
        <v>324</v>
      </c>
      <c r="FS74" s="70" t="s">
        <v>324</v>
      </c>
      <c r="FT74" s="70" t="s">
        <v>324</v>
      </c>
      <c r="FU74" s="70" t="s">
        <v>324</v>
      </c>
    </row>
    <row r="75" spans="1:177">
      <c r="B75" s="64" t="s">
        <v>2021</v>
      </c>
      <c r="C75" s="64" t="s">
        <v>2018</v>
      </c>
      <c r="D75" s="64">
        <v>867</v>
      </c>
      <c r="E75" s="64">
        <v>698</v>
      </c>
      <c r="F75" s="64">
        <v>596</v>
      </c>
      <c r="G75" s="64">
        <v>716</v>
      </c>
      <c r="H75" s="64">
        <v>912</v>
      </c>
      <c r="I75" s="64">
        <v>3789</v>
      </c>
      <c r="K75" s="64" t="s">
        <v>2018</v>
      </c>
      <c r="L75" s="64">
        <v>412</v>
      </c>
      <c r="M75" s="64">
        <v>152</v>
      </c>
      <c r="N75" s="64">
        <v>163</v>
      </c>
      <c r="O75" s="64">
        <v>198</v>
      </c>
      <c r="P75" s="64">
        <v>226</v>
      </c>
      <c r="Q75" s="64">
        <v>1151</v>
      </c>
      <c r="T75" s="65" t="s">
        <v>962</v>
      </c>
      <c r="U75" s="65" t="s">
        <v>2028</v>
      </c>
      <c r="V75" s="65">
        <v>1873</v>
      </c>
      <c r="W75" s="65">
        <v>1371</v>
      </c>
      <c r="X75" s="65">
        <v>1531</v>
      </c>
      <c r="Y75" s="65">
        <v>1528</v>
      </c>
      <c r="Z75" s="65">
        <v>1067</v>
      </c>
      <c r="AA75" s="65">
        <v>7370</v>
      </c>
      <c r="AB75" s="65"/>
      <c r="AC75" s="65" t="s">
        <v>2028</v>
      </c>
      <c r="AD75" s="65">
        <v>157</v>
      </c>
      <c r="AE75" s="65">
        <v>7</v>
      </c>
      <c r="AF75" s="65">
        <v>1</v>
      </c>
      <c r="AG75" s="65">
        <v>2</v>
      </c>
      <c r="AH75" s="65">
        <v>0</v>
      </c>
      <c r="AI75" s="65">
        <v>167</v>
      </c>
      <c r="AK75" s="66" t="s">
        <v>1927</v>
      </c>
      <c r="AL75" s="66" t="s">
        <v>2018</v>
      </c>
      <c r="AM75" s="66">
        <v>128</v>
      </c>
      <c r="AN75" s="66">
        <v>259</v>
      </c>
      <c r="AO75" s="66">
        <v>545</v>
      </c>
      <c r="AP75" s="66">
        <v>798</v>
      </c>
      <c r="AQ75" s="66">
        <v>562</v>
      </c>
      <c r="AR75" s="66">
        <v>2292</v>
      </c>
      <c r="AS75" s="66"/>
      <c r="AT75" s="66" t="s">
        <v>2018</v>
      </c>
      <c r="AU75" s="66">
        <v>22</v>
      </c>
      <c r="AV75" s="66">
        <v>1</v>
      </c>
      <c r="AW75" s="66">
        <v>0</v>
      </c>
      <c r="AX75" s="66">
        <v>0</v>
      </c>
      <c r="AY75" s="66">
        <v>1</v>
      </c>
      <c r="AZ75" s="66">
        <v>24</v>
      </c>
      <c r="BB75" s="69" t="s">
        <v>1186</v>
      </c>
      <c r="BC75" s="69" t="s">
        <v>2018</v>
      </c>
      <c r="BD75" s="69">
        <v>215</v>
      </c>
      <c r="BE75" s="69">
        <v>136</v>
      </c>
      <c r="BF75" s="69">
        <v>197</v>
      </c>
      <c r="BG75" s="69">
        <v>244</v>
      </c>
      <c r="BH75" s="69">
        <v>240</v>
      </c>
      <c r="BI75" s="69">
        <v>1032</v>
      </c>
      <c r="BJ75" s="69"/>
      <c r="BK75" s="69" t="s">
        <v>2018</v>
      </c>
      <c r="BL75" s="69">
        <v>18</v>
      </c>
      <c r="BM75" s="69">
        <v>0</v>
      </c>
      <c r="BN75" s="69">
        <v>0</v>
      </c>
      <c r="BO75" s="69">
        <v>0</v>
      </c>
      <c r="BP75" s="69">
        <v>0</v>
      </c>
      <c r="BQ75" s="69">
        <v>18</v>
      </c>
      <c r="BS75" s="70" t="s">
        <v>1462</v>
      </c>
      <c r="BT75" s="70" t="s">
        <v>2028</v>
      </c>
      <c r="BU75" s="70">
        <v>47</v>
      </c>
      <c r="BV75" s="70">
        <v>58</v>
      </c>
      <c r="BW75" s="70">
        <v>147</v>
      </c>
      <c r="BX75" s="70">
        <v>198</v>
      </c>
      <c r="BY75" s="70">
        <v>198</v>
      </c>
      <c r="BZ75" s="70">
        <v>648</v>
      </c>
      <c r="CA75" s="70"/>
      <c r="CB75" s="70" t="s">
        <v>2028</v>
      </c>
      <c r="CC75" s="70">
        <v>13</v>
      </c>
      <c r="CD75" s="70">
        <v>0</v>
      </c>
      <c r="CE75" s="70">
        <v>0</v>
      </c>
      <c r="CF75" s="70">
        <v>0</v>
      </c>
      <c r="CG75" s="70">
        <v>0</v>
      </c>
      <c r="CH75" s="70">
        <v>13</v>
      </c>
      <c r="CL75" s="57" t="s">
        <v>540</v>
      </c>
      <c r="CM75" s="57" t="s">
        <v>2018</v>
      </c>
      <c r="CN75" s="57">
        <v>100</v>
      </c>
      <c r="CO75" s="57">
        <v>98</v>
      </c>
      <c r="CP75" s="57">
        <v>212</v>
      </c>
      <c r="CQ75" s="57">
        <v>249</v>
      </c>
      <c r="CR75" s="57">
        <v>264</v>
      </c>
      <c r="CS75" s="57">
        <v>923</v>
      </c>
      <c r="CT75" s="57"/>
      <c r="CU75" s="57" t="s">
        <v>2018</v>
      </c>
      <c r="CV75" s="57">
        <v>28</v>
      </c>
      <c r="CW75" s="57">
        <v>0</v>
      </c>
      <c r="CX75" s="57">
        <v>0</v>
      </c>
      <c r="CY75" s="57">
        <v>0</v>
      </c>
      <c r="CZ75" s="57">
        <v>0</v>
      </c>
      <c r="DA75" s="57">
        <v>28</v>
      </c>
      <c r="DD75" s="77" t="s">
        <v>1616</v>
      </c>
      <c r="DE75" s="77" t="s">
        <v>25</v>
      </c>
      <c r="DF75" s="77">
        <v>373</v>
      </c>
      <c r="DG75" s="77">
        <v>427</v>
      </c>
      <c r="DH75" s="77">
        <v>483</v>
      </c>
      <c r="DI75" s="77">
        <v>489</v>
      </c>
      <c r="DJ75" s="77">
        <v>399</v>
      </c>
      <c r="DK75" s="77">
        <v>2171</v>
      </c>
      <c r="DL75" s="77"/>
      <c r="DM75" s="77" t="s">
        <v>25</v>
      </c>
      <c r="DN75" s="77">
        <v>34</v>
      </c>
      <c r="DO75" s="77">
        <v>2</v>
      </c>
      <c r="DP75" s="77">
        <v>0</v>
      </c>
      <c r="DQ75" s="77">
        <v>0</v>
      </c>
      <c r="DR75" s="77">
        <v>0</v>
      </c>
      <c r="DS75" s="77">
        <v>36</v>
      </c>
      <c r="DU75" s="21"/>
      <c r="DV75" s="79" t="s">
        <v>1664</v>
      </c>
      <c r="DW75" s="79" t="s">
        <v>2028</v>
      </c>
      <c r="DX75" s="79">
        <v>2631</v>
      </c>
      <c r="DY75" s="79">
        <v>1168</v>
      </c>
      <c r="DZ75" s="79">
        <v>921</v>
      </c>
      <c r="EA75" s="79">
        <v>850</v>
      </c>
      <c r="EB75" s="79">
        <v>1115</v>
      </c>
      <c r="EC75" s="79">
        <v>6685</v>
      </c>
      <c r="ED75" s="79"/>
      <c r="EE75" s="79" t="s">
        <v>2028</v>
      </c>
      <c r="EF75" s="79">
        <v>312</v>
      </c>
      <c r="EG75" s="79">
        <v>27</v>
      </c>
      <c r="EH75" s="79">
        <v>0</v>
      </c>
      <c r="EI75" s="79">
        <v>0</v>
      </c>
      <c r="EJ75" s="79">
        <v>0</v>
      </c>
      <c r="EK75" s="79">
        <v>339</v>
      </c>
      <c r="EN75" s="57" t="s">
        <v>1988</v>
      </c>
      <c r="EO75" s="57" t="s">
        <v>2028</v>
      </c>
      <c r="EP75" s="57">
        <v>149</v>
      </c>
      <c r="EQ75" s="57">
        <v>259</v>
      </c>
      <c r="ER75" s="57">
        <v>350</v>
      </c>
      <c r="ES75" s="57">
        <v>436</v>
      </c>
      <c r="ET75" s="57">
        <v>484</v>
      </c>
      <c r="EU75" s="57">
        <v>1678</v>
      </c>
      <c r="EV75" s="57"/>
      <c r="EW75" s="57" t="s">
        <v>2028</v>
      </c>
      <c r="EX75" s="57">
        <v>32</v>
      </c>
      <c r="EY75" s="57">
        <v>18</v>
      </c>
      <c r="EZ75" s="57">
        <v>9</v>
      </c>
      <c r="FA75" s="57">
        <v>8</v>
      </c>
      <c r="FB75" s="57">
        <v>15</v>
      </c>
      <c r="FC75" s="57">
        <v>82</v>
      </c>
      <c r="FF75" s="70" t="s">
        <v>1840</v>
      </c>
      <c r="FG75" s="70" t="s">
        <v>2018</v>
      </c>
      <c r="FH75" s="70" t="s">
        <v>324</v>
      </c>
      <c r="FI75" s="70" t="s">
        <v>324</v>
      </c>
      <c r="FJ75" s="70" t="s">
        <v>324</v>
      </c>
      <c r="FK75" s="70" t="s">
        <v>324</v>
      </c>
      <c r="FL75" s="70" t="s">
        <v>324</v>
      </c>
      <c r="FM75" s="70" t="s">
        <v>324</v>
      </c>
      <c r="FN75" s="70"/>
      <c r="FO75" s="70" t="s">
        <v>2018</v>
      </c>
      <c r="FP75" s="70" t="s">
        <v>324</v>
      </c>
      <c r="FQ75" s="70" t="s">
        <v>324</v>
      </c>
      <c r="FR75" s="70" t="s">
        <v>324</v>
      </c>
      <c r="FS75" s="70" t="s">
        <v>324</v>
      </c>
      <c r="FT75" s="70" t="s">
        <v>324</v>
      </c>
      <c r="FU75" s="70" t="s">
        <v>324</v>
      </c>
    </row>
    <row r="76" spans="1:177">
      <c r="B76" s="64" t="s">
        <v>2023</v>
      </c>
      <c r="C76" s="64" t="s">
        <v>2018</v>
      </c>
      <c r="D76" s="64">
        <v>663</v>
      </c>
      <c r="E76" s="64">
        <v>590</v>
      </c>
      <c r="F76" s="64">
        <v>536</v>
      </c>
      <c r="G76" s="64">
        <v>640</v>
      </c>
      <c r="H76" s="64">
        <v>851</v>
      </c>
      <c r="I76" s="64">
        <v>3280</v>
      </c>
      <c r="K76" s="64" t="s">
        <v>2018</v>
      </c>
      <c r="L76" s="64">
        <v>284</v>
      </c>
      <c r="M76" s="64">
        <v>88</v>
      </c>
      <c r="N76" s="64">
        <v>25</v>
      </c>
      <c r="O76" s="64">
        <v>17</v>
      </c>
      <c r="P76" s="64">
        <v>38</v>
      </c>
      <c r="Q76" s="64">
        <v>452</v>
      </c>
      <c r="T76" s="65" t="s">
        <v>1902</v>
      </c>
      <c r="U76" s="65" t="s">
        <v>2028</v>
      </c>
      <c r="V76" s="65">
        <v>550</v>
      </c>
      <c r="W76" s="65">
        <v>571</v>
      </c>
      <c r="X76" s="65">
        <v>737</v>
      </c>
      <c r="Y76" s="65">
        <v>736</v>
      </c>
      <c r="Z76" s="65">
        <v>546</v>
      </c>
      <c r="AA76" s="65">
        <v>3140</v>
      </c>
      <c r="AB76" s="65"/>
      <c r="AC76" s="65" t="s">
        <v>2028</v>
      </c>
      <c r="AD76" s="65">
        <v>14</v>
      </c>
      <c r="AE76" s="65">
        <v>0</v>
      </c>
      <c r="AF76" s="65">
        <v>0</v>
      </c>
      <c r="AG76" s="65">
        <v>0</v>
      </c>
      <c r="AH76" s="65">
        <v>0</v>
      </c>
      <c r="AI76" s="65">
        <v>14</v>
      </c>
      <c r="AK76" s="66" t="s">
        <v>1134</v>
      </c>
      <c r="AL76" s="66" t="s">
        <v>2018</v>
      </c>
      <c r="AM76" s="66">
        <v>520</v>
      </c>
      <c r="AN76" s="66">
        <v>277</v>
      </c>
      <c r="AO76" s="66">
        <v>433</v>
      </c>
      <c r="AP76" s="66">
        <v>559</v>
      </c>
      <c r="AQ76" s="66">
        <v>530</v>
      </c>
      <c r="AR76" s="66">
        <v>2319</v>
      </c>
      <c r="AS76" s="66"/>
      <c r="AT76" s="66" t="s">
        <v>2018</v>
      </c>
      <c r="AU76" s="66">
        <v>109</v>
      </c>
      <c r="AV76" s="66">
        <v>1</v>
      </c>
      <c r="AW76" s="66">
        <v>0</v>
      </c>
      <c r="AX76" s="66">
        <v>0</v>
      </c>
      <c r="AY76" s="66">
        <v>0</v>
      </c>
      <c r="AZ76" s="66">
        <v>110</v>
      </c>
      <c r="BB76" s="69" t="s">
        <v>1189</v>
      </c>
      <c r="BC76" s="69" t="s">
        <v>2018</v>
      </c>
      <c r="BD76" s="69">
        <v>36</v>
      </c>
      <c r="BE76" s="69">
        <v>37</v>
      </c>
      <c r="BF76" s="69">
        <v>69</v>
      </c>
      <c r="BG76" s="69">
        <v>95</v>
      </c>
      <c r="BH76" s="69">
        <v>163</v>
      </c>
      <c r="BI76" s="69">
        <v>400</v>
      </c>
      <c r="BJ76" s="69"/>
      <c r="BK76" s="69" t="s">
        <v>2018</v>
      </c>
      <c r="BL76" s="69">
        <v>1</v>
      </c>
      <c r="BM76" s="69">
        <v>0</v>
      </c>
      <c r="BN76" s="69">
        <v>0</v>
      </c>
      <c r="BO76" s="69">
        <v>0</v>
      </c>
      <c r="BP76" s="69">
        <v>0</v>
      </c>
      <c r="BQ76" s="69">
        <v>1</v>
      </c>
      <c r="BS76" s="70" t="s">
        <v>1464</v>
      </c>
      <c r="BT76" s="70" t="s">
        <v>2028</v>
      </c>
      <c r="BU76" s="70">
        <v>62</v>
      </c>
      <c r="BV76" s="70">
        <v>86</v>
      </c>
      <c r="BW76" s="70">
        <v>142</v>
      </c>
      <c r="BX76" s="70">
        <v>170</v>
      </c>
      <c r="BY76" s="70">
        <v>174</v>
      </c>
      <c r="BZ76" s="70">
        <v>634</v>
      </c>
      <c r="CA76" s="70"/>
      <c r="CB76" s="70" t="s">
        <v>2028</v>
      </c>
      <c r="CC76" s="70">
        <v>15</v>
      </c>
      <c r="CD76" s="70">
        <v>0</v>
      </c>
      <c r="CE76" s="70">
        <v>0</v>
      </c>
      <c r="CF76" s="70">
        <v>0</v>
      </c>
      <c r="CG76" s="70">
        <v>0</v>
      </c>
      <c r="CH76" s="70">
        <v>15</v>
      </c>
      <c r="CL76" s="57" t="s">
        <v>546</v>
      </c>
      <c r="CM76" s="57" t="s">
        <v>2018</v>
      </c>
      <c r="CN76" s="57">
        <v>141</v>
      </c>
      <c r="CO76" s="57">
        <v>180</v>
      </c>
      <c r="CP76" s="57">
        <v>291</v>
      </c>
      <c r="CQ76" s="57">
        <v>413</v>
      </c>
      <c r="CR76" s="57">
        <v>378</v>
      </c>
      <c r="CS76" s="57">
        <v>1403</v>
      </c>
      <c r="CT76" s="57"/>
      <c r="CU76" s="57" t="s">
        <v>2018</v>
      </c>
      <c r="CV76" s="57">
        <v>25</v>
      </c>
      <c r="CW76" s="57">
        <v>0</v>
      </c>
      <c r="CX76" s="57">
        <v>0</v>
      </c>
      <c r="CY76" s="57">
        <v>0</v>
      </c>
      <c r="CZ76" s="57">
        <v>0</v>
      </c>
      <c r="DA76" s="57">
        <v>25</v>
      </c>
      <c r="DD76" s="77" t="s">
        <v>1620</v>
      </c>
      <c r="DE76" s="77" t="s">
        <v>25</v>
      </c>
      <c r="DF76" s="77">
        <v>193</v>
      </c>
      <c r="DG76" s="77">
        <v>238</v>
      </c>
      <c r="DH76" s="77">
        <v>316</v>
      </c>
      <c r="DI76" s="77">
        <v>431</v>
      </c>
      <c r="DJ76" s="77">
        <v>444</v>
      </c>
      <c r="DK76" s="77">
        <v>1622</v>
      </c>
      <c r="DL76" s="77"/>
      <c r="DM76" s="77" t="s">
        <v>25</v>
      </c>
      <c r="DN76" s="77">
        <v>22</v>
      </c>
      <c r="DO76" s="77">
        <v>13</v>
      </c>
      <c r="DP76" s="77">
        <v>1</v>
      </c>
      <c r="DQ76" s="77">
        <v>0</v>
      </c>
      <c r="DR76" s="77">
        <v>0</v>
      </c>
      <c r="DS76" s="77">
        <v>36</v>
      </c>
      <c r="EN76" s="57" t="s">
        <v>1989</v>
      </c>
      <c r="EO76" s="57" t="s">
        <v>2028</v>
      </c>
      <c r="EP76" s="57">
        <v>236</v>
      </c>
      <c r="EQ76" s="57">
        <v>382</v>
      </c>
      <c r="ER76" s="57">
        <v>542</v>
      </c>
      <c r="ES76" s="57">
        <v>687</v>
      </c>
      <c r="ET76" s="57">
        <v>695</v>
      </c>
      <c r="EU76" s="57">
        <v>2542</v>
      </c>
      <c r="EV76" s="57"/>
      <c r="EW76" s="57" t="s">
        <v>2028</v>
      </c>
      <c r="EX76" s="57">
        <v>44</v>
      </c>
      <c r="EY76" s="57">
        <v>19</v>
      </c>
      <c r="EZ76" s="57">
        <v>8</v>
      </c>
      <c r="FA76" s="57">
        <v>8</v>
      </c>
      <c r="FB76" s="57">
        <v>9</v>
      </c>
      <c r="FC76" s="57">
        <v>88</v>
      </c>
      <c r="FF76" s="70" t="s">
        <v>2009</v>
      </c>
      <c r="FG76" s="70" t="s">
        <v>2018</v>
      </c>
      <c r="FH76" s="70">
        <v>194</v>
      </c>
      <c r="FI76" s="70">
        <v>313</v>
      </c>
      <c r="FJ76" s="70">
        <v>348</v>
      </c>
      <c r="FK76" s="70">
        <v>416</v>
      </c>
      <c r="FL76" s="70">
        <v>479</v>
      </c>
      <c r="FM76" s="70">
        <v>1750</v>
      </c>
      <c r="FN76" s="70"/>
      <c r="FO76" s="70" t="s">
        <v>2018</v>
      </c>
      <c r="FP76" s="70">
        <v>26</v>
      </c>
      <c r="FQ76" s="70">
        <v>5</v>
      </c>
      <c r="FR76" s="70">
        <v>2</v>
      </c>
      <c r="FS76" s="70">
        <v>3</v>
      </c>
      <c r="FT76" s="70">
        <v>3</v>
      </c>
      <c r="FU76" s="70">
        <v>39</v>
      </c>
    </row>
    <row r="77" spans="1:177">
      <c r="B77" s="64" t="s">
        <v>818</v>
      </c>
      <c r="C77" s="64" t="s">
        <v>2018</v>
      </c>
      <c r="D77" s="64">
        <v>233</v>
      </c>
      <c r="E77" s="64">
        <v>344</v>
      </c>
      <c r="F77" s="64">
        <v>523</v>
      </c>
      <c r="G77" s="64">
        <v>687</v>
      </c>
      <c r="H77" s="64">
        <v>561</v>
      </c>
      <c r="I77" s="64">
        <v>2348</v>
      </c>
      <c r="K77" s="64" t="s">
        <v>2018</v>
      </c>
      <c r="L77" s="64">
        <v>12</v>
      </c>
      <c r="M77" s="64">
        <v>3</v>
      </c>
      <c r="N77" s="64">
        <v>1</v>
      </c>
      <c r="O77" s="64">
        <v>0</v>
      </c>
      <c r="P77" s="64">
        <v>0</v>
      </c>
      <c r="Q77" s="64">
        <v>16</v>
      </c>
      <c r="T77" s="65" t="s">
        <v>971</v>
      </c>
      <c r="U77" s="65" t="s">
        <v>2028</v>
      </c>
      <c r="V77" s="65">
        <v>590</v>
      </c>
      <c r="W77" s="65">
        <v>425</v>
      </c>
      <c r="X77" s="65">
        <v>624</v>
      </c>
      <c r="Y77" s="65">
        <v>716</v>
      </c>
      <c r="Z77" s="65">
        <v>517</v>
      </c>
      <c r="AA77" s="65">
        <v>2872</v>
      </c>
      <c r="AB77" s="65"/>
      <c r="AC77" s="65" t="s">
        <v>2028</v>
      </c>
      <c r="AD77" s="65">
        <v>16</v>
      </c>
      <c r="AE77" s="65">
        <v>0</v>
      </c>
      <c r="AF77" s="65">
        <v>0</v>
      </c>
      <c r="AG77" s="65">
        <v>0</v>
      </c>
      <c r="AH77" s="65">
        <v>0</v>
      </c>
      <c r="AI77" s="65">
        <v>16</v>
      </c>
      <c r="AK77" s="66" t="s">
        <v>1137</v>
      </c>
      <c r="AL77" s="66" t="s">
        <v>2018</v>
      </c>
      <c r="AM77" s="66">
        <v>368</v>
      </c>
      <c r="AN77" s="66">
        <v>267</v>
      </c>
      <c r="AO77" s="66">
        <v>428</v>
      </c>
      <c r="AP77" s="66">
        <v>528</v>
      </c>
      <c r="AQ77" s="66">
        <v>509</v>
      </c>
      <c r="AR77" s="66">
        <v>2100</v>
      </c>
      <c r="AS77" s="66"/>
      <c r="AT77" s="66" t="s">
        <v>2018</v>
      </c>
      <c r="AU77" s="66">
        <v>95</v>
      </c>
      <c r="AV77" s="66">
        <v>0</v>
      </c>
      <c r="AW77" s="66">
        <v>0</v>
      </c>
      <c r="AX77" s="66">
        <v>0</v>
      </c>
      <c r="AY77" s="66">
        <v>0</v>
      </c>
      <c r="AZ77" s="66">
        <v>95</v>
      </c>
      <c r="BB77" s="69" t="s">
        <v>1193</v>
      </c>
      <c r="BC77" s="69" t="s">
        <v>2018</v>
      </c>
      <c r="BD77" s="69">
        <v>162</v>
      </c>
      <c r="BE77" s="69">
        <v>167</v>
      </c>
      <c r="BF77" s="69">
        <v>345</v>
      </c>
      <c r="BG77" s="69">
        <v>472</v>
      </c>
      <c r="BH77" s="69">
        <v>497</v>
      </c>
      <c r="BI77" s="69">
        <v>1643</v>
      </c>
      <c r="BJ77" s="69"/>
      <c r="BK77" s="69" t="s">
        <v>2018</v>
      </c>
      <c r="BL77" s="69">
        <v>31</v>
      </c>
      <c r="BM77" s="69">
        <v>0</v>
      </c>
      <c r="BN77" s="69">
        <v>0</v>
      </c>
      <c r="BO77" s="69">
        <v>0</v>
      </c>
      <c r="BP77" s="69">
        <v>0</v>
      </c>
      <c r="BQ77" s="69">
        <v>31</v>
      </c>
      <c r="BS77" s="70" t="s">
        <v>1466</v>
      </c>
      <c r="BT77" s="70" t="s">
        <v>2028</v>
      </c>
      <c r="BU77" s="70">
        <v>63</v>
      </c>
      <c r="BV77" s="70">
        <v>63</v>
      </c>
      <c r="BW77" s="70">
        <v>106</v>
      </c>
      <c r="BX77" s="70">
        <v>185</v>
      </c>
      <c r="BY77" s="70">
        <v>167</v>
      </c>
      <c r="BZ77" s="70">
        <v>584</v>
      </c>
      <c r="CA77" s="70"/>
      <c r="CB77" s="70" t="s">
        <v>2028</v>
      </c>
      <c r="CC77" s="70">
        <v>22</v>
      </c>
      <c r="CD77" s="70">
        <v>0</v>
      </c>
      <c r="CE77" s="70">
        <v>0</v>
      </c>
      <c r="CF77" s="70">
        <v>0</v>
      </c>
      <c r="CG77" s="70">
        <v>0</v>
      </c>
      <c r="CH77" s="70">
        <v>22</v>
      </c>
      <c r="CL77" s="57" t="s">
        <v>549</v>
      </c>
      <c r="CM77" s="57" t="s">
        <v>2018</v>
      </c>
      <c r="CN77" s="57" t="s">
        <v>324</v>
      </c>
      <c r="CO77" s="57" t="s">
        <v>324</v>
      </c>
      <c r="CP77" s="57" t="s">
        <v>324</v>
      </c>
      <c r="CQ77" s="57" t="s">
        <v>324</v>
      </c>
      <c r="CR77" s="57" t="s">
        <v>324</v>
      </c>
      <c r="CS77" s="57" t="s">
        <v>324</v>
      </c>
      <c r="CT77" s="57"/>
      <c r="CU77" s="57" t="s">
        <v>2018</v>
      </c>
      <c r="CV77" s="57" t="s">
        <v>324</v>
      </c>
      <c r="CW77" s="57" t="s">
        <v>324</v>
      </c>
      <c r="CX77" s="57" t="s">
        <v>324</v>
      </c>
      <c r="CY77" s="57" t="s">
        <v>324</v>
      </c>
      <c r="CZ77" s="57" t="s">
        <v>324</v>
      </c>
      <c r="DA77" s="57" t="s">
        <v>324</v>
      </c>
      <c r="DD77" s="77" t="s">
        <v>1623</v>
      </c>
      <c r="DE77" s="77" t="s">
        <v>25</v>
      </c>
      <c r="DF77" s="77">
        <v>227</v>
      </c>
      <c r="DG77" s="77">
        <v>317</v>
      </c>
      <c r="DH77" s="77">
        <v>455</v>
      </c>
      <c r="DI77" s="77">
        <v>522</v>
      </c>
      <c r="DJ77" s="77">
        <v>349</v>
      </c>
      <c r="DK77" s="77">
        <v>1870</v>
      </c>
      <c r="DL77" s="77"/>
      <c r="DM77" s="77" t="s">
        <v>25</v>
      </c>
      <c r="DN77" s="77">
        <v>8</v>
      </c>
      <c r="DO77" s="77">
        <v>2</v>
      </c>
      <c r="DP77" s="77">
        <v>3</v>
      </c>
      <c r="DQ77" s="77">
        <v>1</v>
      </c>
      <c r="DR77" s="77">
        <v>0</v>
      </c>
      <c r="DS77" s="77">
        <v>14</v>
      </c>
      <c r="DU77" s="16" t="s">
        <v>1627</v>
      </c>
      <c r="DV77" s="79" t="s">
        <v>2664</v>
      </c>
      <c r="DW77" s="79" t="s">
        <v>2032</v>
      </c>
      <c r="DX77" s="79">
        <v>561</v>
      </c>
      <c r="DY77" s="79">
        <v>473</v>
      </c>
      <c r="DZ77" s="79">
        <v>544</v>
      </c>
      <c r="EA77" s="79">
        <v>539</v>
      </c>
      <c r="EB77" s="79">
        <v>434</v>
      </c>
      <c r="EC77" s="79">
        <v>2551</v>
      </c>
      <c r="ED77" s="79"/>
      <c r="EE77" s="79" t="s">
        <v>2032</v>
      </c>
      <c r="EF77" s="79">
        <v>61</v>
      </c>
      <c r="EG77" s="79">
        <v>0</v>
      </c>
      <c r="EH77" s="79">
        <v>0</v>
      </c>
      <c r="EI77" s="79">
        <v>0</v>
      </c>
      <c r="EJ77" s="79">
        <v>0</v>
      </c>
      <c r="EK77" s="79">
        <v>61</v>
      </c>
      <c r="EN77" s="57" t="s">
        <v>1990</v>
      </c>
      <c r="EO77" s="57" t="s">
        <v>2028</v>
      </c>
      <c r="EP77" s="57">
        <v>76</v>
      </c>
      <c r="EQ77" s="57">
        <v>159</v>
      </c>
      <c r="ER77" s="57">
        <v>176</v>
      </c>
      <c r="ES77" s="57">
        <v>248</v>
      </c>
      <c r="ET77" s="57">
        <v>282</v>
      </c>
      <c r="EU77" s="57">
        <v>941</v>
      </c>
      <c r="EV77" s="57"/>
      <c r="EW77" s="57" t="s">
        <v>2028</v>
      </c>
      <c r="EX77" s="57">
        <v>19</v>
      </c>
      <c r="EY77" s="57">
        <v>11</v>
      </c>
      <c r="EZ77" s="57">
        <v>5</v>
      </c>
      <c r="FA77" s="57">
        <v>1</v>
      </c>
      <c r="FB77" s="57">
        <v>3</v>
      </c>
      <c r="FC77" s="57">
        <v>39</v>
      </c>
      <c r="FF77" s="70" t="s">
        <v>1850</v>
      </c>
      <c r="FG77" s="70" t="s">
        <v>2018</v>
      </c>
      <c r="FH77" s="70">
        <v>604</v>
      </c>
      <c r="FI77" s="70">
        <v>710</v>
      </c>
      <c r="FJ77" s="70">
        <v>748</v>
      </c>
      <c r="FK77" s="70">
        <v>850</v>
      </c>
      <c r="FL77" s="70">
        <v>918</v>
      </c>
      <c r="FM77" s="70">
        <v>3830</v>
      </c>
      <c r="FN77" s="70"/>
      <c r="FO77" s="70" t="s">
        <v>2018</v>
      </c>
      <c r="FP77" s="70">
        <v>112</v>
      </c>
      <c r="FQ77" s="70">
        <v>54</v>
      </c>
      <c r="FR77" s="70">
        <v>30</v>
      </c>
      <c r="FS77" s="70">
        <v>25</v>
      </c>
      <c r="FT77" s="70">
        <v>17</v>
      </c>
      <c r="FU77" s="70">
        <v>238</v>
      </c>
    </row>
    <row r="78" spans="1:177">
      <c r="B78" s="64" t="s">
        <v>822</v>
      </c>
      <c r="C78" s="64" t="s">
        <v>2018</v>
      </c>
      <c r="D78" s="64">
        <v>756</v>
      </c>
      <c r="E78" s="64">
        <v>684</v>
      </c>
      <c r="F78" s="64">
        <v>750</v>
      </c>
      <c r="G78" s="64">
        <v>720</v>
      </c>
      <c r="H78" s="64">
        <v>476</v>
      </c>
      <c r="I78" s="64">
        <v>3386</v>
      </c>
      <c r="K78" s="64" t="s">
        <v>2018</v>
      </c>
      <c r="L78" s="64">
        <v>31</v>
      </c>
      <c r="M78" s="64">
        <v>5</v>
      </c>
      <c r="N78" s="64">
        <v>1</v>
      </c>
      <c r="O78" s="64">
        <v>1</v>
      </c>
      <c r="P78" s="64">
        <v>0</v>
      </c>
      <c r="Q78" s="64">
        <v>38</v>
      </c>
      <c r="T78" s="65" t="s">
        <v>978</v>
      </c>
      <c r="U78" s="65" t="s">
        <v>2028</v>
      </c>
      <c r="V78" s="65">
        <v>121</v>
      </c>
      <c r="W78" s="65">
        <v>115</v>
      </c>
      <c r="X78" s="65">
        <v>127</v>
      </c>
      <c r="Y78" s="65">
        <v>162</v>
      </c>
      <c r="Z78" s="65">
        <v>171</v>
      </c>
      <c r="AA78" s="65">
        <v>696</v>
      </c>
      <c r="AB78" s="65"/>
      <c r="AC78" s="65" t="s">
        <v>2028</v>
      </c>
      <c r="AD78" s="65">
        <v>10</v>
      </c>
      <c r="AE78" s="65">
        <v>0</v>
      </c>
      <c r="AF78" s="65">
        <v>0</v>
      </c>
      <c r="AG78" s="65">
        <v>0</v>
      </c>
      <c r="AH78" s="65">
        <v>0</v>
      </c>
      <c r="AI78" s="65">
        <v>10</v>
      </c>
      <c r="AK78" s="66" t="s">
        <v>1140</v>
      </c>
      <c r="AL78" s="66" t="s">
        <v>2018</v>
      </c>
      <c r="AM78" s="66">
        <v>524</v>
      </c>
      <c r="AN78" s="66">
        <v>328</v>
      </c>
      <c r="AO78" s="66">
        <v>485</v>
      </c>
      <c r="AP78" s="66">
        <v>588</v>
      </c>
      <c r="AQ78" s="66">
        <v>561</v>
      </c>
      <c r="AR78" s="66">
        <v>2486</v>
      </c>
      <c r="AS78" s="66"/>
      <c r="AT78" s="66" t="s">
        <v>2018</v>
      </c>
      <c r="AU78" s="66">
        <v>145</v>
      </c>
      <c r="AV78" s="66">
        <v>1</v>
      </c>
      <c r="AW78" s="66">
        <v>0</v>
      </c>
      <c r="AX78" s="66">
        <v>0</v>
      </c>
      <c r="AY78" s="66">
        <v>1</v>
      </c>
      <c r="AZ78" s="66">
        <v>147</v>
      </c>
      <c r="BB78" s="69" t="s">
        <v>1197</v>
      </c>
      <c r="BC78" s="69" t="s">
        <v>2018</v>
      </c>
      <c r="BD78" s="69">
        <v>88</v>
      </c>
      <c r="BE78" s="69">
        <v>111</v>
      </c>
      <c r="BF78" s="69">
        <v>207</v>
      </c>
      <c r="BG78" s="69">
        <v>285</v>
      </c>
      <c r="BH78" s="69">
        <v>274</v>
      </c>
      <c r="BI78" s="69">
        <v>965</v>
      </c>
      <c r="BJ78" s="69"/>
      <c r="BK78" s="69" t="s">
        <v>2018</v>
      </c>
      <c r="BL78" s="69">
        <v>13</v>
      </c>
      <c r="BM78" s="69">
        <v>0</v>
      </c>
      <c r="BN78" s="69">
        <v>0</v>
      </c>
      <c r="BO78" s="69">
        <v>0</v>
      </c>
      <c r="BP78" s="69">
        <v>0</v>
      </c>
      <c r="BQ78" s="69">
        <v>13</v>
      </c>
      <c r="BS78" s="70" t="s">
        <v>1471</v>
      </c>
      <c r="BT78" s="70" t="s">
        <v>2028</v>
      </c>
      <c r="BU78" s="70">
        <v>64</v>
      </c>
      <c r="BV78" s="70">
        <v>45</v>
      </c>
      <c r="BW78" s="70">
        <v>91</v>
      </c>
      <c r="BX78" s="70">
        <v>125</v>
      </c>
      <c r="BY78" s="70">
        <v>130</v>
      </c>
      <c r="BZ78" s="70">
        <v>455</v>
      </c>
      <c r="CA78" s="70"/>
      <c r="CB78" s="70" t="s">
        <v>2028</v>
      </c>
      <c r="CC78" s="70">
        <v>20</v>
      </c>
      <c r="CD78" s="70">
        <v>0</v>
      </c>
      <c r="CE78" s="70">
        <v>0</v>
      </c>
      <c r="CF78" s="70">
        <v>0</v>
      </c>
      <c r="CG78" s="70">
        <v>0</v>
      </c>
      <c r="CH78" s="70">
        <v>20</v>
      </c>
      <c r="CJ78" s="21"/>
      <c r="CL78" s="57" t="s">
        <v>551</v>
      </c>
      <c r="CM78" s="57" t="s">
        <v>2018</v>
      </c>
      <c r="CN78" s="57">
        <v>191</v>
      </c>
      <c r="CO78" s="57">
        <v>87</v>
      </c>
      <c r="CP78" s="57">
        <v>150</v>
      </c>
      <c r="CQ78" s="57">
        <v>158</v>
      </c>
      <c r="CR78" s="57">
        <v>170</v>
      </c>
      <c r="CS78" s="57">
        <v>756</v>
      </c>
      <c r="CT78" s="57"/>
      <c r="CU78" s="57" t="s">
        <v>2018</v>
      </c>
      <c r="CV78" s="57">
        <v>64</v>
      </c>
      <c r="CW78" s="57">
        <v>0</v>
      </c>
      <c r="CX78" s="57">
        <v>0</v>
      </c>
      <c r="CY78" s="57">
        <v>0</v>
      </c>
      <c r="CZ78" s="57">
        <v>0</v>
      </c>
      <c r="DA78" s="57">
        <v>64</v>
      </c>
      <c r="DU78" s="16" t="s">
        <v>1632</v>
      </c>
      <c r="DV78" s="79" t="s">
        <v>2667</v>
      </c>
      <c r="DW78" s="79" t="s">
        <v>2032</v>
      </c>
      <c r="DX78" s="79">
        <v>196</v>
      </c>
      <c r="DY78" s="79">
        <v>252</v>
      </c>
      <c r="DZ78" s="79">
        <v>321</v>
      </c>
      <c r="EA78" s="79">
        <v>366</v>
      </c>
      <c r="EB78" s="79">
        <v>326</v>
      </c>
      <c r="EC78" s="79">
        <v>1461</v>
      </c>
      <c r="ED78" s="79"/>
      <c r="EE78" s="79" t="s">
        <v>2032</v>
      </c>
      <c r="EF78" s="79">
        <v>15</v>
      </c>
      <c r="EG78" s="79">
        <v>0</v>
      </c>
      <c r="EH78" s="79">
        <v>0</v>
      </c>
      <c r="EI78" s="79">
        <v>0</v>
      </c>
      <c r="EJ78" s="79">
        <v>0</v>
      </c>
      <c r="EK78" s="79">
        <v>15</v>
      </c>
      <c r="EN78" s="57" t="s">
        <v>1991</v>
      </c>
      <c r="EO78" s="57" t="s">
        <v>2028</v>
      </c>
      <c r="EP78" s="57">
        <v>133</v>
      </c>
      <c r="EQ78" s="57">
        <v>202</v>
      </c>
      <c r="ER78" s="57">
        <v>255</v>
      </c>
      <c r="ES78" s="57">
        <v>324</v>
      </c>
      <c r="ET78" s="57">
        <v>335</v>
      </c>
      <c r="EU78" s="57">
        <v>1249</v>
      </c>
      <c r="EV78" s="57"/>
      <c r="EW78" s="57" t="s">
        <v>2028</v>
      </c>
      <c r="EX78" s="57">
        <v>21</v>
      </c>
      <c r="EY78" s="57">
        <v>7</v>
      </c>
      <c r="EZ78" s="57">
        <v>3</v>
      </c>
      <c r="FA78" s="57">
        <v>1</v>
      </c>
      <c r="FB78" s="57">
        <v>2</v>
      </c>
      <c r="FC78" s="57">
        <v>34</v>
      </c>
      <c r="FF78" s="70" t="s">
        <v>1851</v>
      </c>
      <c r="FG78" s="70" t="s">
        <v>2018</v>
      </c>
      <c r="FH78" s="70">
        <v>543</v>
      </c>
      <c r="FI78" s="70">
        <v>587</v>
      </c>
      <c r="FJ78" s="70">
        <v>462</v>
      </c>
      <c r="FK78" s="70">
        <v>537</v>
      </c>
      <c r="FL78" s="70">
        <v>593</v>
      </c>
      <c r="FM78" s="70">
        <v>2722</v>
      </c>
      <c r="FN78" s="70"/>
      <c r="FO78" s="70" t="s">
        <v>2018</v>
      </c>
      <c r="FP78" s="70">
        <v>84</v>
      </c>
      <c r="FQ78" s="70">
        <v>21</v>
      </c>
      <c r="FR78" s="70">
        <v>7</v>
      </c>
      <c r="FS78" s="70">
        <v>4</v>
      </c>
      <c r="FT78" s="70">
        <v>5</v>
      </c>
      <c r="FU78" s="70">
        <v>121</v>
      </c>
    </row>
    <row r="79" spans="1:177">
      <c r="B79" s="64" t="s">
        <v>826</v>
      </c>
      <c r="C79" s="64" t="s">
        <v>2018</v>
      </c>
      <c r="D79" s="64">
        <v>170</v>
      </c>
      <c r="E79" s="64">
        <v>291</v>
      </c>
      <c r="F79" s="64">
        <v>414</v>
      </c>
      <c r="G79" s="64">
        <v>505</v>
      </c>
      <c r="H79" s="64">
        <v>319</v>
      </c>
      <c r="I79" s="64">
        <v>1699</v>
      </c>
      <c r="K79" s="64" t="s">
        <v>2018</v>
      </c>
      <c r="L79" s="64">
        <v>22</v>
      </c>
      <c r="M79" s="64">
        <v>0</v>
      </c>
      <c r="N79" s="64">
        <v>2</v>
      </c>
      <c r="O79" s="64">
        <v>0</v>
      </c>
      <c r="P79" s="64">
        <v>0</v>
      </c>
      <c r="Q79" s="64">
        <v>24</v>
      </c>
      <c r="T79" s="65" t="s">
        <v>1903</v>
      </c>
      <c r="U79" s="65" t="s">
        <v>2028</v>
      </c>
      <c r="V79" s="65" t="s">
        <v>324</v>
      </c>
      <c r="W79" s="65" t="s">
        <v>324</v>
      </c>
      <c r="X79" s="65" t="s">
        <v>324</v>
      </c>
      <c r="Y79" s="65" t="s">
        <v>324</v>
      </c>
      <c r="Z79" s="65" t="s">
        <v>324</v>
      </c>
      <c r="AA79" s="65" t="s">
        <v>324</v>
      </c>
      <c r="AB79" s="65"/>
      <c r="AC79" s="65" t="s">
        <v>2028</v>
      </c>
      <c r="AD79" s="65" t="s">
        <v>324</v>
      </c>
      <c r="AE79" s="65" t="s">
        <v>324</v>
      </c>
      <c r="AF79" s="65" t="s">
        <v>324</v>
      </c>
      <c r="AG79" s="65" t="s">
        <v>324</v>
      </c>
      <c r="AH79" s="65" t="s">
        <v>324</v>
      </c>
      <c r="AI79" s="65" t="s">
        <v>324</v>
      </c>
      <c r="AK79" s="66" t="s">
        <v>1143</v>
      </c>
      <c r="AL79" s="66" t="s">
        <v>2018</v>
      </c>
      <c r="AM79" s="66">
        <v>1046</v>
      </c>
      <c r="AN79" s="66">
        <v>841</v>
      </c>
      <c r="AO79" s="66">
        <v>994</v>
      </c>
      <c r="AP79" s="66">
        <v>1016</v>
      </c>
      <c r="AQ79" s="66">
        <v>776</v>
      </c>
      <c r="AR79" s="66">
        <v>4673</v>
      </c>
      <c r="AS79" s="66"/>
      <c r="AT79" s="66" t="s">
        <v>2018</v>
      </c>
      <c r="AU79" s="66">
        <v>168</v>
      </c>
      <c r="AV79" s="66">
        <v>2</v>
      </c>
      <c r="AW79" s="66">
        <v>0</v>
      </c>
      <c r="AX79" s="66">
        <v>0</v>
      </c>
      <c r="AY79" s="66">
        <v>0</v>
      </c>
      <c r="AZ79" s="66">
        <v>170</v>
      </c>
      <c r="BB79" s="69" t="s">
        <v>1201</v>
      </c>
      <c r="BC79" s="69" t="s">
        <v>2018</v>
      </c>
      <c r="BD79" s="69">
        <v>941</v>
      </c>
      <c r="BE79" s="69">
        <v>480</v>
      </c>
      <c r="BF79" s="69">
        <v>732</v>
      </c>
      <c r="BG79" s="69">
        <v>966</v>
      </c>
      <c r="BH79" s="69">
        <v>883</v>
      </c>
      <c r="BI79" s="69">
        <v>4002</v>
      </c>
      <c r="BJ79" s="69"/>
      <c r="BK79" s="69" t="s">
        <v>2018</v>
      </c>
      <c r="BL79" s="69">
        <v>218</v>
      </c>
      <c r="BM79" s="69">
        <v>0</v>
      </c>
      <c r="BN79" s="69">
        <v>0</v>
      </c>
      <c r="BO79" s="69">
        <v>0</v>
      </c>
      <c r="BP79" s="69">
        <v>0</v>
      </c>
      <c r="BQ79" s="69">
        <v>218</v>
      </c>
      <c r="CJ79" s="21"/>
      <c r="CL79" s="57" t="s">
        <v>553</v>
      </c>
      <c r="CM79" s="57" t="s">
        <v>2018</v>
      </c>
      <c r="CN79" s="57">
        <v>1229</v>
      </c>
      <c r="CO79" s="57">
        <v>1246</v>
      </c>
      <c r="CP79" s="57">
        <v>1350</v>
      </c>
      <c r="CQ79" s="57">
        <v>1392</v>
      </c>
      <c r="CR79" s="57">
        <v>1046</v>
      </c>
      <c r="CS79" s="57">
        <v>6263</v>
      </c>
      <c r="CT79" s="57"/>
      <c r="CU79" s="57" t="s">
        <v>2018</v>
      </c>
      <c r="CV79" s="57">
        <v>296</v>
      </c>
      <c r="CW79" s="57">
        <v>14</v>
      </c>
      <c r="CX79" s="57">
        <v>0</v>
      </c>
      <c r="CY79" s="57">
        <v>0</v>
      </c>
      <c r="CZ79" s="57">
        <v>0</v>
      </c>
      <c r="DA79" s="57">
        <v>310</v>
      </c>
      <c r="DD79" s="77" t="s">
        <v>371</v>
      </c>
      <c r="DE79" s="77" t="s">
        <v>2098</v>
      </c>
      <c r="DF79" s="77">
        <v>464</v>
      </c>
      <c r="DG79" s="77">
        <v>409</v>
      </c>
      <c r="DH79" s="77">
        <v>522</v>
      </c>
      <c r="DI79" s="77">
        <v>496</v>
      </c>
      <c r="DJ79" s="77">
        <v>394</v>
      </c>
      <c r="DK79" s="77">
        <v>2285</v>
      </c>
      <c r="DL79" s="77"/>
      <c r="DM79" s="77" t="s">
        <v>2098</v>
      </c>
      <c r="DN79" s="77">
        <v>44</v>
      </c>
      <c r="DO79" s="77">
        <v>0</v>
      </c>
      <c r="DP79" s="77">
        <v>0</v>
      </c>
      <c r="DQ79" s="77">
        <v>0</v>
      </c>
      <c r="DR79" s="77">
        <v>0</v>
      </c>
      <c r="DS79" s="77">
        <v>44</v>
      </c>
      <c r="DU79" s="16" t="s">
        <v>1636</v>
      </c>
      <c r="DV79" s="79" t="s">
        <v>2694</v>
      </c>
      <c r="DW79" s="79" t="s">
        <v>2032</v>
      </c>
      <c r="DX79" s="79">
        <v>787</v>
      </c>
      <c r="DY79" s="79">
        <v>796</v>
      </c>
      <c r="DZ79" s="79">
        <v>920</v>
      </c>
      <c r="EA79" s="79">
        <v>921</v>
      </c>
      <c r="EB79" s="79">
        <v>670</v>
      </c>
      <c r="EC79" s="79">
        <v>4094</v>
      </c>
      <c r="ED79" s="79"/>
      <c r="EE79" s="79" t="s">
        <v>2032</v>
      </c>
      <c r="EF79" s="79">
        <v>39</v>
      </c>
      <c r="EG79" s="79">
        <v>3</v>
      </c>
      <c r="EH79" s="79">
        <v>0</v>
      </c>
      <c r="EI79" s="79">
        <v>0</v>
      </c>
      <c r="EJ79" s="79">
        <v>0</v>
      </c>
      <c r="EK79" s="79">
        <v>42</v>
      </c>
      <c r="EN79" s="57" t="s">
        <v>1992</v>
      </c>
      <c r="EO79" s="57" t="s">
        <v>2028</v>
      </c>
      <c r="EP79" s="57">
        <v>44</v>
      </c>
      <c r="EQ79" s="57">
        <v>95</v>
      </c>
      <c r="ER79" s="57">
        <v>129</v>
      </c>
      <c r="ES79" s="57">
        <v>184</v>
      </c>
      <c r="ET79" s="57">
        <v>247</v>
      </c>
      <c r="EU79" s="57">
        <v>699</v>
      </c>
      <c r="EV79" s="57"/>
      <c r="EW79" s="57" t="s">
        <v>2028</v>
      </c>
      <c r="EX79" s="57">
        <v>7</v>
      </c>
      <c r="EY79" s="57">
        <v>3</v>
      </c>
      <c r="EZ79" s="57">
        <v>1</v>
      </c>
      <c r="FA79" s="57">
        <v>1</v>
      </c>
      <c r="FB79" s="57">
        <v>0</v>
      </c>
      <c r="FC79" s="57">
        <v>12</v>
      </c>
      <c r="FF79" s="70" t="s">
        <v>1852</v>
      </c>
      <c r="FG79" s="70" t="s">
        <v>2018</v>
      </c>
      <c r="FH79" s="70">
        <v>167</v>
      </c>
      <c r="FI79" s="70">
        <v>293</v>
      </c>
      <c r="FJ79" s="70">
        <v>347</v>
      </c>
      <c r="FK79" s="70">
        <v>413</v>
      </c>
      <c r="FL79" s="70">
        <v>545</v>
      </c>
      <c r="FM79" s="70">
        <v>1765</v>
      </c>
      <c r="FN79" s="70"/>
      <c r="FO79" s="70" t="s">
        <v>2018</v>
      </c>
      <c r="FP79" s="70">
        <v>29</v>
      </c>
      <c r="FQ79" s="70">
        <v>10</v>
      </c>
      <c r="FR79" s="70">
        <v>6</v>
      </c>
      <c r="FS79" s="70">
        <v>4</v>
      </c>
      <c r="FT79" s="70">
        <v>3</v>
      </c>
      <c r="FU79" s="70">
        <v>52</v>
      </c>
    </row>
    <row r="80" spans="1:177">
      <c r="A80" s="21" t="s">
        <v>2029</v>
      </c>
      <c r="B80" s="124" t="s">
        <v>1891</v>
      </c>
      <c r="C80" s="64" t="s">
        <v>2018</v>
      </c>
      <c r="D80" s="64">
        <v>276</v>
      </c>
      <c r="E80" s="64">
        <v>454</v>
      </c>
      <c r="F80" s="64">
        <v>609</v>
      </c>
      <c r="G80" s="64">
        <v>709</v>
      </c>
      <c r="H80" s="64">
        <v>540</v>
      </c>
      <c r="I80" s="64">
        <v>2588</v>
      </c>
      <c r="K80" s="64" t="s">
        <v>2018</v>
      </c>
      <c r="L80" s="64">
        <v>34</v>
      </c>
      <c r="M80" s="64">
        <v>2</v>
      </c>
      <c r="N80" s="64">
        <v>1</v>
      </c>
      <c r="O80" s="64">
        <v>0</v>
      </c>
      <c r="P80" s="64">
        <v>0</v>
      </c>
      <c r="Q80" s="64">
        <v>37</v>
      </c>
      <c r="T80" s="65" t="s">
        <v>1904</v>
      </c>
      <c r="U80" s="65" t="s">
        <v>2028</v>
      </c>
      <c r="V80" s="65" t="s">
        <v>324</v>
      </c>
      <c r="W80" s="65" t="s">
        <v>324</v>
      </c>
      <c r="X80" s="65" t="s">
        <v>324</v>
      </c>
      <c r="Y80" s="65" t="s">
        <v>324</v>
      </c>
      <c r="Z80" s="65" t="s">
        <v>324</v>
      </c>
      <c r="AA80" s="65" t="s">
        <v>324</v>
      </c>
      <c r="AB80" s="65"/>
      <c r="AC80" s="65" t="s">
        <v>2028</v>
      </c>
      <c r="AD80" s="65" t="s">
        <v>324</v>
      </c>
      <c r="AE80" s="65" t="s">
        <v>324</v>
      </c>
      <c r="AF80" s="65" t="s">
        <v>324</v>
      </c>
      <c r="AG80" s="65" t="s">
        <v>324</v>
      </c>
      <c r="AH80" s="65" t="s">
        <v>324</v>
      </c>
      <c r="AI80" s="65" t="s">
        <v>324</v>
      </c>
      <c r="AK80" s="66" t="s">
        <v>1952</v>
      </c>
      <c r="AL80" s="66" t="s">
        <v>2018</v>
      </c>
      <c r="AM80" s="66">
        <v>277</v>
      </c>
      <c r="AN80" s="66">
        <v>281</v>
      </c>
      <c r="AO80" s="66">
        <v>393</v>
      </c>
      <c r="AP80" s="66">
        <v>524</v>
      </c>
      <c r="AQ80" s="66">
        <v>510</v>
      </c>
      <c r="AR80" s="66">
        <v>1985</v>
      </c>
      <c r="AS80" s="66"/>
      <c r="AT80" s="66" t="s">
        <v>2018</v>
      </c>
      <c r="AU80" s="66">
        <v>44</v>
      </c>
      <c r="AV80" s="66">
        <v>1</v>
      </c>
      <c r="AW80" s="66">
        <v>0</v>
      </c>
      <c r="AX80" s="66">
        <v>0</v>
      </c>
      <c r="AY80" s="66">
        <v>0</v>
      </c>
      <c r="AZ80" s="66">
        <v>45</v>
      </c>
      <c r="BB80" s="69" t="s">
        <v>1204</v>
      </c>
      <c r="BC80" s="69" t="s">
        <v>2018</v>
      </c>
      <c r="BD80" s="69">
        <v>30</v>
      </c>
      <c r="BE80" s="69">
        <v>34</v>
      </c>
      <c r="BF80" s="69">
        <v>85</v>
      </c>
      <c r="BG80" s="69">
        <v>127</v>
      </c>
      <c r="BH80" s="69">
        <v>183</v>
      </c>
      <c r="BI80" s="69">
        <v>459</v>
      </c>
      <c r="BJ80" s="69"/>
      <c r="BK80" s="69" t="s">
        <v>2018</v>
      </c>
      <c r="BL80" s="69">
        <v>10</v>
      </c>
      <c r="BM80" s="69">
        <v>0</v>
      </c>
      <c r="BN80" s="69">
        <v>0</v>
      </c>
      <c r="BO80" s="69">
        <v>0</v>
      </c>
      <c r="BP80" s="69">
        <v>0</v>
      </c>
      <c r="BQ80" s="69">
        <v>10</v>
      </c>
      <c r="BS80" s="70" t="s">
        <v>459</v>
      </c>
      <c r="BT80" s="70" t="s">
        <v>2032</v>
      </c>
      <c r="BU80" s="70">
        <v>126</v>
      </c>
      <c r="BV80" s="70">
        <v>77</v>
      </c>
      <c r="BW80" s="70">
        <v>82</v>
      </c>
      <c r="BX80" s="70">
        <v>98</v>
      </c>
      <c r="BY80" s="70">
        <v>107</v>
      </c>
      <c r="BZ80" s="70">
        <v>490</v>
      </c>
      <c r="CA80" s="70"/>
      <c r="CB80" s="70" t="s">
        <v>2032</v>
      </c>
      <c r="CC80" s="70">
        <v>23</v>
      </c>
      <c r="CD80" s="70">
        <v>0</v>
      </c>
      <c r="CE80" s="70">
        <v>0</v>
      </c>
      <c r="CF80" s="70">
        <v>0</v>
      </c>
      <c r="CG80" s="70">
        <v>0</v>
      </c>
      <c r="CH80" s="70">
        <v>23</v>
      </c>
      <c r="CJ80" s="21"/>
      <c r="CL80" s="57" t="s">
        <v>555</v>
      </c>
      <c r="CM80" s="57" t="s">
        <v>2018</v>
      </c>
      <c r="CN80" s="57">
        <v>567</v>
      </c>
      <c r="CO80" s="57">
        <v>490</v>
      </c>
      <c r="CP80" s="57">
        <v>922</v>
      </c>
      <c r="CQ80" s="57">
        <v>1319</v>
      </c>
      <c r="CR80" s="57">
        <v>1286</v>
      </c>
      <c r="CS80" s="57">
        <v>4584</v>
      </c>
      <c r="CT80" s="57"/>
      <c r="CU80" s="57" t="s">
        <v>2018</v>
      </c>
      <c r="CV80" s="57">
        <v>152</v>
      </c>
      <c r="CW80" s="57">
        <v>0</v>
      </c>
      <c r="CX80" s="57">
        <v>0</v>
      </c>
      <c r="CY80" s="57">
        <v>0</v>
      </c>
      <c r="CZ80" s="57">
        <v>0</v>
      </c>
      <c r="DA80" s="57">
        <v>152</v>
      </c>
      <c r="DD80" s="77" t="s">
        <v>1569</v>
      </c>
      <c r="DE80" s="77" t="s">
        <v>2098</v>
      </c>
      <c r="DF80" s="77">
        <v>194</v>
      </c>
      <c r="DG80" s="77">
        <v>247</v>
      </c>
      <c r="DH80" s="77">
        <v>270</v>
      </c>
      <c r="DI80" s="77">
        <v>304</v>
      </c>
      <c r="DJ80" s="77">
        <v>308</v>
      </c>
      <c r="DK80" s="77">
        <v>1323</v>
      </c>
      <c r="DL80" s="77"/>
      <c r="DM80" s="77" t="s">
        <v>2098</v>
      </c>
      <c r="DN80" s="77">
        <v>19</v>
      </c>
      <c r="DO80" s="77">
        <v>2</v>
      </c>
      <c r="DP80" s="77">
        <v>0</v>
      </c>
      <c r="DQ80" s="77">
        <v>0</v>
      </c>
      <c r="DR80" s="77">
        <v>0</v>
      </c>
      <c r="DS80" s="77">
        <v>21</v>
      </c>
      <c r="DU80" s="16" t="s">
        <v>1640</v>
      </c>
      <c r="DV80" s="79" t="s">
        <v>2682</v>
      </c>
      <c r="DW80" s="79" t="s">
        <v>2032</v>
      </c>
      <c r="DX80" s="79">
        <v>421</v>
      </c>
      <c r="DY80" s="79">
        <v>414</v>
      </c>
      <c r="DZ80" s="79">
        <v>561</v>
      </c>
      <c r="EA80" s="79">
        <v>685</v>
      </c>
      <c r="EB80" s="79">
        <v>544</v>
      </c>
      <c r="EC80" s="79">
        <v>2625</v>
      </c>
      <c r="ED80" s="79"/>
      <c r="EE80" s="79" t="s">
        <v>2032</v>
      </c>
      <c r="EF80" s="79">
        <v>46</v>
      </c>
      <c r="EG80" s="79">
        <v>0</v>
      </c>
      <c r="EH80" s="79">
        <v>0</v>
      </c>
      <c r="EI80" s="79">
        <v>0</v>
      </c>
      <c r="EJ80" s="79">
        <v>0</v>
      </c>
      <c r="EK80" s="79">
        <v>46</v>
      </c>
      <c r="EN80" s="57" t="s">
        <v>1993</v>
      </c>
      <c r="EO80" s="57" t="s">
        <v>2028</v>
      </c>
      <c r="EP80" s="57">
        <v>268</v>
      </c>
      <c r="EQ80" s="57">
        <v>526</v>
      </c>
      <c r="ER80" s="57">
        <v>667</v>
      </c>
      <c r="ES80" s="57">
        <v>770</v>
      </c>
      <c r="ET80" s="57">
        <v>822</v>
      </c>
      <c r="EU80" s="57">
        <v>3053</v>
      </c>
      <c r="EV80" s="57"/>
      <c r="EW80" s="57" t="s">
        <v>2028</v>
      </c>
      <c r="EX80" s="57">
        <v>35</v>
      </c>
      <c r="EY80" s="57">
        <v>19</v>
      </c>
      <c r="EZ80" s="57">
        <v>10</v>
      </c>
      <c r="FA80" s="57">
        <v>8</v>
      </c>
      <c r="FB80" s="57">
        <v>11</v>
      </c>
      <c r="FC80" s="57">
        <v>83</v>
      </c>
      <c r="FF80" s="70" t="s">
        <v>1853</v>
      </c>
      <c r="FG80" s="70" t="s">
        <v>2018</v>
      </c>
      <c r="FH80" s="70">
        <v>318</v>
      </c>
      <c r="FI80" s="70">
        <v>506</v>
      </c>
      <c r="FJ80" s="70">
        <v>540</v>
      </c>
      <c r="FK80" s="70">
        <v>573</v>
      </c>
      <c r="FL80" s="70">
        <v>770</v>
      </c>
      <c r="FM80" s="70">
        <v>2707</v>
      </c>
      <c r="FN80" s="70"/>
      <c r="FO80" s="70" t="s">
        <v>2018</v>
      </c>
      <c r="FP80" s="70">
        <v>50</v>
      </c>
      <c r="FQ80" s="70">
        <v>30</v>
      </c>
      <c r="FR80" s="70">
        <v>15</v>
      </c>
      <c r="FS80" s="70">
        <v>13</v>
      </c>
      <c r="FT80" s="70">
        <v>13</v>
      </c>
      <c r="FU80" s="70">
        <v>121</v>
      </c>
    </row>
    <row r="81" spans="2:177">
      <c r="B81" s="64" t="s">
        <v>830</v>
      </c>
      <c r="C81" s="64" t="s">
        <v>2018</v>
      </c>
      <c r="D81" s="64">
        <v>824</v>
      </c>
      <c r="E81" s="64">
        <v>846</v>
      </c>
      <c r="F81" s="64">
        <v>1177</v>
      </c>
      <c r="G81" s="64">
        <v>1396</v>
      </c>
      <c r="H81" s="64">
        <v>958</v>
      </c>
      <c r="I81" s="64">
        <v>5201</v>
      </c>
      <c r="K81" s="64" t="s">
        <v>2018</v>
      </c>
      <c r="L81" s="64">
        <v>41</v>
      </c>
      <c r="M81" s="64">
        <v>2</v>
      </c>
      <c r="N81" s="64">
        <v>2</v>
      </c>
      <c r="O81" s="64">
        <v>0</v>
      </c>
      <c r="P81" s="64">
        <v>1</v>
      </c>
      <c r="Q81" s="64">
        <v>46</v>
      </c>
      <c r="T81" s="65" t="s">
        <v>993</v>
      </c>
      <c r="U81" s="65" t="s">
        <v>2028</v>
      </c>
      <c r="V81" s="65">
        <v>193</v>
      </c>
      <c r="W81" s="65">
        <v>139</v>
      </c>
      <c r="X81" s="65">
        <v>247</v>
      </c>
      <c r="Y81" s="65">
        <v>408</v>
      </c>
      <c r="Z81" s="65">
        <v>332</v>
      </c>
      <c r="AA81" s="65">
        <v>1319</v>
      </c>
      <c r="AB81" s="65"/>
      <c r="AC81" s="65" t="s">
        <v>2028</v>
      </c>
      <c r="AD81" s="65">
        <v>28</v>
      </c>
      <c r="AE81" s="65">
        <v>1</v>
      </c>
      <c r="AF81" s="65">
        <v>0</v>
      </c>
      <c r="AG81" s="65">
        <v>0</v>
      </c>
      <c r="AH81" s="65">
        <v>0</v>
      </c>
      <c r="AI81" s="65">
        <v>29</v>
      </c>
      <c r="AK81" s="66" t="s">
        <v>1917</v>
      </c>
      <c r="AL81" s="66" t="s">
        <v>2018</v>
      </c>
      <c r="AM81" s="66">
        <v>548</v>
      </c>
      <c r="AN81" s="66">
        <v>441</v>
      </c>
      <c r="AO81" s="66">
        <v>862</v>
      </c>
      <c r="AP81" s="66">
        <v>1256</v>
      </c>
      <c r="AQ81" s="66">
        <v>1059</v>
      </c>
      <c r="AR81" s="66">
        <v>4166</v>
      </c>
      <c r="AS81" s="66"/>
      <c r="AT81" s="66" t="s">
        <v>2018</v>
      </c>
      <c r="AU81" s="66">
        <v>35</v>
      </c>
      <c r="AV81" s="66">
        <v>0</v>
      </c>
      <c r="AW81" s="66">
        <v>0</v>
      </c>
      <c r="AX81" s="66">
        <v>0</v>
      </c>
      <c r="AY81" s="66">
        <v>0</v>
      </c>
      <c r="AZ81" s="66">
        <v>35</v>
      </c>
      <c r="BB81" s="69" t="s">
        <v>1207</v>
      </c>
      <c r="BC81" s="69" t="s">
        <v>2018</v>
      </c>
      <c r="BD81" s="69">
        <v>367</v>
      </c>
      <c r="BE81" s="69">
        <v>439</v>
      </c>
      <c r="BF81" s="69">
        <v>661</v>
      </c>
      <c r="BG81" s="69">
        <v>927</v>
      </c>
      <c r="BH81" s="69">
        <v>913</v>
      </c>
      <c r="BI81" s="69">
        <v>3307</v>
      </c>
      <c r="BJ81" s="69"/>
      <c r="BK81" s="69" t="s">
        <v>2018</v>
      </c>
      <c r="BL81" s="69">
        <v>53</v>
      </c>
      <c r="BM81" s="69">
        <v>1</v>
      </c>
      <c r="BN81" s="69">
        <v>0</v>
      </c>
      <c r="BO81" s="69">
        <v>0</v>
      </c>
      <c r="BP81" s="69">
        <v>0</v>
      </c>
      <c r="BQ81" s="69">
        <v>54</v>
      </c>
      <c r="BS81" s="70" t="s">
        <v>460</v>
      </c>
      <c r="BT81" s="70" t="s">
        <v>2032</v>
      </c>
      <c r="BU81" s="70">
        <v>903</v>
      </c>
      <c r="BV81" s="70">
        <v>761</v>
      </c>
      <c r="BW81" s="70">
        <v>671</v>
      </c>
      <c r="BX81" s="70">
        <v>545</v>
      </c>
      <c r="BY81" s="70">
        <v>347</v>
      </c>
      <c r="BZ81" s="70">
        <v>3227</v>
      </c>
      <c r="CA81" s="70"/>
      <c r="CB81" s="70" t="s">
        <v>2032</v>
      </c>
      <c r="CC81" s="70">
        <v>156</v>
      </c>
      <c r="CD81" s="70">
        <v>3</v>
      </c>
      <c r="CE81" s="70">
        <v>0</v>
      </c>
      <c r="CF81" s="70">
        <v>0</v>
      </c>
      <c r="CG81" s="70">
        <v>0</v>
      </c>
      <c r="CH81" s="70">
        <v>159</v>
      </c>
      <c r="CJ81" s="21"/>
      <c r="CL81" s="57" t="s">
        <v>557</v>
      </c>
      <c r="CM81" s="57" t="s">
        <v>2018</v>
      </c>
      <c r="CN81" s="57">
        <v>250</v>
      </c>
      <c r="CO81" s="57">
        <v>326</v>
      </c>
      <c r="CP81" s="57">
        <v>631</v>
      </c>
      <c r="CQ81" s="57">
        <v>924</v>
      </c>
      <c r="CR81" s="57">
        <v>945</v>
      </c>
      <c r="CS81" s="57">
        <v>3076</v>
      </c>
      <c r="CT81" s="57"/>
      <c r="CU81" s="57" t="s">
        <v>2018</v>
      </c>
      <c r="CV81" s="57">
        <v>22</v>
      </c>
      <c r="CW81" s="57">
        <v>0</v>
      </c>
      <c r="CX81" s="57">
        <v>0</v>
      </c>
      <c r="CY81" s="57">
        <v>0</v>
      </c>
      <c r="CZ81" s="57">
        <v>0</v>
      </c>
      <c r="DA81" s="57">
        <v>22</v>
      </c>
      <c r="DD81" s="77" t="s">
        <v>1573</v>
      </c>
      <c r="DE81" s="77" t="s">
        <v>2098</v>
      </c>
      <c r="DF81" s="77">
        <v>481</v>
      </c>
      <c r="DG81" s="77">
        <v>490</v>
      </c>
      <c r="DH81" s="77">
        <v>628</v>
      </c>
      <c r="DI81" s="77">
        <v>644</v>
      </c>
      <c r="DJ81" s="77">
        <v>518</v>
      </c>
      <c r="DK81" s="77">
        <v>2761</v>
      </c>
      <c r="DL81" s="77"/>
      <c r="DM81" s="77" t="s">
        <v>2098</v>
      </c>
      <c r="DN81" s="77">
        <v>12</v>
      </c>
      <c r="DO81" s="77">
        <v>0</v>
      </c>
      <c r="DP81" s="77">
        <v>0</v>
      </c>
      <c r="DQ81" s="77">
        <v>0</v>
      </c>
      <c r="DR81" s="77">
        <v>0</v>
      </c>
      <c r="DS81" s="77">
        <v>12</v>
      </c>
      <c r="DU81" s="16" t="s">
        <v>1643</v>
      </c>
      <c r="DV81" s="79" t="s">
        <v>2685</v>
      </c>
      <c r="DW81" s="79" t="s">
        <v>2032</v>
      </c>
      <c r="DX81" s="79">
        <v>803</v>
      </c>
      <c r="DY81" s="79">
        <v>351</v>
      </c>
      <c r="DZ81" s="79">
        <v>379</v>
      </c>
      <c r="EA81" s="79">
        <v>415</v>
      </c>
      <c r="EB81" s="79">
        <v>282</v>
      </c>
      <c r="EC81" s="79">
        <v>2230</v>
      </c>
      <c r="ED81" s="79"/>
      <c r="EE81" s="79" t="s">
        <v>2032</v>
      </c>
      <c r="EF81" s="79">
        <v>20</v>
      </c>
      <c r="EG81" s="79">
        <v>0</v>
      </c>
      <c r="EH81" s="79">
        <v>0</v>
      </c>
      <c r="EI81" s="79">
        <v>0</v>
      </c>
      <c r="EJ81" s="79">
        <v>0</v>
      </c>
      <c r="EK81" s="79">
        <v>20</v>
      </c>
      <c r="EN81" s="57" t="s">
        <v>1716</v>
      </c>
      <c r="EO81" s="57" t="s">
        <v>2028</v>
      </c>
      <c r="EP81" s="57">
        <v>135</v>
      </c>
      <c r="EQ81" s="57">
        <v>221</v>
      </c>
      <c r="ER81" s="57">
        <v>299</v>
      </c>
      <c r="ES81" s="57">
        <v>334</v>
      </c>
      <c r="ET81" s="57">
        <v>384</v>
      </c>
      <c r="EU81" s="57">
        <v>1373</v>
      </c>
      <c r="EV81" s="57"/>
      <c r="EW81" s="57" t="s">
        <v>2028</v>
      </c>
      <c r="EX81" s="57">
        <v>36</v>
      </c>
      <c r="EY81" s="57">
        <v>16</v>
      </c>
      <c r="EZ81" s="57">
        <v>9</v>
      </c>
      <c r="FA81" s="57">
        <v>12</v>
      </c>
      <c r="FB81" s="57">
        <v>16</v>
      </c>
      <c r="FC81" s="57">
        <v>89</v>
      </c>
      <c r="FF81" s="70" t="s">
        <v>1854</v>
      </c>
      <c r="FG81" s="70" t="s">
        <v>2018</v>
      </c>
      <c r="FH81" s="70">
        <v>375</v>
      </c>
      <c r="FI81" s="70">
        <v>433</v>
      </c>
      <c r="FJ81" s="70">
        <v>418</v>
      </c>
      <c r="FK81" s="70">
        <v>463</v>
      </c>
      <c r="FL81" s="70">
        <v>544</v>
      </c>
      <c r="FM81" s="70">
        <v>2233</v>
      </c>
      <c r="FN81" s="70"/>
      <c r="FO81" s="70" t="s">
        <v>2018</v>
      </c>
      <c r="FP81" s="70">
        <v>51</v>
      </c>
      <c r="FQ81" s="70">
        <v>20</v>
      </c>
      <c r="FR81" s="70">
        <v>9</v>
      </c>
      <c r="FS81" s="70">
        <v>8</v>
      </c>
      <c r="FT81" s="70">
        <v>5</v>
      </c>
      <c r="FU81" s="70">
        <v>93</v>
      </c>
    </row>
    <row r="82" spans="2:177">
      <c r="B82" s="64" t="s">
        <v>836</v>
      </c>
      <c r="C82" s="64" t="s">
        <v>2018</v>
      </c>
      <c r="D82" s="64">
        <v>358</v>
      </c>
      <c r="E82" s="64">
        <v>431</v>
      </c>
      <c r="F82" s="64">
        <v>609</v>
      </c>
      <c r="G82" s="64">
        <v>727</v>
      </c>
      <c r="H82" s="64">
        <v>643</v>
      </c>
      <c r="I82" s="64">
        <v>2768</v>
      </c>
      <c r="K82" s="64" t="s">
        <v>2018</v>
      </c>
      <c r="L82" s="64">
        <v>55</v>
      </c>
      <c r="M82" s="64">
        <v>10</v>
      </c>
      <c r="N82" s="64">
        <v>1</v>
      </c>
      <c r="O82" s="64">
        <v>1</v>
      </c>
      <c r="P82" s="64">
        <v>0</v>
      </c>
      <c r="Q82" s="64">
        <v>67</v>
      </c>
      <c r="T82" s="65" t="s">
        <v>999</v>
      </c>
      <c r="U82" s="65" t="s">
        <v>2028</v>
      </c>
      <c r="V82" s="65">
        <v>197</v>
      </c>
      <c r="W82" s="65">
        <v>257</v>
      </c>
      <c r="X82" s="65">
        <v>430</v>
      </c>
      <c r="Y82" s="65">
        <v>531</v>
      </c>
      <c r="Z82" s="65">
        <v>472</v>
      </c>
      <c r="AA82" s="65">
        <v>1887</v>
      </c>
      <c r="AB82" s="65"/>
      <c r="AC82" s="65" t="s">
        <v>2028</v>
      </c>
      <c r="AD82" s="65">
        <v>20</v>
      </c>
      <c r="AE82" s="65">
        <v>1</v>
      </c>
      <c r="AF82" s="65">
        <v>1</v>
      </c>
      <c r="AG82" s="65">
        <v>0</v>
      </c>
      <c r="AH82" s="65">
        <v>0</v>
      </c>
      <c r="AI82" s="65">
        <v>22</v>
      </c>
      <c r="AK82" s="66" t="s">
        <v>1923</v>
      </c>
      <c r="AL82" s="66" t="s">
        <v>2018</v>
      </c>
      <c r="AM82" s="66">
        <v>282</v>
      </c>
      <c r="AN82" s="66">
        <v>414</v>
      </c>
      <c r="AO82" s="66">
        <v>664</v>
      </c>
      <c r="AP82" s="66">
        <v>910</v>
      </c>
      <c r="AQ82" s="66">
        <v>784</v>
      </c>
      <c r="AR82" s="66">
        <v>3054</v>
      </c>
      <c r="AS82" s="66"/>
      <c r="AT82" s="66" t="s">
        <v>2018</v>
      </c>
      <c r="AU82" s="66">
        <v>21</v>
      </c>
      <c r="AV82" s="66">
        <v>2</v>
      </c>
      <c r="AW82" s="66">
        <v>6</v>
      </c>
      <c r="AX82" s="66">
        <v>1</v>
      </c>
      <c r="AY82" s="66">
        <v>0</v>
      </c>
      <c r="AZ82" s="66">
        <v>30</v>
      </c>
      <c r="BB82" s="69" t="s">
        <v>1210</v>
      </c>
      <c r="BC82" s="69" t="s">
        <v>2018</v>
      </c>
      <c r="BD82" s="69">
        <v>128</v>
      </c>
      <c r="BE82" s="69">
        <v>71</v>
      </c>
      <c r="BF82" s="69">
        <v>147</v>
      </c>
      <c r="BG82" s="69">
        <v>192</v>
      </c>
      <c r="BH82" s="69">
        <v>172</v>
      </c>
      <c r="BI82" s="69">
        <v>710</v>
      </c>
      <c r="BJ82" s="69"/>
      <c r="BK82" s="69" t="s">
        <v>2018</v>
      </c>
      <c r="BL82" s="69">
        <v>45</v>
      </c>
      <c r="BM82" s="69">
        <v>0</v>
      </c>
      <c r="BN82" s="69">
        <v>0</v>
      </c>
      <c r="BO82" s="69">
        <v>0</v>
      </c>
      <c r="BP82" s="69">
        <v>0</v>
      </c>
      <c r="BQ82" s="69">
        <v>45</v>
      </c>
      <c r="BS82" s="70" t="s">
        <v>461</v>
      </c>
      <c r="BT82" s="70" t="s">
        <v>2032</v>
      </c>
      <c r="BU82" s="70">
        <v>1048</v>
      </c>
      <c r="BV82" s="70">
        <v>870</v>
      </c>
      <c r="BW82" s="70">
        <v>727</v>
      </c>
      <c r="BX82" s="70">
        <v>589</v>
      </c>
      <c r="BY82" s="70">
        <v>381</v>
      </c>
      <c r="BZ82" s="70">
        <v>3615</v>
      </c>
      <c r="CA82" s="70"/>
      <c r="CB82" s="70" t="s">
        <v>2032</v>
      </c>
      <c r="CC82" s="70">
        <v>260</v>
      </c>
      <c r="CD82" s="70">
        <v>8</v>
      </c>
      <c r="CE82" s="70">
        <v>0</v>
      </c>
      <c r="CF82" s="70">
        <v>0</v>
      </c>
      <c r="CG82" s="70">
        <v>0</v>
      </c>
      <c r="CH82" s="70">
        <v>268</v>
      </c>
      <c r="CJ82" s="21"/>
      <c r="CL82" s="57" t="s">
        <v>559</v>
      </c>
      <c r="CM82" s="57" t="s">
        <v>2018</v>
      </c>
      <c r="CN82" s="57">
        <v>128</v>
      </c>
      <c r="CO82" s="57">
        <v>61</v>
      </c>
      <c r="CP82" s="57">
        <v>82</v>
      </c>
      <c r="CQ82" s="57">
        <v>128</v>
      </c>
      <c r="CR82" s="57">
        <v>122</v>
      </c>
      <c r="CS82" s="57">
        <v>521</v>
      </c>
      <c r="CT82" s="57"/>
      <c r="CU82" s="57" t="s">
        <v>2018</v>
      </c>
      <c r="CV82" s="57">
        <v>54</v>
      </c>
      <c r="CW82" s="57">
        <v>0</v>
      </c>
      <c r="CX82" s="57">
        <v>0</v>
      </c>
      <c r="CY82" s="57">
        <v>0</v>
      </c>
      <c r="CZ82" s="57">
        <v>0</v>
      </c>
      <c r="DA82" s="57">
        <v>54</v>
      </c>
      <c r="DD82" s="77" t="s">
        <v>1578</v>
      </c>
      <c r="DE82" s="77" t="s">
        <v>2098</v>
      </c>
      <c r="DF82" s="77">
        <v>1066</v>
      </c>
      <c r="DG82" s="77">
        <v>981</v>
      </c>
      <c r="DH82" s="77">
        <v>934</v>
      </c>
      <c r="DI82" s="77">
        <v>1077</v>
      </c>
      <c r="DJ82" s="77">
        <v>921</v>
      </c>
      <c r="DK82" s="77">
        <v>4979</v>
      </c>
      <c r="DL82" s="77"/>
      <c r="DM82" s="77" t="s">
        <v>2098</v>
      </c>
      <c r="DN82" s="77">
        <v>181</v>
      </c>
      <c r="DO82" s="77">
        <v>0</v>
      </c>
      <c r="DP82" s="77">
        <v>0</v>
      </c>
      <c r="DQ82" s="77">
        <v>0</v>
      </c>
      <c r="DR82" s="77">
        <v>0</v>
      </c>
      <c r="DS82" s="77">
        <v>181</v>
      </c>
      <c r="DU82" s="16" t="s">
        <v>1646</v>
      </c>
      <c r="DV82" s="79" t="s">
        <v>2679</v>
      </c>
      <c r="DW82" s="79" t="s">
        <v>2032</v>
      </c>
      <c r="DX82" s="79">
        <v>198</v>
      </c>
      <c r="DY82" s="79">
        <v>138</v>
      </c>
      <c r="DZ82" s="79">
        <v>206</v>
      </c>
      <c r="EA82" s="79">
        <v>244</v>
      </c>
      <c r="EB82" s="79">
        <v>200</v>
      </c>
      <c r="EC82" s="79">
        <v>986</v>
      </c>
      <c r="ED82" s="79"/>
      <c r="EE82" s="79" t="s">
        <v>2032</v>
      </c>
      <c r="EF82" s="79">
        <v>13</v>
      </c>
      <c r="EG82" s="79">
        <v>0</v>
      </c>
      <c r="EH82" s="79">
        <v>0</v>
      </c>
      <c r="EI82" s="79">
        <v>0</v>
      </c>
      <c r="EJ82" s="79">
        <v>0</v>
      </c>
      <c r="EK82" s="79">
        <v>13</v>
      </c>
      <c r="EN82" s="57" t="s">
        <v>1720</v>
      </c>
      <c r="EO82" s="57" t="s">
        <v>2028</v>
      </c>
      <c r="EP82" s="57">
        <v>197</v>
      </c>
      <c r="EQ82" s="57">
        <v>303</v>
      </c>
      <c r="ER82" s="57">
        <v>336</v>
      </c>
      <c r="ES82" s="57">
        <v>397</v>
      </c>
      <c r="ET82" s="57">
        <v>525</v>
      </c>
      <c r="EU82" s="57">
        <v>1758</v>
      </c>
      <c r="EV82" s="57"/>
      <c r="EW82" s="57" t="s">
        <v>2028</v>
      </c>
      <c r="EX82" s="57">
        <v>62</v>
      </c>
      <c r="EY82" s="57">
        <v>35</v>
      </c>
      <c r="EZ82" s="57">
        <v>13</v>
      </c>
      <c r="FA82" s="57">
        <v>12</v>
      </c>
      <c r="FB82" s="57">
        <v>18</v>
      </c>
      <c r="FC82" s="57">
        <v>140</v>
      </c>
      <c r="FF82" s="70" t="s">
        <v>1857</v>
      </c>
      <c r="FG82" s="70" t="s">
        <v>2018</v>
      </c>
      <c r="FH82" s="70">
        <v>348</v>
      </c>
      <c r="FI82" s="70">
        <v>474</v>
      </c>
      <c r="FJ82" s="70">
        <v>517</v>
      </c>
      <c r="FK82" s="70">
        <v>566</v>
      </c>
      <c r="FL82" s="70">
        <v>666</v>
      </c>
      <c r="FM82" s="70">
        <v>2571</v>
      </c>
      <c r="FN82" s="70"/>
      <c r="FO82" s="70" t="s">
        <v>2018</v>
      </c>
      <c r="FP82" s="70">
        <v>41</v>
      </c>
      <c r="FQ82" s="70">
        <v>19</v>
      </c>
      <c r="FR82" s="70">
        <v>9</v>
      </c>
      <c r="FS82" s="70">
        <v>6</v>
      </c>
      <c r="FT82" s="70">
        <v>7</v>
      </c>
      <c r="FU82" s="70">
        <v>82</v>
      </c>
    </row>
    <row r="83" spans="2:177">
      <c r="B83" s="64" t="s">
        <v>845</v>
      </c>
      <c r="C83" s="64" t="s">
        <v>2018</v>
      </c>
      <c r="D83" s="64" t="s">
        <v>324</v>
      </c>
      <c r="E83" s="64" t="s">
        <v>324</v>
      </c>
      <c r="F83" s="64" t="s">
        <v>324</v>
      </c>
      <c r="G83" s="64" t="s">
        <v>324</v>
      </c>
      <c r="H83" s="64" t="s">
        <v>324</v>
      </c>
      <c r="I83" s="64" t="s">
        <v>324</v>
      </c>
      <c r="K83" s="64" t="s">
        <v>2018</v>
      </c>
      <c r="L83" s="64" t="s">
        <v>324</v>
      </c>
      <c r="M83" s="64" t="s">
        <v>324</v>
      </c>
      <c r="N83" s="64" t="s">
        <v>324</v>
      </c>
      <c r="O83" s="64" t="s">
        <v>324</v>
      </c>
      <c r="P83" s="64" t="s">
        <v>324</v>
      </c>
      <c r="Q83" s="64" t="s">
        <v>324</v>
      </c>
      <c r="T83" s="65" t="s">
        <v>1004</v>
      </c>
      <c r="U83" s="65" t="s">
        <v>2028</v>
      </c>
      <c r="V83" s="65">
        <v>1075</v>
      </c>
      <c r="W83" s="65">
        <v>1200</v>
      </c>
      <c r="X83" s="65">
        <v>1206</v>
      </c>
      <c r="Y83" s="65">
        <v>1156</v>
      </c>
      <c r="Z83" s="65">
        <v>938</v>
      </c>
      <c r="AA83" s="65">
        <v>5575</v>
      </c>
      <c r="AB83" s="65"/>
      <c r="AC83" s="65" t="s">
        <v>2028</v>
      </c>
      <c r="AD83" s="65">
        <v>184</v>
      </c>
      <c r="AE83" s="65">
        <v>21</v>
      </c>
      <c r="AF83" s="65">
        <v>8</v>
      </c>
      <c r="AG83" s="65">
        <v>3</v>
      </c>
      <c r="AH83" s="65">
        <v>2</v>
      </c>
      <c r="AI83" s="65">
        <v>218</v>
      </c>
      <c r="AK83" s="66" t="s">
        <v>1947</v>
      </c>
      <c r="AL83" s="66" t="s">
        <v>2018</v>
      </c>
      <c r="AM83" s="66">
        <v>700</v>
      </c>
      <c r="AN83" s="66">
        <v>825</v>
      </c>
      <c r="AO83" s="66">
        <v>974</v>
      </c>
      <c r="AP83" s="66">
        <v>917</v>
      </c>
      <c r="AQ83" s="66">
        <v>562</v>
      </c>
      <c r="AR83" s="66">
        <v>3978</v>
      </c>
      <c r="AS83" s="66"/>
      <c r="AT83" s="66" t="s">
        <v>2018</v>
      </c>
      <c r="AU83" s="66">
        <v>28</v>
      </c>
      <c r="AV83" s="66">
        <v>2</v>
      </c>
      <c r="AW83" s="66">
        <v>0</v>
      </c>
      <c r="AX83" s="66">
        <v>0</v>
      </c>
      <c r="AY83" s="66">
        <v>0</v>
      </c>
      <c r="AZ83" s="66">
        <v>30</v>
      </c>
      <c r="BB83" s="69" t="s">
        <v>1215</v>
      </c>
      <c r="BC83" s="69" t="s">
        <v>2018</v>
      </c>
      <c r="BD83" s="69">
        <v>234</v>
      </c>
      <c r="BE83" s="69">
        <v>205</v>
      </c>
      <c r="BF83" s="69">
        <v>340</v>
      </c>
      <c r="BG83" s="69">
        <v>434</v>
      </c>
      <c r="BH83" s="69">
        <v>356</v>
      </c>
      <c r="BI83" s="69">
        <v>1569</v>
      </c>
      <c r="BJ83" s="69"/>
      <c r="BK83" s="69" t="s">
        <v>2018</v>
      </c>
      <c r="BL83" s="69">
        <v>81</v>
      </c>
      <c r="BM83" s="69">
        <v>2</v>
      </c>
      <c r="BN83" s="69">
        <v>0</v>
      </c>
      <c r="BO83" s="69">
        <v>0</v>
      </c>
      <c r="BP83" s="69">
        <v>0</v>
      </c>
      <c r="BQ83" s="69">
        <v>83</v>
      </c>
      <c r="BS83" s="70" t="s">
        <v>336</v>
      </c>
      <c r="BT83" s="70" t="s">
        <v>2032</v>
      </c>
      <c r="BU83" s="70">
        <v>197</v>
      </c>
      <c r="BV83" s="70">
        <v>287</v>
      </c>
      <c r="BW83" s="70">
        <v>318</v>
      </c>
      <c r="BX83" s="70">
        <v>293</v>
      </c>
      <c r="BY83" s="70">
        <v>234</v>
      </c>
      <c r="BZ83" s="70">
        <v>1329</v>
      </c>
      <c r="CA83" s="70"/>
      <c r="CB83" s="70" t="s">
        <v>2032</v>
      </c>
      <c r="CC83" s="70">
        <v>41</v>
      </c>
      <c r="CD83" s="70">
        <v>0</v>
      </c>
      <c r="CE83" s="70">
        <v>0</v>
      </c>
      <c r="CF83" s="70">
        <v>0</v>
      </c>
      <c r="CG83" s="70">
        <v>0</v>
      </c>
      <c r="CH83" s="70">
        <v>41</v>
      </c>
      <c r="CJ83" s="21"/>
      <c r="CL83" s="57" t="s">
        <v>561</v>
      </c>
      <c r="CM83" s="57" t="s">
        <v>2018</v>
      </c>
      <c r="CN83" s="57">
        <v>111</v>
      </c>
      <c r="CO83" s="57">
        <v>130</v>
      </c>
      <c r="CP83" s="57">
        <v>253</v>
      </c>
      <c r="CQ83" s="57">
        <v>426</v>
      </c>
      <c r="CR83" s="57">
        <v>381</v>
      </c>
      <c r="CS83" s="57">
        <v>1301</v>
      </c>
      <c r="CT83" s="57"/>
      <c r="CU83" s="57" t="s">
        <v>2018</v>
      </c>
      <c r="CV83" s="57">
        <v>18</v>
      </c>
      <c r="CW83" s="57">
        <v>0</v>
      </c>
      <c r="CX83" s="57">
        <v>0</v>
      </c>
      <c r="CY83" s="57">
        <v>0</v>
      </c>
      <c r="CZ83" s="57">
        <v>0</v>
      </c>
      <c r="DA83" s="57">
        <v>18</v>
      </c>
      <c r="DD83" s="77" t="s">
        <v>1581</v>
      </c>
      <c r="DE83" s="77" t="s">
        <v>2098</v>
      </c>
      <c r="DF83" s="77">
        <v>225</v>
      </c>
      <c r="DG83" s="77">
        <v>270</v>
      </c>
      <c r="DH83" s="77">
        <v>332</v>
      </c>
      <c r="DI83" s="77">
        <v>413</v>
      </c>
      <c r="DJ83" s="77">
        <v>332</v>
      </c>
      <c r="DK83" s="77">
        <v>1572</v>
      </c>
      <c r="DL83" s="77"/>
      <c r="DM83" s="77" t="s">
        <v>2098</v>
      </c>
      <c r="DN83" s="77">
        <v>46</v>
      </c>
      <c r="DO83" s="77">
        <v>5</v>
      </c>
      <c r="DP83" s="77">
        <v>0</v>
      </c>
      <c r="DQ83" s="77">
        <v>0</v>
      </c>
      <c r="DR83" s="77">
        <v>0</v>
      </c>
      <c r="DS83" s="77">
        <v>51</v>
      </c>
      <c r="DU83" s="16" t="s">
        <v>1649</v>
      </c>
      <c r="DV83" s="79" t="s">
        <v>2676</v>
      </c>
      <c r="DW83" s="79" t="s">
        <v>2032</v>
      </c>
      <c r="DX83" s="79">
        <v>315</v>
      </c>
      <c r="DY83" s="79">
        <v>338</v>
      </c>
      <c r="DZ83" s="79">
        <v>431</v>
      </c>
      <c r="EA83" s="79">
        <v>469</v>
      </c>
      <c r="EB83" s="79">
        <v>427</v>
      </c>
      <c r="EC83" s="79">
        <v>1980</v>
      </c>
      <c r="ED83" s="79"/>
      <c r="EE83" s="79" t="s">
        <v>2032</v>
      </c>
      <c r="EF83" s="79">
        <v>20</v>
      </c>
      <c r="EG83" s="79">
        <v>0</v>
      </c>
      <c r="EH83" s="79">
        <v>0</v>
      </c>
      <c r="EI83" s="79">
        <v>0</v>
      </c>
      <c r="EJ83" s="79">
        <v>0</v>
      </c>
      <c r="EK83" s="79">
        <v>20</v>
      </c>
      <c r="EN83" s="57" t="s">
        <v>1723</v>
      </c>
      <c r="EO83" s="57" t="s">
        <v>2028</v>
      </c>
      <c r="EP83" s="57">
        <v>480</v>
      </c>
      <c r="EQ83" s="57">
        <v>685</v>
      </c>
      <c r="ER83" s="57">
        <v>862</v>
      </c>
      <c r="ES83" s="57">
        <v>885</v>
      </c>
      <c r="ET83" s="57">
        <v>866</v>
      </c>
      <c r="EU83" s="57">
        <v>3778</v>
      </c>
      <c r="EV83" s="57"/>
      <c r="EW83" s="57" t="s">
        <v>2028</v>
      </c>
      <c r="EX83" s="57">
        <v>81</v>
      </c>
      <c r="EY83" s="57">
        <v>42</v>
      </c>
      <c r="EZ83" s="57">
        <v>24</v>
      </c>
      <c r="FA83" s="57">
        <v>31</v>
      </c>
      <c r="FB83" s="57">
        <v>21</v>
      </c>
      <c r="FC83" s="57">
        <v>199</v>
      </c>
      <c r="FF83" s="70" t="s">
        <v>1859</v>
      </c>
      <c r="FG83" s="70" t="s">
        <v>2018</v>
      </c>
      <c r="FH83" s="70">
        <v>139</v>
      </c>
      <c r="FI83" s="70">
        <v>176</v>
      </c>
      <c r="FJ83" s="70">
        <v>246</v>
      </c>
      <c r="FK83" s="70">
        <v>318</v>
      </c>
      <c r="FL83" s="70">
        <v>403</v>
      </c>
      <c r="FM83" s="70">
        <v>1282</v>
      </c>
      <c r="FN83" s="70"/>
      <c r="FO83" s="70" t="s">
        <v>2018</v>
      </c>
      <c r="FP83" s="70">
        <v>19</v>
      </c>
      <c r="FQ83" s="70">
        <v>4</v>
      </c>
      <c r="FR83" s="70">
        <v>2</v>
      </c>
      <c r="FS83" s="70">
        <v>3</v>
      </c>
      <c r="FT83" s="70">
        <v>1</v>
      </c>
      <c r="FU83" s="70">
        <v>29</v>
      </c>
    </row>
    <row r="84" spans="2:177">
      <c r="B84" s="64" t="s">
        <v>849</v>
      </c>
      <c r="C84" s="64" t="s">
        <v>2018</v>
      </c>
      <c r="D84" s="64" t="s">
        <v>324</v>
      </c>
      <c r="E84" s="64" t="s">
        <v>324</v>
      </c>
      <c r="F84" s="64" t="s">
        <v>324</v>
      </c>
      <c r="G84" s="64" t="s">
        <v>324</v>
      </c>
      <c r="H84" s="64" t="s">
        <v>324</v>
      </c>
      <c r="I84" s="64" t="s">
        <v>324</v>
      </c>
      <c r="K84" s="64" t="s">
        <v>2018</v>
      </c>
      <c r="L84" s="64" t="s">
        <v>324</v>
      </c>
      <c r="M84" s="64" t="s">
        <v>324</v>
      </c>
      <c r="N84" s="64" t="s">
        <v>324</v>
      </c>
      <c r="O84" s="64" t="s">
        <v>324</v>
      </c>
      <c r="P84" s="64" t="s">
        <v>324</v>
      </c>
      <c r="Q84" s="64" t="s">
        <v>324</v>
      </c>
      <c r="T84" s="65" t="s">
        <v>1009</v>
      </c>
      <c r="U84" s="65" t="s">
        <v>2028</v>
      </c>
      <c r="V84" s="65">
        <v>1346</v>
      </c>
      <c r="W84" s="65">
        <v>980</v>
      </c>
      <c r="X84" s="65">
        <v>1117</v>
      </c>
      <c r="Y84" s="65">
        <v>1214</v>
      </c>
      <c r="Z84" s="65">
        <v>839</v>
      </c>
      <c r="AA84" s="65">
        <v>5496</v>
      </c>
      <c r="AB84" s="65"/>
      <c r="AC84" s="65" t="s">
        <v>2028</v>
      </c>
      <c r="AD84" s="65">
        <v>104</v>
      </c>
      <c r="AE84" s="65">
        <v>3</v>
      </c>
      <c r="AF84" s="65">
        <v>0</v>
      </c>
      <c r="AG84" s="65">
        <v>1</v>
      </c>
      <c r="AH84" s="65">
        <v>0</v>
      </c>
      <c r="AI84" s="65">
        <v>108</v>
      </c>
      <c r="AK84" s="66" t="s">
        <v>1941</v>
      </c>
      <c r="AL84" s="66" t="s">
        <v>2018</v>
      </c>
      <c r="AM84" s="66">
        <v>322</v>
      </c>
      <c r="AN84" s="66">
        <v>462</v>
      </c>
      <c r="AO84" s="66">
        <v>738</v>
      </c>
      <c r="AP84" s="66">
        <v>886</v>
      </c>
      <c r="AQ84" s="66">
        <v>493</v>
      </c>
      <c r="AR84" s="66">
        <v>2901</v>
      </c>
      <c r="AS84" s="66"/>
      <c r="AT84" s="66" t="s">
        <v>2018</v>
      </c>
      <c r="AU84" s="66">
        <v>37</v>
      </c>
      <c r="AV84" s="66">
        <v>0</v>
      </c>
      <c r="AW84" s="66">
        <v>0</v>
      </c>
      <c r="AX84" s="66">
        <v>0</v>
      </c>
      <c r="AY84" s="66">
        <v>0</v>
      </c>
      <c r="AZ84" s="66">
        <v>37</v>
      </c>
      <c r="BB84" s="69" t="s">
        <v>1218</v>
      </c>
      <c r="BC84" s="69" t="s">
        <v>2018</v>
      </c>
      <c r="BD84" s="69">
        <v>127</v>
      </c>
      <c r="BE84" s="69">
        <v>50</v>
      </c>
      <c r="BF84" s="69">
        <v>117</v>
      </c>
      <c r="BG84" s="69">
        <v>147</v>
      </c>
      <c r="BH84" s="69">
        <v>151</v>
      </c>
      <c r="BI84" s="69">
        <v>592</v>
      </c>
      <c r="BJ84" s="69"/>
      <c r="BK84" s="69" t="s">
        <v>2018</v>
      </c>
      <c r="BL84" s="69">
        <v>32</v>
      </c>
      <c r="BM84" s="69">
        <v>0</v>
      </c>
      <c r="BN84" s="69">
        <v>0</v>
      </c>
      <c r="BO84" s="69">
        <v>0</v>
      </c>
      <c r="BP84" s="69">
        <v>0</v>
      </c>
      <c r="BQ84" s="69">
        <v>32</v>
      </c>
      <c r="BS84" s="70" t="s">
        <v>1411</v>
      </c>
      <c r="BT84" s="70" t="s">
        <v>2032</v>
      </c>
      <c r="BU84" s="70">
        <v>1662</v>
      </c>
      <c r="BV84" s="70">
        <v>866</v>
      </c>
      <c r="BW84" s="70">
        <v>845</v>
      </c>
      <c r="BX84" s="70">
        <v>684</v>
      </c>
      <c r="BY84" s="70">
        <v>560</v>
      </c>
      <c r="BZ84" s="70">
        <v>4617</v>
      </c>
      <c r="CA84" s="70"/>
      <c r="CB84" s="70" t="s">
        <v>2032</v>
      </c>
      <c r="CC84" s="70">
        <v>386</v>
      </c>
      <c r="CD84" s="70">
        <v>4</v>
      </c>
      <c r="CE84" s="70">
        <v>0</v>
      </c>
      <c r="CF84" s="70">
        <v>0</v>
      </c>
      <c r="CG84" s="70">
        <v>0</v>
      </c>
      <c r="CH84" s="70">
        <v>390</v>
      </c>
      <c r="CJ84" s="21"/>
      <c r="CL84" s="57" t="s">
        <v>563</v>
      </c>
      <c r="CM84" s="57" t="s">
        <v>2018</v>
      </c>
      <c r="CN84" s="57">
        <v>48</v>
      </c>
      <c r="CO84" s="57">
        <v>48</v>
      </c>
      <c r="CP84" s="57">
        <v>105</v>
      </c>
      <c r="CQ84" s="57">
        <v>153</v>
      </c>
      <c r="CR84" s="57">
        <v>177</v>
      </c>
      <c r="CS84" s="57">
        <v>531</v>
      </c>
      <c r="CT84" s="57"/>
      <c r="CU84" s="57" t="s">
        <v>2018</v>
      </c>
      <c r="CV84" s="57">
        <v>10</v>
      </c>
      <c r="CW84" s="57">
        <v>0</v>
      </c>
      <c r="CX84" s="57">
        <v>0</v>
      </c>
      <c r="CY84" s="57">
        <v>0</v>
      </c>
      <c r="CZ84" s="57">
        <v>0</v>
      </c>
      <c r="DA84" s="57">
        <v>10</v>
      </c>
      <c r="DD84" s="77" t="s">
        <v>1585</v>
      </c>
      <c r="DE84" s="77" t="s">
        <v>2098</v>
      </c>
      <c r="DF84" s="77">
        <v>221</v>
      </c>
      <c r="DG84" s="77">
        <v>382</v>
      </c>
      <c r="DH84" s="77">
        <v>454</v>
      </c>
      <c r="DI84" s="77">
        <v>613</v>
      </c>
      <c r="DJ84" s="77">
        <v>551</v>
      </c>
      <c r="DK84" s="77">
        <v>2221</v>
      </c>
      <c r="DL84" s="77"/>
      <c r="DM84" s="77" t="s">
        <v>2098</v>
      </c>
      <c r="DN84" s="77">
        <v>23</v>
      </c>
      <c r="DO84" s="77">
        <v>17</v>
      </c>
      <c r="DP84" s="77">
        <v>0</v>
      </c>
      <c r="DQ84" s="77">
        <v>0</v>
      </c>
      <c r="DR84" s="77">
        <v>0</v>
      </c>
      <c r="DS84" s="77">
        <v>40</v>
      </c>
      <c r="DU84" s="16" t="s">
        <v>1652</v>
      </c>
      <c r="DV84" s="79" t="s">
        <v>2670</v>
      </c>
      <c r="DW84" s="79" t="s">
        <v>2032</v>
      </c>
      <c r="DX84" s="79">
        <v>336</v>
      </c>
      <c r="DY84" s="79">
        <v>356</v>
      </c>
      <c r="DZ84" s="79">
        <v>406</v>
      </c>
      <c r="EA84" s="79">
        <v>411</v>
      </c>
      <c r="EB84" s="79">
        <v>326</v>
      </c>
      <c r="EC84" s="79">
        <v>1835</v>
      </c>
      <c r="ED84" s="79"/>
      <c r="EE84" s="79" t="s">
        <v>2032</v>
      </c>
      <c r="EF84" s="79">
        <v>9</v>
      </c>
      <c r="EG84" s="79">
        <v>0</v>
      </c>
      <c r="EH84" s="79">
        <v>0</v>
      </c>
      <c r="EI84" s="79">
        <v>0</v>
      </c>
      <c r="EJ84" s="79">
        <v>0</v>
      </c>
      <c r="EK84" s="79">
        <v>9</v>
      </c>
      <c r="EN84" s="57" t="s">
        <v>1726</v>
      </c>
      <c r="EO84" s="57" t="s">
        <v>2028</v>
      </c>
      <c r="EP84" s="57">
        <v>58</v>
      </c>
      <c r="EQ84" s="57">
        <v>114</v>
      </c>
      <c r="ER84" s="57">
        <v>116</v>
      </c>
      <c r="ES84" s="57">
        <v>157</v>
      </c>
      <c r="ET84" s="57">
        <v>197</v>
      </c>
      <c r="EU84" s="57">
        <v>642</v>
      </c>
      <c r="EV84" s="57"/>
      <c r="EW84" s="57" t="s">
        <v>2028</v>
      </c>
      <c r="EX84" s="57">
        <v>14</v>
      </c>
      <c r="EY84" s="57">
        <v>1</v>
      </c>
      <c r="EZ84" s="57">
        <v>2</v>
      </c>
      <c r="FA84" s="57">
        <v>5</v>
      </c>
      <c r="FB84" s="57">
        <v>1</v>
      </c>
      <c r="FC84" s="57">
        <v>23</v>
      </c>
      <c r="FF84" s="70" t="s">
        <v>1861</v>
      </c>
      <c r="FG84" s="70" t="s">
        <v>2018</v>
      </c>
      <c r="FH84" s="70">
        <v>442</v>
      </c>
      <c r="FI84" s="70">
        <v>372</v>
      </c>
      <c r="FJ84" s="70">
        <v>500</v>
      </c>
      <c r="FK84" s="70">
        <v>547</v>
      </c>
      <c r="FL84" s="70">
        <v>794</v>
      </c>
      <c r="FM84" s="70">
        <v>2655</v>
      </c>
      <c r="FN84" s="70"/>
      <c r="FO84" s="70" t="s">
        <v>2018</v>
      </c>
      <c r="FP84" s="70">
        <v>25</v>
      </c>
      <c r="FQ84" s="70">
        <v>7</v>
      </c>
      <c r="FR84" s="70">
        <v>9</v>
      </c>
      <c r="FS84" s="70">
        <v>11</v>
      </c>
      <c r="FT84" s="70">
        <v>16</v>
      </c>
      <c r="FU84" s="70">
        <v>68</v>
      </c>
    </row>
    <row r="85" spans="2:177">
      <c r="B85" s="64" t="s">
        <v>852</v>
      </c>
      <c r="C85" s="64" t="s">
        <v>2018</v>
      </c>
      <c r="D85" s="64" t="s">
        <v>324</v>
      </c>
      <c r="E85" s="64" t="s">
        <v>324</v>
      </c>
      <c r="F85" s="64" t="s">
        <v>324</v>
      </c>
      <c r="G85" s="64" t="s">
        <v>324</v>
      </c>
      <c r="H85" s="64" t="s">
        <v>324</v>
      </c>
      <c r="I85" s="64" t="s">
        <v>324</v>
      </c>
      <c r="K85" s="64" t="s">
        <v>2018</v>
      </c>
      <c r="L85" s="64" t="s">
        <v>324</v>
      </c>
      <c r="M85" s="64" t="s">
        <v>324</v>
      </c>
      <c r="N85" s="64" t="s">
        <v>324</v>
      </c>
      <c r="O85" s="64" t="s">
        <v>324</v>
      </c>
      <c r="P85" s="64" t="s">
        <v>324</v>
      </c>
      <c r="Q85" s="64" t="s">
        <v>324</v>
      </c>
      <c r="T85" s="65" t="s">
        <v>1014</v>
      </c>
      <c r="U85" s="65" t="s">
        <v>2028</v>
      </c>
      <c r="V85" s="65">
        <v>716</v>
      </c>
      <c r="W85" s="65">
        <v>415</v>
      </c>
      <c r="X85" s="65">
        <v>463</v>
      </c>
      <c r="Y85" s="65">
        <v>500</v>
      </c>
      <c r="Z85" s="65">
        <v>395</v>
      </c>
      <c r="AA85" s="65">
        <v>2489</v>
      </c>
      <c r="AB85" s="65"/>
      <c r="AC85" s="65" t="s">
        <v>2028</v>
      </c>
      <c r="AD85" s="65">
        <v>13</v>
      </c>
      <c r="AE85" s="65">
        <v>0</v>
      </c>
      <c r="AF85" s="65">
        <v>0</v>
      </c>
      <c r="AG85" s="65">
        <v>0</v>
      </c>
      <c r="AH85" s="65">
        <v>0</v>
      </c>
      <c r="AI85" s="65">
        <v>13</v>
      </c>
      <c r="AK85" s="66" t="s">
        <v>1937</v>
      </c>
      <c r="AL85" s="66" t="s">
        <v>2018</v>
      </c>
      <c r="AM85" s="66">
        <v>406</v>
      </c>
      <c r="AN85" s="66">
        <v>508</v>
      </c>
      <c r="AO85" s="66">
        <v>806</v>
      </c>
      <c r="AP85" s="66">
        <v>931</v>
      </c>
      <c r="AQ85" s="66">
        <v>550</v>
      </c>
      <c r="AR85" s="66">
        <v>3201</v>
      </c>
      <c r="AS85" s="66"/>
      <c r="AT85" s="66" t="s">
        <v>2018</v>
      </c>
      <c r="AU85" s="66">
        <v>52</v>
      </c>
      <c r="AV85" s="66">
        <v>4</v>
      </c>
      <c r="AW85" s="66">
        <v>2</v>
      </c>
      <c r="AX85" s="66">
        <v>1</v>
      </c>
      <c r="AY85" s="66">
        <v>2</v>
      </c>
      <c r="AZ85" s="66">
        <v>61</v>
      </c>
      <c r="BB85" s="69" t="s">
        <v>1221</v>
      </c>
      <c r="BC85" s="69" t="s">
        <v>2018</v>
      </c>
      <c r="BD85" s="69">
        <v>62</v>
      </c>
      <c r="BE85" s="69">
        <v>63</v>
      </c>
      <c r="BF85" s="69">
        <v>78</v>
      </c>
      <c r="BG85" s="69">
        <v>151</v>
      </c>
      <c r="BH85" s="69">
        <v>116</v>
      </c>
      <c r="BI85" s="69">
        <v>470</v>
      </c>
      <c r="BJ85" s="69"/>
      <c r="BK85" s="69" t="s">
        <v>2018</v>
      </c>
      <c r="BL85" s="69">
        <v>19</v>
      </c>
      <c r="BM85" s="69">
        <v>0</v>
      </c>
      <c r="BN85" s="69">
        <v>0</v>
      </c>
      <c r="BO85" s="69">
        <v>0</v>
      </c>
      <c r="BP85" s="69">
        <v>0</v>
      </c>
      <c r="BQ85" s="69">
        <v>19</v>
      </c>
      <c r="BR85" s="16" t="s">
        <v>2243</v>
      </c>
      <c r="BS85" s="70" t="s">
        <v>2116</v>
      </c>
      <c r="BT85" s="70" t="s">
        <v>2032</v>
      </c>
      <c r="BU85" s="70">
        <v>36</v>
      </c>
      <c r="BV85" s="70">
        <v>38</v>
      </c>
      <c r="BW85" s="70">
        <v>66</v>
      </c>
      <c r="BX85" s="70">
        <v>114</v>
      </c>
      <c r="BY85" s="70">
        <v>111</v>
      </c>
      <c r="BZ85" s="70">
        <v>365</v>
      </c>
      <c r="CA85" s="70"/>
      <c r="CB85" s="70" t="s">
        <v>2032</v>
      </c>
      <c r="CC85" s="70">
        <v>10</v>
      </c>
      <c r="CD85" s="70">
        <v>0</v>
      </c>
      <c r="CE85" s="70">
        <v>0</v>
      </c>
      <c r="CF85" s="70">
        <v>0</v>
      </c>
      <c r="CG85" s="70">
        <v>0</v>
      </c>
      <c r="CH85" s="70">
        <v>10</v>
      </c>
      <c r="CJ85" s="21"/>
      <c r="CL85" s="57" t="s">
        <v>565</v>
      </c>
      <c r="CM85" s="57" t="s">
        <v>2018</v>
      </c>
      <c r="CN85" s="57">
        <v>71</v>
      </c>
      <c r="CO85" s="57">
        <v>76</v>
      </c>
      <c r="CP85" s="57">
        <v>150</v>
      </c>
      <c r="CQ85" s="57">
        <v>159</v>
      </c>
      <c r="CR85" s="57">
        <v>163</v>
      </c>
      <c r="CS85" s="57">
        <v>619</v>
      </c>
      <c r="CT85" s="57"/>
      <c r="CU85" s="57" t="s">
        <v>2018</v>
      </c>
      <c r="CV85" s="57">
        <v>14</v>
      </c>
      <c r="CW85" s="57">
        <v>0</v>
      </c>
      <c r="CX85" s="57">
        <v>0</v>
      </c>
      <c r="CY85" s="57">
        <v>0</v>
      </c>
      <c r="CZ85" s="57">
        <v>0</v>
      </c>
      <c r="DA85" s="57">
        <v>14</v>
      </c>
      <c r="DD85" s="77" t="s">
        <v>1588</v>
      </c>
      <c r="DE85" s="77" t="s">
        <v>2098</v>
      </c>
      <c r="DF85" s="77">
        <v>196</v>
      </c>
      <c r="DG85" s="77">
        <v>260</v>
      </c>
      <c r="DH85" s="77">
        <v>290</v>
      </c>
      <c r="DI85" s="77">
        <v>374</v>
      </c>
      <c r="DJ85" s="77">
        <v>401</v>
      </c>
      <c r="DK85" s="77">
        <v>1521</v>
      </c>
      <c r="DL85" s="77"/>
      <c r="DM85" s="77" t="s">
        <v>2098</v>
      </c>
      <c r="DN85" s="77">
        <v>15</v>
      </c>
      <c r="DO85" s="77">
        <v>15</v>
      </c>
      <c r="DP85" s="77">
        <v>0</v>
      </c>
      <c r="DQ85" s="77">
        <v>0</v>
      </c>
      <c r="DR85" s="77">
        <v>0</v>
      </c>
      <c r="DS85" s="77">
        <v>30</v>
      </c>
      <c r="DU85" s="16" t="s">
        <v>1654</v>
      </c>
      <c r="DV85" s="79" t="s">
        <v>2673</v>
      </c>
      <c r="DW85" s="79" t="s">
        <v>2032</v>
      </c>
      <c r="DX85" s="79">
        <v>1406</v>
      </c>
      <c r="DY85" s="79">
        <v>919</v>
      </c>
      <c r="DZ85" s="79">
        <v>1197</v>
      </c>
      <c r="EA85" s="79">
        <v>1245</v>
      </c>
      <c r="EB85" s="79">
        <v>923</v>
      </c>
      <c r="EC85" s="79">
        <v>5690</v>
      </c>
      <c r="ED85" s="79"/>
      <c r="EE85" s="79" t="s">
        <v>2032</v>
      </c>
      <c r="EF85" s="79">
        <v>51</v>
      </c>
      <c r="EG85" s="79">
        <v>0</v>
      </c>
      <c r="EH85" s="79">
        <v>0</v>
      </c>
      <c r="EI85" s="79">
        <v>0</v>
      </c>
      <c r="EJ85" s="79">
        <v>0</v>
      </c>
      <c r="EK85" s="79">
        <v>51</v>
      </c>
      <c r="EN85" s="57" t="s">
        <v>1729</v>
      </c>
      <c r="EO85" s="57" t="s">
        <v>2028</v>
      </c>
      <c r="EP85" s="57">
        <v>168</v>
      </c>
      <c r="EQ85" s="57">
        <v>271</v>
      </c>
      <c r="ER85" s="57">
        <v>339</v>
      </c>
      <c r="ES85" s="57">
        <v>389</v>
      </c>
      <c r="ET85" s="57">
        <v>450</v>
      </c>
      <c r="EU85" s="57">
        <v>1617</v>
      </c>
      <c r="EV85" s="57"/>
      <c r="EW85" s="57" t="s">
        <v>2028</v>
      </c>
      <c r="EX85" s="57">
        <v>40</v>
      </c>
      <c r="EY85" s="57">
        <v>19</v>
      </c>
      <c r="EZ85" s="57">
        <v>15</v>
      </c>
      <c r="FA85" s="57">
        <v>9</v>
      </c>
      <c r="FB85" s="57">
        <v>5</v>
      </c>
      <c r="FC85" s="57">
        <v>88</v>
      </c>
      <c r="FF85" s="70" t="s">
        <v>1863</v>
      </c>
      <c r="FG85" s="70" t="s">
        <v>2018</v>
      </c>
      <c r="FH85" s="70">
        <v>199</v>
      </c>
      <c r="FI85" s="70">
        <v>268</v>
      </c>
      <c r="FJ85" s="70">
        <v>382</v>
      </c>
      <c r="FK85" s="70">
        <v>485</v>
      </c>
      <c r="FL85" s="70">
        <v>594</v>
      </c>
      <c r="FM85" s="70">
        <v>1928</v>
      </c>
      <c r="FN85" s="70"/>
      <c r="FO85" s="70" t="s">
        <v>2018</v>
      </c>
      <c r="FP85" s="70">
        <v>33</v>
      </c>
      <c r="FQ85" s="70">
        <v>5</v>
      </c>
      <c r="FR85" s="70">
        <v>9</v>
      </c>
      <c r="FS85" s="70">
        <v>1</v>
      </c>
      <c r="FT85" s="70">
        <v>1</v>
      </c>
      <c r="FU85" s="70">
        <v>49</v>
      </c>
    </row>
    <row r="86" spans="2:177">
      <c r="B86" s="64" t="s">
        <v>864</v>
      </c>
      <c r="C86" s="64" t="s">
        <v>2018</v>
      </c>
      <c r="D86" s="64" t="s">
        <v>324</v>
      </c>
      <c r="E86" s="64" t="s">
        <v>324</v>
      </c>
      <c r="F86" s="64" t="s">
        <v>324</v>
      </c>
      <c r="G86" s="64" t="s">
        <v>324</v>
      </c>
      <c r="H86" s="64" t="s">
        <v>324</v>
      </c>
      <c r="I86" s="64" t="s">
        <v>324</v>
      </c>
      <c r="K86" s="64" t="s">
        <v>2018</v>
      </c>
      <c r="L86" s="64" t="s">
        <v>324</v>
      </c>
      <c r="M86" s="64" t="s">
        <v>324</v>
      </c>
      <c r="N86" s="64" t="s">
        <v>324</v>
      </c>
      <c r="O86" s="64" t="s">
        <v>324</v>
      </c>
      <c r="P86" s="64" t="s">
        <v>324</v>
      </c>
      <c r="Q86" s="64" t="s">
        <v>324</v>
      </c>
      <c r="T86" s="65" t="s">
        <v>1905</v>
      </c>
      <c r="U86" s="65" t="s">
        <v>2028</v>
      </c>
      <c r="V86" s="65">
        <v>139</v>
      </c>
      <c r="W86" s="65">
        <v>207</v>
      </c>
      <c r="X86" s="65">
        <v>327</v>
      </c>
      <c r="Y86" s="65">
        <v>343</v>
      </c>
      <c r="Z86" s="65">
        <v>280</v>
      </c>
      <c r="AA86" s="65">
        <v>1296</v>
      </c>
      <c r="AB86" s="65"/>
      <c r="AC86" s="65" t="s">
        <v>2028</v>
      </c>
      <c r="AD86" s="65">
        <v>11</v>
      </c>
      <c r="AE86" s="65">
        <v>0</v>
      </c>
      <c r="AF86" s="65">
        <v>1</v>
      </c>
      <c r="AG86" s="65">
        <v>0</v>
      </c>
      <c r="AH86" s="65">
        <v>0</v>
      </c>
      <c r="AI86" s="65">
        <v>12</v>
      </c>
      <c r="AK86" s="66" t="s">
        <v>1146</v>
      </c>
      <c r="AL86" s="66" t="s">
        <v>2018</v>
      </c>
      <c r="AM86" s="66">
        <v>413</v>
      </c>
      <c r="AN86" s="66">
        <v>536</v>
      </c>
      <c r="AO86" s="66">
        <v>710</v>
      </c>
      <c r="AP86" s="66">
        <v>890</v>
      </c>
      <c r="AQ86" s="66">
        <v>590</v>
      </c>
      <c r="AR86" s="66">
        <v>3139</v>
      </c>
      <c r="AS86" s="66"/>
      <c r="AT86" s="66" t="s">
        <v>2018</v>
      </c>
      <c r="AU86" s="66">
        <v>46</v>
      </c>
      <c r="AV86" s="66">
        <v>1</v>
      </c>
      <c r="AW86" s="66">
        <v>1</v>
      </c>
      <c r="AX86" s="66">
        <v>1</v>
      </c>
      <c r="AY86" s="66">
        <v>0</v>
      </c>
      <c r="AZ86" s="66">
        <v>49</v>
      </c>
      <c r="BB86" s="69" t="s">
        <v>1225</v>
      </c>
      <c r="BC86" s="69" t="s">
        <v>2018</v>
      </c>
      <c r="BD86" s="69">
        <v>63</v>
      </c>
      <c r="BE86" s="69">
        <v>58</v>
      </c>
      <c r="BF86" s="69">
        <v>118</v>
      </c>
      <c r="BG86" s="69">
        <v>153</v>
      </c>
      <c r="BH86" s="69">
        <v>159</v>
      </c>
      <c r="BI86" s="69">
        <v>551</v>
      </c>
      <c r="BJ86" s="69"/>
      <c r="BK86" s="69" t="s">
        <v>2018</v>
      </c>
      <c r="BL86" s="69">
        <v>12</v>
      </c>
      <c r="BM86" s="69">
        <v>0</v>
      </c>
      <c r="BN86" s="69">
        <v>0</v>
      </c>
      <c r="BO86" s="69">
        <v>0</v>
      </c>
      <c r="BP86" s="69">
        <v>0</v>
      </c>
      <c r="BQ86" s="69">
        <v>12</v>
      </c>
      <c r="BS86" s="70" t="s">
        <v>1423</v>
      </c>
      <c r="BT86" s="70" t="s">
        <v>2032</v>
      </c>
      <c r="BU86" s="70">
        <v>671</v>
      </c>
      <c r="BV86" s="70">
        <v>346</v>
      </c>
      <c r="BW86" s="70">
        <v>378</v>
      </c>
      <c r="BX86" s="70">
        <v>364</v>
      </c>
      <c r="BY86" s="70">
        <v>304</v>
      </c>
      <c r="BZ86" s="70">
        <v>2063</v>
      </c>
      <c r="CA86" s="70"/>
      <c r="CB86" s="70" t="s">
        <v>2032</v>
      </c>
      <c r="CC86" s="70">
        <v>181</v>
      </c>
      <c r="CD86" s="70">
        <v>1</v>
      </c>
      <c r="CE86" s="70">
        <v>0</v>
      </c>
      <c r="CF86" s="70">
        <v>0</v>
      </c>
      <c r="CG86" s="70">
        <v>0</v>
      </c>
      <c r="CH86" s="70">
        <v>182</v>
      </c>
      <c r="CJ86" s="21"/>
      <c r="CL86" s="57" t="s">
        <v>569</v>
      </c>
      <c r="CM86" s="57" t="s">
        <v>2018</v>
      </c>
      <c r="CN86" s="57">
        <v>58</v>
      </c>
      <c r="CO86" s="57">
        <v>70</v>
      </c>
      <c r="CP86" s="57">
        <v>142</v>
      </c>
      <c r="CQ86" s="57">
        <v>190</v>
      </c>
      <c r="CR86" s="57">
        <v>142</v>
      </c>
      <c r="CS86" s="57">
        <v>602</v>
      </c>
      <c r="CT86" s="57"/>
      <c r="CU86" s="57" t="s">
        <v>2018</v>
      </c>
      <c r="CV86" s="57">
        <v>2</v>
      </c>
      <c r="CW86" s="57">
        <v>0</v>
      </c>
      <c r="CX86" s="57">
        <v>0</v>
      </c>
      <c r="CY86" s="57">
        <v>0</v>
      </c>
      <c r="CZ86" s="57">
        <v>0</v>
      </c>
      <c r="DA86" s="57">
        <v>2</v>
      </c>
      <c r="DD86" s="77" t="s">
        <v>1591</v>
      </c>
      <c r="DE86" s="77" t="s">
        <v>2098</v>
      </c>
      <c r="DF86" s="77">
        <v>342</v>
      </c>
      <c r="DG86" s="77">
        <v>392</v>
      </c>
      <c r="DH86" s="77">
        <v>408</v>
      </c>
      <c r="DI86" s="77">
        <v>465</v>
      </c>
      <c r="DJ86" s="77">
        <v>438</v>
      </c>
      <c r="DK86" s="77">
        <v>2045</v>
      </c>
      <c r="DL86" s="77"/>
      <c r="DM86" s="77" t="s">
        <v>2098</v>
      </c>
      <c r="DN86" s="77">
        <v>12</v>
      </c>
      <c r="DO86" s="77">
        <v>13</v>
      </c>
      <c r="DP86" s="77">
        <v>0</v>
      </c>
      <c r="DQ86" s="77">
        <v>0</v>
      </c>
      <c r="DR86" s="77">
        <v>0</v>
      </c>
      <c r="DS86" s="77">
        <v>25</v>
      </c>
      <c r="DV86" s="79" t="s">
        <v>1982</v>
      </c>
      <c r="DW86" s="79" t="s">
        <v>2032</v>
      </c>
      <c r="DX86" s="79">
        <v>308</v>
      </c>
      <c r="DY86" s="79">
        <v>324</v>
      </c>
      <c r="DZ86" s="79">
        <v>393</v>
      </c>
      <c r="EA86" s="79">
        <v>349</v>
      </c>
      <c r="EB86" s="79">
        <v>286</v>
      </c>
      <c r="EC86" s="79">
        <v>1660</v>
      </c>
      <c r="ED86" s="79"/>
      <c r="EE86" s="79" t="s">
        <v>2032</v>
      </c>
      <c r="EF86" s="79">
        <v>10</v>
      </c>
      <c r="EG86" s="79">
        <v>0</v>
      </c>
      <c r="EH86" s="79">
        <v>0</v>
      </c>
      <c r="EI86" s="79">
        <v>0</v>
      </c>
      <c r="EJ86" s="79">
        <v>0</v>
      </c>
      <c r="EK86" s="79">
        <v>10</v>
      </c>
      <c r="EN86" s="57" t="s">
        <v>1994</v>
      </c>
      <c r="EO86" s="57" t="s">
        <v>2028</v>
      </c>
      <c r="EP86" s="57">
        <v>78</v>
      </c>
      <c r="EQ86" s="57">
        <v>168</v>
      </c>
      <c r="ER86" s="57">
        <v>243</v>
      </c>
      <c r="ES86" s="57">
        <v>319</v>
      </c>
      <c r="ET86" s="57">
        <v>347</v>
      </c>
      <c r="EU86" s="57">
        <v>1155</v>
      </c>
      <c r="EV86" s="57"/>
      <c r="EW86" s="57" t="s">
        <v>2028</v>
      </c>
      <c r="EX86" s="57">
        <v>8</v>
      </c>
      <c r="EY86" s="57">
        <v>8</v>
      </c>
      <c r="EZ86" s="57">
        <v>1</v>
      </c>
      <c r="FA86" s="57">
        <v>5</v>
      </c>
      <c r="FB86" s="57">
        <v>4</v>
      </c>
      <c r="FC86" s="57">
        <v>26</v>
      </c>
      <c r="FF86" s="70" t="s">
        <v>1865</v>
      </c>
      <c r="FG86" s="70" t="s">
        <v>2018</v>
      </c>
      <c r="FH86" s="70">
        <v>174</v>
      </c>
      <c r="FI86" s="70">
        <v>286</v>
      </c>
      <c r="FJ86" s="70">
        <v>309</v>
      </c>
      <c r="FK86" s="70">
        <v>383</v>
      </c>
      <c r="FL86" s="70">
        <v>492</v>
      </c>
      <c r="FM86" s="70">
        <v>1644</v>
      </c>
      <c r="FN86" s="70"/>
      <c r="FO86" s="70" t="s">
        <v>2018</v>
      </c>
      <c r="FP86" s="70">
        <v>20</v>
      </c>
      <c r="FQ86" s="70">
        <v>10</v>
      </c>
      <c r="FR86" s="70">
        <v>4</v>
      </c>
      <c r="FS86" s="70">
        <v>1</v>
      </c>
      <c r="FT86" s="70">
        <v>4</v>
      </c>
      <c r="FU86" s="70">
        <v>39</v>
      </c>
    </row>
    <row r="87" spans="2:177">
      <c r="B87" s="64" t="s">
        <v>869</v>
      </c>
      <c r="C87" s="64" t="s">
        <v>2018</v>
      </c>
      <c r="D87" s="64">
        <v>502</v>
      </c>
      <c r="E87" s="64">
        <v>527</v>
      </c>
      <c r="F87" s="64">
        <v>641</v>
      </c>
      <c r="G87" s="64">
        <v>787</v>
      </c>
      <c r="H87" s="64">
        <v>621</v>
      </c>
      <c r="I87" s="64">
        <v>3078</v>
      </c>
      <c r="K87" s="64" t="s">
        <v>2018</v>
      </c>
      <c r="L87" s="64">
        <v>99</v>
      </c>
      <c r="M87" s="64">
        <v>12</v>
      </c>
      <c r="N87" s="64">
        <v>5</v>
      </c>
      <c r="O87" s="64">
        <v>0</v>
      </c>
      <c r="P87" s="64">
        <v>1</v>
      </c>
      <c r="Q87" s="64">
        <v>117</v>
      </c>
      <c r="T87" s="65" t="s">
        <v>1906</v>
      </c>
      <c r="U87" s="65" t="s">
        <v>2028</v>
      </c>
      <c r="V87" s="65">
        <v>122</v>
      </c>
      <c r="W87" s="65">
        <v>210</v>
      </c>
      <c r="X87" s="65">
        <v>279</v>
      </c>
      <c r="Y87" s="65">
        <v>360</v>
      </c>
      <c r="Z87" s="65">
        <v>258</v>
      </c>
      <c r="AA87" s="65">
        <v>1229</v>
      </c>
      <c r="AB87" s="65"/>
      <c r="AC87" s="65" t="s">
        <v>2028</v>
      </c>
      <c r="AD87" s="65">
        <v>13</v>
      </c>
      <c r="AE87" s="65">
        <v>3</v>
      </c>
      <c r="AF87" s="65">
        <v>0</v>
      </c>
      <c r="AG87" s="65">
        <v>0</v>
      </c>
      <c r="AH87" s="65">
        <v>0</v>
      </c>
      <c r="AI87" s="65">
        <v>16</v>
      </c>
      <c r="AK87" s="66" t="s">
        <v>1935</v>
      </c>
      <c r="AL87" s="66" t="s">
        <v>2018</v>
      </c>
      <c r="AM87" s="66">
        <v>224</v>
      </c>
      <c r="AN87" s="66">
        <v>301</v>
      </c>
      <c r="AO87" s="66">
        <v>452</v>
      </c>
      <c r="AP87" s="66">
        <v>632</v>
      </c>
      <c r="AQ87" s="66">
        <v>421</v>
      </c>
      <c r="AR87" s="66">
        <v>2030</v>
      </c>
      <c r="AS87" s="66"/>
      <c r="AT87" s="66" t="s">
        <v>2018</v>
      </c>
      <c r="AU87" s="66">
        <v>32</v>
      </c>
      <c r="AV87" s="66">
        <v>1</v>
      </c>
      <c r="AW87" s="66">
        <v>0</v>
      </c>
      <c r="AX87" s="66">
        <v>0</v>
      </c>
      <c r="AY87" s="66">
        <v>0</v>
      </c>
      <c r="AZ87" s="66">
        <v>33</v>
      </c>
      <c r="BB87" s="69" t="s">
        <v>1229</v>
      </c>
      <c r="BC87" s="69" t="s">
        <v>2018</v>
      </c>
      <c r="BD87" s="69">
        <v>65</v>
      </c>
      <c r="BE87" s="69">
        <v>29</v>
      </c>
      <c r="BF87" s="69">
        <v>83</v>
      </c>
      <c r="BG87" s="69">
        <v>153</v>
      </c>
      <c r="BH87" s="69">
        <v>146</v>
      </c>
      <c r="BI87" s="69">
        <v>476</v>
      </c>
      <c r="BJ87" s="69"/>
      <c r="BK87" s="69" t="s">
        <v>2018</v>
      </c>
      <c r="BL87" s="69">
        <v>16</v>
      </c>
      <c r="BM87" s="69">
        <v>0</v>
      </c>
      <c r="BN87" s="69">
        <v>0</v>
      </c>
      <c r="BO87" s="69">
        <v>0</v>
      </c>
      <c r="BP87" s="69">
        <v>0</v>
      </c>
      <c r="BQ87" s="69">
        <v>16</v>
      </c>
      <c r="BS87" s="70" t="s">
        <v>1425</v>
      </c>
      <c r="BT87" s="70" t="s">
        <v>2032</v>
      </c>
      <c r="BU87" s="70">
        <v>1176</v>
      </c>
      <c r="BV87" s="70">
        <v>479</v>
      </c>
      <c r="BW87" s="70">
        <v>477</v>
      </c>
      <c r="BX87" s="70">
        <v>685</v>
      </c>
      <c r="BY87" s="70">
        <v>546</v>
      </c>
      <c r="BZ87" s="70">
        <v>3363</v>
      </c>
      <c r="CA87" s="70"/>
      <c r="CB87" s="70" t="s">
        <v>2032</v>
      </c>
      <c r="CC87" s="70">
        <v>340</v>
      </c>
      <c r="CD87" s="70">
        <v>0</v>
      </c>
      <c r="CE87" s="70">
        <v>0</v>
      </c>
      <c r="CF87" s="70">
        <v>0</v>
      </c>
      <c r="CG87" s="70">
        <v>0</v>
      </c>
      <c r="CH87" s="70">
        <v>340</v>
      </c>
      <c r="CJ87" s="21"/>
      <c r="CL87" s="57" t="s">
        <v>571</v>
      </c>
      <c r="CM87" s="57" t="s">
        <v>2018</v>
      </c>
      <c r="CN87" s="57">
        <v>33</v>
      </c>
      <c r="CO87" s="57">
        <v>47</v>
      </c>
      <c r="CP87" s="57">
        <v>68</v>
      </c>
      <c r="CQ87" s="57">
        <v>105</v>
      </c>
      <c r="CR87" s="57">
        <v>95</v>
      </c>
      <c r="CS87" s="57">
        <v>348</v>
      </c>
      <c r="CT87" s="57"/>
      <c r="CU87" s="57" t="s">
        <v>2018</v>
      </c>
      <c r="CV87" s="57">
        <v>11</v>
      </c>
      <c r="CW87" s="57">
        <v>0</v>
      </c>
      <c r="CX87" s="57">
        <v>0</v>
      </c>
      <c r="CY87" s="57">
        <v>0</v>
      </c>
      <c r="CZ87" s="57">
        <v>0</v>
      </c>
      <c r="DA87" s="57">
        <v>11</v>
      </c>
      <c r="DD87" s="77" t="s">
        <v>1594</v>
      </c>
      <c r="DE87" s="77" t="s">
        <v>2098</v>
      </c>
      <c r="DF87" s="77">
        <v>124</v>
      </c>
      <c r="DG87" s="77">
        <v>191</v>
      </c>
      <c r="DH87" s="77">
        <v>246</v>
      </c>
      <c r="DI87" s="77">
        <v>273</v>
      </c>
      <c r="DJ87" s="77">
        <v>273</v>
      </c>
      <c r="DK87" s="77">
        <v>1107</v>
      </c>
      <c r="DL87" s="77"/>
      <c r="DM87" s="77" t="s">
        <v>2098</v>
      </c>
      <c r="DN87" s="77">
        <v>18</v>
      </c>
      <c r="DO87" s="77">
        <v>0</v>
      </c>
      <c r="DP87" s="77">
        <v>0</v>
      </c>
      <c r="DQ87" s="77">
        <v>0</v>
      </c>
      <c r="DR87" s="77">
        <v>0</v>
      </c>
      <c r="DS87" s="77">
        <v>18</v>
      </c>
      <c r="DU87" s="16" t="s">
        <v>1658</v>
      </c>
      <c r="DV87" s="79" t="s">
        <v>2691</v>
      </c>
      <c r="DW87" s="79" t="s">
        <v>2032</v>
      </c>
      <c r="DX87" s="79">
        <v>175</v>
      </c>
      <c r="DY87" s="79">
        <v>215</v>
      </c>
      <c r="DZ87" s="79">
        <v>298</v>
      </c>
      <c r="EA87" s="79">
        <v>397</v>
      </c>
      <c r="EB87" s="79">
        <v>279</v>
      </c>
      <c r="EC87" s="79">
        <v>1364</v>
      </c>
      <c r="ED87" s="79"/>
      <c r="EE87" s="79" t="s">
        <v>2032</v>
      </c>
      <c r="EF87" s="79">
        <v>12</v>
      </c>
      <c r="EG87" s="79">
        <v>0</v>
      </c>
      <c r="EH87" s="79">
        <v>0</v>
      </c>
      <c r="EI87" s="79">
        <v>0</v>
      </c>
      <c r="EJ87" s="79">
        <v>0</v>
      </c>
      <c r="EK87" s="79">
        <v>12</v>
      </c>
      <c r="EN87" s="57" t="s">
        <v>1734</v>
      </c>
      <c r="EO87" s="57" t="s">
        <v>2028</v>
      </c>
      <c r="EP87" s="57">
        <v>517</v>
      </c>
      <c r="EQ87" s="57">
        <v>586</v>
      </c>
      <c r="ER87" s="57">
        <v>664</v>
      </c>
      <c r="ES87" s="57">
        <v>774</v>
      </c>
      <c r="ET87" s="57">
        <v>925</v>
      </c>
      <c r="EU87" s="57">
        <v>3466</v>
      </c>
      <c r="EV87" s="57"/>
      <c r="EW87" s="57" t="s">
        <v>2028</v>
      </c>
      <c r="EX87" s="57">
        <v>62</v>
      </c>
      <c r="EY87" s="57">
        <v>26</v>
      </c>
      <c r="EZ87" s="57">
        <v>11</v>
      </c>
      <c r="FA87" s="57">
        <v>11</v>
      </c>
      <c r="FB87" s="57">
        <v>16</v>
      </c>
      <c r="FC87" s="57">
        <v>126</v>
      </c>
      <c r="FF87" s="70" t="s">
        <v>1867</v>
      </c>
      <c r="FG87" s="70" t="s">
        <v>2018</v>
      </c>
      <c r="FH87" s="70">
        <v>117</v>
      </c>
      <c r="FI87" s="70">
        <v>161</v>
      </c>
      <c r="FJ87" s="70">
        <v>262</v>
      </c>
      <c r="FK87" s="70">
        <v>291</v>
      </c>
      <c r="FL87" s="70">
        <v>408</v>
      </c>
      <c r="FM87" s="70">
        <v>1239</v>
      </c>
      <c r="FN87" s="70"/>
      <c r="FO87" s="70" t="s">
        <v>2018</v>
      </c>
      <c r="FP87" s="70">
        <v>24</v>
      </c>
      <c r="FQ87" s="70">
        <v>8</v>
      </c>
      <c r="FR87" s="70">
        <v>3</v>
      </c>
      <c r="FS87" s="70">
        <v>3</v>
      </c>
      <c r="FT87" s="70">
        <v>2</v>
      </c>
      <c r="FU87" s="70">
        <v>40</v>
      </c>
    </row>
    <row r="88" spans="2:177">
      <c r="B88" s="64" t="s">
        <v>874</v>
      </c>
      <c r="C88" s="64" t="s">
        <v>2018</v>
      </c>
      <c r="D88" s="64">
        <v>217</v>
      </c>
      <c r="E88" s="64">
        <v>390</v>
      </c>
      <c r="F88" s="64">
        <v>527</v>
      </c>
      <c r="G88" s="64">
        <v>561</v>
      </c>
      <c r="H88" s="64">
        <v>425</v>
      </c>
      <c r="I88" s="64">
        <v>2120</v>
      </c>
      <c r="K88" s="64" t="s">
        <v>2018</v>
      </c>
      <c r="L88" s="64">
        <v>29</v>
      </c>
      <c r="M88" s="64">
        <v>11</v>
      </c>
      <c r="N88" s="64">
        <v>6</v>
      </c>
      <c r="O88" s="64">
        <v>0</v>
      </c>
      <c r="P88" s="64">
        <v>0</v>
      </c>
      <c r="Q88" s="64">
        <v>46</v>
      </c>
      <c r="T88" s="65" t="s">
        <v>1017</v>
      </c>
      <c r="U88" s="65" t="s">
        <v>2028</v>
      </c>
      <c r="V88" s="65">
        <v>1101</v>
      </c>
      <c r="W88" s="65">
        <v>966</v>
      </c>
      <c r="X88" s="65">
        <v>1374</v>
      </c>
      <c r="Y88" s="65">
        <v>1713</v>
      </c>
      <c r="Z88" s="65">
        <v>1234</v>
      </c>
      <c r="AA88" s="65">
        <v>6388</v>
      </c>
      <c r="AB88" s="65"/>
      <c r="AC88" s="65" t="s">
        <v>2028</v>
      </c>
      <c r="AD88" s="65">
        <v>32</v>
      </c>
      <c r="AE88" s="65">
        <v>1</v>
      </c>
      <c r="AF88" s="65">
        <v>0</v>
      </c>
      <c r="AG88" s="65">
        <v>0</v>
      </c>
      <c r="AH88" s="65">
        <v>0</v>
      </c>
      <c r="AI88" s="65">
        <v>33</v>
      </c>
      <c r="AK88" s="66" t="s">
        <v>1919</v>
      </c>
      <c r="AL88" s="66" t="s">
        <v>2018</v>
      </c>
      <c r="AM88" s="66">
        <v>80</v>
      </c>
      <c r="AN88" s="66">
        <v>176</v>
      </c>
      <c r="AO88" s="66">
        <v>308</v>
      </c>
      <c r="AP88" s="66">
        <v>443</v>
      </c>
      <c r="AQ88" s="66">
        <v>393</v>
      </c>
      <c r="AR88" s="66">
        <v>1400</v>
      </c>
      <c r="AS88" s="66"/>
      <c r="AT88" s="66" t="s">
        <v>2018</v>
      </c>
      <c r="AU88" s="66">
        <v>12</v>
      </c>
      <c r="AV88" s="66">
        <v>6</v>
      </c>
      <c r="AW88" s="66">
        <v>0</v>
      </c>
      <c r="AX88" s="66">
        <v>0</v>
      </c>
      <c r="AY88" s="66">
        <v>0</v>
      </c>
      <c r="AZ88" s="66">
        <v>18</v>
      </c>
      <c r="BB88" s="69" t="s">
        <v>1233</v>
      </c>
      <c r="BC88" s="69" t="s">
        <v>2018</v>
      </c>
      <c r="BD88" s="69">
        <v>501</v>
      </c>
      <c r="BE88" s="69">
        <v>384</v>
      </c>
      <c r="BF88" s="69">
        <v>384</v>
      </c>
      <c r="BG88" s="69">
        <v>415</v>
      </c>
      <c r="BH88" s="69">
        <v>375</v>
      </c>
      <c r="BI88" s="69">
        <v>2059</v>
      </c>
      <c r="BJ88" s="69"/>
      <c r="BK88" s="69" t="s">
        <v>2018</v>
      </c>
      <c r="BL88" s="69">
        <v>27</v>
      </c>
      <c r="BM88" s="69">
        <v>0</v>
      </c>
      <c r="BN88" s="69">
        <v>0</v>
      </c>
      <c r="BO88" s="69">
        <v>0</v>
      </c>
      <c r="BP88" s="69">
        <v>0</v>
      </c>
      <c r="BQ88" s="69">
        <v>27</v>
      </c>
      <c r="BS88" s="70" t="s">
        <v>1428</v>
      </c>
      <c r="BT88" s="70" t="s">
        <v>2032</v>
      </c>
      <c r="BU88" s="70">
        <v>130</v>
      </c>
      <c r="BV88" s="70">
        <v>133</v>
      </c>
      <c r="BW88" s="70">
        <v>285</v>
      </c>
      <c r="BX88" s="70">
        <v>384</v>
      </c>
      <c r="BY88" s="70">
        <v>300</v>
      </c>
      <c r="BZ88" s="70">
        <v>1232</v>
      </c>
      <c r="CA88" s="70"/>
      <c r="CB88" s="70" t="s">
        <v>2032</v>
      </c>
      <c r="CC88" s="70">
        <v>35</v>
      </c>
      <c r="CD88" s="70">
        <v>0</v>
      </c>
      <c r="CE88" s="70">
        <v>0</v>
      </c>
      <c r="CF88" s="70">
        <v>0</v>
      </c>
      <c r="CG88" s="70">
        <v>0</v>
      </c>
      <c r="CH88" s="70">
        <v>35</v>
      </c>
      <c r="CJ88" s="21"/>
      <c r="CL88" s="57" t="s">
        <v>573</v>
      </c>
      <c r="CM88" s="57" t="s">
        <v>2018</v>
      </c>
      <c r="CN88" s="57">
        <v>50</v>
      </c>
      <c r="CO88" s="57">
        <v>62</v>
      </c>
      <c r="CP88" s="57">
        <v>90</v>
      </c>
      <c r="CQ88" s="57">
        <v>139</v>
      </c>
      <c r="CR88" s="57">
        <v>157</v>
      </c>
      <c r="CS88" s="57">
        <v>498</v>
      </c>
      <c r="CT88" s="57"/>
      <c r="CU88" s="57" t="s">
        <v>2018</v>
      </c>
      <c r="CV88" s="57">
        <v>14</v>
      </c>
      <c r="CW88" s="57">
        <v>1</v>
      </c>
      <c r="CX88" s="57">
        <v>0</v>
      </c>
      <c r="CY88" s="57">
        <v>0</v>
      </c>
      <c r="CZ88" s="57">
        <v>0</v>
      </c>
      <c r="DA88" s="57">
        <v>15</v>
      </c>
      <c r="DD88" s="77" t="s">
        <v>1597</v>
      </c>
      <c r="DE88" s="77" t="s">
        <v>2098</v>
      </c>
      <c r="DF88" s="77">
        <v>420</v>
      </c>
      <c r="DG88" s="77">
        <v>598</v>
      </c>
      <c r="DH88" s="77">
        <v>885</v>
      </c>
      <c r="DI88" s="77">
        <v>1105</v>
      </c>
      <c r="DJ88" s="77">
        <v>1012</v>
      </c>
      <c r="DK88" s="77">
        <v>4020</v>
      </c>
      <c r="DL88" s="77"/>
      <c r="DM88" s="77" t="s">
        <v>2098</v>
      </c>
      <c r="DN88" s="77">
        <v>21</v>
      </c>
      <c r="DO88" s="77">
        <v>2</v>
      </c>
      <c r="DP88" s="77">
        <v>2</v>
      </c>
      <c r="DQ88" s="77">
        <v>0</v>
      </c>
      <c r="DR88" s="77">
        <v>0</v>
      </c>
      <c r="DS88" s="77">
        <v>25</v>
      </c>
      <c r="DU88" s="16" t="s">
        <v>1661</v>
      </c>
      <c r="DV88" s="79" t="s">
        <v>2688</v>
      </c>
      <c r="DW88" s="79" t="s">
        <v>2032</v>
      </c>
      <c r="DX88" s="79">
        <v>173</v>
      </c>
      <c r="DY88" s="79">
        <v>246</v>
      </c>
      <c r="DZ88" s="79">
        <v>310</v>
      </c>
      <c r="EA88" s="79">
        <v>456</v>
      </c>
      <c r="EB88" s="79">
        <v>358</v>
      </c>
      <c r="EC88" s="79">
        <v>1543</v>
      </c>
      <c r="ED88" s="79"/>
      <c r="EE88" s="79" t="s">
        <v>2032</v>
      </c>
      <c r="EF88" s="79">
        <v>12</v>
      </c>
      <c r="EG88" s="79">
        <v>0</v>
      </c>
      <c r="EH88" s="79">
        <v>0</v>
      </c>
      <c r="EI88" s="79">
        <v>0</v>
      </c>
      <c r="EJ88" s="79">
        <v>0</v>
      </c>
      <c r="EK88" s="79">
        <v>12</v>
      </c>
      <c r="EN88" s="57" t="s">
        <v>1737</v>
      </c>
      <c r="EO88" s="57" t="s">
        <v>2028</v>
      </c>
      <c r="EP88" s="57">
        <v>240</v>
      </c>
      <c r="EQ88" s="57">
        <v>416</v>
      </c>
      <c r="ER88" s="57">
        <v>514</v>
      </c>
      <c r="ES88" s="57">
        <v>577</v>
      </c>
      <c r="ET88" s="57">
        <v>740</v>
      </c>
      <c r="EU88" s="57">
        <v>2487</v>
      </c>
      <c r="EV88" s="57"/>
      <c r="EW88" s="57" t="s">
        <v>2028</v>
      </c>
      <c r="EX88" s="57">
        <v>58</v>
      </c>
      <c r="EY88" s="57">
        <v>26</v>
      </c>
      <c r="EZ88" s="57">
        <v>10</v>
      </c>
      <c r="FA88" s="57">
        <v>19</v>
      </c>
      <c r="FB88" s="57">
        <v>9</v>
      </c>
      <c r="FC88" s="57">
        <v>122</v>
      </c>
      <c r="FF88" s="70" t="s">
        <v>1869</v>
      </c>
      <c r="FG88" s="70" t="s">
        <v>2018</v>
      </c>
      <c r="FH88" s="70">
        <v>497</v>
      </c>
      <c r="FI88" s="70">
        <v>529</v>
      </c>
      <c r="FJ88" s="70">
        <v>428</v>
      </c>
      <c r="FK88" s="70">
        <v>462</v>
      </c>
      <c r="FL88" s="70">
        <v>530</v>
      </c>
      <c r="FM88" s="70">
        <v>2446</v>
      </c>
      <c r="FN88" s="70"/>
      <c r="FO88" s="70" t="s">
        <v>2018</v>
      </c>
      <c r="FP88" s="70">
        <v>54</v>
      </c>
      <c r="FQ88" s="70">
        <v>22</v>
      </c>
      <c r="FR88" s="70">
        <v>6</v>
      </c>
      <c r="FS88" s="70">
        <v>8</v>
      </c>
      <c r="FT88" s="70">
        <v>0</v>
      </c>
      <c r="FU88" s="70">
        <v>90</v>
      </c>
    </row>
    <row r="89" spans="2:177">
      <c r="B89" s="64" t="s">
        <v>878</v>
      </c>
      <c r="C89" s="64" t="s">
        <v>2018</v>
      </c>
      <c r="D89" s="64">
        <v>540</v>
      </c>
      <c r="E89" s="64">
        <v>614</v>
      </c>
      <c r="F89" s="64">
        <v>637</v>
      </c>
      <c r="G89" s="64">
        <v>611</v>
      </c>
      <c r="H89" s="64">
        <v>400</v>
      </c>
      <c r="I89" s="64">
        <v>2802</v>
      </c>
      <c r="K89" s="64" t="s">
        <v>2018</v>
      </c>
      <c r="L89" s="64">
        <v>80</v>
      </c>
      <c r="M89" s="64">
        <v>8</v>
      </c>
      <c r="N89" s="64">
        <v>2</v>
      </c>
      <c r="O89" s="64">
        <v>0</v>
      </c>
      <c r="P89" s="64">
        <v>1</v>
      </c>
      <c r="Q89" s="64">
        <v>91</v>
      </c>
      <c r="T89" s="65" t="s">
        <v>1907</v>
      </c>
      <c r="U89" s="65" t="s">
        <v>2028</v>
      </c>
      <c r="V89" s="65">
        <v>201</v>
      </c>
      <c r="W89" s="65">
        <v>250</v>
      </c>
      <c r="X89" s="65">
        <v>374</v>
      </c>
      <c r="Y89" s="65">
        <v>451</v>
      </c>
      <c r="Z89" s="65">
        <v>374</v>
      </c>
      <c r="AA89" s="65">
        <v>1650</v>
      </c>
      <c r="AB89" s="65"/>
      <c r="AC89" s="65" t="s">
        <v>2028</v>
      </c>
      <c r="AD89" s="65">
        <v>21</v>
      </c>
      <c r="AE89" s="65">
        <v>3</v>
      </c>
      <c r="AF89" s="65">
        <v>1</v>
      </c>
      <c r="AG89" s="65">
        <v>0</v>
      </c>
      <c r="AH89" s="65">
        <v>0</v>
      </c>
      <c r="AI89" s="65">
        <v>25</v>
      </c>
      <c r="AK89" s="66" t="s">
        <v>1938</v>
      </c>
      <c r="AL89" s="66" t="s">
        <v>2018</v>
      </c>
      <c r="AM89" s="66">
        <v>56</v>
      </c>
      <c r="AN89" s="66">
        <v>102</v>
      </c>
      <c r="AO89" s="66">
        <v>156</v>
      </c>
      <c r="AP89" s="66">
        <v>182</v>
      </c>
      <c r="AQ89" s="66">
        <v>139</v>
      </c>
      <c r="AR89" s="66">
        <v>635</v>
      </c>
      <c r="AS89" s="66"/>
      <c r="AT89" s="66" t="s">
        <v>2018</v>
      </c>
      <c r="AU89" s="66">
        <v>8</v>
      </c>
      <c r="AV89" s="66">
        <v>6</v>
      </c>
      <c r="AW89" s="66">
        <v>1</v>
      </c>
      <c r="AX89" s="66">
        <v>2</v>
      </c>
      <c r="AY89" s="66">
        <v>0</v>
      </c>
      <c r="AZ89" s="66">
        <v>17</v>
      </c>
      <c r="BB89" s="69" t="s">
        <v>1237</v>
      </c>
      <c r="BC89" s="69" t="s">
        <v>2018</v>
      </c>
      <c r="BD89" s="69">
        <v>235</v>
      </c>
      <c r="BE89" s="69">
        <v>198</v>
      </c>
      <c r="BF89" s="69">
        <v>325</v>
      </c>
      <c r="BG89" s="69">
        <v>387</v>
      </c>
      <c r="BH89" s="69">
        <v>311</v>
      </c>
      <c r="BI89" s="69">
        <v>1456</v>
      </c>
      <c r="BJ89" s="69"/>
      <c r="BK89" s="69" t="s">
        <v>2018</v>
      </c>
      <c r="BL89" s="69">
        <v>19</v>
      </c>
      <c r="BM89" s="69">
        <v>0</v>
      </c>
      <c r="BN89" s="69">
        <v>0</v>
      </c>
      <c r="BO89" s="69">
        <v>0</v>
      </c>
      <c r="BP89" s="69">
        <v>0</v>
      </c>
      <c r="BQ89" s="69">
        <v>19</v>
      </c>
      <c r="BS89" s="70" t="s">
        <v>1430</v>
      </c>
      <c r="BT89" s="70" t="s">
        <v>2032</v>
      </c>
      <c r="BU89" s="70">
        <v>185</v>
      </c>
      <c r="BV89" s="70">
        <v>147</v>
      </c>
      <c r="BW89" s="70">
        <v>206</v>
      </c>
      <c r="BX89" s="70">
        <v>300</v>
      </c>
      <c r="BY89" s="70">
        <v>259</v>
      </c>
      <c r="BZ89" s="70">
        <v>1097</v>
      </c>
      <c r="CA89" s="70"/>
      <c r="CB89" s="70" t="s">
        <v>2032</v>
      </c>
      <c r="CC89" s="70">
        <v>45</v>
      </c>
      <c r="CD89" s="70">
        <v>0</v>
      </c>
      <c r="CE89" s="70">
        <v>0</v>
      </c>
      <c r="CF89" s="70">
        <v>0</v>
      </c>
      <c r="CG89" s="70">
        <v>0</v>
      </c>
      <c r="CH89" s="70">
        <v>45</v>
      </c>
      <c r="CJ89" s="21"/>
      <c r="DD89" s="77" t="s">
        <v>1600</v>
      </c>
      <c r="DE89" s="77" t="s">
        <v>2098</v>
      </c>
      <c r="DF89" s="77">
        <v>517</v>
      </c>
      <c r="DG89" s="77">
        <v>680</v>
      </c>
      <c r="DH89" s="77">
        <v>731</v>
      </c>
      <c r="DI89" s="77">
        <v>939</v>
      </c>
      <c r="DJ89" s="77">
        <v>790</v>
      </c>
      <c r="DK89" s="77">
        <v>3657</v>
      </c>
      <c r="DL89" s="77"/>
      <c r="DM89" s="77" t="s">
        <v>2098</v>
      </c>
      <c r="DN89" s="77">
        <v>26</v>
      </c>
      <c r="DO89" s="77">
        <v>2</v>
      </c>
      <c r="DP89" s="77">
        <v>0</v>
      </c>
      <c r="DQ89" s="77">
        <v>0</v>
      </c>
      <c r="DR89" s="77">
        <v>0</v>
      </c>
      <c r="DS89" s="77">
        <v>28</v>
      </c>
      <c r="DU89" s="16" t="s">
        <v>1664</v>
      </c>
      <c r="DV89" s="79" t="s">
        <v>1664</v>
      </c>
      <c r="DW89" s="79" t="s">
        <v>2032</v>
      </c>
      <c r="DX89" s="79">
        <v>2268</v>
      </c>
      <c r="DY89" s="79">
        <v>1000</v>
      </c>
      <c r="DZ89" s="79">
        <v>837</v>
      </c>
      <c r="EA89" s="79">
        <v>847</v>
      </c>
      <c r="EB89" s="79">
        <v>999</v>
      </c>
      <c r="EC89" s="79">
        <v>5951</v>
      </c>
      <c r="ED89" s="79"/>
      <c r="EE89" s="79" t="s">
        <v>2032</v>
      </c>
      <c r="EF89" s="79">
        <v>355</v>
      </c>
      <c r="EG89" s="79">
        <v>29</v>
      </c>
      <c r="EH89" s="79">
        <v>0</v>
      </c>
      <c r="EI89" s="79">
        <v>0</v>
      </c>
      <c r="EJ89" s="79">
        <v>0</v>
      </c>
      <c r="EK89" s="79">
        <v>384</v>
      </c>
      <c r="EN89" s="57" t="s">
        <v>1740</v>
      </c>
      <c r="EO89" s="57" t="s">
        <v>2028</v>
      </c>
      <c r="EP89" s="57">
        <v>131</v>
      </c>
      <c r="EQ89" s="57">
        <v>260</v>
      </c>
      <c r="ER89" s="57">
        <v>293</v>
      </c>
      <c r="ES89" s="57">
        <v>387</v>
      </c>
      <c r="ET89" s="57">
        <v>421</v>
      </c>
      <c r="EU89" s="57">
        <v>1492</v>
      </c>
      <c r="EV89" s="57"/>
      <c r="EW89" s="57" t="s">
        <v>2028</v>
      </c>
      <c r="EX89" s="57">
        <v>8</v>
      </c>
      <c r="EY89" s="57">
        <v>2</v>
      </c>
      <c r="EZ89" s="57">
        <v>3</v>
      </c>
      <c r="FA89" s="57">
        <v>0</v>
      </c>
      <c r="FB89" s="57">
        <v>0</v>
      </c>
      <c r="FC89" s="57">
        <v>13</v>
      </c>
      <c r="FF89" s="70" t="s">
        <v>2010</v>
      </c>
      <c r="FG89" s="70" t="s">
        <v>2018</v>
      </c>
      <c r="FH89" s="70">
        <v>238</v>
      </c>
      <c r="FI89" s="70">
        <v>359</v>
      </c>
      <c r="FJ89" s="70">
        <v>455</v>
      </c>
      <c r="FK89" s="70">
        <v>554</v>
      </c>
      <c r="FL89" s="70">
        <v>713</v>
      </c>
      <c r="FM89" s="70">
        <v>2319</v>
      </c>
      <c r="FN89" s="70"/>
      <c r="FO89" s="70" t="s">
        <v>2018</v>
      </c>
      <c r="FP89" s="70">
        <v>24</v>
      </c>
      <c r="FQ89" s="70">
        <v>4</v>
      </c>
      <c r="FR89" s="70">
        <v>4</v>
      </c>
      <c r="FS89" s="70">
        <v>3</v>
      </c>
      <c r="FT89" s="70">
        <v>4</v>
      </c>
      <c r="FU89" s="70">
        <v>39</v>
      </c>
    </row>
    <row r="90" spans="2:177">
      <c r="B90" s="64" t="s">
        <v>882</v>
      </c>
      <c r="C90" s="64" t="s">
        <v>2018</v>
      </c>
      <c r="D90" s="64">
        <v>687</v>
      </c>
      <c r="E90" s="64">
        <v>585</v>
      </c>
      <c r="F90" s="64">
        <v>711</v>
      </c>
      <c r="G90" s="64">
        <v>740</v>
      </c>
      <c r="H90" s="64">
        <v>484</v>
      </c>
      <c r="I90" s="64">
        <v>3207</v>
      </c>
      <c r="K90" s="64" t="s">
        <v>2018</v>
      </c>
      <c r="L90" s="64">
        <v>123</v>
      </c>
      <c r="M90" s="64">
        <v>8</v>
      </c>
      <c r="N90" s="64">
        <v>5</v>
      </c>
      <c r="O90" s="64">
        <v>4</v>
      </c>
      <c r="P90" s="64">
        <v>1</v>
      </c>
      <c r="Q90" s="64">
        <v>141</v>
      </c>
      <c r="T90" s="65" t="s">
        <v>2025</v>
      </c>
      <c r="U90" s="65" t="s">
        <v>2028</v>
      </c>
      <c r="V90" s="65">
        <v>192</v>
      </c>
      <c r="W90" s="65">
        <v>371</v>
      </c>
      <c r="X90" s="65">
        <v>621</v>
      </c>
      <c r="Y90" s="65">
        <v>713</v>
      </c>
      <c r="Z90" s="65">
        <v>479</v>
      </c>
      <c r="AA90" s="65">
        <v>2376</v>
      </c>
      <c r="AB90" s="65"/>
      <c r="AC90" s="65" t="s">
        <v>2028</v>
      </c>
      <c r="AD90" s="65">
        <v>9</v>
      </c>
      <c r="AE90" s="65">
        <v>1</v>
      </c>
      <c r="AF90" s="65">
        <v>1</v>
      </c>
      <c r="AG90" s="65">
        <v>0</v>
      </c>
      <c r="AH90" s="65">
        <v>0</v>
      </c>
      <c r="AI90" s="65">
        <v>11</v>
      </c>
      <c r="AK90" s="66" t="s">
        <v>1933</v>
      </c>
      <c r="AL90" s="66" t="s">
        <v>2018</v>
      </c>
      <c r="AM90" s="66">
        <v>121</v>
      </c>
      <c r="AN90" s="66">
        <v>146</v>
      </c>
      <c r="AO90" s="66">
        <v>232</v>
      </c>
      <c r="AP90" s="66">
        <v>340</v>
      </c>
      <c r="AQ90" s="66">
        <v>292</v>
      </c>
      <c r="AR90" s="66">
        <v>1131</v>
      </c>
      <c r="AS90" s="66"/>
      <c r="AT90" s="66" t="s">
        <v>2018</v>
      </c>
      <c r="AU90" s="66">
        <v>50</v>
      </c>
      <c r="AV90" s="66">
        <v>0</v>
      </c>
      <c r="AW90" s="66">
        <v>2</v>
      </c>
      <c r="AX90" s="66">
        <v>0</v>
      </c>
      <c r="AY90" s="66">
        <v>2</v>
      </c>
      <c r="AZ90" s="66">
        <v>54</v>
      </c>
      <c r="BB90" s="69" t="s">
        <v>1241</v>
      </c>
      <c r="BC90" s="69" t="s">
        <v>2018</v>
      </c>
      <c r="BD90" s="69">
        <v>118</v>
      </c>
      <c r="BE90" s="69">
        <v>157</v>
      </c>
      <c r="BF90" s="69">
        <v>280</v>
      </c>
      <c r="BG90" s="69">
        <v>322</v>
      </c>
      <c r="BH90" s="69">
        <v>270</v>
      </c>
      <c r="BI90" s="69">
        <v>1147</v>
      </c>
      <c r="BJ90" s="69"/>
      <c r="BK90" s="69" t="s">
        <v>2018</v>
      </c>
      <c r="BL90" s="69">
        <v>11</v>
      </c>
      <c r="BM90" s="69">
        <v>0</v>
      </c>
      <c r="BN90" s="69">
        <v>0</v>
      </c>
      <c r="BO90" s="69">
        <v>0</v>
      </c>
      <c r="BP90" s="69">
        <v>0</v>
      </c>
      <c r="BQ90" s="69">
        <v>11</v>
      </c>
      <c r="BS90" s="70" t="s">
        <v>1433</v>
      </c>
      <c r="BT90" s="70" t="s">
        <v>2032</v>
      </c>
      <c r="BU90" s="70">
        <v>119</v>
      </c>
      <c r="BV90" s="70">
        <v>48</v>
      </c>
      <c r="BW90" s="70">
        <v>91</v>
      </c>
      <c r="BX90" s="70">
        <v>171</v>
      </c>
      <c r="BY90" s="70">
        <v>211</v>
      </c>
      <c r="BZ90" s="70">
        <v>640</v>
      </c>
      <c r="CA90" s="70"/>
      <c r="CB90" s="70" t="s">
        <v>2032</v>
      </c>
      <c r="CC90" s="70">
        <v>20</v>
      </c>
      <c r="CD90" s="70">
        <v>0</v>
      </c>
      <c r="CE90" s="70">
        <v>0</v>
      </c>
      <c r="CF90" s="70">
        <v>0</v>
      </c>
      <c r="CG90" s="70">
        <v>0</v>
      </c>
      <c r="CH90" s="70">
        <v>20</v>
      </c>
      <c r="CJ90" s="21"/>
      <c r="CL90" s="57" t="s">
        <v>474</v>
      </c>
      <c r="CM90" s="57" t="s">
        <v>2028</v>
      </c>
      <c r="CN90" s="57">
        <v>110</v>
      </c>
      <c r="CO90" s="57">
        <v>66</v>
      </c>
      <c r="CP90" s="57">
        <v>116</v>
      </c>
      <c r="CQ90" s="57">
        <v>187</v>
      </c>
      <c r="CR90" s="57">
        <v>195</v>
      </c>
      <c r="CS90" s="57">
        <v>674</v>
      </c>
      <c r="CT90" s="57"/>
      <c r="CU90" s="57" t="s">
        <v>2028</v>
      </c>
      <c r="CV90" s="57">
        <v>41</v>
      </c>
      <c r="CW90" s="57">
        <v>0</v>
      </c>
      <c r="CX90" s="57">
        <v>0</v>
      </c>
      <c r="CY90" s="57">
        <v>0</v>
      </c>
      <c r="CZ90" s="57">
        <v>0</v>
      </c>
      <c r="DA90" s="57">
        <v>41</v>
      </c>
      <c r="DD90" s="77" t="s">
        <v>1603</v>
      </c>
      <c r="DE90" s="77" t="s">
        <v>2098</v>
      </c>
      <c r="DF90" s="77">
        <v>111</v>
      </c>
      <c r="DG90" s="77">
        <v>244</v>
      </c>
      <c r="DH90" s="77">
        <v>391</v>
      </c>
      <c r="DI90" s="77">
        <v>527</v>
      </c>
      <c r="DJ90" s="77">
        <v>457</v>
      </c>
      <c r="DK90" s="77">
        <v>1730</v>
      </c>
      <c r="DL90" s="77"/>
      <c r="DM90" s="77" t="s">
        <v>2098</v>
      </c>
      <c r="DN90" s="77">
        <v>0</v>
      </c>
      <c r="DO90" s="77">
        <v>6</v>
      </c>
      <c r="DP90" s="77">
        <v>5</v>
      </c>
      <c r="DQ90" s="77">
        <v>3</v>
      </c>
      <c r="DR90" s="77">
        <v>4</v>
      </c>
      <c r="DS90" s="77">
        <v>18</v>
      </c>
      <c r="DU90" s="16" t="s">
        <v>1667</v>
      </c>
      <c r="DV90" s="79" t="s">
        <v>2697</v>
      </c>
      <c r="DW90" s="79" t="s">
        <v>2032</v>
      </c>
      <c r="DX90" s="79">
        <v>197</v>
      </c>
      <c r="DY90" s="79">
        <v>220</v>
      </c>
      <c r="DZ90" s="79">
        <v>339</v>
      </c>
      <c r="EA90" s="79">
        <v>371</v>
      </c>
      <c r="EB90" s="79">
        <v>248</v>
      </c>
      <c r="EC90" s="79">
        <v>1375</v>
      </c>
      <c r="ED90" s="79"/>
      <c r="EE90" s="79" t="s">
        <v>2032</v>
      </c>
      <c r="EF90" s="79">
        <v>19</v>
      </c>
      <c r="EG90" s="79">
        <v>2</v>
      </c>
      <c r="EH90" s="79">
        <v>0</v>
      </c>
      <c r="EI90" s="79">
        <v>0</v>
      </c>
      <c r="EJ90" s="79">
        <v>0</v>
      </c>
      <c r="EK90" s="79">
        <v>21</v>
      </c>
      <c r="EN90" s="57" t="s">
        <v>1995</v>
      </c>
      <c r="EO90" s="57" t="s">
        <v>2028</v>
      </c>
      <c r="EP90" s="57">
        <v>20</v>
      </c>
      <c r="EQ90" s="57">
        <v>52</v>
      </c>
      <c r="ER90" s="57">
        <v>82</v>
      </c>
      <c r="ES90" s="57">
        <v>139</v>
      </c>
      <c r="ET90" s="57">
        <v>162</v>
      </c>
      <c r="EU90" s="57">
        <v>455</v>
      </c>
      <c r="EV90" s="57"/>
      <c r="EW90" s="57" t="s">
        <v>2028</v>
      </c>
      <c r="EX90" s="57">
        <v>1</v>
      </c>
      <c r="EY90" s="57">
        <v>5</v>
      </c>
      <c r="EZ90" s="57">
        <v>0</v>
      </c>
      <c r="FA90" s="57">
        <v>1</v>
      </c>
      <c r="FB90" s="57">
        <v>0</v>
      </c>
      <c r="FC90" s="57">
        <v>7</v>
      </c>
      <c r="FF90" s="70" t="s">
        <v>2011</v>
      </c>
      <c r="FG90" s="70" t="s">
        <v>2018</v>
      </c>
      <c r="FH90" s="70">
        <v>226</v>
      </c>
      <c r="FI90" s="70">
        <v>307</v>
      </c>
      <c r="FJ90" s="70">
        <v>399</v>
      </c>
      <c r="FK90" s="70">
        <v>457</v>
      </c>
      <c r="FL90" s="70">
        <v>628</v>
      </c>
      <c r="FM90" s="70">
        <v>2017</v>
      </c>
      <c r="FN90" s="70"/>
      <c r="FO90" s="70" t="s">
        <v>2018</v>
      </c>
      <c r="FP90" s="70">
        <v>22</v>
      </c>
      <c r="FQ90" s="70">
        <v>7</v>
      </c>
      <c r="FR90" s="70">
        <v>1</v>
      </c>
      <c r="FS90" s="70">
        <v>2</v>
      </c>
      <c r="FT90" s="70">
        <v>7</v>
      </c>
      <c r="FU90" s="70">
        <v>39</v>
      </c>
    </row>
    <row r="91" spans="2:177">
      <c r="B91" s="64" t="s">
        <v>889</v>
      </c>
      <c r="C91" s="64" t="s">
        <v>2018</v>
      </c>
      <c r="D91" s="64">
        <v>182</v>
      </c>
      <c r="E91" s="64">
        <v>274</v>
      </c>
      <c r="F91" s="64">
        <v>339</v>
      </c>
      <c r="G91" s="64">
        <v>424</v>
      </c>
      <c r="H91" s="64">
        <v>327</v>
      </c>
      <c r="I91" s="64">
        <v>1546</v>
      </c>
      <c r="K91" s="64" t="s">
        <v>2018</v>
      </c>
      <c r="L91" s="64">
        <v>26</v>
      </c>
      <c r="M91" s="64">
        <v>4</v>
      </c>
      <c r="N91" s="64">
        <v>3</v>
      </c>
      <c r="O91" s="64">
        <v>2</v>
      </c>
      <c r="P91" s="64">
        <v>0</v>
      </c>
      <c r="Q91" s="64">
        <v>35</v>
      </c>
      <c r="T91" s="65" t="s">
        <v>1908</v>
      </c>
      <c r="U91" s="65" t="s">
        <v>2028</v>
      </c>
      <c r="V91" s="65">
        <v>203</v>
      </c>
      <c r="W91" s="65">
        <v>379</v>
      </c>
      <c r="X91" s="65">
        <v>557</v>
      </c>
      <c r="Y91" s="65">
        <v>669</v>
      </c>
      <c r="Z91" s="65">
        <v>454</v>
      </c>
      <c r="AA91" s="65">
        <v>2262</v>
      </c>
      <c r="AB91" s="65"/>
      <c r="AC91" s="65" t="s">
        <v>2028</v>
      </c>
      <c r="AD91" s="65">
        <v>9</v>
      </c>
      <c r="AE91" s="65">
        <v>1</v>
      </c>
      <c r="AF91" s="65">
        <v>0</v>
      </c>
      <c r="AG91" s="65">
        <v>0</v>
      </c>
      <c r="AH91" s="65">
        <v>0</v>
      </c>
      <c r="AI91" s="65">
        <v>10</v>
      </c>
      <c r="AK91" s="66" t="s">
        <v>1934</v>
      </c>
      <c r="AL91" s="66" t="s">
        <v>2018</v>
      </c>
      <c r="AM91" s="66">
        <v>188</v>
      </c>
      <c r="AN91" s="66">
        <v>314</v>
      </c>
      <c r="AO91" s="66">
        <v>511</v>
      </c>
      <c r="AP91" s="66">
        <v>698</v>
      </c>
      <c r="AQ91" s="66">
        <v>503</v>
      </c>
      <c r="AR91" s="66">
        <v>2214</v>
      </c>
      <c r="AS91" s="66"/>
      <c r="AT91" s="66" t="s">
        <v>2018</v>
      </c>
      <c r="AU91" s="66">
        <v>19</v>
      </c>
      <c r="AV91" s="66">
        <v>1</v>
      </c>
      <c r="AW91" s="66">
        <v>0</v>
      </c>
      <c r="AX91" s="66">
        <v>0</v>
      </c>
      <c r="AY91" s="66">
        <v>0</v>
      </c>
      <c r="AZ91" s="66">
        <v>20</v>
      </c>
      <c r="BB91" s="69" t="s">
        <v>330</v>
      </c>
      <c r="BC91" s="69" t="s">
        <v>2018</v>
      </c>
      <c r="BD91" s="69">
        <v>170</v>
      </c>
      <c r="BE91" s="69">
        <v>172</v>
      </c>
      <c r="BF91" s="69">
        <v>254</v>
      </c>
      <c r="BG91" s="69">
        <v>279</v>
      </c>
      <c r="BH91" s="69">
        <v>267</v>
      </c>
      <c r="BI91" s="69">
        <v>1142</v>
      </c>
      <c r="BJ91" s="69"/>
      <c r="BK91" s="69" t="s">
        <v>2018</v>
      </c>
      <c r="BL91" s="69">
        <v>18</v>
      </c>
      <c r="BM91" s="69">
        <v>0</v>
      </c>
      <c r="BN91" s="69">
        <v>0</v>
      </c>
      <c r="BO91" s="69">
        <v>0</v>
      </c>
      <c r="BP91" s="69">
        <v>0</v>
      </c>
      <c r="BQ91" s="69">
        <v>18</v>
      </c>
      <c r="BS91" s="70" t="s">
        <v>1436</v>
      </c>
      <c r="BT91" s="70" t="s">
        <v>2032</v>
      </c>
      <c r="BU91" s="70">
        <v>129</v>
      </c>
      <c r="BV91" s="70">
        <v>103</v>
      </c>
      <c r="BW91" s="70">
        <v>189</v>
      </c>
      <c r="BX91" s="70">
        <v>217</v>
      </c>
      <c r="BY91" s="70">
        <v>209</v>
      </c>
      <c r="BZ91" s="70">
        <v>847</v>
      </c>
      <c r="CA91" s="70"/>
      <c r="CB91" s="70" t="s">
        <v>2032</v>
      </c>
      <c r="CC91" s="70">
        <v>40</v>
      </c>
      <c r="CD91" s="70">
        <v>0</v>
      </c>
      <c r="CE91" s="70">
        <v>0</v>
      </c>
      <c r="CF91" s="70">
        <v>0</v>
      </c>
      <c r="CG91" s="70">
        <v>0</v>
      </c>
      <c r="CH91" s="70">
        <v>40</v>
      </c>
      <c r="CJ91" s="21"/>
      <c r="CL91" s="57" t="s">
        <v>476</v>
      </c>
      <c r="CM91" s="57" t="s">
        <v>2028</v>
      </c>
      <c r="CN91" s="57">
        <v>86</v>
      </c>
      <c r="CO91" s="57">
        <v>58</v>
      </c>
      <c r="CP91" s="57">
        <v>137</v>
      </c>
      <c r="CQ91" s="57">
        <v>211</v>
      </c>
      <c r="CR91" s="57">
        <v>209</v>
      </c>
      <c r="CS91" s="57">
        <v>701</v>
      </c>
      <c r="CT91" s="57"/>
      <c r="CU91" s="57" t="s">
        <v>2028</v>
      </c>
      <c r="CV91" s="57">
        <v>47</v>
      </c>
      <c r="CW91" s="57">
        <v>0</v>
      </c>
      <c r="CX91" s="57">
        <v>0</v>
      </c>
      <c r="CY91" s="57">
        <v>0</v>
      </c>
      <c r="CZ91" s="57">
        <v>0</v>
      </c>
      <c r="DA91" s="57">
        <v>47</v>
      </c>
      <c r="DD91" s="77" t="s">
        <v>1606</v>
      </c>
      <c r="DE91" s="77" t="s">
        <v>2098</v>
      </c>
      <c r="DF91" s="77">
        <v>162</v>
      </c>
      <c r="DG91" s="77">
        <v>322</v>
      </c>
      <c r="DH91" s="77">
        <v>387</v>
      </c>
      <c r="DI91" s="77">
        <v>426</v>
      </c>
      <c r="DJ91" s="77">
        <v>367</v>
      </c>
      <c r="DK91" s="77">
        <v>1664</v>
      </c>
      <c r="DL91" s="77"/>
      <c r="DM91" s="77" t="s">
        <v>2098</v>
      </c>
      <c r="DN91" s="77">
        <v>24</v>
      </c>
      <c r="DO91" s="77">
        <v>4</v>
      </c>
      <c r="DP91" s="77">
        <v>0</v>
      </c>
      <c r="DQ91" s="77">
        <v>0</v>
      </c>
      <c r="DR91" s="77">
        <v>0</v>
      </c>
      <c r="DS91" s="77">
        <v>28</v>
      </c>
      <c r="DV91" s="79" t="s">
        <v>1670</v>
      </c>
      <c r="DW91" s="79" t="s">
        <v>2032</v>
      </c>
      <c r="DX91" s="79">
        <v>101</v>
      </c>
      <c r="DY91" s="79">
        <v>124</v>
      </c>
      <c r="DZ91" s="79">
        <v>217</v>
      </c>
      <c r="EA91" s="79">
        <v>232</v>
      </c>
      <c r="EB91" s="79">
        <v>212</v>
      </c>
      <c r="EC91" s="79">
        <v>886</v>
      </c>
      <c r="ED91" s="79"/>
      <c r="EE91" s="79" t="s">
        <v>2032</v>
      </c>
      <c r="EF91" s="79">
        <v>10</v>
      </c>
      <c r="EG91" s="79">
        <v>1</v>
      </c>
      <c r="EH91" s="79">
        <v>0</v>
      </c>
      <c r="EI91" s="79">
        <v>0</v>
      </c>
      <c r="EJ91" s="79">
        <v>0</v>
      </c>
      <c r="EK91" s="79">
        <v>11</v>
      </c>
      <c r="EN91" s="57" t="s">
        <v>1996</v>
      </c>
      <c r="EO91" s="57" t="s">
        <v>2028</v>
      </c>
      <c r="EP91" s="57">
        <v>54</v>
      </c>
      <c r="EQ91" s="57">
        <v>118</v>
      </c>
      <c r="ER91" s="57">
        <v>178</v>
      </c>
      <c r="ES91" s="57">
        <v>255</v>
      </c>
      <c r="ET91" s="57">
        <v>313</v>
      </c>
      <c r="EU91" s="57">
        <v>918</v>
      </c>
      <c r="EV91" s="57"/>
      <c r="EW91" s="57" t="s">
        <v>2028</v>
      </c>
      <c r="EX91" s="57">
        <v>4</v>
      </c>
      <c r="EY91" s="57">
        <v>4</v>
      </c>
      <c r="EZ91" s="57">
        <v>2</v>
      </c>
      <c r="FA91" s="57">
        <v>3</v>
      </c>
      <c r="FB91" s="57">
        <v>1</v>
      </c>
      <c r="FC91" s="57">
        <v>14</v>
      </c>
      <c r="FF91" s="70" t="s">
        <v>1871</v>
      </c>
      <c r="FG91" s="70" t="s">
        <v>2018</v>
      </c>
      <c r="FH91" s="70" t="s">
        <v>324</v>
      </c>
      <c r="FI91" s="70" t="s">
        <v>324</v>
      </c>
      <c r="FJ91" s="70" t="s">
        <v>324</v>
      </c>
      <c r="FK91" s="70" t="s">
        <v>324</v>
      </c>
      <c r="FL91" s="70" t="s">
        <v>324</v>
      </c>
      <c r="FM91" s="70" t="s">
        <v>324</v>
      </c>
      <c r="FN91" s="70"/>
      <c r="FO91" s="70" t="s">
        <v>2018</v>
      </c>
      <c r="FP91" s="70" t="s">
        <v>324</v>
      </c>
      <c r="FQ91" s="70" t="s">
        <v>324</v>
      </c>
      <c r="FR91" s="70" t="s">
        <v>324</v>
      </c>
      <c r="FS91" s="70" t="s">
        <v>324</v>
      </c>
      <c r="FT91" s="70" t="s">
        <v>324</v>
      </c>
      <c r="FU91" s="70" t="s">
        <v>324</v>
      </c>
    </row>
    <row r="92" spans="2:177">
      <c r="B92" s="64" t="s">
        <v>893</v>
      </c>
      <c r="C92" s="64" t="s">
        <v>2018</v>
      </c>
      <c r="D92" s="64">
        <v>208</v>
      </c>
      <c r="E92" s="64">
        <v>346</v>
      </c>
      <c r="F92" s="64">
        <v>507</v>
      </c>
      <c r="G92" s="64">
        <v>656</v>
      </c>
      <c r="H92" s="64">
        <v>524</v>
      </c>
      <c r="I92" s="64">
        <v>2241</v>
      </c>
      <c r="K92" s="64" t="s">
        <v>2018</v>
      </c>
      <c r="L92" s="64">
        <v>43</v>
      </c>
      <c r="M92" s="64">
        <v>7</v>
      </c>
      <c r="N92" s="64">
        <v>3</v>
      </c>
      <c r="O92" s="64">
        <v>5</v>
      </c>
      <c r="P92" s="64">
        <v>3</v>
      </c>
      <c r="Q92" s="64">
        <v>61</v>
      </c>
      <c r="T92" s="65" t="s">
        <v>1020</v>
      </c>
      <c r="U92" s="65" t="s">
        <v>2028</v>
      </c>
      <c r="V92" s="65">
        <v>725</v>
      </c>
      <c r="W92" s="65">
        <v>409</v>
      </c>
      <c r="X92" s="65">
        <v>418</v>
      </c>
      <c r="Y92" s="65">
        <v>394</v>
      </c>
      <c r="Z92" s="65">
        <v>236</v>
      </c>
      <c r="AA92" s="65">
        <v>2182</v>
      </c>
      <c r="AB92" s="65"/>
      <c r="AC92" s="65" t="s">
        <v>2028</v>
      </c>
      <c r="AD92" s="65">
        <v>49</v>
      </c>
      <c r="AE92" s="65">
        <v>0</v>
      </c>
      <c r="AF92" s="65">
        <v>0</v>
      </c>
      <c r="AG92" s="65">
        <v>0</v>
      </c>
      <c r="AH92" s="65">
        <v>0</v>
      </c>
      <c r="AI92" s="65">
        <v>49</v>
      </c>
      <c r="AK92" s="66" t="s">
        <v>1939</v>
      </c>
      <c r="AL92" s="66" t="s">
        <v>2018</v>
      </c>
      <c r="AM92" s="66">
        <v>144</v>
      </c>
      <c r="AN92" s="66">
        <v>174</v>
      </c>
      <c r="AO92" s="66">
        <v>232</v>
      </c>
      <c r="AP92" s="66">
        <v>305</v>
      </c>
      <c r="AQ92" s="66">
        <v>218</v>
      </c>
      <c r="AR92" s="66">
        <v>1073</v>
      </c>
      <c r="AS92" s="66"/>
      <c r="AT92" s="66" t="s">
        <v>2018</v>
      </c>
      <c r="AU92" s="66">
        <v>20</v>
      </c>
      <c r="AV92" s="66">
        <v>0</v>
      </c>
      <c r="AW92" s="66">
        <v>0</v>
      </c>
      <c r="AX92" s="66">
        <v>0</v>
      </c>
      <c r="AY92" s="66">
        <v>0</v>
      </c>
      <c r="AZ92" s="66">
        <v>20</v>
      </c>
      <c r="BB92" s="69" t="s">
        <v>1250</v>
      </c>
      <c r="BC92" s="69" t="s">
        <v>2018</v>
      </c>
      <c r="BD92" s="69">
        <v>475</v>
      </c>
      <c r="BE92" s="69">
        <v>567</v>
      </c>
      <c r="BF92" s="69">
        <v>730</v>
      </c>
      <c r="BG92" s="69">
        <v>858</v>
      </c>
      <c r="BH92" s="69">
        <v>697</v>
      </c>
      <c r="BI92" s="69">
        <v>3327</v>
      </c>
      <c r="BJ92" s="69"/>
      <c r="BK92" s="69" t="s">
        <v>2018</v>
      </c>
      <c r="BL92" s="69">
        <v>21</v>
      </c>
      <c r="BM92" s="69">
        <v>0</v>
      </c>
      <c r="BN92" s="69">
        <v>0</v>
      </c>
      <c r="BO92" s="69">
        <v>0</v>
      </c>
      <c r="BP92" s="69">
        <v>0</v>
      </c>
      <c r="BQ92" s="69">
        <v>21</v>
      </c>
      <c r="BS92" s="70" t="s">
        <v>1438</v>
      </c>
      <c r="BT92" s="70" t="s">
        <v>2032</v>
      </c>
      <c r="BU92" s="70">
        <v>107</v>
      </c>
      <c r="BV92" s="70">
        <v>161</v>
      </c>
      <c r="BW92" s="70">
        <v>359</v>
      </c>
      <c r="BX92" s="70">
        <v>525</v>
      </c>
      <c r="BY92" s="70">
        <v>473</v>
      </c>
      <c r="BZ92" s="70">
        <v>1625</v>
      </c>
      <c r="CA92" s="70"/>
      <c r="CB92" s="70" t="s">
        <v>2032</v>
      </c>
      <c r="CC92" s="70">
        <v>24</v>
      </c>
      <c r="CD92" s="70">
        <v>0</v>
      </c>
      <c r="CE92" s="70">
        <v>0</v>
      </c>
      <c r="CF92" s="70">
        <v>0</v>
      </c>
      <c r="CG92" s="70">
        <v>0</v>
      </c>
      <c r="CH92" s="70">
        <v>24</v>
      </c>
      <c r="CJ92" s="21"/>
      <c r="CL92" s="57" t="s">
        <v>479</v>
      </c>
      <c r="CM92" s="57" t="s">
        <v>2028</v>
      </c>
      <c r="CN92" s="57">
        <v>45</v>
      </c>
      <c r="CO92" s="57">
        <v>33</v>
      </c>
      <c r="CP92" s="57">
        <v>57</v>
      </c>
      <c r="CQ92" s="57">
        <v>128</v>
      </c>
      <c r="CR92" s="57">
        <v>141</v>
      </c>
      <c r="CS92" s="57">
        <v>404</v>
      </c>
      <c r="CT92" s="57"/>
      <c r="CU92" s="57" t="s">
        <v>2028</v>
      </c>
      <c r="CV92" s="57">
        <v>7</v>
      </c>
      <c r="CW92" s="57">
        <v>0</v>
      </c>
      <c r="CX92" s="57">
        <v>0</v>
      </c>
      <c r="CY92" s="57">
        <v>0</v>
      </c>
      <c r="CZ92" s="57">
        <v>0</v>
      </c>
      <c r="DA92" s="57">
        <v>7</v>
      </c>
      <c r="DD92" s="77" t="s">
        <v>1609</v>
      </c>
      <c r="DE92" s="77" t="s">
        <v>2098</v>
      </c>
      <c r="DF92" s="77">
        <v>125</v>
      </c>
      <c r="DG92" s="77">
        <v>159</v>
      </c>
      <c r="DH92" s="77">
        <v>180</v>
      </c>
      <c r="DI92" s="77">
        <v>199</v>
      </c>
      <c r="DJ92" s="77">
        <v>161</v>
      </c>
      <c r="DK92" s="77">
        <v>824</v>
      </c>
      <c r="DL92" s="77"/>
      <c r="DM92" s="77" t="s">
        <v>2098</v>
      </c>
      <c r="DN92" s="77">
        <v>20</v>
      </c>
      <c r="DO92" s="77">
        <v>3</v>
      </c>
      <c r="DP92" s="77">
        <v>0</v>
      </c>
      <c r="DQ92" s="77">
        <v>0</v>
      </c>
      <c r="DR92" s="77">
        <v>0</v>
      </c>
      <c r="DS92" s="77">
        <v>23</v>
      </c>
      <c r="DU92" s="16" t="s">
        <v>1673</v>
      </c>
      <c r="DV92" s="79" t="s">
        <v>2700</v>
      </c>
      <c r="DW92" s="79" t="s">
        <v>2032</v>
      </c>
      <c r="DX92" s="79">
        <v>177</v>
      </c>
      <c r="DY92" s="79">
        <v>162</v>
      </c>
      <c r="DZ92" s="79">
        <v>148</v>
      </c>
      <c r="EA92" s="79">
        <v>175</v>
      </c>
      <c r="EB92" s="79">
        <v>165</v>
      </c>
      <c r="EC92" s="79">
        <v>827</v>
      </c>
      <c r="ED92" s="79"/>
      <c r="EE92" s="79" t="s">
        <v>2032</v>
      </c>
      <c r="EF92" s="79">
        <v>12</v>
      </c>
      <c r="EG92" s="79">
        <v>0</v>
      </c>
      <c r="EH92" s="79">
        <v>0</v>
      </c>
      <c r="EI92" s="79">
        <v>0</v>
      </c>
      <c r="EJ92" s="79">
        <v>0</v>
      </c>
      <c r="EK92" s="79">
        <v>12</v>
      </c>
      <c r="EN92" s="57" t="s">
        <v>1997</v>
      </c>
      <c r="EO92" s="57" t="s">
        <v>2028</v>
      </c>
      <c r="EP92" s="57">
        <v>28</v>
      </c>
      <c r="EQ92" s="57">
        <v>86</v>
      </c>
      <c r="ER92" s="57">
        <v>159</v>
      </c>
      <c r="ES92" s="57">
        <v>174</v>
      </c>
      <c r="ET92" s="57">
        <v>197</v>
      </c>
      <c r="EU92" s="57">
        <v>644</v>
      </c>
      <c r="EV92" s="57"/>
      <c r="EW92" s="57" t="s">
        <v>2028</v>
      </c>
      <c r="EX92" s="57">
        <v>2</v>
      </c>
      <c r="EY92" s="57">
        <v>2</v>
      </c>
      <c r="EZ92" s="57">
        <v>1</v>
      </c>
      <c r="FA92" s="57">
        <v>3</v>
      </c>
      <c r="FB92" s="57">
        <v>1</v>
      </c>
      <c r="FC92" s="57">
        <v>9</v>
      </c>
      <c r="FF92" s="70" t="s">
        <v>1875</v>
      </c>
      <c r="FG92" s="70" t="s">
        <v>2018</v>
      </c>
      <c r="FH92" s="70" t="s">
        <v>324</v>
      </c>
      <c r="FI92" s="70" t="s">
        <v>324</v>
      </c>
      <c r="FJ92" s="70" t="s">
        <v>324</v>
      </c>
      <c r="FK92" s="70" t="s">
        <v>324</v>
      </c>
      <c r="FL92" s="70" t="s">
        <v>324</v>
      </c>
      <c r="FM92" s="70" t="s">
        <v>324</v>
      </c>
      <c r="FN92" s="70"/>
      <c r="FO92" s="70" t="s">
        <v>2018</v>
      </c>
      <c r="FP92" s="70" t="s">
        <v>324</v>
      </c>
      <c r="FQ92" s="70" t="s">
        <v>324</v>
      </c>
      <c r="FR92" s="70" t="s">
        <v>324</v>
      </c>
      <c r="FS92" s="70" t="s">
        <v>324</v>
      </c>
      <c r="FT92" s="70" t="s">
        <v>324</v>
      </c>
      <c r="FU92" s="70" t="s">
        <v>324</v>
      </c>
    </row>
    <row r="93" spans="2:177">
      <c r="B93" s="64" t="s">
        <v>897</v>
      </c>
      <c r="C93" s="64" t="s">
        <v>2018</v>
      </c>
      <c r="D93" s="64">
        <v>137</v>
      </c>
      <c r="E93" s="64">
        <v>232</v>
      </c>
      <c r="F93" s="64">
        <v>314</v>
      </c>
      <c r="G93" s="64">
        <v>433</v>
      </c>
      <c r="H93" s="64">
        <v>345</v>
      </c>
      <c r="I93" s="64">
        <v>1461</v>
      </c>
      <c r="K93" s="64" t="s">
        <v>2018</v>
      </c>
      <c r="L93" s="64">
        <v>23</v>
      </c>
      <c r="M93" s="64">
        <v>4</v>
      </c>
      <c r="N93" s="64">
        <v>5</v>
      </c>
      <c r="O93" s="64">
        <v>1</v>
      </c>
      <c r="P93" s="64">
        <v>2</v>
      </c>
      <c r="Q93" s="64">
        <v>35</v>
      </c>
      <c r="T93" s="65" t="s">
        <v>1026</v>
      </c>
      <c r="U93" s="65" t="s">
        <v>2028</v>
      </c>
      <c r="V93" s="65">
        <v>611</v>
      </c>
      <c r="W93" s="65">
        <v>601</v>
      </c>
      <c r="X93" s="65">
        <v>536</v>
      </c>
      <c r="Y93" s="65">
        <v>650</v>
      </c>
      <c r="Z93" s="65">
        <v>528</v>
      </c>
      <c r="AA93" s="65">
        <v>2926</v>
      </c>
      <c r="AB93" s="65"/>
      <c r="AC93" s="65" t="s">
        <v>2028</v>
      </c>
      <c r="AD93" s="65">
        <v>13</v>
      </c>
      <c r="AE93" s="65">
        <v>2</v>
      </c>
      <c r="AF93" s="65">
        <v>1</v>
      </c>
      <c r="AG93" s="65">
        <v>0</v>
      </c>
      <c r="AH93" s="65">
        <v>0</v>
      </c>
      <c r="AI93" s="65">
        <v>16</v>
      </c>
      <c r="AK93" s="66" t="s">
        <v>1949</v>
      </c>
      <c r="AL93" s="66" t="s">
        <v>2018</v>
      </c>
      <c r="AM93" s="66" t="s">
        <v>394</v>
      </c>
      <c r="AN93" s="66" t="s">
        <v>394</v>
      </c>
      <c r="AO93" s="66" t="s">
        <v>394</v>
      </c>
      <c r="AP93" s="66" t="s">
        <v>394</v>
      </c>
      <c r="AQ93" s="66" t="s">
        <v>394</v>
      </c>
      <c r="AR93" s="66" t="s">
        <v>394</v>
      </c>
      <c r="AS93" s="66"/>
      <c r="AT93" s="66" t="s">
        <v>2018</v>
      </c>
      <c r="AU93" s="66" t="s">
        <v>394</v>
      </c>
      <c r="AV93" s="66" t="s">
        <v>394</v>
      </c>
      <c r="AW93" s="66" t="s">
        <v>394</v>
      </c>
      <c r="AX93" s="66" t="s">
        <v>394</v>
      </c>
      <c r="AY93" s="66" t="s">
        <v>394</v>
      </c>
      <c r="AZ93" s="66" t="s">
        <v>394</v>
      </c>
      <c r="BB93" s="69" t="s">
        <v>1954</v>
      </c>
      <c r="BC93" s="69" t="s">
        <v>2018</v>
      </c>
      <c r="BD93" s="69">
        <v>2232</v>
      </c>
      <c r="BE93" s="69">
        <v>1409</v>
      </c>
      <c r="BF93" s="69">
        <v>1366</v>
      </c>
      <c r="BG93" s="69">
        <v>1237</v>
      </c>
      <c r="BH93" s="69">
        <v>855</v>
      </c>
      <c r="BI93" s="69">
        <v>7099</v>
      </c>
      <c r="BJ93" s="69"/>
      <c r="BK93" s="69" t="s">
        <v>2018</v>
      </c>
      <c r="BL93" s="69">
        <v>217</v>
      </c>
      <c r="BM93" s="69">
        <v>7</v>
      </c>
      <c r="BN93" s="69">
        <v>1</v>
      </c>
      <c r="BO93" s="69">
        <v>0</v>
      </c>
      <c r="BP93" s="69">
        <v>0</v>
      </c>
      <c r="BQ93" s="69">
        <v>225</v>
      </c>
      <c r="BS93" s="70" t="s">
        <v>1440</v>
      </c>
      <c r="BT93" s="70" t="s">
        <v>2032</v>
      </c>
      <c r="BU93" s="70">
        <v>138</v>
      </c>
      <c r="BV93" s="70">
        <v>218</v>
      </c>
      <c r="BW93" s="70">
        <v>387</v>
      </c>
      <c r="BX93" s="70">
        <v>535</v>
      </c>
      <c r="BY93" s="70">
        <v>498</v>
      </c>
      <c r="BZ93" s="70">
        <v>1776</v>
      </c>
      <c r="CA93" s="70"/>
      <c r="CB93" s="70" t="s">
        <v>2032</v>
      </c>
      <c r="CC93" s="70">
        <v>25</v>
      </c>
      <c r="CD93" s="70">
        <v>0</v>
      </c>
      <c r="CE93" s="70">
        <v>0</v>
      </c>
      <c r="CF93" s="70">
        <v>0</v>
      </c>
      <c r="CG93" s="70">
        <v>0</v>
      </c>
      <c r="CH93" s="70">
        <v>25</v>
      </c>
      <c r="CJ93" s="21"/>
      <c r="CL93" s="57" t="s">
        <v>482</v>
      </c>
      <c r="CM93" s="57" t="s">
        <v>2028</v>
      </c>
      <c r="CN93" s="57">
        <v>83</v>
      </c>
      <c r="CO93" s="57">
        <v>63</v>
      </c>
      <c r="CP93" s="57">
        <v>146</v>
      </c>
      <c r="CQ93" s="57">
        <v>225</v>
      </c>
      <c r="CR93" s="57">
        <v>259</v>
      </c>
      <c r="CS93" s="57">
        <v>776</v>
      </c>
      <c r="CT93" s="57"/>
      <c r="CU93" s="57" t="s">
        <v>2028</v>
      </c>
      <c r="CV93" s="57">
        <v>22</v>
      </c>
      <c r="CW93" s="57">
        <v>0</v>
      </c>
      <c r="CX93" s="57">
        <v>0</v>
      </c>
      <c r="CY93" s="57">
        <v>0</v>
      </c>
      <c r="CZ93" s="57">
        <v>0</v>
      </c>
      <c r="DA93" s="57">
        <v>22</v>
      </c>
      <c r="DD93" s="77" t="s">
        <v>1613</v>
      </c>
      <c r="DE93" s="77" t="s">
        <v>2098</v>
      </c>
      <c r="DF93" s="77">
        <v>227</v>
      </c>
      <c r="DG93" s="77">
        <v>339</v>
      </c>
      <c r="DH93" s="77">
        <v>440</v>
      </c>
      <c r="DI93" s="77">
        <v>563</v>
      </c>
      <c r="DJ93" s="77">
        <v>486</v>
      </c>
      <c r="DK93" s="77">
        <v>2055</v>
      </c>
      <c r="DL93" s="77"/>
      <c r="DM93" s="77" t="s">
        <v>2098</v>
      </c>
      <c r="DN93" s="77">
        <v>33</v>
      </c>
      <c r="DO93" s="77">
        <v>2</v>
      </c>
      <c r="DP93" s="77">
        <v>0</v>
      </c>
      <c r="DQ93" s="77">
        <v>0</v>
      </c>
      <c r="DR93" s="77">
        <v>0</v>
      </c>
      <c r="DS93" s="77">
        <v>35</v>
      </c>
      <c r="DU93" s="16" t="s">
        <v>1676</v>
      </c>
      <c r="DV93" s="79" t="s">
        <v>2703</v>
      </c>
      <c r="DW93" s="79" t="s">
        <v>2032</v>
      </c>
      <c r="DX93" s="79">
        <v>296</v>
      </c>
      <c r="DY93" s="79">
        <v>412</v>
      </c>
      <c r="DZ93" s="79">
        <v>414</v>
      </c>
      <c r="EA93" s="79">
        <v>442</v>
      </c>
      <c r="EB93" s="79">
        <v>283</v>
      </c>
      <c r="EC93" s="79">
        <v>1847</v>
      </c>
      <c r="ED93" s="79"/>
      <c r="EE93" s="79" t="s">
        <v>2032</v>
      </c>
      <c r="EF93" s="79">
        <v>13</v>
      </c>
      <c r="EG93" s="79">
        <v>3</v>
      </c>
      <c r="EH93" s="79">
        <v>0</v>
      </c>
      <c r="EI93" s="79">
        <v>0</v>
      </c>
      <c r="EJ93" s="79">
        <v>0</v>
      </c>
      <c r="EK93" s="79">
        <v>16</v>
      </c>
      <c r="EN93" s="57" t="s">
        <v>1747</v>
      </c>
      <c r="EO93" s="57" t="s">
        <v>2028</v>
      </c>
      <c r="EP93" s="57">
        <v>191</v>
      </c>
      <c r="EQ93" s="57">
        <v>373</v>
      </c>
      <c r="ER93" s="57">
        <v>502</v>
      </c>
      <c r="ES93" s="57">
        <v>614</v>
      </c>
      <c r="ET93" s="57">
        <v>645</v>
      </c>
      <c r="EU93" s="57">
        <v>2325</v>
      </c>
      <c r="EV93" s="57"/>
      <c r="EW93" s="57" t="s">
        <v>2028</v>
      </c>
      <c r="EX93" s="57">
        <v>35</v>
      </c>
      <c r="EY93" s="57">
        <v>14</v>
      </c>
      <c r="EZ93" s="57">
        <v>6</v>
      </c>
      <c r="FA93" s="57">
        <v>5</v>
      </c>
      <c r="FB93" s="57">
        <v>3</v>
      </c>
      <c r="FC93" s="57">
        <v>63</v>
      </c>
    </row>
    <row r="94" spans="2:177">
      <c r="B94" s="64" t="s">
        <v>902</v>
      </c>
      <c r="C94" s="64" t="s">
        <v>2018</v>
      </c>
      <c r="D94" s="64">
        <v>208</v>
      </c>
      <c r="E94" s="64">
        <v>195</v>
      </c>
      <c r="F94" s="64">
        <v>300</v>
      </c>
      <c r="G94" s="64">
        <v>370</v>
      </c>
      <c r="H94" s="64">
        <v>328</v>
      </c>
      <c r="I94" s="64">
        <v>1401</v>
      </c>
      <c r="K94" s="64" t="s">
        <v>2018</v>
      </c>
      <c r="L94" s="64">
        <v>29</v>
      </c>
      <c r="M94" s="64">
        <v>3</v>
      </c>
      <c r="N94" s="64">
        <v>2</v>
      </c>
      <c r="O94" s="64">
        <v>0</v>
      </c>
      <c r="P94" s="64">
        <v>0</v>
      </c>
      <c r="Q94" s="64">
        <v>34</v>
      </c>
      <c r="AK94" s="66" t="s">
        <v>1944</v>
      </c>
      <c r="AL94" s="66" t="s">
        <v>2018</v>
      </c>
      <c r="AM94" s="66">
        <v>834</v>
      </c>
      <c r="AN94" s="66">
        <v>690</v>
      </c>
      <c r="AO94" s="66">
        <v>1069</v>
      </c>
      <c r="AP94" s="66">
        <v>1291</v>
      </c>
      <c r="AQ94" s="66">
        <v>863</v>
      </c>
      <c r="AR94" s="66">
        <v>4747</v>
      </c>
      <c r="AS94" s="66"/>
      <c r="AT94" s="66" t="s">
        <v>2018</v>
      </c>
      <c r="AU94" s="66">
        <v>34</v>
      </c>
      <c r="AV94" s="66">
        <v>0</v>
      </c>
      <c r="AW94" s="66">
        <v>0</v>
      </c>
      <c r="AX94" s="66">
        <v>0</v>
      </c>
      <c r="AY94" s="66">
        <v>0</v>
      </c>
      <c r="AZ94" s="66">
        <v>34</v>
      </c>
      <c r="BB94" s="69" t="s">
        <v>1268</v>
      </c>
      <c r="BC94" s="69" t="s">
        <v>2018</v>
      </c>
      <c r="BD94" s="69">
        <v>204</v>
      </c>
      <c r="BE94" s="69">
        <v>120</v>
      </c>
      <c r="BF94" s="69">
        <v>197</v>
      </c>
      <c r="BG94" s="69">
        <v>286</v>
      </c>
      <c r="BH94" s="69">
        <v>240</v>
      </c>
      <c r="BI94" s="69">
        <v>1047</v>
      </c>
      <c r="BJ94" s="69"/>
      <c r="BK94" s="69" t="s">
        <v>2018</v>
      </c>
      <c r="BL94" s="69">
        <v>27</v>
      </c>
      <c r="BM94" s="69">
        <v>0</v>
      </c>
      <c r="BN94" s="69">
        <v>0</v>
      </c>
      <c r="BO94" s="69">
        <v>0</v>
      </c>
      <c r="BP94" s="69">
        <v>0</v>
      </c>
      <c r="BQ94" s="69">
        <v>27</v>
      </c>
      <c r="BS94" s="70" t="s">
        <v>1442</v>
      </c>
      <c r="BT94" s="70" t="s">
        <v>2032</v>
      </c>
      <c r="BU94" s="70">
        <v>31</v>
      </c>
      <c r="BV94" s="70">
        <v>85</v>
      </c>
      <c r="BW94" s="70">
        <v>181</v>
      </c>
      <c r="BX94" s="70">
        <v>305</v>
      </c>
      <c r="BY94" s="70">
        <v>283</v>
      </c>
      <c r="BZ94" s="70">
        <v>885</v>
      </c>
      <c r="CA94" s="70"/>
      <c r="CB94" s="70" t="s">
        <v>2032</v>
      </c>
      <c r="CC94" s="70">
        <v>4</v>
      </c>
      <c r="CD94" s="70">
        <v>0</v>
      </c>
      <c r="CE94" s="70">
        <v>0</v>
      </c>
      <c r="CF94" s="70">
        <v>0</v>
      </c>
      <c r="CG94" s="70">
        <v>0</v>
      </c>
      <c r="CH94" s="70">
        <v>4</v>
      </c>
      <c r="CJ94" s="21"/>
      <c r="CL94" s="57" t="s">
        <v>484</v>
      </c>
      <c r="CM94" s="57" t="s">
        <v>2028</v>
      </c>
      <c r="CN94" s="57">
        <v>1091</v>
      </c>
      <c r="CO94" s="57">
        <v>464</v>
      </c>
      <c r="CP94" s="57">
        <v>590</v>
      </c>
      <c r="CQ94" s="57">
        <v>739</v>
      </c>
      <c r="CR94" s="57">
        <v>633</v>
      </c>
      <c r="CS94" s="57">
        <v>3517</v>
      </c>
      <c r="CT94" s="57"/>
      <c r="CU94" s="57" t="s">
        <v>2028</v>
      </c>
      <c r="CV94" s="57">
        <v>311</v>
      </c>
      <c r="CW94" s="57">
        <v>0</v>
      </c>
      <c r="CX94" s="57">
        <v>0</v>
      </c>
      <c r="CY94" s="57">
        <v>0</v>
      </c>
      <c r="CZ94" s="57">
        <v>0</v>
      </c>
      <c r="DA94" s="57">
        <v>311</v>
      </c>
      <c r="DD94" s="77" t="s">
        <v>1616</v>
      </c>
      <c r="DE94" s="77" t="s">
        <v>2098</v>
      </c>
      <c r="DF94" s="77">
        <v>356</v>
      </c>
      <c r="DG94" s="77">
        <v>402</v>
      </c>
      <c r="DH94" s="77">
        <v>479</v>
      </c>
      <c r="DI94" s="77">
        <v>513</v>
      </c>
      <c r="DJ94" s="77">
        <v>388</v>
      </c>
      <c r="DK94" s="77">
        <v>2138</v>
      </c>
      <c r="DL94" s="77"/>
      <c r="DM94" s="77" t="s">
        <v>2098</v>
      </c>
      <c r="DN94" s="77">
        <v>35</v>
      </c>
      <c r="DO94" s="77">
        <v>3</v>
      </c>
      <c r="DP94" s="77">
        <v>0</v>
      </c>
      <c r="DQ94" s="77">
        <v>0</v>
      </c>
      <c r="DR94" s="77">
        <v>0</v>
      </c>
      <c r="DS94" s="77">
        <v>38</v>
      </c>
      <c r="DV94" s="79" t="s">
        <v>1679</v>
      </c>
      <c r="DW94" s="79" t="s">
        <v>2032</v>
      </c>
      <c r="DX94" s="79">
        <v>496</v>
      </c>
      <c r="DY94" s="79">
        <v>620</v>
      </c>
      <c r="DZ94" s="79">
        <v>1002</v>
      </c>
      <c r="EA94" s="79">
        <v>1263</v>
      </c>
      <c r="EB94" s="79">
        <v>1000</v>
      </c>
      <c r="EC94" s="79">
        <v>4381</v>
      </c>
      <c r="ED94" s="79"/>
      <c r="EE94" s="79" t="s">
        <v>2032</v>
      </c>
      <c r="EF94" s="79">
        <v>21</v>
      </c>
      <c r="EG94" s="79">
        <v>4</v>
      </c>
      <c r="EH94" s="79">
        <v>0</v>
      </c>
      <c r="EI94" s="79">
        <v>0</v>
      </c>
      <c r="EJ94" s="79">
        <v>0</v>
      </c>
      <c r="EK94" s="79">
        <v>25</v>
      </c>
      <c r="EN94" s="57" t="s">
        <v>1750</v>
      </c>
      <c r="EO94" s="57" t="s">
        <v>2028</v>
      </c>
      <c r="EP94" s="57">
        <v>690</v>
      </c>
      <c r="EQ94" s="57">
        <v>765</v>
      </c>
      <c r="ER94" s="57">
        <v>897</v>
      </c>
      <c r="ES94" s="57">
        <v>908</v>
      </c>
      <c r="ET94" s="57">
        <v>988</v>
      </c>
      <c r="EU94" s="57">
        <v>4248</v>
      </c>
      <c r="EV94" s="57"/>
      <c r="EW94" s="57" t="s">
        <v>2028</v>
      </c>
      <c r="EX94" s="57">
        <v>82</v>
      </c>
      <c r="EY94" s="57">
        <v>21</v>
      </c>
      <c r="EZ94" s="57">
        <v>10</v>
      </c>
      <c r="FA94" s="57">
        <v>9</v>
      </c>
      <c r="FB94" s="57">
        <v>16</v>
      </c>
      <c r="FC94" s="57">
        <v>138</v>
      </c>
      <c r="FF94" s="70" t="s">
        <v>1790</v>
      </c>
      <c r="FG94" s="70" t="s">
        <v>2028</v>
      </c>
      <c r="FH94" s="70">
        <v>2334</v>
      </c>
      <c r="FI94" s="70">
        <v>1213</v>
      </c>
      <c r="FJ94" s="70">
        <v>815</v>
      </c>
      <c r="FK94" s="70">
        <v>656</v>
      </c>
      <c r="FL94" s="70">
        <v>794</v>
      </c>
      <c r="FM94" s="70">
        <v>5812</v>
      </c>
      <c r="FN94" s="70"/>
      <c r="FO94" s="70" t="s">
        <v>2028</v>
      </c>
      <c r="FP94" s="70">
        <v>490</v>
      </c>
      <c r="FQ94" s="70">
        <v>0</v>
      </c>
      <c r="FR94" s="70">
        <v>0</v>
      </c>
      <c r="FS94" s="70">
        <v>0</v>
      </c>
      <c r="FT94" s="70">
        <v>0</v>
      </c>
      <c r="FU94" s="70">
        <v>490</v>
      </c>
    </row>
    <row r="95" spans="2:177">
      <c r="B95" s="64" t="s">
        <v>907</v>
      </c>
      <c r="C95" s="64" t="s">
        <v>2018</v>
      </c>
      <c r="D95" s="64">
        <v>155</v>
      </c>
      <c r="E95" s="64">
        <v>229</v>
      </c>
      <c r="F95" s="64">
        <v>385</v>
      </c>
      <c r="G95" s="64">
        <v>539</v>
      </c>
      <c r="H95" s="64">
        <v>414</v>
      </c>
      <c r="I95" s="64">
        <v>1722</v>
      </c>
      <c r="K95" s="64" t="s">
        <v>2018</v>
      </c>
      <c r="L95" s="64">
        <v>42</v>
      </c>
      <c r="M95" s="64">
        <v>4</v>
      </c>
      <c r="N95" s="64">
        <v>3</v>
      </c>
      <c r="O95" s="64">
        <v>4</v>
      </c>
      <c r="P95" s="64">
        <v>1</v>
      </c>
      <c r="Q95" s="64">
        <v>54</v>
      </c>
      <c r="T95" s="65" t="s">
        <v>939</v>
      </c>
      <c r="U95" s="65" t="s">
        <v>2032</v>
      </c>
      <c r="V95" s="65">
        <v>535</v>
      </c>
      <c r="W95" s="65">
        <v>679</v>
      </c>
      <c r="X95" s="65">
        <v>835</v>
      </c>
      <c r="Y95" s="65">
        <v>873</v>
      </c>
      <c r="Z95" s="65">
        <v>561</v>
      </c>
      <c r="AA95" s="65">
        <v>3483</v>
      </c>
      <c r="AB95" s="65"/>
      <c r="AC95" s="65" t="s">
        <v>2032</v>
      </c>
      <c r="AD95" s="65">
        <v>61</v>
      </c>
      <c r="AE95" s="65">
        <v>2</v>
      </c>
      <c r="AF95" s="65">
        <v>1</v>
      </c>
      <c r="AG95" s="65">
        <v>0</v>
      </c>
      <c r="AH95" s="65">
        <v>0</v>
      </c>
      <c r="AI95" s="65">
        <v>64</v>
      </c>
      <c r="AK95" s="66" t="s">
        <v>1942</v>
      </c>
      <c r="AL95" s="66" t="s">
        <v>2018</v>
      </c>
      <c r="AM95" s="66" t="s">
        <v>394</v>
      </c>
      <c r="AN95" s="66" t="s">
        <v>394</v>
      </c>
      <c r="AO95" s="66" t="s">
        <v>394</v>
      </c>
      <c r="AP95" s="66" t="s">
        <v>394</v>
      </c>
      <c r="AQ95" s="66" t="s">
        <v>394</v>
      </c>
      <c r="AR95" s="66" t="s">
        <v>394</v>
      </c>
      <c r="AS95" s="66"/>
      <c r="AT95" s="66" t="s">
        <v>2018</v>
      </c>
      <c r="AU95" s="66" t="s">
        <v>394</v>
      </c>
      <c r="AV95" s="66" t="s">
        <v>394</v>
      </c>
      <c r="AW95" s="66" t="s">
        <v>394</v>
      </c>
      <c r="AX95" s="66" t="s">
        <v>394</v>
      </c>
      <c r="AY95" s="66" t="s">
        <v>394</v>
      </c>
      <c r="AZ95" s="66" t="s">
        <v>394</v>
      </c>
      <c r="BB95" s="69" t="s">
        <v>1272</v>
      </c>
      <c r="BC95" s="69" t="s">
        <v>2018</v>
      </c>
      <c r="BD95" s="69">
        <v>471</v>
      </c>
      <c r="BE95" s="69">
        <v>643</v>
      </c>
      <c r="BF95" s="69">
        <v>815</v>
      </c>
      <c r="BG95" s="69">
        <v>846</v>
      </c>
      <c r="BH95" s="69">
        <v>531</v>
      </c>
      <c r="BI95" s="69">
        <v>3306</v>
      </c>
      <c r="BJ95" s="69"/>
      <c r="BK95" s="69" t="s">
        <v>2018</v>
      </c>
      <c r="BL95" s="69">
        <v>26</v>
      </c>
      <c r="BM95" s="69">
        <v>0</v>
      </c>
      <c r="BN95" s="69">
        <v>0</v>
      </c>
      <c r="BO95" s="69">
        <v>0</v>
      </c>
      <c r="BP95" s="69">
        <v>0</v>
      </c>
      <c r="BQ95" s="69">
        <v>26</v>
      </c>
      <c r="BS95" s="70" t="s">
        <v>1444</v>
      </c>
      <c r="BT95" s="70" t="s">
        <v>2032</v>
      </c>
      <c r="BU95" s="70">
        <v>233</v>
      </c>
      <c r="BV95" s="70">
        <v>158</v>
      </c>
      <c r="BW95" s="70">
        <v>288</v>
      </c>
      <c r="BX95" s="70">
        <v>328</v>
      </c>
      <c r="BY95" s="70">
        <v>307</v>
      </c>
      <c r="BZ95" s="70">
        <v>1314</v>
      </c>
      <c r="CA95" s="70"/>
      <c r="CB95" s="70" t="s">
        <v>2032</v>
      </c>
      <c r="CC95" s="70">
        <v>70</v>
      </c>
      <c r="CD95" s="70">
        <v>0</v>
      </c>
      <c r="CE95" s="70">
        <v>0</v>
      </c>
      <c r="CF95" s="70">
        <v>0</v>
      </c>
      <c r="CG95" s="70">
        <v>0</v>
      </c>
      <c r="CH95" s="70">
        <v>70</v>
      </c>
      <c r="CJ95" s="21"/>
      <c r="CL95" s="57" t="s">
        <v>354</v>
      </c>
      <c r="CM95" s="57" t="s">
        <v>2028</v>
      </c>
      <c r="CN95" s="57">
        <v>361</v>
      </c>
      <c r="CO95" s="57">
        <v>218</v>
      </c>
      <c r="CP95" s="57">
        <v>341</v>
      </c>
      <c r="CQ95" s="57">
        <v>443</v>
      </c>
      <c r="CR95" s="57">
        <v>381</v>
      </c>
      <c r="CS95" s="57">
        <v>1744</v>
      </c>
      <c r="CT95" s="57"/>
      <c r="CU95" s="57" t="s">
        <v>2028</v>
      </c>
      <c r="CV95" s="57">
        <v>121</v>
      </c>
      <c r="CW95" s="57">
        <v>0</v>
      </c>
      <c r="CX95" s="57">
        <v>0</v>
      </c>
      <c r="CY95" s="57">
        <v>0</v>
      </c>
      <c r="CZ95" s="57">
        <v>0</v>
      </c>
      <c r="DA95" s="57">
        <v>121</v>
      </c>
      <c r="DD95" s="77" t="s">
        <v>1620</v>
      </c>
      <c r="DE95" s="77" t="s">
        <v>2098</v>
      </c>
      <c r="DF95" s="77">
        <v>149</v>
      </c>
      <c r="DG95" s="77">
        <v>245</v>
      </c>
      <c r="DH95" s="77">
        <v>336</v>
      </c>
      <c r="DI95" s="77">
        <v>376</v>
      </c>
      <c r="DJ95" s="77">
        <v>430</v>
      </c>
      <c r="DK95" s="77">
        <v>1536</v>
      </c>
      <c r="DL95" s="77"/>
      <c r="DM95" s="77" t="s">
        <v>2098</v>
      </c>
      <c r="DN95" s="77">
        <v>22</v>
      </c>
      <c r="DO95" s="77">
        <v>12</v>
      </c>
      <c r="DP95" s="77">
        <v>2</v>
      </c>
      <c r="DQ95" s="77">
        <v>2</v>
      </c>
      <c r="DR95" s="77">
        <v>1</v>
      </c>
      <c r="DS95" s="77">
        <v>39</v>
      </c>
      <c r="DV95" s="79" t="s">
        <v>1682</v>
      </c>
      <c r="DW95" s="79" t="s">
        <v>2032</v>
      </c>
      <c r="DX95" s="79">
        <v>267</v>
      </c>
      <c r="DY95" s="79">
        <v>353</v>
      </c>
      <c r="DZ95" s="79">
        <v>413</v>
      </c>
      <c r="EA95" s="79">
        <v>465</v>
      </c>
      <c r="EB95" s="79">
        <v>370</v>
      </c>
      <c r="EC95" s="79">
        <v>1868</v>
      </c>
      <c r="ED95" s="79"/>
      <c r="EE95" s="79" t="s">
        <v>2032</v>
      </c>
      <c r="EF95" s="79">
        <v>18</v>
      </c>
      <c r="EG95" s="79">
        <v>3</v>
      </c>
      <c r="EH95" s="79">
        <v>0</v>
      </c>
      <c r="EI95" s="79">
        <v>0</v>
      </c>
      <c r="EJ95" s="79">
        <v>0</v>
      </c>
      <c r="EK95" s="79">
        <v>21</v>
      </c>
      <c r="EN95" s="57" t="s">
        <v>1753</v>
      </c>
      <c r="EO95" s="57" t="s">
        <v>2028</v>
      </c>
      <c r="EP95" s="57">
        <v>260</v>
      </c>
      <c r="EQ95" s="57">
        <v>376</v>
      </c>
      <c r="ER95" s="57">
        <v>370</v>
      </c>
      <c r="ES95" s="57">
        <v>463</v>
      </c>
      <c r="ET95" s="57">
        <v>463</v>
      </c>
      <c r="EU95" s="57">
        <v>1932</v>
      </c>
      <c r="EV95" s="57"/>
      <c r="EW95" s="57" t="s">
        <v>2028</v>
      </c>
      <c r="EX95" s="57">
        <v>9</v>
      </c>
      <c r="EY95" s="57">
        <v>9</v>
      </c>
      <c r="EZ95" s="57">
        <v>5</v>
      </c>
      <c r="FA95" s="57">
        <v>4</v>
      </c>
      <c r="FB95" s="57">
        <v>9</v>
      </c>
      <c r="FC95" s="57">
        <v>36</v>
      </c>
      <c r="FF95" s="70" t="s">
        <v>1793</v>
      </c>
      <c r="FG95" s="70" t="s">
        <v>2028</v>
      </c>
      <c r="FH95" s="70">
        <v>191</v>
      </c>
      <c r="FI95" s="70">
        <v>231</v>
      </c>
      <c r="FJ95" s="70">
        <v>302</v>
      </c>
      <c r="FK95" s="70">
        <v>344</v>
      </c>
      <c r="FL95" s="70">
        <v>438</v>
      </c>
      <c r="FM95" s="70">
        <v>1506</v>
      </c>
      <c r="FN95" s="70"/>
      <c r="FO95" s="70" t="s">
        <v>2028</v>
      </c>
      <c r="FP95" s="70">
        <v>18</v>
      </c>
      <c r="FQ95" s="70">
        <v>7</v>
      </c>
      <c r="FR95" s="70">
        <v>8</v>
      </c>
      <c r="FS95" s="70">
        <v>2</v>
      </c>
      <c r="FT95" s="70">
        <v>4</v>
      </c>
      <c r="FU95" s="70">
        <v>39</v>
      </c>
    </row>
    <row r="96" spans="2:177">
      <c r="B96" s="64" t="s">
        <v>911</v>
      </c>
      <c r="C96" s="64" t="s">
        <v>2018</v>
      </c>
      <c r="D96" s="64" t="s">
        <v>324</v>
      </c>
      <c r="E96" s="64" t="s">
        <v>324</v>
      </c>
      <c r="F96" s="64" t="s">
        <v>324</v>
      </c>
      <c r="G96" s="64" t="s">
        <v>324</v>
      </c>
      <c r="H96" s="64" t="s">
        <v>324</v>
      </c>
      <c r="I96" s="64" t="s">
        <v>324</v>
      </c>
      <c r="K96" s="64" t="s">
        <v>2018</v>
      </c>
      <c r="L96" s="64" t="s">
        <v>324</v>
      </c>
      <c r="M96" s="64" t="s">
        <v>324</v>
      </c>
      <c r="N96" s="64" t="s">
        <v>324</v>
      </c>
      <c r="O96" s="64" t="s">
        <v>324</v>
      </c>
      <c r="P96" s="64" t="s">
        <v>324</v>
      </c>
      <c r="Q96" s="64" t="s">
        <v>324</v>
      </c>
      <c r="T96" s="65" t="s">
        <v>947</v>
      </c>
      <c r="U96" s="65" t="s">
        <v>2032</v>
      </c>
      <c r="V96" s="65">
        <v>108</v>
      </c>
      <c r="W96" s="65">
        <v>137</v>
      </c>
      <c r="X96" s="65">
        <v>209</v>
      </c>
      <c r="Y96" s="65">
        <v>285</v>
      </c>
      <c r="Z96" s="65">
        <v>246</v>
      </c>
      <c r="AA96" s="65">
        <v>985</v>
      </c>
      <c r="AB96" s="65"/>
      <c r="AC96" s="65" t="s">
        <v>2032</v>
      </c>
      <c r="AD96" s="65">
        <v>10</v>
      </c>
      <c r="AE96" s="65">
        <v>0</v>
      </c>
      <c r="AF96" s="65">
        <v>0</v>
      </c>
      <c r="AG96" s="65">
        <v>0</v>
      </c>
      <c r="AH96" s="65">
        <v>0</v>
      </c>
      <c r="AI96" s="65">
        <v>10</v>
      </c>
      <c r="AK96" s="66" t="s">
        <v>1925</v>
      </c>
      <c r="AL96" s="66" t="s">
        <v>2018</v>
      </c>
      <c r="AM96" s="66" t="s">
        <v>394</v>
      </c>
      <c r="AN96" s="66" t="s">
        <v>394</v>
      </c>
      <c r="AO96" s="66" t="s">
        <v>394</v>
      </c>
      <c r="AP96" s="66" t="s">
        <v>394</v>
      </c>
      <c r="AQ96" s="66" t="s">
        <v>394</v>
      </c>
      <c r="AR96" s="66" t="s">
        <v>394</v>
      </c>
      <c r="AS96" s="66"/>
      <c r="AT96" s="66" t="s">
        <v>2018</v>
      </c>
      <c r="AU96" s="66" t="s">
        <v>394</v>
      </c>
      <c r="AV96" s="66" t="s">
        <v>394</v>
      </c>
      <c r="AW96" s="66" t="s">
        <v>394</v>
      </c>
      <c r="AX96" s="66" t="s">
        <v>394</v>
      </c>
      <c r="AY96" s="66" t="s">
        <v>394</v>
      </c>
      <c r="AZ96" s="66" t="s">
        <v>394</v>
      </c>
      <c r="BB96" s="69" t="s">
        <v>430</v>
      </c>
      <c r="BC96" s="69" t="s">
        <v>2018</v>
      </c>
      <c r="BD96" s="69">
        <v>182</v>
      </c>
      <c r="BE96" s="69">
        <v>204</v>
      </c>
      <c r="BF96" s="69">
        <v>425</v>
      </c>
      <c r="BG96" s="69">
        <v>597</v>
      </c>
      <c r="BH96" s="69">
        <v>460</v>
      </c>
      <c r="BI96" s="69">
        <v>1868</v>
      </c>
      <c r="BJ96" s="69"/>
      <c r="BK96" s="69" t="s">
        <v>2018</v>
      </c>
      <c r="BL96" s="69">
        <v>28</v>
      </c>
      <c r="BM96" s="69">
        <v>0</v>
      </c>
      <c r="BN96" s="69">
        <v>0</v>
      </c>
      <c r="BO96" s="69">
        <v>0</v>
      </c>
      <c r="BP96" s="69">
        <v>0</v>
      </c>
      <c r="BQ96" s="69">
        <v>28</v>
      </c>
      <c r="BS96" s="70" t="s">
        <v>1446</v>
      </c>
      <c r="BT96" s="70" t="s">
        <v>2032</v>
      </c>
      <c r="BU96" s="70">
        <v>144</v>
      </c>
      <c r="BV96" s="70">
        <v>114</v>
      </c>
      <c r="BW96" s="70">
        <v>170</v>
      </c>
      <c r="BX96" s="70">
        <v>205</v>
      </c>
      <c r="BY96" s="70">
        <v>206</v>
      </c>
      <c r="BZ96" s="70">
        <v>839</v>
      </c>
      <c r="CA96" s="70"/>
      <c r="CB96" s="70" t="s">
        <v>2032</v>
      </c>
      <c r="CC96" s="70">
        <v>27</v>
      </c>
      <c r="CD96" s="70">
        <v>0</v>
      </c>
      <c r="CE96" s="70">
        <v>0</v>
      </c>
      <c r="CF96" s="70">
        <v>0</v>
      </c>
      <c r="CG96" s="70">
        <v>0</v>
      </c>
      <c r="CH96" s="70">
        <v>27</v>
      </c>
      <c r="CJ96" s="21"/>
      <c r="CL96" s="57" t="s">
        <v>355</v>
      </c>
      <c r="CM96" s="57" t="s">
        <v>2028</v>
      </c>
      <c r="CN96" s="57">
        <v>435</v>
      </c>
      <c r="CO96" s="57">
        <v>247</v>
      </c>
      <c r="CP96" s="57">
        <v>360</v>
      </c>
      <c r="CQ96" s="57">
        <v>473</v>
      </c>
      <c r="CR96" s="57">
        <v>458</v>
      </c>
      <c r="CS96" s="57">
        <v>1973</v>
      </c>
      <c r="CT96" s="57"/>
      <c r="CU96" s="57" t="s">
        <v>2028</v>
      </c>
      <c r="CV96" s="57">
        <v>157</v>
      </c>
      <c r="CW96" s="57">
        <v>0</v>
      </c>
      <c r="CX96" s="57">
        <v>0</v>
      </c>
      <c r="CY96" s="57">
        <v>0</v>
      </c>
      <c r="CZ96" s="57">
        <v>0</v>
      </c>
      <c r="DA96" s="57">
        <v>157</v>
      </c>
      <c r="DD96" s="77" t="s">
        <v>1623</v>
      </c>
      <c r="DE96" s="77" t="s">
        <v>2098</v>
      </c>
      <c r="DF96" s="77">
        <v>193</v>
      </c>
      <c r="DG96" s="77">
        <v>319</v>
      </c>
      <c r="DH96" s="77">
        <v>422</v>
      </c>
      <c r="DI96" s="77">
        <v>470</v>
      </c>
      <c r="DJ96" s="77">
        <v>349</v>
      </c>
      <c r="DK96" s="77">
        <v>1753</v>
      </c>
      <c r="DL96" s="77"/>
      <c r="DM96" s="77" t="s">
        <v>2098</v>
      </c>
      <c r="DN96" s="77">
        <v>17</v>
      </c>
      <c r="DO96" s="77">
        <v>3</v>
      </c>
      <c r="DP96" s="77">
        <v>1</v>
      </c>
      <c r="DQ96" s="77">
        <v>0</v>
      </c>
      <c r="DR96" s="77">
        <v>0</v>
      </c>
      <c r="DS96" s="77">
        <v>21</v>
      </c>
      <c r="DV96" s="79" t="s">
        <v>1686</v>
      </c>
      <c r="DW96" s="79" t="s">
        <v>2032</v>
      </c>
      <c r="DX96" s="79" t="s">
        <v>324</v>
      </c>
      <c r="DY96" s="79" t="s">
        <v>324</v>
      </c>
      <c r="DZ96" s="79" t="s">
        <v>324</v>
      </c>
      <c r="EA96" s="79" t="s">
        <v>324</v>
      </c>
      <c r="EB96" s="79" t="s">
        <v>324</v>
      </c>
      <c r="EC96" s="79" t="s">
        <v>324</v>
      </c>
      <c r="ED96" s="79"/>
      <c r="EE96" s="79" t="s">
        <v>2032</v>
      </c>
      <c r="EF96" s="79" t="s">
        <v>324</v>
      </c>
      <c r="EG96" s="79" t="s">
        <v>324</v>
      </c>
      <c r="EH96" s="79" t="s">
        <v>324</v>
      </c>
      <c r="EI96" s="79" t="s">
        <v>324</v>
      </c>
      <c r="EJ96" s="79" t="s">
        <v>324</v>
      </c>
      <c r="EK96" s="79" t="s">
        <v>324</v>
      </c>
      <c r="EN96" s="57" t="s">
        <v>1756</v>
      </c>
      <c r="EO96" s="57" t="s">
        <v>2028</v>
      </c>
      <c r="EP96" s="57">
        <v>116</v>
      </c>
      <c r="EQ96" s="57">
        <v>139</v>
      </c>
      <c r="ER96" s="57">
        <v>137</v>
      </c>
      <c r="ES96" s="57">
        <v>149</v>
      </c>
      <c r="ET96" s="57">
        <v>198</v>
      </c>
      <c r="EU96" s="57">
        <v>739</v>
      </c>
      <c r="EV96" s="57"/>
      <c r="EW96" s="57" t="s">
        <v>2028</v>
      </c>
      <c r="EX96" s="57">
        <v>27</v>
      </c>
      <c r="EY96" s="57">
        <v>5</v>
      </c>
      <c r="EZ96" s="57">
        <v>0</v>
      </c>
      <c r="FA96" s="57">
        <v>0</v>
      </c>
      <c r="FB96" s="57">
        <v>0</v>
      </c>
      <c r="FC96" s="57">
        <v>32</v>
      </c>
      <c r="FF96" s="70" t="s">
        <v>1795</v>
      </c>
      <c r="FG96" s="70" t="s">
        <v>2028</v>
      </c>
      <c r="FH96" s="70" t="s">
        <v>324</v>
      </c>
      <c r="FI96" s="70" t="s">
        <v>324</v>
      </c>
      <c r="FJ96" s="70" t="s">
        <v>324</v>
      </c>
      <c r="FK96" s="70" t="s">
        <v>324</v>
      </c>
      <c r="FL96" s="70" t="s">
        <v>324</v>
      </c>
      <c r="FM96" s="70" t="s">
        <v>324</v>
      </c>
      <c r="FN96" s="70"/>
      <c r="FO96" s="70" t="s">
        <v>2028</v>
      </c>
      <c r="FP96" s="70" t="s">
        <v>324</v>
      </c>
      <c r="FQ96" s="70" t="s">
        <v>324</v>
      </c>
      <c r="FR96" s="70" t="s">
        <v>324</v>
      </c>
      <c r="FS96" s="70" t="s">
        <v>324</v>
      </c>
      <c r="FT96" s="70" t="s">
        <v>324</v>
      </c>
      <c r="FU96" s="70" t="s">
        <v>324</v>
      </c>
    </row>
    <row r="97" spans="2:177">
      <c r="B97" s="64" t="s">
        <v>925</v>
      </c>
      <c r="C97" s="64" t="s">
        <v>2018</v>
      </c>
      <c r="D97" s="64">
        <v>175</v>
      </c>
      <c r="E97" s="64">
        <v>139</v>
      </c>
      <c r="F97" s="64">
        <v>202</v>
      </c>
      <c r="G97" s="64">
        <v>325</v>
      </c>
      <c r="H97" s="64">
        <v>370</v>
      </c>
      <c r="I97" s="64">
        <v>1211</v>
      </c>
      <c r="K97" s="64" t="s">
        <v>2018</v>
      </c>
      <c r="L97" s="64">
        <v>15</v>
      </c>
      <c r="M97" s="64">
        <v>0</v>
      </c>
      <c r="N97" s="64">
        <v>0</v>
      </c>
      <c r="O97" s="64">
        <v>0</v>
      </c>
      <c r="P97" s="64">
        <v>0</v>
      </c>
      <c r="Q97" s="64">
        <v>15</v>
      </c>
      <c r="T97" s="65" t="s">
        <v>952</v>
      </c>
      <c r="U97" s="65" t="s">
        <v>2032</v>
      </c>
      <c r="V97" s="65" t="s">
        <v>324</v>
      </c>
      <c r="W97" s="65" t="s">
        <v>324</v>
      </c>
      <c r="X97" s="65" t="s">
        <v>324</v>
      </c>
      <c r="Y97" s="65" t="s">
        <v>324</v>
      </c>
      <c r="Z97" s="65" t="s">
        <v>324</v>
      </c>
      <c r="AA97" s="65" t="s">
        <v>324</v>
      </c>
      <c r="AB97" s="65"/>
      <c r="AC97" s="65" t="s">
        <v>2032</v>
      </c>
      <c r="AD97" s="65" t="s">
        <v>324</v>
      </c>
      <c r="AE97" s="65" t="s">
        <v>324</v>
      </c>
      <c r="AF97" s="65" t="s">
        <v>324</v>
      </c>
      <c r="AG97" s="65" t="s">
        <v>324</v>
      </c>
      <c r="AH97" s="65" t="s">
        <v>324</v>
      </c>
      <c r="AI97" s="65" t="s">
        <v>324</v>
      </c>
      <c r="AK97" s="66" t="s">
        <v>1149</v>
      </c>
      <c r="AL97" s="66" t="s">
        <v>2018</v>
      </c>
      <c r="AM97" s="66">
        <v>642</v>
      </c>
      <c r="AN97" s="66">
        <v>499</v>
      </c>
      <c r="AO97" s="66">
        <v>504</v>
      </c>
      <c r="AP97" s="66">
        <v>502</v>
      </c>
      <c r="AQ97" s="66">
        <v>323</v>
      </c>
      <c r="AR97" s="66">
        <v>2470</v>
      </c>
      <c r="AS97" s="66"/>
      <c r="AT97" s="66" t="s">
        <v>2018</v>
      </c>
      <c r="AU97" s="66">
        <v>86</v>
      </c>
      <c r="AV97" s="66">
        <v>3</v>
      </c>
      <c r="AW97" s="66">
        <v>2</v>
      </c>
      <c r="AX97" s="66">
        <v>0</v>
      </c>
      <c r="AY97" s="66">
        <v>0</v>
      </c>
      <c r="AZ97" s="66">
        <v>91</v>
      </c>
      <c r="BB97" s="69" t="s">
        <v>1285</v>
      </c>
      <c r="BC97" s="69" t="s">
        <v>2018</v>
      </c>
      <c r="BD97" s="69">
        <v>262</v>
      </c>
      <c r="BE97" s="69">
        <v>336</v>
      </c>
      <c r="BF97" s="69">
        <v>562</v>
      </c>
      <c r="BG97" s="69">
        <v>750</v>
      </c>
      <c r="BH97" s="69">
        <v>628</v>
      </c>
      <c r="BI97" s="69">
        <v>2538</v>
      </c>
      <c r="BJ97" s="69"/>
      <c r="BK97" s="69" t="s">
        <v>2018</v>
      </c>
      <c r="BL97" s="69">
        <v>31</v>
      </c>
      <c r="BM97" s="69">
        <v>0</v>
      </c>
      <c r="BN97" s="69">
        <v>0</v>
      </c>
      <c r="BO97" s="69">
        <v>0</v>
      </c>
      <c r="BP97" s="69">
        <v>0</v>
      </c>
      <c r="BQ97" s="69">
        <v>31</v>
      </c>
      <c r="BS97" s="70" t="s">
        <v>1448</v>
      </c>
      <c r="BT97" s="70" t="s">
        <v>2032</v>
      </c>
      <c r="BU97" s="70">
        <v>104</v>
      </c>
      <c r="BV97" s="70">
        <v>36</v>
      </c>
      <c r="BW97" s="70">
        <v>73</v>
      </c>
      <c r="BX97" s="70">
        <v>94</v>
      </c>
      <c r="BY97" s="70">
        <v>104</v>
      </c>
      <c r="BZ97" s="70">
        <v>411</v>
      </c>
      <c r="CA97" s="70"/>
      <c r="CB97" s="70" t="s">
        <v>2032</v>
      </c>
      <c r="CC97" s="70">
        <v>20</v>
      </c>
      <c r="CD97" s="70">
        <v>0</v>
      </c>
      <c r="CE97" s="70">
        <v>0</v>
      </c>
      <c r="CF97" s="70">
        <v>0</v>
      </c>
      <c r="CG97" s="70">
        <v>0</v>
      </c>
      <c r="CH97" s="70">
        <v>20</v>
      </c>
      <c r="CJ97" s="21"/>
      <c r="CL97" s="57" t="s">
        <v>356</v>
      </c>
      <c r="CM97" s="57" t="s">
        <v>2028</v>
      </c>
      <c r="CN97" s="57">
        <v>97</v>
      </c>
      <c r="CO97" s="57">
        <v>58</v>
      </c>
      <c r="CP97" s="57">
        <v>124</v>
      </c>
      <c r="CQ97" s="57">
        <v>191</v>
      </c>
      <c r="CR97" s="57">
        <v>189</v>
      </c>
      <c r="CS97" s="57">
        <v>659</v>
      </c>
      <c r="CT97" s="57"/>
      <c r="CU97" s="57" t="s">
        <v>2028</v>
      </c>
      <c r="CV97" s="57">
        <v>24</v>
      </c>
      <c r="CW97" s="57">
        <v>0</v>
      </c>
      <c r="CX97" s="57">
        <v>0</v>
      </c>
      <c r="CY97" s="57">
        <v>0</v>
      </c>
      <c r="CZ97" s="57">
        <v>0</v>
      </c>
      <c r="DA97" s="57">
        <v>24</v>
      </c>
      <c r="DV97" s="79" t="s">
        <v>1689</v>
      </c>
      <c r="DW97" s="79" t="s">
        <v>2032</v>
      </c>
      <c r="DX97" s="79" t="s">
        <v>324</v>
      </c>
      <c r="DY97" s="79" t="s">
        <v>324</v>
      </c>
      <c r="DZ97" s="79" t="s">
        <v>324</v>
      </c>
      <c r="EA97" s="79" t="s">
        <v>324</v>
      </c>
      <c r="EB97" s="79" t="s">
        <v>324</v>
      </c>
      <c r="EC97" s="79" t="s">
        <v>324</v>
      </c>
      <c r="ED97" s="79"/>
      <c r="EE97" s="79" t="s">
        <v>2032</v>
      </c>
      <c r="EF97" s="79" t="s">
        <v>324</v>
      </c>
      <c r="EG97" s="79" t="s">
        <v>324</v>
      </c>
      <c r="EH97" s="79" t="s">
        <v>324</v>
      </c>
      <c r="EI97" s="79" t="s">
        <v>324</v>
      </c>
      <c r="EJ97" s="79" t="s">
        <v>324</v>
      </c>
      <c r="EK97" s="79" t="s">
        <v>324</v>
      </c>
      <c r="EN97" s="57" t="s">
        <v>1760</v>
      </c>
      <c r="EO97" s="57" t="s">
        <v>2028</v>
      </c>
      <c r="EP97" s="57">
        <v>87</v>
      </c>
      <c r="EQ97" s="57">
        <v>139</v>
      </c>
      <c r="ER97" s="57">
        <v>145</v>
      </c>
      <c r="ES97" s="57">
        <v>192</v>
      </c>
      <c r="ET97" s="57">
        <v>209</v>
      </c>
      <c r="EU97" s="57">
        <v>772</v>
      </c>
      <c r="EV97" s="57"/>
      <c r="EW97" s="57" t="s">
        <v>2028</v>
      </c>
      <c r="EX97" s="57">
        <v>32</v>
      </c>
      <c r="EY97" s="57">
        <v>16</v>
      </c>
      <c r="EZ97" s="57">
        <v>4</v>
      </c>
      <c r="FA97" s="57">
        <v>0</v>
      </c>
      <c r="FB97" s="57">
        <v>4</v>
      </c>
      <c r="FC97" s="57">
        <v>56</v>
      </c>
      <c r="FF97" s="70" t="s">
        <v>1797</v>
      </c>
      <c r="FG97" s="70" t="s">
        <v>2028</v>
      </c>
      <c r="FH97" s="70" t="s">
        <v>324</v>
      </c>
      <c r="FI97" s="70" t="s">
        <v>324</v>
      </c>
      <c r="FJ97" s="70" t="s">
        <v>324</v>
      </c>
      <c r="FK97" s="70" t="s">
        <v>324</v>
      </c>
      <c r="FL97" s="70" t="s">
        <v>324</v>
      </c>
      <c r="FM97" s="70" t="s">
        <v>324</v>
      </c>
      <c r="FN97" s="70"/>
      <c r="FO97" s="70" t="s">
        <v>2028</v>
      </c>
      <c r="FP97" s="70" t="s">
        <v>324</v>
      </c>
      <c r="FQ97" s="70" t="s">
        <v>324</v>
      </c>
      <c r="FR97" s="70" t="s">
        <v>324</v>
      </c>
      <c r="FS97" s="70" t="s">
        <v>324</v>
      </c>
      <c r="FT97" s="70" t="s">
        <v>324</v>
      </c>
      <c r="FU97" s="70" t="s">
        <v>324</v>
      </c>
    </row>
    <row r="98" spans="2:177">
      <c r="B98" s="64" t="s">
        <v>71</v>
      </c>
      <c r="C98" s="64" t="s">
        <v>2018</v>
      </c>
      <c r="D98" s="64" t="s">
        <v>324</v>
      </c>
      <c r="E98" s="64" t="s">
        <v>324</v>
      </c>
      <c r="F98" s="64" t="s">
        <v>324</v>
      </c>
      <c r="G98" s="64" t="s">
        <v>324</v>
      </c>
      <c r="H98" s="64" t="s">
        <v>324</v>
      </c>
      <c r="I98" s="64" t="s">
        <v>324</v>
      </c>
      <c r="K98" s="64" t="s">
        <v>2018</v>
      </c>
      <c r="L98" s="64" t="s">
        <v>324</v>
      </c>
      <c r="M98" s="64" t="s">
        <v>324</v>
      </c>
      <c r="N98" s="64" t="s">
        <v>324</v>
      </c>
      <c r="O98" s="64" t="s">
        <v>324</v>
      </c>
      <c r="P98" s="64" t="s">
        <v>324</v>
      </c>
      <c r="Q98" s="64" t="s">
        <v>324</v>
      </c>
      <c r="T98" s="65" t="s">
        <v>958</v>
      </c>
      <c r="U98" s="65" t="s">
        <v>2032</v>
      </c>
      <c r="V98" s="65">
        <v>396</v>
      </c>
      <c r="W98" s="65">
        <v>551</v>
      </c>
      <c r="X98" s="65">
        <v>631</v>
      </c>
      <c r="Y98" s="65">
        <v>773</v>
      </c>
      <c r="Z98" s="65">
        <v>585</v>
      </c>
      <c r="AA98" s="65">
        <v>2936</v>
      </c>
      <c r="AB98" s="65"/>
      <c r="AC98" s="65" t="s">
        <v>2032</v>
      </c>
      <c r="AD98" s="65">
        <v>36</v>
      </c>
      <c r="AE98" s="65">
        <v>9</v>
      </c>
      <c r="AF98" s="65">
        <v>2</v>
      </c>
      <c r="AG98" s="65">
        <v>1</v>
      </c>
      <c r="AH98" s="65">
        <v>0</v>
      </c>
      <c r="AI98" s="65">
        <v>48</v>
      </c>
      <c r="AK98" s="66" t="s">
        <v>1945</v>
      </c>
      <c r="AL98" s="66" t="s">
        <v>2018</v>
      </c>
      <c r="AM98" s="66">
        <v>1370</v>
      </c>
      <c r="AN98" s="66">
        <v>1058</v>
      </c>
      <c r="AO98" s="66">
        <v>1606</v>
      </c>
      <c r="AP98" s="66">
        <v>1926</v>
      </c>
      <c r="AQ98" s="66">
        <v>1428</v>
      </c>
      <c r="AR98" s="66">
        <v>7388</v>
      </c>
      <c r="AS98" s="66"/>
      <c r="AT98" s="66" t="s">
        <v>2018</v>
      </c>
      <c r="AU98" s="66">
        <v>45</v>
      </c>
      <c r="AV98" s="66">
        <v>0</v>
      </c>
      <c r="AW98" s="66">
        <v>0</v>
      </c>
      <c r="AX98" s="66">
        <v>0</v>
      </c>
      <c r="AY98" s="66">
        <v>0</v>
      </c>
      <c r="AZ98" s="66">
        <v>45</v>
      </c>
      <c r="BB98" s="69" t="s">
        <v>1289</v>
      </c>
      <c r="BC98" s="69" t="s">
        <v>2018</v>
      </c>
      <c r="BD98" s="69">
        <v>218</v>
      </c>
      <c r="BE98" s="69">
        <v>257</v>
      </c>
      <c r="BF98" s="69">
        <v>379</v>
      </c>
      <c r="BG98" s="69">
        <v>395</v>
      </c>
      <c r="BH98" s="69">
        <v>341</v>
      </c>
      <c r="BI98" s="69">
        <v>1590</v>
      </c>
      <c r="BJ98" s="69"/>
      <c r="BK98" s="69" t="s">
        <v>2018</v>
      </c>
      <c r="BL98" s="69">
        <v>27</v>
      </c>
      <c r="BM98" s="69">
        <v>0</v>
      </c>
      <c r="BN98" s="69">
        <v>0</v>
      </c>
      <c r="BO98" s="69">
        <v>0</v>
      </c>
      <c r="BP98" s="69">
        <v>0</v>
      </c>
      <c r="BQ98" s="69">
        <v>27</v>
      </c>
      <c r="BS98" s="70" t="s">
        <v>1450</v>
      </c>
      <c r="BT98" s="70" t="s">
        <v>2032</v>
      </c>
      <c r="BU98" s="70">
        <v>110</v>
      </c>
      <c r="BV98" s="70">
        <v>69</v>
      </c>
      <c r="BW98" s="70">
        <v>79</v>
      </c>
      <c r="BX98" s="70">
        <v>95</v>
      </c>
      <c r="BY98" s="70">
        <v>113</v>
      </c>
      <c r="BZ98" s="70">
        <v>466</v>
      </c>
      <c r="CA98" s="70"/>
      <c r="CB98" s="70" t="s">
        <v>2032</v>
      </c>
      <c r="CC98" s="70">
        <v>50</v>
      </c>
      <c r="CD98" s="70">
        <v>2</v>
      </c>
      <c r="CE98" s="70">
        <v>2</v>
      </c>
      <c r="CF98" s="70">
        <v>1</v>
      </c>
      <c r="CG98" s="70">
        <v>1</v>
      </c>
      <c r="CH98" s="70">
        <v>56</v>
      </c>
      <c r="CJ98" s="21"/>
      <c r="CL98" s="57" t="s">
        <v>358</v>
      </c>
      <c r="CM98" s="57" t="s">
        <v>2028</v>
      </c>
      <c r="CN98" s="57">
        <v>64</v>
      </c>
      <c r="CO98" s="57">
        <v>67</v>
      </c>
      <c r="CP98" s="57">
        <v>128</v>
      </c>
      <c r="CQ98" s="57">
        <v>215</v>
      </c>
      <c r="CR98" s="57">
        <v>201</v>
      </c>
      <c r="CS98" s="57">
        <v>675</v>
      </c>
      <c r="CT98" s="57"/>
      <c r="CU98" s="57" t="s">
        <v>2028</v>
      </c>
      <c r="CV98" s="57">
        <v>22</v>
      </c>
      <c r="CW98" s="57">
        <v>0</v>
      </c>
      <c r="CX98" s="57">
        <v>0</v>
      </c>
      <c r="CY98" s="57">
        <v>0</v>
      </c>
      <c r="CZ98" s="57">
        <v>0</v>
      </c>
      <c r="DA98" s="57">
        <v>22</v>
      </c>
      <c r="DD98" s="77" t="s">
        <v>371</v>
      </c>
      <c r="DE98" s="77" t="s">
        <v>2253</v>
      </c>
      <c r="DF98" s="77">
        <v>506</v>
      </c>
      <c r="DG98" s="77">
        <v>477</v>
      </c>
      <c r="DH98" s="77">
        <v>514</v>
      </c>
      <c r="DI98" s="77">
        <v>558</v>
      </c>
      <c r="DJ98" s="77">
        <v>406</v>
      </c>
      <c r="DK98" s="77">
        <v>2461</v>
      </c>
      <c r="DL98" s="77"/>
      <c r="DM98" s="77" t="s">
        <v>2253</v>
      </c>
      <c r="DN98" s="77">
        <v>42</v>
      </c>
      <c r="DO98" s="77">
        <v>3</v>
      </c>
      <c r="DP98" s="77">
        <v>0</v>
      </c>
      <c r="DQ98" s="77">
        <v>0</v>
      </c>
      <c r="DR98" s="77">
        <v>0</v>
      </c>
      <c r="DS98" s="77">
        <v>45</v>
      </c>
      <c r="DV98" s="79" t="s">
        <v>1692</v>
      </c>
      <c r="DW98" s="79" t="s">
        <v>2032</v>
      </c>
      <c r="DX98" s="79" t="s">
        <v>324</v>
      </c>
      <c r="DY98" s="79" t="s">
        <v>324</v>
      </c>
      <c r="DZ98" s="79" t="s">
        <v>324</v>
      </c>
      <c r="EA98" s="79" t="s">
        <v>324</v>
      </c>
      <c r="EB98" s="79" t="s">
        <v>324</v>
      </c>
      <c r="EC98" s="79" t="s">
        <v>324</v>
      </c>
      <c r="ED98" s="79"/>
      <c r="EE98" s="79" t="s">
        <v>2032</v>
      </c>
      <c r="EF98" s="79" t="s">
        <v>324</v>
      </c>
      <c r="EG98" s="79" t="s">
        <v>324</v>
      </c>
      <c r="EH98" s="79" t="s">
        <v>324</v>
      </c>
      <c r="EI98" s="79" t="s">
        <v>324</v>
      </c>
      <c r="EJ98" s="79" t="s">
        <v>324</v>
      </c>
      <c r="EK98" s="79" t="s">
        <v>324</v>
      </c>
      <c r="EN98" s="57" t="s">
        <v>1763</v>
      </c>
      <c r="EO98" s="57" t="s">
        <v>2028</v>
      </c>
      <c r="EP98" s="57">
        <v>54</v>
      </c>
      <c r="EQ98" s="57">
        <v>94</v>
      </c>
      <c r="ER98" s="57">
        <v>156</v>
      </c>
      <c r="ES98" s="57">
        <v>208</v>
      </c>
      <c r="ET98" s="57">
        <v>255</v>
      </c>
      <c r="EU98" s="57">
        <v>767</v>
      </c>
      <c r="EV98" s="57"/>
      <c r="EW98" s="57" t="s">
        <v>2028</v>
      </c>
      <c r="EX98" s="57">
        <v>11</v>
      </c>
      <c r="EY98" s="57">
        <v>6</v>
      </c>
      <c r="EZ98" s="57">
        <v>3</v>
      </c>
      <c r="FA98" s="57">
        <v>4</v>
      </c>
      <c r="FB98" s="57">
        <v>4</v>
      </c>
      <c r="FC98" s="57">
        <v>28</v>
      </c>
      <c r="FF98" s="70" t="s">
        <v>1800</v>
      </c>
      <c r="FG98" s="70" t="s">
        <v>2028</v>
      </c>
      <c r="FH98" s="70">
        <v>118</v>
      </c>
      <c r="FI98" s="70">
        <v>148</v>
      </c>
      <c r="FJ98" s="70">
        <v>198</v>
      </c>
      <c r="FK98" s="70">
        <v>298</v>
      </c>
      <c r="FL98" s="70">
        <v>348</v>
      </c>
      <c r="FM98" s="70">
        <v>1110</v>
      </c>
      <c r="FN98" s="70"/>
      <c r="FO98" s="70" t="s">
        <v>2028</v>
      </c>
      <c r="FP98" s="70">
        <v>21</v>
      </c>
      <c r="FQ98" s="70">
        <v>6</v>
      </c>
      <c r="FR98" s="70">
        <v>3</v>
      </c>
      <c r="FS98" s="70">
        <v>3</v>
      </c>
      <c r="FT98" s="70">
        <v>1</v>
      </c>
      <c r="FU98" s="70">
        <v>34</v>
      </c>
    </row>
    <row r="99" spans="2:177">
      <c r="B99" s="64" t="s">
        <v>933</v>
      </c>
      <c r="C99" s="64" t="s">
        <v>2018</v>
      </c>
      <c r="D99" s="64" t="s">
        <v>324</v>
      </c>
      <c r="E99" s="64" t="s">
        <v>324</v>
      </c>
      <c r="F99" s="64" t="s">
        <v>324</v>
      </c>
      <c r="G99" s="64" t="s">
        <v>324</v>
      </c>
      <c r="H99" s="64" t="s">
        <v>324</v>
      </c>
      <c r="I99" s="64" t="s">
        <v>324</v>
      </c>
      <c r="K99" s="64" t="s">
        <v>2018</v>
      </c>
      <c r="L99" s="64" t="s">
        <v>324</v>
      </c>
      <c r="M99" s="64" t="s">
        <v>324</v>
      </c>
      <c r="N99" s="64" t="s">
        <v>324</v>
      </c>
      <c r="O99" s="64" t="s">
        <v>324</v>
      </c>
      <c r="P99" s="64" t="s">
        <v>324</v>
      </c>
      <c r="Q99" s="64" t="s">
        <v>324</v>
      </c>
      <c r="T99" s="65" t="s">
        <v>962</v>
      </c>
      <c r="U99" s="65" t="s">
        <v>2032</v>
      </c>
      <c r="V99" s="65">
        <v>1258</v>
      </c>
      <c r="W99" s="65">
        <v>1183</v>
      </c>
      <c r="X99" s="65">
        <v>1400</v>
      </c>
      <c r="Y99" s="65">
        <v>1464</v>
      </c>
      <c r="Z99" s="65">
        <v>1076</v>
      </c>
      <c r="AA99" s="65">
        <v>6381</v>
      </c>
      <c r="AB99" s="65"/>
      <c r="AC99" s="65" t="s">
        <v>2032</v>
      </c>
      <c r="AD99" s="65">
        <v>158</v>
      </c>
      <c r="AE99" s="65">
        <v>39</v>
      </c>
      <c r="AF99" s="65">
        <v>10</v>
      </c>
      <c r="AG99" s="65">
        <v>3</v>
      </c>
      <c r="AH99" s="65">
        <v>3</v>
      </c>
      <c r="AI99" s="65">
        <v>213</v>
      </c>
      <c r="AK99" s="66" t="s">
        <v>1951</v>
      </c>
      <c r="AL99" s="66" t="s">
        <v>2018</v>
      </c>
      <c r="AM99" s="66">
        <v>854</v>
      </c>
      <c r="AN99" s="66">
        <v>1101</v>
      </c>
      <c r="AO99" s="66">
        <v>1546</v>
      </c>
      <c r="AP99" s="66">
        <v>1763</v>
      </c>
      <c r="AQ99" s="66">
        <v>1076</v>
      </c>
      <c r="AR99" s="66">
        <v>6340</v>
      </c>
      <c r="AS99" s="66"/>
      <c r="AT99" s="66" t="s">
        <v>2018</v>
      </c>
      <c r="AU99" s="66">
        <v>42</v>
      </c>
      <c r="AV99" s="66">
        <v>7</v>
      </c>
      <c r="AW99" s="66">
        <v>0</v>
      </c>
      <c r="AX99" s="66">
        <v>0</v>
      </c>
      <c r="AY99" s="66">
        <v>0</v>
      </c>
      <c r="AZ99" s="66">
        <v>49</v>
      </c>
      <c r="BB99" s="69" t="s">
        <v>1292</v>
      </c>
      <c r="BC99" s="69" t="s">
        <v>2018</v>
      </c>
      <c r="BD99" s="69">
        <v>548</v>
      </c>
      <c r="BE99" s="69">
        <v>59</v>
      </c>
      <c r="BF99" s="69">
        <v>106</v>
      </c>
      <c r="BG99" s="69">
        <v>134</v>
      </c>
      <c r="BH99" s="69">
        <v>255</v>
      </c>
      <c r="BI99" s="69">
        <v>1102</v>
      </c>
      <c r="BJ99" s="69"/>
      <c r="BK99" s="69" t="s">
        <v>2018</v>
      </c>
      <c r="BL99" s="69">
        <v>192</v>
      </c>
      <c r="BM99" s="69">
        <v>0</v>
      </c>
      <c r="BN99" s="69">
        <v>0</v>
      </c>
      <c r="BO99" s="69">
        <v>0</v>
      </c>
      <c r="BP99" s="69">
        <v>0</v>
      </c>
      <c r="BQ99" s="69">
        <v>192</v>
      </c>
      <c r="BS99" s="70" t="s">
        <v>1454</v>
      </c>
      <c r="BT99" s="70" t="s">
        <v>2032</v>
      </c>
      <c r="BU99" s="70">
        <v>55</v>
      </c>
      <c r="BV99" s="70">
        <v>60</v>
      </c>
      <c r="BW99" s="70">
        <v>86</v>
      </c>
      <c r="BX99" s="70">
        <v>94</v>
      </c>
      <c r="BY99" s="70">
        <v>107</v>
      </c>
      <c r="BZ99" s="70">
        <v>402</v>
      </c>
      <c r="CA99" s="70"/>
      <c r="CB99" s="70" t="s">
        <v>2032</v>
      </c>
      <c r="CC99" s="70">
        <v>25</v>
      </c>
      <c r="CD99" s="70">
        <v>0</v>
      </c>
      <c r="CE99" s="70">
        <v>0</v>
      </c>
      <c r="CF99" s="70">
        <v>0</v>
      </c>
      <c r="CG99" s="70">
        <v>0</v>
      </c>
      <c r="CH99" s="70">
        <v>25</v>
      </c>
      <c r="CL99" s="57" t="s">
        <v>357</v>
      </c>
      <c r="CM99" s="57" t="s">
        <v>2028</v>
      </c>
      <c r="CN99" s="57">
        <v>126</v>
      </c>
      <c r="CO99" s="57">
        <v>65</v>
      </c>
      <c r="CP99" s="57">
        <v>85</v>
      </c>
      <c r="CQ99" s="57">
        <v>118</v>
      </c>
      <c r="CR99" s="57">
        <v>135</v>
      </c>
      <c r="CS99" s="57">
        <v>529</v>
      </c>
      <c r="CT99" s="57"/>
      <c r="CU99" s="57" t="s">
        <v>2028</v>
      </c>
      <c r="CV99" s="57">
        <v>67</v>
      </c>
      <c r="CW99" s="57">
        <v>0</v>
      </c>
      <c r="CX99" s="57">
        <v>0</v>
      </c>
      <c r="CY99" s="57">
        <v>0</v>
      </c>
      <c r="CZ99" s="57">
        <v>0</v>
      </c>
      <c r="DA99" s="57">
        <v>67</v>
      </c>
      <c r="DD99" s="77" t="s">
        <v>1569</v>
      </c>
      <c r="DE99" s="77" t="s">
        <v>2253</v>
      </c>
      <c r="DF99" s="77">
        <v>313</v>
      </c>
      <c r="DG99" s="77">
        <v>346</v>
      </c>
      <c r="DH99" s="77">
        <v>344</v>
      </c>
      <c r="DI99" s="77">
        <v>438</v>
      </c>
      <c r="DJ99" s="77">
        <v>378</v>
      </c>
      <c r="DK99" s="77">
        <v>1819</v>
      </c>
      <c r="DL99" s="77"/>
      <c r="DM99" s="77" t="s">
        <v>2253</v>
      </c>
      <c r="DN99" s="77">
        <v>15</v>
      </c>
      <c r="DO99" s="77">
        <v>0</v>
      </c>
      <c r="DP99" s="77">
        <v>0</v>
      </c>
      <c r="DQ99" s="77">
        <v>0</v>
      </c>
      <c r="DR99" s="77">
        <v>0</v>
      </c>
      <c r="DS99" s="77">
        <v>15</v>
      </c>
      <c r="DU99" s="16" t="s">
        <v>1695</v>
      </c>
      <c r="DV99" s="79" t="s">
        <v>2658</v>
      </c>
      <c r="DW99" s="79" t="s">
        <v>2032</v>
      </c>
      <c r="DX99" s="79">
        <v>159</v>
      </c>
      <c r="DY99" s="79">
        <v>102</v>
      </c>
      <c r="DZ99" s="79">
        <v>102</v>
      </c>
      <c r="EA99" s="79">
        <v>144</v>
      </c>
      <c r="EB99" s="79">
        <v>120</v>
      </c>
      <c r="EC99" s="79">
        <v>627</v>
      </c>
      <c r="ED99" s="79"/>
      <c r="EE99" s="79" t="s">
        <v>2032</v>
      </c>
      <c r="EF99" s="79">
        <v>29</v>
      </c>
      <c r="EG99" s="79">
        <v>0</v>
      </c>
      <c r="EH99" s="79">
        <v>0</v>
      </c>
      <c r="EI99" s="79">
        <v>0</v>
      </c>
      <c r="EJ99" s="79">
        <v>0</v>
      </c>
      <c r="EK99" s="79">
        <v>29</v>
      </c>
      <c r="EN99" s="57" t="s">
        <v>1767</v>
      </c>
      <c r="EO99" s="57" t="s">
        <v>2028</v>
      </c>
      <c r="EP99" s="57">
        <v>146</v>
      </c>
      <c r="EQ99" s="57">
        <v>168</v>
      </c>
      <c r="ER99" s="57">
        <v>210</v>
      </c>
      <c r="ES99" s="57">
        <v>231</v>
      </c>
      <c r="ET99" s="57">
        <v>272</v>
      </c>
      <c r="EU99" s="57">
        <v>1027</v>
      </c>
      <c r="EV99" s="57"/>
      <c r="EW99" s="57" t="s">
        <v>2028</v>
      </c>
      <c r="EX99" s="57">
        <v>27</v>
      </c>
      <c r="EY99" s="57">
        <v>7</v>
      </c>
      <c r="EZ99" s="57">
        <v>1</v>
      </c>
      <c r="FA99" s="57">
        <v>0</v>
      </c>
      <c r="FB99" s="57">
        <v>0</v>
      </c>
      <c r="FC99" s="57">
        <v>35</v>
      </c>
      <c r="FF99" s="70" t="s">
        <v>2005</v>
      </c>
      <c r="FG99" s="70" t="s">
        <v>2028</v>
      </c>
      <c r="FH99" s="70">
        <v>111</v>
      </c>
      <c r="FI99" s="70">
        <v>180</v>
      </c>
      <c r="FJ99" s="70">
        <v>252</v>
      </c>
      <c r="FK99" s="70">
        <v>371</v>
      </c>
      <c r="FL99" s="70">
        <v>398</v>
      </c>
      <c r="FM99" s="70">
        <v>1312</v>
      </c>
      <c r="FN99" s="70"/>
      <c r="FO99" s="70" t="s">
        <v>2028</v>
      </c>
      <c r="FP99" s="70">
        <v>5</v>
      </c>
      <c r="FQ99" s="70">
        <v>7</v>
      </c>
      <c r="FR99" s="70">
        <v>1</v>
      </c>
      <c r="FS99" s="70">
        <v>1</v>
      </c>
      <c r="FT99" s="70">
        <v>3</v>
      </c>
      <c r="FU99" s="70">
        <v>17</v>
      </c>
    </row>
    <row r="100" spans="2:177">
      <c r="B100" s="64" t="s">
        <v>145</v>
      </c>
      <c r="C100" s="64" t="s">
        <v>2018</v>
      </c>
      <c r="D100" s="64" t="s">
        <v>324</v>
      </c>
      <c r="E100" s="64" t="s">
        <v>324</v>
      </c>
      <c r="F100" s="64" t="s">
        <v>324</v>
      </c>
      <c r="G100" s="64" t="s">
        <v>324</v>
      </c>
      <c r="H100" s="64" t="s">
        <v>324</v>
      </c>
      <c r="I100" s="64" t="s">
        <v>324</v>
      </c>
      <c r="K100" s="64" t="s">
        <v>2018</v>
      </c>
      <c r="L100" s="64" t="s">
        <v>324</v>
      </c>
      <c r="M100" s="64" t="s">
        <v>324</v>
      </c>
      <c r="N100" s="64" t="s">
        <v>324</v>
      </c>
      <c r="O100" s="64" t="s">
        <v>324</v>
      </c>
      <c r="P100" s="64" t="s">
        <v>324</v>
      </c>
      <c r="Q100" s="64" t="s">
        <v>324</v>
      </c>
      <c r="T100" s="65" t="s">
        <v>965</v>
      </c>
      <c r="U100" s="65" t="s">
        <v>2032</v>
      </c>
      <c r="V100" s="65">
        <v>560</v>
      </c>
      <c r="W100" s="65">
        <v>583</v>
      </c>
      <c r="X100" s="65">
        <v>871</v>
      </c>
      <c r="Y100" s="65">
        <v>1122</v>
      </c>
      <c r="Z100" s="65">
        <v>883</v>
      </c>
      <c r="AA100" s="65">
        <v>4019</v>
      </c>
      <c r="AB100" s="65"/>
      <c r="AC100" s="65" t="s">
        <v>2032</v>
      </c>
      <c r="AD100" s="65">
        <v>84</v>
      </c>
      <c r="AE100" s="65">
        <v>3</v>
      </c>
      <c r="AF100" s="65">
        <v>1</v>
      </c>
      <c r="AG100" s="65">
        <v>1</v>
      </c>
      <c r="AH100" s="65">
        <v>0</v>
      </c>
      <c r="AI100" s="65">
        <v>89</v>
      </c>
      <c r="AK100" s="66" t="s">
        <v>1915</v>
      </c>
      <c r="AL100" s="66" t="s">
        <v>2018</v>
      </c>
      <c r="AM100" s="66">
        <v>727</v>
      </c>
      <c r="AN100" s="66">
        <v>622</v>
      </c>
      <c r="AO100" s="66">
        <v>831</v>
      </c>
      <c r="AP100" s="66">
        <v>918</v>
      </c>
      <c r="AQ100" s="66">
        <v>601</v>
      </c>
      <c r="AR100" s="66">
        <v>3699</v>
      </c>
      <c r="AS100" s="66"/>
      <c r="AT100" s="66" t="s">
        <v>2018</v>
      </c>
      <c r="AU100" s="66">
        <v>78</v>
      </c>
      <c r="AV100" s="66">
        <v>3</v>
      </c>
      <c r="AW100" s="66">
        <v>0</v>
      </c>
      <c r="AX100" s="66">
        <v>0</v>
      </c>
      <c r="AY100" s="66">
        <v>0</v>
      </c>
      <c r="AZ100" s="66">
        <v>81</v>
      </c>
      <c r="BB100" s="69" t="s">
        <v>439</v>
      </c>
      <c r="BC100" s="69" t="s">
        <v>2018</v>
      </c>
      <c r="BD100" s="69">
        <v>90</v>
      </c>
      <c r="BE100" s="69">
        <v>26</v>
      </c>
      <c r="BF100" s="69">
        <v>46</v>
      </c>
      <c r="BG100" s="69">
        <v>50</v>
      </c>
      <c r="BH100" s="69">
        <v>121</v>
      </c>
      <c r="BI100" s="69">
        <v>333</v>
      </c>
      <c r="BJ100" s="69"/>
      <c r="BK100" s="69" t="s">
        <v>2018</v>
      </c>
      <c r="BL100" s="69">
        <v>47</v>
      </c>
      <c r="BM100" s="69">
        <v>0</v>
      </c>
      <c r="BN100" s="69">
        <v>0</v>
      </c>
      <c r="BO100" s="69">
        <v>0</v>
      </c>
      <c r="BP100" s="69">
        <v>0</v>
      </c>
      <c r="BQ100" s="69">
        <v>47</v>
      </c>
      <c r="BS100" s="70" t="s">
        <v>1458</v>
      </c>
      <c r="BT100" s="70" t="s">
        <v>2032</v>
      </c>
      <c r="BU100" s="70">
        <v>97</v>
      </c>
      <c r="BV100" s="70">
        <v>72</v>
      </c>
      <c r="BW100" s="70">
        <v>158</v>
      </c>
      <c r="BX100" s="70">
        <v>205</v>
      </c>
      <c r="BY100" s="70">
        <v>215</v>
      </c>
      <c r="BZ100" s="70">
        <v>747</v>
      </c>
      <c r="CA100" s="70"/>
      <c r="CB100" s="70" t="s">
        <v>2032</v>
      </c>
      <c r="CC100" s="70">
        <v>25</v>
      </c>
      <c r="CD100" s="70">
        <v>0</v>
      </c>
      <c r="CE100" s="70">
        <v>0</v>
      </c>
      <c r="CF100" s="70">
        <v>0</v>
      </c>
      <c r="CG100" s="70">
        <v>0</v>
      </c>
      <c r="CH100" s="70">
        <v>25</v>
      </c>
      <c r="CL100" s="57" t="s">
        <v>361</v>
      </c>
      <c r="CM100" s="57" t="s">
        <v>2028</v>
      </c>
      <c r="CN100" s="57">
        <v>65</v>
      </c>
      <c r="CO100" s="57">
        <v>46</v>
      </c>
      <c r="CP100" s="57">
        <v>81</v>
      </c>
      <c r="CQ100" s="57">
        <v>112</v>
      </c>
      <c r="CR100" s="57">
        <v>122</v>
      </c>
      <c r="CS100" s="57">
        <v>426</v>
      </c>
      <c r="CT100" s="57"/>
      <c r="CU100" s="57" t="s">
        <v>2028</v>
      </c>
      <c r="CV100" s="57">
        <v>20</v>
      </c>
      <c r="CW100" s="57">
        <v>0</v>
      </c>
      <c r="CX100" s="57">
        <v>0</v>
      </c>
      <c r="CY100" s="57">
        <v>0</v>
      </c>
      <c r="CZ100" s="57">
        <v>0</v>
      </c>
      <c r="DA100" s="57">
        <v>20</v>
      </c>
      <c r="DD100" s="77" t="s">
        <v>1573</v>
      </c>
      <c r="DE100" s="77" t="s">
        <v>2253</v>
      </c>
      <c r="DF100" s="77">
        <v>441</v>
      </c>
      <c r="DG100" s="77">
        <v>451</v>
      </c>
      <c r="DH100" s="77">
        <v>569</v>
      </c>
      <c r="DI100" s="77">
        <v>621</v>
      </c>
      <c r="DJ100" s="77">
        <v>474</v>
      </c>
      <c r="DK100" s="77">
        <v>2556</v>
      </c>
      <c r="DL100" s="77"/>
      <c r="DM100" s="77" t="s">
        <v>2253</v>
      </c>
      <c r="DN100" s="77">
        <v>10</v>
      </c>
      <c r="DO100" s="77">
        <v>0</v>
      </c>
      <c r="DP100" s="77">
        <v>0</v>
      </c>
      <c r="DQ100" s="77">
        <v>0</v>
      </c>
      <c r="DR100" s="77">
        <v>0</v>
      </c>
      <c r="DS100" s="77">
        <v>10</v>
      </c>
      <c r="DU100" s="16" t="s">
        <v>1698</v>
      </c>
      <c r="DV100" s="79" t="s">
        <v>2661</v>
      </c>
      <c r="DW100" s="79" t="s">
        <v>2032</v>
      </c>
      <c r="DX100" s="79">
        <v>292</v>
      </c>
      <c r="DY100" s="79">
        <v>238</v>
      </c>
      <c r="DZ100" s="79">
        <v>314</v>
      </c>
      <c r="EA100" s="79">
        <v>300</v>
      </c>
      <c r="EB100" s="79">
        <v>233</v>
      </c>
      <c r="EC100" s="79">
        <v>1377</v>
      </c>
      <c r="ED100" s="79"/>
      <c r="EE100" s="79" t="s">
        <v>2032</v>
      </c>
      <c r="EF100" s="79">
        <v>30</v>
      </c>
      <c r="EG100" s="79">
        <v>0</v>
      </c>
      <c r="EH100" s="79">
        <v>0</v>
      </c>
      <c r="EI100" s="79">
        <v>0</v>
      </c>
      <c r="EJ100" s="79">
        <v>0</v>
      </c>
      <c r="EK100" s="79">
        <v>30</v>
      </c>
      <c r="EN100" s="57" t="s">
        <v>1998</v>
      </c>
      <c r="EO100" s="57" t="s">
        <v>2028</v>
      </c>
      <c r="EP100" s="57">
        <v>104</v>
      </c>
      <c r="EQ100" s="57">
        <v>146</v>
      </c>
      <c r="ER100" s="57">
        <v>172</v>
      </c>
      <c r="ES100" s="57">
        <v>168</v>
      </c>
      <c r="ET100" s="57">
        <v>223</v>
      </c>
      <c r="EU100" s="57">
        <v>813</v>
      </c>
      <c r="EV100" s="57"/>
      <c r="EW100" s="57" t="s">
        <v>2028</v>
      </c>
      <c r="EX100" s="57">
        <v>30</v>
      </c>
      <c r="EY100" s="57">
        <v>8</v>
      </c>
      <c r="EZ100" s="57">
        <v>4</v>
      </c>
      <c r="FA100" s="57">
        <v>0</v>
      </c>
      <c r="FB100" s="57">
        <v>4</v>
      </c>
      <c r="FC100" s="57">
        <v>46</v>
      </c>
      <c r="FF100" s="70" t="s">
        <v>2006</v>
      </c>
      <c r="FG100" s="70" t="s">
        <v>2028</v>
      </c>
      <c r="FH100" s="70">
        <v>240</v>
      </c>
      <c r="FI100" s="70">
        <v>380</v>
      </c>
      <c r="FJ100" s="70">
        <v>431</v>
      </c>
      <c r="FK100" s="70">
        <v>490</v>
      </c>
      <c r="FL100" s="70">
        <v>695</v>
      </c>
      <c r="FM100" s="70">
        <v>2236</v>
      </c>
      <c r="FN100" s="70"/>
      <c r="FO100" s="70" t="s">
        <v>2028</v>
      </c>
      <c r="FP100" s="70">
        <v>32</v>
      </c>
      <c r="FQ100" s="70">
        <v>17</v>
      </c>
      <c r="FR100" s="70">
        <v>1</v>
      </c>
      <c r="FS100" s="70">
        <v>0</v>
      </c>
      <c r="FT100" s="70">
        <v>0</v>
      </c>
      <c r="FU100" s="70">
        <v>50</v>
      </c>
    </row>
    <row r="101" spans="2:177">
      <c r="B101" s="15"/>
      <c r="D101" s="15"/>
      <c r="E101" s="15"/>
      <c r="F101" s="15"/>
      <c r="G101" s="15"/>
      <c r="H101" s="15"/>
      <c r="I101" s="15"/>
      <c r="J101" s="15"/>
      <c r="L101" s="15"/>
      <c r="M101" s="15"/>
      <c r="N101" s="15"/>
      <c r="O101" s="15"/>
      <c r="P101" s="15"/>
      <c r="Q101" s="15"/>
      <c r="T101" s="65" t="s">
        <v>971</v>
      </c>
      <c r="U101" s="65" t="s">
        <v>2032</v>
      </c>
      <c r="V101" s="65">
        <v>499</v>
      </c>
      <c r="W101" s="65">
        <v>359</v>
      </c>
      <c r="X101" s="65">
        <v>544</v>
      </c>
      <c r="Y101" s="65">
        <v>663</v>
      </c>
      <c r="Z101" s="65">
        <v>516</v>
      </c>
      <c r="AA101" s="65">
        <v>2581</v>
      </c>
      <c r="AB101" s="65"/>
      <c r="AC101" s="65" t="s">
        <v>2032</v>
      </c>
      <c r="AD101" s="65">
        <v>23</v>
      </c>
      <c r="AE101" s="65">
        <v>0</v>
      </c>
      <c r="AF101" s="65">
        <v>0</v>
      </c>
      <c r="AG101" s="65">
        <v>0</v>
      </c>
      <c r="AH101" s="65">
        <v>0</v>
      </c>
      <c r="AI101" s="65">
        <v>23</v>
      </c>
      <c r="AK101" s="66" t="s">
        <v>1930</v>
      </c>
      <c r="AL101" s="66" t="s">
        <v>2018</v>
      </c>
      <c r="AM101" s="66">
        <v>360</v>
      </c>
      <c r="AN101" s="66">
        <v>603</v>
      </c>
      <c r="AO101" s="66">
        <v>864</v>
      </c>
      <c r="AP101" s="66">
        <v>916</v>
      </c>
      <c r="AQ101" s="66">
        <v>614</v>
      </c>
      <c r="AR101" s="66">
        <v>3357</v>
      </c>
      <c r="AS101" s="66"/>
      <c r="AT101" s="66" t="s">
        <v>2018</v>
      </c>
      <c r="AU101" s="66">
        <v>20</v>
      </c>
      <c r="AV101" s="66">
        <v>2</v>
      </c>
      <c r="AW101" s="66">
        <v>0</v>
      </c>
      <c r="AX101" s="66">
        <v>0</v>
      </c>
      <c r="AY101" s="66">
        <v>0</v>
      </c>
      <c r="AZ101" s="66">
        <v>22</v>
      </c>
      <c r="BB101" s="69" t="s">
        <v>1300</v>
      </c>
      <c r="BC101" s="69" t="s">
        <v>2018</v>
      </c>
      <c r="BD101" s="69">
        <v>736</v>
      </c>
      <c r="BE101" s="69">
        <v>604</v>
      </c>
      <c r="BF101" s="69">
        <v>848</v>
      </c>
      <c r="BG101" s="69">
        <v>864</v>
      </c>
      <c r="BH101" s="69">
        <v>710</v>
      </c>
      <c r="BI101" s="69">
        <v>3762</v>
      </c>
      <c r="BJ101" s="69"/>
      <c r="BK101" s="69" t="s">
        <v>2018</v>
      </c>
      <c r="BL101" s="69">
        <v>192</v>
      </c>
      <c r="BM101" s="69">
        <v>0</v>
      </c>
      <c r="BN101" s="69">
        <v>0</v>
      </c>
      <c r="BO101" s="69">
        <v>0</v>
      </c>
      <c r="BP101" s="69">
        <v>0</v>
      </c>
      <c r="BQ101" s="69">
        <v>192</v>
      </c>
      <c r="BS101" s="70" t="s">
        <v>1462</v>
      </c>
      <c r="BT101" s="70" t="s">
        <v>2032</v>
      </c>
      <c r="BU101" s="70">
        <v>66</v>
      </c>
      <c r="BV101" s="70">
        <v>52</v>
      </c>
      <c r="BW101" s="70">
        <v>128</v>
      </c>
      <c r="BX101" s="70">
        <v>204</v>
      </c>
      <c r="BY101" s="70">
        <v>188</v>
      </c>
      <c r="BZ101" s="70">
        <v>638</v>
      </c>
      <c r="CA101" s="70"/>
      <c r="CB101" s="70" t="s">
        <v>2032</v>
      </c>
      <c r="CC101" s="70">
        <v>15</v>
      </c>
      <c r="CD101" s="70">
        <v>0</v>
      </c>
      <c r="CE101" s="70">
        <v>0</v>
      </c>
      <c r="CF101" s="70">
        <v>0</v>
      </c>
      <c r="CG101" s="70">
        <v>0</v>
      </c>
      <c r="CH101" s="70">
        <v>15</v>
      </c>
      <c r="CL101" s="57" t="s">
        <v>359</v>
      </c>
      <c r="CM101" s="57" t="s">
        <v>2028</v>
      </c>
      <c r="CN101" s="57">
        <v>47</v>
      </c>
      <c r="CO101" s="57">
        <v>37</v>
      </c>
      <c r="CP101" s="57">
        <v>97</v>
      </c>
      <c r="CQ101" s="57">
        <v>136</v>
      </c>
      <c r="CR101" s="57">
        <v>180</v>
      </c>
      <c r="CS101" s="57">
        <v>497</v>
      </c>
      <c r="CT101" s="57"/>
      <c r="CU101" s="57" t="s">
        <v>2028</v>
      </c>
      <c r="CV101" s="57">
        <v>6</v>
      </c>
      <c r="CW101" s="57">
        <v>0</v>
      </c>
      <c r="CX101" s="57">
        <v>0</v>
      </c>
      <c r="CY101" s="57">
        <v>0</v>
      </c>
      <c r="CZ101" s="57">
        <v>0</v>
      </c>
      <c r="DA101" s="57">
        <v>6</v>
      </c>
      <c r="DD101" s="77" t="s">
        <v>1581</v>
      </c>
      <c r="DE101" s="77" t="s">
        <v>2253</v>
      </c>
      <c r="DF101" s="77">
        <v>237</v>
      </c>
      <c r="DG101" s="77">
        <v>251</v>
      </c>
      <c r="DH101" s="77">
        <v>290</v>
      </c>
      <c r="DI101" s="77">
        <v>310</v>
      </c>
      <c r="DJ101" s="77">
        <v>329</v>
      </c>
      <c r="DK101" s="77">
        <v>1417</v>
      </c>
      <c r="DL101" s="77"/>
      <c r="DM101" s="77" t="s">
        <v>2253</v>
      </c>
      <c r="DN101" s="77">
        <v>27</v>
      </c>
      <c r="DO101" s="77">
        <v>13</v>
      </c>
      <c r="DP101" s="77">
        <v>4</v>
      </c>
      <c r="DQ101" s="77">
        <v>0</v>
      </c>
      <c r="DR101" s="77">
        <v>0</v>
      </c>
      <c r="DS101" s="77">
        <v>44</v>
      </c>
      <c r="DV101" s="79" t="s">
        <v>1701</v>
      </c>
      <c r="DW101" s="79" t="s">
        <v>2032</v>
      </c>
      <c r="DX101" s="79">
        <v>95</v>
      </c>
      <c r="DY101" s="79">
        <v>86</v>
      </c>
      <c r="DZ101" s="79">
        <v>136</v>
      </c>
      <c r="EA101" s="79">
        <v>177</v>
      </c>
      <c r="EB101" s="79">
        <v>146</v>
      </c>
      <c r="EC101" s="79">
        <v>640</v>
      </c>
      <c r="ED101" s="79"/>
      <c r="EE101" s="79" t="s">
        <v>2032</v>
      </c>
      <c r="EF101" s="79">
        <v>11</v>
      </c>
      <c r="EG101" s="79">
        <v>0</v>
      </c>
      <c r="EH101" s="79">
        <v>0</v>
      </c>
      <c r="EI101" s="79">
        <v>0</v>
      </c>
      <c r="EJ101" s="79">
        <v>0</v>
      </c>
      <c r="EK101" s="79">
        <v>11</v>
      </c>
      <c r="EN101" s="57" t="s">
        <v>1770</v>
      </c>
      <c r="EO101" s="57" t="s">
        <v>2028</v>
      </c>
      <c r="EP101" s="57">
        <v>762</v>
      </c>
      <c r="EQ101" s="57">
        <v>708</v>
      </c>
      <c r="ER101" s="57">
        <v>584</v>
      </c>
      <c r="ES101" s="57">
        <v>661</v>
      </c>
      <c r="ET101" s="57">
        <v>682</v>
      </c>
      <c r="EU101" s="57">
        <v>3397</v>
      </c>
      <c r="EV101" s="57"/>
      <c r="EW101" s="57" t="s">
        <v>2028</v>
      </c>
      <c r="EX101" s="57">
        <v>90</v>
      </c>
      <c r="EY101" s="57">
        <v>8</v>
      </c>
      <c r="EZ101" s="57">
        <v>0</v>
      </c>
      <c r="FA101" s="57">
        <v>0</v>
      </c>
      <c r="FB101" s="57">
        <v>0</v>
      </c>
      <c r="FC101" s="57">
        <v>98</v>
      </c>
      <c r="FF101" s="70" t="s">
        <v>1803</v>
      </c>
      <c r="FG101" s="70" t="s">
        <v>2028</v>
      </c>
      <c r="FH101" s="70">
        <v>844</v>
      </c>
      <c r="FI101" s="70">
        <v>750</v>
      </c>
      <c r="FJ101" s="70">
        <v>620</v>
      </c>
      <c r="FK101" s="70">
        <v>632</v>
      </c>
      <c r="FL101" s="70">
        <v>842</v>
      </c>
      <c r="FM101" s="70">
        <v>3688</v>
      </c>
      <c r="FN101" s="70"/>
      <c r="FO101" s="70" t="s">
        <v>2028</v>
      </c>
      <c r="FP101" s="70">
        <v>189</v>
      </c>
      <c r="FQ101" s="70">
        <v>0</v>
      </c>
      <c r="FR101" s="70">
        <v>0</v>
      </c>
      <c r="FS101" s="70">
        <v>0</v>
      </c>
      <c r="FT101" s="70">
        <v>0</v>
      </c>
      <c r="FU101" s="70">
        <v>189</v>
      </c>
    </row>
    <row r="102" spans="2:177">
      <c r="B102" s="64" t="s">
        <v>709</v>
      </c>
      <c r="C102" s="64" t="s">
        <v>2028</v>
      </c>
      <c r="D102" s="64">
        <v>113</v>
      </c>
      <c r="E102" s="64">
        <v>145</v>
      </c>
      <c r="F102" s="64">
        <v>248</v>
      </c>
      <c r="G102" s="64">
        <v>334</v>
      </c>
      <c r="H102" s="64">
        <v>289</v>
      </c>
      <c r="I102" s="64">
        <v>1129</v>
      </c>
      <c r="K102" s="64" t="s">
        <v>2028</v>
      </c>
      <c r="L102" s="64">
        <v>7</v>
      </c>
      <c r="M102" s="64">
        <v>0</v>
      </c>
      <c r="N102" s="64">
        <v>1</v>
      </c>
      <c r="O102" s="64">
        <v>1</v>
      </c>
      <c r="P102" s="64">
        <v>0</v>
      </c>
      <c r="Q102" s="64">
        <v>9</v>
      </c>
      <c r="T102" s="65" t="s">
        <v>978</v>
      </c>
      <c r="U102" s="65" t="s">
        <v>2032</v>
      </c>
      <c r="V102" s="65">
        <v>102</v>
      </c>
      <c r="W102" s="65">
        <v>67</v>
      </c>
      <c r="X102" s="65">
        <v>131</v>
      </c>
      <c r="Y102" s="65">
        <v>145</v>
      </c>
      <c r="Z102" s="65">
        <v>153</v>
      </c>
      <c r="AA102" s="65">
        <v>598</v>
      </c>
      <c r="AB102" s="65"/>
      <c r="AC102" s="65" t="s">
        <v>2032</v>
      </c>
      <c r="AD102" s="65">
        <v>10</v>
      </c>
      <c r="AE102" s="65">
        <v>0</v>
      </c>
      <c r="AF102" s="65">
        <v>0</v>
      </c>
      <c r="AG102" s="65">
        <v>0</v>
      </c>
      <c r="AH102" s="65">
        <v>0</v>
      </c>
      <c r="AI102" s="65">
        <v>10</v>
      </c>
      <c r="AK102" s="66" t="s">
        <v>2033</v>
      </c>
      <c r="AL102" s="66" t="s">
        <v>2018</v>
      </c>
      <c r="AM102" s="66">
        <v>190</v>
      </c>
      <c r="AN102" s="66">
        <v>339</v>
      </c>
      <c r="AO102" s="66">
        <v>549</v>
      </c>
      <c r="AP102" s="66">
        <v>821</v>
      </c>
      <c r="AQ102" s="66">
        <v>571</v>
      </c>
      <c r="AR102" s="66">
        <v>2470</v>
      </c>
      <c r="AS102" s="66"/>
      <c r="AT102" s="66" t="s">
        <v>2018</v>
      </c>
      <c r="AU102" s="66">
        <v>18</v>
      </c>
      <c r="AV102" s="66">
        <v>4</v>
      </c>
      <c r="AW102" s="66">
        <v>2</v>
      </c>
      <c r="AX102" s="66">
        <v>2</v>
      </c>
      <c r="AY102" s="66">
        <v>1</v>
      </c>
      <c r="AZ102" s="66">
        <v>27</v>
      </c>
      <c r="BB102" s="69" t="s">
        <v>1303</v>
      </c>
      <c r="BC102" s="69" t="s">
        <v>2018</v>
      </c>
      <c r="BD102" s="69">
        <v>173</v>
      </c>
      <c r="BE102" s="69">
        <v>134</v>
      </c>
      <c r="BF102" s="69">
        <v>249</v>
      </c>
      <c r="BG102" s="69">
        <v>354</v>
      </c>
      <c r="BH102" s="69">
        <v>360</v>
      </c>
      <c r="BI102" s="69">
        <v>1270</v>
      </c>
      <c r="BJ102" s="69"/>
      <c r="BK102" s="69" t="s">
        <v>2018</v>
      </c>
      <c r="BL102" s="69">
        <v>24</v>
      </c>
      <c r="BM102" s="69">
        <v>0</v>
      </c>
      <c r="BN102" s="69">
        <v>0</v>
      </c>
      <c r="BO102" s="69">
        <v>0</v>
      </c>
      <c r="BP102" s="69">
        <v>0</v>
      </c>
      <c r="BQ102" s="69">
        <v>24</v>
      </c>
      <c r="BS102" s="70" t="s">
        <v>1464</v>
      </c>
      <c r="BT102" s="70" t="s">
        <v>2032</v>
      </c>
      <c r="BU102" s="70">
        <v>58</v>
      </c>
      <c r="BV102" s="70">
        <v>81</v>
      </c>
      <c r="BW102" s="70">
        <v>133</v>
      </c>
      <c r="BX102" s="70">
        <v>163</v>
      </c>
      <c r="BY102" s="70">
        <v>174</v>
      </c>
      <c r="BZ102" s="70">
        <v>609</v>
      </c>
      <c r="CA102" s="70"/>
      <c r="CB102" s="70" t="s">
        <v>2032</v>
      </c>
      <c r="CC102" s="70">
        <v>14</v>
      </c>
      <c r="CD102" s="70">
        <v>0</v>
      </c>
      <c r="CE102" s="70">
        <v>0</v>
      </c>
      <c r="CF102" s="70">
        <v>0</v>
      </c>
      <c r="CG102" s="70">
        <v>0</v>
      </c>
      <c r="CH102" s="70">
        <v>14</v>
      </c>
      <c r="CL102" s="57" t="s">
        <v>507</v>
      </c>
      <c r="CM102" s="57" t="s">
        <v>2028</v>
      </c>
      <c r="CN102" s="57">
        <v>208</v>
      </c>
      <c r="CO102" s="57">
        <v>92</v>
      </c>
      <c r="CP102" s="57">
        <v>150</v>
      </c>
      <c r="CQ102" s="57">
        <v>191</v>
      </c>
      <c r="CR102" s="57">
        <v>312</v>
      </c>
      <c r="CS102" s="57">
        <v>953</v>
      </c>
      <c r="CT102" s="57"/>
      <c r="CU102" s="57" t="s">
        <v>2028</v>
      </c>
      <c r="CV102" s="57">
        <v>56</v>
      </c>
      <c r="CW102" s="57">
        <v>0</v>
      </c>
      <c r="CX102" s="57">
        <v>0</v>
      </c>
      <c r="CY102" s="57">
        <v>0</v>
      </c>
      <c r="CZ102" s="57">
        <v>0</v>
      </c>
      <c r="DA102" s="57">
        <v>56</v>
      </c>
      <c r="DD102" s="77" t="s">
        <v>1585</v>
      </c>
      <c r="DE102" s="77" t="s">
        <v>2253</v>
      </c>
      <c r="DF102" s="77">
        <v>252</v>
      </c>
      <c r="DG102" s="77">
        <v>520</v>
      </c>
      <c r="DH102" s="77">
        <v>550</v>
      </c>
      <c r="DI102" s="77">
        <v>637</v>
      </c>
      <c r="DJ102" s="77">
        <v>584</v>
      </c>
      <c r="DK102" s="77">
        <v>2543</v>
      </c>
      <c r="DL102" s="77"/>
      <c r="DM102" s="77" t="s">
        <v>2253</v>
      </c>
      <c r="DN102" s="77">
        <v>11</v>
      </c>
      <c r="DO102" s="77">
        <v>26</v>
      </c>
      <c r="DP102" s="77">
        <v>0</v>
      </c>
      <c r="DQ102" s="77">
        <v>0</v>
      </c>
      <c r="DR102" s="77">
        <v>0</v>
      </c>
      <c r="DS102" s="77">
        <v>37</v>
      </c>
      <c r="EN102" s="57" t="s">
        <v>1999</v>
      </c>
      <c r="EO102" s="57" t="s">
        <v>2028</v>
      </c>
      <c r="EP102" s="57" t="s">
        <v>324</v>
      </c>
      <c r="EQ102" s="57" t="s">
        <v>324</v>
      </c>
      <c r="ER102" s="57" t="s">
        <v>324</v>
      </c>
      <c r="ES102" s="57" t="s">
        <v>324</v>
      </c>
      <c r="ET102" s="57" t="s">
        <v>324</v>
      </c>
      <c r="EU102" s="57" t="s">
        <v>324</v>
      </c>
      <c r="EV102" s="57"/>
      <c r="EW102" s="57" t="s">
        <v>2028</v>
      </c>
      <c r="EX102" s="57" t="s">
        <v>324</v>
      </c>
      <c r="EY102" s="57" t="s">
        <v>324</v>
      </c>
      <c r="EZ102" s="57" t="s">
        <v>324</v>
      </c>
      <c r="FA102" s="57" t="s">
        <v>324</v>
      </c>
      <c r="FB102" s="57" t="s">
        <v>324</v>
      </c>
      <c r="FC102" s="57" t="s">
        <v>324</v>
      </c>
      <c r="FF102" s="70" t="s">
        <v>1806</v>
      </c>
      <c r="FG102" s="70" t="s">
        <v>2028</v>
      </c>
      <c r="FH102" s="70">
        <v>194</v>
      </c>
      <c r="FI102" s="70">
        <v>291</v>
      </c>
      <c r="FJ102" s="70">
        <v>272</v>
      </c>
      <c r="FK102" s="70">
        <v>352</v>
      </c>
      <c r="FL102" s="70">
        <v>418</v>
      </c>
      <c r="FM102" s="70">
        <v>1527</v>
      </c>
      <c r="FN102" s="70"/>
      <c r="FO102" s="70" t="s">
        <v>2028</v>
      </c>
      <c r="FP102" s="70">
        <v>39</v>
      </c>
      <c r="FQ102" s="70">
        <v>24</v>
      </c>
      <c r="FR102" s="70">
        <v>0</v>
      </c>
      <c r="FS102" s="70">
        <v>0</v>
      </c>
      <c r="FT102" s="70">
        <v>0</v>
      </c>
      <c r="FU102" s="70">
        <v>63</v>
      </c>
    </row>
    <row r="103" spans="2:177">
      <c r="B103" s="64" t="s">
        <v>717</v>
      </c>
      <c r="C103" s="64" t="s">
        <v>2028</v>
      </c>
      <c r="D103" s="64">
        <v>158</v>
      </c>
      <c r="E103" s="64">
        <v>322</v>
      </c>
      <c r="F103" s="64">
        <v>438</v>
      </c>
      <c r="G103" s="64">
        <v>608</v>
      </c>
      <c r="H103" s="64">
        <v>490</v>
      </c>
      <c r="I103" s="64">
        <v>2016</v>
      </c>
      <c r="K103" s="64" t="s">
        <v>2028</v>
      </c>
      <c r="L103" s="64">
        <v>8</v>
      </c>
      <c r="M103" s="64">
        <v>0</v>
      </c>
      <c r="N103" s="64">
        <v>0</v>
      </c>
      <c r="O103" s="64">
        <v>0</v>
      </c>
      <c r="P103" s="64">
        <v>0</v>
      </c>
      <c r="Q103" s="64">
        <v>8</v>
      </c>
      <c r="T103" s="65" t="s">
        <v>984</v>
      </c>
      <c r="U103" s="65" t="s">
        <v>2032</v>
      </c>
      <c r="V103" s="65">
        <v>480</v>
      </c>
      <c r="W103" s="65">
        <v>509</v>
      </c>
      <c r="X103" s="65">
        <v>678</v>
      </c>
      <c r="Y103" s="65">
        <v>771</v>
      </c>
      <c r="Z103" s="65">
        <v>581</v>
      </c>
      <c r="AA103" s="65">
        <v>3019</v>
      </c>
      <c r="AB103" s="65"/>
      <c r="AC103" s="65" t="s">
        <v>2032</v>
      </c>
      <c r="AD103" s="65">
        <v>11</v>
      </c>
      <c r="AE103" s="65">
        <v>0</v>
      </c>
      <c r="AF103" s="65">
        <v>0</v>
      </c>
      <c r="AG103" s="65">
        <v>0</v>
      </c>
      <c r="AH103" s="65">
        <v>0</v>
      </c>
      <c r="AI103" s="65">
        <v>11</v>
      </c>
      <c r="AK103" s="66" t="s">
        <v>1931</v>
      </c>
      <c r="AL103" s="66" t="s">
        <v>2018</v>
      </c>
      <c r="AM103" s="66">
        <v>214</v>
      </c>
      <c r="AN103" s="66">
        <v>419</v>
      </c>
      <c r="AO103" s="66">
        <v>578</v>
      </c>
      <c r="AP103" s="66">
        <v>747</v>
      </c>
      <c r="AQ103" s="66">
        <v>552</v>
      </c>
      <c r="AR103" s="66">
        <v>2510</v>
      </c>
      <c r="AS103" s="66"/>
      <c r="AT103" s="66" t="s">
        <v>2018</v>
      </c>
      <c r="AU103" s="66">
        <v>16</v>
      </c>
      <c r="AV103" s="66">
        <v>4</v>
      </c>
      <c r="AW103" s="66">
        <v>1</v>
      </c>
      <c r="AX103" s="66">
        <v>1</v>
      </c>
      <c r="AY103" s="66">
        <v>0</v>
      </c>
      <c r="AZ103" s="66">
        <v>22</v>
      </c>
      <c r="BB103" s="69" t="s">
        <v>1306</v>
      </c>
      <c r="BC103" s="69" t="s">
        <v>2018</v>
      </c>
      <c r="BD103" s="69">
        <v>51</v>
      </c>
      <c r="BE103" s="69">
        <v>145</v>
      </c>
      <c r="BF103" s="69">
        <v>300</v>
      </c>
      <c r="BG103" s="69">
        <v>490</v>
      </c>
      <c r="BH103" s="69">
        <v>478</v>
      </c>
      <c r="BI103" s="69">
        <v>1464</v>
      </c>
      <c r="BJ103" s="69"/>
      <c r="BK103" s="69" t="s">
        <v>2018</v>
      </c>
      <c r="BL103" s="69">
        <v>17</v>
      </c>
      <c r="BM103" s="69">
        <v>2</v>
      </c>
      <c r="BN103" s="69">
        <v>6</v>
      </c>
      <c r="BO103" s="69">
        <v>0</v>
      </c>
      <c r="BP103" s="69">
        <v>0</v>
      </c>
      <c r="BQ103" s="69">
        <v>25</v>
      </c>
      <c r="BS103" s="70" t="s">
        <v>1466</v>
      </c>
      <c r="BT103" s="70" t="s">
        <v>2032</v>
      </c>
      <c r="BU103" s="70">
        <v>72</v>
      </c>
      <c r="BV103" s="70">
        <v>71</v>
      </c>
      <c r="BW103" s="70">
        <v>116</v>
      </c>
      <c r="BX103" s="70">
        <v>143</v>
      </c>
      <c r="BY103" s="70">
        <v>148</v>
      </c>
      <c r="BZ103" s="70">
        <v>550</v>
      </c>
      <c r="CA103" s="70"/>
      <c r="CB103" s="70" t="s">
        <v>2032</v>
      </c>
      <c r="CC103" s="70">
        <v>24</v>
      </c>
      <c r="CD103" s="70">
        <v>0</v>
      </c>
      <c r="CE103" s="70">
        <v>0</v>
      </c>
      <c r="CF103" s="70">
        <v>0</v>
      </c>
      <c r="CG103" s="70">
        <v>0</v>
      </c>
      <c r="CH103" s="70">
        <v>24</v>
      </c>
      <c r="CL103" s="57" t="s">
        <v>511</v>
      </c>
      <c r="CM103" s="57" t="s">
        <v>2028</v>
      </c>
      <c r="CN103" s="57">
        <v>244</v>
      </c>
      <c r="CO103" s="57">
        <v>189</v>
      </c>
      <c r="CP103" s="57">
        <v>248</v>
      </c>
      <c r="CQ103" s="57">
        <v>302</v>
      </c>
      <c r="CR103" s="57">
        <v>273</v>
      </c>
      <c r="CS103" s="57">
        <v>1256</v>
      </c>
      <c r="CT103" s="57"/>
      <c r="CU103" s="57" t="s">
        <v>2028</v>
      </c>
      <c r="CV103" s="57">
        <v>26</v>
      </c>
      <c r="CW103" s="57">
        <v>0</v>
      </c>
      <c r="CX103" s="57">
        <v>0</v>
      </c>
      <c r="CY103" s="57">
        <v>0</v>
      </c>
      <c r="CZ103" s="57">
        <v>0</v>
      </c>
      <c r="DA103" s="57">
        <v>26</v>
      </c>
      <c r="DD103" s="77" t="s">
        <v>1588</v>
      </c>
      <c r="DE103" s="77" t="s">
        <v>2253</v>
      </c>
      <c r="DF103" s="77">
        <v>234</v>
      </c>
      <c r="DG103" s="77">
        <v>361</v>
      </c>
      <c r="DH103" s="77">
        <v>381</v>
      </c>
      <c r="DI103" s="77">
        <v>442</v>
      </c>
      <c r="DJ103" s="77">
        <v>409</v>
      </c>
      <c r="DK103" s="77">
        <v>1827</v>
      </c>
      <c r="DL103" s="77"/>
      <c r="DM103" s="77" t="s">
        <v>2253</v>
      </c>
      <c r="DN103" s="77">
        <v>17</v>
      </c>
      <c r="DO103" s="77">
        <v>20</v>
      </c>
      <c r="DP103" s="77">
        <v>3</v>
      </c>
      <c r="DQ103" s="77">
        <v>0</v>
      </c>
      <c r="DR103" s="77">
        <v>0</v>
      </c>
      <c r="DS103" s="77">
        <v>40</v>
      </c>
      <c r="DT103" s="16" t="s">
        <v>2022</v>
      </c>
      <c r="DU103" s="16" t="s">
        <v>1627</v>
      </c>
      <c r="DV103" s="79" t="s">
        <v>2664</v>
      </c>
      <c r="DW103" s="79" t="s">
        <v>708</v>
      </c>
      <c r="DX103" s="79">
        <v>652</v>
      </c>
      <c r="DY103" s="79">
        <v>490</v>
      </c>
      <c r="DZ103" s="79">
        <v>600</v>
      </c>
      <c r="EA103" s="79">
        <v>617</v>
      </c>
      <c r="EB103" s="79">
        <v>471</v>
      </c>
      <c r="EC103" s="79">
        <v>2830</v>
      </c>
      <c r="ED103" s="79"/>
      <c r="EE103" s="79" t="s">
        <v>708</v>
      </c>
      <c r="EF103" s="79">
        <v>51</v>
      </c>
      <c r="EG103" s="79">
        <v>0</v>
      </c>
      <c r="EH103" s="79">
        <v>0</v>
      </c>
      <c r="EI103" s="79">
        <v>0</v>
      </c>
      <c r="EJ103" s="79">
        <v>0</v>
      </c>
      <c r="EK103" s="79">
        <v>51</v>
      </c>
      <c r="EN103" s="57" t="s">
        <v>1774</v>
      </c>
      <c r="EO103" s="57" t="s">
        <v>2028</v>
      </c>
      <c r="EP103" s="57" t="s">
        <v>324</v>
      </c>
      <c r="EQ103" s="57" t="s">
        <v>324</v>
      </c>
      <c r="ER103" s="57" t="s">
        <v>324</v>
      </c>
      <c r="ES103" s="57" t="s">
        <v>324</v>
      </c>
      <c r="ET103" s="57" t="s">
        <v>324</v>
      </c>
      <c r="EU103" s="57" t="s">
        <v>324</v>
      </c>
      <c r="EV103" s="57"/>
      <c r="EW103" s="57" t="s">
        <v>2028</v>
      </c>
      <c r="EX103" s="57" t="s">
        <v>324</v>
      </c>
      <c r="EY103" s="57" t="s">
        <v>324</v>
      </c>
      <c r="EZ103" s="57" t="s">
        <v>324</v>
      </c>
      <c r="FA103" s="57" t="s">
        <v>324</v>
      </c>
      <c r="FB103" s="57" t="s">
        <v>324</v>
      </c>
      <c r="FC103" s="57" t="s">
        <v>324</v>
      </c>
      <c r="FF103" s="70" t="s">
        <v>1807</v>
      </c>
      <c r="FG103" s="70" t="s">
        <v>2028</v>
      </c>
      <c r="FH103" s="70">
        <v>181</v>
      </c>
      <c r="FI103" s="70">
        <v>225</v>
      </c>
      <c r="FJ103" s="70">
        <v>200</v>
      </c>
      <c r="FK103" s="70">
        <v>232</v>
      </c>
      <c r="FL103" s="70">
        <v>298</v>
      </c>
      <c r="FM103" s="70">
        <v>1136</v>
      </c>
      <c r="FN103" s="70"/>
      <c r="FO103" s="70" t="s">
        <v>2028</v>
      </c>
      <c r="FP103" s="70">
        <v>49</v>
      </c>
      <c r="FQ103" s="70">
        <v>14</v>
      </c>
      <c r="FR103" s="70">
        <v>4</v>
      </c>
      <c r="FS103" s="70">
        <v>2</v>
      </c>
      <c r="FT103" s="70">
        <v>0</v>
      </c>
      <c r="FU103" s="70">
        <v>69</v>
      </c>
    </row>
    <row r="104" spans="2:177">
      <c r="B104" s="64" t="s">
        <v>721</v>
      </c>
      <c r="C104" s="64" t="s">
        <v>2028</v>
      </c>
      <c r="D104" s="64">
        <v>721</v>
      </c>
      <c r="E104" s="64">
        <v>750</v>
      </c>
      <c r="F104" s="64">
        <v>769</v>
      </c>
      <c r="G104" s="64">
        <v>856</v>
      </c>
      <c r="H104" s="64">
        <v>595</v>
      </c>
      <c r="I104" s="64">
        <v>3691</v>
      </c>
      <c r="K104" s="64" t="s">
        <v>2028</v>
      </c>
      <c r="L104" s="64">
        <v>126</v>
      </c>
      <c r="M104" s="64">
        <v>3</v>
      </c>
      <c r="N104" s="64">
        <v>0</v>
      </c>
      <c r="O104" s="64">
        <v>0</v>
      </c>
      <c r="P104" s="64">
        <v>0</v>
      </c>
      <c r="Q104" s="64">
        <v>129</v>
      </c>
      <c r="T104" s="65" t="s">
        <v>993</v>
      </c>
      <c r="U104" s="65" t="s">
        <v>2032</v>
      </c>
      <c r="V104" s="65">
        <v>196</v>
      </c>
      <c r="W104" s="65">
        <v>145</v>
      </c>
      <c r="X104" s="65">
        <v>255</v>
      </c>
      <c r="Y104" s="65">
        <v>341</v>
      </c>
      <c r="Z104" s="65">
        <v>282</v>
      </c>
      <c r="AA104" s="65">
        <v>1219</v>
      </c>
      <c r="AB104" s="65"/>
      <c r="AC104" s="65" t="s">
        <v>2032</v>
      </c>
      <c r="AD104" s="65">
        <v>29</v>
      </c>
      <c r="AE104" s="65">
        <v>0</v>
      </c>
      <c r="AF104" s="65">
        <v>1</v>
      </c>
      <c r="AG104" s="65">
        <v>0</v>
      </c>
      <c r="AH104" s="65">
        <v>0</v>
      </c>
      <c r="AI104" s="65">
        <v>30</v>
      </c>
      <c r="BB104" s="69" t="s">
        <v>1309</v>
      </c>
      <c r="BC104" s="69" t="s">
        <v>2018</v>
      </c>
      <c r="BD104" s="69">
        <v>114</v>
      </c>
      <c r="BE104" s="69">
        <v>119</v>
      </c>
      <c r="BF104" s="69">
        <v>260</v>
      </c>
      <c r="BG104" s="69">
        <v>344</v>
      </c>
      <c r="BH104" s="69">
        <v>337</v>
      </c>
      <c r="BI104" s="69">
        <v>1174</v>
      </c>
      <c r="BJ104" s="69"/>
      <c r="BK104" s="69" t="s">
        <v>2018</v>
      </c>
      <c r="BL104" s="69">
        <v>21</v>
      </c>
      <c r="BM104" s="69">
        <v>0</v>
      </c>
      <c r="BN104" s="69">
        <v>0</v>
      </c>
      <c r="BO104" s="69">
        <v>0</v>
      </c>
      <c r="BP104" s="69">
        <v>0</v>
      </c>
      <c r="BQ104" s="69">
        <v>21</v>
      </c>
      <c r="BS104" s="70" t="s">
        <v>1468</v>
      </c>
      <c r="BT104" s="70" t="s">
        <v>2032</v>
      </c>
      <c r="BU104" s="70" t="s">
        <v>324</v>
      </c>
      <c r="BV104" s="70" t="s">
        <v>324</v>
      </c>
      <c r="BW104" s="70" t="s">
        <v>324</v>
      </c>
      <c r="BX104" s="70" t="s">
        <v>324</v>
      </c>
      <c r="BY104" s="70" t="s">
        <v>324</v>
      </c>
      <c r="BZ104" s="70" t="s">
        <v>324</v>
      </c>
      <c r="CA104" s="70"/>
      <c r="CB104" s="70" t="s">
        <v>2032</v>
      </c>
      <c r="CC104" s="70" t="s">
        <v>324</v>
      </c>
      <c r="CD104" s="70" t="s">
        <v>324</v>
      </c>
      <c r="CE104" s="70" t="s">
        <v>324</v>
      </c>
      <c r="CF104" s="70" t="s">
        <v>324</v>
      </c>
      <c r="CG104" s="70" t="s">
        <v>324</v>
      </c>
      <c r="CH104" s="70" t="s">
        <v>324</v>
      </c>
      <c r="CL104" s="57" t="s">
        <v>513</v>
      </c>
      <c r="CM104" s="57" t="s">
        <v>2028</v>
      </c>
      <c r="CN104" s="57">
        <v>118</v>
      </c>
      <c r="CO104" s="57">
        <v>95</v>
      </c>
      <c r="CP104" s="57">
        <v>192</v>
      </c>
      <c r="CQ104" s="57">
        <v>251</v>
      </c>
      <c r="CR104" s="57">
        <v>245</v>
      </c>
      <c r="CS104" s="57">
        <v>901</v>
      </c>
      <c r="CT104" s="57"/>
      <c r="CU104" s="57" t="s">
        <v>2028</v>
      </c>
      <c r="CV104" s="57">
        <v>21</v>
      </c>
      <c r="CW104" s="57">
        <v>0</v>
      </c>
      <c r="CX104" s="57">
        <v>0</v>
      </c>
      <c r="CY104" s="57">
        <v>0</v>
      </c>
      <c r="CZ104" s="57">
        <v>0</v>
      </c>
      <c r="DA104" s="57">
        <v>21</v>
      </c>
      <c r="DD104" s="77" t="s">
        <v>1591</v>
      </c>
      <c r="DE104" s="77" t="s">
        <v>2253</v>
      </c>
      <c r="DF104" s="77">
        <v>156</v>
      </c>
      <c r="DG104" s="77">
        <v>308</v>
      </c>
      <c r="DH104" s="77">
        <v>378</v>
      </c>
      <c r="DI104" s="77">
        <v>511</v>
      </c>
      <c r="DJ104" s="77">
        <v>440</v>
      </c>
      <c r="DK104" s="77">
        <v>1793</v>
      </c>
      <c r="DL104" s="77"/>
      <c r="DM104" s="77" t="s">
        <v>2253</v>
      </c>
      <c r="DN104" s="77">
        <v>12</v>
      </c>
      <c r="DO104" s="77">
        <v>3</v>
      </c>
      <c r="DP104" s="77">
        <v>0</v>
      </c>
      <c r="DQ104" s="77">
        <v>0</v>
      </c>
      <c r="DR104" s="77">
        <v>0</v>
      </c>
      <c r="DS104" s="77">
        <v>15</v>
      </c>
      <c r="DT104" s="16" t="s">
        <v>2022</v>
      </c>
      <c r="DU104" s="16" t="s">
        <v>1632</v>
      </c>
      <c r="DV104" s="79" t="s">
        <v>2667</v>
      </c>
      <c r="DW104" s="79" t="s">
        <v>708</v>
      </c>
      <c r="DX104" s="79">
        <v>217</v>
      </c>
      <c r="DY104" s="79">
        <v>249</v>
      </c>
      <c r="DZ104" s="79">
        <v>328</v>
      </c>
      <c r="EA104" s="79">
        <v>406</v>
      </c>
      <c r="EB104" s="79">
        <v>288</v>
      </c>
      <c r="EC104" s="79">
        <v>1488</v>
      </c>
      <c r="ED104" s="79"/>
      <c r="EE104" s="79" t="s">
        <v>708</v>
      </c>
      <c r="EF104" s="79">
        <v>13</v>
      </c>
      <c r="EG104" s="79">
        <v>1</v>
      </c>
      <c r="EH104" s="79">
        <v>0</v>
      </c>
      <c r="EI104" s="79">
        <v>0</v>
      </c>
      <c r="EJ104" s="79">
        <v>0</v>
      </c>
      <c r="EK104" s="79">
        <v>14</v>
      </c>
      <c r="EN104" s="57" t="s">
        <v>1778</v>
      </c>
      <c r="EO104" s="57" t="s">
        <v>2028</v>
      </c>
      <c r="EP104" s="57">
        <v>168</v>
      </c>
      <c r="EQ104" s="57">
        <v>243</v>
      </c>
      <c r="ER104" s="57">
        <v>338</v>
      </c>
      <c r="ES104" s="57">
        <v>419</v>
      </c>
      <c r="ET104" s="57">
        <v>417</v>
      </c>
      <c r="EU104" s="57">
        <v>1585</v>
      </c>
      <c r="EV104" s="57"/>
      <c r="EW104" s="57" t="s">
        <v>2028</v>
      </c>
      <c r="EX104" s="57">
        <v>32</v>
      </c>
      <c r="EY104" s="57">
        <v>8</v>
      </c>
      <c r="EZ104" s="57">
        <v>4</v>
      </c>
      <c r="FA104" s="57">
        <v>3</v>
      </c>
      <c r="FB104" s="57">
        <v>6</v>
      </c>
      <c r="FC104" s="57">
        <v>53</v>
      </c>
      <c r="FF104" s="70" t="s">
        <v>1808</v>
      </c>
      <c r="FG104" s="70" t="s">
        <v>2028</v>
      </c>
      <c r="FH104" s="70">
        <v>404</v>
      </c>
      <c r="FI104" s="70">
        <v>408</v>
      </c>
      <c r="FJ104" s="70">
        <v>407</v>
      </c>
      <c r="FK104" s="70">
        <v>364</v>
      </c>
      <c r="FL104" s="70">
        <v>563</v>
      </c>
      <c r="FM104" s="70">
        <v>2146</v>
      </c>
      <c r="FN104" s="70"/>
      <c r="FO104" s="70" t="s">
        <v>2028</v>
      </c>
      <c r="FP104" s="70">
        <v>104</v>
      </c>
      <c r="FQ104" s="70">
        <v>22</v>
      </c>
      <c r="FR104" s="70">
        <v>0</v>
      </c>
      <c r="FS104" s="70">
        <v>0</v>
      </c>
      <c r="FT104" s="70">
        <v>0</v>
      </c>
      <c r="FU104" s="70">
        <v>126</v>
      </c>
    </row>
    <row r="105" spans="2:177">
      <c r="B105" s="64" t="s">
        <v>726</v>
      </c>
      <c r="C105" s="64" t="s">
        <v>2028</v>
      </c>
      <c r="D105" s="64">
        <v>615</v>
      </c>
      <c r="E105" s="64">
        <v>838</v>
      </c>
      <c r="F105" s="64">
        <v>1298</v>
      </c>
      <c r="G105" s="64">
        <v>1577</v>
      </c>
      <c r="H105" s="64">
        <v>956</v>
      </c>
      <c r="I105" s="64">
        <v>5284</v>
      </c>
      <c r="K105" s="64" t="s">
        <v>2028</v>
      </c>
      <c r="L105" s="64">
        <v>52</v>
      </c>
      <c r="M105" s="64">
        <v>3</v>
      </c>
      <c r="N105" s="64">
        <v>0</v>
      </c>
      <c r="O105" s="64">
        <v>1</v>
      </c>
      <c r="P105" s="64">
        <v>0</v>
      </c>
      <c r="Q105" s="64">
        <v>56</v>
      </c>
      <c r="T105" s="65" t="s">
        <v>999</v>
      </c>
      <c r="U105" s="65" t="s">
        <v>2032</v>
      </c>
      <c r="V105" s="65">
        <v>206</v>
      </c>
      <c r="W105" s="65">
        <v>227</v>
      </c>
      <c r="X105" s="65">
        <v>360</v>
      </c>
      <c r="Y105" s="65">
        <v>490</v>
      </c>
      <c r="Z105" s="65">
        <v>390</v>
      </c>
      <c r="AA105" s="65">
        <v>1673</v>
      </c>
      <c r="AB105" s="65"/>
      <c r="AC105" s="65" t="s">
        <v>2032</v>
      </c>
      <c r="AD105" s="65">
        <v>16</v>
      </c>
      <c r="AE105" s="65">
        <v>4</v>
      </c>
      <c r="AF105" s="65">
        <v>0</v>
      </c>
      <c r="AG105" s="65">
        <v>0</v>
      </c>
      <c r="AH105" s="65">
        <v>0</v>
      </c>
      <c r="AI105" s="65">
        <v>20</v>
      </c>
      <c r="AK105" s="66" t="s">
        <v>1910</v>
      </c>
      <c r="AL105" s="66" t="s">
        <v>2018</v>
      </c>
      <c r="AM105" s="66">
        <v>393</v>
      </c>
      <c r="AN105" s="66">
        <v>376</v>
      </c>
      <c r="AO105" s="66">
        <v>369</v>
      </c>
      <c r="AP105" s="66">
        <v>406</v>
      </c>
      <c r="AQ105" s="66">
        <v>529</v>
      </c>
      <c r="AR105" s="66">
        <v>2073</v>
      </c>
      <c r="AS105" s="66"/>
      <c r="AT105" s="66" t="s">
        <v>2018</v>
      </c>
      <c r="AU105" s="66">
        <v>127</v>
      </c>
      <c r="AV105" s="66">
        <v>60</v>
      </c>
      <c r="AW105" s="66">
        <v>43</v>
      </c>
      <c r="AX105" s="66">
        <v>38</v>
      </c>
      <c r="AY105" s="66">
        <v>55</v>
      </c>
      <c r="AZ105" s="66">
        <v>323</v>
      </c>
      <c r="BB105" s="69" t="s">
        <v>1312</v>
      </c>
      <c r="BC105" s="69" t="s">
        <v>2018</v>
      </c>
      <c r="BD105" s="69">
        <v>105</v>
      </c>
      <c r="BE105" s="69">
        <v>206</v>
      </c>
      <c r="BF105" s="69">
        <v>344</v>
      </c>
      <c r="BG105" s="69">
        <v>464</v>
      </c>
      <c r="BH105" s="69">
        <v>368</v>
      </c>
      <c r="BI105" s="69">
        <v>1487</v>
      </c>
      <c r="BJ105" s="69"/>
      <c r="BK105" s="69" t="s">
        <v>2018</v>
      </c>
      <c r="BL105" s="69">
        <v>21</v>
      </c>
      <c r="BM105" s="69">
        <v>0</v>
      </c>
      <c r="BN105" s="69">
        <v>0</v>
      </c>
      <c r="BO105" s="69">
        <v>0</v>
      </c>
      <c r="BP105" s="69">
        <v>0</v>
      </c>
      <c r="BQ105" s="69">
        <v>21</v>
      </c>
      <c r="BS105" s="70" t="s">
        <v>1471</v>
      </c>
      <c r="BT105" s="70" t="s">
        <v>2034</v>
      </c>
      <c r="BU105" s="70">
        <v>71</v>
      </c>
      <c r="BV105" s="70">
        <v>50</v>
      </c>
      <c r="BW105" s="70">
        <v>68</v>
      </c>
      <c r="BX105" s="70">
        <v>107</v>
      </c>
      <c r="BY105" s="70">
        <v>126</v>
      </c>
      <c r="BZ105" s="70">
        <v>422</v>
      </c>
      <c r="CA105" s="70"/>
      <c r="CB105" s="70" t="s">
        <v>2032</v>
      </c>
      <c r="CC105" s="70">
        <v>28</v>
      </c>
      <c r="CD105" s="70">
        <v>0</v>
      </c>
      <c r="CE105" s="70">
        <v>0</v>
      </c>
      <c r="CF105" s="70">
        <v>0</v>
      </c>
      <c r="CG105" s="70">
        <v>0</v>
      </c>
      <c r="CH105" s="70">
        <v>28</v>
      </c>
      <c r="CL105" s="57" t="s">
        <v>515</v>
      </c>
      <c r="CM105" s="57" t="s">
        <v>2028</v>
      </c>
      <c r="CN105" s="57">
        <v>288</v>
      </c>
      <c r="CO105" s="57">
        <v>468</v>
      </c>
      <c r="CP105" s="57">
        <v>727</v>
      </c>
      <c r="CQ105" s="57">
        <v>967</v>
      </c>
      <c r="CR105" s="57">
        <v>770</v>
      </c>
      <c r="CS105" s="57">
        <v>3220</v>
      </c>
      <c r="CT105" s="57"/>
      <c r="CU105" s="57" t="s">
        <v>2028</v>
      </c>
      <c r="CV105" s="57">
        <v>19</v>
      </c>
      <c r="CW105" s="57">
        <v>0</v>
      </c>
      <c r="CX105" s="57">
        <v>0</v>
      </c>
      <c r="CY105" s="57">
        <v>0</v>
      </c>
      <c r="CZ105" s="57">
        <v>0</v>
      </c>
      <c r="DA105" s="57">
        <v>19</v>
      </c>
      <c r="DD105" s="77" t="s">
        <v>1594</v>
      </c>
      <c r="DE105" s="77" t="s">
        <v>2253</v>
      </c>
      <c r="DF105" s="77">
        <v>142</v>
      </c>
      <c r="DG105" s="77">
        <v>217</v>
      </c>
      <c r="DH105" s="77">
        <v>334</v>
      </c>
      <c r="DI105" s="77">
        <v>362</v>
      </c>
      <c r="DJ105" s="77">
        <v>322</v>
      </c>
      <c r="DK105" s="77">
        <v>1377</v>
      </c>
      <c r="DL105" s="77"/>
      <c r="DM105" s="77" t="s">
        <v>2253</v>
      </c>
      <c r="DN105" s="77">
        <v>8</v>
      </c>
      <c r="DO105" s="77">
        <v>10</v>
      </c>
      <c r="DP105" s="77">
        <v>6</v>
      </c>
      <c r="DQ105" s="77">
        <v>1</v>
      </c>
      <c r="DR105" s="77">
        <v>0</v>
      </c>
      <c r="DS105" s="77">
        <v>25</v>
      </c>
      <c r="DT105" s="16" t="s">
        <v>2022</v>
      </c>
      <c r="DU105" s="16" t="s">
        <v>1636</v>
      </c>
      <c r="DV105" s="79" t="s">
        <v>2694</v>
      </c>
      <c r="DW105" s="79" t="s">
        <v>25</v>
      </c>
      <c r="DX105" s="79">
        <v>789</v>
      </c>
      <c r="DY105" s="79">
        <v>905</v>
      </c>
      <c r="DZ105" s="79">
        <v>1000</v>
      </c>
      <c r="EA105" s="79">
        <v>981</v>
      </c>
      <c r="EB105" s="79">
        <v>697</v>
      </c>
      <c r="EC105" s="79">
        <v>4372</v>
      </c>
      <c r="ED105" s="79"/>
      <c r="EE105" s="79" t="s">
        <v>25</v>
      </c>
      <c r="EF105" s="79">
        <v>24</v>
      </c>
      <c r="EG105" s="79">
        <v>6</v>
      </c>
      <c r="EH105" s="79">
        <v>0</v>
      </c>
      <c r="EI105" s="79">
        <v>0</v>
      </c>
      <c r="EJ105" s="79">
        <v>0</v>
      </c>
      <c r="EK105" s="79">
        <v>30</v>
      </c>
      <c r="EN105" s="57" t="s">
        <v>2001</v>
      </c>
      <c r="EO105" s="57" t="s">
        <v>2028</v>
      </c>
      <c r="EP105" s="57" t="s">
        <v>324</v>
      </c>
      <c r="EQ105" s="57" t="s">
        <v>324</v>
      </c>
      <c r="ER105" s="57" t="s">
        <v>324</v>
      </c>
      <c r="ES105" s="57" t="s">
        <v>324</v>
      </c>
      <c r="ET105" s="57" t="s">
        <v>324</v>
      </c>
      <c r="EU105" s="57" t="s">
        <v>324</v>
      </c>
      <c r="EV105" s="57"/>
      <c r="EW105" s="57" t="s">
        <v>2028</v>
      </c>
      <c r="EX105" s="57" t="s">
        <v>324</v>
      </c>
      <c r="EY105" s="57" t="s">
        <v>324</v>
      </c>
      <c r="EZ105" s="57" t="s">
        <v>324</v>
      </c>
      <c r="FA105" s="57" t="s">
        <v>324</v>
      </c>
      <c r="FB105" s="57" t="s">
        <v>324</v>
      </c>
      <c r="FC105" s="57" t="s">
        <v>324</v>
      </c>
      <c r="FF105" s="70" t="s">
        <v>1809</v>
      </c>
      <c r="FG105" s="70" t="s">
        <v>2028</v>
      </c>
      <c r="FH105" s="70">
        <v>428</v>
      </c>
      <c r="FI105" s="70">
        <v>513</v>
      </c>
      <c r="FJ105" s="70">
        <v>466</v>
      </c>
      <c r="FK105" s="70">
        <v>458</v>
      </c>
      <c r="FL105" s="70">
        <v>575</v>
      </c>
      <c r="FM105" s="70">
        <v>2440</v>
      </c>
      <c r="FN105" s="70"/>
      <c r="FO105" s="70" t="s">
        <v>2028</v>
      </c>
      <c r="FP105" s="70">
        <v>101</v>
      </c>
      <c r="FQ105" s="70">
        <v>16</v>
      </c>
      <c r="FR105" s="70">
        <v>0</v>
      </c>
      <c r="FS105" s="70">
        <v>0</v>
      </c>
      <c r="FT105" s="70">
        <v>0</v>
      </c>
      <c r="FU105" s="70">
        <v>117</v>
      </c>
    </row>
    <row r="106" spans="2:177">
      <c r="B106" s="64" t="s">
        <v>730</v>
      </c>
      <c r="C106" s="64" t="s">
        <v>2028</v>
      </c>
      <c r="D106" s="64">
        <v>617</v>
      </c>
      <c r="E106" s="64">
        <v>736</v>
      </c>
      <c r="F106" s="64">
        <v>1120</v>
      </c>
      <c r="G106" s="64">
        <v>1271</v>
      </c>
      <c r="H106" s="64">
        <v>859</v>
      </c>
      <c r="I106" s="64">
        <v>4603</v>
      </c>
      <c r="K106" s="64" t="s">
        <v>2028</v>
      </c>
      <c r="L106" s="64">
        <v>53</v>
      </c>
      <c r="M106" s="64">
        <v>2</v>
      </c>
      <c r="N106" s="64">
        <v>0</v>
      </c>
      <c r="O106" s="64">
        <v>0</v>
      </c>
      <c r="P106" s="64">
        <v>0</v>
      </c>
      <c r="Q106" s="64">
        <v>55</v>
      </c>
      <c r="T106" s="65" t="s">
        <v>1004</v>
      </c>
      <c r="U106" s="65" t="s">
        <v>2032</v>
      </c>
      <c r="V106" s="65">
        <v>665</v>
      </c>
      <c r="W106" s="65">
        <v>927</v>
      </c>
      <c r="X106" s="65">
        <v>1020</v>
      </c>
      <c r="Y106" s="65">
        <v>1082</v>
      </c>
      <c r="Z106" s="65">
        <v>830</v>
      </c>
      <c r="AA106" s="65">
        <v>4524</v>
      </c>
      <c r="AB106" s="65"/>
      <c r="AC106" s="65" t="s">
        <v>2032</v>
      </c>
      <c r="AD106" s="65">
        <v>186</v>
      </c>
      <c r="AE106" s="65">
        <v>39</v>
      </c>
      <c r="AF106" s="65">
        <v>14</v>
      </c>
      <c r="AG106" s="65">
        <v>7</v>
      </c>
      <c r="AH106" s="65">
        <v>3</v>
      </c>
      <c r="AI106" s="65">
        <v>249</v>
      </c>
      <c r="AK106" s="66" t="s">
        <v>1912</v>
      </c>
      <c r="AL106" s="66" t="s">
        <v>2018</v>
      </c>
      <c r="AM106" s="66">
        <v>658</v>
      </c>
      <c r="AN106" s="66">
        <v>765</v>
      </c>
      <c r="AO106" s="66">
        <v>561</v>
      </c>
      <c r="AP106" s="66">
        <v>587</v>
      </c>
      <c r="AQ106" s="66">
        <v>628</v>
      </c>
      <c r="AR106" s="66">
        <v>3199</v>
      </c>
      <c r="AS106" s="66"/>
      <c r="AT106" s="66" t="s">
        <v>2018</v>
      </c>
      <c r="AU106" s="66">
        <v>116</v>
      </c>
      <c r="AV106" s="66">
        <v>17</v>
      </c>
      <c r="AW106" s="66">
        <v>8</v>
      </c>
      <c r="AX106" s="66">
        <v>17</v>
      </c>
      <c r="AY106" s="66">
        <v>17</v>
      </c>
      <c r="AZ106" s="66">
        <v>175</v>
      </c>
      <c r="BB106" s="69" t="s">
        <v>1315</v>
      </c>
      <c r="BC106" s="69" t="s">
        <v>2018</v>
      </c>
      <c r="BD106" s="69">
        <v>1901</v>
      </c>
      <c r="BE106" s="69">
        <v>1174</v>
      </c>
      <c r="BF106" s="69">
        <v>1386</v>
      </c>
      <c r="BG106" s="69">
        <v>1332</v>
      </c>
      <c r="BH106" s="69">
        <v>965</v>
      </c>
      <c r="BI106" s="69">
        <v>6758</v>
      </c>
      <c r="BJ106" s="69"/>
      <c r="BK106" s="69" t="s">
        <v>2018</v>
      </c>
      <c r="BL106" s="69">
        <v>376</v>
      </c>
      <c r="BM106" s="69">
        <v>0</v>
      </c>
      <c r="BN106" s="69">
        <v>0</v>
      </c>
      <c r="BO106" s="69">
        <v>0</v>
      </c>
      <c r="BP106" s="69">
        <v>0</v>
      </c>
      <c r="BQ106" s="69">
        <v>376</v>
      </c>
      <c r="CL106" s="57" t="s">
        <v>519</v>
      </c>
      <c r="CM106" s="57" t="s">
        <v>2028</v>
      </c>
      <c r="CN106" s="57">
        <v>101</v>
      </c>
      <c r="CO106" s="57">
        <v>122</v>
      </c>
      <c r="CP106" s="57">
        <v>209</v>
      </c>
      <c r="CQ106" s="57">
        <v>277</v>
      </c>
      <c r="CR106" s="57">
        <v>239</v>
      </c>
      <c r="CS106" s="57">
        <v>948</v>
      </c>
      <c r="CT106" s="57"/>
      <c r="CU106" s="57" t="s">
        <v>2028</v>
      </c>
      <c r="CV106" s="57">
        <v>18</v>
      </c>
      <c r="CW106" s="57">
        <v>0</v>
      </c>
      <c r="CX106" s="57">
        <v>0</v>
      </c>
      <c r="CY106" s="57">
        <v>0</v>
      </c>
      <c r="CZ106" s="57">
        <v>0</v>
      </c>
      <c r="DA106" s="57">
        <v>18</v>
      </c>
      <c r="DD106" s="77" t="s">
        <v>1597</v>
      </c>
      <c r="DE106" s="77" t="s">
        <v>2253</v>
      </c>
      <c r="DF106" s="77">
        <v>330</v>
      </c>
      <c r="DG106" s="77">
        <v>530</v>
      </c>
      <c r="DH106" s="77">
        <v>915</v>
      </c>
      <c r="DI106" s="77">
        <v>1167</v>
      </c>
      <c r="DJ106" s="77">
        <v>1033</v>
      </c>
      <c r="DK106" s="77">
        <v>3975</v>
      </c>
      <c r="DL106" s="77"/>
      <c r="DM106" s="77" t="s">
        <v>2253</v>
      </c>
      <c r="DN106" s="77">
        <v>23</v>
      </c>
      <c r="DO106" s="77">
        <v>5</v>
      </c>
      <c r="DP106" s="77">
        <v>3</v>
      </c>
      <c r="DQ106" s="77">
        <v>0</v>
      </c>
      <c r="DR106" s="77">
        <v>0</v>
      </c>
      <c r="DS106" s="77">
        <v>31</v>
      </c>
      <c r="DT106" s="16" t="s">
        <v>2022</v>
      </c>
      <c r="DU106" s="16" t="s">
        <v>1640</v>
      </c>
      <c r="DV106" s="79" t="s">
        <v>2682</v>
      </c>
      <c r="DW106" s="79" t="s">
        <v>25</v>
      </c>
      <c r="DX106" s="79">
        <v>560</v>
      </c>
      <c r="DY106" s="79">
        <v>482</v>
      </c>
      <c r="DZ106" s="79">
        <v>687</v>
      </c>
      <c r="EA106" s="79">
        <v>726</v>
      </c>
      <c r="EB106" s="79">
        <v>678</v>
      </c>
      <c r="EC106" s="79">
        <v>3133</v>
      </c>
      <c r="ED106" s="79"/>
      <c r="EE106" s="79" t="s">
        <v>25</v>
      </c>
      <c r="EF106" s="79">
        <v>35</v>
      </c>
      <c r="EG106" s="79">
        <v>0</v>
      </c>
      <c r="EH106" s="79">
        <v>0</v>
      </c>
      <c r="EI106" s="79">
        <v>0</v>
      </c>
      <c r="EJ106" s="79">
        <v>0</v>
      </c>
      <c r="EK106" s="79">
        <v>35</v>
      </c>
      <c r="EN106" s="57" t="s">
        <v>2003</v>
      </c>
      <c r="EO106" s="57" t="s">
        <v>2028</v>
      </c>
      <c r="EP106" s="57" t="s">
        <v>324</v>
      </c>
      <c r="EQ106" s="57" t="s">
        <v>324</v>
      </c>
      <c r="ER106" s="57" t="s">
        <v>324</v>
      </c>
      <c r="ES106" s="57" t="s">
        <v>324</v>
      </c>
      <c r="ET106" s="57" t="s">
        <v>324</v>
      </c>
      <c r="EU106" s="57" t="s">
        <v>324</v>
      </c>
      <c r="EV106" s="57"/>
      <c r="EW106" s="57" t="s">
        <v>2028</v>
      </c>
      <c r="EX106" s="57" t="s">
        <v>324</v>
      </c>
      <c r="EY106" s="57" t="s">
        <v>324</v>
      </c>
      <c r="EZ106" s="57" t="s">
        <v>324</v>
      </c>
      <c r="FA106" s="57" t="s">
        <v>324</v>
      </c>
      <c r="FB106" s="57" t="s">
        <v>324</v>
      </c>
      <c r="FC106" s="57" t="s">
        <v>324</v>
      </c>
      <c r="FF106" s="70" t="s">
        <v>1811</v>
      </c>
      <c r="FG106" s="70" t="s">
        <v>2028</v>
      </c>
      <c r="FH106" s="70" t="s">
        <v>324</v>
      </c>
      <c r="FI106" s="70" t="s">
        <v>324</v>
      </c>
      <c r="FJ106" s="70" t="s">
        <v>324</v>
      </c>
      <c r="FK106" s="70" t="s">
        <v>324</v>
      </c>
      <c r="FL106" s="70" t="s">
        <v>324</v>
      </c>
      <c r="FM106" s="70" t="s">
        <v>324</v>
      </c>
      <c r="FN106" s="70"/>
      <c r="FO106" s="70" t="s">
        <v>2028</v>
      </c>
      <c r="FP106" s="70" t="s">
        <v>324</v>
      </c>
      <c r="FQ106" s="70" t="s">
        <v>324</v>
      </c>
      <c r="FR106" s="70" t="s">
        <v>324</v>
      </c>
      <c r="FS106" s="70" t="s">
        <v>324</v>
      </c>
      <c r="FT106" s="70" t="s">
        <v>324</v>
      </c>
      <c r="FU106" s="70" t="s">
        <v>324</v>
      </c>
    </row>
    <row r="107" spans="2:177">
      <c r="B107" s="64" t="s">
        <v>736</v>
      </c>
      <c r="C107" s="64" t="s">
        <v>2028</v>
      </c>
      <c r="D107" s="64">
        <v>769</v>
      </c>
      <c r="E107" s="64">
        <v>677</v>
      </c>
      <c r="F107" s="64">
        <v>756</v>
      </c>
      <c r="G107" s="64">
        <v>878</v>
      </c>
      <c r="H107" s="64">
        <v>566</v>
      </c>
      <c r="I107" s="64">
        <v>3646</v>
      </c>
      <c r="K107" s="64" t="s">
        <v>2028</v>
      </c>
      <c r="L107" s="64">
        <v>72</v>
      </c>
      <c r="M107" s="64">
        <v>2</v>
      </c>
      <c r="N107" s="64">
        <v>0</v>
      </c>
      <c r="O107" s="64">
        <v>0</v>
      </c>
      <c r="P107" s="64">
        <v>0</v>
      </c>
      <c r="Q107" s="64">
        <v>74</v>
      </c>
      <c r="T107" s="65" t="s">
        <v>1009</v>
      </c>
      <c r="U107" s="65" t="s">
        <v>2032</v>
      </c>
      <c r="V107" s="65">
        <v>872</v>
      </c>
      <c r="W107" s="65">
        <v>723</v>
      </c>
      <c r="X107" s="65">
        <v>887</v>
      </c>
      <c r="Y107" s="65">
        <v>1040</v>
      </c>
      <c r="Z107" s="65">
        <v>727</v>
      </c>
      <c r="AA107" s="65">
        <v>4249</v>
      </c>
      <c r="AB107" s="65"/>
      <c r="AC107" s="65" t="s">
        <v>2032</v>
      </c>
      <c r="AD107" s="65">
        <v>97</v>
      </c>
      <c r="AE107" s="65">
        <v>4</v>
      </c>
      <c r="AF107" s="65">
        <v>1</v>
      </c>
      <c r="AG107" s="65">
        <v>0</v>
      </c>
      <c r="AH107" s="65">
        <v>0</v>
      </c>
      <c r="AI107" s="65">
        <v>102</v>
      </c>
      <c r="AK107" s="66" t="s">
        <v>1914</v>
      </c>
      <c r="AL107" s="66" t="s">
        <v>2018</v>
      </c>
      <c r="AM107" s="66">
        <v>522</v>
      </c>
      <c r="AN107" s="66">
        <v>742</v>
      </c>
      <c r="AO107" s="66">
        <v>601</v>
      </c>
      <c r="AP107" s="66">
        <v>598</v>
      </c>
      <c r="AQ107" s="66">
        <v>734</v>
      </c>
      <c r="AR107" s="66">
        <v>3197</v>
      </c>
      <c r="AS107" s="66"/>
      <c r="AT107" s="66" t="s">
        <v>2018</v>
      </c>
      <c r="AU107" s="66">
        <v>84</v>
      </c>
      <c r="AV107" s="66">
        <v>20</v>
      </c>
      <c r="AW107" s="66">
        <v>22</v>
      </c>
      <c r="AX107" s="66">
        <v>27</v>
      </c>
      <c r="AY107" s="66">
        <v>30</v>
      </c>
      <c r="AZ107" s="66">
        <v>183</v>
      </c>
      <c r="BB107" s="69" t="s">
        <v>1955</v>
      </c>
      <c r="BC107" s="69" t="s">
        <v>2018</v>
      </c>
      <c r="BD107" s="69">
        <v>85</v>
      </c>
      <c r="BE107" s="69">
        <v>77</v>
      </c>
      <c r="BF107" s="69">
        <v>151</v>
      </c>
      <c r="BG107" s="69">
        <v>223</v>
      </c>
      <c r="BH107" s="69">
        <v>191</v>
      </c>
      <c r="BI107" s="69">
        <v>727</v>
      </c>
      <c r="BJ107" s="69"/>
      <c r="BK107" s="69" t="s">
        <v>2018</v>
      </c>
      <c r="BL107" s="69">
        <v>22</v>
      </c>
      <c r="BM107" s="69">
        <v>0</v>
      </c>
      <c r="BN107" s="69">
        <v>0</v>
      </c>
      <c r="BO107" s="69">
        <v>0</v>
      </c>
      <c r="BP107" s="69">
        <v>0</v>
      </c>
      <c r="BQ107" s="69">
        <v>22</v>
      </c>
      <c r="BS107" s="70" t="s">
        <v>459</v>
      </c>
      <c r="BT107" s="70" t="s">
        <v>708</v>
      </c>
      <c r="BU107" s="70">
        <v>79</v>
      </c>
      <c r="BV107" s="70">
        <v>54</v>
      </c>
      <c r="BW107" s="70">
        <v>83</v>
      </c>
      <c r="BX107" s="70">
        <v>96</v>
      </c>
      <c r="BY107" s="70">
        <v>108</v>
      </c>
      <c r="BZ107" s="70">
        <v>420</v>
      </c>
      <c r="CA107" s="70"/>
      <c r="CB107" s="70" t="s">
        <v>708</v>
      </c>
      <c r="CC107" s="70">
        <v>17</v>
      </c>
      <c r="CD107" s="70">
        <v>0</v>
      </c>
      <c r="CE107" s="70">
        <v>0</v>
      </c>
      <c r="CF107" s="70">
        <v>0</v>
      </c>
      <c r="CG107" s="70">
        <v>0</v>
      </c>
      <c r="CH107" s="70">
        <v>17</v>
      </c>
      <c r="CL107" s="57" t="s">
        <v>522</v>
      </c>
      <c r="CM107" s="57" t="s">
        <v>2028</v>
      </c>
      <c r="CN107" s="57">
        <v>218</v>
      </c>
      <c r="CO107" s="57">
        <v>82</v>
      </c>
      <c r="CP107" s="57">
        <v>141</v>
      </c>
      <c r="CQ107" s="57">
        <v>189</v>
      </c>
      <c r="CR107" s="57">
        <v>184</v>
      </c>
      <c r="CS107" s="57">
        <v>814</v>
      </c>
      <c r="CT107" s="57"/>
      <c r="CU107" s="57" t="s">
        <v>2028</v>
      </c>
      <c r="CV107" s="57">
        <v>50</v>
      </c>
      <c r="CW107" s="57">
        <v>0</v>
      </c>
      <c r="CX107" s="57">
        <v>0</v>
      </c>
      <c r="CY107" s="57">
        <v>0</v>
      </c>
      <c r="CZ107" s="57">
        <v>0</v>
      </c>
      <c r="DA107" s="57">
        <v>50</v>
      </c>
      <c r="DD107" s="77" t="s">
        <v>1600</v>
      </c>
      <c r="DE107" s="77" t="s">
        <v>2253</v>
      </c>
      <c r="DF107" s="77">
        <v>262</v>
      </c>
      <c r="DG107" s="77">
        <v>464</v>
      </c>
      <c r="DH107" s="77">
        <v>714</v>
      </c>
      <c r="DI107" s="77">
        <v>949</v>
      </c>
      <c r="DJ107" s="77">
        <v>800</v>
      </c>
      <c r="DK107" s="77">
        <v>3189</v>
      </c>
      <c r="DL107" s="77"/>
      <c r="DM107" s="77" t="s">
        <v>2253</v>
      </c>
      <c r="DN107" s="77">
        <v>17</v>
      </c>
      <c r="DO107" s="77">
        <v>4</v>
      </c>
      <c r="DP107" s="77">
        <v>0</v>
      </c>
      <c r="DQ107" s="77">
        <v>0</v>
      </c>
      <c r="DR107" s="77">
        <v>0</v>
      </c>
      <c r="DS107" s="77">
        <v>21</v>
      </c>
      <c r="DT107" s="16" t="s">
        <v>2022</v>
      </c>
      <c r="DU107" s="16" t="s">
        <v>1643</v>
      </c>
      <c r="DV107" s="79" t="s">
        <v>2685</v>
      </c>
      <c r="DW107" s="79" t="s">
        <v>25</v>
      </c>
      <c r="DX107" s="79">
        <v>876</v>
      </c>
      <c r="DY107" s="79">
        <v>441</v>
      </c>
      <c r="DZ107" s="79">
        <v>453</v>
      </c>
      <c r="EA107" s="79">
        <v>460</v>
      </c>
      <c r="EB107" s="79">
        <v>342</v>
      </c>
      <c r="EC107" s="79">
        <v>2572</v>
      </c>
      <c r="ED107" s="79"/>
      <c r="EE107" s="79" t="s">
        <v>25</v>
      </c>
      <c r="EF107" s="79">
        <v>20</v>
      </c>
      <c r="EG107" s="79">
        <v>0</v>
      </c>
      <c r="EH107" s="79">
        <v>0</v>
      </c>
      <c r="EI107" s="79">
        <v>0</v>
      </c>
      <c r="EJ107" s="79">
        <v>0</v>
      </c>
      <c r="EK107" s="79">
        <v>20</v>
      </c>
      <c r="EN107" s="57" t="s">
        <v>1781</v>
      </c>
      <c r="EO107" s="57" t="s">
        <v>2028</v>
      </c>
      <c r="EP107" s="57">
        <v>88</v>
      </c>
      <c r="EQ107" s="57">
        <v>151</v>
      </c>
      <c r="ER107" s="57">
        <v>224</v>
      </c>
      <c r="ES107" s="57">
        <v>258</v>
      </c>
      <c r="ET107" s="57">
        <v>317</v>
      </c>
      <c r="EU107" s="57">
        <v>1038</v>
      </c>
      <c r="EV107" s="57"/>
      <c r="EW107" s="57" t="s">
        <v>2028</v>
      </c>
      <c r="EX107" s="57">
        <v>7</v>
      </c>
      <c r="EY107" s="57">
        <v>10</v>
      </c>
      <c r="EZ107" s="57">
        <v>3</v>
      </c>
      <c r="FA107" s="57">
        <v>0</v>
      </c>
      <c r="FB107" s="57">
        <v>1</v>
      </c>
      <c r="FC107" s="57">
        <v>21</v>
      </c>
      <c r="FF107" s="70" t="s">
        <v>1813</v>
      </c>
      <c r="FG107" s="70" t="s">
        <v>2028</v>
      </c>
      <c r="FH107" s="70">
        <v>1930</v>
      </c>
      <c r="FI107" s="70">
        <v>1434</v>
      </c>
      <c r="FJ107" s="70">
        <v>995</v>
      </c>
      <c r="FK107" s="70">
        <v>701</v>
      </c>
      <c r="FL107" s="70">
        <v>857</v>
      </c>
      <c r="FM107" s="70">
        <v>5917</v>
      </c>
      <c r="FN107" s="70"/>
      <c r="FO107" s="70" t="s">
        <v>2028</v>
      </c>
      <c r="FP107" s="70">
        <v>439</v>
      </c>
      <c r="FQ107" s="70">
        <v>111</v>
      </c>
      <c r="FR107" s="70">
        <v>0</v>
      </c>
      <c r="FS107" s="70">
        <v>0</v>
      </c>
      <c r="FT107" s="70">
        <v>0</v>
      </c>
      <c r="FU107" s="70">
        <v>550</v>
      </c>
    </row>
    <row r="108" spans="2:177">
      <c r="B108" s="64" t="s">
        <v>741</v>
      </c>
      <c r="C108" s="64" t="s">
        <v>2028</v>
      </c>
      <c r="D108" s="64">
        <v>146</v>
      </c>
      <c r="E108" s="64">
        <v>250</v>
      </c>
      <c r="F108" s="64">
        <v>495</v>
      </c>
      <c r="G108" s="64">
        <v>598</v>
      </c>
      <c r="H108" s="64">
        <v>463</v>
      </c>
      <c r="I108" s="64">
        <v>1952</v>
      </c>
      <c r="K108" s="64" t="s">
        <v>2028</v>
      </c>
      <c r="L108" s="64">
        <v>15</v>
      </c>
      <c r="M108" s="64">
        <v>2</v>
      </c>
      <c r="N108" s="64">
        <v>1</v>
      </c>
      <c r="O108" s="64">
        <v>0</v>
      </c>
      <c r="P108" s="64">
        <v>0</v>
      </c>
      <c r="Q108" s="64">
        <v>18</v>
      </c>
      <c r="T108" s="65" t="s">
        <v>1014</v>
      </c>
      <c r="U108" s="65" t="s">
        <v>2032</v>
      </c>
      <c r="V108" s="65">
        <v>597</v>
      </c>
      <c r="W108" s="65">
        <v>332</v>
      </c>
      <c r="X108" s="65">
        <v>372</v>
      </c>
      <c r="Y108" s="65">
        <v>396</v>
      </c>
      <c r="Z108" s="65">
        <v>335</v>
      </c>
      <c r="AA108" s="65">
        <v>2032</v>
      </c>
      <c r="AB108" s="65"/>
      <c r="AC108" s="65" t="s">
        <v>2032</v>
      </c>
      <c r="AD108" s="65">
        <v>16</v>
      </c>
      <c r="AE108" s="65">
        <v>0</v>
      </c>
      <c r="AF108" s="65">
        <v>0</v>
      </c>
      <c r="AG108" s="65">
        <v>0</v>
      </c>
      <c r="AH108" s="65">
        <v>0</v>
      </c>
      <c r="AI108" s="65">
        <v>16</v>
      </c>
      <c r="AK108" s="66" t="s">
        <v>1916</v>
      </c>
      <c r="AL108" s="66" t="s">
        <v>2018</v>
      </c>
      <c r="AM108" s="66">
        <v>499</v>
      </c>
      <c r="AN108" s="66">
        <v>407</v>
      </c>
      <c r="AO108" s="66">
        <v>404</v>
      </c>
      <c r="AP108" s="66">
        <v>448</v>
      </c>
      <c r="AQ108" s="66">
        <v>645</v>
      </c>
      <c r="AR108" s="66">
        <v>2403</v>
      </c>
      <c r="AS108" s="66"/>
      <c r="AT108" s="66" t="s">
        <v>2018</v>
      </c>
      <c r="AU108" s="66">
        <v>128</v>
      </c>
      <c r="AV108" s="66">
        <v>31</v>
      </c>
      <c r="AW108" s="66">
        <v>24</v>
      </c>
      <c r="AX108" s="66">
        <v>24</v>
      </c>
      <c r="AY108" s="66">
        <v>43</v>
      </c>
      <c r="AZ108" s="66">
        <v>250</v>
      </c>
      <c r="BB108" s="69" t="s">
        <v>1322</v>
      </c>
      <c r="BC108" s="69" t="s">
        <v>2018</v>
      </c>
      <c r="BD108" s="69">
        <v>137</v>
      </c>
      <c r="BE108" s="69">
        <v>88</v>
      </c>
      <c r="BF108" s="69">
        <v>109</v>
      </c>
      <c r="BG108" s="69">
        <v>159</v>
      </c>
      <c r="BH108" s="69">
        <v>148</v>
      </c>
      <c r="BI108" s="69">
        <v>641</v>
      </c>
      <c r="BJ108" s="69"/>
      <c r="BK108" s="69" t="s">
        <v>2018</v>
      </c>
      <c r="BL108" s="69">
        <v>28</v>
      </c>
      <c r="BM108" s="69">
        <v>0</v>
      </c>
      <c r="BN108" s="69">
        <v>0</v>
      </c>
      <c r="BO108" s="69">
        <v>0</v>
      </c>
      <c r="BP108" s="69">
        <v>0</v>
      </c>
      <c r="BQ108" s="69">
        <v>28</v>
      </c>
      <c r="BS108" s="70" t="s">
        <v>460</v>
      </c>
      <c r="BT108" s="70" t="s">
        <v>708</v>
      </c>
      <c r="BU108" s="70">
        <v>826</v>
      </c>
      <c r="BV108" s="70">
        <v>654</v>
      </c>
      <c r="BW108" s="70">
        <v>564</v>
      </c>
      <c r="BX108" s="70">
        <v>554</v>
      </c>
      <c r="BY108" s="70">
        <v>381</v>
      </c>
      <c r="BZ108" s="70">
        <v>2979</v>
      </c>
      <c r="CA108" s="70"/>
      <c r="CB108" s="70" t="s">
        <v>708</v>
      </c>
      <c r="CC108" s="70">
        <v>184</v>
      </c>
      <c r="CD108" s="70">
        <v>1</v>
      </c>
      <c r="CE108" s="70">
        <v>0</v>
      </c>
      <c r="CF108" s="70">
        <v>0</v>
      </c>
      <c r="CG108" s="70">
        <v>0</v>
      </c>
      <c r="CH108" s="70">
        <v>185</v>
      </c>
      <c r="CL108" s="57" t="s">
        <v>1961</v>
      </c>
      <c r="CM108" s="57" t="s">
        <v>2028</v>
      </c>
      <c r="CN108" s="57">
        <v>36</v>
      </c>
      <c r="CO108" s="57">
        <v>76</v>
      </c>
      <c r="CP108" s="57">
        <v>143</v>
      </c>
      <c r="CQ108" s="57">
        <v>235</v>
      </c>
      <c r="CR108" s="57">
        <v>262</v>
      </c>
      <c r="CS108" s="57">
        <v>752</v>
      </c>
      <c r="CT108" s="57"/>
      <c r="CU108" s="57" t="s">
        <v>2028</v>
      </c>
      <c r="CV108" s="57">
        <v>8</v>
      </c>
      <c r="CW108" s="57">
        <v>0</v>
      </c>
      <c r="CX108" s="57">
        <v>0</v>
      </c>
      <c r="CY108" s="57">
        <v>0</v>
      </c>
      <c r="CZ108" s="57">
        <v>0</v>
      </c>
      <c r="DA108" s="57">
        <v>8</v>
      </c>
      <c r="DD108" s="77" t="s">
        <v>1603</v>
      </c>
      <c r="DE108" s="77" t="s">
        <v>2253</v>
      </c>
      <c r="DF108" s="77">
        <v>191</v>
      </c>
      <c r="DG108" s="77">
        <v>317</v>
      </c>
      <c r="DH108" s="77">
        <v>409</v>
      </c>
      <c r="DI108" s="77">
        <v>576</v>
      </c>
      <c r="DJ108" s="77">
        <v>540</v>
      </c>
      <c r="DK108" s="77">
        <v>2033</v>
      </c>
      <c r="DL108" s="77"/>
      <c r="DM108" s="77" t="s">
        <v>2253</v>
      </c>
      <c r="DN108" s="77">
        <v>8</v>
      </c>
      <c r="DO108" s="77">
        <v>7</v>
      </c>
      <c r="DP108" s="77">
        <v>1</v>
      </c>
      <c r="DQ108" s="77">
        <v>0</v>
      </c>
      <c r="DR108" s="77">
        <v>0</v>
      </c>
      <c r="DS108" s="77">
        <v>16</v>
      </c>
      <c r="DT108" s="16" t="s">
        <v>2022</v>
      </c>
      <c r="DU108" s="16" t="s">
        <v>1646</v>
      </c>
      <c r="DV108" s="79" t="s">
        <v>2679</v>
      </c>
      <c r="DW108" s="79" t="s">
        <v>25</v>
      </c>
      <c r="DX108" s="79">
        <v>188</v>
      </c>
      <c r="DY108" s="79">
        <v>196</v>
      </c>
      <c r="DZ108" s="79">
        <v>217</v>
      </c>
      <c r="EA108" s="79">
        <v>267</v>
      </c>
      <c r="EB108" s="79">
        <v>224</v>
      </c>
      <c r="EC108" s="79">
        <v>1092</v>
      </c>
      <c r="ED108" s="79"/>
      <c r="EE108" s="79" t="s">
        <v>25</v>
      </c>
      <c r="EF108" s="79">
        <v>12</v>
      </c>
      <c r="EG108" s="79">
        <v>0</v>
      </c>
      <c r="EH108" s="79">
        <v>1</v>
      </c>
      <c r="EI108" s="79">
        <v>0</v>
      </c>
      <c r="EJ108" s="79">
        <v>0</v>
      </c>
      <c r="EK108" s="79">
        <v>13</v>
      </c>
      <c r="EN108" s="57" t="s">
        <v>1784</v>
      </c>
      <c r="EO108" s="57" t="s">
        <v>2028</v>
      </c>
      <c r="EP108" s="57">
        <v>67</v>
      </c>
      <c r="EQ108" s="57">
        <v>109</v>
      </c>
      <c r="ER108" s="57">
        <v>142</v>
      </c>
      <c r="ES108" s="57">
        <v>209</v>
      </c>
      <c r="ET108" s="57">
        <v>273</v>
      </c>
      <c r="EU108" s="57">
        <v>800</v>
      </c>
      <c r="EV108" s="57"/>
      <c r="EW108" s="57" t="s">
        <v>2028</v>
      </c>
      <c r="EX108" s="57">
        <v>13</v>
      </c>
      <c r="EY108" s="57">
        <v>7</v>
      </c>
      <c r="EZ108" s="57">
        <v>0</v>
      </c>
      <c r="FA108" s="57">
        <v>2</v>
      </c>
      <c r="FB108" s="57">
        <v>3</v>
      </c>
      <c r="FC108" s="57">
        <v>25</v>
      </c>
      <c r="FF108" s="70" t="s">
        <v>1816</v>
      </c>
      <c r="FG108" s="70" t="s">
        <v>2028</v>
      </c>
      <c r="FH108" s="70">
        <v>294</v>
      </c>
      <c r="FI108" s="70">
        <v>477</v>
      </c>
      <c r="FJ108" s="70">
        <v>592</v>
      </c>
      <c r="FK108" s="70">
        <v>534</v>
      </c>
      <c r="FL108" s="70">
        <v>681</v>
      </c>
      <c r="FM108" s="70">
        <v>2578</v>
      </c>
      <c r="FN108" s="70"/>
      <c r="FO108" s="70" t="s">
        <v>2028</v>
      </c>
      <c r="FP108" s="70">
        <v>47</v>
      </c>
      <c r="FQ108" s="70">
        <v>3</v>
      </c>
      <c r="FR108" s="70">
        <v>0</v>
      </c>
      <c r="FS108" s="70">
        <v>0</v>
      </c>
      <c r="FT108" s="70">
        <v>0</v>
      </c>
      <c r="FU108" s="70">
        <v>50</v>
      </c>
    </row>
    <row r="109" spans="2:177">
      <c r="B109" s="64" t="s">
        <v>744</v>
      </c>
      <c r="C109" s="64" t="s">
        <v>2028</v>
      </c>
      <c r="D109" s="64">
        <v>190</v>
      </c>
      <c r="E109" s="64">
        <v>305</v>
      </c>
      <c r="F109" s="64">
        <v>482</v>
      </c>
      <c r="G109" s="64">
        <v>594</v>
      </c>
      <c r="H109" s="64">
        <v>433</v>
      </c>
      <c r="I109" s="64">
        <v>2004</v>
      </c>
      <c r="K109" s="64" t="s">
        <v>2028</v>
      </c>
      <c r="L109" s="64">
        <v>42</v>
      </c>
      <c r="M109" s="64">
        <v>6</v>
      </c>
      <c r="N109" s="64">
        <v>6</v>
      </c>
      <c r="O109" s="64">
        <v>2</v>
      </c>
      <c r="P109" s="64">
        <v>0</v>
      </c>
      <c r="Q109" s="64">
        <v>56</v>
      </c>
      <c r="T109" s="65" t="s">
        <v>1017</v>
      </c>
      <c r="U109" s="65" t="s">
        <v>2032</v>
      </c>
      <c r="V109" s="65">
        <v>736</v>
      </c>
      <c r="W109" s="65">
        <v>707</v>
      </c>
      <c r="X109" s="65">
        <v>1127</v>
      </c>
      <c r="Y109" s="65">
        <v>1445</v>
      </c>
      <c r="Z109" s="65">
        <v>1157</v>
      </c>
      <c r="AA109" s="65">
        <v>5172</v>
      </c>
      <c r="AB109" s="65"/>
      <c r="AC109" s="65" t="s">
        <v>2032</v>
      </c>
      <c r="AD109" s="65">
        <v>31</v>
      </c>
      <c r="AE109" s="65">
        <v>4</v>
      </c>
      <c r="AF109" s="65">
        <v>2</v>
      </c>
      <c r="AG109" s="65">
        <v>0</v>
      </c>
      <c r="AH109" s="65">
        <v>0</v>
      </c>
      <c r="AI109" s="65">
        <v>37</v>
      </c>
      <c r="AK109" s="66" t="s">
        <v>1918</v>
      </c>
      <c r="AL109" s="66" t="s">
        <v>2018</v>
      </c>
      <c r="AM109" s="66">
        <v>837</v>
      </c>
      <c r="AN109" s="66">
        <v>766</v>
      </c>
      <c r="AO109" s="66">
        <v>662</v>
      </c>
      <c r="AP109" s="66">
        <v>692</v>
      </c>
      <c r="AQ109" s="66">
        <v>978</v>
      </c>
      <c r="AR109" s="66">
        <v>3935</v>
      </c>
      <c r="AS109" s="66"/>
      <c r="AT109" s="66" t="s">
        <v>2018</v>
      </c>
      <c r="AU109" s="66">
        <v>113</v>
      </c>
      <c r="AV109" s="66">
        <v>10</v>
      </c>
      <c r="AW109" s="66">
        <v>13</v>
      </c>
      <c r="AX109" s="66">
        <v>9</v>
      </c>
      <c r="AY109" s="66">
        <v>14</v>
      </c>
      <c r="AZ109" s="66">
        <v>159</v>
      </c>
      <c r="BB109" s="69" t="s">
        <v>1327</v>
      </c>
      <c r="BC109" s="69" t="s">
        <v>2018</v>
      </c>
      <c r="BD109" s="69">
        <v>82</v>
      </c>
      <c r="BE109" s="69">
        <v>57</v>
      </c>
      <c r="BF109" s="69">
        <v>76</v>
      </c>
      <c r="BG109" s="69">
        <v>96</v>
      </c>
      <c r="BH109" s="69">
        <v>85</v>
      </c>
      <c r="BI109" s="69">
        <v>396</v>
      </c>
      <c r="BJ109" s="69"/>
      <c r="BK109" s="69" t="s">
        <v>2018</v>
      </c>
      <c r="BL109" s="69">
        <v>22</v>
      </c>
      <c r="BM109" s="69">
        <v>1</v>
      </c>
      <c r="BN109" s="69">
        <v>0</v>
      </c>
      <c r="BO109" s="69">
        <v>0</v>
      </c>
      <c r="BP109" s="69">
        <v>0</v>
      </c>
      <c r="BQ109" s="69">
        <v>23</v>
      </c>
      <c r="BS109" s="70" t="s">
        <v>461</v>
      </c>
      <c r="BT109" s="70" t="s">
        <v>25</v>
      </c>
      <c r="BU109" s="70">
        <v>896</v>
      </c>
      <c r="BV109" s="70">
        <v>799</v>
      </c>
      <c r="BW109" s="70">
        <v>640</v>
      </c>
      <c r="BX109" s="70">
        <v>606</v>
      </c>
      <c r="BY109" s="70">
        <v>456</v>
      </c>
      <c r="BZ109" s="70">
        <v>3397</v>
      </c>
      <c r="CA109" s="70"/>
      <c r="CB109" s="70" t="s">
        <v>25</v>
      </c>
      <c r="CC109" s="70">
        <v>256</v>
      </c>
      <c r="CD109" s="70">
        <v>2</v>
      </c>
      <c r="CE109" s="70">
        <v>0</v>
      </c>
      <c r="CF109" s="70">
        <v>0</v>
      </c>
      <c r="CG109" s="70">
        <v>0</v>
      </c>
      <c r="CH109" s="70">
        <v>258</v>
      </c>
      <c r="CL109" s="57" t="s">
        <v>497</v>
      </c>
      <c r="CM109" s="57" t="s">
        <v>2028</v>
      </c>
      <c r="CN109" s="57">
        <v>77</v>
      </c>
      <c r="CO109" s="57">
        <v>102</v>
      </c>
      <c r="CP109" s="57">
        <v>212</v>
      </c>
      <c r="CQ109" s="57">
        <v>330</v>
      </c>
      <c r="CR109" s="57">
        <v>275</v>
      </c>
      <c r="CS109" s="57">
        <v>996</v>
      </c>
      <c r="CT109" s="57"/>
      <c r="CU109" s="57" t="s">
        <v>2028</v>
      </c>
      <c r="CV109" s="57">
        <v>21</v>
      </c>
      <c r="CW109" s="57">
        <v>0</v>
      </c>
      <c r="CX109" s="57">
        <v>0</v>
      </c>
      <c r="CY109" s="57">
        <v>0</v>
      </c>
      <c r="CZ109" s="57">
        <v>0</v>
      </c>
      <c r="DA109" s="57">
        <v>21</v>
      </c>
      <c r="DD109" s="77" t="s">
        <v>1606</v>
      </c>
      <c r="DE109" s="77" t="s">
        <v>2253</v>
      </c>
      <c r="DF109" s="77">
        <v>143</v>
      </c>
      <c r="DG109" s="77">
        <v>285</v>
      </c>
      <c r="DH109" s="77">
        <v>386</v>
      </c>
      <c r="DI109" s="77">
        <v>485</v>
      </c>
      <c r="DJ109" s="77">
        <v>438</v>
      </c>
      <c r="DK109" s="77">
        <v>1737</v>
      </c>
      <c r="DL109" s="77"/>
      <c r="DM109" s="77" t="s">
        <v>2253</v>
      </c>
      <c r="DN109" s="77">
        <v>8</v>
      </c>
      <c r="DO109" s="77">
        <v>7</v>
      </c>
      <c r="DP109" s="77">
        <v>7</v>
      </c>
      <c r="DQ109" s="77">
        <v>0</v>
      </c>
      <c r="DR109" s="77">
        <v>0</v>
      </c>
      <c r="DS109" s="77">
        <v>22</v>
      </c>
      <c r="DT109" s="16" t="s">
        <v>2022</v>
      </c>
      <c r="DU109" s="16" t="s">
        <v>1649</v>
      </c>
      <c r="DV109" s="79" t="s">
        <v>2676</v>
      </c>
      <c r="DW109" s="79" t="s">
        <v>25</v>
      </c>
      <c r="DX109" s="79">
        <v>278</v>
      </c>
      <c r="DY109" s="79">
        <v>304</v>
      </c>
      <c r="DZ109" s="79">
        <v>440</v>
      </c>
      <c r="EA109" s="79">
        <v>523</v>
      </c>
      <c r="EB109" s="79">
        <v>456</v>
      </c>
      <c r="EC109" s="79">
        <v>2001</v>
      </c>
      <c r="ED109" s="79"/>
      <c r="EE109" s="79" t="s">
        <v>25</v>
      </c>
      <c r="EF109" s="79">
        <v>22</v>
      </c>
      <c r="EG109" s="79">
        <v>0</v>
      </c>
      <c r="EH109" s="79">
        <v>0</v>
      </c>
      <c r="EI109" s="79">
        <v>0</v>
      </c>
      <c r="EJ109" s="79">
        <v>0</v>
      </c>
      <c r="EK109" s="79">
        <v>22</v>
      </c>
      <c r="FF109" s="70" t="s">
        <v>1818</v>
      </c>
      <c r="FG109" s="70" t="s">
        <v>2028</v>
      </c>
      <c r="FH109" s="70">
        <v>172</v>
      </c>
      <c r="FI109" s="70">
        <v>373</v>
      </c>
      <c r="FJ109" s="70">
        <v>577</v>
      </c>
      <c r="FK109" s="70">
        <v>564</v>
      </c>
      <c r="FL109" s="70">
        <v>619</v>
      </c>
      <c r="FM109" s="70">
        <v>2305</v>
      </c>
      <c r="FN109" s="70"/>
      <c r="FO109" s="70" t="s">
        <v>2028</v>
      </c>
      <c r="FP109" s="70">
        <v>15</v>
      </c>
      <c r="FQ109" s="70">
        <v>0</v>
      </c>
      <c r="FR109" s="70">
        <v>0</v>
      </c>
      <c r="FS109" s="70">
        <v>0</v>
      </c>
      <c r="FT109" s="70">
        <v>0</v>
      </c>
      <c r="FU109" s="70">
        <v>15</v>
      </c>
    </row>
    <row r="110" spans="2:177">
      <c r="B110" s="64" t="s">
        <v>747</v>
      </c>
      <c r="C110" s="64" t="s">
        <v>2028</v>
      </c>
      <c r="D110" s="64">
        <v>306</v>
      </c>
      <c r="E110" s="64">
        <v>275</v>
      </c>
      <c r="F110" s="64">
        <v>356</v>
      </c>
      <c r="G110" s="64">
        <v>442</v>
      </c>
      <c r="H110" s="64">
        <v>346</v>
      </c>
      <c r="I110" s="64">
        <v>1725</v>
      </c>
      <c r="K110" s="64" t="s">
        <v>2028</v>
      </c>
      <c r="L110" s="64">
        <v>39</v>
      </c>
      <c r="M110" s="64">
        <v>2</v>
      </c>
      <c r="N110" s="64">
        <v>0</v>
      </c>
      <c r="O110" s="64">
        <v>0</v>
      </c>
      <c r="P110" s="64">
        <v>0</v>
      </c>
      <c r="Q110" s="64">
        <v>41</v>
      </c>
      <c r="T110" s="65" t="s">
        <v>1020</v>
      </c>
      <c r="U110" s="65" t="s">
        <v>2032</v>
      </c>
      <c r="V110" s="65">
        <v>714</v>
      </c>
      <c r="W110" s="65">
        <v>415</v>
      </c>
      <c r="X110" s="65">
        <v>457</v>
      </c>
      <c r="Y110" s="65">
        <v>377</v>
      </c>
      <c r="Z110" s="65">
        <v>247</v>
      </c>
      <c r="AA110" s="65">
        <v>2210</v>
      </c>
      <c r="AB110" s="65"/>
      <c r="AC110" s="65" t="s">
        <v>2032</v>
      </c>
      <c r="AD110" s="65">
        <v>53</v>
      </c>
      <c r="AE110" s="65">
        <v>0</v>
      </c>
      <c r="AF110" s="65">
        <v>0</v>
      </c>
      <c r="AG110" s="65">
        <v>0</v>
      </c>
      <c r="AH110" s="65">
        <v>0</v>
      </c>
      <c r="AI110" s="65">
        <v>53</v>
      </c>
      <c r="AK110" s="66" t="s">
        <v>1920</v>
      </c>
      <c r="AL110" s="66" t="s">
        <v>2018</v>
      </c>
      <c r="AM110" s="66">
        <v>718</v>
      </c>
      <c r="AN110" s="66">
        <v>643</v>
      </c>
      <c r="AO110" s="66">
        <v>635</v>
      </c>
      <c r="AP110" s="66">
        <v>563</v>
      </c>
      <c r="AQ110" s="66">
        <v>785</v>
      </c>
      <c r="AR110" s="66">
        <v>3344</v>
      </c>
      <c r="AS110" s="66"/>
      <c r="AT110" s="66" t="s">
        <v>2018</v>
      </c>
      <c r="AU110" s="66">
        <v>109</v>
      </c>
      <c r="AV110" s="66">
        <v>23</v>
      </c>
      <c r="AW110" s="66">
        <v>20</v>
      </c>
      <c r="AX110" s="66">
        <v>16</v>
      </c>
      <c r="AY110" s="66">
        <v>20</v>
      </c>
      <c r="AZ110" s="66">
        <v>188</v>
      </c>
      <c r="BB110" s="69" t="s">
        <v>1333</v>
      </c>
      <c r="BC110" s="69" t="s">
        <v>2018</v>
      </c>
      <c r="BD110" s="69">
        <v>87</v>
      </c>
      <c r="BE110" s="69">
        <v>57</v>
      </c>
      <c r="BF110" s="69">
        <v>118</v>
      </c>
      <c r="BG110" s="69">
        <v>216</v>
      </c>
      <c r="BH110" s="69">
        <v>207</v>
      </c>
      <c r="BI110" s="69">
        <v>685</v>
      </c>
      <c r="BJ110" s="69"/>
      <c r="BK110" s="69" t="s">
        <v>2018</v>
      </c>
      <c r="BL110" s="69">
        <v>26</v>
      </c>
      <c r="BM110" s="69">
        <v>0</v>
      </c>
      <c r="BN110" s="69">
        <v>0</v>
      </c>
      <c r="BO110" s="69">
        <v>0</v>
      </c>
      <c r="BP110" s="69">
        <v>0</v>
      </c>
      <c r="BQ110" s="69">
        <v>26</v>
      </c>
      <c r="BS110" s="70" t="s">
        <v>463</v>
      </c>
      <c r="BT110" s="70" t="s">
        <v>25</v>
      </c>
      <c r="BU110" s="70">
        <v>162</v>
      </c>
      <c r="BV110" s="70">
        <v>239</v>
      </c>
      <c r="BW110" s="70">
        <v>326</v>
      </c>
      <c r="BX110" s="70">
        <v>293</v>
      </c>
      <c r="BY110" s="70">
        <v>258</v>
      </c>
      <c r="BZ110" s="70">
        <v>1278</v>
      </c>
      <c r="CA110" s="70"/>
      <c r="CB110" s="70" t="s">
        <v>25</v>
      </c>
      <c r="CC110" s="70">
        <v>34</v>
      </c>
      <c r="CD110" s="70">
        <v>0</v>
      </c>
      <c r="CE110" s="70">
        <v>0</v>
      </c>
      <c r="CF110" s="70">
        <v>0</v>
      </c>
      <c r="CG110" s="70">
        <v>0</v>
      </c>
      <c r="CH110" s="70">
        <v>34</v>
      </c>
      <c r="CL110" s="57" t="s">
        <v>525</v>
      </c>
      <c r="CM110" s="57" t="s">
        <v>2028</v>
      </c>
      <c r="CN110" s="57">
        <v>48</v>
      </c>
      <c r="CO110" s="57">
        <v>14</v>
      </c>
      <c r="CP110" s="57">
        <v>16</v>
      </c>
      <c r="CQ110" s="57">
        <v>14</v>
      </c>
      <c r="CR110" s="57">
        <v>47</v>
      </c>
      <c r="CS110" s="57">
        <v>139</v>
      </c>
      <c r="CT110" s="57"/>
      <c r="CU110" s="57" t="s">
        <v>2028</v>
      </c>
      <c r="CV110" s="57">
        <v>16</v>
      </c>
      <c r="CW110" s="57">
        <v>0</v>
      </c>
      <c r="CX110" s="57">
        <v>0</v>
      </c>
      <c r="CY110" s="57">
        <v>0</v>
      </c>
      <c r="CZ110" s="57">
        <v>0</v>
      </c>
      <c r="DA110" s="57">
        <v>16</v>
      </c>
      <c r="DD110" s="77" t="s">
        <v>1609</v>
      </c>
      <c r="DE110" s="77" t="s">
        <v>2253</v>
      </c>
      <c r="DF110" s="77">
        <v>99</v>
      </c>
      <c r="DG110" s="77">
        <v>120</v>
      </c>
      <c r="DH110" s="77">
        <v>141</v>
      </c>
      <c r="DI110" s="77">
        <v>162</v>
      </c>
      <c r="DJ110" s="77">
        <v>179</v>
      </c>
      <c r="DK110" s="77">
        <v>701</v>
      </c>
      <c r="DL110" s="77"/>
      <c r="DM110" s="77" t="s">
        <v>2253</v>
      </c>
      <c r="DN110" s="77">
        <v>11</v>
      </c>
      <c r="DO110" s="77">
        <v>2</v>
      </c>
      <c r="DP110" s="77">
        <v>5</v>
      </c>
      <c r="DQ110" s="77">
        <v>0</v>
      </c>
      <c r="DR110" s="77">
        <v>0</v>
      </c>
      <c r="DS110" s="77">
        <v>18</v>
      </c>
      <c r="DT110" s="16" t="s">
        <v>2022</v>
      </c>
      <c r="DU110" s="16" t="s">
        <v>1652</v>
      </c>
      <c r="DV110" s="79" t="s">
        <v>2670</v>
      </c>
      <c r="DW110" s="79" t="s">
        <v>25</v>
      </c>
      <c r="DX110" s="79">
        <v>383</v>
      </c>
      <c r="DY110" s="79">
        <v>384</v>
      </c>
      <c r="DZ110" s="79">
        <v>403</v>
      </c>
      <c r="EA110" s="79">
        <v>420</v>
      </c>
      <c r="EB110" s="79">
        <v>323</v>
      </c>
      <c r="EC110" s="79">
        <v>1913</v>
      </c>
      <c r="ED110" s="79"/>
      <c r="EE110" s="79" t="s">
        <v>25</v>
      </c>
      <c r="EF110" s="79">
        <v>11</v>
      </c>
      <c r="EG110" s="79">
        <v>0</v>
      </c>
      <c r="EH110" s="79">
        <v>0</v>
      </c>
      <c r="EI110" s="79">
        <v>0</v>
      </c>
      <c r="EJ110" s="79">
        <v>0</v>
      </c>
      <c r="EK110" s="79">
        <v>11</v>
      </c>
      <c r="EN110" s="57" t="s">
        <v>1987</v>
      </c>
      <c r="EO110" s="57" t="s">
        <v>2032</v>
      </c>
      <c r="EP110" s="57">
        <v>657</v>
      </c>
      <c r="EQ110" s="57">
        <v>937</v>
      </c>
      <c r="ER110" s="57">
        <v>1062</v>
      </c>
      <c r="ES110" s="57">
        <v>1283</v>
      </c>
      <c r="ET110" s="57">
        <v>1408</v>
      </c>
      <c r="EU110" s="57">
        <v>5347</v>
      </c>
      <c r="EV110" s="57"/>
      <c r="EW110" s="57" t="s">
        <v>2032</v>
      </c>
      <c r="EX110" s="57">
        <v>109</v>
      </c>
      <c r="EY110" s="57">
        <v>33</v>
      </c>
      <c r="EZ110" s="57">
        <v>23</v>
      </c>
      <c r="FA110" s="57">
        <v>15</v>
      </c>
      <c r="FB110" s="57">
        <v>20</v>
      </c>
      <c r="FC110" s="57">
        <v>200</v>
      </c>
      <c r="FF110" s="70" t="s">
        <v>1820</v>
      </c>
      <c r="FG110" s="70" t="s">
        <v>2028</v>
      </c>
      <c r="FH110" s="70">
        <v>559</v>
      </c>
      <c r="FI110" s="70">
        <v>630</v>
      </c>
      <c r="FJ110" s="70">
        <v>686</v>
      </c>
      <c r="FK110" s="70">
        <v>630</v>
      </c>
      <c r="FL110" s="70">
        <v>713</v>
      </c>
      <c r="FM110" s="70">
        <v>3218</v>
      </c>
      <c r="FN110" s="70"/>
      <c r="FO110" s="70" t="s">
        <v>2028</v>
      </c>
      <c r="FP110" s="70">
        <v>55</v>
      </c>
      <c r="FQ110" s="70">
        <v>0</v>
      </c>
      <c r="FR110" s="70">
        <v>0</v>
      </c>
      <c r="FS110" s="70">
        <v>0</v>
      </c>
      <c r="FT110" s="70">
        <v>0</v>
      </c>
      <c r="FU110" s="70">
        <v>55</v>
      </c>
    </row>
    <row r="111" spans="2:177">
      <c r="B111" s="64" t="s">
        <v>749</v>
      </c>
      <c r="C111" s="64" t="s">
        <v>2028</v>
      </c>
      <c r="D111" s="64">
        <v>91</v>
      </c>
      <c r="E111" s="64">
        <v>109</v>
      </c>
      <c r="F111" s="64">
        <v>193</v>
      </c>
      <c r="G111" s="64">
        <v>318</v>
      </c>
      <c r="H111" s="64">
        <v>258</v>
      </c>
      <c r="I111" s="64">
        <v>969</v>
      </c>
      <c r="K111" s="64" t="s">
        <v>2028</v>
      </c>
      <c r="L111" s="64">
        <v>11</v>
      </c>
      <c r="M111" s="64">
        <v>0</v>
      </c>
      <c r="N111" s="64">
        <v>0</v>
      </c>
      <c r="O111" s="64">
        <v>0</v>
      </c>
      <c r="P111" s="64">
        <v>0</v>
      </c>
      <c r="Q111" s="64">
        <v>11</v>
      </c>
      <c r="T111" s="65" t="s">
        <v>1026</v>
      </c>
      <c r="U111" s="65" t="s">
        <v>2032</v>
      </c>
      <c r="V111" s="65">
        <v>133</v>
      </c>
      <c r="W111" s="65">
        <v>264</v>
      </c>
      <c r="X111" s="65">
        <v>487</v>
      </c>
      <c r="Y111" s="65">
        <v>686</v>
      </c>
      <c r="Z111" s="65">
        <v>584</v>
      </c>
      <c r="AA111" s="65">
        <v>2154</v>
      </c>
      <c r="AB111" s="65"/>
      <c r="AC111" s="65" t="s">
        <v>2032</v>
      </c>
      <c r="AD111" s="65">
        <v>11</v>
      </c>
      <c r="AE111" s="65">
        <v>4</v>
      </c>
      <c r="AF111" s="65">
        <v>3</v>
      </c>
      <c r="AG111" s="65">
        <v>1</v>
      </c>
      <c r="AH111" s="65">
        <v>1</v>
      </c>
      <c r="AI111" s="65">
        <v>20</v>
      </c>
      <c r="AK111" s="66" t="s">
        <v>1922</v>
      </c>
      <c r="AL111" s="66" t="s">
        <v>2018</v>
      </c>
      <c r="AM111" s="66">
        <v>829</v>
      </c>
      <c r="AN111" s="66">
        <v>692</v>
      </c>
      <c r="AO111" s="66">
        <v>691</v>
      </c>
      <c r="AP111" s="66">
        <v>608</v>
      </c>
      <c r="AQ111" s="66">
        <v>870</v>
      </c>
      <c r="AR111" s="66">
        <v>3690</v>
      </c>
      <c r="AS111" s="66"/>
      <c r="AT111" s="66" t="s">
        <v>2018</v>
      </c>
      <c r="AU111" s="66">
        <v>142</v>
      </c>
      <c r="AV111" s="66">
        <v>41</v>
      </c>
      <c r="AW111" s="66">
        <v>36</v>
      </c>
      <c r="AX111" s="66">
        <v>22</v>
      </c>
      <c r="AY111" s="66">
        <v>40</v>
      </c>
      <c r="AZ111" s="66">
        <v>281</v>
      </c>
      <c r="BB111" s="69" t="s">
        <v>1347</v>
      </c>
      <c r="BC111" s="69" t="s">
        <v>2018</v>
      </c>
      <c r="BD111" s="69">
        <v>574</v>
      </c>
      <c r="BE111" s="69">
        <v>526</v>
      </c>
      <c r="BF111" s="69">
        <v>957</v>
      </c>
      <c r="BG111" s="69">
        <v>1315</v>
      </c>
      <c r="BH111" s="69">
        <v>1237</v>
      </c>
      <c r="BI111" s="69">
        <v>4609</v>
      </c>
      <c r="BJ111" s="69"/>
      <c r="BK111" s="69" t="s">
        <v>2018</v>
      </c>
      <c r="BL111" s="69">
        <v>66</v>
      </c>
      <c r="BM111" s="69">
        <v>0</v>
      </c>
      <c r="BN111" s="69">
        <v>0</v>
      </c>
      <c r="BO111" s="69">
        <v>0</v>
      </c>
      <c r="BP111" s="69">
        <v>0</v>
      </c>
      <c r="BQ111" s="69">
        <v>66</v>
      </c>
      <c r="BS111" s="70" t="s">
        <v>1411</v>
      </c>
      <c r="BT111" s="70" t="s">
        <v>25</v>
      </c>
      <c r="BU111" s="70">
        <v>1514</v>
      </c>
      <c r="BV111" s="70">
        <v>809</v>
      </c>
      <c r="BW111" s="70">
        <v>717</v>
      </c>
      <c r="BX111" s="70">
        <v>651</v>
      </c>
      <c r="BY111" s="70">
        <v>511</v>
      </c>
      <c r="BZ111" s="70">
        <v>4202</v>
      </c>
      <c r="CA111" s="70"/>
      <c r="CB111" s="70" t="s">
        <v>25</v>
      </c>
      <c r="CC111" s="70">
        <v>416</v>
      </c>
      <c r="CD111" s="70">
        <v>3</v>
      </c>
      <c r="CE111" s="70">
        <v>0</v>
      </c>
      <c r="CF111" s="70">
        <v>0</v>
      </c>
      <c r="CG111" s="70">
        <v>0</v>
      </c>
      <c r="CH111" s="70">
        <v>419</v>
      </c>
      <c r="CL111" s="57" t="s">
        <v>527</v>
      </c>
      <c r="CM111" s="57" t="s">
        <v>2028</v>
      </c>
      <c r="CN111" s="57">
        <v>90</v>
      </c>
      <c r="CO111" s="57">
        <v>139</v>
      </c>
      <c r="CP111" s="57">
        <v>298</v>
      </c>
      <c r="CQ111" s="57">
        <v>461</v>
      </c>
      <c r="CR111" s="57">
        <v>378</v>
      </c>
      <c r="CS111" s="57">
        <v>1366</v>
      </c>
      <c r="CT111" s="57"/>
      <c r="CU111" s="57" t="s">
        <v>2028</v>
      </c>
      <c r="CV111" s="57">
        <v>14</v>
      </c>
      <c r="CW111" s="57">
        <v>0</v>
      </c>
      <c r="CX111" s="57">
        <v>0</v>
      </c>
      <c r="CY111" s="57">
        <v>0</v>
      </c>
      <c r="CZ111" s="57">
        <v>0</v>
      </c>
      <c r="DA111" s="57">
        <v>14</v>
      </c>
      <c r="DD111" s="77" t="s">
        <v>1613</v>
      </c>
      <c r="DE111" s="77" t="s">
        <v>2253</v>
      </c>
      <c r="DF111" s="77">
        <v>329</v>
      </c>
      <c r="DG111" s="77">
        <v>456</v>
      </c>
      <c r="DH111" s="77">
        <v>480</v>
      </c>
      <c r="DI111" s="77">
        <v>576</v>
      </c>
      <c r="DJ111" s="77">
        <v>473</v>
      </c>
      <c r="DK111" s="77">
        <v>2314</v>
      </c>
      <c r="DL111" s="77"/>
      <c r="DM111" s="77" t="s">
        <v>2253</v>
      </c>
      <c r="DN111" s="77">
        <v>24</v>
      </c>
      <c r="DO111" s="77">
        <v>9</v>
      </c>
      <c r="DP111" s="77">
        <v>0</v>
      </c>
      <c r="DQ111" s="77">
        <v>0</v>
      </c>
      <c r="DR111" s="77">
        <v>0</v>
      </c>
      <c r="DS111" s="77">
        <v>33</v>
      </c>
      <c r="DT111" s="16" t="s">
        <v>2022</v>
      </c>
      <c r="DU111" s="16" t="s">
        <v>1654</v>
      </c>
      <c r="DV111" s="79" t="s">
        <v>2673</v>
      </c>
      <c r="DW111" s="79" t="s">
        <v>25</v>
      </c>
      <c r="DX111" s="79">
        <v>1516</v>
      </c>
      <c r="DY111" s="79">
        <v>1055</v>
      </c>
      <c r="DZ111" s="79">
        <v>1254</v>
      </c>
      <c r="EA111" s="79">
        <v>1279</v>
      </c>
      <c r="EB111" s="79">
        <v>1036</v>
      </c>
      <c r="EC111" s="79">
        <v>6140</v>
      </c>
      <c r="ED111" s="79"/>
      <c r="EE111" s="79" t="s">
        <v>25</v>
      </c>
      <c r="EF111" s="79">
        <v>44</v>
      </c>
      <c r="EG111" s="79">
        <v>1</v>
      </c>
      <c r="EH111" s="79">
        <v>0</v>
      </c>
      <c r="EI111" s="79">
        <v>0</v>
      </c>
      <c r="EJ111" s="79">
        <v>0</v>
      </c>
      <c r="EK111" s="79">
        <v>45</v>
      </c>
      <c r="EN111" s="57" t="s">
        <v>1988</v>
      </c>
      <c r="EO111" s="57" t="s">
        <v>2032</v>
      </c>
      <c r="EP111" s="57">
        <v>94</v>
      </c>
      <c r="EQ111" s="57">
        <v>159</v>
      </c>
      <c r="ER111" s="57">
        <v>224</v>
      </c>
      <c r="ES111" s="57">
        <v>308</v>
      </c>
      <c r="ET111" s="57">
        <v>390</v>
      </c>
      <c r="EU111" s="57">
        <v>1175</v>
      </c>
      <c r="EV111" s="57"/>
      <c r="EW111" s="57" t="s">
        <v>2032</v>
      </c>
      <c r="EX111" s="57">
        <v>17</v>
      </c>
      <c r="EY111" s="57">
        <v>10</v>
      </c>
      <c r="EZ111" s="57">
        <v>6</v>
      </c>
      <c r="FA111" s="57">
        <v>7</v>
      </c>
      <c r="FB111" s="57">
        <v>7</v>
      </c>
      <c r="FC111" s="57">
        <v>47</v>
      </c>
      <c r="FF111" s="70" t="s">
        <v>1822</v>
      </c>
      <c r="FG111" s="70" t="s">
        <v>2028</v>
      </c>
      <c r="FH111" s="70">
        <v>490</v>
      </c>
      <c r="FI111" s="70">
        <v>612</v>
      </c>
      <c r="FJ111" s="70">
        <v>745</v>
      </c>
      <c r="FK111" s="70">
        <v>689</v>
      </c>
      <c r="FL111" s="70">
        <v>756</v>
      </c>
      <c r="FM111" s="70">
        <v>3292</v>
      </c>
      <c r="FN111" s="70"/>
      <c r="FO111" s="70" t="s">
        <v>2028</v>
      </c>
      <c r="FP111" s="70">
        <v>52</v>
      </c>
      <c r="FQ111" s="70">
        <v>6</v>
      </c>
      <c r="FR111" s="70">
        <v>0</v>
      </c>
      <c r="FS111" s="70">
        <v>0</v>
      </c>
      <c r="FT111" s="70">
        <v>0</v>
      </c>
      <c r="FU111" s="70">
        <v>58</v>
      </c>
    </row>
    <row r="112" spans="2:177">
      <c r="B112" s="64" t="s">
        <v>752</v>
      </c>
      <c r="C112" s="64" t="s">
        <v>2028</v>
      </c>
      <c r="D112" s="64">
        <v>80</v>
      </c>
      <c r="E112" s="64">
        <v>112</v>
      </c>
      <c r="F112" s="64">
        <v>236</v>
      </c>
      <c r="G112" s="64">
        <v>309</v>
      </c>
      <c r="H112" s="64">
        <v>293</v>
      </c>
      <c r="I112" s="64">
        <v>1030</v>
      </c>
      <c r="K112" s="64" t="s">
        <v>2028</v>
      </c>
      <c r="L112" s="64">
        <v>11</v>
      </c>
      <c r="M112" s="64">
        <v>3</v>
      </c>
      <c r="N112" s="64">
        <v>2</v>
      </c>
      <c r="O112" s="64">
        <v>2</v>
      </c>
      <c r="P112" s="64">
        <v>2</v>
      </c>
      <c r="Q112" s="64">
        <v>20</v>
      </c>
      <c r="T112" s="65" t="s">
        <v>1030</v>
      </c>
      <c r="U112" s="65" t="s">
        <v>2032</v>
      </c>
      <c r="V112" s="65" t="s">
        <v>324</v>
      </c>
      <c r="W112" s="65" t="s">
        <v>324</v>
      </c>
      <c r="X112" s="65" t="s">
        <v>324</v>
      </c>
      <c r="Y112" s="65" t="s">
        <v>324</v>
      </c>
      <c r="Z112" s="65" t="s">
        <v>324</v>
      </c>
      <c r="AA112" s="65" t="s">
        <v>324</v>
      </c>
      <c r="AB112" s="65"/>
      <c r="AC112" s="65" t="s">
        <v>2032</v>
      </c>
      <c r="AD112" s="65" t="s">
        <v>324</v>
      </c>
      <c r="AE112" s="65" t="s">
        <v>324</v>
      </c>
      <c r="AF112" s="65" t="s">
        <v>324</v>
      </c>
      <c r="AG112" s="65" t="s">
        <v>324</v>
      </c>
      <c r="AH112" s="65" t="s">
        <v>324</v>
      </c>
      <c r="AI112" s="65" t="s">
        <v>324</v>
      </c>
      <c r="AK112" s="66" t="s">
        <v>1924</v>
      </c>
      <c r="AL112" s="66" t="s">
        <v>2018</v>
      </c>
      <c r="AM112" s="66">
        <v>674</v>
      </c>
      <c r="AN112" s="66">
        <v>632</v>
      </c>
      <c r="AO112" s="66">
        <v>605</v>
      </c>
      <c r="AP112" s="66">
        <v>559</v>
      </c>
      <c r="AQ112" s="66">
        <v>826</v>
      </c>
      <c r="AR112" s="66">
        <v>3296</v>
      </c>
      <c r="AS112" s="66"/>
      <c r="AT112" s="66" t="s">
        <v>2018</v>
      </c>
      <c r="AU112" s="66">
        <v>138</v>
      </c>
      <c r="AV112" s="66">
        <v>37</v>
      </c>
      <c r="AW112" s="66">
        <v>19</v>
      </c>
      <c r="AX112" s="66">
        <v>26</v>
      </c>
      <c r="AY112" s="66">
        <v>37</v>
      </c>
      <c r="AZ112" s="66">
        <v>257</v>
      </c>
      <c r="BB112" s="69" t="s">
        <v>1351</v>
      </c>
      <c r="BC112" s="69" t="s">
        <v>2018</v>
      </c>
      <c r="BD112" s="69">
        <v>100</v>
      </c>
      <c r="BE112" s="69">
        <v>75</v>
      </c>
      <c r="BF112" s="69">
        <v>171</v>
      </c>
      <c r="BG112" s="69">
        <v>238</v>
      </c>
      <c r="BH112" s="69">
        <v>236</v>
      </c>
      <c r="BI112" s="69">
        <v>820</v>
      </c>
      <c r="BJ112" s="69"/>
      <c r="BK112" s="69" t="s">
        <v>2018</v>
      </c>
      <c r="BL112" s="69">
        <v>26</v>
      </c>
      <c r="BM112" s="69">
        <v>0</v>
      </c>
      <c r="BN112" s="69">
        <v>0</v>
      </c>
      <c r="BO112" s="69">
        <v>0</v>
      </c>
      <c r="BP112" s="69">
        <v>0</v>
      </c>
      <c r="BQ112" s="69">
        <v>26</v>
      </c>
      <c r="BR112" s="16" t="s">
        <v>2243</v>
      </c>
      <c r="BS112" s="70" t="s">
        <v>2116</v>
      </c>
      <c r="BT112" s="70" t="s">
        <v>25</v>
      </c>
      <c r="BU112" s="70">
        <v>34</v>
      </c>
      <c r="BV112" s="70">
        <v>53</v>
      </c>
      <c r="BW112" s="70">
        <v>81</v>
      </c>
      <c r="BX112" s="70">
        <v>97</v>
      </c>
      <c r="BY112" s="70">
        <v>80</v>
      </c>
      <c r="BZ112" s="70">
        <v>345</v>
      </c>
      <c r="CA112" s="70"/>
      <c r="CB112" s="70" t="s">
        <v>25</v>
      </c>
      <c r="CC112" s="70">
        <v>8</v>
      </c>
      <c r="CD112" s="70">
        <v>0</v>
      </c>
      <c r="CE112" s="70">
        <v>0</v>
      </c>
      <c r="CF112" s="70">
        <v>0</v>
      </c>
      <c r="CG112" s="70">
        <v>0</v>
      </c>
      <c r="CH112" s="70">
        <v>8</v>
      </c>
      <c r="CL112" s="57" t="s">
        <v>529</v>
      </c>
      <c r="CM112" s="57" t="s">
        <v>2028</v>
      </c>
      <c r="CN112" s="57">
        <v>917</v>
      </c>
      <c r="CO112" s="57">
        <v>550</v>
      </c>
      <c r="CP112" s="57">
        <v>619</v>
      </c>
      <c r="CQ112" s="57">
        <v>595</v>
      </c>
      <c r="CR112" s="57">
        <v>507</v>
      </c>
      <c r="CS112" s="57">
        <v>3188</v>
      </c>
      <c r="CT112" s="57"/>
      <c r="CU112" s="57" t="s">
        <v>2028</v>
      </c>
      <c r="CV112" s="57">
        <v>323</v>
      </c>
      <c r="CW112" s="57">
        <v>2</v>
      </c>
      <c r="CX112" s="57">
        <v>0</v>
      </c>
      <c r="CY112" s="57">
        <v>0</v>
      </c>
      <c r="CZ112" s="57">
        <v>0</v>
      </c>
      <c r="DA112" s="57">
        <v>325</v>
      </c>
      <c r="DD112" s="77" t="s">
        <v>1616</v>
      </c>
      <c r="DE112" s="77" t="s">
        <v>2253</v>
      </c>
      <c r="DF112" s="77">
        <v>507</v>
      </c>
      <c r="DG112" s="77">
        <v>491</v>
      </c>
      <c r="DH112" s="77">
        <v>493</v>
      </c>
      <c r="DI112" s="77">
        <v>488</v>
      </c>
      <c r="DJ112" s="77">
        <v>402</v>
      </c>
      <c r="DK112" s="77">
        <v>2381</v>
      </c>
      <c r="DL112" s="77"/>
      <c r="DM112" s="77" t="s">
        <v>2253</v>
      </c>
      <c r="DN112" s="77">
        <v>27</v>
      </c>
      <c r="DO112" s="77">
        <v>10</v>
      </c>
      <c r="DP112" s="77">
        <v>4</v>
      </c>
      <c r="DQ112" s="77">
        <v>0</v>
      </c>
      <c r="DR112" s="77">
        <v>0</v>
      </c>
      <c r="DS112" s="77">
        <v>41</v>
      </c>
      <c r="DV112" s="79" t="s">
        <v>1982</v>
      </c>
      <c r="DW112" s="79" t="s">
        <v>25</v>
      </c>
      <c r="DX112" s="79" t="s">
        <v>324</v>
      </c>
      <c r="DY112" s="79" t="s">
        <v>324</v>
      </c>
      <c r="DZ112" s="79" t="s">
        <v>324</v>
      </c>
      <c r="EA112" s="79" t="s">
        <v>324</v>
      </c>
      <c r="EB112" s="79" t="s">
        <v>324</v>
      </c>
      <c r="EC112" s="79" t="s">
        <v>324</v>
      </c>
      <c r="ED112" s="79"/>
      <c r="EE112" s="79" t="s">
        <v>25</v>
      </c>
      <c r="EF112" s="79" t="s">
        <v>324</v>
      </c>
      <c r="EG112" s="79" t="s">
        <v>324</v>
      </c>
      <c r="EH112" s="79" t="s">
        <v>324</v>
      </c>
      <c r="EI112" s="79" t="s">
        <v>324</v>
      </c>
      <c r="EJ112" s="79" t="s">
        <v>324</v>
      </c>
      <c r="EK112" s="79" t="s">
        <v>324</v>
      </c>
      <c r="EN112" s="57" t="s">
        <v>1989</v>
      </c>
      <c r="EO112" s="57" t="s">
        <v>2032</v>
      </c>
      <c r="EP112" s="57">
        <v>137</v>
      </c>
      <c r="EQ112" s="57">
        <v>276</v>
      </c>
      <c r="ER112" s="57">
        <v>379</v>
      </c>
      <c r="ES112" s="57">
        <v>561</v>
      </c>
      <c r="ET112" s="57">
        <v>581</v>
      </c>
      <c r="EU112" s="57">
        <v>1934</v>
      </c>
      <c r="EV112" s="57"/>
      <c r="EW112" s="57" t="s">
        <v>2032</v>
      </c>
      <c r="EX112" s="57">
        <v>30</v>
      </c>
      <c r="EY112" s="57">
        <v>9</v>
      </c>
      <c r="EZ112" s="57">
        <v>6</v>
      </c>
      <c r="FA112" s="57">
        <v>6</v>
      </c>
      <c r="FB112" s="57">
        <v>3</v>
      </c>
      <c r="FC112" s="57">
        <v>54</v>
      </c>
      <c r="FF112" s="70" t="s">
        <v>1825</v>
      </c>
      <c r="FG112" s="70" t="s">
        <v>2028</v>
      </c>
      <c r="FH112" s="70">
        <v>345</v>
      </c>
      <c r="FI112" s="70">
        <v>454</v>
      </c>
      <c r="FJ112" s="70">
        <v>527</v>
      </c>
      <c r="FK112" s="70">
        <v>611</v>
      </c>
      <c r="FL112" s="70">
        <v>718</v>
      </c>
      <c r="FM112" s="70">
        <v>2655</v>
      </c>
      <c r="FN112" s="70"/>
      <c r="FO112" s="70" t="s">
        <v>2028</v>
      </c>
      <c r="FP112" s="70">
        <v>73</v>
      </c>
      <c r="FQ112" s="70">
        <v>29</v>
      </c>
      <c r="FR112" s="70">
        <v>20</v>
      </c>
      <c r="FS112" s="70">
        <v>10</v>
      </c>
      <c r="FT112" s="70">
        <v>6</v>
      </c>
      <c r="FU112" s="70">
        <v>138</v>
      </c>
    </row>
    <row r="113" spans="2:177">
      <c r="B113" s="64" t="s">
        <v>755</v>
      </c>
      <c r="C113" s="64" t="s">
        <v>2028</v>
      </c>
      <c r="D113" s="64">
        <v>191</v>
      </c>
      <c r="E113" s="64">
        <v>289</v>
      </c>
      <c r="F113" s="64">
        <v>369</v>
      </c>
      <c r="G113" s="64">
        <v>487</v>
      </c>
      <c r="H113" s="64">
        <v>374</v>
      </c>
      <c r="I113" s="64">
        <v>1710</v>
      </c>
      <c r="K113" s="64" t="s">
        <v>2028</v>
      </c>
      <c r="L113" s="64">
        <v>32</v>
      </c>
      <c r="M113" s="64">
        <v>3</v>
      </c>
      <c r="N113" s="64">
        <v>0</v>
      </c>
      <c r="O113" s="64">
        <v>0</v>
      </c>
      <c r="P113" s="64">
        <v>0</v>
      </c>
      <c r="Q113" s="64">
        <v>35</v>
      </c>
      <c r="T113" s="65" t="s">
        <v>1035</v>
      </c>
      <c r="U113" s="65" t="s">
        <v>2032</v>
      </c>
      <c r="V113" s="65" t="s">
        <v>324</v>
      </c>
      <c r="W113" s="65" t="s">
        <v>324</v>
      </c>
      <c r="X113" s="65" t="s">
        <v>324</v>
      </c>
      <c r="Y113" s="65" t="s">
        <v>324</v>
      </c>
      <c r="Z113" s="65" t="s">
        <v>324</v>
      </c>
      <c r="AA113" s="65" t="s">
        <v>324</v>
      </c>
      <c r="AB113" s="65"/>
      <c r="AC113" s="65" t="s">
        <v>2032</v>
      </c>
      <c r="AD113" s="65" t="s">
        <v>324</v>
      </c>
      <c r="AE113" s="65" t="s">
        <v>324</v>
      </c>
      <c r="AF113" s="65" t="s">
        <v>324</v>
      </c>
      <c r="AG113" s="65" t="s">
        <v>324</v>
      </c>
      <c r="AH113" s="65" t="s">
        <v>324</v>
      </c>
      <c r="AI113" s="65" t="s">
        <v>324</v>
      </c>
      <c r="AK113" s="66" t="s">
        <v>1926</v>
      </c>
      <c r="AL113" s="66" t="s">
        <v>2018</v>
      </c>
      <c r="AM113" s="66">
        <v>402</v>
      </c>
      <c r="AN113" s="66">
        <v>538</v>
      </c>
      <c r="AO113" s="66">
        <v>494</v>
      </c>
      <c r="AP113" s="66">
        <v>482</v>
      </c>
      <c r="AQ113" s="66">
        <v>605</v>
      </c>
      <c r="AR113" s="66">
        <v>2521</v>
      </c>
      <c r="AS113" s="66"/>
      <c r="AT113" s="66" t="s">
        <v>2018</v>
      </c>
      <c r="AU113" s="66">
        <v>108</v>
      </c>
      <c r="AV113" s="66">
        <v>57</v>
      </c>
      <c r="AW113" s="66">
        <v>28</v>
      </c>
      <c r="AX113" s="66">
        <v>46</v>
      </c>
      <c r="AY113" s="66">
        <v>48</v>
      </c>
      <c r="AZ113" s="66">
        <v>287</v>
      </c>
      <c r="BB113" s="69" t="s">
        <v>1356</v>
      </c>
      <c r="BC113" s="69" t="s">
        <v>2018</v>
      </c>
      <c r="BD113" s="69">
        <v>454</v>
      </c>
      <c r="BE113" s="69">
        <v>363</v>
      </c>
      <c r="BF113" s="69">
        <v>579</v>
      </c>
      <c r="BG113" s="69">
        <v>686</v>
      </c>
      <c r="BH113" s="69">
        <v>610</v>
      </c>
      <c r="BI113" s="69">
        <v>2692</v>
      </c>
      <c r="BJ113" s="69"/>
      <c r="BK113" s="69" t="s">
        <v>2018</v>
      </c>
      <c r="BL113" s="69">
        <v>59</v>
      </c>
      <c r="BM113" s="69">
        <v>0</v>
      </c>
      <c r="BN113" s="69">
        <v>0</v>
      </c>
      <c r="BO113" s="69">
        <v>0</v>
      </c>
      <c r="BP113" s="69">
        <v>0</v>
      </c>
      <c r="BQ113" s="69">
        <v>59</v>
      </c>
      <c r="BS113" s="70" t="s">
        <v>1423</v>
      </c>
      <c r="BT113" s="70" t="s">
        <v>25</v>
      </c>
      <c r="BU113" s="70">
        <v>461</v>
      </c>
      <c r="BV113" s="70">
        <v>287</v>
      </c>
      <c r="BW113" s="70">
        <v>332</v>
      </c>
      <c r="BX113" s="70">
        <v>360</v>
      </c>
      <c r="BY113" s="70">
        <v>282</v>
      </c>
      <c r="BZ113" s="70">
        <v>1722</v>
      </c>
      <c r="CA113" s="70"/>
      <c r="CB113" s="70" t="s">
        <v>25</v>
      </c>
      <c r="CC113" s="70">
        <v>150</v>
      </c>
      <c r="CD113" s="70">
        <v>0</v>
      </c>
      <c r="CE113" s="70">
        <v>0</v>
      </c>
      <c r="CF113" s="70">
        <v>0</v>
      </c>
      <c r="CG113" s="70">
        <v>0</v>
      </c>
      <c r="CH113" s="70">
        <v>150</v>
      </c>
      <c r="CL113" s="57" t="s">
        <v>531</v>
      </c>
      <c r="CM113" s="57" t="s">
        <v>2028</v>
      </c>
      <c r="CN113" s="57">
        <v>37</v>
      </c>
      <c r="CO113" s="57">
        <v>34</v>
      </c>
      <c r="CP113" s="57">
        <v>65</v>
      </c>
      <c r="CQ113" s="57">
        <v>88</v>
      </c>
      <c r="CR113" s="57">
        <v>104</v>
      </c>
      <c r="CS113" s="57">
        <v>328</v>
      </c>
      <c r="CT113" s="57"/>
      <c r="CU113" s="57" t="s">
        <v>2028</v>
      </c>
      <c r="CV113" s="57">
        <v>18</v>
      </c>
      <c r="CW113" s="57">
        <v>0</v>
      </c>
      <c r="CX113" s="57">
        <v>0</v>
      </c>
      <c r="CY113" s="57">
        <v>0</v>
      </c>
      <c r="CZ113" s="57">
        <v>0</v>
      </c>
      <c r="DA113" s="57">
        <v>18</v>
      </c>
      <c r="DD113" s="77" t="s">
        <v>1620</v>
      </c>
      <c r="DE113" s="77" t="s">
        <v>2253</v>
      </c>
      <c r="DF113" s="77">
        <v>197</v>
      </c>
      <c r="DG113" s="77">
        <v>265</v>
      </c>
      <c r="DH113" s="77">
        <v>327</v>
      </c>
      <c r="DI113" s="77">
        <v>376</v>
      </c>
      <c r="DJ113" s="77">
        <v>386</v>
      </c>
      <c r="DK113" s="77">
        <v>1551</v>
      </c>
      <c r="DL113" s="77"/>
      <c r="DM113" s="77" t="s">
        <v>2253</v>
      </c>
      <c r="DN113" s="77">
        <v>17</v>
      </c>
      <c r="DO113" s="77">
        <v>9</v>
      </c>
      <c r="DP113" s="77">
        <v>1</v>
      </c>
      <c r="DQ113" s="77">
        <v>0</v>
      </c>
      <c r="DR113" s="77">
        <v>0</v>
      </c>
      <c r="DS113" s="77">
        <v>27</v>
      </c>
      <c r="DU113" s="16" t="s">
        <v>1658</v>
      </c>
      <c r="DV113" s="79" t="s">
        <v>2691</v>
      </c>
      <c r="DW113" s="79" t="s">
        <v>25</v>
      </c>
      <c r="DX113" s="79">
        <v>260</v>
      </c>
      <c r="DY113" s="79">
        <v>274</v>
      </c>
      <c r="DZ113" s="79">
        <v>415</v>
      </c>
      <c r="EA113" s="79">
        <v>401</v>
      </c>
      <c r="EB113" s="79">
        <v>355</v>
      </c>
      <c r="EC113" s="79">
        <v>1705</v>
      </c>
      <c r="ED113" s="79"/>
      <c r="EE113" s="79" t="s">
        <v>25</v>
      </c>
      <c r="EF113" s="79">
        <v>11</v>
      </c>
      <c r="EG113" s="79">
        <v>0</v>
      </c>
      <c r="EH113" s="79">
        <v>0</v>
      </c>
      <c r="EI113" s="79">
        <v>0</v>
      </c>
      <c r="EJ113" s="79">
        <v>0</v>
      </c>
      <c r="EK113" s="79">
        <v>11</v>
      </c>
      <c r="EN113" s="57" t="s">
        <v>1990</v>
      </c>
      <c r="EO113" s="57" t="s">
        <v>2032</v>
      </c>
      <c r="EP113" s="57">
        <v>56</v>
      </c>
      <c r="EQ113" s="57">
        <v>119</v>
      </c>
      <c r="ER113" s="57">
        <v>160</v>
      </c>
      <c r="ES113" s="57">
        <v>211</v>
      </c>
      <c r="ET113" s="57">
        <v>250</v>
      </c>
      <c r="EU113" s="57">
        <v>796</v>
      </c>
      <c r="EV113" s="57"/>
      <c r="EW113" s="57" t="s">
        <v>2032</v>
      </c>
      <c r="EX113" s="57">
        <v>4</v>
      </c>
      <c r="EY113" s="57">
        <v>7</v>
      </c>
      <c r="EZ113" s="57">
        <v>0</v>
      </c>
      <c r="FA113" s="57">
        <v>3</v>
      </c>
      <c r="FB113" s="57">
        <v>3</v>
      </c>
      <c r="FC113" s="57">
        <v>17</v>
      </c>
      <c r="FF113" s="70" t="s">
        <v>1827</v>
      </c>
      <c r="FG113" s="70" t="s">
        <v>2028</v>
      </c>
      <c r="FH113" s="70">
        <v>486</v>
      </c>
      <c r="FI113" s="70">
        <v>541</v>
      </c>
      <c r="FJ113" s="70">
        <v>599</v>
      </c>
      <c r="FK113" s="70">
        <v>697</v>
      </c>
      <c r="FL113" s="70">
        <v>689</v>
      </c>
      <c r="FM113" s="70">
        <v>3012</v>
      </c>
      <c r="FN113" s="70"/>
      <c r="FO113" s="70" t="s">
        <v>2028</v>
      </c>
      <c r="FP113" s="70">
        <v>75</v>
      </c>
      <c r="FQ113" s="70">
        <v>13</v>
      </c>
      <c r="FR113" s="70">
        <v>6</v>
      </c>
      <c r="FS113" s="70">
        <v>6</v>
      </c>
      <c r="FT113" s="70">
        <v>8</v>
      </c>
      <c r="FU113" s="70">
        <v>108</v>
      </c>
    </row>
    <row r="114" spans="2:177">
      <c r="B114" s="64" t="s">
        <v>759</v>
      </c>
      <c r="C114" s="64" t="s">
        <v>2028</v>
      </c>
      <c r="D114" s="64">
        <v>83</v>
      </c>
      <c r="E114" s="64">
        <v>118</v>
      </c>
      <c r="F114" s="64">
        <v>274</v>
      </c>
      <c r="G114" s="64">
        <v>352</v>
      </c>
      <c r="H114" s="64">
        <v>324</v>
      </c>
      <c r="I114" s="64">
        <v>1151</v>
      </c>
      <c r="K114" s="64" t="s">
        <v>2028</v>
      </c>
      <c r="L114" s="64">
        <v>15</v>
      </c>
      <c r="M114" s="64">
        <v>1</v>
      </c>
      <c r="N114" s="64">
        <v>0</v>
      </c>
      <c r="O114" s="64">
        <v>0</v>
      </c>
      <c r="P114" s="64">
        <v>0</v>
      </c>
      <c r="Q114" s="64">
        <v>16</v>
      </c>
      <c r="T114" s="65" t="s">
        <v>1038</v>
      </c>
      <c r="U114" s="65" t="s">
        <v>2032</v>
      </c>
      <c r="V114" s="65" t="s">
        <v>324</v>
      </c>
      <c r="W114" s="65" t="s">
        <v>324</v>
      </c>
      <c r="X114" s="65" t="s">
        <v>324</v>
      </c>
      <c r="Y114" s="65" t="s">
        <v>324</v>
      </c>
      <c r="Z114" s="65" t="s">
        <v>324</v>
      </c>
      <c r="AA114" s="65" t="s">
        <v>324</v>
      </c>
      <c r="AB114" s="65"/>
      <c r="AC114" s="65" t="s">
        <v>2032</v>
      </c>
      <c r="AD114" s="65" t="s">
        <v>324</v>
      </c>
      <c r="AE114" s="65" t="s">
        <v>324</v>
      </c>
      <c r="AF114" s="65" t="s">
        <v>324</v>
      </c>
      <c r="AG114" s="65" t="s">
        <v>324</v>
      </c>
      <c r="AH114" s="65" t="s">
        <v>324</v>
      </c>
      <c r="AI114" s="65" t="s">
        <v>324</v>
      </c>
      <c r="AK114" s="66" t="s">
        <v>1928</v>
      </c>
      <c r="AL114" s="66" t="s">
        <v>2018</v>
      </c>
      <c r="AM114" s="66">
        <v>524</v>
      </c>
      <c r="AN114" s="66">
        <v>617</v>
      </c>
      <c r="AO114" s="66">
        <v>545</v>
      </c>
      <c r="AP114" s="66">
        <v>587</v>
      </c>
      <c r="AQ114" s="66">
        <v>719</v>
      </c>
      <c r="AR114" s="66">
        <v>2992</v>
      </c>
      <c r="AS114" s="66"/>
      <c r="AT114" s="66" t="s">
        <v>2018</v>
      </c>
      <c r="AU114" s="66">
        <v>104</v>
      </c>
      <c r="AV114" s="66">
        <v>27</v>
      </c>
      <c r="AW114" s="66">
        <v>10</v>
      </c>
      <c r="AX114" s="66">
        <v>14</v>
      </c>
      <c r="AY114" s="66">
        <v>25</v>
      </c>
      <c r="AZ114" s="66">
        <v>180</v>
      </c>
      <c r="BB114" s="69" t="s">
        <v>1359</v>
      </c>
      <c r="BC114" s="69" t="s">
        <v>2018</v>
      </c>
      <c r="BD114" s="69">
        <v>252</v>
      </c>
      <c r="BE114" s="69">
        <v>212</v>
      </c>
      <c r="BF114" s="69">
        <v>368</v>
      </c>
      <c r="BG114" s="69">
        <v>469</v>
      </c>
      <c r="BH114" s="69">
        <v>454</v>
      </c>
      <c r="BI114" s="69">
        <v>1755</v>
      </c>
      <c r="BJ114" s="69"/>
      <c r="BK114" s="69" t="s">
        <v>2018</v>
      </c>
      <c r="BL114" s="69">
        <v>41</v>
      </c>
      <c r="BM114" s="69">
        <v>0</v>
      </c>
      <c r="BN114" s="69">
        <v>0</v>
      </c>
      <c r="BO114" s="69">
        <v>0</v>
      </c>
      <c r="BP114" s="69">
        <v>0</v>
      </c>
      <c r="BQ114" s="69">
        <v>41</v>
      </c>
      <c r="BS114" s="70" t="s">
        <v>1425</v>
      </c>
      <c r="BT114" s="70" t="s">
        <v>25</v>
      </c>
      <c r="BU114" s="70">
        <v>1059</v>
      </c>
      <c r="BV114" s="70">
        <v>396</v>
      </c>
      <c r="BW114" s="70">
        <v>496</v>
      </c>
      <c r="BX114" s="70">
        <v>658</v>
      </c>
      <c r="BY114" s="70">
        <v>570</v>
      </c>
      <c r="BZ114" s="70">
        <v>3179</v>
      </c>
      <c r="CA114" s="70"/>
      <c r="CB114" s="70" t="s">
        <v>25</v>
      </c>
      <c r="CC114" s="70">
        <v>300</v>
      </c>
      <c r="CD114" s="70">
        <v>0</v>
      </c>
      <c r="CE114" s="70">
        <v>0</v>
      </c>
      <c r="CF114" s="70">
        <v>0</v>
      </c>
      <c r="CG114" s="70">
        <v>0</v>
      </c>
      <c r="CH114" s="70">
        <v>300</v>
      </c>
      <c r="CL114" s="57" t="s">
        <v>534</v>
      </c>
      <c r="CM114" s="57" t="s">
        <v>2028</v>
      </c>
      <c r="CN114" s="57">
        <v>232</v>
      </c>
      <c r="CO114" s="57">
        <v>85</v>
      </c>
      <c r="CP114" s="57">
        <v>133</v>
      </c>
      <c r="CQ114" s="57">
        <v>179</v>
      </c>
      <c r="CR114" s="57">
        <v>265</v>
      </c>
      <c r="CS114" s="57">
        <v>894</v>
      </c>
      <c r="CT114" s="57"/>
      <c r="CU114" s="57" t="s">
        <v>2028</v>
      </c>
      <c r="CV114" s="57">
        <v>71</v>
      </c>
      <c r="CW114" s="57">
        <v>1</v>
      </c>
      <c r="CX114" s="57">
        <v>0</v>
      </c>
      <c r="CY114" s="57">
        <v>0</v>
      </c>
      <c r="CZ114" s="57">
        <v>0</v>
      </c>
      <c r="DA114" s="57">
        <v>72</v>
      </c>
      <c r="DD114" s="77" t="s">
        <v>1623</v>
      </c>
      <c r="DE114" s="77" t="s">
        <v>2253</v>
      </c>
      <c r="DF114" s="77">
        <v>361</v>
      </c>
      <c r="DG114" s="77">
        <v>497</v>
      </c>
      <c r="DH114" s="77">
        <v>615</v>
      </c>
      <c r="DI114" s="77">
        <v>696</v>
      </c>
      <c r="DJ114" s="77">
        <v>579</v>
      </c>
      <c r="DK114" s="77">
        <v>2748</v>
      </c>
      <c r="DL114" s="77"/>
      <c r="DM114" s="77" t="s">
        <v>2253</v>
      </c>
      <c r="DN114" s="77">
        <v>16</v>
      </c>
      <c r="DO114" s="77">
        <v>4</v>
      </c>
      <c r="DP114" s="77">
        <v>0</v>
      </c>
      <c r="DQ114" s="77">
        <v>0</v>
      </c>
      <c r="DR114" s="77">
        <v>0</v>
      </c>
      <c r="DS114" s="77">
        <v>20</v>
      </c>
      <c r="DU114" s="16" t="s">
        <v>1661</v>
      </c>
      <c r="DV114" s="79" t="s">
        <v>2688</v>
      </c>
      <c r="DW114" s="79" t="s">
        <v>25</v>
      </c>
      <c r="DX114" s="79">
        <v>227</v>
      </c>
      <c r="DY114" s="79">
        <v>312</v>
      </c>
      <c r="DZ114" s="79">
        <v>408</v>
      </c>
      <c r="EA114" s="79">
        <v>496</v>
      </c>
      <c r="EB114" s="79">
        <v>413</v>
      </c>
      <c r="EC114" s="79">
        <v>1856</v>
      </c>
      <c r="ED114" s="79"/>
      <c r="EE114" s="79" t="s">
        <v>25</v>
      </c>
      <c r="EF114" s="79">
        <v>16</v>
      </c>
      <c r="EG114" s="79">
        <v>1</v>
      </c>
      <c r="EH114" s="79">
        <v>0</v>
      </c>
      <c r="EI114" s="79">
        <v>0</v>
      </c>
      <c r="EJ114" s="79">
        <v>0</v>
      </c>
      <c r="EK114" s="79">
        <v>17</v>
      </c>
      <c r="EN114" s="57" t="s">
        <v>1991</v>
      </c>
      <c r="EO114" s="57" t="s">
        <v>2032</v>
      </c>
      <c r="EP114" s="57">
        <v>90</v>
      </c>
      <c r="EQ114" s="57">
        <v>179</v>
      </c>
      <c r="ER114" s="57">
        <v>256</v>
      </c>
      <c r="ES114" s="57">
        <v>292</v>
      </c>
      <c r="ET114" s="57">
        <v>313</v>
      </c>
      <c r="EU114" s="57">
        <v>1130</v>
      </c>
      <c r="EV114" s="57"/>
      <c r="EW114" s="57" t="s">
        <v>2032</v>
      </c>
      <c r="EX114" s="57">
        <v>8</v>
      </c>
      <c r="EY114" s="57">
        <v>5</v>
      </c>
      <c r="EZ114" s="57">
        <v>3</v>
      </c>
      <c r="FA114" s="57">
        <v>3</v>
      </c>
      <c r="FB114" s="57">
        <v>3</v>
      </c>
      <c r="FC114" s="57">
        <v>22</v>
      </c>
      <c r="FF114" s="70" t="s">
        <v>1828</v>
      </c>
      <c r="FG114" s="70" t="s">
        <v>2028</v>
      </c>
      <c r="FH114" s="70">
        <v>353</v>
      </c>
      <c r="FI114" s="70">
        <v>488</v>
      </c>
      <c r="FJ114" s="70">
        <v>569</v>
      </c>
      <c r="FK114" s="70">
        <v>565</v>
      </c>
      <c r="FL114" s="70">
        <v>592</v>
      </c>
      <c r="FM114" s="70">
        <v>2567</v>
      </c>
      <c r="FN114" s="70"/>
      <c r="FO114" s="70" t="s">
        <v>2028</v>
      </c>
      <c r="FP114" s="70">
        <v>58</v>
      </c>
      <c r="FQ114" s="70">
        <v>15</v>
      </c>
      <c r="FR114" s="70">
        <v>7</v>
      </c>
      <c r="FS114" s="70">
        <v>4</v>
      </c>
      <c r="FT114" s="70">
        <v>7</v>
      </c>
      <c r="FU114" s="70">
        <v>91</v>
      </c>
    </row>
    <row r="115" spans="2:177">
      <c r="B115" s="64" t="s">
        <v>762</v>
      </c>
      <c r="C115" s="64" t="s">
        <v>2028</v>
      </c>
      <c r="D115" s="64">
        <v>102</v>
      </c>
      <c r="E115" s="64">
        <v>189</v>
      </c>
      <c r="F115" s="64">
        <v>381</v>
      </c>
      <c r="G115" s="64">
        <v>564</v>
      </c>
      <c r="H115" s="64">
        <v>405</v>
      </c>
      <c r="I115" s="64">
        <v>1641</v>
      </c>
      <c r="K115" s="64" t="s">
        <v>2028</v>
      </c>
      <c r="L115" s="64">
        <v>11</v>
      </c>
      <c r="M115" s="64">
        <v>3</v>
      </c>
      <c r="N115" s="64">
        <v>1</v>
      </c>
      <c r="O115" s="64">
        <v>1</v>
      </c>
      <c r="P115" s="64">
        <v>0</v>
      </c>
      <c r="Q115" s="64">
        <v>16</v>
      </c>
      <c r="T115" s="65" t="s">
        <v>1042</v>
      </c>
      <c r="U115" s="65" t="s">
        <v>2032</v>
      </c>
      <c r="V115" s="65" t="s">
        <v>324</v>
      </c>
      <c r="W115" s="65" t="s">
        <v>324</v>
      </c>
      <c r="X115" s="65" t="s">
        <v>324</v>
      </c>
      <c r="Y115" s="65" t="s">
        <v>324</v>
      </c>
      <c r="Z115" s="65" t="s">
        <v>324</v>
      </c>
      <c r="AA115" s="65" t="s">
        <v>324</v>
      </c>
      <c r="AB115" s="65"/>
      <c r="AC115" s="65" t="s">
        <v>2032</v>
      </c>
      <c r="AD115" s="65" t="s">
        <v>324</v>
      </c>
      <c r="AE115" s="65" t="s">
        <v>324</v>
      </c>
      <c r="AF115" s="65" t="s">
        <v>324</v>
      </c>
      <c r="AG115" s="65" t="s">
        <v>324</v>
      </c>
      <c r="AH115" s="65" t="s">
        <v>324</v>
      </c>
      <c r="AI115" s="65" t="s">
        <v>324</v>
      </c>
      <c r="BB115" s="69" t="s">
        <v>1363</v>
      </c>
      <c r="BC115" s="69" t="s">
        <v>2018</v>
      </c>
      <c r="BD115" s="69">
        <v>128</v>
      </c>
      <c r="BE115" s="69">
        <v>122</v>
      </c>
      <c r="BF115" s="69">
        <v>254</v>
      </c>
      <c r="BG115" s="69">
        <v>403</v>
      </c>
      <c r="BH115" s="69">
        <v>437</v>
      </c>
      <c r="BI115" s="69">
        <v>1344</v>
      </c>
      <c r="BJ115" s="69"/>
      <c r="BK115" s="69" t="s">
        <v>2018</v>
      </c>
      <c r="BL115" s="69">
        <v>22</v>
      </c>
      <c r="BM115" s="69">
        <v>0</v>
      </c>
      <c r="BN115" s="69">
        <v>0</v>
      </c>
      <c r="BO115" s="69">
        <v>0</v>
      </c>
      <c r="BP115" s="69">
        <v>0</v>
      </c>
      <c r="BQ115" s="69">
        <v>22</v>
      </c>
      <c r="BS115" s="70" t="s">
        <v>1428</v>
      </c>
      <c r="BT115" s="70" t="s">
        <v>25</v>
      </c>
      <c r="BU115" s="70">
        <v>117</v>
      </c>
      <c r="BV115" s="70">
        <v>152</v>
      </c>
      <c r="BW115" s="70">
        <v>296</v>
      </c>
      <c r="BX115" s="70">
        <v>388</v>
      </c>
      <c r="BY115" s="70">
        <v>344</v>
      </c>
      <c r="BZ115" s="70">
        <v>1297</v>
      </c>
      <c r="CA115" s="70"/>
      <c r="CB115" s="70" t="s">
        <v>25</v>
      </c>
      <c r="CC115" s="70">
        <v>40</v>
      </c>
      <c r="CD115" s="70">
        <v>0</v>
      </c>
      <c r="CE115" s="70">
        <v>0</v>
      </c>
      <c r="CF115" s="70">
        <v>0</v>
      </c>
      <c r="CG115" s="70">
        <v>0</v>
      </c>
      <c r="CH115" s="70">
        <v>40</v>
      </c>
      <c r="CL115" s="57" t="s">
        <v>367</v>
      </c>
      <c r="CM115" s="57" t="s">
        <v>2028</v>
      </c>
      <c r="CN115" s="57" t="s">
        <v>324</v>
      </c>
      <c r="CO115" s="57" t="s">
        <v>324</v>
      </c>
      <c r="CP115" s="57" t="s">
        <v>324</v>
      </c>
      <c r="CQ115" s="57" t="s">
        <v>324</v>
      </c>
      <c r="CR115" s="57" t="s">
        <v>324</v>
      </c>
      <c r="CS115" s="57" t="s">
        <v>324</v>
      </c>
      <c r="CT115" s="57"/>
      <c r="CU115" s="57" t="s">
        <v>2028</v>
      </c>
      <c r="CV115" s="57" t="s">
        <v>324</v>
      </c>
      <c r="CW115" s="57" t="s">
        <v>324</v>
      </c>
      <c r="CX115" s="57" t="s">
        <v>324</v>
      </c>
      <c r="CY115" s="57" t="s">
        <v>324</v>
      </c>
      <c r="CZ115" s="57" t="s">
        <v>324</v>
      </c>
      <c r="DA115" s="57" t="s">
        <v>324</v>
      </c>
      <c r="DU115" s="16" t="s">
        <v>1664</v>
      </c>
      <c r="DV115" s="79" t="s">
        <v>1664</v>
      </c>
      <c r="DW115" s="79" t="s">
        <v>25</v>
      </c>
      <c r="DX115" s="79">
        <v>1898</v>
      </c>
      <c r="DY115" s="79">
        <v>825</v>
      </c>
      <c r="DZ115" s="79">
        <v>669</v>
      </c>
      <c r="EA115" s="79">
        <v>671</v>
      </c>
      <c r="EB115" s="79">
        <v>801</v>
      </c>
      <c r="EC115" s="79">
        <v>4864</v>
      </c>
      <c r="ED115" s="79"/>
      <c r="EE115" s="79" t="s">
        <v>25</v>
      </c>
      <c r="EF115" s="79">
        <v>339</v>
      </c>
      <c r="EG115" s="79">
        <v>45</v>
      </c>
      <c r="EH115" s="79">
        <v>17</v>
      </c>
      <c r="EI115" s="79">
        <v>0</v>
      </c>
      <c r="EJ115" s="79">
        <v>0</v>
      </c>
      <c r="EK115" s="79">
        <v>401</v>
      </c>
      <c r="EN115" s="57" t="s">
        <v>1992</v>
      </c>
      <c r="EO115" s="57" t="s">
        <v>2032</v>
      </c>
      <c r="EP115" s="57">
        <v>30</v>
      </c>
      <c r="EQ115" s="57">
        <v>77</v>
      </c>
      <c r="ER115" s="57">
        <v>146</v>
      </c>
      <c r="ES115" s="57">
        <v>235</v>
      </c>
      <c r="ET115" s="57">
        <v>268</v>
      </c>
      <c r="EU115" s="57">
        <v>756</v>
      </c>
      <c r="EV115" s="57"/>
      <c r="EW115" s="57" t="s">
        <v>2032</v>
      </c>
      <c r="EX115" s="57">
        <v>3</v>
      </c>
      <c r="EY115" s="57">
        <v>1</v>
      </c>
      <c r="EZ115" s="57">
        <v>1</v>
      </c>
      <c r="FA115" s="57">
        <v>2</v>
      </c>
      <c r="FB115" s="57">
        <v>0</v>
      </c>
      <c r="FC115" s="57">
        <v>7</v>
      </c>
      <c r="FF115" s="70" t="s">
        <v>1829</v>
      </c>
      <c r="FG115" s="70" t="s">
        <v>2028</v>
      </c>
      <c r="FH115" s="70">
        <v>2209</v>
      </c>
      <c r="FI115" s="70">
        <v>1010</v>
      </c>
      <c r="FJ115" s="70">
        <v>753</v>
      </c>
      <c r="FK115" s="70">
        <v>617</v>
      </c>
      <c r="FL115" s="70">
        <v>639</v>
      </c>
      <c r="FM115" s="70">
        <v>5228</v>
      </c>
      <c r="FN115" s="70"/>
      <c r="FO115" s="70" t="s">
        <v>2028</v>
      </c>
      <c r="FP115" s="70">
        <v>340</v>
      </c>
      <c r="FQ115" s="70">
        <v>0</v>
      </c>
      <c r="FR115" s="70">
        <v>0</v>
      </c>
      <c r="FS115" s="70">
        <v>0</v>
      </c>
      <c r="FT115" s="70">
        <v>0</v>
      </c>
      <c r="FU115" s="70">
        <v>340</v>
      </c>
    </row>
    <row r="116" spans="2:177">
      <c r="B116" s="64" t="s">
        <v>765</v>
      </c>
      <c r="C116" s="64" t="s">
        <v>2028</v>
      </c>
      <c r="D116" s="64">
        <v>444</v>
      </c>
      <c r="E116" s="64">
        <v>458</v>
      </c>
      <c r="F116" s="64">
        <v>620</v>
      </c>
      <c r="G116" s="64">
        <v>714</v>
      </c>
      <c r="H116" s="64">
        <v>505</v>
      </c>
      <c r="I116" s="64">
        <v>2741</v>
      </c>
      <c r="K116" s="64" t="s">
        <v>2028</v>
      </c>
      <c r="L116" s="64">
        <v>27</v>
      </c>
      <c r="M116" s="64">
        <v>0</v>
      </c>
      <c r="N116" s="64">
        <v>0</v>
      </c>
      <c r="O116" s="64">
        <v>0</v>
      </c>
      <c r="P116" s="64">
        <v>0</v>
      </c>
      <c r="Q116" s="64">
        <v>27</v>
      </c>
      <c r="AK116" s="66" t="s">
        <v>1117</v>
      </c>
      <c r="AL116" s="66" t="s">
        <v>2028</v>
      </c>
      <c r="AM116" s="66">
        <v>424</v>
      </c>
      <c r="AN116" s="66">
        <v>574</v>
      </c>
      <c r="AO116" s="66">
        <v>823</v>
      </c>
      <c r="AP116" s="66">
        <v>925</v>
      </c>
      <c r="AQ116" s="66">
        <v>701</v>
      </c>
      <c r="AR116" s="66">
        <v>3447</v>
      </c>
      <c r="AS116" s="66"/>
      <c r="AT116" s="66" t="s">
        <v>2028</v>
      </c>
      <c r="AU116" s="66">
        <v>62</v>
      </c>
      <c r="AV116" s="66">
        <v>3</v>
      </c>
      <c r="AW116" s="66">
        <v>0</v>
      </c>
      <c r="AX116" s="66">
        <v>1</v>
      </c>
      <c r="AY116" s="66">
        <v>0</v>
      </c>
      <c r="AZ116" s="66">
        <v>66</v>
      </c>
      <c r="BB116" s="69" t="s">
        <v>1366</v>
      </c>
      <c r="BC116" s="69" t="s">
        <v>2018</v>
      </c>
      <c r="BD116" s="69">
        <v>159</v>
      </c>
      <c r="BE116" s="69">
        <v>157</v>
      </c>
      <c r="BF116" s="69">
        <v>291</v>
      </c>
      <c r="BG116" s="69">
        <v>384</v>
      </c>
      <c r="BH116" s="69">
        <v>364</v>
      </c>
      <c r="BI116" s="69">
        <v>1355</v>
      </c>
      <c r="BJ116" s="69"/>
      <c r="BK116" s="69" t="s">
        <v>2018</v>
      </c>
      <c r="BL116" s="69">
        <v>36</v>
      </c>
      <c r="BM116" s="69">
        <v>0</v>
      </c>
      <c r="BN116" s="69">
        <v>0</v>
      </c>
      <c r="BO116" s="69">
        <v>0</v>
      </c>
      <c r="BP116" s="69">
        <v>0</v>
      </c>
      <c r="BQ116" s="69">
        <v>36</v>
      </c>
      <c r="BS116" s="70" t="s">
        <v>1430</v>
      </c>
      <c r="BT116" s="70" t="s">
        <v>25</v>
      </c>
      <c r="BU116" s="70">
        <v>146</v>
      </c>
      <c r="BV116" s="70">
        <v>117</v>
      </c>
      <c r="BW116" s="70">
        <v>261</v>
      </c>
      <c r="BX116" s="70">
        <v>353</v>
      </c>
      <c r="BY116" s="70">
        <v>268</v>
      </c>
      <c r="BZ116" s="70">
        <v>1145</v>
      </c>
      <c r="CA116" s="70"/>
      <c r="CB116" s="70" t="s">
        <v>25</v>
      </c>
      <c r="CC116" s="70">
        <v>42</v>
      </c>
      <c r="CD116" s="70">
        <v>0</v>
      </c>
      <c r="CE116" s="70">
        <v>0</v>
      </c>
      <c r="CF116" s="70">
        <v>0</v>
      </c>
      <c r="CG116" s="70">
        <v>0</v>
      </c>
      <c r="CH116" s="70">
        <v>42</v>
      </c>
      <c r="CL116" s="57" t="s">
        <v>506</v>
      </c>
      <c r="CM116" s="57" t="s">
        <v>2028</v>
      </c>
      <c r="CN116" s="57">
        <v>476</v>
      </c>
      <c r="CO116" s="57">
        <v>63</v>
      </c>
      <c r="CP116" s="57">
        <v>120</v>
      </c>
      <c r="CQ116" s="57">
        <v>150</v>
      </c>
      <c r="CR116" s="57">
        <v>319</v>
      </c>
      <c r="CS116" s="57">
        <v>1128</v>
      </c>
      <c r="CT116" s="57"/>
      <c r="CU116" s="57" t="s">
        <v>2028</v>
      </c>
      <c r="CV116" s="57">
        <v>150</v>
      </c>
      <c r="CW116" s="57">
        <v>0</v>
      </c>
      <c r="CX116" s="57">
        <v>0</v>
      </c>
      <c r="CY116" s="57">
        <v>0</v>
      </c>
      <c r="CZ116" s="57">
        <v>0</v>
      </c>
      <c r="DA116" s="57">
        <v>150</v>
      </c>
      <c r="DU116" s="16" t="s">
        <v>1667</v>
      </c>
      <c r="DV116" s="79" t="s">
        <v>2697</v>
      </c>
      <c r="DW116" s="79" t="s">
        <v>25</v>
      </c>
      <c r="DX116" s="79">
        <v>194</v>
      </c>
      <c r="DY116" s="79">
        <v>268</v>
      </c>
      <c r="DZ116" s="79">
        <v>361</v>
      </c>
      <c r="EA116" s="79">
        <v>404</v>
      </c>
      <c r="EB116" s="79">
        <v>281</v>
      </c>
      <c r="EC116" s="79">
        <v>1508</v>
      </c>
      <c r="ED116" s="79"/>
      <c r="EE116" s="79" t="s">
        <v>25</v>
      </c>
      <c r="EF116" s="79">
        <v>16</v>
      </c>
      <c r="EG116" s="79">
        <v>2</v>
      </c>
      <c r="EH116" s="79">
        <v>0</v>
      </c>
      <c r="EI116" s="79">
        <v>0</v>
      </c>
      <c r="EJ116" s="79">
        <v>0</v>
      </c>
      <c r="EK116" s="79">
        <v>18</v>
      </c>
      <c r="EN116" s="57" t="s">
        <v>1993</v>
      </c>
      <c r="EO116" s="57" t="s">
        <v>2032</v>
      </c>
      <c r="EP116" s="57">
        <v>374</v>
      </c>
      <c r="EQ116" s="57">
        <v>650</v>
      </c>
      <c r="ER116" s="57">
        <v>849</v>
      </c>
      <c r="ES116" s="57">
        <v>974</v>
      </c>
      <c r="ET116" s="57">
        <v>1036</v>
      </c>
      <c r="EU116" s="57">
        <v>3883</v>
      </c>
      <c r="EV116" s="57"/>
      <c r="EW116" s="57" t="s">
        <v>2032</v>
      </c>
      <c r="EX116" s="57">
        <v>65</v>
      </c>
      <c r="EY116" s="57">
        <v>23</v>
      </c>
      <c r="EZ116" s="57">
        <v>11</v>
      </c>
      <c r="FA116" s="57">
        <v>12</v>
      </c>
      <c r="FB116" s="57">
        <v>9</v>
      </c>
      <c r="FC116" s="57">
        <v>120</v>
      </c>
      <c r="FF116" s="70" t="s">
        <v>1831</v>
      </c>
      <c r="FG116" s="70" t="s">
        <v>2028</v>
      </c>
      <c r="FH116" s="70">
        <v>760</v>
      </c>
      <c r="FI116" s="70">
        <v>1042</v>
      </c>
      <c r="FJ116" s="70">
        <v>687</v>
      </c>
      <c r="FK116" s="70">
        <v>513</v>
      </c>
      <c r="FL116" s="70">
        <v>545</v>
      </c>
      <c r="FM116" s="70">
        <v>3547</v>
      </c>
      <c r="FN116" s="70"/>
      <c r="FO116" s="70" t="s">
        <v>2028</v>
      </c>
      <c r="FP116" s="70">
        <v>145</v>
      </c>
      <c r="FQ116" s="70">
        <v>0</v>
      </c>
      <c r="FR116" s="70">
        <v>0</v>
      </c>
      <c r="FS116" s="70">
        <v>0</v>
      </c>
      <c r="FT116" s="70">
        <v>0</v>
      </c>
      <c r="FU116" s="70">
        <v>145</v>
      </c>
    </row>
    <row r="117" spans="2:177">
      <c r="B117" s="64" t="s">
        <v>773</v>
      </c>
      <c r="C117" s="64" t="s">
        <v>2028</v>
      </c>
      <c r="D117" s="64">
        <v>263</v>
      </c>
      <c r="E117" s="64">
        <v>386</v>
      </c>
      <c r="F117" s="64">
        <v>596</v>
      </c>
      <c r="G117" s="64">
        <v>684</v>
      </c>
      <c r="H117" s="64">
        <v>541</v>
      </c>
      <c r="I117" s="64">
        <v>2470</v>
      </c>
      <c r="K117" s="64" t="s">
        <v>2028</v>
      </c>
      <c r="L117" s="64">
        <v>21</v>
      </c>
      <c r="M117" s="64">
        <v>0</v>
      </c>
      <c r="N117" s="64">
        <v>0</v>
      </c>
      <c r="O117" s="64">
        <v>0</v>
      </c>
      <c r="P117" s="64">
        <v>0</v>
      </c>
      <c r="Q117" s="64">
        <v>21</v>
      </c>
      <c r="T117" s="65" t="s">
        <v>939</v>
      </c>
      <c r="U117" s="65" t="s">
        <v>708</v>
      </c>
      <c r="V117" s="65">
        <v>609</v>
      </c>
      <c r="W117" s="65">
        <v>772</v>
      </c>
      <c r="X117" s="65">
        <v>898</v>
      </c>
      <c r="Y117" s="65">
        <v>989</v>
      </c>
      <c r="Z117" s="65">
        <v>690</v>
      </c>
      <c r="AA117" s="65">
        <v>3958</v>
      </c>
      <c r="AB117" s="65"/>
      <c r="AC117" s="65" t="s">
        <v>708</v>
      </c>
      <c r="AD117" s="65">
        <v>106</v>
      </c>
      <c r="AE117" s="65">
        <v>6</v>
      </c>
      <c r="AF117" s="65">
        <v>1</v>
      </c>
      <c r="AG117" s="65">
        <v>0</v>
      </c>
      <c r="AH117" s="65">
        <v>0</v>
      </c>
      <c r="AI117" s="65">
        <v>113</v>
      </c>
      <c r="AK117" s="66" t="s">
        <v>1929</v>
      </c>
      <c r="AL117" s="66" t="s">
        <v>2028</v>
      </c>
      <c r="AM117" s="66">
        <v>271</v>
      </c>
      <c r="AN117" s="66">
        <v>503</v>
      </c>
      <c r="AO117" s="66">
        <v>914</v>
      </c>
      <c r="AP117" s="66">
        <v>1112</v>
      </c>
      <c r="AQ117" s="66">
        <v>878</v>
      </c>
      <c r="AR117" s="66">
        <v>3678</v>
      </c>
      <c r="AS117" s="66"/>
      <c r="AT117" s="66" t="s">
        <v>2028</v>
      </c>
      <c r="AU117" s="66">
        <v>17</v>
      </c>
      <c r="AV117" s="66">
        <v>4</v>
      </c>
      <c r="AW117" s="66">
        <v>3</v>
      </c>
      <c r="AX117" s="66">
        <v>1</v>
      </c>
      <c r="AY117" s="66">
        <v>0</v>
      </c>
      <c r="AZ117" s="66">
        <v>25</v>
      </c>
      <c r="BB117" s="69" t="s">
        <v>1369</v>
      </c>
      <c r="BC117" s="69" t="s">
        <v>2018</v>
      </c>
      <c r="BD117" s="69">
        <v>171</v>
      </c>
      <c r="BE117" s="69">
        <v>175</v>
      </c>
      <c r="BF117" s="69">
        <v>373</v>
      </c>
      <c r="BG117" s="69">
        <v>586</v>
      </c>
      <c r="BH117" s="69">
        <v>554</v>
      </c>
      <c r="BI117" s="69">
        <v>1859</v>
      </c>
      <c r="BJ117" s="69"/>
      <c r="BK117" s="69" t="s">
        <v>2018</v>
      </c>
      <c r="BL117" s="69">
        <v>38</v>
      </c>
      <c r="BM117" s="69">
        <v>0</v>
      </c>
      <c r="BN117" s="69">
        <v>0</v>
      </c>
      <c r="BO117" s="69">
        <v>0</v>
      </c>
      <c r="BP117" s="69">
        <v>0</v>
      </c>
      <c r="BQ117" s="69">
        <v>38</v>
      </c>
      <c r="BS117" s="70" t="s">
        <v>1433</v>
      </c>
      <c r="BT117" s="70" t="s">
        <v>25</v>
      </c>
      <c r="BU117" s="70">
        <v>90</v>
      </c>
      <c r="BV117" s="70">
        <v>64</v>
      </c>
      <c r="BW117" s="70">
        <v>123</v>
      </c>
      <c r="BX117" s="70">
        <v>175</v>
      </c>
      <c r="BY117" s="70">
        <v>212</v>
      </c>
      <c r="BZ117" s="70">
        <v>664</v>
      </c>
      <c r="CA117" s="70"/>
      <c r="CB117" s="70" t="s">
        <v>25</v>
      </c>
      <c r="CC117" s="70">
        <v>20</v>
      </c>
      <c r="CD117" s="70">
        <v>0</v>
      </c>
      <c r="CE117" s="70">
        <v>0</v>
      </c>
      <c r="CF117" s="70">
        <v>0</v>
      </c>
      <c r="CG117" s="70">
        <v>0</v>
      </c>
      <c r="CH117" s="70">
        <v>20</v>
      </c>
      <c r="CL117" s="57" t="s">
        <v>368</v>
      </c>
      <c r="CM117" s="57" t="s">
        <v>2028</v>
      </c>
      <c r="CN117" s="57">
        <v>1139</v>
      </c>
      <c r="CO117" s="57">
        <v>849</v>
      </c>
      <c r="CP117" s="57">
        <v>998</v>
      </c>
      <c r="CQ117" s="57">
        <v>966</v>
      </c>
      <c r="CR117" s="57">
        <v>851</v>
      </c>
      <c r="CS117" s="57">
        <v>4803</v>
      </c>
      <c r="CT117" s="57"/>
      <c r="CU117" s="57" t="s">
        <v>2028</v>
      </c>
      <c r="CV117" s="57">
        <v>190</v>
      </c>
      <c r="CW117" s="57">
        <v>0</v>
      </c>
      <c r="CX117" s="57">
        <v>0</v>
      </c>
      <c r="CY117" s="57">
        <v>0</v>
      </c>
      <c r="CZ117" s="57">
        <v>0</v>
      </c>
      <c r="DA117" s="57">
        <v>190</v>
      </c>
      <c r="DV117" s="79" t="s">
        <v>1670</v>
      </c>
      <c r="DW117" s="79" t="s">
        <v>25</v>
      </c>
      <c r="DX117" s="79">
        <v>147</v>
      </c>
      <c r="DY117" s="79">
        <v>178</v>
      </c>
      <c r="DZ117" s="79">
        <v>224</v>
      </c>
      <c r="EA117" s="79">
        <v>239</v>
      </c>
      <c r="EB117" s="79">
        <v>228</v>
      </c>
      <c r="EC117" s="79">
        <v>1016</v>
      </c>
      <c r="ED117" s="79"/>
      <c r="EE117" s="79" t="s">
        <v>25</v>
      </c>
      <c r="EF117" s="79">
        <v>11</v>
      </c>
      <c r="EG117" s="79">
        <v>1</v>
      </c>
      <c r="EH117" s="79">
        <v>0</v>
      </c>
      <c r="EI117" s="79">
        <v>0</v>
      </c>
      <c r="EJ117" s="79">
        <v>0</v>
      </c>
      <c r="EK117" s="79">
        <v>12</v>
      </c>
      <c r="EN117" s="57" t="s">
        <v>1716</v>
      </c>
      <c r="EO117" s="57" t="s">
        <v>2032</v>
      </c>
      <c r="EP117" s="57">
        <v>125</v>
      </c>
      <c r="EQ117" s="57">
        <v>202</v>
      </c>
      <c r="ER117" s="57">
        <v>232</v>
      </c>
      <c r="ES117" s="57">
        <v>333</v>
      </c>
      <c r="ET117" s="57">
        <v>397</v>
      </c>
      <c r="EU117" s="57">
        <v>1289</v>
      </c>
      <c r="EV117" s="57"/>
      <c r="EW117" s="57" t="s">
        <v>2032</v>
      </c>
      <c r="EX117" s="57">
        <v>35</v>
      </c>
      <c r="EY117" s="57">
        <v>17</v>
      </c>
      <c r="EZ117" s="57">
        <v>4</v>
      </c>
      <c r="FA117" s="57">
        <v>8</v>
      </c>
      <c r="FB117" s="57">
        <v>6</v>
      </c>
      <c r="FC117" s="57">
        <v>70</v>
      </c>
      <c r="FE117" s="16" t="s">
        <v>2022</v>
      </c>
      <c r="FF117" s="70" t="s">
        <v>1833</v>
      </c>
      <c r="FG117" s="70" t="s">
        <v>2028</v>
      </c>
      <c r="FH117" s="70" t="s">
        <v>324</v>
      </c>
      <c r="FI117" s="70" t="s">
        <v>324</v>
      </c>
      <c r="FJ117" s="70" t="s">
        <v>324</v>
      </c>
      <c r="FK117" s="70" t="s">
        <v>324</v>
      </c>
      <c r="FL117" s="70" t="s">
        <v>324</v>
      </c>
      <c r="FM117" s="70" t="s">
        <v>324</v>
      </c>
      <c r="FN117" s="70"/>
      <c r="FO117" s="70" t="s">
        <v>2028</v>
      </c>
      <c r="FP117" s="70" t="s">
        <v>324</v>
      </c>
      <c r="FQ117" s="70" t="s">
        <v>324</v>
      </c>
      <c r="FR117" s="70" t="s">
        <v>324</v>
      </c>
      <c r="FS117" s="70" t="s">
        <v>324</v>
      </c>
      <c r="FT117" s="70" t="s">
        <v>324</v>
      </c>
      <c r="FU117" s="70" t="s">
        <v>324</v>
      </c>
    </row>
    <row r="118" spans="2:177">
      <c r="B118" s="64" t="s">
        <v>776</v>
      </c>
      <c r="C118" s="64" t="s">
        <v>2028</v>
      </c>
      <c r="D118" s="64">
        <v>255</v>
      </c>
      <c r="E118" s="64">
        <v>311</v>
      </c>
      <c r="F118" s="64">
        <v>479</v>
      </c>
      <c r="G118" s="64">
        <v>584</v>
      </c>
      <c r="H118" s="64">
        <v>434</v>
      </c>
      <c r="I118" s="64">
        <v>2063</v>
      </c>
      <c r="K118" s="64" t="s">
        <v>2028</v>
      </c>
      <c r="L118" s="64">
        <v>26</v>
      </c>
      <c r="M118" s="64">
        <v>0</v>
      </c>
      <c r="N118" s="64">
        <v>0</v>
      </c>
      <c r="O118" s="64">
        <v>0</v>
      </c>
      <c r="P118" s="64">
        <v>0</v>
      </c>
      <c r="Q118" s="64">
        <v>26</v>
      </c>
      <c r="T118" s="65" t="s">
        <v>947</v>
      </c>
      <c r="U118" s="65" t="s">
        <v>708</v>
      </c>
      <c r="V118" s="65">
        <v>105</v>
      </c>
      <c r="W118" s="65">
        <v>149</v>
      </c>
      <c r="X118" s="65">
        <v>229</v>
      </c>
      <c r="Y118" s="65">
        <v>340</v>
      </c>
      <c r="Z118" s="65">
        <v>280</v>
      </c>
      <c r="AA118" s="65">
        <v>1103</v>
      </c>
      <c r="AB118" s="65"/>
      <c r="AC118" s="65" t="s">
        <v>708</v>
      </c>
      <c r="AD118" s="65">
        <v>16</v>
      </c>
      <c r="AE118" s="65">
        <v>0</v>
      </c>
      <c r="AF118" s="65">
        <v>0</v>
      </c>
      <c r="AG118" s="65">
        <v>0</v>
      </c>
      <c r="AH118" s="65">
        <v>0</v>
      </c>
      <c r="AI118" s="65">
        <v>16</v>
      </c>
      <c r="AK118" s="66" t="s">
        <v>1940</v>
      </c>
      <c r="AL118" s="66" t="s">
        <v>2028</v>
      </c>
      <c r="AM118" s="66">
        <v>197</v>
      </c>
      <c r="AN118" s="66">
        <v>271</v>
      </c>
      <c r="AO118" s="66">
        <v>407</v>
      </c>
      <c r="AP118" s="66">
        <v>476</v>
      </c>
      <c r="AQ118" s="66">
        <v>401</v>
      </c>
      <c r="AR118" s="66">
        <v>1752</v>
      </c>
      <c r="AS118" s="66"/>
      <c r="AT118" s="66" t="s">
        <v>2028</v>
      </c>
      <c r="AU118" s="66">
        <v>18</v>
      </c>
      <c r="AV118" s="66">
        <v>4</v>
      </c>
      <c r="AW118" s="66">
        <v>3</v>
      </c>
      <c r="AX118" s="66">
        <v>0</v>
      </c>
      <c r="AY118" s="66">
        <v>0</v>
      </c>
      <c r="AZ118" s="66">
        <v>25</v>
      </c>
      <c r="BB118" s="69" t="s">
        <v>1373</v>
      </c>
      <c r="BC118" s="69" t="s">
        <v>2018</v>
      </c>
      <c r="BD118" s="69">
        <v>54</v>
      </c>
      <c r="BE118" s="69">
        <v>59</v>
      </c>
      <c r="BF118" s="69">
        <v>127</v>
      </c>
      <c r="BG118" s="69">
        <v>222</v>
      </c>
      <c r="BH118" s="69">
        <v>247</v>
      </c>
      <c r="BI118" s="69">
        <v>709</v>
      </c>
      <c r="BJ118" s="69"/>
      <c r="BK118" s="69" t="s">
        <v>2018</v>
      </c>
      <c r="BL118" s="69">
        <v>15</v>
      </c>
      <c r="BM118" s="69">
        <v>0</v>
      </c>
      <c r="BN118" s="69">
        <v>0</v>
      </c>
      <c r="BO118" s="69">
        <v>0</v>
      </c>
      <c r="BP118" s="69">
        <v>0</v>
      </c>
      <c r="BQ118" s="69">
        <v>15</v>
      </c>
      <c r="BS118" s="70" t="s">
        <v>1436</v>
      </c>
      <c r="BT118" s="70" t="s">
        <v>25</v>
      </c>
      <c r="BU118" s="70">
        <v>115</v>
      </c>
      <c r="BV118" s="70">
        <v>96</v>
      </c>
      <c r="BW118" s="70">
        <v>138</v>
      </c>
      <c r="BX118" s="70">
        <v>214</v>
      </c>
      <c r="BY118" s="70">
        <v>187</v>
      </c>
      <c r="BZ118" s="70">
        <v>750</v>
      </c>
      <c r="CA118" s="70"/>
      <c r="CB118" s="70" t="s">
        <v>25</v>
      </c>
      <c r="CC118" s="70">
        <v>40</v>
      </c>
      <c r="CD118" s="70">
        <v>0</v>
      </c>
      <c r="CE118" s="70">
        <v>0</v>
      </c>
      <c r="CF118" s="70">
        <v>0</v>
      </c>
      <c r="CG118" s="70">
        <v>0</v>
      </c>
      <c r="CH118" s="70">
        <v>40</v>
      </c>
      <c r="CL118" s="57" t="s">
        <v>369</v>
      </c>
      <c r="CM118" s="57" t="s">
        <v>2028</v>
      </c>
      <c r="CN118" s="57">
        <v>89</v>
      </c>
      <c r="CO118" s="57">
        <v>115</v>
      </c>
      <c r="CP118" s="57">
        <v>245</v>
      </c>
      <c r="CQ118" s="57">
        <v>361</v>
      </c>
      <c r="CR118" s="57">
        <v>340</v>
      </c>
      <c r="CS118" s="57">
        <v>1150</v>
      </c>
      <c r="CT118" s="57"/>
      <c r="CU118" s="57" t="s">
        <v>2028</v>
      </c>
      <c r="CV118" s="57">
        <v>17</v>
      </c>
      <c r="CW118" s="57">
        <v>2</v>
      </c>
      <c r="CX118" s="57">
        <v>0</v>
      </c>
      <c r="CY118" s="57">
        <v>0</v>
      </c>
      <c r="CZ118" s="57">
        <v>0</v>
      </c>
      <c r="DA118" s="57">
        <v>19</v>
      </c>
      <c r="DU118" s="16" t="s">
        <v>1673</v>
      </c>
      <c r="DV118" s="79" t="s">
        <v>2700</v>
      </c>
      <c r="DW118" s="79" t="s">
        <v>25</v>
      </c>
      <c r="DX118" s="79">
        <v>206</v>
      </c>
      <c r="DY118" s="79">
        <v>164</v>
      </c>
      <c r="DZ118" s="79">
        <v>193</v>
      </c>
      <c r="EA118" s="79">
        <v>221</v>
      </c>
      <c r="EB118" s="79">
        <v>172</v>
      </c>
      <c r="EC118" s="79">
        <v>956</v>
      </c>
      <c r="ED118" s="79"/>
      <c r="EE118" s="79" t="s">
        <v>25</v>
      </c>
      <c r="EF118" s="79">
        <v>13</v>
      </c>
      <c r="EG118" s="79">
        <v>1</v>
      </c>
      <c r="EH118" s="79">
        <v>0</v>
      </c>
      <c r="EI118" s="79">
        <v>0</v>
      </c>
      <c r="EJ118" s="79">
        <v>0</v>
      </c>
      <c r="EK118" s="79">
        <v>14</v>
      </c>
      <c r="EN118" s="57" t="s">
        <v>1720</v>
      </c>
      <c r="EO118" s="57" t="s">
        <v>2032</v>
      </c>
      <c r="EP118" s="57">
        <v>129</v>
      </c>
      <c r="EQ118" s="57">
        <v>204</v>
      </c>
      <c r="ER118" s="57">
        <v>283</v>
      </c>
      <c r="ES118" s="57">
        <v>363</v>
      </c>
      <c r="ET118" s="57">
        <v>437</v>
      </c>
      <c r="EU118" s="57">
        <v>1416</v>
      </c>
      <c r="EV118" s="57"/>
      <c r="EW118" s="57" t="s">
        <v>2032</v>
      </c>
      <c r="EX118" s="57">
        <v>53</v>
      </c>
      <c r="EY118" s="57">
        <v>16</v>
      </c>
      <c r="EZ118" s="57">
        <v>9</v>
      </c>
      <c r="FA118" s="57">
        <v>7</v>
      </c>
      <c r="FB118" s="57">
        <v>4</v>
      </c>
      <c r="FC118" s="57">
        <v>89</v>
      </c>
      <c r="FE118" s="16" t="s">
        <v>2024</v>
      </c>
      <c r="FF118" s="70" t="s">
        <v>2008</v>
      </c>
      <c r="FG118" s="70" t="s">
        <v>2028</v>
      </c>
      <c r="FH118" s="70">
        <v>102</v>
      </c>
      <c r="FI118" s="70">
        <v>208</v>
      </c>
      <c r="FJ118" s="70">
        <v>233</v>
      </c>
      <c r="FK118" s="70">
        <v>281</v>
      </c>
      <c r="FL118" s="70">
        <v>327</v>
      </c>
      <c r="FM118" s="70">
        <v>1151</v>
      </c>
      <c r="FN118" s="70"/>
      <c r="FO118" s="70" t="s">
        <v>2028</v>
      </c>
      <c r="FP118" s="70">
        <v>18</v>
      </c>
      <c r="FQ118" s="70">
        <v>7</v>
      </c>
      <c r="FR118" s="70">
        <v>1</v>
      </c>
      <c r="FS118" s="70">
        <v>1</v>
      </c>
      <c r="FT118" s="70">
        <v>2</v>
      </c>
      <c r="FU118" s="70">
        <v>29</v>
      </c>
    </row>
    <row r="119" spans="2:177">
      <c r="B119" s="64" t="s">
        <v>781</v>
      </c>
      <c r="C119" s="64" t="s">
        <v>2028</v>
      </c>
      <c r="D119" s="64">
        <v>169</v>
      </c>
      <c r="E119" s="64">
        <v>219</v>
      </c>
      <c r="F119" s="64">
        <v>348</v>
      </c>
      <c r="G119" s="64">
        <v>440</v>
      </c>
      <c r="H119" s="64">
        <v>334</v>
      </c>
      <c r="I119" s="64">
        <v>1510</v>
      </c>
      <c r="K119" s="64" t="s">
        <v>2028</v>
      </c>
      <c r="L119" s="64">
        <v>18</v>
      </c>
      <c r="M119" s="64">
        <v>0</v>
      </c>
      <c r="N119" s="64">
        <v>0</v>
      </c>
      <c r="O119" s="64">
        <v>0</v>
      </c>
      <c r="P119" s="64">
        <v>0</v>
      </c>
      <c r="Q119" s="64">
        <v>18</v>
      </c>
      <c r="T119" s="65" t="s">
        <v>952</v>
      </c>
      <c r="U119" s="65" t="s">
        <v>25</v>
      </c>
      <c r="V119" s="65">
        <v>258</v>
      </c>
      <c r="W119" s="65">
        <v>104</v>
      </c>
      <c r="X119" s="65">
        <v>162</v>
      </c>
      <c r="Y119" s="65">
        <v>201</v>
      </c>
      <c r="Z119" s="65">
        <v>214</v>
      </c>
      <c r="AA119" s="65">
        <v>939</v>
      </c>
      <c r="AB119" s="65"/>
      <c r="AC119" s="65" t="s">
        <v>25</v>
      </c>
      <c r="AD119" s="65">
        <v>22</v>
      </c>
      <c r="AE119" s="65">
        <v>0</v>
      </c>
      <c r="AF119" s="65">
        <v>0</v>
      </c>
      <c r="AG119" s="65">
        <v>0</v>
      </c>
      <c r="AH119" s="65">
        <v>0</v>
      </c>
      <c r="AI119" s="65">
        <v>22</v>
      </c>
      <c r="AK119" s="66" t="s">
        <v>1936</v>
      </c>
      <c r="AL119" s="66" t="s">
        <v>2028</v>
      </c>
      <c r="AM119" s="66">
        <v>184</v>
      </c>
      <c r="AN119" s="66">
        <v>339</v>
      </c>
      <c r="AO119" s="66">
        <v>494</v>
      </c>
      <c r="AP119" s="66">
        <v>662</v>
      </c>
      <c r="AQ119" s="66">
        <v>487</v>
      </c>
      <c r="AR119" s="66">
        <v>2166</v>
      </c>
      <c r="AS119" s="66"/>
      <c r="AT119" s="66" t="s">
        <v>2028</v>
      </c>
      <c r="AU119" s="66">
        <v>15</v>
      </c>
      <c r="AV119" s="66">
        <v>3</v>
      </c>
      <c r="AW119" s="66">
        <v>5</v>
      </c>
      <c r="AX119" s="66">
        <v>1</v>
      </c>
      <c r="AY119" s="66">
        <v>1</v>
      </c>
      <c r="AZ119" s="66">
        <v>25</v>
      </c>
      <c r="BB119" s="69" t="s">
        <v>41</v>
      </c>
      <c r="BC119" s="69" t="s">
        <v>2018</v>
      </c>
      <c r="BD119" s="69">
        <v>358</v>
      </c>
      <c r="BE119" s="69">
        <v>466</v>
      </c>
      <c r="BF119" s="69">
        <v>830</v>
      </c>
      <c r="BG119" s="69">
        <v>1123</v>
      </c>
      <c r="BH119" s="69">
        <v>1131</v>
      </c>
      <c r="BI119" s="69">
        <v>3908</v>
      </c>
      <c r="BJ119" s="69"/>
      <c r="BK119" s="69" t="s">
        <v>2018</v>
      </c>
      <c r="BL119" s="69">
        <v>47</v>
      </c>
      <c r="BM119" s="69">
        <v>1</v>
      </c>
      <c r="BN119" s="69">
        <v>0</v>
      </c>
      <c r="BO119" s="69">
        <v>0</v>
      </c>
      <c r="BP119" s="69">
        <v>0</v>
      </c>
      <c r="BQ119" s="69">
        <v>48</v>
      </c>
      <c r="BS119" s="70" t="s">
        <v>1438</v>
      </c>
      <c r="BT119" s="70" t="s">
        <v>25</v>
      </c>
      <c r="BU119" s="70">
        <v>107</v>
      </c>
      <c r="BV119" s="70">
        <v>186</v>
      </c>
      <c r="BW119" s="70">
        <v>368</v>
      </c>
      <c r="BX119" s="70">
        <v>508</v>
      </c>
      <c r="BY119" s="70">
        <v>466</v>
      </c>
      <c r="BZ119" s="70">
        <v>1635</v>
      </c>
      <c r="CA119" s="70"/>
      <c r="CB119" s="70" t="s">
        <v>25</v>
      </c>
      <c r="CC119" s="70">
        <v>19</v>
      </c>
      <c r="CD119" s="70">
        <v>0</v>
      </c>
      <c r="CE119" s="70">
        <v>0</v>
      </c>
      <c r="CF119" s="70">
        <v>0</v>
      </c>
      <c r="CG119" s="70">
        <v>0</v>
      </c>
      <c r="CH119" s="70">
        <v>19</v>
      </c>
      <c r="CL119" s="57" t="s">
        <v>540</v>
      </c>
      <c r="CM119" s="57" t="s">
        <v>2028</v>
      </c>
      <c r="CN119" s="57">
        <v>147</v>
      </c>
      <c r="CO119" s="57">
        <v>147</v>
      </c>
      <c r="CP119" s="57">
        <v>243</v>
      </c>
      <c r="CQ119" s="57">
        <v>347</v>
      </c>
      <c r="CR119" s="57">
        <v>355</v>
      </c>
      <c r="CS119" s="57">
        <v>1239</v>
      </c>
      <c r="CT119" s="57"/>
      <c r="CU119" s="57" t="s">
        <v>2028</v>
      </c>
      <c r="CV119" s="57">
        <v>32</v>
      </c>
      <c r="CW119" s="57">
        <v>0</v>
      </c>
      <c r="CX119" s="57">
        <v>0</v>
      </c>
      <c r="CY119" s="57">
        <v>0</v>
      </c>
      <c r="CZ119" s="57">
        <v>0</v>
      </c>
      <c r="DA119" s="57">
        <v>32</v>
      </c>
      <c r="DU119" s="16" t="s">
        <v>1676</v>
      </c>
      <c r="DV119" s="79" t="s">
        <v>2703</v>
      </c>
      <c r="DW119" s="79" t="s">
        <v>25</v>
      </c>
      <c r="DX119" s="79">
        <v>375</v>
      </c>
      <c r="DY119" s="79">
        <v>464</v>
      </c>
      <c r="DZ119" s="79">
        <v>463</v>
      </c>
      <c r="EA119" s="79">
        <v>458</v>
      </c>
      <c r="EB119" s="79">
        <v>283</v>
      </c>
      <c r="EC119" s="79">
        <v>2043</v>
      </c>
      <c r="ED119" s="79"/>
      <c r="EE119" s="79" t="s">
        <v>25</v>
      </c>
      <c r="EF119" s="79">
        <v>13</v>
      </c>
      <c r="EG119" s="79">
        <v>3</v>
      </c>
      <c r="EH119" s="79">
        <v>0</v>
      </c>
      <c r="EI119" s="79">
        <v>0</v>
      </c>
      <c r="EJ119" s="79">
        <v>0</v>
      </c>
      <c r="EK119" s="79">
        <v>16</v>
      </c>
      <c r="EN119" s="57" t="s">
        <v>1723</v>
      </c>
      <c r="EO119" s="57" t="s">
        <v>2032</v>
      </c>
      <c r="EP119" s="57">
        <v>458</v>
      </c>
      <c r="EQ119" s="57">
        <v>647</v>
      </c>
      <c r="ER119" s="57">
        <v>779</v>
      </c>
      <c r="ES119" s="57">
        <v>884</v>
      </c>
      <c r="ET119" s="57">
        <v>856</v>
      </c>
      <c r="EU119" s="57">
        <v>3624</v>
      </c>
      <c r="EV119" s="57"/>
      <c r="EW119" s="57" t="s">
        <v>2032</v>
      </c>
      <c r="EX119" s="57">
        <v>75</v>
      </c>
      <c r="EY119" s="57">
        <v>28</v>
      </c>
      <c r="EZ119" s="57">
        <v>21</v>
      </c>
      <c r="FA119" s="57">
        <v>16</v>
      </c>
      <c r="FB119" s="57">
        <v>8</v>
      </c>
      <c r="FC119" s="57">
        <v>148</v>
      </c>
      <c r="FF119" s="70" t="s">
        <v>1837</v>
      </c>
      <c r="FG119" s="70" t="s">
        <v>2028</v>
      </c>
      <c r="FH119" s="70">
        <v>129</v>
      </c>
      <c r="FI119" s="70">
        <v>209</v>
      </c>
      <c r="FJ119" s="70">
        <v>234</v>
      </c>
      <c r="FK119" s="70">
        <v>261</v>
      </c>
      <c r="FL119" s="70">
        <v>338</v>
      </c>
      <c r="FM119" s="70">
        <v>1171</v>
      </c>
      <c r="FN119" s="70"/>
      <c r="FO119" s="70" t="s">
        <v>2028</v>
      </c>
      <c r="FP119" s="70">
        <v>42</v>
      </c>
      <c r="FQ119" s="70">
        <v>18</v>
      </c>
      <c r="FR119" s="70">
        <v>1</v>
      </c>
      <c r="FS119" s="70">
        <v>3</v>
      </c>
      <c r="FT119" s="70">
        <v>4</v>
      </c>
      <c r="FU119" s="70">
        <v>68</v>
      </c>
    </row>
    <row r="120" spans="2:177">
      <c r="B120" s="64" t="s">
        <v>787</v>
      </c>
      <c r="C120" s="64" t="s">
        <v>2028</v>
      </c>
      <c r="D120" s="64">
        <v>202</v>
      </c>
      <c r="E120" s="64">
        <v>269</v>
      </c>
      <c r="F120" s="64">
        <v>329</v>
      </c>
      <c r="G120" s="64">
        <v>442</v>
      </c>
      <c r="H120" s="64">
        <v>329</v>
      </c>
      <c r="I120" s="64">
        <v>1571</v>
      </c>
      <c r="K120" s="64" t="s">
        <v>2028</v>
      </c>
      <c r="L120" s="64">
        <v>34</v>
      </c>
      <c r="M120" s="64">
        <v>2</v>
      </c>
      <c r="N120" s="64">
        <v>3</v>
      </c>
      <c r="O120" s="64">
        <v>0</v>
      </c>
      <c r="P120" s="64">
        <v>0</v>
      </c>
      <c r="Q120" s="64">
        <v>39</v>
      </c>
      <c r="T120" s="65" t="s">
        <v>958</v>
      </c>
      <c r="U120" s="65" t="s">
        <v>25</v>
      </c>
      <c r="V120" s="65">
        <v>462</v>
      </c>
      <c r="W120" s="65">
        <v>665</v>
      </c>
      <c r="X120" s="65">
        <v>736</v>
      </c>
      <c r="Y120" s="65">
        <v>814</v>
      </c>
      <c r="Z120" s="65">
        <v>603</v>
      </c>
      <c r="AA120" s="65">
        <v>3280</v>
      </c>
      <c r="AB120" s="65"/>
      <c r="AC120" s="65" t="s">
        <v>25</v>
      </c>
      <c r="AD120" s="65">
        <v>36</v>
      </c>
      <c r="AE120" s="65">
        <v>8</v>
      </c>
      <c r="AF120" s="65">
        <v>0</v>
      </c>
      <c r="AG120" s="65">
        <v>1</v>
      </c>
      <c r="AH120" s="65">
        <v>2</v>
      </c>
      <c r="AI120" s="65">
        <v>47</v>
      </c>
      <c r="AK120" s="66" t="s">
        <v>1953</v>
      </c>
      <c r="AL120" s="66" t="s">
        <v>2028</v>
      </c>
      <c r="AM120" s="66">
        <v>239</v>
      </c>
      <c r="AN120" s="66">
        <v>246</v>
      </c>
      <c r="AO120" s="66">
        <v>373</v>
      </c>
      <c r="AP120" s="66">
        <v>557</v>
      </c>
      <c r="AQ120" s="66">
        <v>389</v>
      </c>
      <c r="AR120" s="66">
        <v>1804</v>
      </c>
      <c r="AS120" s="66"/>
      <c r="AT120" s="66" t="s">
        <v>2028</v>
      </c>
      <c r="AU120" s="66">
        <v>31</v>
      </c>
      <c r="AV120" s="66">
        <v>2</v>
      </c>
      <c r="AW120" s="66">
        <v>0</v>
      </c>
      <c r="AX120" s="66">
        <v>0</v>
      </c>
      <c r="AY120" s="66">
        <v>0</v>
      </c>
      <c r="AZ120" s="66">
        <v>33</v>
      </c>
      <c r="BB120" s="69" t="s">
        <v>1380</v>
      </c>
      <c r="BC120" s="69" t="s">
        <v>2018</v>
      </c>
      <c r="BD120" s="69">
        <v>309</v>
      </c>
      <c r="BE120" s="69">
        <v>363</v>
      </c>
      <c r="BF120" s="69">
        <v>637</v>
      </c>
      <c r="BG120" s="69">
        <v>920</v>
      </c>
      <c r="BH120" s="69">
        <v>865</v>
      </c>
      <c r="BI120" s="69">
        <v>3094</v>
      </c>
      <c r="BJ120" s="69"/>
      <c r="BK120" s="69" t="s">
        <v>2018</v>
      </c>
      <c r="BL120" s="69">
        <v>37</v>
      </c>
      <c r="BM120" s="69">
        <v>0</v>
      </c>
      <c r="BN120" s="69">
        <v>0</v>
      </c>
      <c r="BO120" s="69">
        <v>0</v>
      </c>
      <c r="BP120" s="69">
        <v>0</v>
      </c>
      <c r="BQ120" s="69">
        <v>37</v>
      </c>
      <c r="BS120" s="70" t="s">
        <v>1440</v>
      </c>
      <c r="BT120" s="70" t="s">
        <v>25</v>
      </c>
      <c r="BU120" s="70">
        <v>142</v>
      </c>
      <c r="BV120" s="70">
        <v>242</v>
      </c>
      <c r="BW120" s="70">
        <v>404</v>
      </c>
      <c r="BX120" s="70">
        <v>547</v>
      </c>
      <c r="BY120" s="70">
        <v>505</v>
      </c>
      <c r="BZ120" s="70">
        <v>1840</v>
      </c>
      <c r="CA120" s="70"/>
      <c r="CB120" s="70" t="s">
        <v>25</v>
      </c>
      <c r="CC120" s="70">
        <v>24</v>
      </c>
      <c r="CD120" s="70">
        <v>0</v>
      </c>
      <c r="CE120" s="70">
        <v>0</v>
      </c>
      <c r="CF120" s="70">
        <v>0</v>
      </c>
      <c r="CG120" s="70">
        <v>0</v>
      </c>
      <c r="CH120" s="70">
        <v>24</v>
      </c>
      <c r="CL120" s="57" t="s">
        <v>546</v>
      </c>
      <c r="CM120" s="57" t="s">
        <v>2028</v>
      </c>
      <c r="CN120" s="57">
        <v>160</v>
      </c>
      <c r="CO120" s="57">
        <v>183</v>
      </c>
      <c r="CP120" s="57">
        <v>325</v>
      </c>
      <c r="CQ120" s="57">
        <v>396</v>
      </c>
      <c r="CR120" s="57">
        <v>396</v>
      </c>
      <c r="CS120" s="57">
        <v>1460</v>
      </c>
      <c r="CT120" s="57"/>
      <c r="CU120" s="57" t="s">
        <v>2028</v>
      </c>
      <c r="CV120" s="57">
        <v>28</v>
      </c>
      <c r="CW120" s="57">
        <v>0</v>
      </c>
      <c r="CX120" s="57">
        <v>0</v>
      </c>
      <c r="CY120" s="57">
        <v>0</v>
      </c>
      <c r="CZ120" s="57">
        <v>0</v>
      </c>
      <c r="DA120" s="57">
        <v>28</v>
      </c>
      <c r="DV120" s="79" t="s">
        <v>1679</v>
      </c>
      <c r="DW120" s="79" t="s">
        <v>25</v>
      </c>
      <c r="DX120" s="79">
        <v>550</v>
      </c>
      <c r="DY120" s="79">
        <v>752</v>
      </c>
      <c r="DZ120" s="79">
        <v>976</v>
      </c>
      <c r="EA120" s="79">
        <v>1313</v>
      </c>
      <c r="EB120" s="79">
        <v>1041</v>
      </c>
      <c r="EC120" s="79">
        <v>4632</v>
      </c>
      <c r="ED120" s="79"/>
      <c r="EE120" s="79" t="s">
        <v>25</v>
      </c>
      <c r="EF120" s="79">
        <v>23</v>
      </c>
      <c r="EG120" s="79">
        <v>2</v>
      </c>
      <c r="EH120" s="79">
        <v>0</v>
      </c>
      <c r="EI120" s="79">
        <v>0</v>
      </c>
      <c r="EJ120" s="79">
        <v>0</v>
      </c>
      <c r="EK120" s="79">
        <v>25</v>
      </c>
      <c r="EN120" s="57" t="s">
        <v>1726</v>
      </c>
      <c r="EO120" s="57" t="s">
        <v>2032</v>
      </c>
      <c r="EP120" s="57">
        <v>97</v>
      </c>
      <c r="EQ120" s="57">
        <v>139</v>
      </c>
      <c r="ER120" s="57">
        <v>150</v>
      </c>
      <c r="ES120" s="57">
        <v>202</v>
      </c>
      <c r="ET120" s="57">
        <v>233</v>
      </c>
      <c r="EU120" s="57">
        <v>821</v>
      </c>
      <c r="EV120" s="57"/>
      <c r="EW120" s="57" t="s">
        <v>2032</v>
      </c>
      <c r="EX120" s="57">
        <v>23</v>
      </c>
      <c r="EY120" s="57">
        <v>4</v>
      </c>
      <c r="EZ120" s="57">
        <v>2</v>
      </c>
      <c r="FA120" s="57">
        <v>1</v>
      </c>
      <c r="FB120" s="57">
        <v>2</v>
      </c>
      <c r="FC120" s="57">
        <v>32</v>
      </c>
      <c r="FF120" s="70" t="s">
        <v>1838</v>
      </c>
      <c r="FG120" s="70" t="s">
        <v>2028</v>
      </c>
      <c r="FH120" s="70" t="s">
        <v>324</v>
      </c>
      <c r="FI120" s="70" t="s">
        <v>324</v>
      </c>
      <c r="FJ120" s="70" t="s">
        <v>324</v>
      </c>
      <c r="FK120" s="70" t="s">
        <v>324</v>
      </c>
      <c r="FL120" s="70" t="s">
        <v>324</v>
      </c>
      <c r="FM120" s="70" t="s">
        <v>324</v>
      </c>
      <c r="FN120" s="70"/>
      <c r="FO120" s="70" t="s">
        <v>2028</v>
      </c>
      <c r="FP120" s="70" t="s">
        <v>324</v>
      </c>
      <c r="FQ120" s="70" t="s">
        <v>324</v>
      </c>
      <c r="FR120" s="70" t="s">
        <v>324</v>
      </c>
      <c r="FS120" s="70" t="s">
        <v>324</v>
      </c>
      <c r="FT120" s="70" t="s">
        <v>324</v>
      </c>
      <c r="FU120" s="70" t="s">
        <v>324</v>
      </c>
    </row>
    <row r="121" spans="2:177">
      <c r="B121" s="64" t="s">
        <v>795</v>
      </c>
      <c r="C121" s="64" t="s">
        <v>2028</v>
      </c>
      <c r="D121" s="64">
        <v>102</v>
      </c>
      <c r="E121" s="64">
        <v>128</v>
      </c>
      <c r="F121" s="64">
        <v>131</v>
      </c>
      <c r="G121" s="64">
        <v>209</v>
      </c>
      <c r="H121" s="64">
        <v>216</v>
      </c>
      <c r="I121" s="64">
        <v>786</v>
      </c>
      <c r="K121" s="64" t="s">
        <v>2028</v>
      </c>
      <c r="L121" s="64">
        <v>23</v>
      </c>
      <c r="M121" s="64">
        <v>0</v>
      </c>
      <c r="N121" s="64">
        <v>1</v>
      </c>
      <c r="O121" s="64">
        <v>1</v>
      </c>
      <c r="P121" s="64">
        <v>0</v>
      </c>
      <c r="Q121" s="64">
        <v>25</v>
      </c>
      <c r="T121" s="65" t="s">
        <v>962</v>
      </c>
      <c r="U121" s="65" t="s">
        <v>25</v>
      </c>
      <c r="V121" s="65">
        <v>1507</v>
      </c>
      <c r="W121" s="65">
        <v>1336</v>
      </c>
      <c r="X121" s="65">
        <v>1265</v>
      </c>
      <c r="Y121" s="65">
        <v>1449</v>
      </c>
      <c r="Z121" s="65">
        <v>998</v>
      </c>
      <c r="AA121" s="65">
        <v>6555</v>
      </c>
      <c r="AB121" s="65"/>
      <c r="AC121" s="65" t="s">
        <v>25</v>
      </c>
      <c r="AD121" s="65">
        <v>165</v>
      </c>
      <c r="AE121" s="65">
        <v>11</v>
      </c>
      <c r="AF121" s="65">
        <v>3</v>
      </c>
      <c r="AG121" s="65">
        <v>3</v>
      </c>
      <c r="AH121" s="65">
        <v>0</v>
      </c>
      <c r="AI121" s="65">
        <v>182</v>
      </c>
      <c r="AK121" s="66" t="s">
        <v>1932</v>
      </c>
      <c r="AL121" s="66" t="s">
        <v>2028</v>
      </c>
      <c r="AM121" s="66">
        <v>295</v>
      </c>
      <c r="AN121" s="66">
        <v>330</v>
      </c>
      <c r="AO121" s="66">
        <v>467</v>
      </c>
      <c r="AP121" s="66">
        <v>595</v>
      </c>
      <c r="AQ121" s="66">
        <v>499</v>
      </c>
      <c r="AR121" s="66">
        <v>2186</v>
      </c>
      <c r="AS121" s="66"/>
      <c r="AT121" s="66" t="s">
        <v>2028</v>
      </c>
      <c r="AU121" s="66">
        <v>22</v>
      </c>
      <c r="AV121" s="66">
        <v>0</v>
      </c>
      <c r="AW121" s="66">
        <v>1</v>
      </c>
      <c r="AX121" s="66">
        <v>0</v>
      </c>
      <c r="AY121" s="66">
        <v>0</v>
      </c>
      <c r="AZ121" s="66">
        <v>23</v>
      </c>
      <c r="BB121" s="69" t="s">
        <v>1383</v>
      </c>
      <c r="BC121" s="69" t="s">
        <v>2018</v>
      </c>
      <c r="BD121" s="69">
        <v>337</v>
      </c>
      <c r="BE121" s="69">
        <v>293</v>
      </c>
      <c r="BF121" s="69">
        <v>527</v>
      </c>
      <c r="BG121" s="69">
        <v>821</v>
      </c>
      <c r="BH121" s="69">
        <v>774</v>
      </c>
      <c r="BI121" s="69">
        <v>2752</v>
      </c>
      <c r="BJ121" s="69"/>
      <c r="BK121" s="69" t="s">
        <v>2018</v>
      </c>
      <c r="BL121" s="69">
        <v>32</v>
      </c>
      <c r="BM121" s="69">
        <v>0</v>
      </c>
      <c r="BN121" s="69">
        <v>0</v>
      </c>
      <c r="BO121" s="69">
        <v>0</v>
      </c>
      <c r="BP121" s="69">
        <v>0</v>
      </c>
      <c r="BQ121" s="69">
        <v>32</v>
      </c>
      <c r="BS121" s="70" t="s">
        <v>1442</v>
      </c>
      <c r="BT121" s="70" t="s">
        <v>25</v>
      </c>
      <c r="BU121" s="70">
        <v>25</v>
      </c>
      <c r="BV121" s="70">
        <v>60</v>
      </c>
      <c r="BW121" s="70">
        <v>153</v>
      </c>
      <c r="BX121" s="70">
        <v>260</v>
      </c>
      <c r="BY121" s="70">
        <v>247</v>
      </c>
      <c r="BZ121" s="70">
        <v>745</v>
      </c>
      <c r="CA121" s="70"/>
      <c r="CB121" s="70" t="s">
        <v>25</v>
      </c>
      <c r="CC121" s="70">
        <v>1</v>
      </c>
      <c r="CD121" s="70">
        <v>0</v>
      </c>
      <c r="CE121" s="70">
        <v>0</v>
      </c>
      <c r="CF121" s="70">
        <v>0</v>
      </c>
      <c r="CG121" s="70">
        <v>0</v>
      </c>
      <c r="CH121" s="70">
        <v>1</v>
      </c>
      <c r="CL121" s="57" t="s">
        <v>549</v>
      </c>
      <c r="CM121" s="57" t="s">
        <v>2028</v>
      </c>
      <c r="CN121" s="57" t="s">
        <v>324</v>
      </c>
      <c r="CO121" s="57" t="s">
        <v>324</v>
      </c>
      <c r="CP121" s="57" t="s">
        <v>324</v>
      </c>
      <c r="CQ121" s="57" t="s">
        <v>324</v>
      </c>
      <c r="CR121" s="57" t="s">
        <v>324</v>
      </c>
      <c r="CS121" s="57" t="s">
        <v>324</v>
      </c>
      <c r="CT121" s="57"/>
      <c r="CU121" s="57" t="s">
        <v>2028</v>
      </c>
      <c r="CV121" s="57" t="s">
        <v>324</v>
      </c>
      <c r="CW121" s="57" t="s">
        <v>324</v>
      </c>
      <c r="CX121" s="57" t="s">
        <v>324</v>
      </c>
      <c r="CY121" s="57" t="s">
        <v>324</v>
      </c>
      <c r="CZ121" s="57" t="s">
        <v>324</v>
      </c>
      <c r="DA121" s="57" t="s">
        <v>324</v>
      </c>
      <c r="DV121" s="79" t="s">
        <v>1682</v>
      </c>
      <c r="DW121" s="79" t="s">
        <v>25</v>
      </c>
      <c r="DX121" s="79">
        <v>359</v>
      </c>
      <c r="DY121" s="79">
        <v>435</v>
      </c>
      <c r="DZ121" s="79">
        <v>459</v>
      </c>
      <c r="EA121" s="79">
        <v>434</v>
      </c>
      <c r="EB121" s="79">
        <v>404</v>
      </c>
      <c r="EC121" s="79">
        <v>2091</v>
      </c>
      <c r="ED121" s="79"/>
      <c r="EE121" s="79" t="s">
        <v>25</v>
      </c>
      <c r="EF121" s="79">
        <v>21</v>
      </c>
      <c r="EG121" s="79">
        <v>1</v>
      </c>
      <c r="EH121" s="79">
        <v>0</v>
      </c>
      <c r="EI121" s="79">
        <v>0</v>
      </c>
      <c r="EJ121" s="79">
        <v>0</v>
      </c>
      <c r="EK121" s="79">
        <v>22</v>
      </c>
      <c r="EN121" s="57" t="s">
        <v>1729</v>
      </c>
      <c r="EO121" s="57" t="s">
        <v>2032</v>
      </c>
      <c r="EP121" s="57">
        <v>189</v>
      </c>
      <c r="EQ121" s="57">
        <v>234</v>
      </c>
      <c r="ER121" s="57">
        <v>301</v>
      </c>
      <c r="ES121" s="57">
        <v>396</v>
      </c>
      <c r="ET121" s="57">
        <v>449</v>
      </c>
      <c r="EU121" s="57">
        <v>1569</v>
      </c>
      <c r="EV121" s="57"/>
      <c r="EW121" s="57" t="s">
        <v>2032</v>
      </c>
      <c r="EX121" s="57">
        <v>41</v>
      </c>
      <c r="EY121" s="57">
        <v>14</v>
      </c>
      <c r="EZ121" s="57">
        <v>7</v>
      </c>
      <c r="FA121" s="57">
        <v>3</v>
      </c>
      <c r="FB121" s="57">
        <v>4</v>
      </c>
      <c r="FC121" s="57">
        <v>69</v>
      </c>
      <c r="FF121" s="70" t="s">
        <v>1840</v>
      </c>
      <c r="FG121" s="70" t="s">
        <v>2028</v>
      </c>
      <c r="FH121" s="70" t="s">
        <v>324</v>
      </c>
      <c r="FI121" s="70" t="s">
        <v>324</v>
      </c>
      <c r="FJ121" s="70" t="s">
        <v>324</v>
      </c>
      <c r="FK121" s="70" t="s">
        <v>324</v>
      </c>
      <c r="FL121" s="70" t="s">
        <v>324</v>
      </c>
      <c r="FM121" s="70" t="s">
        <v>324</v>
      </c>
      <c r="FN121" s="70"/>
      <c r="FO121" s="70" t="s">
        <v>2028</v>
      </c>
      <c r="FP121" s="70" t="s">
        <v>324</v>
      </c>
      <c r="FQ121" s="70" t="s">
        <v>324</v>
      </c>
      <c r="FR121" s="70" t="s">
        <v>324</v>
      </c>
      <c r="FS121" s="70" t="s">
        <v>324</v>
      </c>
      <c r="FT121" s="70" t="s">
        <v>324</v>
      </c>
      <c r="FU121" s="70" t="s">
        <v>324</v>
      </c>
    </row>
    <row r="122" spans="2:177">
      <c r="B122" s="64" t="s">
        <v>805</v>
      </c>
      <c r="C122" s="64" t="s">
        <v>2028</v>
      </c>
      <c r="D122" s="64">
        <v>151</v>
      </c>
      <c r="E122" s="64">
        <v>290</v>
      </c>
      <c r="F122" s="64">
        <v>366</v>
      </c>
      <c r="G122" s="64">
        <v>409</v>
      </c>
      <c r="H122" s="64">
        <v>292</v>
      </c>
      <c r="I122" s="64">
        <v>1508</v>
      </c>
      <c r="K122" s="64" t="s">
        <v>2028</v>
      </c>
      <c r="L122" s="64">
        <v>16</v>
      </c>
      <c r="M122" s="64">
        <v>0</v>
      </c>
      <c r="N122" s="64">
        <v>0</v>
      </c>
      <c r="O122" s="64">
        <v>1</v>
      </c>
      <c r="P122" s="64">
        <v>0</v>
      </c>
      <c r="Q122" s="64">
        <v>17</v>
      </c>
      <c r="T122" s="65" t="s">
        <v>965</v>
      </c>
      <c r="U122" s="65" t="s">
        <v>25</v>
      </c>
      <c r="V122" s="65">
        <v>538</v>
      </c>
      <c r="W122" s="65">
        <v>599</v>
      </c>
      <c r="X122" s="65">
        <v>797</v>
      </c>
      <c r="Y122" s="65">
        <v>956</v>
      </c>
      <c r="Z122" s="65">
        <v>694</v>
      </c>
      <c r="AA122" s="65">
        <v>3584</v>
      </c>
      <c r="AB122" s="65"/>
      <c r="AC122" s="65" t="s">
        <v>25</v>
      </c>
      <c r="AD122" s="65">
        <v>73</v>
      </c>
      <c r="AE122" s="65">
        <v>8</v>
      </c>
      <c r="AF122" s="65">
        <v>2</v>
      </c>
      <c r="AG122" s="65">
        <v>2</v>
      </c>
      <c r="AH122" s="65">
        <v>3</v>
      </c>
      <c r="AI122" s="65">
        <v>88</v>
      </c>
      <c r="AK122" s="66" t="s">
        <v>1911</v>
      </c>
      <c r="AL122" s="66" t="s">
        <v>2028</v>
      </c>
      <c r="AM122" s="66">
        <v>377</v>
      </c>
      <c r="AN122" s="66">
        <v>626</v>
      </c>
      <c r="AO122" s="66">
        <v>862</v>
      </c>
      <c r="AP122" s="66">
        <v>937</v>
      </c>
      <c r="AQ122" s="66">
        <v>608</v>
      </c>
      <c r="AR122" s="66">
        <v>3410</v>
      </c>
      <c r="AS122" s="66"/>
      <c r="AT122" s="66" t="s">
        <v>2028</v>
      </c>
      <c r="AU122" s="66">
        <v>36</v>
      </c>
      <c r="AV122" s="66">
        <v>2</v>
      </c>
      <c r="AW122" s="66">
        <v>0</v>
      </c>
      <c r="AX122" s="66">
        <v>0</v>
      </c>
      <c r="AY122" s="66">
        <v>0</v>
      </c>
      <c r="AZ122" s="66">
        <v>38</v>
      </c>
      <c r="BB122" s="69" t="s">
        <v>1386</v>
      </c>
      <c r="BC122" s="69" t="s">
        <v>2018</v>
      </c>
      <c r="BD122" s="69">
        <v>55</v>
      </c>
      <c r="BE122" s="69">
        <v>66</v>
      </c>
      <c r="BF122" s="69">
        <v>152</v>
      </c>
      <c r="BG122" s="69">
        <v>262</v>
      </c>
      <c r="BH122" s="69">
        <v>264</v>
      </c>
      <c r="BI122" s="69">
        <v>799</v>
      </c>
      <c r="BJ122" s="69"/>
      <c r="BK122" s="69" t="s">
        <v>2018</v>
      </c>
      <c r="BL122" s="69">
        <v>15</v>
      </c>
      <c r="BM122" s="69">
        <v>1</v>
      </c>
      <c r="BN122" s="69">
        <v>0</v>
      </c>
      <c r="BO122" s="69">
        <v>0</v>
      </c>
      <c r="BP122" s="69">
        <v>0</v>
      </c>
      <c r="BQ122" s="69">
        <v>16</v>
      </c>
      <c r="BS122" s="70" t="s">
        <v>1444</v>
      </c>
      <c r="BT122" s="70" t="s">
        <v>25</v>
      </c>
      <c r="BU122" s="70">
        <v>215</v>
      </c>
      <c r="BV122" s="70">
        <v>180</v>
      </c>
      <c r="BW122" s="70">
        <v>259</v>
      </c>
      <c r="BX122" s="70">
        <v>356</v>
      </c>
      <c r="BY122" s="70">
        <v>330</v>
      </c>
      <c r="BZ122" s="70">
        <v>1340</v>
      </c>
      <c r="CA122" s="70"/>
      <c r="CB122" s="70" t="s">
        <v>25</v>
      </c>
      <c r="CC122" s="70">
        <v>60</v>
      </c>
      <c r="CD122" s="70">
        <v>0</v>
      </c>
      <c r="CE122" s="70">
        <v>0</v>
      </c>
      <c r="CF122" s="70">
        <v>0</v>
      </c>
      <c r="CG122" s="70">
        <v>0</v>
      </c>
      <c r="CH122" s="70">
        <v>60</v>
      </c>
      <c r="CL122" s="57" t="s">
        <v>551</v>
      </c>
      <c r="CM122" s="57" t="s">
        <v>2028</v>
      </c>
      <c r="CN122" s="57">
        <v>159</v>
      </c>
      <c r="CO122" s="57">
        <v>78</v>
      </c>
      <c r="CP122" s="57">
        <v>113</v>
      </c>
      <c r="CQ122" s="57">
        <v>185</v>
      </c>
      <c r="CR122" s="57">
        <v>146</v>
      </c>
      <c r="CS122" s="57">
        <v>681</v>
      </c>
      <c r="CT122" s="57"/>
      <c r="CU122" s="57" t="s">
        <v>2028</v>
      </c>
      <c r="CV122" s="57">
        <v>62</v>
      </c>
      <c r="CW122" s="57">
        <v>0</v>
      </c>
      <c r="CX122" s="57">
        <v>0</v>
      </c>
      <c r="CY122" s="57">
        <v>0</v>
      </c>
      <c r="CZ122" s="57">
        <v>0</v>
      </c>
      <c r="DA122" s="57">
        <v>62</v>
      </c>
      <c r="DV122" s="79" t="s">
        <v>1686</v>
      </c>
      <c r="DW122" s="79" t="s">
        <v>25</v>
      </c>
      <c r="DX122" s="79">
        <v>152</v>
      </c>
      <c r="DY122" s="79">
        <v>118</v>
      </c>
      <c r="DZ122" s="79">
        <v>150</v>
      </c>
      <c r="EA122" s="79">
        <v>178</v>
      </c>
      <c r="EB122" s="79">
        <v>191</v>
      </c>
      <c r="EC122" s="79">
        <v>789</v>
      </c>
      <c r="ED122" s="79"/>
      <c r="EE122" s="79" t="s">
        <v>25</v>
      </c>
      <c r="EF122" s="79">
        <v>20</v>
      </c>
      <c r="EG122" s="79">
        <v>0</v>
      </c>
      <c r="EH122" s="79">
        <v>0</v>
      </c>
      <c r="EI122" s="79">
        <v>0</v>
      </c>
      <c r="EJ122" s="79">
        <v>0</v>
      </c>
      <c r="EK122" s="79">
        <v>20</v>
      </c>
      <c r="EN122" s="57" t="s">
        <v>1994</v>
      </c>
      <c r="EO122" s="57" t="s">
        <v>2032</v>
      </c>
      <c r="EP122" s="57">
        <v>73</v>
      </c>
      <c r="EQ122" s="57">
        <v>159</v>
      </c>
      <c r="ER122" s="57">
        <v>239</v>
      </c>
      <c r="ES122" s="57">
        <v>301</v>
      </c>
      <c r="ET122" s="57">
        <v>398</v>
      </c>
      <c r="EU122" s="57">
        <v>1170</v>
      </c>
      <c r="EV122" s="57"/>
      <c r="EW122" s="57" t="s">
        <v>2032</v>
      </c>
      <c r="EX122" s="57">
        <v>7</v>
      </c>
      <c r="EY122" s="57">
        <v>1</v>
      </c>
      <c r="EZ122" s="57">
        <v>4</v>
      </c>
      <c r="FA122" s="57">
        <v>2</v>
      </c>
      <c r="FB122" s="57">
        <v>0</v>
      </c>
      <c r="FC122" s="57">
        <v>14</v>
      </c>
      <c r="FF122" s="70" t="s">
        <v>2009</v>
      </c>
      <c r="FG122" s="70" t="s">
        <v>2028</v>
      </c>
      <c r="FH122" s="70">
        <v>170</v>
      </c>
      <c r="FI122" s="70">
        <v>264</v>
      </c>
      <c r="FJ122" s="70">
        <v>311</v>
      </c>
      <c r="FK122" s="70">
        <v>368</v>
      </c>
      <c r="FL122" s="70">
        <v>453</v>
      </c>
      <c r="FM122" s="70">
        <v>1566</v>
      </c>
      <c r="FN122" s="70"/>
      <c r="FO122" s="70" t="s">
        <v>2028</v>
      </c>
      <c r="FP122" s="70">
        <v>28</v>
      </c>
      <c r="FQ122" s="70">
        <v>8</v>
      </c>
      <c r="FR122" s="70">
        <v>3</v>
      </c>
      <c r="FS122" s="70">
        <v>1</v>
      </c>
      <c r="FT122" s="70">
        <v>1</v>
      </c>
      <c r="FU122" s="70">
        <v>41</v>
      </c>
    </row>
    <row r="123" spans="2:177">
      <c r="B123" s="64" t="s">
        <v>812</v>
      </c>
      <c r="C123" s="64" t="s">
        <v>2028</v>
      </c>
      <c r="D123" s="64">
        <v>222</v>
      </c>
      <c r="E123" s="64">
        <v>330</v>
      </c>
      <c r="F123" s="64">
        <v>371</v>
      </c>
      <c r="G123" s="64">
        <v>390</v>
      </c>
      <c r="H123" s="64">
        <v>357</v>
      </c>
      <c r="I123" s="64">
        <v>1670</v>
      </c>
      <c r="K123" s="64" t="s">
        <v>2028</v>
      </c>
      <c r="L123" s="64">
        <v>21</v>
      </c>
      <c r="M123" s="64">
        <v>1</v>
      </c>
      <c r="N123" s="64">
        <v>0</v>
      </c>
      <c r="O123" s="64">
        <v>0</v>
      </c>
      <c r="P123" s="64">
        <v>0</v>
      </c>
      <c r="Q123" s="64">
        <v>22</v>
      </c>
      <c r="T123" s="65" t="s">
        <v>971</v>
      </c>
      <c r="U123" s="65" t="s">
        <v>25</v>
      </c>
      <c r="V123" s="65">
        <v>452</v>
      </c>
      <c r="W123" s="65">
        <v>355</v>
      </c>
      <c r="X123" s="65">
        <v>580</v>
      </c>
      <c r="Y123" s="65">
        <v>745</v>
      </c>
      <c r="Z123" s="65">
        <v>566</v>
      </c>
      <c r="AA123" s="65">
        <v>2698</v>
      </c>
      <c r="AB123" s="65"/>
      <c r="AC123" s="65" t="s">
        <v>25</v>
      </c>
      <c r="AD123" s="65">
        <v>20</v>
      </c>
      <c r="AE123" s="65">
        <v>0</v>
      </c>
      <c r="AF123" s="65">
        <v>0</v>
      </c>
      <c r="AG123" s="65">
        <v>0</v>
      </c>
      <c r="AH123" s="65">
        <v>0</v>
      </c>
      <c r="AI123" s="65">
        <v>20</v>
      </c>
      <c r="AK123" s="66" t="s">
        <v>1120</v>
      </c>
      <c r="AL123" s="66" t="s">
        <v>2028</v>
      </c>
      <c r="AM123" s="66">
        <v>286</v>
      </c>
      <c r="AN123" s="66">
        <v>246</v>
      </c>
      <c r="AO123" s="66">
        <v>410</v>
      </c>
      <c r="AP123" s="66">
        <v>559</v>
      </c>
      <c r="AQ123" s="66">
        <v>512</v>
      </c>
      <c r="AR123" s="66">
        <v>2013</v>
      </c>
      <c r="AS123" s="66"/>
      <c r="AT123" s="66" t="s">
        <v>2028</v>
      </c>
      <c r="AU123" s="66">
        <v>53</v>
      </c>
      <c r="AV123" s="66">
        <v>1</v>
      </c>
      <c r="AW123" s="66">
        <v>0</v>
      </c>
      <c r="AX123" s="66">
        <v>1</v>
      </c>
      <c r="AY123" s="66">
        <v>0</v>
      </c>
      <c r="AZ123" s="66">
        <v>55</v>
      </c>
      <c r="BB123" s="69" t="s">
        <v>1389</v>
      </c>
      <c r="BC123" s="69" t="s">
        <v>2018</v>
      </c>
      <c r="BD123" s="69">
        <v>113</v>
      </c>
      <c r="BE123" s="69">
        <v>85</v>
      </c>
      <c r="BF123" s="69">
        <v>149</v>
      </c>
      <c r="BG123" s="69">
        <v>180</v>
      </c>
      <c r="BH123" s="69">
        <v>168</v>
      </c>
      <c r="BI123" s="69">
        <v>695</v>
      </c>
      <c r="BJ123" s="69"/>
      <c r="BK123" s="69" t="s">
        <v>2018</v>
      </c>
      <c r="BL123" s="69">
        <v>20</v>
      </c>
      <c r="BM123" s="69">
        <v>0</v>
      </c>
      <c r="BN123" s="69">
        <v>0</v>
      </c>
      <c r="BO123" s="69">
        <v>0</v>
      </c>
      <c r="BP123" s="69">
        <v>0</v>
      </c>
      <c r="BQ123" s="69">
        <v>20</v>
      </c>
      <c r="BS123" s="70" t="s">
        <v>1446</v>
      </c>
      <c r="BT123" s="70" t="s">
        <v>25</v>
      </c>
      <c r="BU123" s="70">
        <v>106</v>
      </c>
      <c r="BV123" s="70">
        <v>87</v>
      </c>
      <c r="BW123" s="70">
        <v>169</v>
      </c>
      <c r="BX123" s="70">
        <v>264</v>
      </c>
      <c r="BY123" s="70">
        <v>213</v>
      </c>
      <c r="BZ123" s="70">
        <v>839</v>
      </c>
      <c r="CA123" s="70"/>
      <c r="CB123" s="70" t="s">
        <v>25</v>
      </c>
      <c r="CC123" s="70">
        <v>28</v>
      </c>
      <c r="CD123" s="70">
        <v>0</v>
      </c>
      <c r="CE123" s="70">
        <v>0</v>
      </c>
      <c r="CF123" s="70">
        <v>0</v>
      </c>
      <c r="CG123" s="70">
        <v>0</v>
      </c>
      <c r="CH123" s="70">
        <v>28</v>
      </c>
      <c r="CL123" s="57" t="s">
        <v>553</v>
      </c>
      <c r="CM123" s="57" t="s">
        <v>2028</v>
      </c>
      <c r="CN123" s="57">
        <v>1198</v>
      </c>
      <c r="CO123" s="57">
        <v>1107</v>
      </c>
      <c r="CP123" s="57">
        <v>1132</v>
      </c>
      <c r="CQ123" s="57">
        <v>1264</v>
      </c>
      <c r="CR123" s="57">
        <v>884</v>
      </c>
      <c r="CS123" s="57">
        <v>5585</v>
      </c>
      <c r="CT123" s="57"/>
      <c r="CU123" s="57" t="s">
        <v>2028</v>
      </c>
      <c r="CV123" s="57">
        <v>375</v>
      </c>
      <c r="CW123" s="57">
        <v>6</v>
      </c>
      <c r="CX123" s="57">
        <v>0</v>
      </c>
      <c r="CY123" s="57">
        <v>0</v>
      </c>
      <c r="CZ123" s="57">
        <v>0</v>
      </c>
      <c r="DA123" s="57">
        <v>381</v>
      </c>
      <c r="DV123" s="79" t="s">
        <v>1689</v>
      </c>
      <c r="DW123" s="79" t="s">
        <v>25</v>
      </c>
      <c r="DX123" s="79">
        <v>152</v>
      </c>
      <c r="DY123" s="79">
        <v>121</v>
      </c>
      <c r="DZ123" s="79">
        <v>153</v>
      </c>
      <c r="EA123" s="79">
        <v>224</v>
      </c>
      <c r="EB123" s="79">
        <v>231</v>
      </c>
      <c r="EC123" s="79">
        <v>881</v>
      </c>
      <c r="ED123" s="79"/>
      <c r="EE123" s="79" t="s">
        <v>25</v>
      </c>
      <c r="EF123" s="79">
        <v>20</v>
      </c>
      <c r="EG123" s="79">
        <v>0</v>
      </c>
      <c r="EH123" s="79">
        <v>0</v>
      </c>
      <c r="EI123" s="79">
        <v>0</v>
      </c>
      <c r="EJ123" s="79">
        <v>0</v>
      </c>
      <c r="EK123" s="79">
        <v>20</v>
      </c>
      <c r="EN123" s="57" t="s">
        <v>1734</v>
      </c>
      <c r="EO123" s="57" t="s">
        <v>2032</v>
      </c>
      <c r="EP123" s="57">
        <v>360</v>
      </c>
      <c r="EQ123" s="57">
        <v>542</v>
      </c>
      <c r="ER123" s="57">
        <v>607</v>
      </c>
      <c r="ES123" s="57">
        <v>784</v>
      </c>
      <c r="ET123" s="57">
        <v>957</v>
      </c>
      <c r="EU123" s="57">
        <v>3250</v>
      </c>
      <c r="EV123" s="57"/>
      <c r="EW123" s="57" t="s">
        <v>2032</v>
      </c>
      <c r="EX123" s="57">
        <v>42</v>
      </c>
      <c r="EY123" s="57">
        <v>16</v>
      </c>
      <c r="EZ123" s="57">
        <v>7</v>
      </c>
      <c r="FA123" s="57">
        <v>14</v>
      </c>
      <c r="FB123" s="57">
        <v>9</v>
      </c>
      <c r="FC123" s="57">
        <v>88</v>
      </c>
      <c r="FF123" s="70" t="s">
        <v>1850</v>
      </c>
      <c r="FG123" s="70" t="s">
        <v>2028</v>
      </c>
      <c r="FH123" s="70">
        <v>455</v>
      </c>
      <c r="FI123" s="70">
        <v>549</v>
      </c>
      <c r="FJ123" s="70">
        <v>607</v>
      </c>
      <c r="FK123" s="70">
        <v>628</v>
      </c>
      <c r="FL123" s="70">
        <v>779</v>
      </c>
      <c r="FM123" s="70">
        <v>3018</v>
      </c>
      <c r="FN123" s="70"/>
      <c r="FO123" s="70" t="s">
        <v>2028</v>
      </c>
      <c r="FP123" s="70">
        <v>64</v>
      </c>
      <c r="FQ123" s="70">
        <v>17</v>
      </c>
      <c r="FR123" s="70">
        <v>15</v>
      </c>
      <c r="FS123" s="70">
        <v>7</v>
      </c>
      <c r="FT123" s="70">
        <v>18</v>
      </c>
      <c r="FU123" s="70">
        <v>121</v>
      </c>
    </row>
    <row r="124" spans="2:177">
      <c r="B124" s="64" t="s">
        <v>2020</v>
      </c>
      <c r="C124" s="64" t="s">
        <v>2028</v>
      </c>
      <c r="D124" s="64">
        <v>215</v>
      </c>
      <c r="E124" s="64">
        <v>260</v>
      </c>
      <c r="F124" s="64">
        <v>334</v>
      </c>
      <c r="G124" s="64">
        <v>414</v>
      </c>
      <c r="H124" s="64">
        <v>304</v>
      </c>
      <c r="I124" s="64">
        <v>1527</v>
      </c>
      <c r="K124" s="64" t="s">
        <v>2028</v>
      </c>
      <c r="L124" s="64">
        <v>16</v>
      </c>
      <c r="M124" s="64">
        <v>4</v>
      </c>
      <c r="N124" s="64">
        <v>0</v>
      </c>
      <c r="O124" s="64">
        <v>0</v>
      </c>
      <c r="P124" s="64">
        <v>0</v>
      </c>
      <c r="Q124" s="64">
        <v>20</v>
      </c>
      <c r="T124" s="65" t="s">
        <v>978</v>
      </c>
      <c r="U124" s="65" t="s">
        <v>25</v>
      </c>
      <c r="V124" s="65">
        <v>149</v>
      </c>
      <c r="W124" s="65">
        <v>131</v>
      </c>
      <c r="X124" s="65">
        <v>237</v>
      </c>
      <c r="Y124" s="65">
        <v>316</v>
      </c>
      <c r="Z124" s="65">
        <v>252</v>
      </c>
      <c r="AA124" s="65">
        <v>1085</v>
      </c>
      <c r="AB124" s="65"/>
      <c r="AC124" s="65" t="s">
        <v>25</v>
      </c>
      <c r="AD124" s="65">
        <v>11</v>
      </c>
      <c r="AE124" s="65">
        <v>0</v>
      </c>
      <c r="AF124" s="65">
        <v>0</v>
      </c>
      <c r="AG124" s="65">
        <v>0</v>
      </c>
      <c r="AH124" s="65">
        <v>0</v>
      </c>
      <c r="AI124" s="65">
        <v>11</v>
      </c>
      <c r="AK124" s="66" t="s">
        <v>1943</v>
      </c>
      <c r="AL124" s="66" t="s">
        <v>2028</v>
      </c>
      <c r="AM124" s="66">
        <v>560</v>
      </c>
      <c r="AN124" s="66">
        <v>357</v>
      </c>
      <c r="AO124" s="66">
        <v>427</v>
      </c>
      <c r="AP124" s="66">
        <v>555</v>
      </c>
      <c r="AQ124" s="66">
        <v>344</v>
      </c>
      <c r="AR124" s="66">
        <v>2243</v>
      </c>
      <c r="AS124" s="66"/>
      <c r="AT124" s="66" t="s">
        <v>2028</v>
      </c>
      <c r="AU124" s="66">
        <v>77</v>
      </c>
      <c r="AV124" s="66">
        <v>6</v>
      </c>
      <c r="AW124" s="66">
        <v>6</v>
      </c>
      <c r="AX124" s="66">
        <v>3</v>
      </c>
      <c r="AY124" s="66">
        <v>0</v>
      </c>
      <c r="AZ124" s="66">
        <v>92</v>
      </c>
      <c r="BB124" s="69" t="s">
        <v>1392</v>
      </c>
      <c r="BC124" s="69" t="s">
        <v>2018</v>
      </c>
      <c r="BD124" s="69">
        <v>203</v>
      </c>
      <c r="BE124" s="69">
        <v>95</v>
      </c>
      <c r="BF124" s="69">
        <v>142</v>
      </c>
      <c r="BG124" s="69">
        <v>184</v>
      </c>
      <c r="BH124" s="69">
        <v>185</v>
      </c>
      <c r="BI124" s="69">
        <v>809</v>
      </c>
      <c r="BJ124" s="69"/>
      <c r="BK124" s="69" t="s">
        <v>2018</v>
      </c>
      <c r="BL124" s="69">
        <v>24</v>
      </c>
      <c r="BM124" s="69">
        <v>0</v>
      </c>
      <c r="BN124" s="69">
        <v>0</v>
      </c>
      <c r="BO124" s="69">
        <v>0</v>
      </c>
      <c r="BP124" s="69">
        <v>0</v>
      </c>
      <c r="BQ124" s="69">
        <v>24</v>
      </c>
      <c r="BS124" s="70" t="s">
        <v>1448</v>
      </c>
      <c r="BT124" s="70" t="s">
        <v>25</v>
      </c>
      <c r="BU124" s="70">
        <v>82</v>
      </c>
      <c r="BV124" s="70">
        <v>42</v>
      </c>
      <c r="BW124" s="70">
        <v>70</v>
      </c>
      <c r="BX124" s="70">
        <v>95</v>
      </c>
      <c r="BY124" s="70">
        <v>139</v>
      </c>
      <c r="BZ124" s="70">
        <v>428</v>
      </c>
      <c r="CA124" s="70"/>
      <c r="CB124" s="70" t="s">
        <v>25</v>
      </c>
      <c r="CC124" s="70">
        <v>20</v>
      </c>
      <c r="CD124" s="70">
        <v>0</v>
      </c>
      <c r="CE124" s="70">
        <v>0</v>
      </c>
      <c r="CF124" s="70">
        <v>0</v>
      </c>
      <c r="CG124" s="70">
        <v>0</v>
      </c>
      <c r="CH124" s="70">
        <v>20</v>
      </c>
      <c r="CL124" s="57" t="s">
        <v>555</v>
      </c>
      <c r="CM124" s="57" t="s">
        <v>2028</v>
      </c>
      <c r="CN124" s="57">
        <v>534</v>
      </c>
      <c r="CO124" s="57">
        <v>431</v>
      </c>
      <c r="CP124" s="57">
        <v>738</v>
      </c>
      <c r="CQ124" s="57">
        <v>1125</v>
      </c>
      <c r="CR124" s="57">
        <v>1084</v>
      </c>
      <c r="CS124" s="57">
        <v>3912</v>
      </c>
      <c r="CT124" s="57"/>
      <c r="CU124" s="57" t="s">
        <v>2028</v>
      </c>
      <c r="CV124" s="57">
        <v>160</v>
      </c>
      <c r="CW124" s="57">
        <v>0</v>
      </c>
      <c r="CX124" s="57">
        <v>0</v>
      </c>
      <c r="CY124" s="57">
        <v>0</v>
      </c>
      <c r="CZ124" s="57">
        <v>0</v>
      </c>
      <c r="DA124" s="57">
        <v>160</v>
      </c>
      <c r="DV124" s="79" t="s">
        <v>1692</v>
      </c>
      <c r="DW124" s="79" t="s">
        <v>25</v>
      </c>
      <c r="DX124" s="79">
        <v>630</v>
      </c>
      <c r="DY124" s="79">
        <v>408</v>
      </c>
      <c r="DZ124" s="79">
        <v>322</v>
      </c>
      <c r="EA124" s="79">
        <v>305</v>
      </c>
      <c r="EB124" s="79">
        <v>253</v>
      </c>
      <c r="EC124" s="79">
        <v>1918</v>
      </c>
      <c r="ED124" s="79"/>
      <c r="EE124" s="79" t="s">
        <v>25</v>
      </c>
      <c r="EF124" s="79">
        <v>27</v>
      </c>
      <c r="EG124" s="79">
        <v>0</v>
      </c>
      <c r="EH124" s="79">
        <v>0</v>
      </c>
      <c r="EI124" s="79">
        <v>0</v>
      </c>
      <c r="EJ124" s="79">
        <v>0</v>
      </c>
      <c r="EK124" s="79">
        <v>27</v>
      </c>
      <c r="EN124" s="57" t="s">
        <v>1737</v>
      </c>
      <c r="EO124" s="57" t="s">
        <v>2032</v>
      </c>
      <c r="EP124" s="57">
        <v>216</v>
      </c>
      <c r="EQ124" s="57">
        <v>384</v>
      </c>
      <c r="ER124" s="57">
        <v>432</v>
      </c>
      <c r="ES124" s="57">
        <v>587</v>
      </c>
      <c r="ET124" s="57">
        <v>709</v>
      </c>
      <c r="EU124" s="57">
        <v>2328</v>
      </c>
      <c r="EV124" s="57"/>
      <c r="EW124" s="57" t="s">
        <v>2032</v>
      </c>
      <c r="EX124" s="57">
        <v>45</v>
      </c>
      <c r="EY124" s="57">
        <v>13</v>
      </c>
      <c r="EZ124" s="57">
        <v>12</v>
      </c>
      <c r="FA124" s="57">
        <v>8</v>
      </c>
      <c r="FB124" s="57">
        <v>10</v>
      </c>
      <c r="FC124" s="57">
        <v>88</v>
      </c>
      <c r="FF124" s="70" t="s">
        <v>1851</v>
      </c>
      <c r="FG124" s="70" t="s">
        <v>2028</v>
      </c>
      <c r="FH124" s="70">
        <v>476</v>
      </c>
      <c r="FI124" s="70">
        <v>491</v>
      </c>
      <c r="FJ124" s="70">
        <v>416</v>
      </c>
      <c r="FK124" s="70">
        <v>424</v>
      </c>
      <c r="FL124" s="70">
        <v>534</v>
      </c>
      <c r="FM124" s="70">
        <v>2341</v>
      </c>
      <c r="FN124" s="70"/>
      <c r="FO124" s="70" t="s">
        <v>2028</v>
      </c>
      <c r="FP124" s="70">
        <v>83</v>
      </c>
      <c r="FQ124" s="70">
        <v>14</v>
      </c>
      <c r="FR124" s="70">
        <v>8</v>
      </c>
      <c r="FS124" s="70">
        <v>3</v>
      </c>
      <c r="FT124" s="70">
        <v>4</v>
      </c>
      <c r="FU124" s="70">
        <v>112</v>
      </c>
    </row>
    <row r="125" spans="2:177">
      <c r="B125" s="64" t="s">
        <v>2021</v>
      </c>
      <c r="C125" s="64" t="s">
        <v>2028</v>
      </c>
      <c r="D125" s="64">
        <v>811</v>
      </c>
      <c r="E125" s="64">
        <v>604</v>
      </c>
      <c r="F125" s="64">
        <v>498</v>
      </c>
      <c r="G125" s="64">
        <v>558</v>
      </c>
      <c r="H125" s="64">
        <v>682</v>
      </c>
      <c r="I125" s="64">
        <v>3153</v>
      </c>
      <c r="K125" s="64" t="s">
        <v>2028</v>
      </c>
      <c r="L125" s="64">
        <v>333</v>
      </c>
      <c r="M125" s="64">
        <v>95</v>
      </c>
      <c r="N125" s="64">
        <v>65</v>
      </c>
      <c r="O125" s="64">
        <v>78</v>
      </c>
      <c r="P125" s="64">
        <v>111</v>
      </c>
      <c r="Q125" s="64">
        <v>682</v>
      </c>
      <c r="T125" s="65" t="s">
        <v>984</v>
      </c>
      <c r="U125" s="65" t="s">
        <v>25</v>
      </c>
      <c r="V125" s="65">
        <v>606</v>
      </c>
      <c r="W125" s="65">
        <v>504</v>
      </c>
      <c r="X125" s="65">
        <v>638</v>
      </c>
      <c r="Y125" s="65">
        <v>726</v>
      </c>
      <c r="Z125" s="65">
        <v>540</v>
      </c>
      <c r="AA125" s="65">
        <v>3014</v>
      </c>
      <c r="AB125" s="65"/>
      <c r="AC125" s="65" t="s">
        <v>25</v>
      </c>
      <c r="AD125" s="65">
        <v>17</v>
      </c>
      <c r="AE125" s="65">
        <v>0</v>
      </c>
      <c r="AF125" s="65">
        <v>0</v>
      </c>
      <c r="AG125" s="65">
        <v>0</v>
      </c>
      <c r="AH125" s="65">
        <v>0</v>
      </c>
      <c r="AI125" s="65">
        <v>17</v>
      </c>
      <c r="AK125" s="66" t="s">
        <v>1921</v>
      </c>
      <c r="AL125" s="66" t="s">
        <v>2028</v>
      </c>
      <c r="AM125" s="66">
        <v>409</v>
      </c>
      <c r="AN125" s="66">
        <v>395</v>
      </c>
      <c r="AO125" s="66">
        <v>710</v>
      </c>
      <c r="AP125" s="66">
        <v>754</v>
      </c>
      <c r="AQ125" s="66">
        <v>601</v>
      </c>
      <c r="AR125" s="66">
        <v>2869</v>
      </c>
      <c r="AS125" s="66"/>
      <c r="AT125" s="66" t="s">
        <v>2028</v>
      </c>
      <c r="AU125" s="66">
        <v>35</v>
      </c>
      <c r="AV125" s="66">
        <v>5</v>
      </c>
      <c r="AW125" s="66">
        <v>3</v>
      </c>
      <c r="AX125" s="66">
        <v>4</v>
      </c>
      <c r="AY125" s="66">
        <v>2</v>
      </c>
      <c r="AZ125" s="66">
        <v>49</v>
      </c>
      <c r="BS125" s="70" t="s">
        <v>1450</v>
      </c>
      <c r="BT125" s="70" t="s">
        <v>25</v>
      </c>
      <c r="BU125" s="70">
        <v>140</v>
      </c>
      <c r="BV125" s="70">
        <v>95</v>
      </c>
      <c r="BW125" s="70">
        <v>101</v>
      </c>
      <c r="BX125" s="70">
        <v>98</v>
      </c>
      <c r="BY125" s="70">
        <v>109</v>
      </c>
      <c r="BZ125" s="70">
        <v>543</v>
      </c>
      <c r="CA125" s="70"/>
      <c r="CB125" s="70" t="s">
        <v>25</v>
      </c>
      <c r="CC125" s="70">
        <v>46</v>
      </c>
      <c r="CD125" s="70">
        <v>3</v>
      </c>
      <c r="CE125" s="70">
        <v>1</v>
      </c>
      <c r="CF125" s="70">
        <v>0</v>
      </c>
      <c r="CG125" s="70">
        <v>0</v>
      </c>
      <c r="CH125" s="70">
        <v>50</v>
      </c>
      <c r="CL125" s="57" t="s">
        <v>557</v>
      </c>
      <c r="CM125" s="57" t="s">
        <v>2028</v>
      </c>
      <c r="CN125" s="57">
        <v>238</v>
      </c>
      <c r="CO125" s="57">
        <v>302</v>
      </c>
      <c r="CP125" s="57">
        <v>536</v>
      </c>
      <c r="CQ125" s="57">
        <v>857</v>
      </c>
      <c r="CR125" s="57">
        <v>847</v>
      </c>
      <c r="CS125" s="57">
        <v>2780</v>
      </c>
      <c r="CT125" s="57"/>
      <c r="CU125" s="57" t="s">
        <v>2028</v>
      </c>
      <c r="CV125" s="57">
        <v>36</v>
      </c>
      <c r="CW125" s="57">
        <v>0</v>
      </c>
      <c r="CX125" s="57">
        <v>0</v>
      </c>
      <c r="CY125" s="57">
        <v>0</v>
      </c>
      <c r="CZ125" s="57">
        <v>0</v>
      </c>
      <c r="DA125" s="57">
        <v>36</v>
      </c>
      <c r="DU125" s="16" t="s">
        <v>1695</v>
      </c>
      <c r="DV125" s="79" t="s">
        <v>2658</v>
      </c>
      <c r="DW125" s="79" t="s">
        <v>25</v>
      </c>
      <c r="DX125" s="79">
        <v>197</v>
      </c>
      <c r="DY125" s="79">
        <v>98</v>
      </c>
      <c r="DZ125" s="79">
        <v>168</v>
      </c>
      <c r="EA125" s="79">
        <v>134</v>
      </c>
      <c r="EB125" s="79">
        <v>153</v>
      </c>
      <c r="EC125" s="79">
        <v>750</v>
      </c>
      <c r="ED125" s="79"/>
      <c r="EE125" s="79" t="s">
        <v>25</v>
      </c>
      <c r="EF125" s="79">
        <v>29</v>
      </c>
      <c r="EG125" s="79">
        <v>0</v>
      </c>
      <c r="EH125" s="79">
        <v>0</v>
      </c>
      <c r="EI125" s="79">
        <v>0</v>
      </c>
      <c r="EJ125" s="79">
        <v>0</v>
      </c>
      <c r="EK125" s="79">
        <v>29</v>
      </c>
      <c r="EN125" s="57" t="s">
        <v>1740</v>
      </c>
      <c r="EO125" s="57" t="s">
        <v>2032</v>
      </c>
      <c r="EP125" s="57">
        <v>63</v>
      </c>
      <c r="EQ125" s="57">
        <v>132</v>
      </c>
      <c r="ER125" s="57">
        <v>239</v>
      </c>
      <c r="ES125" s="57">
        <v>369</v>
      </c>
      <c r="ET125" s="57">
        <v>415</v>
      </c>
      <c r="EU125" s="57">
        <v>1218</v>
      </c>
      <c r="EV125" s="57"/>
      <c r="EW125" s="57" t="s">
        <v>2032</v>
      </c>
      <c r="EX125" s="57">
        <v>5</v>
      </c>
      <c r="EY125" s="57">
        <v>1</v>
      </c>
      <c r="EZ125" s="57">
        <v>1</v>
      </c>
      <c r="FA125" s="57">
        <v>0</v>
      </c>
      <c r="FB125" s="57">
        <v>2</v>
      </c>
      <c r="FC125" s="57">
        <v>9</v>
      </c>
      <c r="FF125" s="70" t="s">
        <v>1852</v>
      </c>
      <c r="FG125" s="70" t="s">
        <v>2028</v>
      </c>
      <c r="FH125" s="70">
        <v>179</v>
      </c>
      <c r="FI125" s="70">
        <v>306</v>
      </c>
      <c r="FJ125" s="70">
        <v>330</v>
      </c>
      <c r="FK125" s="70">
        <v>402</v>
      </c>
      <c r="FL125" s="70">
        <v>513</v>
      </c>
      <c r="FM125" s="70">
        <v>1730</v>
      </c>
      <c r="FN125" s="70"/>
      <c r="FO125" s="70" t="s">
        <v>2028</v>
      </c>
      <c r="FP125" s="70">
        <v>23</v>
      </c>
      <c r="FQ125" s="70">
        <v>13</v>
      </c>
      <c r="FR125" s="70">
        <v>6</v>
      </c>
      <c r="FS125" s="70">
        <v>5</v>
      </c>
      <c r="FT125" s="70">
        <v>7</v>
      </c>
      <c r="FU125" s="70">
        <v>54</v>
      </c>
    </row>
    <row r="126" spans="2:177">
      <c r="B126" s="64" t="s">
        <v>2023</v>
      </c>
      <c r="C126" s="64" t="s">
        <v>2028</v>
      </c>
      <c r="D126" s="64">
        <v>690</v>
      </c>
      <c r="E126" s="64">
        <v>566</v>
      </c>
      <c r="F126" s="64">
        <v>448</v>
      </c>
      <c r="G126" s="64">
        <v>548</v>
      </c>
      <c r="H126" s="64">
        <v>698</v>
      </c>
      <c r="I126" s="64">
        <v>2950</v>
      </c>
      <c r="K126" s="64" t="s">
        <v>2028</v>
      </c>
      <c r="L126" s="64">
        <v>152</v>
      </c>
      <c r="M126" s="64">
        <v>40</v>
      </c>
      <c r="N126" s="64">
        <v>27</v>
      </c>
      <c r="O126" s="64">
        <v>25</v>
      </c>
      <c r="P126" s="64">
        <v>37</v>
      </c>
      <c r="Q126" s="64">
        <v>281</v>
      </c>
      <c r="T126" s="65" t="s">
        <v>993</v>
      </c>
      <c r="U126" s="65" t="s">
        <v>25</v>
      </c>
      <c r="V126" s="65">
        <v>238</v>
      </c>
      <c r="W126" s="65">
        <v>153</v>
      </c>
      <c r="X126" s="65">
        <v>286</v>
      </c>
      <c r="Y126" s="65">
        <v>392</v>
      </c>
      <c r="Z126" s="65">
        <v>322</v>
      </c>
      <c r="AA126" s="65">
        <v>1391</v>
      </c>
      <c r="AB126" s="65"/>
      <c r="AC126" s="65" t="s">
        <v>25</v>
      </c>
      <c r="AD126" s="65">
        <v>39</v>
      </c>
      <c r="AE126" s="65">
        <v>1</v>
      </c>
      <c r="AF126" s="65">
        <v>0</v>
      </c>
      <c r="AG126" s="65">
        <v>0</v>
      </c>
      <c r="AH126" s="65">
        <v>0</v>
      </c>
      <c r="AI126" s="65">
        <v>40</v>
      </c>
      <c r="AK126" s="66" t="s">
        <v>1946</v>
      </c>
      <c r="AL126" s="66" t="s">
        <v>2028</v>
      </c>
      <c r="AM126" s="66">
        <v>564</v>
      </c>
      <c r="AN126" s="66">
        <v>563</v>
      </c>
      <c r="AO126" s="66">
        <v>690</v>
      </c>
      <c r="AP126" s="66">
        <v>750</v>
      </c>
      <c r="AQ126" s="66">
        <v>549</v>
      </c>
      <c r="AR126" s="66">
        <v>3116</v>
      </c>
      <c r="AS126" s="66"/>
      <c r="AT126" s="66" t="s">
        <v>2028</v>
      </c>
      <c r="AU126" s="66">
        <v>22</v>
      </c>
      <c r="AV126" s="66">
        <v>1</v>
      </c>
      <c r="AW126" s="66">
        <v>3</v>
      </c>
      <c r="AX126" s="66">
        <v>0</v>
      </c>
      <c r="AY126" s="66">
        <v>0</v>
      </c>
      <c r="AZ126" s="66">
        <v>26</v>
      </c>
      <c r="BB126" s="69" t="s">
        <v>1152</v>
      </c>
      <c r="BC126" s="69" t="s">
        <v>2028</v>
      </c>
      <c r="BD126" s="69">
        <v>160</v>
      </c>
      <c r="BE126" s="69">
        <v>201</v>
      </c>
      <c r="BF126" s="69">
        <v>378</v>
      </c>
      <c r="BG126" s="69">
        <v>540</v>
      </c>
      <c r="BH126" s="69">
        <v>497</v>
      </c>
      <c r="BI126" s="69">
        <v>1776</v>
      </c>
      <c r="BJ126" s="69"/>
      <c r="BK126" s="69" t="s">
        <v>2028</v>
      </c>
      <c r="BL126" s="69">
        <v>20</v>
      </c>
      <c r="BM126" s="69">
        <v>0</v>
      </c>
      <c r="BN126" s="69">
        <v>0</v>
      </c>
      <c r="BO126" s="69">
        <v>0</v>
      </c>
      <c r="BP126" s="69">
        <v>0</v>
      </c>
      <c r="BQ126" s="69">
        <v>20</v>
      </c>
      <c r="BS126" s="70" t="s">
        <v>1454</v>
      </c>
      <c r="BT126" s="70" t="s">
        <v>25</v>
      </c>
      <c r="BU126" s="70">
        <v>118</v>
      </c>
      <c r="BV126" s="70">
        <v>72</v>
      </c>
      <c r="BW126" s="70">
        <v>79</v>
      </c>
      <c r="BX126" s="70">
        <v>98</v>
      </c>
      <c r="BY126" s="70">
        <v>78</v>
      </c>
      <c r="BZ126" s="70">
        <v>445</v>
      </c>
      <c r="CA126" s="70"/>
      <c r="CB126" s="70" t="s">
        <v>25</v>
      </c>
      <c r="CC126" s="70">
        <v>34</v>
      </c>
      <c r="CD126" s="70">
        <v>3</v>
      </c>
      <c r="CE126" s="70">
        <v>0</v>
      </c>
      <c r="CF126" s="70">
        <v>0</v>
      </c>
      <c r="CG126" s="70">
        <v>0</v>
      </c>
      <c r="CH126" s="70">
        <v>37</v>
      </c>
      <c r="CL126" s="57" t="s">
        <v>559</v>
      </c>
      <c r="CM126" s="57" t="s">
        <v>2028</v>
      </c>
      <c r="CN126" s="57">
        <v>86</v>
      </c>
      <c r="CO126" s="57">
        <v>54</v>
      </c>
      <c r="CP126" s="57">
        <v>69</v>
      </c>
      <c r="CQ126" s="57">
        <v>115</v>
      </c>
      <c r="CR126" s="57">
        <v>129</v>
      </c>
      <c r="CS126" s="57">
        <v>453</v>
      </c>
      <c r="CT126" s="57"/>
      <c r="CU126" s="57" t="s">
        <v>2028</v>
      </c>
      <c r="CV126" s="57">
        <v>41</v>
      </c>
      <c r="CW126" s="57">
        <v>0</v>
      </c>
      <c r="CX126" s="57">
        <v>0</v>
      </c>
      <c r="CY126" s="57">
        <v>0</v>
      </c>
      <c r="CZ126" s="57">
        <v>0</v>
      </c>
      <c r="DA126" s="57">
        <v>41</v>
      </c>
      <c r="DU126" s="16" t="s">
        <v>1698</v>
      </c>
      <c r="DV126" s="79" t="s">
        <v>2661</v>
      </c>
      <c r="DW126" s="79" t="s">
        <v>25</v>
      </c>
      <c r="DX126" s="79">
        <v>341</v>
      </c>
      <c r="DY126" s="79">
        <v>297</v>
      </c>
      <c r="DZ126" s="79">
        <v>336</v>
      </c>
      <c r="EA126" s="79">
        <v>336</v>
      </c>
      <c r="EB126" s="79">
        <v>277</v>
      </c>
      <c r="EC126" s="79">
        <v>1587</v>
      </c>
      <c r="ED126" s="79"/>
      <c r="EE126" s="79" t="s">
        <v>25</v>
      </c>
      <c r="EF126" s="79">
        <v>26</v>
      </c>
      <c r="EG126" s="79">
        <v>0</v>
      </c>
      <c r="EH126" s="79">
        <v>0</v>
      </c>
      <c r="EI126" s="79">
        <v>0</v>
      </c>
      <c r="EJ126" s="79">
        <v>0</v>
      </c>
      <c r="EK126" s="79">
        <v>26</v>
      </c>
      <c r="EN126" s="57" t="s">
        <v>1995</v>
      </c>
      <c r="EO126" s="57" t="s">
        <v>2032</v>
      </c>
      <c r="EP126" s="57">
        <v>159</v>
      </c>
      <c r="EQ126" s="57">
        <v>162</v>
      </c>
      <c r="ER126" s="57">
        <v>175</v>
      </c>
      <c r="ES126" s="57">
        <v>232</v>
      </c>
      <c r="ET126" s="57">
        <v>334</v>
      </c>
      <c r="EU126" s="57">
        <v>1062</v>
      </c>
      <c r="EV126" s="57"/>
      <c r="EW126" s="57" t="s">
        <v>2032</v>
      </c>
      <c r="EX126" s="57">
        <v>11</v>
      </c>
      <c r="EY126" s="57">
        <v>1</v>
      </c>
      <c r="EZ126" s="57">
        <v>0</v>
      </c>
      <c r="FA126" s="57">
        <v>1</v>
      </c>
      <c r="FB126" s="57">
        <v>1</v>
      </c>
      <c r="FC126" s="57">
        <v>14</v>
      </c>
      <c r="FF126" s="70" t="s">
        <v>1853</v>
      </c>
      <c r="FG126" s="70" t="s">
        <v>2028</v>
      </c>
      <c r="FH126" s="70">
        <v>226</v>
      </c>
      <c r="FI126" s="70">
        <v>429</v>
      </c>
      <c r="FJ126" s="70">
        <v>510</v>
      </c>
      <c r="FK126" s="70">
        <v>544</v>
      </c>
      <c r="FL126" s="70">
        <v>734</v>
      </c>
      <c r="FM126" s="70">
        <v>2443</v>
      </c>
      <c r="FN126" s="70"/>
      <c r="FO126" s="70" t="s">
        <v>2028</v>
      </c>
      <c r="FP126" s="70">
        <v>34</v>
      </c>
      <c r="FQ126" s="70">
        <v>19</v>
      </c>
      <c r="FR126" s="70">
        <v>11</v>
      </c>
      <c r="FS126" s="70">
        <v>5</v>
      </c>
      <c r="FT126" s="70">
        <v>15</v>
      </c>
      <c r="FU126" s="70">
        <v>84</v>
      </c>
    </row>
    <row r="127" spans="2:177">
      <c r="B127" s="64" t="s">
        <v>818</v>
      </c>
      <c r="C127" s="64" t="s">
        <v>2028</v>
      </c>
      <c r="D127" s="64">
        <v>103</v>
      </c>
      <c r="E127" s="64">
        <v>188</v>
      </c>
      <c r="F127" s="64">
        <v>392</v>
      </c>
      <c r="G127" s="64">
        <v>574</v>
      </c>
      <c r="H127" s="64">
        <v>449</v>
      </c>
      <c r="I127" s="64">
        <v>1706</v>
      </c>
      <c r="K127" s="64" t="s">
        <v>2028</v>
      </c>
      <c r="L127" s="64">
        <v>16</v>
      </c>
      <c r="M127" s="64">
        <v>0</v>
      </c>
      <c r="N127" s="64">
        <v>0</v>
      </c>
      <c r="O127" s="64">
        <v>1</v>
      </c>
      <c r="P127" s="64">
        <v>0</v>
      </c>
      <c r="Q127" s="64">
        <v>17</v>
      </c>
      <c r="T127" s="65" t="s">
        <v>999</v>
      </c>
      <c r="U127" s="65" t="s">
        <v>25</v>
      </c>
      <c r="V127" s="65">
        <v>186</v>
      </c>
      <c r="W127" s="65">
        <v>234</v>
      </c>
      <c r="X127" s="65">
        <v>339</v>
      </c>
      <c r="Y127" s="65">
        <v>467</v>
      </c>
      <c r="Z127" s="65">
        <v>408</v>
      </c>
      <c r="AA127" s="65">
        <v>1634</v>
      </c>
      <c r="AB127" s="65"/>
      <c r="AC127" s="65" t="s">
        <v>25</v>
      </c>
      <c r="AD127" s="65">
        <v>21</v>
      </c>
      <c r="AE127" s="65">
        <v>3</v>
      </c>
      <c r="AF127" s="65">
        <v>1</v>
      </c>
      <c r="AG127" s="65">
        <v>0</v>
      </c>
      <c r="AH127" s="65">
        <v>1</v>
      </c>
      <c r="AI127" s="65">
        <v>26</v>
      </c>
      <c r="AK127" s="66" t="s">
        <v>1123</v>
      </c>
      <c r="AL127" s="66" t="s">
        <v>2028</v>
      </c>
      <c r="AM127" s="66">
        <v>371</v>
      </c>
      <c r="AN127" s="66">
        <v>400</v>
      </c>
      <c r="AO127" s="66">
        <v>495</v>
      </c>
      <c r="AP127" s="66">
        <v>598</v>
      </c>
      <c r="AQ127" s="66">
        <v>444</v>
      </c>
      <c r="AR127" s="66">
        <v>2308</v>
      </c>
      <c r="AS127" s="66"/>
      <c r="AT127" s="66" t="s">
        <v>2028</v>
      </c>
      <c r="AU127" s="66">
        <v>38</v>
      </c>
      <c r="AV127" s="66">
        <v>5</v>
      </c>
      <c r="AW127" s="66">
        <v>2</v>
      </c>
      <c r="AX127" s="66">
        <v>1</v>
      </c>
      <c r="AY127" s="66">
        <v>0</v>
      </c>
      <c r="AZ127" s="66">
        <v>46</v>
      </c>
      <c r="BB127" s="69" t="s">
        <v>1155</v>
      </c>
      <c r="BC127" s="69" t="s">
        <v>2028</v>
      </c>
      <c r="BD127" s="69">
        <v>309</v>
      </c>
      <c r="BE127" s="69">
        <v>185</v>
      </c>
      <c r="BF127" s="69">
        <v>353</v>
      </c>
      <c r="BG127" s="69">
        <v>441</v>
      </c>
      <c r="BH127" s="69">
        <v>408</v>
      </c>
      <c r="BI127" s="69">
        <v>1696</v>
      </c>
      <c r="BJ127" s="69"/>
      <c r="BK127" s="69" t="s">
        <v>2028</v>
      </c>
      <c r="BL127" s="69">
        <v>84</v>
      </c>
      <c r="BM127" s="69">
        <v>0</v>
      </c>
      <c r="BN127" s="69">
        <v>0</v>
      </c>
      <c r="BO127" s="69">
        <v>0</v>
      </c>
      <c r="BP127" s="69">
        <v>0</v>
      </c>
      <c r="BQ127" s="69">
        <v>84</v>
      </c>
      <c r="BS127" s="70" t="s">
        <v>1458</v>
      </c>
      <c r="BT127" s="70" t="s">
        <v>25</v>
      </c>
      <c r="BU127" s="70">
        <v>58</v>
      </c>
      <c r="BV127" s="70">
        <v>52</v>
      </c>
      <c r="BW127" s="70">
        <v>111</v>
      </c>
      <c r="BX127" s="70">
        <v>240</v>
      </c>
      <c r="BY127" s="70">
        <v>195</v>
      </c>
      <c r="BZ127" s="70">
        <v>656</v>
      </c>
      <c r="CA127" s="70"/>
      <c r="CB127" s="70" t="s">
        <v>25</v>
      </c>
      <c r="CC127" s="70">
        <v>20</v>
      </c>
      <c r="CD127" s="70">
        <v>0</v>
      </c>
      <c r="CE127" s="70">
        <v>0</v>
      </c>
      <c r="CF127" s="70">
        <v>0</v>
      </c>
      <c r="CG127" s="70">
        <v>0</v>
      </c>
      <c r="CH127" s="70">
        <v>20</v>
      </c>
      <c r="CL127" s="57" t="s">
        <v>561</v>
      </c>
      <c r="CM127" s="57" t="s">
        <v>2028</v>
      </c>
      <c r="CN127" s="57">
        <v>81</v>
      </c>
      <c r="CO127" s="57">
        <v>115</v>
      </c>
      <c r="CP127" s="57">
        <v>219</v>
      </c>
      <c r="CQ127" s="57">
        <v>387</v>
      </c>
      <c r="CR127" s="57">
        <v>382</v>
      </c>
      <c r="CS127" s="57">
        <v>1184</v>
      </c>
      <c r="CT127" s="57"/>
      <c r="CU127" s="57" t="s">
        <v>2028</v>
      </c>
      <c r="CV127" s="57">
        <v>20</v>
      </c>
      <c r="CW127" s="57">
        <v>0</v>
      </c>
      <c r="CX127" s="57">
        <v>0</v>
      </c>
      <c r="CY127" s="57">
        <v>0</v>
      </c>
      <c r="CZ127" s="57">
        <v>0</v>
      </c>
      <c r="DA127" s="57">
        <v>20</v>
      </c>
      <c r="DV127" s="79" t="s">
        <v>1701</v>
      </c>
      <c r="DW127" s="79" t="s">
        <v>25</v>
      </c>
      <c r="DX127" s="79">
        <v>115</v>
      </c>
      <c r="DY127" s="79">
        <v>106</v>
      </c>
      <c r="DZ127" s="79">
        <v>150</v>
      </c>
      <c r="EA127" s="79">
        <v>197</v>
      </c>
      <c r="EB127" s="79">
        <v>184</v>
      </c>
      <c r="EC127" s="79">
        <v>752</v>
      </c>
      <c r="ED127" s="79"/>
      <c r="EE127" s="79" t="s">
        <v>25</v>
      </c>
      <c r="EF127" s="79">
        <v>14</v>
      </c>
      <c r="EG127" s="79">
        <v>1</v>
      </c>
      <c r="EH127" s="79">
        <v>0</v>
      </c>
      <c r="EI127" s="79">
        <v>0</v>
      </c>
      <c r="EJ127" s="79">
        <v>0</v>
      </c>
      <c r="EK127" s="79">
        <v>15</v>
      </c>
      <c r="EN127" s="57" t="s">
        <v>1996</v>
      </c>
      <c r="EO127" s="57" t="s">
        <v>2032</v>
      </c>
      <c r="EP127" s="57">
        <v>43</v>
      </c>
      <c r="EQ127" s="57">
        <v>124</v>
      </c>
      <c r="ER127" s="57">
        <v>168</v>
      </c>
      <c r="ES127" s="57">
        <v>275</v>
      </c>
      <c r="ET127" s="57">
        <v>348</v>
      </c>
      <c r="EU127" s="57">
        <v>958</v>
      </c>
      <c r="EV127" s="57"/>
      <c r="EW127" s="57" t="s">
        <v>2032</v>
      </c>
      <c r="EX127" s="57">
        <v>6</v>
      </c>
      <c r="EY127" s="57">
        <v>5</v>
      </c>
      <c r="EZ127" s="57">
        <v>0</v>
      </c>
      <c r="FA127" s="57">
        <v>0</v>
      </c>
      <c r="FB127" s="57">
        <v>2</v>
      </c>
      <c r="FC127" s="57">
        <v>13</v>
      </c>
      <c r="FF127" s="70" t="s">
        <v>1854</v>
      </c>
      <c r="FG127" s="70" t="s">
        <v>2028</v>
      </c>
      <c r="FH127" s="70">
        <v>319</v>
      </c>
      <c r="FI127" s="70">
        <v>301</v>
      </c>
      <c r="FJ127" s="70">
        <v>359</v>
      </c>
      <c r="FK127" s="70">
        <v>374</v>
      </c>
      <c r="FL127" s="70">
        <v>469</v>
      </c>
      <c r="FM127" s="70">
        <v>1822</v>
      </c>
      <c r="FN127" s="70"/>
      <c r="FO127" s="70" t="s">
        <v>2028</v>
      </c>
      <c r="FP127" s="70">
        <v>36</v>
      </c>
      <c r="FQ127" s="70">
        <v>5</v>
      </c>
      <c r="FR127" s="70">
        <v>6</v>
      </c>
      <c r="FS127" s="70">
        <v>6</v>
      </c>
      <c r="FT127" s="70">
        <v>3</v>
      </c>
      <c r="FU127" s="70">
        <v>56</v>
      </c>
    </row>
    <row r="128" spans="2:177">
      <c r="B128" s="64" t="s">
        <v>822</v>
      </c>
      <c r="C128" s="64" t="s">
        <v>2028</v>
      </c>
      <c r="D128" s="64">
        <v>397</v>
      </c>
      <c r="E128" s="64">
        <v>454</v>
      </c>
      <c r="F128" s="64">
        <v>569</v>
      </c>
      <c r="G128" s="64">
        <v>640</v>
      </c>
      <c r="H128" s="64">
        <v>478</v>
      </c>
      <c r="I128" s="64">
        <v>2538</v>
      </c>
      <c r="K128" s="64" t="s">
        <v>2028</v>
      </c>
      <c r="L128" s="64">
        <v>32</v>
      </c>
      <c r="M128" s="64">
        <v>6</v>
      </c>
      <c r="N128" s="64">
        <v>3</v>
      </c>
      <c r="O128" s="64">
        <v>1</v>
      </c>
      <c r="P128" s="64">
        <v>1</v>
      </c>
      <c r="Q128" s="64">
        <v>43</v>
      </c>
      <c r="T128" s="65" t="s">
        <v>1004</v>
      </c>
      <c r="U128" s="65" t="s">
        <v>25</v>
      </c>
      <c r="V128" s="65">
        <v>846</v>
      </c>
      <c r="W128" s="65">
        <v>1002</v>
      </c>
      <c r="X128" s="65">
        <v>993</v>
      </c>
      <c r="Y128" s="65">
        <v>1080</v>
      </c>
      <c r="Z128" s="65">
        <v>966</v>
      </c>
      <c r="AA128" s="65">
        <v>4887</v>
      </c>
      <c r="AB128" s="65"/>
      <c r="AC128" s="65" t="s">
        <v>25</v>
      </c>
      <c r="AD128" s="65">
        <v>160</v>
      </c>
      <c r="AE128" s="65">
        <v>34</v>
      </c>
      <c r="AF128" s="65">
        <v>6</v>
      </c>
      <c r="AG128" s="65">
        <v>5</v>
      </c>
      <c r="AH128" s="65">
        <v>4</v>
      </c>
      <c r="AI128" s="65">
        <v>209</v>
      </c>
      <c r="AK128" s="66" t="s">
        <v>1126</v>
      </c>
      <c r="AL128" s="66" t="s">
        <v>2028</v>
      </c>
      <c r="AM128" s="66">
        <v>1043</v>
      </c>
      <c r="AN128" s="66">
        <v>459</v>
      </c>
      <c r="AO128" s="66">
        <v>480</v>
      </c>
      <c r="AP128" s="66">
        <v>568</v>
      </c>
      <c r="AQ128" s="66">
        <v>346</v>
      </c>
      <c r="AR128" s="66">
        <v>2896</v>
      </c>
      <c r="AS128" s="66"/>
      <c r="AT128" s="66" t="s">
        <v>2028</v>
      </c>
      <c r="AU128" s="66">
        <v>64</v>
      </c>
      <c r="AV128" s="66">
        <v>1</v>
      </c>
      <c r="AW128" s="66">
        <v>0</v>
      </c>
      <c r="AX128" s="66">
        <v>0</v>
      </c>
      <c r="AY128" s="66">
        <v>0</v>
      </c>
      <c r="AZ128" s="66">
        <v>65</v>
      </c>
      <c r="BB128" s="69" t="s">
        <v>1159</v>
      </c>
      <c r="BC128" s="69" t="s">
        <v>2028</v>
      </c>
      <c r="BD128" s="69">
        <v>245</v>
      </c>
      <c r="BE128" s="69">
        <v>244</v>
      </c>
      <c r="BF128" s="69">
        <v>500</v>
      </c>
      <c r="BG128" s="69">
        <v>695</v>
      </c>
      <c r="BH128" s="69">
        <v>615</v>
      </c>
      <c r="BI128" s="69">
        <v>2299</v>
      </c>
      <c r="BJ128" s="69"/>
      <c r="BK128" s="69" t="s">
        <v>2028</v>
      </c>
      <c r="BL128" s="69">
        <v>16</v>
      </c>
      <c r="BM128" s="69">
        <v>0</v>
      </c>
      <c r="BN128" s="69">
        <v>0</v>
      </c>
      <c r="BO128" s="69">
        <v>0</v>
      </c>
      <c r="BP128" s="69">
        <v>0</v>
      </c>
      <c r="BQ128" s="69">
        <v>16</v>
      </c>
      <c r="BS128" s="70" t="s">
        <v>1462</v>
      </c>
      <c r="BT128" s="70" t="s">
        <v>25</v>
      </c>
      <c r="BU128" s="70">
        <v>43</v>
      </c>
      <c r="BV128" s="70">
        <v>53</v>
      </c>
      <c r="BW128" s="70">
        <v>115</v>
      </c>
      <c r="BX128" s="70">
        <v>178</v>
      </c>
      <c r="BY128" s="70">
        <v>183</v>
      </c>
      <c r="BZ128" s="70">
        <v>572</v>
      </c>
      <c r="CA128" s="70"/>
      <c r="CB128" s="70" t="s">
        <v>25</v>
      </c>
      <c r="CC128" s="70">
        <v>15</v>
      </c>
      <c r="CD128" s="70">
        <v>0</v>
      </c>
      <c r="CE128" s="70">
        <v>0</v>
      </c>
      <c r="CF128" s="70">
        <v>0</v>
      </c>
      <c r="CG128" s="70">
        <v>0</v>
      </c>
      <c r="CH128" s="70">
        <v>15</v>
      </c>
      <c r="CL128" s="57" t="s">
        <v>563</v>
      </c>
      <c r="CM128" s="57" t="s">
        <v>2028</v>
      </c>
      <c r="CN128" s="57">
        <v>33</v>
      </c>
      <c r="CO128" s="57">
        <v>26</v>
      </c>
      <c r="CP128" s="57">
        <v>90</v>
      </c>
      <c r="CQ128" s="57">
        <v>116</v>
      </c>
      <c r="CR128" s="57">
        <v>130</v>
      </c>
      <c r="CS128" s="57">
        <v>395</v>
      </c>
      <c r="CT128" s="57"/>
      <c r="CU128" s="57" t="s">
        <v>2028</v>
      </c>
      <c r="CV128" s="57">
        <v>12</v>
      </c>
      <c r="CW128" s="57">
        <v>0</v>
      </c>
      <c r="CX128" s="57">
        <v>0</v>
      </c>
      <c r="CY128" s="57">
        <v>0</v>
      </c>
      <c r="CZ128" s="57">
        <v>0</v>
      </c>
      <c r="DA128" s="57">
        <v>12</v>
      </c>
      <c r="EN128" s="57" t="s">
        <v>1997</v>
      </c>
      <c r="EO128" s="57" t="s">
        <v>2032</v>
      </c>
      <c r="EP128" s="57">
        <v>38</v>
      </c>
      <c r="EQ128" s="57">
        <v>65</v>
      </c>
      <c r="ER128" s="57">
        <v>146</v>
      </c>
      <c r="ES128" s="57">
        <v>207</v>
      </c>
      <c r="ET128" s="57">
        <v>262</v>
      </c>
      <c r="EU128" s="57">
        <v>718</v>
      </c>
      <c r="EV128" s="57"/>
      <c r="EW128" s="57" t="s">
        <v>2032</v>
      </c>
      <c r="EX128" s="57">
        <v>3</v>
      </c>
      <c r="EY128" s="57">
        <v>0</v>
      </c>
      <c r="EZ128" s="57">
        <v>2</v>
      </c>
      <c r="FA128" s="57">
        <v>0</v>
      </c>
      <c r="FB128" s="57">
        <v>0</v>
      </c>
      <c r="FC128" s="57">
        <v>5</v>
      </c>
      <c r="FF128" s="70" t="s">
        <v>1857</v>
      </c>
      <c r="FG128" s="70" t="s">
        <v>2028</v>
      </c>
      <c r="FH128" s="70">
        <v>285</v>
      </c>
      <c r="FI128" s="70">
        <v>364</v>
      </c>
      <c r="FJ128" s="70">
        <v>460</v>
      </c>
      <c r="FK128" s="70">
        <v>458</v>
      </c>
      <c r="FL128" s="70">
        <v>574</v>
      </c>
      <c r="FM128" s="70">
        <v>2141</v>
      </c>
      <c r="FN128" s="70"/>
      <c r="FO128" s="70" t="s">
        <v>2028</v>
      </c>
      <c r="FP128" s="70">
        <v>21</v>
      </c>
      <c r="FQ128" s="70">
        <v>8</v>
      </c>
      <c r="FR128" s="70">
        <v>5</v>
      </c>
      <c r="FS128" s="70">
        <v>4</v>
      </c>
      <c r="FT128" s="70">
        <v>7</v>
      </c>
      <c r="FU128" s="70">
        <v>45</v>
      </c>
    </row>
    <row r="129" spans="1:177">
      <c r="B129" s="64" t="s">
        <v>826</v>
      </c>
      <c r="C129" s="64" t="s">
        <v>2028</v>
      </c>
      <c r="D129" s="64">
        <v>162</v>
      </c>
      <c r="E129" s="64">
        <v>218</v>
      </c>
      <c r="F129" s="64">
        <v>305</v>
      </c>
      <c r="G129" s="64">
        <v>382</v>
      </c>
      <c r="H129" s="64">
        <v>263</v>
      </c>
      <c r="I129" s="64">
        <v>1330</v>
      </c>
      <c r="K129" s="64" t="s">
        <v>2028</v>
      </c>
      <c r="L129" s="64">
        <v>20</v>
      </c>
      <c r="M129" s="64">
        <v>1</v>
      </c>
      <c r="N129" s="64">
        <v>0</v>
      </c>
      <c r="O129" s="64">
        <v>0</v>
      </c>
      <c r="P129" s="64">
        <v>0</v>
      </c>
      <c r="Q129" s="64">
        <v>21</v>
      </c>
      <c r="T129" s="65" t="s">
        <v>1009</v>
      </c>
      <c r="U129" s="65" t="s">
        <v>25</v>
      </c>
      <c r="V129" s="65">
        <v>722</v>
      </c>
      <c r="W129" s="65">
        <v>711</v>
      </c>
      <c r="X129" s="65">
        <v>829</v>
      </c>
      <c r="Y129" s="65">
        <v>919</v>
      </c>
      <c r="Z129" s="65">
        <v>701</v>
      </c>
      <c r="AA129" s="65">
        <v>3882</v>
      </c>
      <c r="AB129" s="65"/>
      <c r="AC129" s="65" t="s">
        <v>25</v>
      </c>
      <c r="AD129" s="65">
        <v>126</v>
      </c>
      <c r="AE129" s="65">
        <v>9</v>
      </c>
      <c r="AF129" s="65">
        <v>1</v>
      </c>
      <c r="AG129" s="65">
        <v>0</v>
      </c>
      <c r="AH129" s="65">
        <v>0</v>
      </c>
      <c r="AI129" s="65">
        <v>136</v>
      </c>
      <c r="AK129" s="66" t="s">
        <v>1131</v>
      </c>
      <c r="AL129" s="66" t="s">
        <v>2028</v>
      </c>
      <c r="AM129" s="66">
        <v>227</v>
      </c>
      <c r="AN129" s="66">
        <v>278</v>
      </c>
      <c r="AO129" s="66">
        <v>451</v>
      </c>
      <c r="AP129" s="66">
        <v>549</v>
      </c>
      <c r="AQ129" s="66">
        <v>475</v>
      </c>
      <c r="AR129" s="66">
        <v>1980</v>
      </c>
      <c r="AS129" s="66"/>
      <c r="AT129" s="66" t="s">
        <v>2028</v>
      </c>
      <c r="AU129" s="66">
        <v>34</v>
      </c>
      <c r="AV129" s="66">
        <v>3</v>
      </c>
      <c r="AW129" s="66">
        <v>4</v>
      </c>
      <c r="AX129" s="66">
        <v>0</v>
      </c>
      <c r="AY129" s="66">
        <v>0</v>
      </c>
      <c r="AZ129" s="66">
        <v>41</v>
      </c>
      <c r="BB129" s="69" t="s">
        <v>1162</v>
      </c>
      <c r="BC129" s="69" t="s">
        <v>2028</v>
      </c>
      <c r="BD129" s="69">
        <v>117</v>
      </c>
      <c r="BE129" s="69">
        <v>160</v>
      </c>
      <c r="BF129" s="69">
        <v>306</v>
      </c>
      <c r="BG129" s="69">
        <v>458</v>
      </c>
      <c r="BH129" s="69">
        <v>375</v>
      </c>
      <c r="BI129" s="69">
        <v>1416</v>
      </c>
      <c r="BJ129" s="69"/>
      <c r="BK129" s="69" t="s">
        <v>2028</v>
      </c>
      <c r="BL129" s="69">
        <v>21</v>
      </c>
      <c r="BM129" s="69">
        <v>0</v>
      </c>
      <c r="BN129" s="69">
        <v>0</v>
      </c>
      <c r="BO129" s="69">
        <v>0</v>
      </c>
      <c r="BP129" s="69">
        <v>0</v>
      </c>
      <c r="BQ129" s="69">
        <v>21</v>
      </c>
      <c r="BS129" s="70" t="s">
        <v>1464</v>
      </c>
      <c r="BT129" s="70" t="s">
        <v>25</v>
      </c>
      <c r="BU129" s="70">
        <v>33</v>
      </c>
      <c r="BV129" s="70">
        <v>53</v>
      </c>
      <c r="BW129" s="70">
        <v>113</v>
      </c>
      <c r="BX129" s="70">
        <v>157</v>
      </c>
      <c r="BY129" s="70">
        <v>149</v>
      </c>
      <c r="BZ129" s="70">
        <v>505</v>
      </c>
      <c r="CA129" s="70"/>
      <c r="CB129" s="70" t="s">
        <v>25</v>
      </c>
      <c r="CC129" s="70">
        <v>8</v>
      </c>
      <c r="CD129" s="70">
        <v>0</v>
      </c>
      <c r="CE129" s="70">
        <v>0</v>
      </c>
      <c r="CF129" s="70">
        <v>0</v>
      </c>
      <c r="CG129" s="70">
        <v>0</v>
      </c>
      <c r="CH129" s="70">
        <v>8</v>
      </c>
      <c r="CL129" s="57" t="s">
        <v>565</v>
      </c>
      <c r="CM129" s="57" t="s">
        <v>2028</v>
      </c>
      <c r="CN129" s="57">
        <v>68</v>
      </c>
      <c r="CO129" s="57">
        <v>73</v>
      </c>
      <c r="CP129" s="57">
        <v>144</v>
      </c>
      <c r="CQ129" s="57">
        <v>184</v>
      </c>
      <c r="CR129" s="57">
        <v>180</v>
      </c>
      <c r="CS129" s="57">
        <v>649</v>
      </c>
      <c r="CT129" s="57"/>
      <c r="CU129" s="57" t="s">
        <v>2028</v>
      </c>
      <c r="CV129" s="57">
        <v>16</v>
      </c>
      <c r="CW129" s="57">
        <v>0</v>
      </c>
      <c r="CX129" s="57">
        <v>0</v>
      </c>
      <c r="CY129" s="57">
        <v>0</v>
      </c>
      <c r="CZ129" s="57">
        <v>0</v>
      </c>
      <c r="DA129" s="57">
        <v>16</v>
      </c>
      <c r="DT129" s="16" t="s">
        <v>2022</v>
      </c>
      <c r="DU129" s="16" t="s">
        <v>1627</v>
      </c>
      <c r="DV129" s="79" t="s">
        <v>2664</v>
      </c>
      <c r="DW129" s="79" t="s">
        <v>2098</v>
      </c>
      <c r="DX129" s="79">
        <v>647</v>
      </c>
      <c r="DY129" s="79">
        <v>506</v>
      </c>
      <c r="DZ129" s="79">
        <v>648</v>
      </c>
      <c r="EA129" s="79">
        <v>690</v>
      </c>
      <c r="EB129" s="79">
        <v>555</v>
      </c>
      <c r="EC129" s="79">
        <v>3046</v>
      </c>
      <c r="ED129" s="79"/>
      <c r="EE129" s="79" t="s">
        <v>2098</v>
      </c>
      <c r="EF129" s="79">
        <v>41</v>
      </c>
      <c r="EG129" s="79">
        <v>2</v>
      </c>
      <c r="EH129" s="79">
        <v>0</v>
      </c>
      <c r="EI129" s="79">
        <v>0</v>
      </c>
      <c r="EJ129" s="79">
        <v>0</v>
      </c>
      <c r="EK129" s="79">
        <v>43</v>
      </c>
      <c r="EN129" s="57" t="s">
        <v>1747</v>
      </c>
      <c r="EO129" s="57" t="s">
        <v>2032</v>
      </c>
      <c r="EP129" s="57">
        <v>115</v>
      </c>
      <c r="EQ129" s="57">
        <v>314</v>
      </c>
      <c r="ER129" s="57">
        <v>384</v>
      </c>
      <c r="ES129" s="57">
        <v>520</v>
      </c>
      <c r="ET129" s="57">
        <v>639</v>
      </c>
      <c r="EU129" s="57">
        <v>1972</v>
      </c>
      <c r="EV129" s="57"/>
      <c r="EW129" s="57" t="s">
        <v>2032</v>
      </c>
      <c r="EX129" s="57">
        <v>20</v>
      </c>
      <c r="EY129" s="57">
        <v>7</v>
      </c>
      <c r="EZ129" s="57">
        <v>2</v>
      </c>
      <c r="FA129" s="57">
        <v>3</v>
      </c>
      <c r="FB129" s="57">
        <v>2</v>
      </c>
      <c r="FC129" s="57">
        <v>34</v>
      </c>
      <c r="FF129" s="70" t="s">
        <v>1859</v>
      </c>
      <c r="FG129" s="70" t="s">
        <v>2028</v>
      </c>
      <c r="FH129" s="70">
        <v>101</v>
      </c>
      <c r="FI129" s="70">
        <v>164</v>
      </c>
      <c r="FJ129" s="70">
        <v>206</v>
      </c>
      <c r="FK129" s="70">
        <v>213</v>
      </c>
      <c r="FL129" s="70">
        <v>338</v>
      </c>
      <c r="FM129" s="70">
        <v>1022</v>
      </c>
      <c r="FN129" s="70"/>
      <c r="FO129" s="70" t="s">
        <v>2028</v>
      </c>
      <c r="FP129" s="70">
        <v>17</v>
      </c>
      <c r="FQ129" s="70">
        <v>2</v>
      </c>
      <c r="FR129" s="70">
        <v>3</v>
      </c>
      <c r="FS129" s="70">
        <v>0</v>
      </c>
      <c r="FT129" s="70">
        <v>3</v>
      </c>
      <c r="FU129" s="70">
        <v>25</v>
      </c>
    </row>
    <row r="130" spans="1:177">
      <c r="A130" s="21" t="s">
        <v>2029</v>
      </c>
      <c r="B130" s="124" t="s">
        <v>1891</v>
      </c>
      <c r="C130" s="64" t="s">
        <v>2028</v>
      </c>
      <c r="D130" s="64">
        <v>172</v>
      </c>
      <c r="E130" s="64">
        <v>296</v>
      </c>
      <c r="F130" s="64">
        <v>440</v>
      </c>
      <c r="G130" s="64">
        <v>581</v>
      </c>
      <c r="H130" s="64">
        <v>453</v>
      </c>
      <c r="I130" s="64">
        <v>1942</v>
      </c>
      <c r="K130" s="64" t="s">
        <v>2028</v>
      </c>
      <c r="L130" s="64">
        <v>28</v>
      </c>
      <c r="M130" s="64">
        <v>1</v>
      </c>
      <c r="N130" s="64">
        <v>2</v>
      </c>
      <c r="O130" s="64">
        <v>4</v>
      </c>
      <c r="P130" s="64">
        <v>2</v>
      </c>
      <c r="Q130" s="64">
        <v>37</v>
      </c>
      <c r="T130" s="65" t="s">
        <v>1014</v>
      </c>
      <c r="U130" s="65" t="s">
        <v>25</v>
      </c>
      <c r="V130" s="65">
        <v>515</v>
      </c>
      <c r="W130" s="65">
        <v>376</v>
      </c>
      <c r="X130" s="65">
        <v>395</v>
      </c>
      <c r="Y130" s="65">
        <v>406</v>
      </c>
      <c r="Z130" s="65">
        <v>346</v>
      </c>
      <c r="AA130" s="65">
        <v>2038</v>
      </c>
      <c r="AB130" s="65"/>
      <c r="AC130" s="65" t="s">
        <v>25</v>
      </c>
      <c r="AD130" s="65">
        <v>12</v>
      </c>
      <c r="AE130" s="65">
        <v>1</v>
      </c>
      <c r="AF130" s="65">
        <v>1</v>
      </c>
      <c r="AG130" s="65">
        <v>0</v>
      </c>
      <c r="AH130" s="65">
        <v>0</v>
      </c>
      <c r="AI130" s="65">
        <v>14</v>
      </c>
      <c r="AK130" s="66" t="s">
        <v>1950</v>
      </c>
      <c r="AL130" s="66" t="s">
        <v>2028</v>
      </c>
      <c r="AM130" s="66">
        <v>619</v>
      </c>
      <c r="AN130" s="66">
        <v>952</v>
      </c>
      <c r="AO130" s="66">
        <v>1398</v>
      </c>
      <c r="AP130" s="66">
        <v>1531</v>
      </c>
      <c r="AQ130" s="66">
        <v>881</v>
      </c>
      <c r="AR130" s="66">
        <v>5381</v>
      </c>
      <c r="AS130" s="66"/>
      <c r="AT130" s="66" t="s">
        <v>2028</v>
      </c>
      <c r="AU130" s="66">
        <v>42</v>
      </c>
      <c r="AV130" s="66">
        <v>5</v>
      </c>
      <c r="AW130" s="66">
        <v>0</v>
      </c>
      <c r="AX130" s="66">
        <v>0</v>
      </c>
      <c r="AY130" s="66">
        <v>2</v>
      </c>
      <c r="AZ130" s="66">
        <v>49</v>
      </c>
      <c r="BB130" s="69" t="s">
        <v>1165</v>
      </c>
      <c r="BC130" s="69" t="s">
        <v>2028</v>
      </c>
      <c r="BD130" s="69">
        <v>268</v>
      </c>
      <c r="BE130" s="69">
        <v>222</v>
      </c>
      <c r="BF130" s="69">
        <v>268</v>
      </c>
      <c r="BG130" s="69">
        <v>303</v>
      </c>
      <c r="BH130" s="69">
        <v>289</v>
      </c>
      <c r="BI130" s="69">
        <v>1350</v>
      </c>
      <c r="BJ130" s="69"/>
      <c r="BK130" s="69" t="s">
        <v>2028</v>
      </c>
      <c r="BL130" s="69">
        <v>48</v>
      </c>
      <c r="BM130" s="69">
        <v>5</v>
      </c>
      <c r="BN130" s="69">
        <v>0</v>
      </c>
      <c r="BO130" s="69">
        <v>0</v>
      </c>
      <c r="BP130" s="69">
        <v>0</v>
      </c>
      <c r="BQ130" s="69">
        <v>53</v>
      </c>
      <c r="BS130" s="70" t="s">
        <v>1466</v>
      </c>
      <c r="BT130" s="70" t="s">
        <v>25</v>
      </c>
      <c r="BU130" s="70">
        <v>63</v>
      </c>
      <c r="BV130" s="70">
        <v>51</v>
      </c>
      <c r="BW130" s="70">
        <v>97</v>
      </c>
      <c r="BX130" s="70">
        <v>140</v>
      </c>
      <c r="BY130" s="70">
        <v>159</v>
      </c>
      <c r="BZ130" s="70">
        <v>510</v>
      </c>
      <c r="CA130" s="70"/>
      <c r="CB130" s="70" t="s">
        <v>25</v>
      </c>
      <c r="CC130" s="70">
        <v>24</v>
      </c>
      <c r="CD130" s="70">
        <v>0</v>
      </c>
      <c r="CE130" s="70">
        <v>0</v>
      </c>
      <c r="CF130" s="70">
        <v>0</v>
      </c>
      <c r="CG130" s="70">
        <v>0</v>
      </c>
      <c r="CH130" s="70">
        <v>24</v>
      </c>
      <c r="CL130" s="57" t="s">
        <v>569</v>
      </c>
      <c r="CM130" s="57" t="s">
        <v>2028</v>
      </c>
      <c r="CN130" s="57">
        <v>48</v>
      </c>
      <c r="CO130" s="57">
        <v>78</v>
      </c>
      <c r="CP130" s="57">
        <v>114</v>
      </c>
      <c r="CQ130" s="57">
        <v>161</v>
      </c>
      <c r="CR130" s="57">
        <v>161</v>
      </c>
      <c r="CS130" s="57">
        <v>562</v>
      </c>
      <c r="CT130" s="57"/>
      <c r="CU130" s="57" t="s">
        <v>2028</v>
      </c>
      <c r="CV130" s="57">
        <v>2</v>
      </c>
      <c r="CW130" s="57">
        <v>0</v>
      </c>
      <c r="CX130" s="57">
        <v>0</v>
      </c>
      <c r="CY130" s="57">
        <v>0</v>
      </c>
      <c r="CZ130" s="57">
        <v>0</v>
      </c>
      <c r="DA130" s="57">
        <v>2</v>
      </c>
      <c r="DT130" s="16" t="s">
        <v>2022</v>
      </c>
      <c r="DU130" s="16" t="s">
        <v>1632</v>
      </c>
      <c r="DV130" s="79" t="s">
        <v>2667</v>
      </c>
      <c r="DW130" s="79" t="s">
        <v>2098</v>
      </c>
      <c r="DX130" s="79">
        <v>210</v>
      </c>
      <c r="DY130" s="79">
        <v>277</v>
      </c>
      <c r="DZ130" s="79">
        <v>348</v>
      </c>
      <c r="EA130" s="79">
        <v>380</v>
      </c>
      <c r="EB130" s="79">
        <v>306</v>
      </c>
      <c r="EC130" s="79">
        <v>1521</v>
      </c>
      <c r="ED130" s="79"/>
      <c r="EE130" s="79" t="s">
        <v>2098</v>
      </c>
      <c r="EF130" s="79">
        <v>13</v>
      </c>
      <c r="EG130" s="79">
        <v>0</v>
      </c>
      <c r="EH130" s="79">
        <v>0</v>
      </c>
      <c r="EI130" s="79">
        <v>0</v>
      </c>
      <c r="EJ130" s="79">
        <v>0</v>
      </c>
      <c r="EK130" s="79">
        <v>13</v>
      </c>
      <c r="EN130" s="57" t="s">
        <v>1750</v>
      </c>
      <c r="EO130" s="57" t="s">
        <v>2032</v>
      </c>
      <c r="EP130" s="57">
        <v>482</v>
      </c>
      <c r="EQ130" s="57">
        <v>617</v>
      </c>
      <c r="ER130" s="57">
        <v>740</v>
      </c>
      <c r="ES130" s="57">
        <v>889</v>
      </c>
      <c r="ET130" s="57">
        <v>954</v>
      </c>
      <c r="EU130" s="57">
        <v>3682</v>
      </c>
      <c r="EV130" s="57"/>
      <c r="EW130" s="57" t="s">
        <v>2032</v>
      </c>
      <c r="EX130" s="57">
        <v>44</v>
      </c>
      <c r="EY130" s="57">
        <v>8</v>
      </c>
      <c r="EZ130" s="57">
        <v>9</v>
      </c>
      <c r="FA130" s="57">
        <v>7</v>
      </c>
      <c r="FB130" s="57">
        <v>7</v>
      </c>
      <c r="FC130" s="57">
        <v>75</v>
      </c>
      <c r="FF130" s="70" t="s">
        <v>1861</v>
      </c>
      <c r="FG130" s="70" t="s">
        <v>2028</v>
      </c>
      <c r="FH130" s="70">
        <v>349</v>
      </c>
      <c r="FI130" s="70">
        <v>265</v>
      </c>
      <c r="FJ130" s="70">
        <v>334</v>
      </c>
      <c r="FK130" s="70">
        <v>424</v>
      </c>
      <c r="FL130" s="70">
        <v>569</v>
      </c>
      <c r="FM130" s="70">
        <v>1941</v>
      </c>
      <c r="FN130" s="70"/>
      <c r="FO130" s="70" t="s">
        <v>2028</v>
      </c>
      <c r="FP130" s="70">
        <v>19</v>
      </c>
      <c r="FQ130" s="70">
        <v>6</v>
      </c>
      <c r="FR130" s="70">
        <v>6</v>
      </c>
      <c r="FS130" s="70">
        <v>2</v>
      </c>
      <c r="FT130" s="70">
        <v>4</v>
      </c>
      <c r="FU130" s="70">
        <v>37</v>
      </c>
    </row>
    <row r="131" spans="1:177">
      <c r="B131" s="64" t="s">
        <v>830</v>
      </c>
      <c r="C131" s="64" t="s">
        <v>2028</v>
      </c>
      <c r="D131" s="64">
        <v>700</v>
      </c>
      <c r="E131" s="64">
        <v>685</v>
      </c>
      <c r="F131" s="64">
        <v>1037</v>
      </c>
      <c r="G131" s="64">
        <v>1219</v>
      </c>
      <c r="H131" s="64">
        <v>935</v>
      </c>
      <c r="I131" s="64">
        <v>4576</v>
      </c>
      <c r="K131" s="64" t="s">
        <v>2028</v>
      </c>
      <c r="L131" s="64">
        <v>40</v>
      </c>
      <c r="M131" s="64">
        <v>1</v>
      </c>
      <c r="N131" s="64">
        <v>0</v>
      </c>
      <c r="O131" s="64">
        <v>2</v>
      </c>
      <c r="P131" s="64">
        <v>0</v>
      </c>
      <c r="Q131" s="64">
        <v>43</v>
      </c>
      <c r="T131" s="65" t="s">
        <v>1017</v>
      </c>
      <c r="U131" s="65" t="s">
        <v>25</v>
      </c>
      <c r="V131" s="65">
        <v>601</v>
      </c>
      <c r="W131" s="65">
        <v>671</v>
      </c>
      <c r="X131" s="65">
        <v>988</v>
      </c>
      <c r="Y131" s="65">
        <v>1239</v>
      </c>
      <c r="Z131" s="65">
        <v>1076</v>
      </c>
      <c r="AA131" s="65">
        <v>4575</v>
      </c>
      <c r="AB131" s="65"/>
      <c r="AC131" s="65" t="s">
        <v>25</v>
      </c>
      <c r="AD131" s="65">
        <v>22</v>
      </c>
      <c r="AE131" s="65">
        <v>5</v>
      </c>
      <c r="AF131" s="65">
        <v>0</v>
      </c>
      <c r="AG131" s="65">
        <v>0</v>
      </c>
      <c r="AH131" s="65">
        <v>0</v>
      </c>
      <c r="AI131" s="65">
        <v>27</v>
      </c>
      <c r="AK131" s="66" t="s">
        <v>1913</v>
      </c>
      <c r="AL131" s="66" t="s">
        <v>2028</v>
      </c>
      <c r="AM131" s="66">
        <v>264</v>
      </c>
      <c r="AN131" s="66">
        <v>446</v>
      </c>
      <c r="AO131" s="66">
        <v>777</v>
      </c>
      <c r="AP131" s="66">
        <v>847</v>
      </c>
      <c r="AQ131" s="66">
        <v>590</v>
      </c>
      <c r="AR131" s="66">
        <v>2924</v>
      </c>
      <c r="AS131" s="66"/>
      <c r="AT131" s="66" t="s">
        <v>2028</v>
      </c>
      <c r="AU131" s="66">
        <v>22</v>
      </c>
      <c r="AV131" s="66">
        <v>3</v>
      </c>
      <c r="AW131" s="66">
        <v>1</v>
      </c>
      <c r="AX131" s="66">
        <v>0</v>
      </c>
      <c r="AY131" s="66">
        <v>0</v>
      </c>
      <c r="AZ131" s="66">
        <v>26</v>
      </c>
      <c r="BB131" s="69" t="s">
        <v>1168</v>
      </c>
      <c r="BC131" s="69" t="s">
        <v>2028</v>
      </c>
      <c r="BD131" s="69">
        <v>261</v>
      </c>
      <c r="BE131" s="69">
        <v>215</v>
      </c>
      <c r="BF131" s="69">
        <v>299</v>
      </c>
      <c r="BG131" s="69">
        <v>333</v>
      </c>
      <c r="BH131" s="69">
        <v>246</v>
      </c>
      <c r="BI131" s="69">
        <v>1354</v>
      </c>
      <c r="BJ131" s="69"/>
      <c r="BK131" s="69" t="s">
        <v>2028</v>
      </c>
      <c r="BL131" s="69">
        <v>19</v>
      </c>
      <c r="BM131" s="69">
        <v>0</v>
      </c>
      <c r="BN131" s="69">
        <v>0</v>
      </c>
      <c r="BO131" s="69">
        <v>0</v>
      </c>
      <c r="BP131" s="69">
        <v>0</v>
      </c>
      <c r="BQ131" s="69">
        <v>19</v>
      </c>
      <c r="BS131" s="70" t="s">
        <v>1468</v>
      </c>
      <c r="BT131" s="70" t="s">
        <v>25</v>
      </c>
      <c r="BU131" s="70">
        <v>25</v>
      </c>
      <c r="BV131" s="70">
        <v>30</v>
      </c>
      <c r="BW131" s="70">
        <v>57</v>
      </c>
      <c r="BX131" s="70">
        <v>90</v>
      </c>
      <c r="BY131" s="70">
        <v>90</v>
      </c>
      <c r="BZ131" s="70">
        <v>292</v>
      </c>
      <c r="CA131" s="70"/>
      <c r="CB131" s="70" t="s">
        <v>25</v>
      </c>
      <c r="CC131" s="70">
        <v>9</v>
      </c>
      <c r="CD131" s="70">
        <v>0</v>
      </c>
      <c r="CE131" s="70">
        <v>0</v>
      </c>
      <c r="CF131" s="70">
        <v>0</v>
      </c>
      <c r="CG131" s="70">
        <v>0</v>
      </c>
      <c r="CH131" s="70">
        <v>9</v>
      </c>
      <c r="CL131" s="57" t="s">
        <v>571</v>
      </c>
      <c r="CM131" s="57" t="s">
        <v>2028</v>
      </c>
      <c r="CN131" s="57">
        <v>64</v>
      </c>
      <c r="CO131" s="57">
        <v>36</v>
      </c>
      <c r="CP131" s="57">
        <v>71</v>
      </c>
      <c r="CQ131" s="57">
        <v>93</v>
      </c>
      <c r="CR131" s="57">
        <v>89</v>
      </c>
      <c r="CS131" s="57">
        <v>353</v>
      </c>
      <c r="CT131" s="57"/>
      <c r="CU131" s="57" t="s">
        <v>2028</v>
      </c>
      <c r="CV131" s="57">
        <v>27</v>
      </c>
      <c r="CW131" s="57">
        <v>0</v>
      </c>
      <c r="CX131" s="57">
        <v>0</v>
      </c>
      <c r="CY131" s="57">
        <v>0</v>
      </c>
      <c r="CZ131" s="57">
        <v>0</v>
      </c>
      <c r="DA131" s="57">
        <v>27</v>
      </c>
      <c r="DT131" s="16" t="s">
        <v>2022</v>
      </c>
      <c r="DU131" s="16" t="s">
        <v>1636</v>
      </c>
      <c r="DV131" s="79" t="s">
        <v>2694</v>
      </c>
      <c r="DW131" s="79" t="s">
        <v>2098</v>
      </c>
      <c r="DX131" s="79">
        <v>598</v>
      </c>
      <c r="DY131" s="79">
        <v>778</v>
      </c>
      <c r="DZ131" s="79">
        <v>976</v>
      </c>
      <c r="EA131" s="79">
        <v>999</v>
      </c>
      <c r="EB131" s="79">
        <v>732</v>
      </c>
      <c r="EC131" s="79">
        <v>4083</v>
      </c>
      <c r="ED131" s="79"/>
      <c r="EE131" s="79" t="s">
        <v>2098</v>
      </c>
      <c r="EF131" s="79">
        <v>23</v>
      </c>
      <c r="EG131" s="79">
        <v>0</v>
      </c>
      <c r="EH131" s="79">
        <v>0</v>
      </c>
      <c r="EI131" s="79">
        <v>0</v>
      </c>
      <c r="EJ131" s="79">
        <v>0</v>
      </c>
      <c r="EK131" s="79">
        <v>23</v>
      </c>
      <c r="EN131" s="57" t="s">
        <v>1753</v>
      </c>
      <c r="EO131" s="57" t="s">
        <v>2032</v>
      </c>
      <c r="EP131" s="57">
        <v>308</v>
      </c>
      <c r="EQ131" s="57">
        <v>373</v>
      </c>
      <c r="ER131" s="57">
        <v>394</v>
      </c>
      <c r="ES131" s="57">
        <v>481</v>
      </c>
      <c r="ET131" s="57">
        <v>505</v>
      </c>
      <c r="EU131" s="57">
        <v>2061</v>
      </c>
      <c r="EV131" s="57"/>
      <c r="EW131" s="57" t="s">
        <v>2032</v>
      </c>
      <c r="EX131" s="57">
        <v>21</v>
      </c>
      <c r="EY131" s="57">
        <v>10</v>
      </c>
      <c r="EZ131" s="57">
        <v>2</v>
      </c>
      <c r="FA131" s="57">
        <v>2</v>
      </c>
      <c r="FB131" s="57">
        <v>5</v>
      </c>
      <c r="FC131" s="57">
        <v>40</v>
      </c>
      <c r="FF131" s="70" t="s">
        <v>1863</v>
      </c>
      <c r="FG131" s="70" t="s">
        <v>2028</v>
      </c>
      <c r="FH131" s="70">
        <v>145</v>
      </c>
      <c r="FI131" s="70">
        <v>207</v>
      </c>
      <c r="FJ131" s="70">
        <v>235</v>
      </c>
      <c r="FK131" s="70">
        <v>308</v>
      </c>
      <c r="FL131" s="70">
        <v>405</v>
      </c>
      <c r="FM131" s="70">
        <v>1300</v>
      </c>
      <c r="FN131" s="70"/>
      <c r="FO131" s="70" t="s">
        <v>2028</v>
      </c>
      <c r="FP131" s="70">
        <v>18</v>
      </c>
      <c r="FQ131" s="70">
        <v>6</v>
      </c>
      <c r="FR131" s="70">
        <v>2</v>
      </c>
      <c r="FS131" s="70">
        <v>2</v>
      </c>
      <c r="FT131" s="70">
        <v>1</v>
      </c>
      <c r="FU131" s="70">
        <v>29</v>
      </c>
    </row>
    <row r="132" spans="1:177">
      <c r="B132" s="64" t="s">
        <v>836</v>
      </c>
      <c r="C132" s="64" t="s">
        <v>2028</v>
      </c>
      <c r="D132" s="64">
        <v>258</v>
      </c>
      <c r="E132" s="64">
        <v>328</v>
      </c>
      <c r="F132" s="64">
        <v>479</v>
      </c>
      <c r="G132" s="64">
        <v>617</v>
      </c>
      <c r="H132" s="64">
        <v>480</v>
      </c>
      <c r="I132" s="64">
        <v>2162</v>
      </c>
      <c r="K132" s="64" t="s">
        <v>2028</v>
      </c>
      <c r="L132" s="64">
        <v>58</v>
      </c>
      <c r="M132" s="64">
        <v>7</v>
      </c>
      <c r="N132" s="64">
        <v>0</v>
      </c>
      <c r="O132" s="64">
        <v>0</v>
      </c>
      <c r="P132" s="64">
        <v>0</v>
      </c>
      <c r="Q132" s="64">
        <v>65</v>
      </c>
      <c r="T132" s="65" t="s">
        <v>1020</v>
      </c>
      <c r="U132" s="65" t="s">
        <v>25</v>
      </c>
      <c r="V132" s="65">
        <v>560</v>
      </c>
      <c r="W132" s="65">
        <v>392</v>
      </c>
      <c r="X132" s="65">
        <v>500</v>
      </c>
      <c r="Y132" s="65">
        <v>438</v>
      </c>
      <c r="Z132" s="65">
        <v>279</v>
      </c>
      <c r="AA132" s="65">
        <v>2169</v>
      </c>
      <c r="AB132" s="65"/>
      <c r="AC132" s="65" t="s">
        <v>25</v>
      </c>
      <c r="AD132" s="65">
        <v>38</v>
      </c>
      <c r="AE132" s="65">
        <v>0</v>
      </c>
      <c r="AF132" s="65">
        <v>0</v>
      </c>
      <c r="AG132" s="65">
        <v>0</v>
      </c>
      <c r="AH132" s="65">
        <v>0</v>
      </c>
      <c r="AI132" s="65">
        <v>38</v>
      </c>
      <c r="AK132" s="66" t="s">
        <v>1927</v>
      </c>
      <c r="AL132" s="66" t="s">
        <v>2028</v>
      </c>
      <c r="AM132" s="66">
        <v>197</v>
      </c>
      <c r="AN132" s="66">
        <v>324</v>
      </c>
      <c r="AO132" s="66">
        <v>554</v>
      </c>
      <c r="AP132" s="66">
        <v>853</v>
      </c>
      <c r="AQ132" s="66">
        <v>640</v>
      </c>
      <c r="AR132" s="66">
        <v>2568</v>
      </c>
      <c r="AS132" s="66"/>
      <c r="AT132" s="66" t="s">
        <v>2028</v>
      </c>
      <c r="AU132" s="66">
        <v>20</v>
      </c>
      <c r="AV132" s="66">
        <v>3</v>
      </c>
      <c r="AW132" s="66">
        <v>0</v>
      </c>
      <c r="AX132" s="66">
        <v>2</v>
      </c>
      <c r="AY132" s="66">
        <v>1</v>
      </c>
      <c r="AZ132" s="66">
        <v>26</v>
      </c>
      <c r="BB132" s="69" t="s">
        <v>1172</v>
      </c>
      <c r="BC132" s="69" t="s">
        <v>2028</v>
      </c>
      <c r="BD132" s="69">
        <v>342</v>
      </c>
      <c r="BE132" s="69">
        <v>253</v>
      </c>
      <c r="BF132" s="69">
        <v>419</v>
      </c>
      <c r="BG132" s="69">
        <v>531</v>
      </c>
      <c r="BH132" s="69">
        <v>461</v>
      </c>
      <c r="BI132" s="69">
        <v>2006</v>
      </c>
      <c r="BJ132" s="69"/>
      <c r="BK132" s="69" t="s">
        <v>2028</v>
      </c>
      <c r="BL132" s="69">
        <v>47</v>
      </c>
      <c r="BM132" s="69">
        <v>0</v>
      </c>
      <c r="BN132" s="69">
        <v>0</v>
      </c>
      <c r="BO132" s="69">
        <v>0</v>
      </c>
      <c r="BP132" s="69">
        <v>0</v>
      </c>
      <c r="BQ132" s="69">
        <v>47</v>
      </c>
      <c r="BS132" s="70" t="s">
        <v>1471</v>
      </c>
      <c r="BT132" s="70" t="s">
        <v>25</v>
      </c>
      <c r="BU132" s="70">
        <v>66</v>
      </c>
      <c r="BV132" s="70">
        <v>37</v>
      </c>
      <c r="BW132" s="70">
        <v>74</v>
      </c>
      <c r="BX132" s="70">
        <v>104</v>
      </c>
      <c r="BY132" s="70">
        <v>125</v>
      </c>
      <c r="BZ132" s="70">
        <v>406</v>
      </c>
      <c r="CA132" s="70"/>
      <c r="CB132" s="70" t="s">
        <v>25</v>
      </c>
      <c r="CC132" s="70">
        <v>20</v>
      </c>
      <c r="CD132" s="70">
        <v>0</v>
      </c>
      <c r="CE132" s="70">
        <v>0</v>
      </c>
      <c r="CF132" s="70">
        <v>0</v>
      </c>
      <c r="CG132" s="70">
        <v>0</v>
      </c>
      <c r="CH132" s="70">
        <v>20</v>
      </c>
      <c r="CL132" s="57" t="s">
        <v>573</v>
      </c>
      <c r="CM132" s="57" t="s">
        <v>2028</v>
      </c>
      <c r="CN132" s="57">
        <v>39</v>
      </c>
      <c r="CO132" s="57">
        <v>57</v>
      </c>
      <c r="CP132" s="57">
        <v>94</v>
      </c>
      <c r="CQ132" s="57">
        <v>120</v>
      </c>
      <c r="CR132" s="57">
        <v>125</v>
      </c>
      <c r="CS132" s="57">
        <v>435</v>
      </c>
      <c r="CT132" s="57"/>
      <c r="CU132" s="57" t="s">
        <v>2028</v>
      </c>
      <c r="CV132" s="57">
        <v>15</v>
      </c>
      <c r="CW132" s="57">
        <v>0</v>
      </c>
      <c r="CX132" s="57">
        <v>0</v>
      </c>
      <c r="CY132" s="57">
        <v>0</v>
      </c>
      <c r="CZ132" s="57">
        <v>0</v>
      </c>
      <c r="DA132" s="57">
        <v>15</v>
      </c>
      <c r="DT132" s="16" t="s">
        <v>2022</v>
      </c>
      <c r="DU132" s="16" t="s">
        <v>1640</v>
      </c>
      <c r="DV132" s="79" t="s">
        <v>2682</v>
      </c>
      <c r="DW132" s="79" t="s">
        <v>2098</v>
      </c>
      <c r="DX132" s="79">
        <v>513</v>
      </c>
      <c r="DY132" s="79">
        <v>548</v>
      </c>
      <c r="DZ132" s="79">
        <v>655</v>
      </c>
      <c r="EA132" s="79">
        <v>716</v>
      </c>
      <c r="EB132" s="79">
        <v>629</v>
      </c>
      <c r="EC132" s="79">
        <v>3061</v>
      </c>
      <c r="ED132" s="79"/>
      <c r="EE132" s="79" t="s">
        <v>2098</v>
      </c>
      <c r="EF132" s="79">
        <v>48</v>
      </c>
      <c r="EG132" s="79">
        <v>0</v>
      </c>
      <c r="EH132" s="79">
        <v>0</v>
      </c>
      <c r="EI132" s="79">
        <v>0</v>
      </c>
      <c r="EJ132" s="79">
        <v>0</v>
      </c>
      <c r="EK132" s="79">
        <v>48</v>
      </c>
      <c r="EN132" s="57" t="s">
        <v>1756</v>
      </c>
      <c r="EO132" s="57" t="s">
        <v>2032</v>
      </c>
      <c r="EP132" s="57">
        <v>70</v>
      </c>
      <c r="EQ132" s="57">
        <v>90</v>
      </c>
      <c r="ER132" s="57">
        <v>122</v>
      </c>
      <c r="ES132" s="57">
        <v>143</v>
      </c>
      <c r="ET132" s="57">
        <v>192</v>
      </c>
      <c r="EU132" s="57">
        <v>617</v>
      </c>
      <c r="EV132" s="57"/>
      <c r="EW132" s="57" t="s">
        <v>2032</v>
      </c>
      <c r="EX132" s="57">
        <v>20</v>
      </c>
      <c r="EY132" s="57">
        <v>2</v>
      </c>
      <c r="EZ132" s="57">
        <v>5</v>
      </c>
      <c r="FA132" s="57">
        <v>1</v>
      </c>
      <c r="FB132" s="57">
        <v>0</v>
      </c>
      <c r="FC132" s="57">
        <v>28</v>
      </c>
      <c r="FF132" s="70" t="s">
        <v>1865</v>
      </c>
      <c r="FG132" s="70" t="s">
        <v>2028</v>
      </c>
      <c r="FH132" s="70">
        <v>135</v>
      </c>
      <c r="FI132" s="70">
        <v>160</v>
      </c>
      <c r="FJ132" s="70">
        <v>213</v>
      </c>
      <c r="FK132" s="70">
        <v>246</v>
      </c>
      <c r="FL132" s="70">
        <v>357</v>
      </c>
      <c r="FM132" s="70">
        <v>1111</v>
      </c>
      <c r="FN132" s="70"/>
      <c r="FO132" s="70" t="s">
        <v>2028</v>
      </c>
      <c r="FP132" s="70">
        <v>12</v>
      </c>
      <c r="FQ132" s="70">
        <v>2</v>
      </c>
      <c r="FR132" s="70">
        <v>1</v>
      </c>
      <c r="FS132" s="70">
        <v>1</v>
      </c>
      <c r="FT132" s="70">
        <v>3</v>
      </c>
      <c r="FU132" s="70">
        <v>19</v>
      </c>
    </row>
    <row r="133" spans="1:177">
      <c r="B133" s="64" t="s">
        <v>845</v>
      </c>
      <c r="C133" s="64" t="s">
        <v>2028</v>
      </c>
      <c r="D133" s="64">
        <v>462</v>
      </c>
      <c r="E133" s="64">
        <v>646</v>
      </c>
      <c r="F133" s="64">
        <v>1034</v>
      </c>
      <c r="G133" s="64">
        <v>1414</v>
      </c>
      <c r="H133" s="64">
        <v>1045</v>
      </c>
      <c r="I133" s="64">
        <v>4601</v>
      </c>
      <c r="K133" s="64" t="s">
        <v>2028</v>
      </c>
      <c r="L133" s="64">
        <v>18</v>
      </c>
      <c r="M133" s="64">
        <v>2</v>
      </c>
      <c r="N133" s="64">
        <v>0</v>
      </c>
      <c r="O133" s="64">
        <v>0</v>
      </c>
      <c r="P133" s="64">
        <v>0</v>
      </c>
      <c r="Q133" s="64">
        <v>20</v>
      </c>
      <c r="T133" s="65" t="s">
        <v>1026</v>
      </c>
      <c r="U133" s="65" t="s">
        <v>25</v>
      </c>
      <c r="V133" s="65">
        <v>183</v>
      </c>
      <c r="W133" s="65">
        <v>370</v>
      </c>
      <c r="X133" s="65">
        <v>528</v>
      </c>
      <c r="Y133" s="65">
        <v>706</v>
      </c>
      <c r="Z133" s="65">
        <v>564</v>
      </c>
      <c r="AA133" s="65">
        <v>2351</v>
      </c>
      <c r="AB133" s="65"/>
      <c r="AC133" s="65" t="s">
        <v>25</v>
      </c>
      <c r="AD133" s="65">
        <v>10</v>
      </c>
      <c r="AE133" s="65">
        <v>5</v>
      </c>
      <c r="AF133" s="65">
        <v>3</v>
      </c>
      <c r="AG133" s="65">
        <v>0</v>
      </c>
      <c r="AH133" s="65">
        <v>0</v>
      </c>
      <c r="AI133" s="65">
        <v>18</v>
      </c>
      <c r="AK133" s="66" t="s">
        <v>1134</v>
      </c>
      <c r="AL133" s="66" t="s">
        <v>2028</v>
      </c>
      <c r="AM133" s="66">
        <v>587</v>
      </c>
      <c r="AN133" s="66">
        <v>291</v>
      </c>
      <c r="AO133" s="66">
        <v>404</v>
      </c>
      <c r="AP133" s="66">
        <v>502</v>
      </c>
      <c r="AQ133" s="66">
        <v>548</v>
      </c>
      <c r="AR133" s="66">
        <v>2332</v>
      </c>
      <c r="AS133" s="66"/>
      <c r="AT133" s="66" t="s">
        <v>2028</v>
      </c>
      <c r="AU133" s="66">
        <v>112</v>
      </c>
      <c r="AV133" s="66">
        <v>1</v>
      </c>
      <c r="AW133" s="66">
        <v>0</v>
      </c>
      <c r="AX133" s="66">
        <v>0</v>
      </c>
      <c r="AY133" s="66">
        <v>0</v>
      </c>
      <c r="AZ133" s="66">
        <v>113</v>
      </c>
      <c r="BB133" s="69" t="s">
        <v>1174</v>
      </c>
      <c r="BC133" s="69" t="s">
        <v>2028</v>
      </c>
      <c r="BD133" s="69">
        <v>469</v>
      </c>
      <c r="BE133" s="69">
        <v>277</v>
      </c>
      <c r="BF133" s="69">
        <v>456</v>
      </c>
      <c r="BG133" s="69">
        <v>531</v>
      </c>
      <c r="BH133" s="69">
        <v>481</v>
      </c>
      <c r="BI133" s="69">
        <v>2214</v>
      </c>
      <c r="BJ133" s="69"/>
      <c r="BK133" s="69" t="s">
        <v>2028</v>
      </c>
      <c r="BL133" s="69">
        <v>21</v>
      </c>
      <c r="BM133" s="69">
        <v>0</v>
      </c>
      <c r="BN133" s="69">
        <v>0</v>
      </c>
      <c r="BO133" s="69">
        <v>0</v>
      </c>
      <c r="BP133" s="69">
        <v>0</v>
      </c>
      <c r="BQ133" s="69">
        <v>21</v>
      </c>
      <c r="DT133" s="16" t="s">
        <v>2022</v>
      </c>
      <c r="DU133" s="16" t="s">
        <v>1643</v>
      </c>
      <c r="DV133" s="79" t="s">
        <v>2685</v>
      </c>
      <c r="DW133" s="79" t="s">
        <v>2098</v>
      </c>
      <c r="DX133" s="79">
        <v>916</v>
      </c>
      <c r="DY133" s="79">
        <v>449</v>
      </c>
      <c r="DZ133" s="79">
        <v>460</v>
      </c>
      <c r="EA133" s="79">
        <v>458</v>
      </c>
      <c r="EB133" s="79">
        <v>377</v>
      </c>
      <c r="EC133" s="79">
        <v>2660</v>
      </c>
      <c r="ED133" s="79"/>
      <c r="EE133" s="79" t="s">
        <v>2098</v>
      </c>
      <c r="EF133" s="79">
        <v>19</v>
      </c>
      <c r="EG133" s="79">
        <v>0</v>
      </c>
      <c r="EH133" s="79">
        <v>0</v>
      </c>
      <c r="EI133" s="79">
        <v>0</v>
      </c>
      <c r="EJ133" s="79">
        <v>0</v>
      </c>
      <c r="EK133" s="79">
        <v>19</v>
      </c>
      <c r="EN133" s="57" t="s">
        <v>1760</v>
      </c>
      <c r="EO133" s="57" t="s">
        <v>2032</v>
      </c>
      <c r="EP133" s="57">
        <v>76</v>
      </c>
      <c r="EQ133" s="57">
        <v>112</v>
      </c>
      <c r="ER133" s="57">
        <v>132</v>
      </c>
      <c r="ES133" s="57">
        <v>163</v>
      </c>
      <c r="ET133" s="57">
        <v>225</v>
      </c>
      <c r="EU133" s="57">
        <v>708</v>
      </c>
      <c r="EV133" s="57"/>
      <c r="EW133" s="57" t="s">
        <v>2032</v>
      </c>
      <c r="EX133" s="57">
        <v>21</v>
      </c>
      <c r="EY133" s="57">
        <v>7</v>
      </c>
      <c r="EZ133" s="57">
        <v>6</v>
      </c>
      <c r="FA133" s="57">
        <v>1</v>
      </c>
      <c r="FB133" s="57">
        <v>3</v>
      </c>
      <c r="FC133" s="57">
        <v>38</v>
      </c>
      <c r="FF133" s="70" t="s">
        <v>1867</v>
      </c>
      <c r="FG133" s="70" t="s">
        <v>2028</v>
      </c>
      <c r="FH133" s="70">
        <v>96</v>
      </c>
      <c r="FI133" s="70">
        <v>132</v>
      </c>
      <c r="FJ133" s="70">
        <v>177</v>
      </c>
      <c r="FK133" s="70">
        <v>224</v>
      </c>
      <c r="FL133" s="70">
        <v>284</v>
      </c>
      <c r="FM133" s="70">
        <v>913</v>
      </c>
      <c r="FN133" s="70"/>
      <c r="FO133" s="70" t="s">
        <v>2028</v>
      </c>
      <c r="FP133" s="70">
        <v>12</v>
      </c>
      <c r="FQ133" s="70">
        <v>4</v>
      </c>
      <c r="FR133" s="70">
        <v>0</v>
      </c>
      <c r="FS133" s="70">
        <v>3</v>
      </c>
      <c r="FT133" s="70">
        <v>2</v>
      </c>
      <c r="FU133" s="70">
        <v>21</v>
      </c>
    </row>
    <row r="134" spans="1:177">
      <c r="B134" s="64" t="s">
        <v>849</v>
      </c>
      <c r="C134" s="64" t="s">
        <v>2028</v>
      </c>
      <c r="D134" s="64">
        <v>314</v>
      </c>
      <c r="E134" s="64">
        <v>456</v>
      </c>
      <c r="F134" s="64">
        <v>892</v>
      </c>
      <c r="G134" s="64">
        <v>1169</v>
      </c>
      <c r="H134" s="64">
        <v>867</v>
      </c>
      <c r="I134" s="64">
        <v>3698</v>
      </c>
      <c r="K134" s="64" t="s">
        <v>2028</v>
      </c>
      <c r="L134" s="64">
        <v>20</v>
      </c>
      <c r="M134" s="64">
        <v>2</v>
      </c>
      <c r="N134" s="64">
        <v>2</v>
      </c>
      <c r="O134" s="64">
        <v>0</v>
      </c>
      <c r="P134" s="64">
        <v>1</v>
      </c>
      <c r="Q134" s="64">
        <v>25</v>
      </c>
      <c r="T134" s="65" t="s">
        <v>1030</v>
      </c>
      <c r="U134" s="65" t="s">
        <v>25</v>
      </c>
      <c r="V134" s="65">
        <v>138</v>
      </c>
      <c r="W134" s="65">
        <v>171</v>
      </c>
      <c r="X134" s="65">
        <v>278</v>
      </c>
      <c r="Y134" s="65">
        <v>319</v>
      </c>
      <c r="Z134" s="65">
        <v>265</v>
      </c>
      <c r="AA134" s="65">
        <v>1171</v>
      </c>
      <c r="AB134" s="65"/>
      <c r="AC134" s="65" t="s">
        <v>25</v>
      </c>
      <c r="AD134" s="65">
        <v>25</v>
      </c>
      <c r="AE134" s="65">
        <v>9</v>
      </c>
      <c r="AF134" s="65">
        <v>3</v>
      </c>
      <c r="AG134" s="65">
        <v>0</v>
      </c>
      <c r="AH134" s="65">
        <v>0</v>
      </c>
      <c r="AI134" s="65">
        <v>37</v>
      </c>
      <c r="AK134" s="66" t="s">
        <v>1140</v>
      </c>
      <c r="AL134" s="66" t="s">
        <v>2028</v>
      </c>
      <c r="AM134" s="66">
        <v>518</v>
      </c>
      <c r="AN134" s="66">
        <v>296</v>
      </c>
      <c r="AO134" s="66">
        <v>429</v>
      </c>
      <c r="AP134" s="66">
        <v>608</v>
      </c>
      <c r="AQ134" s="66">
        <v>573</v>
      </c>
      <c r="AR134" s="66">
        <v>2424</v>
      </c>
      <c r="AS134" s="66"/>
      <c r="AT134" s="66" t="s">
        <v>2028</v>
      </c>
      <c r="AU134" s="66">
        <v>139</v>
      </c>
      <c r="AV134" s="66">
        <v>3</v>
      </c>
      <c r="AW134" s="66">
        <v>0</v>
      </c>
      <c r="AX134" s="66">
        <v>0</v>
      </c>
      <c r="AY134" s="66">
        <v>0</v>
      </c>
      <c r="AZ134" s="66">
        <v>142</v>
      </c>
      <c r="BB134" s="69" t="s">
        <v>1180</v>
      </c>
      <c r="BC134" s="69" t="s">
        <v>2028</v>
      </c>
      <c r="BD134" s="69">
        <v>187</v>
      </c>
      <c r="BE134" s="69">
        <v>124</v>
      </c>
      <c r="BF134" s="69">
        <v>144</v>
      </c>
      <c r="BG134" s="69">
        <v>197</v>
      </c>
      <c r="BH134" s="69">
        <v>219</v>
      </c>
      <c r="BI134" s="69">
        <v>871</v>
      </c>
      <c r="BJ134" s="69"/>
      <c r="BK134" s="69" t="s">
        <v>2028</v>
      </c>
      <c r="BL134" s="69">
        <v>25</v>
      </c>
      <c r="BM134" s="69">
        <v>0</v>
      </c>
      <c r="BN134" s="69">
        <v>0</v>
      </c>
      <c r="BO134" s="69">
        <v>0</v>
      </c>
      <c r="BP134" s="69">
        <v>0</v>
      </c>
      <c r="BQ134" s="69">
        <v>25</v>
      </c>
      <c r="BS134" s="70" t="s">
        <v>459</v>
      </c>
      <c r="BT134" s="70" t="s">
        <v>2098</v>
      </c>
      <c r="BU134" s="70">
        <v>73</v>
      </c>
      <c r="BV134" s="70">
        <v>50</v>
      </c>
      <c r="BW134" s="70">
        <v>64</v>
      </c>
      <c r="BX134" s="70">
        <v>85</v>
      </c>
      <c r="BY134" s="70">
        <v>79</v>
      </c>
      <c r="BZ134" s="70">
        <v>351</v>
      </c>
      <c r="CA134" s="70"/>
      <c r="CB134" s="70" t="s">
        <v>2098</v>
      </c>
      <c r="CC134" s="70">
        <v>20</v>
      </c>
      <c r="CD134" s="70">
        <v>0</v>
      </c>
      <c r="CE134" s="70">
        <v>0</v>
      </c>
      <c r="CF134" s="70">
        <v>0</v>
      </c>
      <c r="CG134" s="70">
        <v>0</v>
      </c>
      <c r="CH134" s="70">
        <v>20</v>
      </c>
      <c r="CL134" s="57" t="s">
        <v>474</v>
      </c>
      <c r="CM134" s="57" t="s">
        <v>2032</v>
      </c>
      <c r="CN134" s="57">
        <v>133</v>
      </c>
      <c r="CO134" s="57">
        <v>79</v>
      </c>
      <c r="CP134" s="57">
        <v>125</v>
      </c>
      <c r="CQ134" s="57">
        <v>189</v>
      </c>
      <c r="CR134" s="57">
        <v>189</v>
      </c>
      <c r="CS134" s="57">
        <v>715</v>
      </c>
      <c r="CT134" s="57"/>
      <c r="CU134" s="57" t="s">
        <v>2032</v>
      </c>
      <c r="CV134" s="57">
        <v>38</v>
      </c>
      <c r="CW134" s="57">
        <v>0</v>
      </c>
      <c r="CX134" s="57">
        <v>0</v>
      </c>
      <c r="CY134" s="57">
        <v>0</v>
      </c>
      <c r="CZ134" s="57">
        <v>0</v>
      </c>
      <c r="DA134" s="57">
        <v>38</v>
      </c>
      <c r="DT134" s="16" t="s">
        <v>2022</v>
      </c>
      <c r="DU134" s="16" t="s">
        <v>1646</v>
      </c>
      <c r="DV134" s="79" t="s">
        <v>2679</v>
      </c>
      <c r="DW134" s="79" t="s">
        <v>2098</v>
      </c>
      <c r="DX134" s="79">
        <v>187</v>
      </c>
      <c r="DY134" s="79">
        <v>194</v>
      </c>
      <c r="DZ134" s="79">
        <v>236</v>
      </c>
      <c r="EA134" s="79">
        <v>266</v>
      </c>
      <c r="EB134" s="79">
        <v>255</v>
      </c>
      <c r="EC134" s="79">
        <v>1138</v>
      </c>
      <c r="ED134" s="79"/>
      <c r="EE134" s="79" t="s">
        <v>2098</v>
      </c>
      <c r="EF134" s="79">
        <v>7</v>
      </c>
      <c r="EG134" s="79">
        <v>1</v>
      </c>
      <c r="EH134" s="79">
        <v>0</v>
      </c>
      <c r="EI134" s="79">
        <v>0</v>
      </c>
      <c r="EJ134" s="79">
        <v>0</v>
      </c>
      <c r="EK134" s="79">
        <v>8</v>
      </c>
      <c r="EN134" s="57" t="s">
        <v>1763</v>
      </c>
      <c r="EO134" s="57" t="s">
        <v>2032</v>
      </c>
      <c r="EP134" s="57">
        <v>46</v>
      </c>
      <c r="EQ134" s="57">
        <v>103</v>
      </c>
      <c r="ER134" s="57">
        <v>135</v>
      </c>
      <c r="ES134" s="57">
        <v>176</v>
      </c>
      <c r="ET134" s="57">
        <v>221</v>
      </c>
      <c r="EU134" s="57">
        <v>681</v>
      </c>
      <c r="EV134" s="57"/>
      <c r="EW134" s="57" t="s">
        <v>2032</v>
      </c>
      <c r="EX134" s="57">
        <v>13</v>
      </c>
      <c r="EY134" s="57">
        <v>4</v>
      </c>
      <c r="EZ134" s="57">
        <v>1</v>
      </c>
      <c r="FA134" s="57">
        <v>3</v>
      </c>
      <c r="FB134" s="57">
        <v>0</v>
      </c>
      <c r="FC134" s="57">
        <v>21</v>
      </c>
      <c r="FF134" s="70" t="s">
        <v>2010</v>
      </c>
      <c r="FG134" s="70" t="s">
        <v>2028</v>
      </c>
      <c r="FH134" s="70">
        <v>172</v>
      </c>
      <c r="FI134" s="70">
        <v>285</v>
      </c>
      <c r="FJ134" s="70">
        <v>396</v>
      </c>
      <c r="FK134" s="70">
        <v>461</v>
      </c>
      <c r="FL134" s="70">
        <v>594</v>
      </c>
      <c r="FM134" s="70">
        <v>1908</v>
      </c>
      <c r="FN134" s="70"/>
      <c r="FO134" s="70" t="s">
        <v>2028</v>
      </c>
      <c r="FP134" s="70">
        <v>9</v>
      </c>
      <c r="FQ134" s="70">
        <v>4</v>
      </c>
      <c r="FR134" s="70">
        <v>1</v>
      </c>
      <c r="FS134" s="70">
        <v>1</v>
      </c>
      <c r="FT134" s="70">
        <v>2</v>
      </c>
      <c r="FU134" s="70">
        <v>17</v>
      </c>
    </row>
    <row r="135" spans="1:177">
      <c r="B135" s="64" t="s">
        <v>852</v>
      </c>
      <c r="C135" s="64" t="s">
        <v>2028</v>
      </c>
      <c r="D135" s="64">
        <v>359</v>
      </c>
      <c r="E135" s="64">
        <v>526</v>
      </c>
      <c r="F135" s="64">
        <v>1011</v>
      </c>
      <c r="G135" s="64">
        <v>1336</v>
      </c>
      <c r="H135" s="64">
        <v>1102</v>
      </c>
      <c r="I135" s="64">
        <v>4334</v>
      </c>
      <c r="K135" s="64" t="s">
        <v>2028</v>
      </c>
      <c r="L135" s="64">
        <v>18</v>
      </c>
      <c r="M135" s="64">
        <v>0</v>
      </c>
      <c r="N135" s="64">
        <v>0</v>
      </c>
      <c r="O135" s="64">
        <v>0</v>
      </c>
      <c r="P135" s="64">
        <v>0</v>
      </c>
      <c r="Q135" s="64">
        <v>18</v>
      </c>
      <c r="T135" s="65" t="s">
        <v>1035</v>
      </c>
      <c r="U135" s="65" t="s">
        <v>25</v>
      </c>
      <c r="V135" s="65">
        <v>149</v>
      </c>
      <c r="W135" s="65">
        <v>170</v>
      </c>
      <c r="X135" s="65">
        <v>232</v>
      </c>
      <c r="Y135" s="65">
        <v>397</v>
      </c>
      <c r="Z135" s="65">
        <v>351</v>
      </c>
      <c r="AA135" s="65">
        <v>1299</v>
      </c>
      <c r="AB135" s="65"/>
      <c r="AC135" s="65" t="s">
        <v>25</v>
      </c>
      <c r="AD135" s="65">
        <v>17</v>
      </c>
      <c r="AE135" s="65">
        <v>0</v>
      </c>
      <c r="AF135" s="65">
        <v>0</v>
      </c>
      <c r="AG135" s="65">
        <v>0</v>
      </c>
      <c r="AH135" s="65">
        <v>0</v>
      </c>
      <c r="AI135" s="65">
        <v>17</v>
      </c>
      <c r="AK135" s="66" t="s">
        <v>1143</v>
      </c>
      <c r="AL135" s="66" t="s">
        <v>2028</v>
      </c>
      <c r="AM135" s="66">
        <v>1154</v>
      </c>
      <c r="AN135" s="66">
        <v>862</v>
      </c>
      <c r="AO135" s="66">
        <v>996</v>
      </c>
      <c r="AP135" s="66">
        <v>1063</v>
      </c>
      <c r="AQ135" s="66">
        <v>789</v>
      </c>
      <c r="AR135" s="66">
        <v>4864</v>
      </c>
      <c r="AS135" s="66"/>
      <c r="AT135" s="66" t="s">
        <v>2028</v>
      </c>
      <c r="AU135" s="66">
        <v>163</v>
      </c>
      <c r="AV135" s="66">
        <v>1</v>
      </c>
      <c r="AW135" s="66">
        <v>1</v>
      </c>
      <c r="AX135" s="66">
        <v>0</v>
      </c>
      <c r="AY135" s="66">
        <v>0</v>
      </c>
      <c r="AZ135" s="66">
        <v>165</v>
      </c>
      <c r="BB135" s="69" t="s">
        <v>1183</v>
      </c>
      <c r="BC135" s="69" t="s">
        <v>2028</v>
      </c>
      <c r="BD135" s="69">
        <v>283</v>
      </c>
      <c r="BE135" s="69">
        <v>280</v>
      </c>
      <c r="BF135" s="69">
        <v>482</v>
      </c>
      <c r="BG135" s="69">
        <v>595</v>
      </c>
      <c r="BH135" s="69">
        <v>580</v>
      </c>
      <c r="BI135" s="69">
        <v>2220</v>
      </c>
      <c r="BJ135" s="69"/>
      <c r="BK135" s="69" t="s">
        <v>2028</v>
      </c>
      <c r="BL135" s="69">
        <v>22</v>
      </c>
      <c r="BM135" s="69">
        <v>0</v>
      </c>
      <c r="BN135" s="69">
        <v>0</v>
      </c>
      <c r="BO135" s="69">
        <v>0</v>
      </c>
      <c r="BP135" s="69">
        <v>0</v>
      </c>
      <c r="BQ135" s="69">
        <v>22</v>
      </c>
      <c r="BS135" s="70" t="s">
        <v>460</v>
      </c>
      <c r="BT135" s="70" t="s">
        <v>2098</v>
      </c>
      <c r="BU135" s="70">
        <v>634</v>
      </c>
      <c r="BV135" s="70">
        <v>534</v>
      </c>
      <c r="BW135" s="70">
        <v>518</v>
      </c>
      <c r="BX135" s="70">
        <v>463</v>
      </c>
      <c r="BY135" s="70">
        <v>327</v>
      </c>
      <c r="BZ135" s="70">
        <v>2476</v>
      </c>
      <c r="CA135" s="70"/>
      <c r="CB135" s="70" t="s">
        <v>2098</v>
      </c>
      <c r="CC135" s="70">
        <v>172</v>
      </c>
      <c r="CD135" s="70">
        <v>6</v>
      </c>
      <c r="CE135" s="70">
        <v>0</v>
      </c>
      <c r="CF135" s="70">
        <v>0</v>
      </c>
      <c r="CG135" s="70">
        <v>0</v>
      </c>
      <c r="CH135" s="70">
        <v>178</v>
      </c>
      <c r="CL135" s="57" t="s">
        <v>476</v>
      </c>
      <c r="CM135" s="57" t="s">
        <v>2032</v>
      </c>
      <c r="CN135" s="57">
        <v>148</v>
      </c>
      <c r="CO135" s="57">
        <v>61</v>
      </c>
      <c r="CP135" s="57">
        <v>150</v>
      </c>
      <c r="CQ135" s="57">
        <v>213</v>
      </c>
      <c r="CR135" s="57">
        <v>212</v>
      </c>
      <c r="CS135" s="57">
        <v>784</v>
      </c>
      <c r="CT135" s="57"/>
      <c r="CU135" s="57" t="s">
        <v>2032</v>
      </c>
      <c r="CV135" s="57">
        <v>69</v>
      </c>
      <c r="CW135" s="57">
        <v>0</v>
      </c>
      <c r="CX135" s="57">
        <v>0</v>
      </c>
      <c r="CY135" s="57">
        <v>0</v>
      </c>
      <c r="CZ135" s="57">
        <v>0</v>
      </c>
      <c r="DA135" s="57">
        <v>69</v>
      </c>
      <c r="DT135" s="16" t="s">
        <v>2022</v>
      </c>
      <c r="DU135" s="16" t="s">
        <v>1649</v>
      </c>
      <c r="DV135" s="79" t="s">
        <v>2676</v>
      </c>
      <c r="DW135" s="79" t="s">
        <v>2098</v>
      </c>
      <c r="DX135" s="79">
        <v>275</v>
      </c>
      <c r="DY135" s="79">
        <v>322</v>
      </c>
      <c r="DZ135" s="79">
        <v>458</v>
      </c>
      <c r="EA135" s="79">
        <v>432</v>
      </c>
      <c r="EB135" s="79">
        <v>463</v>
      </c>
      <c r="EC135" s="79">
        <v>1950</v>
      </c>
      <c r="ED135" s="79"/>
      <c r="EE135" s="79" t="s">
        <v>2098</v>
      </c>
      <c r="EF135" s="79">
        <v>17</v>
      </c>
      <c r="EG135" s="79">
        <v>0</v>
      </c>
      <c r="EH135" s="79">
        <v>0</v>
      </c>
      <c r="EI135" s="79">
        <v>0</v>
      </c>
      <c r="EJ135" s="79">
        <v>0</v>
      </c>
      <c r="EK135" s="79">
        <v>17</v>
      </c>
      <c r="EN135" s="57" t="s">
        <v>1767</v>
      </c>
      <c r="EO135" s="57" t="s">
        <v>2032</v>
      </c>
      <c r="EP135" s="57">
        <v>95</v>
      </c>
      <c r="EQ135" s="57">
        <v>111</v>
      </c>
      <c r="ER135" s="57">
        <v>167</v>
      </c>
      <c r="ES135" s="57">
        <v>196</v>
      </c>
      <c r="ET135" s="57">
        <v>257</v>
      </c>
      <c r="EU135" s="57">
        <v>826</v>
      </c>
      <c r="EV135" s="57"/>
      <c r="EW135" s="57" t="s">
        <v>2032</v>
      </c>
      <c r="EX135" s="57">
        <v>20</v>
      </c>
      <c r="EY135" s="57">
        <v>5</v>
      </c>
      <c r="EZ135" s="57">
        <v>0</v>
      </c>
      <c r="FA135" s="57">
        <v>0</v>
      </c>
      <c r="FB135" s="57">
        <v>0</v>
      </c>
      <c r="FC135" s="57">
        <v>25</v>
      </c>
      <c r="FF135" s="70" t="s">
        <v>2011</v>
      </c>
      <c r="FG135" s="70" t="s">
        <v>2028</v>
      </c>
      <c r="FH135" s="70">
        <v>175</v>
      </c>
      <c r="FI135" s="70">
        <v>227</v>
      </c>
      <c r="FJ135" s="70">
        <v>313</v>
      </c>
      <c r="FK135" s="70">
        <v>365</v>
      </c>
      <c r="FL135" s="70">
        <v>501</v>
      </c>
      <c r="FM135" s="70">
        <v>1581</v>
      </c>
      <c r="FN135" s="70"/>
      <c r="FO135" s="70" t="s">
        <v>2028</v>
      </c>
      <c r="FP135" s="70">
        <v>7</v>
      </c>
      <c r="FQ135" s="70">
        <v>1</v>
      </c>
      <c r="FR135" s="70">
        <v>0</v>
      </c>
      <c r="FS135" s="70">
        <v>1</v>
      </c>
      <c r="FT135" s="70">
        <v>0</v>
      </c>
      <c r="FU135" s="70">
        <v>9</v>
      </c>
    </row>
    <row r="136" spans="1:177">
      <c r="B136" s="64" t="s">
        <v>2035</v>
      </c>
      <c r="C136" s="64" t="s">
        <v>2028</v>
      </c>
      <c r="D136" s="64">
        <v>606</v>
      </c>
      <c r="E136" s="64">
        <v>608</v>
      </c>
      <c r="F136" s="64">
        <v>926</v>
      </c>
      <c r="G136" s="64">
        <v>1161</v>
      </c>
      <c r="H136" s="64">
        <v>896</v>
      </c>
      <c r="I136" s="64">
        <v>4197</v>
      </c>
      <c r="K136" s="64" t="s">
        <v>2028</v>
      </c>
      <c r="L136" s="64">
        <v>45</v>
      </c>
      <c r="M136" s="64">
        <v>0</v>
      </c>
      <c r="N136" s="64">
        <v>0</v>
      </c>
      <c r="O136" s="64">
        <v>0</v>
      </c>
      <c r="P136" s="64">
        <v>0</v>
      </c>
      <c r="Q136" s="64">
        <v>45</v>
      </c>
      <c r="T136" s="65" t="s">
        <v>1038</v>
      </c>
      <c r="U136" s="65" t="s">
        <v>25</v>
      </c>
      <c r="V136" s="65">
        <v>72</v>
      </c>
      <c r="W136" s="65">
        <v>139</v>
      </c>
      <c r="X136" s="65">
        <v>236</v>
      </c>
      <c r="Y136" s="65">
        <v>369</v>
      </c>
      <c r="Z136" s="65">
        <v>360</v>
      </c>
      <c r="AA136" s="65">
        <v>1176</v>
      </c>
      <c r="AB136" s="65"/>
      <c r="AC136" s="65" t="s">
        <v>25</v>
      </c>
      <c r="AD136" s="65">
        <v>21</v>
      </c>
      <c r="AE136" s="65">
        <v>8</v>
      </c>
      <c r="AF136" s="65">
        <v>0</v>
      </c>
      <c r="AG136" s="65">
        <v>0</v>
      </c>
      <c r="AH136" s="65">
        <v>0</v>
      </c>
      <c r="AI136" s="65">
        <v>29</v>
      </c>
      <c r="AK136" s="66"/>
      <c r="AL136" s="66"/>
      <c r="AM136" s="66"/>
      <c r="AN136" s="66"/>
      <c r="AO136" s="66"/>
      <c r="AP136" s="66"/>
      <c r="AQ136" s="66"/>
      <c r="AR136" s="66"/>
      <c r="AS136" s="66"/>
      <c r="AT136" s="66"/>
      <c r="AU136" s="66"/>
      <c r="AV136" s="66"/>
      <c r="AW136" s="66"/>
      <c r="AX136" s="66"/>
      <c r="AY136" s="66"/>
      <c r="AZ136" s="66"/>
      <c r="BB136" s="69"/>
      <c r="BC136" s="69"/>
      <c r="BD136" s="69"/>
      <c r="BE136" s="69"/>
      <c r="BF136" s="69"/>
      <c r="BG136" s="69"/>
      <c r="BH136" s="69"/>
      <c r="BI136" s="69"/>
      <c r="BJ136" s="69"/>
      <c r="BK136" s="69"/>
      <c r="BL136" s="69"/>
      <c r="BM136" s="69"/>
      <c r="BN136" s="69"/>
      <c r="BO136" s="69"/>
      <c r="BP136" s="69"/>
      <c r="BQ136" s="69"/>
      <c r="BS136" s="70" t="s">
        <v>461</v>
      </c>
      <c r="BT136" s="70" t="s">
        <v>2098</v>
      </c>
      <c r="BU136" s="70">
        <v>858</v>
      </c>
      <c r="BV136" s="70">
        <v>642</v>
      </c>
      <c r="BW136" s="70">
        <v>595</v>
      </c>
      <c r="BX136" s="70">
        <v>513</v>
      </c>
      <c r="BY136" s="70">
        <v>335</v>
      </c>
      <c r="BZ136" s="70">
        <v>2943</v>
      </c>
      <c r="CA136" s="70"/>
      <c r="CB136" s="70" t="s">
        <v>2098</v>
      </c>
      <c r="CC136" s="70">
        <v>255</v>
      </c>
      <c r="CD136" s="70">
        <v>9</v>
      </c>
      <c r="CE136" s="70">
        <v>0</v>
      </c>
      <c r="CF136" s="70">
        <v>0</v>
      </c>
      <c r="CG136" s="70">
        <v>0</v>
      </c>
      <c r="CH136" s="70">
        <v>264</v>
      </c>
      <c r="CL136" s="57" t="s">
        <v>479</v>
      </c>
      <c r="CM136" s="57" t="s">
        <v>2032</v>
      </c>
      <c r="CN136" s="57">
        <v>31</v>
      </c>
      <c r="CO136" s="57">
        <v>39</v>
      </c>
      <c r="CP136" s="57">
        <v>68</v>
      </c>
      <c r="CQ136" s="57">
        <v>128</v>
      </c>
      <c r="CR136" s="57">
        <v>148</v>
      </c>
      <c r="CS136" s="57">
        <v>414</v>
      </c>
      <c r="CT136" s="57"/>
      <c r="CU136" s="57" t="s">
        <v>2032</v>
      </c>
      <c r="CV136" s="57">
        <v>7</v>
      </c>
      <c r="CW136" s="57">
        <v>0</v>
      </c>
      <c r="CX136" s="57">
        <v>0</v>
      </c>
      <c r="CY136" s="57">
        <v>0</v>
      </c>
      <c r="CZ136" s="57">
        <v>0</v>
      </c>
      <c r="DA136" s="57">
        <v>7</v>
      </c>
      <c r="DT136" s="16" t="s">
        <v>2022</v>
      </c>
      <c r="DU136" s="16" t="s">
        <v>1652</v>
      </c>
      <c r="DV136" s="79" t="s">
        <v>2670</v>
      </c>
      <c r="DW136" s="79" t="s">
        <v>2098</v>
      </c>
      <c r="DX136" s="79" t="s">
        <v>324</v>
      </c>
      <c r="DY136" s="79" t="s">
        <v>324</v>
      </c>
      <c r="DZ136" s="79" t="s">
        <v>324</v>
      </c>
      <c r="EA136" s="79" t="s">
        <v>324</v>
      </c>
      <c r="EB136" s="79" t="s">
        <v>324</v>
      </c>
      <c r="EC136" s="79" t="s">
        <v>324</v>
      </c>
      <c r="ED136" s="79"/>
      <c r="EE136" s="79" t="s">
        <v>2098</v>
      </c>
      <c r="EF136" s="79" t="s">
        <v>324</v>
      </c>
      <c r="EG136" s="79" t="s">
        <v>324</v>
      </c>
      <c r="EH136" s="79" t="s">
        <v>324</v>
      </c>
      <c r="EI136" s="79" t="s">
        <v>324</v>
      </c>
      <c r="EJ136" s="79" t="s">
        <v>324</v>
      </c>
      <c r="EK136" s="79" t="s">
        <v>324</v>
      </c>
      <c r="EN136" s="57" t="s">
        <v>1998</v>
      </c>
      <c r="EO136" s="57" t="s">
        <v>2032</v>
      </c>
      <c r="EP136" s="57">
        <v>48</v>
      </c>
      <c r="EQ136" s="57">
        <v>106</v>
      </c>
      <c r="ER136" s="57">
        <v>116</v>
      </c>
      <c r="ES136" s="57">
        <v>161</v>
      </c>
      <c r="ET136" s="57">
        <v>204</v>
      </c>
      <c r="EU136" s="57">
        <v>635</v>
      </c>
      <c r="EV136" s="57"/>
      <c r="EW136" s="57" t="s">
        <v>2032</v>
      </c>
      <c r="EX136" s="57">
        <v>9</v>
      </c>
      <c r="EY136" s="57">
        <v>3</v>
      </c>
      <c r="EZ136" s="57">
        <v>2</v>
      </c>
      <c r="FA136" s="57">
        <v>0</v>
      </c>
      <c r="FB136" s="57">
        <v>0</v>
      </c>
      <c r="FC136" s="57">
        <v>14</v>
      </c>
      <c r="FF136" s="70"/>
      <c r="FG136" s="70"/>
      <c r="FH136" s="70"/>
      <c r="FI136" s="70"/>
      <c r="FJ136" s="70"/>
      <c r="FK136" s="70"/>
      <c r="FL136" s="70"/>
      <c r="FM136" s="70"/>
      <c r="FN136" s="70"/>
      <c r="FO136" s="70"/>
      <c r="FP136" s="70"/>
      <c r="FQ136" s="70"/>
      <c r="FR136" s="70"/>
      <c r="FS136" s="70"/>
      <c r="FT136" s="70"/>
      <c r="FU136" s="70"/>
    </row>
    <row r="137" spans="1:177">
      <c r="B137" s="64" t="s">
        <v>864</v>
      </c>
      <c r="C137" s="64" t="s">
        <v>2028</v>
      </c>
      <c r="D137" s="64" t="s">
        <v>324</v>
      </c>
      <c r="E137" s="64" t="s">
        <v>324</v>
      </c>
      <c r="F137" s="64" t="s">
        <v>324</v>
      </c>
      <c r="G137" s="64" t="s">
        <v>324</v>
      </c>
      <c r="H137" s="64" t="s">
        <v>324</v>
      </c>
      <c r="I137" s="64" t="s">
        <v>324</v>
      </c>
      <c r="K137" s="64" t="s">
        <v>2028</v>
      </c>
      <c r="L137" s="64" t="s">
        <v>324</v>
      </c>
      <c r="M137" s="64" t="s">
        <v>324</v>
      </c>
      <c r="N137" s="64" t="s">
        <v>324</v>
      </c>
      <c r="O137" s="64" t="s">
        <v>324</v>
      </c>
      <c r="P137" s="64" t="s">
        <v>324</v>
      </c>
      <c r="Q137" s="64" t="s">
        <v>324</v>
      </c>
      <c r="T137" s="65" t="s">
        <v>1042</v>
      </c>
      <c r="U137" s="65" t="s">
        <v>25</v>
      </c>
      <c r="V137" s="65">
        <v>24</v>
      </c>
      <c r="W137" s="65">
        <v>41</v>
      </c>
      <c r="X137" s="65">
        <v>81</v>
      </c>
      <c r="Y137" s="65">
        <v>156</v>
      </c>
      <c r="Z137" s="65">
        <v>150</v>
      </c>
      <c r="AA137" s="65">
        <v>452</v>
      </c>
      <c r="AB137" s="65"/>
      <c r="AC137" s="65" t="s">
        <v>25</v>
      </c>
      <c r="AD137" s="65">
        <v>3</v>
      </c>
      <c r="AE137" s="65">
        <v>0</v>
      </c>
      <c r="AF137" s="65">
        <v>0</v>
      </c>
      <c r="AG137" s="65">
        <v>1</v>
      </c>
      <c r="AH137" s="65">
        <v>0</v>
      </c>
      <c r="AI137" s="65">
        <v>4</v>
      </c>
      <c r="AK137" s="66" t="s">
        <v>1952</v>
      </c>
      <c r="AL137" s="66" t="s">
        <v>2028</v>
      </c>
      <c r="AM137" s="66">
        <v>264</v>
      </c>
      <c r="AN137" s="66">
        <v>231</v>
      </c>
      <c r="AO137" s="66">
        <v>378</v>
      </c>
      <c r="AP137" s="66">
        <v>466</v>
      </c>
      <c r="AQ137" s="66">
        <v>471</v>
      </c>
      <c r="AR137" s="66">
        <v>1810</v>
      </c>
      <c r="AS137" s="66"/>
      <c r="AT137" s="66" t="s">
        <v>2028</v>
      </c>
      <c r="AU137" s="66">
        <v>46</v>
      </c>
      <c r="AV137" s="66">
        <v>5</v>
      </c>
      <c r="AW137" s="66">
        <v>0</v>
      </c>
      <c r="AX137" s="66">
        <v>0</v>
      </c>
      <c r="AY137" s="66">
        <v>0</v>
      </c>
      <c r="AZ137" s="66">
        <v>51</v>
      </c>
      <c r="BB137" s="69" t="s">
        <v>1186</v>
      </c>
      <c r="BC137" s="69" t="s">
        <v>2028</v>
      </c>
      <c r="BD137" s="69">
        <v>135</v>
      </c>
      <c r="BE137" s="69">
        <v>119</v>
      </c>
      <c r="BF137" s="69">
        <v>155</v>
      </c>
      <c r="BG137" s="69">
        <v>206</v>
      </c>
      <c r="BH137" s="69">
        <v>250</v>
      </c>
      <c r="BI137" s="69">
        <v>865</v>
      </c>
      <c r="BJ137" s="69"/>
      <c r="BK137" s="69" t="s">
        <v>2028</v>
      </c>
      <c r="BL137" s="69">
        <v>19</v>
      </c>
      <c r="BM137" s="69">
        <v>0</v>
      </c>
      <c r="BN137" s="69">
        <v>0</v>
      </c>
      <c r="BO137" s="69">
        <v>0</v>
      </c>
      <c r="BP137" s="69">
        <v>0</v>
      </c>
      <c r="BQ137" s="69">
        <v>19</v>
      </c>
      <c r="BS137" s="70" t="s">
        <v>463</v>
      </c>
      <c r="BT137" s="70" t="s">
        <v>2098</v>
      </c>
      <c r="BU137" s="70">
        <v>132</v>
      </c>
      <c r="BV137" s="70">
        <v>177</v>
      </c>
      <c r="BW137" s="70">
        <v>261</v>
      </c>
      <c r="BX137" s="70">
        <v>249</v>
      </c>
      <c r="BY137" s="70">
        <v>196</v>
      </c>
      <c r="BZ137" s="70">
        <v>1015</v>
      </c>
      <c r="CA137" s="70"/>
      <c r="CB137" s="70" t="s">
        <v>2098</v>
      </c>
      <c r="CC137" s="70">
        <v>33</v>
      </c>
      <c r="CD137" s="70">
        <v>0</v>
      </c>
      <c r="CE137" s="70">
        <v>0</v>
      </c>
      <c r="CF137" s="70">
        <v>0</v>
      </c>
      <c r="CG137" s="70">
        <v>0</v>
      </c>
      <c r="CH137" s="70">
        <v>33</v>
      </c>
      <c r="CL137" s="57" t="s">
        <v>482</v>
      </c>
      <c r="CM137" s="57" t="s">
        <v>2032</v>
      </c>
      <c r="CN137" s="57">
        <v>66</v>
      </c>
      <c r="CO137" s="57">
        <v>69</v>
      </c>
      <c r="CP137" s="57">
        <v>129</v>
      </c>
      <c r="CQ137" s="57">
        <v>188</v>
      </c>
      <c r="CR137" s="57">
        <v>191</v>
      </c>
      <c r="CS137" s="57">
        <v>643</v>
      </c>
      <c r="CT137" s="57"/>
      <c r="CU137" s="57" t="s">
        <v>2032</v>
      </c>
      <c r="CV137" s="57">
        <v>24</v>
      </c>
      <c r="CW137" s="57">
        <v>0</v>
      </c>
      <c r="CX137" s="57">
        <v>0</v>
      </c>
      <c r="CY137" s="57">
        <v>0</v>
      </c>
      <c r="CZ137" s="57">
        <v>0</v>
      </c>
      <c r="DA137" s="57">
        <v>24</v>
      </c>
      <c r="DT137" s="16" t="s">
        <v>2022</v>
      </c>
      <c r="DU137" s="16" t="s">
        <v>1654</v>
      </c>
      <c r="DV137" s="79" t="s">
        <v>2673</v>
      </c>
      <c r="DW137" s="79" t="s">
        <v>2098</v>
      </c>
      <c r="DX137" s="79">
        <v>1287</v>
      </c>
      <c r="DY137" s="79">
        <v>929</v>
      </c>
      <c r="DZ137" s="79">
        <v>1185</v>
      </c>
      <c r="EA137" s="79">
        <v>1123</v>
      </c>
      <c r="EB137" s="79">
        <v>898</v>
      </c>
      <c r="EC137" s="79">
        <v>5422</v>
      </c>
      <c r="ED137" s="79"/>
      <c r="EE137" s="79" t="s">
        <v>2098</v>
      </c>
      <c r="EF137" s="79">
        <v>35</v>
      </c>
      <c r="EG137" s="79">
        <v>1</v>
      </c>
      <c r="EH137" s="79">
        <v>0</v>
      </c>
      <c r="EI137" s="79">
        <v>0</v>
      </c>
      <c r="EJ137" s="79">
        <v>0</v>
      </c>
      <c r="EK137" s="79">
        <v>36</v>
      </c>
      <c r="EN137" s="57" t="s">
        <v>1770</v>
      </c>
      <c r="EO137" s="57" t="s">
        <v>2032</v>
      </c>
      <c r="EP137" s="57">
        <v>709</v>
      </c>
      <c r="EQ137" s="57">
        <v>653</v>
      </c>
      <c r="ER137" s="57">
        <v>531</v>
      </c>
      <c r="ES137" s="57">
        <v>551</v>
      </c>
      <c r="ET137" s="57">
        <v>636</v>
      </c>
      <c r="EU137" s="57">
        <v>3080</v>
      </c>
      <c r="EV137" s="57"/>
      <c r="EW137" s="57" t="s">
        <v>2032</v>
      </c>
      <c r="EX137" s="57">
        <v>80</v>
      </c>
      <c r="EY137" s="57">
        <v>9</v>
      </c>
      <c r="EZ137" s="57">
        <v>3</v>
      </c>
      <c r="FA137" s="57">
        <v>1</v>
      </c>
      <c r="FB137" s="57">
        <v>0</v>
      </c>
      <c r="FC137" s="57">
        <v>93</v>
      </c>
      <c r="FF137" s="70" t="s">
        <v>1871</v>
      </c>
      <c r="FG137" s="70" t="s">
        <v>2028</v>
      </c>
      <c r="FH137" s="70" t="s">
        <v>324</v>
      </c>
      <c r="FI137" s="70" t="s">
        <v>324</v>
      </c>
      <c r="FJ137" s="70" t="s">
        <v>324</v>
      </c>
      <c r="FK137" s="70" t="s">
        <v>324</v>
      </c>
      <c r="FL137" s="70" t="s">
        <v>324</v>
      </c>
      <c r="FM137" s="70" t="s">
        <v>324</v>
      </c>
      <c r="FN137" s="70"/>
      <c r="FO137" s="70" t="s">
        <v>2028</v>
      </c>
      <c r="FP137" s="70" t="s">
        <v>324</v>
      </c>
      <c r="FQ137" s="70" t="s">
        <v>324</v>
      </c>
      <c r="FR137" s="70" t="s">
        <v>324</v>
      </c>
      <c r="FS137" s="70" t="s">
        <v>324</v>
      </c>
      <c r="FT137" s="70" t="s">
        <v>324</v>
      </c>
      <c r="FU137" s="70" t="s">
        <v>324</v>
      </c>
    </row>
    <row r="138" spans="1:177">
      <c r="B138" s="64" t="s">
        <v>869</v>
      </c>
      <c r="C138" s="64" t="s">
        <v>2028</v>
      </c>
      <c r="D138" s="64" t="s">
        <v>324</v>
      </c>
      <c r="E138" s="64" t="s">
        <v>324</v>
      </c>
      <c r="F138" s="64" t="s">
        <v>324</v>
      </c>
      <c r="G138" s="64" t="s">
        <v>324</v>
      </c>
      <c r="H138" s="64" t="s">
        <v>324</v>
      </c>
      <c r="I138" s="64" t="s">
        <v>324</v>
      </c>
      <c r="K138" s="64" t="s">
        <v>2028</v>
      </c>
      <c r="L138" s="64" t="s">
        <v>324</v>
      </c>
      <c r="M138" s="64" t="s">
        <v>324</v>
      </c>
      <c r="N138" s="64" t="s">
        <v>324</v>
      </c>
      <c r="O138" s="64" t="s">
        <v>324</v>
      </c>
      <c r="P138" s="64" t="s">
        <v>324</v>
      </c>
      <c r="Q138" s="64" t="s">
        <v>324</v>
      </c>
      <c r="AK138" s="66" t="s">
        <v>1917</v>
      </c>
      <c r="AL138" s="66" t="s">
        <v>2028</v>
      </c>
      <c r="AM138" s="66">
        <v>546</v>
      </c>
      <c r="AN138" s="66">
        <v>493</v>
      </c>
      <c r="AO138" s="66">
        <v>822</v>
      </c>
      <c r="AP138" s="66">
        <v>1202</v>
      </c>
      <c r="AQ138" s="66">
        <v>1027</v>
      </c>
      <c r="AR138" s="66">
        <v>4090</v>
      </c>
      <c r="AS138" s="66"/>
      <c r="AT138" s="66" t="s">
        <v>2028</v>
      </c>
      <c r="AU138" s="66">
        <v>35</v>
      </c>
      <c r="AV138" s="66">
        <v>0</v>
      </c>
      <c r="AW138" s="66">
        <v>0</v>
      </c>
      <c r="AX138" s="66">
        <v>0</v>
      </c>
      <c r="AY138" s="66">
        <v>0</v>
      </c>
      <c r="AZ138" s="66">
        <v>35</v>
      </c>
      <c r="BB138" s="69" t="s">
        <v>1189</v>
      </c>
      <c r="BC138" s="69" t="s">
        <v>2028</v>
      </c>
      <c r="BD138" s="69">
        <v>26</v>
      </c>
      <c r="BE138" s="69">
        <v>38</v>
      </c>
      <c r="BF138" s="69">
        <v>73</v>
      </c>
      <c r="BG138" s="69">
        <v>98</v>
      </c>
      <c r="BH138" s="69">
        <v>163</v>
      </c>
      <c r="BI138" s="69">
        <v>398</v>
      </c>
      <c r="BJ138" s="69"/>
      <c r="BK138" s="69" t="s">
        <v>2028</v>
      </c>
      <c r="BL138" s="69">
        <v>0</v>
      </c>
      <c r="BM138" s="69">
        <v>0</v>
      </c>
      <c r="BN138" s="69">
        <v>0</v>
      </c>
      <c r="BO138" s="69">
        <v>0</v>
      </c>
      <c r="BP138" s="69">
        <v>0</v>
      </c>
      <c r="BQ138" s="69">
        <v>0</v>
      </c>
      <c r="BS138" s="70" t="s">
        <v>1411</v>
      </c>
      <c r="BT138" s="70" t="s">
        <v>2098</v>
      </c>
      <c r="BU138" s="70">
        <v>1268</v>
      </c>
      <c r="BV138" s="70">
        <v>663</v>
      </c>
      <c r="BW138" s="70">
        <v>654</v>
      </c>
      <c r="BX138" s="70">
        <v>570</v>
      </c>
      <c r="BY138" s="70">
        <v>481</v>
      </c>
      <c r="BZ138" s="70">
        <v>3636</v>
      </c>
      <c r="CA138" s="70"/>
      <c r="CB138" s="70" t="s">
        <v>2098</v>
      </c>
      <c r="CC138" s="70">
        <v>381</v>
      </c>
      <c r="CD138" s="70">
        <v>4</v>
      </c>
      <c r="CE138" s="70">
        <v>0</v>
      </c>
      <c r="CF138" s="70">
        <v>0</v>
      </c>
      <c r="CG138" s="70">
        <v>0</v>
      </c>
      <c r="CH138" s="70">
        <v>385</v>
      </c>
      <c r="CL138" s="57" t="s">
        <v>484</v>
      </c>
      <c r="CM138" s="57" t="s">
        <v>2032</v>
      </c>
      <c r="CN138" s="57">
        <v>1253</v>
      </c>
      <c r="CO138" s="57">
        <v>531</v>
      </c>
      <c r="CP138" s="57">
        <v>571</v>
      </c>
      <c r="CQ138" s="57">
        <v>648</v>
      </c>
      <c r="CR138" s="57">
        <v>551</v>
      </c>
      <c r="CS138" s="57">
        <v>3554</v>
      </c>
      <c r="CT138" s="57"/>
      <c r="CU138" s="57" t="s">
        <v>2032</v>
      </c>
      <c r="CV138" s="57">
        <v>328</v>
      </c>
      <c r="CW138" s="57">
        <v>0</v>
      </c>
      <c r="CX138" s="57">
        <v>0</v>
      </c>
      <c r="CY138" s="57">
        <v>0</v>
      </c>
      <c r="CZ138" s="57">
        <v>0</v>
      </c>
      <c r="DA138" s="57">
        <v>328</v>
      </c>
      <c r="DV138" s="79" t="s">
        <v>1982</v>
      </c>
      <c r="DW138" s="79" t="s">
        <v>2098</v>
      </c>
      <c r="DX138" s="79">
        <v>342</v>
      </c>
      <c r="DY138" s="79">
        <v>322</v>
      </c>
      <c r="DZ138" s="79">
        <v>410</v>
      </c>
      <c r="EA138" s="79">
        <v>419</v>
      </c>
      <c r="EB138" s="79">
        <v>354</v>
      </c>
      <c r="EC138" s="79">
        <v>1847</v>
      </c>
      <c r="ED138" s="79"/>
      <c r="EE138" s="79" t="s">
        <v>2098</v>
      </c>
      <c r="EF138" s="79">
        <v>9</v>
      </c>
      <c r="EG138" s="79">
        <v>0</v>
      </c>
      <c r="EH138" s="79">
        <v>0</v>
      </c>
      <c r="EI138" s="79">
        <v>0</v>
      </c>
      <c r="EJ138" s="79">
        <v>0</v>
      </c>
      <c r="EK138" s="79">
        <v>9</v>
      </c>
      <c r="EN138" s="57" t="s">
        <v>1999</v>
      </c>
      <c r="EO138" s="57" t="s">
        <v>2032</v>
      </c>
      <c r="EP138" s="57">
        <v>112</v>
      </c>
      <c r="EQ138" s="57">
        <v>182</v>
      </c>
      <c r="ER138" s="57">
        <v>222</v>
      </c>
      <c r="ES138" s="57">
        <v>304</v>
      </c>
      <c r="ET138" s="57">
        <v>346</v>
      </c>
      <c r="EU138" s="57">
        <v>1166</v>
      </c>
      <c r="EV138" s="57"/>
      <c r="EW138" s="57" t="s">
        <v>2032</v>
      </c>
      <c r="EX138" s="57">
        <v>13</v>
      </c>
      <c r="EY138" s="57">
        <v>3</v>
      </c>
      <c r="EZ138" s="57">
        <v>0</v>
      </c>
      <c r="FA138" s="57">
        <v>2</v>
      </c>
      <c r="FB138" s="57">
        <v>4</v>
      </c>
      <c r="FC138" s="57">
        <v>22</v>
      </c>
      <c r="FF138" s="70" t="s">
        <v>1875</v>
      </c>
      <c r="FG138" s="70" t="s">
        <v>2028</v>
      </c>
      <c r="FH138" s="70" t="s">
        <v>324</v>
      </c>
      <c r="FI138" s="70" t="s">
        <v>324</v>
      </c>
      <c r="FJ138" s="70" t="s">
        <v>324</v>
      </c>
      <c r="FK138" s="70" t="s">
        <v>324</v>
      </c>
      <c r="FL138" s="70" t="s">
        <v>324</v>
      </c>
      <c r="FM138" s="70" t="s">
        <v>324</v>
      </c>
      <c r="FN138" s="70"/>
      <c r="FO138" s="70" t="s">
        <v>2028</v>
      </c>
      <c r="FP138" s="70" t="s">
        <v>324</v>
      </c>
      <c r="FQ138" s="70" t="s">
        <v>324</v>
      </c>
      <c r="FR138" s="70" t="s">
        <v>324</v>
      </c>
      <c r="FS138" s="70" t="s">
        <v>324</v>
      </c>
      <c r="FT138" s="70" t="s">
        <v>324</v>
      </c>
      <c r="FU138" s="70" t="s">
        <v>324</v>
      </c>
    </row>
    <row r="139" spans="1:177">
      <c r="B139" s="64" t="s">
        <v>874</v>
      </c>
      <c r="C139" s="64" t="s">
        <v>2028</v>
      </c>
      <c r="D139" s="64">
        <v>224</v>
      </c>
      <c r="E139" s="64">
        <v>346</v>
      </c>
      <c r="F139" s="64">
        <v>448</v>
      </c>
      <c r="G139" s="64">
        <v>497</v>
      </c>
      <c r="H139" s="64">
        <v>332</v>
      </c>
      <c r="I139" s="64">
        <v>1847</v>
      </c>
      <c r="K139" s="64" t="s">
        <v>2028</v>
      </c>
      <c r="L139" s="64">
        <v>40</v>
      </c>
      <c r="M139" s="64">
        <v>4</v>
      </c>
      <c r="N139" s="64">
        <v>3</v>
      </c>
      <c r="O139" s="64">
        <v>0</v>
      </c>
      <c r="P139" s="64">
        <v>0</v>
      </c>
      <c r="Q139" s="64">
        <v>47</v>
      </c>
      <c r="T139" s="65" t="s">
        <v>939</v>
      </c>
      <c r="U139" s="65" t="s">
        <v>2098</v>
      </c>
      <c r="V139" s="65">
        <v>582</v>
      </c>
      <c r="W139" s="65">
        <v>648</v>
      </c>
      <c r="X139" s="65">
        <v>834</v>
      </c>
      <c r="Y139" s="65">
        <v>901</v>
      </c>
      <c r="Z139" s="65">
        <v>591</v>
      </c>
      <c r="AA139" s="65">
        <v>3556</v>
      </c>
      <c r="AB139" s="65"/>
      <c r="AC139" s="65" t="s">
        <v>2098</v>
      </c>
      <c r="AD139" s="65">
        <v>102</v>
      </c>
      <c r="AE139" s="65">
        <v>7</v>
      </c>
      <c r="AF139" s="65">
        <v>2</v>
      </c>
      <c r="AG139" s="65">
        <v>0</v>
      </c>
      <c r="AH139" s="65">
        <v>0</v>
      </c>
      <c r="AI139" s="65">
        <v>111</v>
      </c>
      <c r="AK139" s="66" t="s">
        <v>1923</v>
      </c>
      <c r="AL139" s="66" t="s">
        <v>2028</v>
      </c>
      <c r="AM139" s="66">
        <v>199</v>
      </c>
      <c r="AN139" s="66">
        <v>334</v>
      </c>
      <c r="AO139" s="66">
        <v>619</v>
      </c>
      <c r="AP139" s="66">
        <v>714</v>
      </c>
      <c r="AQ139" s="66">
        <v>587</v>
      </c>
      <c r="AR139" s="66">
        <v>2453</v>
      </c>
      <c r="AS139" s="66"/>
      <c r="AT139" s="66" t="s">
        <v>2028</v>
      </c>
      <c r="AU139" s="66">
        <v>19</v>
      </c>
      <c r="AV139" s="66">
        <v>5</v>
      </c>
      <c r="AW139" s="66">
        <v>6</v>
      </c>
      <c r="AX139" s="66">
        <v>2</v>
      </c>
      <c r="AY139" s="66">
        <v>2</v>
      </c>
      <c r="AZ139" s="66">
        <v>34</v>
      </c>
      <c r="BB139" s="69" t="s">
        <v>1193</v>
      </c>
      <c r="BC139" s="69" t="s">
        <v>2028</v>
      </c>
      <c r="BD139" s="69">
        <v>118</v>
      </c>
      <c r="BE139" s="69">
        <v>157</v>
      </c>
      <c r="BF139" s="69">
        <v>285</v>
      </c>
      <c r="BG139" s="69">
        <v>449</v>
      </c>
      <c r="BH139" s="69">
        <v>527</v>
      </c>
      <c r="BI139" s="69">
        <v>1536</v>
      </c>
      <c r="BJ139" s="69"/>
      <c r="BK139" s="69" t="s">
        <v>2028</v>
      </c>
      <c r="BL139" s="69">
        <v>19</v>
      </c>
      <c r="BM139" s="69">
        <v>1</v>
      </c>
      <c r="BN139" s="69">
        <v>1</v>
      </c>
      <c r="BO139" s="69">
        <v>0</v>
      </c>
      <c r="BP139" s="69">
        <v>0</v>
      </c>
      <c r="BQ139" s="69">
        <v>21</v>
      </c>
      <c r="BS139" s="70" t="s">
        <v>1423</v>
      </c>
      <c r="BT139" s="70" t="s">
        <v>2098</v>
      </c>
      <c r="BU139" s="70">
        <v>352</v>
      </c>
      <c r="BV139" s="70">
        <v>218</v>
      </c>
      <c r="BW139" s="70">
        <v>298</v>
      </c>
      <c r="BX139" s="70">
        <v>328</v>
      </c>
      <c r="BY139" s="70">
        <v>298</v>
      </c>
      <c r="BZ139" s="70">
        <v>1494</v>
      </c>
      <c r="CA139" s="70"/>
      <c r="CB139" s="70" t="s">
        <v>2098</v>
      </c>
      <c r="CC139" s="70">
        <v>140</v>
      </c>
      <c r="CD139" s="70">
        <v>0</v>
      </c>
      <c r="CE139" s="70">
        <v>0</v>
      </c>
      <c r="CF139" s="70">
        <v>0</v>
      </c>
      <c r="CG139" s="70">
        <v>0</v>
      </c>
      <c r="CH139" s="70">
        <v>140</v>
      </c>
      <c r="CL139" s="57" t="s">
        <v>511</v>
      </c>
      <c r="CM139" s="57" t="s">
        <v>2032</v>
      </c>
      <c r="CN139" s="57">
        <v>215</v>
      </c>
      <c r="CO139" s="57">
        <v>139</v>
      </c>
      <c r="CP139" s="57">
        <v>231</v>
      </c>
      <c r="CQ139" s="57">
        <v>267</v>
      </c>
      <c r="CR139" s="57">
        <v>217</v>
      </c>
      <c r="CS139" s="57">
        <v>1069</v>
      </c>
      <c r="CT139" s="57"/>
      <c r="CU139" s="57" t="s">
        <v>2032</v>
      </c>
      <c r="CV139" s="57">
        <v>27</v>
      </c>
      <c r="CW139" s="57">
        <v>0</v>
      </c>
      <c r="CX139" s="57">
        <v>0</v>
      </c>
      <c r="CY139" s="57">
        <v>0</v>
      </c>
      <c r="CZ139" s="57">
        <v>0</v>
      </c>
      <c r="DA139" s="57">
        <v>27</v>
      </c>
      <c r="DT139" s="16" t="s">
        <v>2022</v>
      </c>
      <c r="DU139" s="16" t="s">
        <v>1658</v>
      </c>
      <c r="DV139" s="79" t="s">
        <v>2691</v>
      </c>
      <c r="DW139" s="79" t="s">
        <v>2098</v>
      </c>
      <c r="DX139" s="79">
        <v>249</v>
      </c>
      <c r="DY139" s="79">
        <v>336</v>
      </c>
      <c r="DZ139" s="79">
        <v>444</v>
      </c>
      <c r="EA139" s="79">
        <v>497</v>
      </c>
      <c r="EB139" s="79">
        <v>520</v>
      </c>
      <c r="EC139" s="79">
        <v>2046</v>
      </c>
      <c r="ED139" s="79"/>
      <c r="EE139" s="79" t="s">
        <v>2098</v>
      </c>
      <c r="EF139" s="79">
        <v>13</v>
      </c>
      <c r="EG139" s="79">
        <v>0</v>
      </c>
      <c r="EH139" s="79">
        <v>0</v>
      </c>
      <c r="EI139" s="79">
        <v>0</v>
      </c>
      <c r="EJ139" s="79">
        <v>0</v>
      </c>
      <c r="EK139" s="79">
        <v>13</v>
      </c>
      <c r="EN139" s="57" t="s">
        <v>1774</v>
      </c>
      <c r="EO139" s="57" t="s">
        <v>2032</v>
      </c>
      <c r="EP139" s="57">
        <v>77</v>
      </c>
      <c r="EQ139" s="57">
        <v>142</v>
      </c>
      <c r="ER139" s="57">
        <v>205</v>
      </c>
      <c r="ES139" s="57">
        <v>254</v>
      </c>
      <c r="ET139" s="57">
        <v>287</v>
      </c>
      <c r="EU139" s="57">
        <v>965</v>
      </c>
      <c r="EV139" s="57"/>
      <c r="EW139" s="57" t="s">
        <v>2032</v>
      </c>
      <c r="EX139" s="57">
        <v>4</v>
      </c>
      <c r="EY139" s="57">
        <v>1</v>
      </c>
      <c r="EZ139" s="57">
        <v>0</v>
      </c>
      <c r="FA139" s="57">
        <v>0</v>
      </c>
      <c r="FB139" s="57">
        <v>2</v>
      </c>
      <c r="FC139" s="57">
        <v>7</v>
      </c>
    </row>
    <row r="140" spans="1:177">
      <c r="B140" s="64" t="s">
        <v>878</v>
      </c>
      <c r="C140" s="64" t="s">
        <v>2028</v>
      </c>
      <c r="D140" s="64">
        <v>627</v>
      </c>
      <c r="E140" s="64">
        <v>559</v>
      </c>
      <c r="F140" s="64">
        <v>509</v>
      </c>
      <c r="G140" s="64">
        <v>509</v>
      </c>
      <c r="H140" s="64">
        <v>350</v>
      </c>
      <c r="I140" s="64">
        <v>2554</v>
      </c>
      <c r="K140" s="64" t="s">
        <v>2028</v>
      </c>
      <c r="L140" s="64">
        <v>81</v>
      </c>
      <c r="M140" s="64">
        <v>0</v>
      </c>
      <c r="N140" s="64">
        <v>0</v>
      </c>
      <c r="O140" s="64">
        <v>0</v>
      </c>
      <c r="P140" s="64">
        <v>0</v>
      </c>
      <c r="Q140" s="64">
        <v>81</v>
      </c>
      <c r="T140" s="65" t="s">
        <v>947</v>
      </c>
      <c r="U140" s="65" t="s">
        <v>2098</v>
      </c>
      <c r="V140" s="65">
        <v>159</v>
      </c>
      <c r="W140" s="65">
        <v>187</v>
      </c>
      <c r="X140" s="65">
        <v>302</v>
      </c>
      <c r="Y140" s="65">
        <v>349</v>
      </c>
      <c r="Z140" s="65">
        <v>326</v>
      </c>
      <c r="AA140" s="65">
        <v>1323</v>
      </c>
      <c r="AB140" s="65"/>
      <c r="AC140" s="65" t="s">
        <v>2098</v>
      </c>
      <c r="AD140" s="65">
        <v>13</v>
      </c>
      <c r="AE140" s="65">
        <v>2</v>
      </c>
      <c r="AF140" s="65">
        <v>0</v>
      </c>
      <c r="AG140" s="65">
        <v>0</v>
      </c>
      <c r="AH140" s="65">
        <v>0</v>
      </c>
      <c r="AI140" s="65">
        <v>15</v>
      </c>
      <c r="AK140" s="66" t="s">
        <v>1947</v>
      </c>
      <c r="AL140" s="66" t="s">
        <v>2028</v>
      </c>
      <c r="AM140" s="66">
        <v>456</v>
      </c>
      <c r="AN140" s="66">
        <v>591</v>
      </c>
      <c r="AO140" s="66">
        <v>835</v>
      </c>
      <c r="AP140" s="66">
        <v>836</v>
      </c>
      <c r="AQ140" s="66">
        <v>532</v>
      </c>
      <c r="AR140" s="66">
        <v>3250</v>
      </c>
      <c r="AS140" s="66"/>
      <c r="AT140" s="66" t="s">
        <v>2028</v>
      </c>
      <c r="AU140" s="66">
        <v>21</v>
      </c>
      <c r="AV140" s="66">
        <v>2</v>
      </c>
      <c r="AW140" s="66">
        <v>5</v>
      </c>
      <c r="AX140" s="66">
        <v>2</v>
      </c>
      <c r="AY140" s="66">
        <v>0</v>
      </c>
      <c r="AZ140" s="66">
        <v>30</v>
      </c>
      <c r="BB140" s="69" t="s">
        <v>1197</v>
      </c>
      <c r="BC140" s="69" t="s">
        <v>2028</v>
      </c>
      <c r="BD140" s="69">
        <v>318</v>
      </c>
      <c r="BE140" s="69">
        <v>217</v>
      </c>
      <c r="BF140" s="69">
        <v>335</v>
      </c>
      <c r="BG140" s="69">
        <v>386</v>
      </c>
      <c r="BH140" s="69">
        <v>329</v>
      </c>
      <c r="BI140" s="69">
        <v>1585</v>
      </c>
      <c r="BJ140" s="69"/>
      <c r="BK140" s="69" t="s">
        <v>2028</v>
      </c>
      <c r="BL140" s="69">
        <v>14</v>
      </c>
      <c r="BM140" s="69">
        <v>0</v>
      </c>
      <c r="BN140" s="69">
        <v>0</v>
      </c>
      <c r="BO140" s="69">
        <v>0</v>
      </c>
      <c r="BP140" s="69">
        <v>0</v>
      </c>
      <c r="BQ140" s="69">
        <v>14</v>
      </c>
      <c r="BS140" s="70" t="s">
        <v>1425</v>
      </c>
      <c r="BT140" s="70" t="s">
        <v>2098</v>
      </c>
      <c r="BU140" s="70">
        <v>892</v>
      </c>
      <c r="BV140" s="70">
        <v>352</v>
      </c>
      <c r="BW140" s="70">
        <v>468</v>
      </c>
      <c r="BX140" s="70">
        <v>625</v>
      </c>
      <c r="BY140" s="70">
        <v>549</v>
      </c>
      <c r="BZ140" s="70">
        <v>2886</v>
      </c>
      <c r="CA140" s="70"/>
      <c r="CB140" s="70" t="s">
        <v>2098</v>
      </c>
      <c r="CC140" s="70">
        <v>300</v>
      </c>
      <c r="CD140" s="70">
        <v>0</v>
      </c>
      <c r="CE140" s="70">
        <v>0</v>
      </c>
      <c r="CF140" s="70">
        <v>0</v>
      </c>
      <c r="CG140" s="70">
        <v>0</v>
      </c>
      <c r="CH140" s="70">
        <v>300</v>
      </c>
      <c r="CL140" s="57" t="s">
        <v>531</v>
      </c>
      <c r="CM140" s="57" t="s">
        <v>2032</v>
      </c>
      <c r="CN140" s="57">
        <v>31</v>
      </c>
      <c r="CO140" s="57">
        <v>32</v>
      </c>
      <c r="CP140" s="57">
        <v>44</v>
      </c>
      <c r="CQ140" s="57">
        <v>87</v>
      </c>
      <c r="CR140" s="57">
        <v>79</v>
      </c>
      <c r="CS140" s="57">
        <v>273</v>
      </c>
      <c r="CT140" s="57"/>
      <c r="CU140" s="57" t="s">
        <v>2032</v>
      </c>
      <c r="CV140" s="57">
        <v>20</v>
      </c>
      <c r="CW140" s="57">
        <v>0</v>
      </c>
      <c r="CX140" s="57">
        <v>0</v>
      </c>
      <c r="CY140" s="57">
        <v>0</v>
      </c>
      <c r="CZ140" s="57">
        <v>0</v>
      </c>
      <c r="DA140" s="57">
        <v>20</v>
      </c>
      <c r="DT140" s="16" t="s">
        <v>2022</v>
      </c>
      <c r="DU140" s="16" t="s">
        <v>1661</v>
      </c>
      <c r="DV140" s="79" t="s">
        <v>2688</v>
      </c>
      <c r="DW140" s="79" t="s">
        <v>2098</v>
      </c>
      <c r="DX140" s="79">
        <v>1534</v>
      </c>
      <c r="DY140" s="79">
        <v>774</v>
      </c>
      <c r="DZ140" s="79">
        <v>671</v>
      </c>
      <c r="EA140" s="79">
        <v>588</v>
      </c>
      <c r="EB140" s="79">
        <v>759</v>
      </c>
      <c r="EC140" s="79">
        <v>4326</v>
      </c>
      <c r="ED140" s="79"/>
      <c r="EE140" s="79" t="s">
        <v>2098</v>
      </c>
      <c r="EF140" s="79">
        <v>323</v>
      </c>
      <c r="EG140" s="79">
        <v>38</v>
      </c>
      <c r="EH140" s="79">
        <v>22</v>
      </c>
      <c r="EI140" s="79">
        <v>7</v>
      </c>
      <c r="EJ140" s="79">
        <v>2</v>
      </c>
      <c r="EK140" s="79">
        <v>392</v>
      </c>
      <c r="EN140" s="57" t="s">
        <v>1778</v>
      </c>
      <c r="EO140" s="57" t="s">
        <v>2032</v>
      </c>
      <c r="EP140" s="57">
        <v>133</v>
      </c>
      <c r="EQ140" s="57">
        <v>195</v>
      </c>
      <c r="ER140" s="57">
        <v>274</v>
      </c>
      <c r="ES140" s="57">
        <v>383</v>
      </c>
      <c r="ET140" s="57">
        <v>408</v>
      </c>
      <c r="EU140" s="57">
        <v>1393</v>
      </c>
      <c r="EV140" s="57"/>
      <c r="EW140" s="57" t="s">
        <v>2032</v>
      </c>
      <c r="EX140" s="57">
        <v>15</v>
      </c>
      <c r="EY140" s="57">
        <v>4</v>
      </c>
      <c r="EZ140" s="57">
        <v>5</v>
      </c>
      <c r="FA140" s="57">
        <v>1</v>
      </c>
      <c r="FB140" s="57">
        <v>0</v>
      </c>
      <c r="FC140" s="57">
        <v>25</v>
      </c>
      <c r="FF140" s="70" t="s">
        <v>1790</v>
      </c>
      <c r="FG140" s="70" t="s">
        <v>2032</v>
      </c>
      <c r="FH140" s="70">
        <v>2412</v>
      </c>
      <c r="FI140" s="70">
        <v>1193</v>
      </c>
      <c r="FJ140" s="70">
        <v>782</v>
      </c>
      <c r="FK140" s="70">
        <v>733</v>
      </c>
      <c r="FL140" s="70">
        <v>866</v>
      </c>
      <c r="FM140" s="70">
        <v>5986</v>
      </c>
      <c r="FN140" s="70"/>
      <c r="FO140" s="70" t="s">
        <v>2032</v>
      </c>
      <c r="FP140" s="70">
        <v>477</v>
      </c>
      <c r="FQ140" s="70">
        <v>50</v>
      </c>
      <c r="FR140" s="70">
        <v>3</v>
      </c>
      <c r="FS140" s="70">
        <v>0</v>
      </c>
      <c r="FT140" s="70">
        <v>0</v>
      </c>
      <c r="FU140" s="70">
        <v>530</v>
      </c>
    </row>
    <row r="141" spans="1:177">
      <c r="B141" s="64" t="s">
        <v>882</v>
      </c>
      <c r="C141" s="64" t="s">
        <v>2028</v>
      </c>
      <c r="D141" s="64">
        <v>579</v>
      </c>
      <c r="E141" s="64">
        <v>501</v>
      </c>
      <c r="F141" s="64">
        <v>531</v>
      </c>
      <c r="G141" s="64">
        <v>584</v>
      </c>
      <c r="H141" s="64">
        <v>355</v>
      </c>
      <c r="I141" s="64">
        <v>2550</v>
      </c>
      <c r="K141" s="64" t="s">
        <v>2028</v>
      </c>
      <c r="L141" s="64">
        <v>90</v>
      </c>
      <c r="M141" s="64">
        <v>5</v>
      </c>
      <c r="N141" s="64">
        <v>4</v>
      </c>
      <c r="O141" s="64">
        <v>0</v>
      </c>
      <c r="P141" s="64">
        <v>0</v>
      </c>
      <c r="Q141" s="64">
        <v>99</v>
      </c>
      <c r="T141" s="65" t="s">
        <v>952</v>
      </c>
      <c r="U141" s="65" t="s">
        <v>2098</v>
      </c>
      <c r="V141" s="65">
        <v>277</v>
      </c>
      <c r="W141" s="65">
        <v>118</v>
      </c>
      <c r="X141" s="65">
        <v>188</v>
      </c>
      <c r="Y141" s="65">
        <v>233</v>
      </c>
      <c r="Z141" s="65">
        <v>202</v>
      </c>
      <c r="AA141" s="65">
        <v>1018</v>
      </c>
      <c r="AB141" s="65"/>
      <c r="AC141" s="65" t="s">
        <v>2098</v>
      </c>
      <c r="AD141" s="65">
        <v>25</v>
      </c>
      <c r="AE141" s="65">
        <v>0</v>
      </c>
      <c r="AF141" s="65">
        <v>0</v>
      </c>
      <c r="AG141" s="65">
        <v>0</v>
      </c>
      <c r="AH141" s="65">
        <v>0</v>
      </c>
      <c r="AI141" s="65">
        <v>25</v>
      </c>
      <c r="AK141" s="66" t="s">
        <v>1941</v>
      </c>
      <c r="AL141" s="66" t="s">
        <v>2028</v>
      </c>
      <c r="AM141" s="66">
        <v>282</v>
      </c>
      <c r="AN141" s="66">
        <v>431</v>
      </c>
      <c r="AO141" s="66">
        <v>677</v>
      </c>
      <c r="AP141" s="66">
        <v>791</v>
      </c>
      <c r="AQ141" s="66">
        <v>501</v>
      </c>
      <c r="AR141" s="66">
        <v>2682</v>
      </c>
      <c r="AS141" s="66"/>
      <c r="AT141" s="66" t="s">
        <v>2028</v>
      </c>
      <c r="AU141" s="66">
        <v>38</v>
      </c>
      <c r="AV141" s="66">
        <v>2</v>
      </c>
      <c r="AW141" s="66">
        <v>1</v>
      </c>
      <c r="AX141" s="66">
        <v>0</v>
      </c>
      <c r="AY141" s="66">
        <v>0</v>
      </c>
      <c r="AZ141" s="66">
        <v>41</v>
      </c>
      <c r="BB141" s="69" t="s">
        <v>1201</v>
      </c>
      <c r="BC141" s="69" t="s">
        <v>2028</v>
      </c>
      <c r="BD141" s="69">
        <v>1062</v>
      </c>
      <c r="BE141" s="69">
        <v>498</v>
      </c>
      <c r="BF141" s="69">
        <v>774</v>
      </c>
      <c r="BG141" s="69">
        <v>902</v>
      </c>
      <c r="BH141" s="69">
        <v>774</v>
      </c>
      <c r="BI141" s="69">
        <v>4010</v>
      </c>
      <c r="BJ141" s="69"/>
      <c r="BK141" s="69" t="s">
        <v>2028</v>
      </c>
      <c r="BL141" s="69">
        <v>220</v>
      </c>
      <c r="BM141" s="69">
        <v>0</v>
      </c>
      <c r="BN141" s="69">
        <v>0</v>
      </c>
      <c r="BO141" s="69">
        <v>0</v>
      </c>
      <c r="BP141" s="69">
        <v>0</v>
      </c>
      <c r="BQ141" s="69">
        <v>220</v>
      </c>
      <c r="BS141" s="70" t="s">
        <v>1428</v>
      </c>
      <c r="BT141" s="70" t="s">
        <v>2098</v>
      </c>
      <c r="BU141" s="70">
        <v>97</v>
      </c>
      <c r="BV141" s="70">
        <v>129</v>
      </c>
      <c r="BW141" s="70">
        <v>248</v>
      </c>
      <c r="BX141" s="70">
        <v>406</v>
      </c>
      <c r="BY141" s="70">
        <v>306</v>
      </c>
      <c r="BZ141" s="70">
        <v>1186</v>
      </c>
      <c r="CA141" s="70"/>
      <c r="CB141" s="70" t="s">
        <v>2098</v>
      </c>
      <c r="CC141" s="70">
        <v>29</v>
      </c>
      <c r="CD141" s="70">
        <v>0</v>
      </c>
      <c r="CE141" s="70">
        <v>0</v>
      </c>
      <c r="CF141" s="70">
        <v>0</v>
      </c>
      <c r="CG141" s="70">
        <v>0</v>
      </c>
      <c r="CH141" s="70">
        <v>29</v>
      </c>
      <c r="CL141" s="57" t="s">
        <v>513</v>
      </c>
      <c r="CM141" s="57" t="s">
        <v>2032</v>
      </c>
      <c r="CN141" s="57">
        <v>123</v>
      </c>
      <c r="CO141" s="57">
        <v>90</v>
      </c>
      <c r="CP141" s="57">
        <v>183</v>
      </c>
      <c r="CQ141" s="57">
        <v>239</v>
      </c>
      <c r="CR141" s="57">
        <v>212</v>
      </c>
      <c r="CS141" s="57">
        <v>847</v>
      </c>
      <c r="CT141" s="57"/>
      <c r="CU141" s="57" t="s">
        <v>2032</v>
      </c>
      <c r="CV141" s="57">
        <v>19</v>
      </c>
      <c r="CW141" s="57">
        <v>0</v>
      </c>
      <c r="CX141" s="57">
        <v>0</v>
      </c>
      <c r="CY141" s="57">
        <v>0</v>
      </c>
      <c r="CZ141" s="57">
        <v>0</v>
      </c>
      <c r="DA141" s="57">
        <v>19</v>
      </c>
      <c r="DT141" s="16" t="s">
        <v>2022</v>
      </c>
      <c r="DU141" s="16" t="s">
        <v>1664</v>
      </c>
      <c r="DV141" s="79" t="s">
        <v>1664</v>
      </c>
      <c r="DW141" s="79" t="s">
        <v>2098</v>
      </c>
      <c r="DX141" s="79">
        <v>189</v>
      </c>
      <c r="DY141" s="79">
        <v>253</v>
      </c>
      <c r="DZ141" s="79">
        <v>322</v>
      </c>
      <c r="EA141" s="79">
        <v>349</v>
      </c>
      <c r="EB141" s="79">
        <v>300</v>
      </c>
      <c r="EC141" s="79">
        <v>1413</v>
      </c>
      <c r="ED141" s="79"/>
      <c r="EE141" s="79" t="s">
        <v>2098</v>
      </c>
      <c r="EF141" s="79">
        <v>15</v>
      </c>
      <c r="EG141" s="79">
        <v>2</v>
      </c>
      <c r="EH141" s="79">
        <v>0</v>
      </c>
      <c r="EI141" s="79">
        <v>0</v>
      </c>
      <c r="EJ141" s="79">
        <v>0</v>
      </c>
      <c r="EK141" s="79">
        <v>17</v>
      </c>
      <c r="EN141" s="57" t="s">
        <v>2001</v>
      </c>
      <c r="EO141" s="57" t="s">
        <v>2032</v>
      </c>
      <c r="EP141" s="57">
        <v>33</v>
      </c>
      <c r="EQ141" s="57">
        <v>63</v>
      </c>
      <c r="ER141" s="57">
        <v>96</v>
      </c>
      <c r="ES141" s="57">
        <v>130</v>
      </c>
      <c r="ET141" s="57">
        <v>205</v>
      </c>
      <c r="EU141" s="57">
        <v>527</v>
      </c>
      <c r="EV141" s="57"/>
      <c r="EW141" s="57" t="s">
        <v>2032</v>
      </c>
      <c r="EX141" s="57">
        <v>4</v>
      </c>
      <c r="EY141" s="57">
        <v>0</v>
      </c>
      <c r="EZ141" s="57">
        <v>0</v>
      </c>
      <c r="FA141" s="57">
        <v>0</v>
      </c>
      <c r="FB141" s="57">
        <v>0</v>
      </c>
      <c r="FC141" s="57">
        <v>4</v>
      </c>
      <c r="FF141" s="70" t="s">
        <v>1793</v>
      </c>
      <c r="FG141" s="70" t="s">
        <v>2032</v>
      </c>
      <c r="FH141" s="70">
        <v>163</v>
      </c>
      <c r="FI141" s="70">
        <v>187</v>
      </c>
      <c r="FJ141" s="70">
        <v>242</v>
      </c>
      <c r="FK141" s="70">
        <v>348</v>
      </c>
      <c r="FL141" s="70">
        <v>429</v>
      </c>
      <c r="FM141" s="70">
        <v>1369</v>
      </c>
      <c r="FN141" s="70"/>
      <c r="FO141" s="70" t="s">
        <v>2032</v>
      </c>
      <c r="FP141" s="70">
        <v>11</v>
      </c>
      <c r="FQ141" s="70">
        <v>1</v>
      </c>
      <c r="FR141" s="70">
        <v>2</v>
      </c>
      <c r="FS141" s="70">
        <v>3</v>
      </c>
      <c r="FT141" s="70">
        <v>2</v>
      </c>
      <c r="FU141" s="70">
        <v>19</v>
      </c>
    </row>
    <row r="142" spans="1:177">
      <c r="B142" s="64" t="s">
        <v>889</v>
      </c>
      <c r="C142" s="64" t="s">
        <v>2028</v>
      </c>
      <c r="D142" s="64">
        <v>214</v>
      </c>
      <c r="E142" s="64">
        <v>224</v>
      </c>
      <c r="F142" s="64">
        <v>291</v>
      </c>
      <c r="G142" s="64">
        <v>360</v>
      </c>
      <c r="H142" s="64">
        <v>248</v>
      </c>
      <c r="I142" s="64">
        <v>1337</v>
      </c>
      <c r="K142" s="64" t="s">
        <v>2028</v>
      </c>
      <c r="L142" s="64">
        <v>33</v>
      </c>
      <c r="M142" s="64">
        <v>2</v>
      </c>
      <c r="N142" s="64">
        <v>0</v>
      </c>
      <c r="O142" s="64">
        <v>0</v>
      </c>
      <c r="P142" s="64">
        <v>0</v>
      </c>
      <c r="Q142" s="64">
        <v>35</v>
      </c>
      <c r="T142" s="65" t="s">
        <v>958</v>
      </c>
      <c r="U142" s="65" t="s">
        <v>2098</v>
      </c>
      <c r="V142" s="65">
        <v>492</v>
      </c>
      <c r="W142" s="65">
        <v>647</v>
      </c>
      <c r="X142" s="65">
        <v>734</v>
      </c>
      <c r="Y142" s="65">
        <v>779</v>
      </c>
      <c r="Z142" s="65">
        <v>609</v>
      </c>
      <c r="AA142" s="65">
        <v>3261</v>
      </c>
      <c r="AB142" s="65"/>
      <c r="AC142" s="65" t="s">
        <v>2098</v>
      </c>
      <c r="AD142" s="65">
        <v>50</v>
      </c>
      <c r="AE142" s="65">
        <v>1</v>
      </c>
      <c r="AF142" s="65">
        <v>1</v>
      </c>
      <c r="AG142" s="65">
        <v>1</v>
      </c>
      <c r="AH142" s="65">
        <v>1</v>
      </c>
      <c r="AI142" s="65">
        <v>54</v>
      </c>
      <c r="AK142" s="66" t="s">
        <v>1937</v>
      </c>
      <c r="AL142" s="66" t="s">
        <v>2028</v>
      </c>
      <c r="AM142" s="66">
        <v>616</v>
      </c>
      <c r="AN142" s="66">
        <v>628</v>
      </c>
      <c r="AO142" s="66">
        <v>733</v>
      </c>
      <c r="AP142" s="66">
        <v>821</v>
      </c>
      <c r="AQ142" s="66">
        <v>523</v>
      </c>
      <c r="AR142" s="66">
        <v>3321</v>
      </c>
      <c r="AS142" s="66"/>
      <c r="AT142" s="66" t="s">
        <v>2028</v>
      </c>
      <c r="AU142" s="66">
        <v>56</v>
      </c>
      <c r="AV142" s="66">
        <v>2</v>
      </c>
      <c r="AW142" s="66">
        <v>0</v>
      </c>
      <c r="AX142" s="66">
        <v>0</v>
      </c>
      <c r="AY142" s="66">
        <v>0</v>
      </c>
      <c r="AZ142" s="66">
        <v>58</v>
      </c>
      <c r="BB142" s="69" t="s">
        <v>1204</v>
      </c>
      <c r="BC142" s="69" t="s">
        <v>2028</v>
      </c>
      <c r="BD142" s="69">
        <v>39</v>
      </c>
      <c r="BE142" s="69">
        <v>52</v>
      </c>
      <c r="BF142" s="69">
        <v>90</v>
      </c>
      <c r="BG142" s="69">
        <v>133</v>
      </c>
      <c r="BH142" s="69">
        <v>196</v>
      </c>
      <c r="BI142" s="69">
        <v>510</v>
      </c>
      <c r="BJ142" s="69"/>
      <c r="BK142" s="69" t="s">
        <v>2028</v>
      </c>
      <c r="BL142" s="69">
        <v>10</v>
      </c>
      <c r="BM142" s="69">
        <v>0</v>
      </c>
      <c r="BN142" s="69">
        <v>0</v>
      </c>
      <c r="BO142" s="69">
        <v>0</v>
      </c>
      <c r="BP142" s="69">
        <v>0</v>
      </c>
      <c r="BQ142" s="69">
        <v>10</v>
      </c>
      <c r="BS142" s="70" t="s">
        <v>1430</v>
      </c>
      <c r="BT142" s="70" t="s">
        <v>2098</v>
      </c>
      <c r="BU142" s="70">
        <v>141</v>
      </c>
      <c r="BV142" s="70">
        <v>103</v>
      </c>
      <c r="BW142" s="70">
        <v>211</v>
      </c>
      <c r="BX142" s="70">
        <v>323</v>
      </c>
      <c r="BY142" s="70">
        <v>300</v>
      </c>
      <c r="BZ142" s="70">
        <v>1078</v>
      </c>
      <c r="CA142" s="70"/>
      <c r="CB142" s="70" t="s">
        <v>2098</v>
      </c>
      <c r="CC142" s="70">
        <v>45</v>
      </c>
      <c r="CD142" s="70">
        <v>0</v>
      </c>
      <c r="CE142" s="70">
        <v>0</v>
      </c>
      <c r="CF142" s="70">
        <v>0</v>
      </c>
      <c r="CG142" s="70">
        <v>0</v>
      </c>
      <c r="CH142" s="70">
        <v>45</v>
      </c>
      <c r="CL142" s="57" t="s">
        <v>515</v>
      </c>
      <c r="CM142" s="57" t="s">
        <v>2032</v>
      </c>
      <c r="CN142" s="57">
        <v>300</v>
      </c>
      <c r="CO142" s="57">
        <v>462</v>
      </c>
      <c r="CP142" s="57">
        <v>633</v>
      </c>
      <c r="CQ142" s="57">
        <v>889</v>
      </c>
      <c r="CR142" s="57">
        <v>704</v>
      </c>
      <c r="CS142" s="57">
        <v>2988</v>
      </c>
      <c r="CT142" s="57"/>
      <c r="CU142" s="57" t="s">
        <v>2032</v>
      </c>
      <c r="CV142" s="57">
        <v>18</v>
      </c>
      <c r="CW142" s="57">
        <v>0</v>
      </c>
      <c r="CX142" s="57">
        <v>0</v>
      </c>
      <c r="CY142" s="57">
        <v>0</v>
      </c>
      <c r="CZ142" s="57">
        <v>0</v>
      </c>
      <c r="DA142" s="57">
        <v>18</v>
      </c>
      <c r="DT142" s="16" t="s">
        <v>2022</v>
      </c>
      <c r="DU142" s="16" t="s">
        <v>1667</v>
      </c>
      <c r="DV142" s="79" t="s">
        <v>2697</v>
      </c>
      <c r="DW142" s="79" t="s">
        <v>2098</v>
      </c>
      <c r="DX142" s="79">
        <v>190</v>
      </c>
      <c r="DY142" s="79">
        <v>216</v>
      </c>
      <c r="DZ142" s="79">
        <v>231</v>
      </c>
      <c r="EA142" s="79">
        <v>239</v>
      </c>
      <c r="EB142" s="79">
        <v>224</v>
      </c>
      <c r="EC142" s="79">
        <v>1100</v>
      </c>
      <c r="ED142" s="79"/>
      <c r="EE142" s="79" t="s">
        <v>2098</v>
      </c>
      <c r="EF142" s="79">
        <v>15</v>
      </c>
      <c r="EG142" s="79">
        <v>0</v>
      </c>
      <c r="EH142" s="79">
        <v>0</v>
      </c>
      <c r="EI142" s="79">
        <v>0</v>
      </c>
      <c r="EJ142" s="79">
        <v>0</v>
      </c>
      <c r="EK142" s="79">
        <v>15</v>
      </c>
      <c r="EN142" s="57" t="s">
        <v>2003</v>
      </c>
      <c r="EO142" s="57" t="s">
        <v>2032</v>
      </c>
      <c r="EP142" s="57">
        <v>51</v>
      </c>
      <c r="EQ142" s="57">
        <v>103</v>
      </c>
      <c r="ER142" s="57">
        <v>167</v>
      </c>
      <c r="ES142" s="57">
        <v>241</v>
      </c>
      <c r="ET142" s="57">
        <v>288</v>
      </c>
      <c r="EU142" s="57">
        <v>850</v>
      </c>
      <c r="EV142" s="57"/>
      <c r="EW142" s="57" t="s">
        <v>2032</v>
      </c>
      <c r="EX142" s="57">
        <v>11</v>
      </c>
      <c r="EY142" s="57">
        <v>3</v>
      </c>
      <c r="EZ142" s="57">
        <v>3</v>
      </c>
      <c r="FA142" s="57">
        <v>1</v>
      </c>
      <c r="FB142" s="57">
        <v>0</v>
      </c>
      <c r="FC142" s="57">
        <v>18</v>
      </c>
      <c r="FF142" s="70" t="s">
        <v>1795</v>
      </c>
      <c r="FG142" s="70" t="s">
        <v>2032</v>
      </c>
      <c r="FH142" s="70">
        <v>396</v>
      </c>
      <c r="FI142" s="70">
        <v>423</v>
      </c>
      <c r="FJ142" s="70">
        <v>437</v>
      </c>
      <c r="FK142" s="70">
        <v>426</v>
      </c>
      <c r="FL142" s="70">
        <v>423</v>
      </c>
      <c r="FM142" s="70">
        <v>2105</v>
      </c>
      <c r="FN142" s="70"/>
      <c r="FO142" s="70" t="s">
        <v>2032</v>
      </c>
      <c r="FP142" s="70">
        <v>70</v>
      </c>
      <c r="FQ142" s="70">
        <v>0</v>
      </c>
      <c r="FR142" s="70">
        <v>0</v>
      </c>
      <c r="FS142" s="70">
        <v>0</v>
      </c>
      <c r="FT142" s="70">
        <v>0</v>
      </c>
      <c r="FU142" s="70">
        <v>70</v>
      </c>
    </row>
    <row r="143" spans="1:177">
      <c r="B143" s="64" t="s">
        <v>893</v>
      </c>
      <c r="C143" s="64" t="s">
        <v>2028</v>
      </c>
      <c r="D143" s="64">
        <v>466</v>
      </c>
      <c r="E143" s="64">
        <v>370</v>
      </c>
      <c r="F143" s="64">
        <v>408</v>
      </c>
      <c r="G143" s="64">
        <v>469</v>
      </c>
      <c r="H143" s="64">
        <v>348</v>
      </c>
      <c r="I143" s="64">
        <v>2061</v>
      </c>
      <c r="K143" s="64" t="s">
        <v>2028</v>
      </c>
      <c r="L143" s="64">
        <v>63</v>
      </c>
      <c r="M143" s="64">
        <v>1</v>
      </c>
      <c r="N143" s="64">
        <v>1</v>
      </c>
      <c r="O143" s="64">
        <v>0</v>
      </c>
      <c r="P143" s="64">
        <v>1</v>
      </c>
      <c r="Q143" s="64">
        <v>66</v>
      </c>
      <c r="T143" s="65" t="s">
        <v>962</v>
      </c>
      <c r="U143" s="65" t="s">
        <v>2098</v>
      </c>
      <c r="V143" s="65">
        <v>1466</v>
      </c>
      <c r="W143" s="65">
        <v>1214</v>
      </c>
      <c r="X143" s="65">
        <v>1292</v>
      </c>
      <c r="Y143" s="65">
        <v>1369</v>
      </c>
      <c r="Z143" s="65">
        <v>987</v>
      </c>
      <c r="AA143" s="65">
        <v>6328</v>
      </c>
      <c r="AB143" s="65"/>
      <c r="AC143" s="65" t="s">
        <v>2098</v>
      </c>
      <c r="AD143" s="65">
        <v>148</v>
      </c>
      <c r="AE143" s="65">
        <v>24</v>
      </c>
      <c r="AF143" s="65">
        <v>6</v>
      </c>
      <c r="AG143" s="65">
        <v>1</v>
      </c>
      <c r="AH143" s="65">
        <v>1</v>
      </c>
      <c r="AI143" s="65">
        <v>180</v>
      </c>
      <c r="AK143" s="66" t="s">
        <v>1146</v>
      </c>
      <c r="AL143" s="66" t="s">
        <v>2028</v>
      </c>
      <c r="AM143" s="66">
        <v>407</v>
      </c>
      <c r="AN143" s="66">
        <v>483</v>
      </c>
      <c r="AO143" s="66">
        <v>642</v>
      </c>
      <c r="AP143" s="66">
        <v>831</v>
      </c>
      <c r="AQ143" s="66">
        <v>496</v>
      </c>
      <c r="AR143" s="66">
        <v>2859</v>
      </c>
      <c r="AS143" s="66"/>
      <c r="AT143" s="66" t="s">
        <v>2028</v>
      </c>
      <c r="AU143" s="66">
        <v>45</v>
      </c>
      <c r="AV143" s="66">
        <v>4</v>
      </c>
      <c r="AW143" s="66">
        <v>0</v>
      </c>
      <c r="AX143" s="66">
        <v>1</v>
      </c>
      <c r="AY143" s="66">
        <v>1</v>
      </c>
      <c r="AZ143" s="66">
        <v>51</v>
      </c>
      <c r="BB143" s="69" t="s">
        <v>1207</v>
      </c>
      <c r="BC143" s="69" t="s">
        <v>2028</v>
      </c>
      <c r="BD143" s="69">
        <v>665</v>
      </c>
      <c r="BE143" s="69">
        <v>553</v>
      </c>
      <c r="BF143" s="69">
        <v>752</v>
      </c>
      <c r="BG143" s="69">
        <v>1051</v>
      </c>
      <c r="BH143" s="69">
        <v>942</v>
      </c>
      <c r="BI143" s="69">
        <v>3963</v>
      </c>
      <c r="BJ143" s="69"/>
      <c r="BK143" s="69" t="s">
        <v>2028</v>
      </c>
      <c r="BL143" s="69">
        <v>42</v>
      </c>
      <c r="BM143" s="69">
        <v>0</v>
      </c>
      <c r="BN143" s="69">
        <v>0</v>
      </c>
      <c r="BO143" s="69">
        <v>0</v>
      </c>
      <c r="BP143" s="69">
        <v>0</v>
      </c>
      <c r="BQ143" s="69">
        <v>42</v>
      </c>
      <c r="BS143" s="70" t="s">
        <v>1433</v>
      </c>
      <c r="BT143" s="70" t="s">
        <v>2098</v>
      </c>
      <c r="BU143" s="70">
        <v>79</v>
      </c>
      <c r="BV143" s="70">
        <v>69</v>
      </c>
      <c r="BW143" s="70">
        <v>124</v>
      </c>
      <c r="BX143" s="70">
        <v>177</v>
      </c>
      <c r="BY143" s="70">
        <v>198</v>
      </c>
      <c r="BZ143" s="70">
        <v>647</v>
      </c>
      <c r="CA143" s="70"/>
      <c r="CB143" s="70" t="s">
        <v>2098</v>
      </c>
      <c r="CC143" s="70">
        <v>20</v>
      </c>
      <c r="CD143" s="70">
        <v>0</v>
      </c>
      <c r="CE143" s="70">
        <v>0</v>
      </c>
      <c r="CF143" s="70">
        <v>0</v>
      </c>
      <c r="CG143" s="70">
        <v>0</v>
      </c>
      <c r="CH143" s="70">
        <v>20</v>
      </c>
      <c r="CL143" s="57" t="s">
        <v>507</v>
      </c>
      <c r="CM143" s="57" t="s">
        <v>2032</v>
      </c>
      <c r="CN143" s="57">
        <v>246</v>
      </c>
      <c r="CO143" s="57">
        <v>110</v>
      </c>
      <c r="CP143" s="57">
        <v>157</v>
      </c>
      <c r="CQ143" s="57">
        <v>188</v>
      </c>
      <c r="CR143" s="57">
        <v>269</v>
      </c>
      <c r="CS143" s="57">
        <v>970</v>
      </c>
      <c r="CT143" s="57"/>
      <c r="CU143" s="57" t="s">
        <v>2032</v>
      </c>
      <c r="CV143" s="57">
        <v>57</v>
      </c>
      <c r="CW143" s="57">
        <v>0</v>
      </c>
      <c r="CX143" s="57">
        <v>0</v>
      </c>
      <c r="CY143" s="57">
        <v>0</v>
      </c>
      <c r="CZ143" s="57">
        <v>0</v>
      </c>
      <c r="DA143" s="57">
        <v>57</v>
      </c>
      <c r="DV143" s="79" t="s">
        <v>1670</v>
      </c>
      <c r="DW143" s="79" t="s">
        <v>2098</v>
      </c>
      <c r="DX143" s="79">
        <v>202</v>
      </c>
      <c r="DY143" s="79">
        <v>178</v>
      </c>
      <c r="DZ143" s="79">
        <v>157</v>
      </c>
      <c r="EA143" s="79">
        <v>193</v>
      </c>
      <c r="EB143" s="79">
        <v>192</v>
      </c>
      <c r="EC143" s="79">
        <v>922</v>
      </c>
      <c r="ED143" s="79"/>
      <c r="EE143" s="79" t="s">
        <v>2098</v>
      </c>
      <c r="EF143" s="79">
        <v>11</v>
      </c>
      <c r="EG143" s="79">
        <v>1</v>
      </c>
      <c r="EH143" s="79">
        <v>0</v>
      </c>
      <c r="EI143" s="79">
        <v>0</v>
      </c>
      <c r="EJ143" s="79">
        <v>0</v>
      </c>
      <c r="EK143" s="79">
        <v>12</v>
      </c>
      <c r="EN143" s="57" t="s">
        <v>1781</v>
      </c>
      <c r="EO143" s="57" t="s">
        <v>2032</v>
      </c>
      <c r="EP143" s="57">
        <v>129</v>
      </c>
      <c r="EQ143" s="57">
        <v>212</v>
      </c>
      <c r="ER143" s="57">
        <v>305</v>
      </c>
      <c r="ES143" s="57">
        <v>329</v>
      </c>
      <c r="ET143" s="57">
        <v>449</v>
      </c>
      <c r="EU143" s="57">
        <v>1424</v>
      </c>
      <c r="EV143" s="57"/>
      <c r="EW143" s="57" t="s">
        <v>2032</v>
      </c>
      <c r="EX143" s="57">
        <v>20</v>
      </c>
      <c r="EY143" s="57">
        <v>4</v>
      </c>
      <c r="EZ143" s="57">
        <v>2</v>
      </c>
      <c r="FA143" s="57">
        <v>0</v>
      </c>
      <c r="FB143" s="57">
        <v>1</v>
      </c>
      <c r="FC143" s="57">
        <v>27</v>
      </c>
      <c r="FF143" s="70" t="s">
        <v>1797</v>
      </c>
      <c r="FG143" s="70" t="s">
        <v>2032</v>
      </c>
      <c r="FH143" s="70">
        <v>108</v>
      </c>
      <c r="FI143" s="70">
        <v>132</v>
      </c>
      <c r="FJ143" s="70">
        <v>192</v>
      </c>
      <c r="FK143" s="70">
        <v>256</v>
      </c>
      <c r="FL143" s="70">
        <v>326</v>
      </c>
      <c r="FM143" s="70">
        <v>1014</v>
      </c>
      <c r="FN143" s="70"/>
      <c r="FO143" s="70" t="s">
        <v>2032</v>
      </c>
      <c r="FP143" s="70">
        <v>13</v>
      </c>
      <c r="FQ143" s="70">
        <v>2</v>
      </c>
      <c r="FR143" s="70">
        <v>1</v>
      </c>
      <c r="FS143" s="70">
        <v>2</v>
      </c>
      <c r="FT143" s="70">
        <v>0</v>
      </c>
      <c r="FU143" s="70">
        <v>18</v>
      </c>
    </row>
    <row r="144" spans="1:177">
      <c r="B144" s="64" t="s">
        <v>897</v>
      </c>
      <c r="C144" s="64" t="s">
        <v>2028</v>
      </c>
      <c r="D144" s="64">
        <v>121</v>
      </c>
      <c r="E144" s="64">
        <v>225</v>
      </c>
      <c r="F144" s="64">
        <v>273</v>
      </c>
      <c r="G144" s="64">
        <v>374</v>
      </c>
      <c r="H144" s="64">
        <v>311</v>
      </c>
      <c r="I144" s="64">
        <v>1304</v>
      </c>
      <c r="K144" s="64" t="s">
        <v>2028</v>
      </c>
      <c r="L144" s="64">
        <v>8</v>
      </c>
      <c r="M144" s="64">
        <v>3</v>
      </c>
      <c r="N144" s="64">
        <v>1</v>
      </c>
      <c r="O144" s="64">
        <v>0</v>
      </c>
      <c r="P144" s="64">
        <v>1</v>
      </c>
      <c r="Q144" s="64">
        <v>13</v>
      </c>
      <c r="T144" s="65" t="s">
        <v>965</v>
      </c>
      <c r="U144" s="65" t="s">
        <v>2098</v>
      </c>
      <c r="V144" s="65">
        <v>578</v>
      </c>
      <c r="W144" s="65">
        <v>606</v>
      </c>
      <c r="X144" s="65">
        <v>894</v>
      </c>
      <c r="Y144" s="65">
        <v>1039</v>
      </c>
      <c r="Z144" s="65">
        <v>767</v>
      </c>
      <c r="AA144" s="65">
        <v>3884</v>
      </c>
      <c r="AB144" s="65"/>
      <c r="AC144" s="65" t="s">
        <v>2098</v>
      </c>
      <c r="AD144" s="65">
        <v>70</v>
      </c>
      <c r="AE144" s="65">
        <v>5</v>
      </c>
      <c r="AF144" s="65">
        <v>2</v>
      </c>
      <c r="AG144" s="65">
        <v>0</v>
      </c>
      <c r="AH144" s="65">
        <v>2</v>
      </c>
      <c r="AI144" s="65">
        <v>79</v>
      </c>
      <c r="AK144" s="66" t="s">
        <v>1935</v>
      </c>
      <c r="AL144" s="66" t="s">
        <v>2028</v>
      </c>
      <c r="AM144" s="66">
        <v>135</v>
      </c>
      <c r="AN144" s="66">
        <v>190</v>
      </c>
      <c r="AO144" s="66">
        <v>318</v>
      </c>
      <c r="AP144" s="66">
        <v>420</v>
      </c>
      <c r="AQ144" s="66">
        <v>308</v>
      </c>
      <c r="AR144" s="66">
        <v>1371</v>
      </c>
      <c r="AS144" s="66"/>
      <c r="AT144" s="66" t="s">
        <v>2028</v>
      </c>
      <c r="AU144" s="66">
        <v>22</v>
      </c>
      <c r="AV144" s="66">
        <v>2</v>
      </c>
      <c r="AW144" s="66">
        <v>0</v>
      </c>
      <c r="AX144" s="66">
        <v>0</v>
      </c>
      <c r="AY144" s="66">
        <v>0</v>
      </c>
      <c r="AZ144" s="66">
        <v>24</v>
      </c>
      <c r="BB144" s="69" t="s">
        <v>1210</v>
      </c>
      <c r="BC144" s="69" t="s">
        <v>2028</v>
      </c>
      <c r="BD144" s="69">
        <v>104</v>
      </c>
      <c r="BE144" s="69">
        <v>70</v>
      </c>
      <c r="BF144" s="69">
        <v>138</v>
      </c>
      <c r="BG144" s="69">
        <v>206</v>
      </c>
      <c r="BH144" s="69">
        <v>193</v>
      </c>
      <c r="BI144" s="69">
        <v>711</v>
      </c>
      <c r="BJ144" s="69"/>
      <c r="BK144" s="69" t="s">
        <v>2028</v>
      </c>
      <c r="BL144" s="69">
        <v>45</v>
      </c>
      <c r="BM144" s="69">
        <v>0</v>
      </c>
      <c r="BN144" s="69">
        <v>0</v>
      </c>
      <c r="BO144" s="69">
        <v>0</v>
      </c>
      <c r="BP144" s="69">
        <v>0</v>
      </c>
      <c r="BQ144" s="69">
        <v>45</v>
      </c>
      <c r="BS144" s="70" t="s">
        <v>1436</v>
      </c>
      <c r="BT144" s="70" t="s">
        <v>2098</v>
      </c>
      <c r="BU144" s="70">
        <v>109</v>
      </c>
      <c r="BV144" s="70">
        <v>64</v>
      </c>
      <c r="BW144" s="70">
        <v>148</v>
      </c>
      <c r="BX144" s="70">
        <v>238</v>
      </c>
      <c r="BY144" s="70">
        <v>197</v>
      </c>
      <c r="BZ144" s="70">
        <v>756</v>
      </c>
      <c r="CA144" s="70"/>
      <c r="CB144" s="70" t="s">
        <v>2098</v>
      </c>
      <c r="CC144" s="70">
        <v>45</v>
      </c>
      <c r="CD144" s="70">
        <v>0</v>
      </c>
      <c r="CE144" s="70">
        <v>0</v>
      </c>
      <c r="CF144" s="70">
        <v>0</v>
      </c>
      <c r="CG144" s="70">
        <v>0</v>
      </c>
      <c r="CH144" s="70">
        <v>45</v>
      </c>
      <c r="CL144" s="57" t="s">
        <v>519</v>
      </c>
      <c r="CM144" s="57" t="s">
        <v>2032</v>
      </c>
      <c r="CN144" s="57">
        <v>88</v>
      </c>
      <c r="CO144" s="57">
        <v>88</v>
      </c>
      <c r="CP144" s="57">
        <v>182</v>
      </c>
      <c r="CQ144" s="57">
        <v>228</v>
      </c>
      <c r="CR144" s="57">
        <v>210</v>
      </c>
      <c r="CS144" s="57">
        <v>796</v>
      </c>
      <c r="CT144" s="57"/>
      <c r="CU144" s="57" t="s">
        <v>2032</v>
      </c>
      <c r="CV144" s="57">
        <v>18</v>
      </c>
      <c r="CW144" s="57">
        <v>0</v>
      </c>
      <c r="CX144" s="57">
        <v>0</v>
      </c>
      <c r="CY144" s="57">
        <v>0</v>
      </c>
      <c r="CZ144" s="57">
        <v>0</v>
      </c>
      <c r="DA144" s="57">
        <v>18</v>
      </c>
      <c r="DT144" s="16" t="s">
        <v>2022</v>
      </c>
      <c r="DU144" s="16" t="s">
        <v>1673</v>
      </c>
      <c r="DV144" s="79" t="s">
        <v>2700</v>
      </c>
      <c r="DW144" s="79" t="s">
        <v>2098</v>
      </c>
      <c r="DX144" s="79">
        <v>400</v>
      </c>
      <c r="DY144" s="79">
        <v>449</v>
      </c>
      <c r="DZ144" s="79">
        <v>475</v>
      </c>
      <c r="EA144" s="79">
        <v>430</v>
      </c>
      <c r="EB144" s="79">
        <v>282</v>
      </c>
      <c r="EC144" s="79">
        <v>2036</v>
      </c>
      <c r="ED144" s="79"/>
      <c r="EE144" s="79" t="s">
        <v>2098</v>
      </c>
      <c r="EF144" s="79">
        <v>12</v>
      </c>
      <c r="EG144" s="79">
        <v>5</v>
      </c>
      <c r="EH144" s="79">
        <v>0</v>
      </c>
      <c r="EI144" s="79">
        <v>0</v>
      </c>
      <c r="EJ144" s="79">
        <v>0</v>
      </c>
      <c r="EK144" s="79">
        <v>17</v>
      </c>
      <c r="EN144" s="57" t="s">
        <v>1784</v>
      </c>
      <c r="EO144" s="57" t="s">
        <v>2032</v>
      </c>
      <c r="EP144" s="57">
        <v>63</v>
      </c>
      <c r="EQ144" s="57">
        <v>127</v>
      </c>
      <c r="ER144" s="57">
        <v>221</v>
      </c>
      <c r="ES144" s="57">
        <v>272</v>
      </c>
      <c r="ET144" s="57">
        <v>361</v>
      </c>
      <c r="EU144" s="57">
        <v>1044</v>
      </c>
      <c r="EV144" s="57"/>
      <c r="EW144" s="57" t="s">
        <v>2032</v>
      </c>
      <c r="EX144" s="57">
        <v>17</v>
      </c>
      <c r="EY144" s="57">
        <v>1</v>
      </c>
      <c r="EZ144" s="57">
        <v>3</v>
      </c>
      <c r="FA144" s="57">
        <v>3</v>
      </c>
      <c r="FB144" s="57">
        <v>1</v>
      </c>
      <c r="FC144" s="57">
        <v>25</v>
      </c>
      <c r="FF144" s="70" t="s">
        <v>1800</v>
      </c>
      <c r="FG144" s="70" t="s">
        <v>2032</v>
      </c>
      <c r="FH144" s="70">
        <v>64</v>
      </c>
      <c r="FI144" s="70">
        <v>88</v>
      </c>
      <c r="FJ144" s="70">
        <v>164</v>
      </c>
      <c r="FK144" s="70">
        <v>211</v>
      </c>
      <c r="FL144" s="70">
        <v>294</v>
      </c>
      <c r="FM144" s="70">
        <v>821</v>
      </c>
      <c r="FN144" s="70"/>
      <c r="FO144" s="70" t="s">
        <v>2032</v>
      </c>
      <c r="FP144" s="70">
        <v>8</v>
      </c>
      <c r="FQ144" s="70">
        <v>3</v>
      </c>
      <c r="FR144" s="70">
        <v>2</v>
      </c>
      <c r="FS144" s="70">
        <v>1</v>
      </c>
      <c r="FT144" s="70">
        <v>1</v>
      </c>
      <c r="FU144" s="70">
        <v>15</v>
      </c>
    </row>
    <row r="145" spans="2:177">
      <c r="B145" s="64" t="s">
        <v>902</v>
      </c>
      <c r="C145" s="64" t="s">
        <v>2028</v>
      </c>
      <c r="D145" s="64">
        <v>97</v>
      </c>
      <c r="E145" s="64">
        <v>153</v>
      </c>
      <c r="F145" s="64">
        <v>241</v>
      </c>
      <c r="G145" s="64">
        <v>355</v>
      </c>
      <c r="H145" s="64">
        <v>261</v>
      </c>
      <c r="I145" s="64">
        <v>1107</v>
      </c>
      <c r="K145" s="64" t="s">
        <v>2028</v>
      </c>
      <c r="L145" s="64">
        <v>11</v>
      </c>
      <c r="M145" s="64">
        <v>1</v>
      </c>
      <c r="N145" s="64">
        <v>0</v>
      </c>
      <c r="O145" s="64">
        <v>0</v>
      </c>
      <c r="P145" s="64">
        <v>0</v>
      </c>
      <c r="Q145" s="64">
        <v>12</v>
      </c>
      <c r="T145" s="65" t="s">
        <v>971</v>
      </c>
      <c r="U145" s="65" t="s">
        <v>2098</v>
      </c>
      <c r="V145" s="65">
        <v>453</v>
      </c>
      <c r="W145" s="65">
        <v>375</v>
      </c>
      <c r="X145" s="65">
        <v>535</v>
      </c>
      <c r="Y145" s="65">
        <v>677</v>
      </c>
      <c r="Z145" s="65">
        <v>562</v>
      </c>
      <c r="AA145" s="65">
        <v>2602</v>
      </c>
      <c r="AB145" s="65"/>
      <c r="AC145" s="65" t="s">
        <v>2098</v>
      </c>
      <c r="AD145" s="65">
        <v>19</v>
      </c>
      <c r="AE145" s="65">
        <v>0</v>
      </c>
      <c r="AF145" s="65">
        <v>0</v>
      </c>
      <c r="AG145" s="65">
        <v>0</v>
      </c>
      <c r="AH145" s="65">
        <v>0</v>
      </c>
      <c r="AI145" s="65">
        <v>19</v>
      </c>
      <c r="AK145" s="66" t="s">
        <v>1919</v>
      </c>
      <c r="AL145" s="66" t="s">
        <v>2028</v>
      </c>
      <c r="AM145" s="66">
        <v>246</v>
      </c>
      <c r="AN145" s="66">
        <v>331</v>
      </c>
      <c r="AO145" s="66">
        <v>392</v>
      </c>
      <c r="AP145" s="66">
        <v>467</v>
      </c>
      <c r="AQ145" s="66">
        <v>374</v>
      </c>
      <c r="AR145" s="66">
        <v>1810</v>
      </c>
      <c r="AS145" s="66"/>
      <c r="AT145" s="66" t="s">
        <v>2028</v>
      </c>
      <c r="AU145" s="66">
        <v>18</v>
      </c>
      <c r="AV145" s="66">
        <v>0</v>
      </c>
      <c r="AW145" s="66">
        <v>0</v>
      </c>
      <c r="AX145" s="66">
        <v>0</v>
      </c>
      <c r="AY145" s="66">
        <v>0</v>
      </c>
      <c r="AZ145" s="66">
        <v>18</v>
      </c>
      <c r="BB145" s="69" t="s">
        <v>1215</v>
      </c>
      <c r="BC145" s="69" t="s">
        <v>2028</v>
      </c>
      <c r="BD145" s="69">
        <v>339</v>
      </c>
      <c r="BE145" s="69">
        <v>255</v>
      </c>
      <c r="BF145" s="69">
        <v>365</v>
      </c>
      <c r="BG145" s="69">
        <v>411</v>
      </c>
      <c r="BH145" s="69">
        <v>381</v>
      </c>
      <c r="BI145" s="69">
        <v>1751</v>
      </c>
      <c r="BJ145" s="69"/>
      <c r="BK145" s="69" t="s">
        <v>2028</v>
      </c>
      <c r="BL145" s="69">
        <v>122</v>
      </c>
      <c r="BM145" s="69">
        <v>0</v>
      </c>
      <c r="BN145" s="69">
        <v>0</v>
      </c>
      <c r="BO145" s="69">
        <v>0</v>
      </c>
      <c r="BP145" s="69">
        <v>0</v>
      </c>
      <c r="BQ145" s="69">
        <v>122</v>
      </c>
      <c r="BS145" s="70" t="s">
        <v>1438</v>
      </c>
      <c r="BT145" s="70" t="s">
        <v>2098</v>
      </c>
      <c r="BU145" s="70">
        <v>60</v>
      </c>
      <c r="BV145" s="70">
        <v>171</v>
      </c>
      <c r="BW145" s="70">
        <v>329</v>
      </c>
      <c r="BX145" s="70">
        <v>466</v>
      </c>
      <c r="BY145" s="70">
        <v>425</v>
      </c>
      <c r="BZ145" s="70">
        <v>1451</v>
      </c>
      <c r="CA145" s="70"/>
      <c r="CB145" s="70" t="s">
        <v>2098</v>
      </c>
      <c r="CC145" s="70">
        <v>7</v>
      </c>
      <c r="CD145" s="70">
        <v>0</v>
      </c>
      <c r="CE145" s="70">
        <v>0</v>
      </c>
      <c r="CF145" s="70">
        <v>0</v>
      </c>
      <c r="CG145" s="70">
        <v>0</v>
      </c>
      <c r="CH145" s="70">
        <v>7</v>
      </c>
      <c r="CL145" s="57" t="s">
        <v>522</v>
      </c>
      <c r="CM145" s="57" t="s">
        <v>2032</v>
      </c>
      <c r="CN145" s="57">
        <v>149</v>
      </c>
      <c r="CO145" s="57">
        <v>84</v>
      </c>
      <c r="CP145" s="57">
        <v>137</v>
      </c>
      <c r="CQ145" s="57">
        <v>184</v>
      </c>
      <c r="CR145" s="57">
        <v>189</v>
      </c>
      <c r="CS145" s="57">
        <v>743</v>
      </c>
      <c r="CT145" s="57"/>
      <c r="CU145" s="57" t="s">
        <v>2032</v>
      </c>
      <c r="CV145" s="57">
        <v>54</v>
      </c>
      <c r="CW145" s="57">
        <v>0</v>
      </c>
      <c r="CX145" s="57">
        <v>0</v>
      </c>
      <c r="CY145" s="57">
        <v>0</v>
      </c>
      <c r="CZ145" s="57">
        <v>0</v>
      </c>
      <c r="DA145" s="57">
        <v>54</v>
      </c>
      <c r="DT145" s="16" t="s">
        <v>2022</v>
      </c>
      <c r="DU145" s="16" t="s">
        <v>1676</v>
      </c>
      <c r="DV145" s="79" t="s">
        <v>2703</v>
      </c>
      <c r="DW145" s="79" t="s">
        <v>2098</v>
      </c>
      <c r="DX145" s="79">
        <v>513</v>
      </c>
      <c r="DY145" s="79">
        <v>752</v>
      </c>
      <c r="DZ145" s="79">
        <v>994</v>
      </c>
      <c r="EA145" s="79">
        <v>1214</v>
      </c>
      <c r="EB145" s="79">
        <v>1018</v>
      </c>
      <c r="EC145" s="79">
        <v>4491</v>
      </c>
      <c r="ED145" s="79"/>
      <c r="EE145" s="79" t="s">
        <v>2098</v>
      </c>
      <c r="EF145" s="79">
        <v>24</v>
      </c>
      <c r="EG145" s="79">
        <v>7</v>
      </c>
      <c r="EH145" s="79">
        <v>0</v>
      </c>
      <c r="EI145" s="79">
        <v>0</v>
      </c>
      <c r="EJ145" s="79">
        <v>0</v>
      </c>
      <c r="EK145" s="79">
        <v>31</v>
      </c>
      <c r="EN145" s="57" t="s">
        <v>1787</v>
      </c>
      <c r="EO145" s="57" t="s">
        <v>2032</v>
      </c>
      <c r="EP145" s="57" t="s">
        <v>324</v>
      </c>
      <c r="EQ145" s="57" t="s">
        <v>324</v>
      </c>
      <c r="ER145" s="57" t="s">
        <v>324</v>
      </c>
      <c r="ES145" s="57" t="s">
        <v>324</v>
      </c>
      <c r="ET145" s="57" t="s">
        <v>324</v>
      </c>
      <c r="EU145" s="57" t="s">
        <v>324</v>
      </c>
      <c r="EV145" s="57"/>
      <c r="EW145" s="57" t="s">
        <v>2032</v>
      </c>
      <c r="EX145" s="57" t="s">
        <v>324</v>
      </c>
      <c r="EY145" s="57" t="s">
        <v>324</v>
      </c>
      <c r="EZ145" s="57" t="s">
        <v>324</v>
      </c>
      <c r="FA145" s="57" t="s">
        <v>324</v>
      </c>
      <c r="FB145" s="57" t="s">
        <v>324</v>
      </c>
      <c r="FC145" s="57" t="s">
        <v>324</v>
      </c>
      <c r="FF145" s="70" t="s">
        <v>2005</v>
      </c>
      <c r="FG145" s="70" t="s">
        <v>2032</v>
      </c>
      <c r="FH145" s="70">
        <v>96</v>
      </c>
      <c r="FI145" s="70">
        <v>145</v>
      </c>
      <c r="FJ145" s="70">
        <v>219</v>
      </c>
      <c r="FK145" s="70">
        <v>302</v>
      </c>
      <c r="FL145" s="70">
        <v>403</v>
      </c>
      <c r="FM145" s="70">
        <v>1165</v>
      </c>
      <c r="FN145" s="70"/>
      <c r="FO145" s="70" t="s">
        <v>2032</v>
      </c>
      <c r="FP145" s="70">
        <v>2</v>
      </c>
      <c r="FQ145" s="70">
        <v>3</v>
      </c>
      <c r="FR145" s="70">
        <v>0</v>
      </c>
      <c r="FS145" s="70">
        <v>2</v>
      </c>
      <c r="FT145" s="70">
        <v>0</v>
      </c>
      <c r="FU145" s="70">
        <v>7</v>
      </c>
    </row>
    <row r="146" spans="2:177">
      <c r="B146" s="64" t="s">
        <v>907</v>
      </c>
      <c r="C146" s="64" t="s">
        <v>2028</v>
      </c>
      <c r="D146" s="64">
        <v>385</v>
      </c>
      <c r="E146" s="64">
        <v>372</v>
      </c>
      <c r="F146" s="64">
        <v>429</v>
      </c>
      <c r="G146" s="64">
        <v>517</v>
      </c>
      <c r="H146" s="64">
        <v>383</v>
      </c>
      <c r="I146" s="64">
        <v>2086</v>
      </c>
      <c r="K146" s="64" t="s">
        <v>2028</v>
      </c>
      <c r="L146" s="64">
        <v>47</v>
      </c>
      <c r="M146" s="64">
        <v>5</v>
      </c>
      <c r="N146" s="64">
        <v>2</v>
      </c>
      <c r="O146" s="64">
        <v>1</v>
      </c>
      <c r="P146" s="64">
        <v>0</v>
      </c>
      <c r="Q146" s="64">
        <v>55</v>
      </c>
      <c r="T146" s="65" t="s">
        <v>978</v>
      </c>
      <c r="U146" s="65" t="s">
        <v>2098</v>
      </c>
      <c r="V146" s="65">
        <v>154</v>
      </c>
      <c r="W146" s="65">
        <v>118</v>
      </c>
      <c r="X146" s="65">
        <v>201</v>
      </c>
      <c r="Y146" s="65">
        <v>265</v>
      </c>
      <c r="Z146" s="65">
        <v>246</v>
      </c>
      <c r="AA146" s="65">
        <v>984</v>
      </c>
      <c r="AB146" s="65"/>
      <c r="AC146" s="65" t="s">
        <v>2098</v>
      </c>
      <c r="AD146" s="65">
        <v>10</v>
      </c>
      <c r="AE146" s="65">
        <v>0</v>
      </c>
      <c r="AF146" s="65">
        <v>0</v>
      </c>
      <c r="AG146" s="65">
        <v>0</v>
      </c>
      <c r="AH146" s="65">
        <v>0</v>
      </c>
      <c r="AI146" s="65">
        <v>10</v>
      </c>
      <c r="AK146" s="66" t="s">
        <v>1938</v>
      </c>
      <c r="AL146" s="66" t="s">
        <v>2028</v>
      </c>
      <c r="AM146" s="66">
        <v>265</v>
      </c>
      <c r="AN146" s="66">
        <v>309</v>
      </c>
      <c r="AO146" s="66">
        <v>348</v>
      </c>
      <c r="AP146" s="66">
        <v>344</v>
      </c>
      <c r="AQ146" s="66">
        <v>325</v>
      </c>
      <c r="AR146" s="66">
        <v>1591</v>
      </c>
      <c r="AS146" s="66"/>
      <c r="AT146" s="66" t="s">
        <v>2028</v>
      </c>
      <c r="AU146" s="66">
        <v>27</v>
      </c>
      <c r="AV146" s="66">
        <v>1</v>
      </c>
      <c r="AW146" s="66">
        <v>0</v>
      </c>
      <c r="AX146" s="66">
        <v>0</v>
      </c>
      <c r="AY146" s="66">
        <v>0</v>
      </c>
      <c r="AZ146" s="66">
        <v>28</v>
      </c>
      <c r="BB146" s="69" t="s">
        <v>1218</v>
      </c>
      <c r="BC146" s="69" t="s">
        <v>2028</v>
      </c>
      <c r="BD146" s="69">
        <v>130</v>
      </c>
      <c r="BE146" s="69">
        <v>66</v>
      </c>
      <c r="BF146" s="69">
        <v>119</v>
      </c>
      <c r="BG146" s="69">
        <v>154</v>
      </c>
      <c r="BH146" s="69">
        <v>158</v>
      </c>
      <c r="BI146" s="69">
        <v>627</v>
      </c>
      <c r="BJ146" s="69"/>
      <c r="BK146" s="69" t="s">
        <v>2028</v>
      </c>
      <c r="BL146" s="69">
        <v>33</v>
      </c>
      <c r="BM146" s="69">
        <v>0</v>
      </c>
      <c r="BN146" s="69">
        <v>0</v>
      </c>
      <c r="BO146" s="69">
        <v>0</v>
      </c>
      <c r="BP146" s="69">
        <v>0</v>
      </c>
      <c r="BQ146" s="69">
        <v>33</v>
      </c>
      <c r="BS146" s="70" t="s">
        <v>1440</v>
      </c>
      <c r="BT146" s="70" t="s">
        <v>2098</v>
      </c>
      <c r="BU146" s="70">
        <v>120</v>
      </c>
      <c r="BV146" s="70">
        <v>179</v>
      </c>
      <c r="BW146" s="70">
        <v>369</v>
      </c>
      <c r="BX146" s="70">
        <v>549</v>
      </c>
      <c r="BY146" s="70">
        <v>489</v>
      </c>
      <c r="BZ146" s="70">
        <v>1706</v>
      </c>
      <c r="CA146" s="70"/>
      <c r="CB146" s="70" t="s">
        <v>2098</v>
      </c>
      <c r="CC146" s="70">
        <v>20</v>
      </c>
      <c r="CD146" s="70">
        <v>0</v>
      </c>
      <c r="CE146" s="70">
        <v>0</v>
      </c>
      <c r="CF146" s="70">
        <v>0</v>
      </c>
      <c r="CG146" s="70">
        <v>0</v>
      </c>
      <c r="CH146" s="70">
        <v>20</v>
      </c>
      <c r="CL146" s="57" t="s">
        <v>563</v>
      </c>
      <c r="CM146" s="57" t="s">
        <v>2032</v>
      </c>
      <c r="CN146" s="57">
        <v>41</v>
      </c>
      <c r="CO146" s="57">
        <v>28</v>
      </c>
      <c r="CP146" s="57">
        <v>60</v>
      </c>
      <c r="CQ146" s="57">
        <v>110</v>
      </c>
      <c r="CR146" s="57">
        <v>113</v>
      </c>
      <c r="CS146" s="57">
        <v>352</v>
      </c>
      <c r="CT146" s="57"/>
      <c r="CU146" s="57" t="s">
        <v>2032</v>
      </c>
      <c r="CV146" s="57">
        <v>15</v>
      </c>
      <c r="CW146" s="57">
        <v>0</v>
      </c>
      <c r="CX146" s="57">
        <v>0</v>
      </c>
      <c r="CY146" s="57">
        <v>0</v>
      </c>
      <c r="CZ146" s="57">
        <v>0</v>
      </c>
      <c r="DA146" s="57">
        <v>15</v>
      </c>
      <c r="DV146" s="79" t="s">
        <v>1679</v>
      </c>
      <c r="DW146" s="79" t="s">
        <v>2098</v>
      </c>
      <c r="DX146" s="79">
        <v>231</v>
      </c>
      <c r="DY146" s="79">
        <v>300</v>
      </c>
      <c r="DZ146" s="79">
        <v>354</v>
      </c>
      <c r="EA146" s="79">
        <v>415</v>
      </c>
      <c r="EB146" s="79">
        <v>319</v>
      </c>
      <c r="EC146" s="79">
        <v>1619</v>
      </c>
      <c r="ED146" s="79"/>
      <c r="EE146" s="79" t="s">
        <v>2098</v>
      </c>
      <c r="EF146" s="79">
        <v>17</v>
      </c>
      <c r="EG146" s="79">
        <v>0</v>
      </c>
      <c r="EH146" s="79">
        <v>0</v>
      </c>
      <c r="EI146" s="79">
        <v>0</v>
      </c>
      <c r="EJ146" s="79">
        <v>0</v>
      </c>
      <c r="EK146" s="79">
        <v>17</v>
      </c>
      <c r="FF146" s="70" t="s">
        <v>2006</v>
      </c>
      <c r="FG146" s="70" t="s">
        <v>2032</v>
      </c>
      <c r="FH146" s="70">
        <v>169</v>
      </c>
      <c r="FI146" s="70">
        <v>263</v>
      </c>
      <c r="FJ146" s="70">
        <v>354</v>
      </c>
      <c r="FK146" s="70">
        <v>448</v>
      </c>
      <c r="FL146" s="70">
        <v>634</v>
      </c>
      <c r="FM146" s="70">
        <v>1868</v>
      </c>
      <c r="FN146" s="70"/>
      <c r="FO146" s="70" t="s">
        <v>2032</v>
      </c>
      <c r="FP146" s="70">
        <v>9</v>
      </c>
      <c r="FQ146" s="70">
        <v>6</v>
      </c>
      <c r="FR146" s="70">
        <v>7</v>
      </c>
      <c r="FS146" s="70">
        <v>4</v>
      </c>
      <c r="FT146" s="70">
        <v>7</v>
      </c>
      <c r="FU146" s="70">
        <v>33</v>
      </c>
    </row>
    <row r="147" spans="2:177">
      <c r="B147" s="64" t="s">
        <v>911</v>
      </c>
      <c r="C147" s="64" t="s">
        <v>2028</v>
      </c>
      <c r="D147" s="64" t="s">
        <v>324</v>
      </c>
      <c r="E147" s="64" t="s">
        <v>324</v>
      </c>
      <c r="F147" s="64" t="s">
        <v>324</v>
      </c>
      <c r="G147" s="64" t="s">
        <v>324</v>
      </c>
      <c r="H147" s="64" t="s">
        <v>324</v>
      </c>
      <c r="I147" s="64" t="s">
        <v>324</v>
      </c>
      <c r="K147" s="64" t="s">
        <v>2028</v>
      </c>
      <c r="L147" s="64" t="s">
        <v>324</v>
      </c>
      <c r="M147" s="64" t="s">
        <v>324</v>
      </c>
      <c r="N147" s="64" t="s">
        <v>324</v>
      </c>
      <c r="O147" s="64" t="s">
        <v>324</v>
      </c>
      <c r="P147" s="64" t="s">
        <v>324</v>
      </c>
      <c r="Q147" s="64" t="s">
        <v>324</v>
      </c>
      <c r="T147" s="65" t="s">
        <v>984</v>
      </c>
      <c r="U147" s="65" t="s">
        <v>2098</v>
      </c>
      <c r="V147" s="65">
        <v>661</v>
      </c>
      <c r="W147" s="65">
        <v>530</v>
      </c>
      <c r="X147" s="65">
        <v>721</v>
      </c>
      <c r="Y147" s="65">
        <v>712</v>
      </c>
      <c r="Z147" s="65">
        <v>596</v>
      </c>
      <c r="AA147" s="65">
        <v>3220</v>
      </c>
      <c r="AB147" s="65"/>
      <c r="AC147" s="65" t="s">
        <v>2098</v>
      </c>
      <c r="AD147" s="65">
        <v>14</v>
      </c>
      <c r="AE147" s="65">
        <v>0</v>
      </c>
      <c r="AF147" s="65">
        <v>0</v>
      </c>
      <c r="AG147" s="65">
        <v>0</v>
      </c>
      <c r="AH147" s="65">
        <v>0</v>
      </c>
      <c r="AI147" s="65">
        <v>14</v>
      </c>
      <c r="AK147" s="66" t="s">
        <v>1933</v>
      </c>
      <c r="AL147" s="66" t="s">
        <v>2028</v>
      </c>
      <c r="AM147" s="66">
        <v>167</v>
      </c>
      <c r="AN147" s="66">
        <v>139</v>
      </c>
      <c r="AO147" s="66">
        <v>208</v>
      </c>
      <c r="AP147" s="66">
        <v>255</v>
      </c>
      <c r="AQ147" s="66">
        <v>267</v>
      </c>
      <c r="AR147" s="66">
        <v>1036</v>
      </c>
      <c r="AS147" s="66"/>
      <c r="AT147" s="66" t="s">
        <v>2028</v>
      </c>
      <c r="AU147" s="66">
        <v>52</v>
      </c>
      <c r="AV147" s="66">
        <v>1</v>
      </c>
      <c r="AW147" s="66">
        <v>0</v>
      </c>
      <c r="AX147" s="66">
        <v>0</v>
      </c>
      <c r="AY147" s="66">
        <v>0</v>
      </c>
      <c r="AZ147" s="66">
        <v>53</v>
      </c>
      <c r="BB147" s="69" t="s">
        <v>1221</v>
      </c>
      <c r="BC147" s="69" t="s">
        <v>2028</v>
      </c>
      <c r="BD147" s="69">
        <v>55</v>
      </c>
      <c r="BE147" s="69">
        <v>51</v>
      </c>
      <c r="BF147" s="69">
        <v>90</v>
      </c>
      <c r="BG147" s="69">
        <v>107</v>
      </c>
      <c r="BH147" s="69">
        <v>125</v>
      </c>
      <c r="BI147" s="69">
        <v>428</v>
      </c>
      <c r="BJ147" s="69"/>
      <c r="BK147" s="69" t="s">
        <v>2028</v>
      </c>
      <c r="BL147" s="69">
        <v>21</v>
      </c>
      <c r="BM147" s="69">
        <v>0</v>
      </c>
      <c r="BN147" s="69">
        <v>0</v>
      </c>
      <c r="BO147" s="69">
        <v>0</v>
      </c>
      <c r="BP147" s="69">
        <v>0</v>
      </c>
      <c r="BQ147" s="69">
        <v>21</v>
      </c>
      <c r="BS147" s="70" t="s">
        <v>1442</v>
      </c>
      <c r="BT147" s="70" t="s">
        <v>2098</v>
      </c>
      <c r="BU147" s="70">
        <v>21</v>
      </c>
      <c r="BV147" s="70">
        <v>42</v>
      </c>
      <c r="BW147" s="70">
        <v>101</v>
      </c>
      <c r="BX147" s="70">
        <v>213</v>
      </c>
      <c r="BY147" s="70">
        <v>206</v>
      </c>
      <c r="BZ147" s="70">
        <v>583</v>
      </c>
      <c r="CA147" s="70"/>
      <c r="CB147" s="70" t="s">
        <v>2098</v>
      </c>
      <c r="CC147" s="70">
        <v>0</v>
      </c>
      <c r="CD147" s="70">
        <v>0</v>
      </c>
      <c r="CE147" s="70">
        <v>0</v>
      </c>
      <c r="CF147" s="70">
        <v>0</v>
      </c>
      <c r="CG147" s="70">
        <v>0</v>
      </c>
      <c r="CH147" s="70">
        <v>0</v>
      </c>
      <c r="CL147" s="57" t="s">
        <v>565</v>
      </c>
      <c r="CM147" s="57" t="s">
        <v>2032</v>
      </c>
      <c r="CN147" s="57">
        <v>51</v>
      </c>
      <c r="CO147" s="57">
        <v>58</v>
      </c>
      <c r="CP147" s="57">
        <v>129</v>
      </c>
      <c r="CQ147" s="57">
        <v>187</v>
      </c>
      <c r="CR147" s="57">
        <v>193</v>
      </c>
      <c r="CS147" s="57">
        <v>618</v>
      </c>
      <c r="CT147" s="57"/>
      <c r="CU147" s="57" t="s">
        <v>2032</v>
      </c>
      <c r="CV147" s="57">
        <v>12</v>
      </c>
      <c r="CW147" s="57">
        <v>0</v>
      </c>
      <c r="CX147" s="57">
        <v>0</v>
      </c>
      <c r="CY147" s="57">
        <v>0</v>
      </c>
      <c r="CZ147" s="57">
        <v>0</v>
      </c>
      <c r="DA147" s="57">
        <v>12</v>
      </c>
      <c r="DV147" s="79" t="s">
        <v>1682</v>
      </c>
      <c r="DW147" s="79" t="s">
        <v>2098</v>
      </c>
      <c r="DX147" s="79">
        <v>201</v>
      </c>
      <c r="DY147" s="79">
        <v>225</v>
      </c>
      <c r="DZ147" s="79">
        <v>257</v>
      </c>
      <c r="EA147" s="79">
        <v>269</v>
      </c>
      <c r="EB147" s="79">
        <v>236</v>
      </c>
      <c r="EC147" s="79">
        <v>1188</v>
      </c>
      <c r="ED147" s="79"/>
      <c r="EE147" s="79" t="s">
        <v>2098</v>
      </c>
      <c r="EF147" s="79">
        <v>22</v>
      </c>
      <c r="EG147" s="79">
        <v>0</v>
      </c>
      <c r="EH147" s="79">
        <v>0</v>
      </c>
      <c r="EI147" s="79">
        <v>0</v>
      </c>
      <c r="EJ147" s="79">
        <v>0</v>
      </c>
      <c r="EK147" s="79">
        <v>22</v>
      </c>
      <c r="EN147" s="57" t="s">
        <v>1716</v>
      </c>
      <c r="EO147" s="57" t="s">
        <v>708</v>
      </c>
      <c r="EP147" s="57">
        <v>124</v>
      </c>
      <c r="EQ147" s="57">
        <v>189</v>
      </c>
      <c r="ER147" s="57">
        <v>258</v>
      </c>
      <c r="ES147" s="57">
        <v>345</v>
      </c>
      <c r="ET147" s="57">
        <v>374</v>
      </c>
      <c r="EU147" s="57">
        <v>1290</v>
      </c>
      <c r="EV147" s="57"/>
      <c r="EW147" s="57" t="s">
        <v>25</v>
      </c>
      <c r="EX147" s="57">
        <v>24</v>
      </c>
      <c r="EY147" s="57">
        <v>19</v>
      </c>
      <c r="EZ147" s="57">
        <v>11</v>
      </c>
      <c r="FA147" s="57">
        <v>7</v>
      </c>
      <c r="FB147" s="57">
        <v>4</v>
      </c>
      <c r="FC147" s="57">
        <v>65</v>
      </c>
      <c r="FF147" s="70" t="s">
        <v>1803</v>
      </c>
      <c r="FG147" s="70" t="s">
        <v>2032</v>
      </c>
      <c r="FH147" s="70">
        <v>599</v>
      </c>
      <c r="FI147" s="70">
        <v>583</v>
      </c>
      <c r="FJ147" s="70">
        <v>506</v>
      </c>
      <c r="FK147" s="70">
        <v>538</v>
      </c>
      <c r="FL147" s="70">
        <v>732</v>
      </c>
      <c r="FM147" s="70">
        <v>2958</v>
      </c>
      <c r="FN147" s="70"/>
      <c r="FO147" s="70" t="s">
        <v>2032</v>
      </c>
      <c r="FP147" s="70">
        <v>184</v>
      </c>
      <c r="FQ147" s="70">
        <v>38</v>
      </c>
      <c r="FR147" s="70">
        <v>9</v>
      </c>
      <c r="FS147" s="70">
        <v>0</v>
      </c>
      <c r="FT147" s="70">
        <v>0</v>
      </c>
      <c r="FU147" s="70">
        <v>231</v>
      </c>
    </row>
    <row r="148" spans="2:177">
      <c r="B148" s="64" t="s">
        <v>925</v>
      </c>
      <c r="C148" s="64" t="s">
        <v>2028</v>
      </c>
      <c r="D148" s="64">
        <v>151</v>
      </c>
      <c r="E148" s="64">
        <v>109</v>
      </c>
      <c r="F148" s="64">
        <v>147</v>
      </c>
      <c r="G148" s="64">
        <v>220</v>
      </c>
      <c r="H148" s="64">
        <v>288</v>
      </c>
      <c r="I148" s="64">
        <v>915</v>
      </c>
      <c r="K148" s="64" t="s">
        <v>2028</v>
      </c>
      <c r="L148" s="64">
        <v>16</v>
      </c>
      <c r="M148" s="64">
        <v>0</v>
      </c>
      <c r="N148" s="64">
        <v>0</v>
      </c>
      <c r="O148" s="64">
        <v>0</v>
      </c>
      <c r="P148" s="64">
        <v>0</v>
      </c>
      <c r="Q148" s="64">
        <v>16</v>
      </c>
      <c r="T148" s="65" t="s">
        <v>993</v>
      </c>
      <c r="U148" s="65" t="s">
        <v>2098</v>
      </c>
      <c r="V148" s="65">
        <v>239</v>
      </c>
      <c r="W148" s="65">
        <v>186</v>
      </c>
      <c r="X148" s="65">
        <v>300</v>
      </c>
      <c r="Y148" s="65">
        <v>407</v>
      </c>
      <c r="Z148" s="65">
        <v>316</v>
      </c>
      <c r="AA148" s="65">
        <v>1448</v>
      </c>
      <c r="AB148" s="65"/>
      <c r="AC148" s="65" t="s">
        <v>2098</v>
      </c>
      <c r="AD148" s="65">
        <v>33</v>
      </c>
      <c r="AE148" s="65">
        <v>0</v>
      </c>
      <c r="AF148" s="65">
        <v>0</v>
      </c>
      <c r="AG148" s="65">
        <v>0</v>
      </c>
      <c r="AH148" s="65">
        <v>0</v>
      </c>
      <c r="AI148" s="65">
        <v>33</v>
      </c>
      <c r="AK148" s="66" t="s">
        <v>1934</v>
      </c>
      <c r="AL148" s="66" t="s">
        <v>2028</v>
      </c>
      <c r="AM148" s="66">
        <v>135</v>
      </c>
      <c r="AN148" s="66">
        <v>239</v>
      </c>
      <c r="AO148" s="66">
        <v>397</v>
      </c>
      <c r="AP148" s="66">
        <v>564</v>
      </c>
      <c r="AQ148" s="66">
        <v>446</v>
      </c>
      <c r="AR148" s="66">
        <v>1781</v>
      </c>
      <c r="AS148" s="66"/>
      <c r="AT148" s="66" t="s">
        <v>2028</v>
      </c>
      <c r="AU148" s="66">
        <v>15</v>
      </c>
      <c r="AV148" s="66">
        <v>4</v>
      </c>
      <c r="AW148" s="66">
        <v>0</v>
      </c>
      <c r="AX148" s="66">
        <v>1</v>
      </c>
      <c r="AY148" s="66">
        <v>0</v>
      </c>
      <c r="AZ148" s="66">
        <v>20</v>
      </c>
      <c r="BB148" s="69" t="s">
        <v>1225</v>
      </c>
      <c r="BC148" s="69" t="s">
        <v>2028</v>
      </c>
      <c r="BD148" s="69">
        <v>73</v>
      </c>
      <c r="BE148" s="69">
        <v>55</v>
      </c>
      <c r="BF148" s="69">
        <v>109</v>
      </c>
      <c r="BG148" s="69">
        <v>161</v>
      </c>
      <c r="BH148" s="69">
        <v>153</v>
      </c>
      <c r="BI148" s="69">
        <v>551</v>
      </c>
      <c r="BJ148" s="69"/>
      <c r="BK148" s="69" t="s">
        <v>2028</v>
      </c>
      <c r="BL148" s="69">
        <v>20</v>
      </c>
      <c r="BM148" s="69">
        <v>0</v>
      </c>
      <c r="BN148" s="69">
        <v>0</v>
      </c>
      <c r="BO148" s="69">
        <v>0</v>
      </c>
      <c r="BP148" s="69">
        <v>0</v>
      </c>
      <c r="BQ148" s="69">
        <v>20</v>
      </c>
      <c r="BS148" s="70" t="s">
        <v>1444</v>
      </c>
      <c r="BT148" s="70" t="s">
        <v>2098</v>
      </c>
      <c r="BU148" s="70">
        <v>175</v>
      </c>
      <c r="BV148" s="70">
        <v>153</v>
      </c>
      <c r="BW148" s="70">
        <v>244</v>
      </c>
      <c r="BX148" s="70">
        <v>324</v>
      </c>
      <c r="BY148" s="70">
        <v>306</v>
      </c>
      <c r="BZ148" s="70">
        <v>1202</v>
      </c>
      <c r="CA148" s="70"/>
      <c r="CB148" s="70" t="s">
        <v>2098</v>
      </c>
      <c r="CC148" s="70">
        <v>49</v>
      </c>
      <c r="CD148" s="70">
        <v>0</v>
      </c>
      <c r="CE148" s="70">
        <v>0</v>
      </c>
      <c r="CF148" s="70">
        <v>0</v>
      </c>
      <c r="CG148" s="70">
        <v>0</v>
      </c>
      <c r="CH148" s="70">
        <v>49</v>
      </c>
      <c r="CL148" s="57" t="s">
        <v>569</v>
      </c>
      <c r="CM148" s="57" t="s">
        <v>2032</v>
      </c>
      <c r="CN148" s="57">
        <v>58</v>
      </c>
      <c r="CO148" s="57">
        <v>82</v>
      </c>
      <c r="CP148" s="57">
        <v>135</v>
      </c>
      <c r="CQ148" s="57">
        <v>194</v>
      </c>
      <c r="CR148" s="57">
        <v>169</v>
      </c>
      <c r="CS148" s="57">
        <v>638</v>
      </c>
      <c r="CT148" s="57"/>
      <c r="CU148" s="57" t="s">
        <v>2032</v>
      </c>
      <c r="CV148" s="57">
        <v>1</v>
      </c>
      <c r="CW148" s="57">
        <v>0</v>
      </c>
      <c r="CX148" s="57">
        <v>0</v>
      </c>
      <c r="CY148" s="57">
        <v>0</v>
      </c>
      <c r="CZ148" s="57">
        <v>0</v>
      </c>
      <c r="DA148" s="57">
        <v>1</v>
      </c>
      <c r="DV148" s="79" t="s">
        <v>1686</v>
      </c>
      <c r="DW148" s="79" t="s">
        <v>2098</v>
      </c>
      <c r="DX148" s="79">
        <v>314</v>
      </c>
      <c r="DY148" s="79">
        <v>253</v>
      </c>
      <c r="DZ148" s="79">
        <v>253</v>
      </c>
      <c r="EA148" s="79">
        <v>339</v>
      </c>
      <c r="EB148" s="79">
        <v>294</v>
      </c>
      <c r="EC148" s="79">
        <v>1453</v>
      </c>
      <c r="ED148" s="79"/>
      <c r="EE148" s="79" t="s">
        <v>2098</v>
      </c>
      <c r="EF148" s="79">
        <v>22</v>
      </c>
      <c r="EG148" s="79">
        <v>0</v>
      </c>
      <c r="EH148" s="79">
        <v>0</v>
      </c>
      <c r="EI148" s="79">
        <v>0</v>
      </c>
      <c r="EJ148" s="79">
        <v>0</v>
      </c>
      <c r="EK148" s="79">
        <v>22</v>
      </c>
      <c r="EN148" s="57" t="s">
        <v>1720</v>
      </c>
      <c r="EO148" s="57" t="s">
        <v>708</v>
      </c>
      <c r="EP148" s="57">
        <v>133</v>
      </c>
      <c r="EQ148" s="57">
        <v>191</v>
      </c>
      <c r="ER148" s="57">
        <v>266</v>
      </c>
      <c r="ES148" s="57">
        <v>378</v>
      </c>
      <c r="ET148" s="57">
        <v>424</v>
      </c>
      <c r="EU148" s="57">
        <v>1392</v>
      </c>
      <c r="EV148" s="57"/>
      <c r="EW148" s="57" t="s">
        <v>25</v>
      </c>
      <c r="EX148" s="57">
        <v>45</v>
      </c>
      <c r="EY148" s="57">
        <v>16</v>
      </c>
      <c r="EZ148" s="57">
        <v>8</v>
      </c>
      <c r="FA148" s="57">
        <v>17</v>
      </c>
      <c r="FB148" s="57">
        <v>13</v>
      </c>
      <c r="FC148" s="57">
        <v>99</v>
      </c>
      <c r="FF148" s="70" t="s">
        <v>1806</v>
      </c>
      <c r="FG148" s="70" t="s">
        <v>2032</v>
      </c>
      <c r="FH148" s="70">
        <v>136</v>
      </c>
      <c r="FI148" s="70">
        <v>185</v>
      </c>
      <c r="FJ148" s="70">
        <v>231</v>
      </c>
      <c r="FK148" s="70">
        <v>287</v>
      </c>
      <c r="FL148" s="70">
        <v>371</v>
      </c>
      <c r="FM148" s="70">
        <v>1210</v>
      </c>
      <c r="FN148" s="70"/>
      <c r="FO148" s="70" t="s">
        <v>2032</v>
      </c>
      <c r="FP148" s="70">
        <v>31</v>
      </c>
      <c r="FQ148" s="70">
        <v>7</v>
      </c>
      <c r="FR148" s="70">
        <v>4</v>
      </c>
      <c r="FS148" s="70">
        <v>3</v>
      </c>
      <c r="FT148" s="70">
        <v>1</v>
      </c>
      <c r="FU148" s="70">
        <v>46</v>
      </c>
    </row>
    <row r="149" spans="2:177">
      <c r="B149" s="64" t="s">
        <v>71</v>
      </c>
      <c r="C149" s="64" t="s">
        <v>2028</v>
      </c>
      <c r="D149" s="64">
        <v>181</v>
      </c>
      <c r="E149" s="64">
        <v>267</v>
      </c>
      <c r="F149" s="64">
        <v>384</v>
      </c>
      <c r="G149" s="64">
        <v>513</v>
      </c>
      <c r="H149" s="64">
        <v>345</v>
      </c>
      <c r="I149" s="64">
        <v>1690</v>
      </c>
      <c r="K149" s="64" t="s">
        <v>2028</v>
      </c>
      <c r="L149" s="64">
        <v>21</v>
      </c>
      <c r="M149" s="64">
        <v>1</v>
      </c>
      <c r="N149" s="64">
        <v>1</v>
      </c>
      <c r="O149" s="64">
        <v>1</v>
      </c>
      <c r="P149" s="64">
        <v>0</v>
      </c>
      <c r="Q149" s="64">
        <v>24</v>
      </c>
      <c r="T149" s="65" t="s">
        <v>999</v>
      </c>
      <c r="U149" s="65" t="s">
        <v>2098</v>
      </c>
      <c r="V149" s="65">
        <v>218</v>
      </c>
      <c r="W149" s="65">
        <v>301</v>
      </c>
      <c r="X149" s="65">
        <v>425</v>
      </c>
      <c r="Y149" s="65">
        <v>513</v>
      </c>
      <c r="Z149" s="65">
        <v>453</v>
      </c>
      <c r="AA149" s="65">
        <v>1910</v>
      </c>
      <c r="AB149" s="65"/>
      <c r="AC149" s="65" t="s">
        <v>2098</v>
      </c>
      <c r="AD149" s="65">
        <v>27</v>
      </c>
      <c r="AE149" s="65">
        <v>1</v>
      </c>
      <c r="AF149" s="65">
        <v>0</v>
      </c>
      <c r="AG149" s="65">
        <v>0</v>
      </c>
      <c r="AH149" s="65">
        <v>0</v>
      </c>
      <c r="AI149" s="65">
        <v>28</v>
      </c>
      <c r="AK149" s="66" t="s">
        <v>1939</v>
      </c>
      <c r="AL149" s="66" t="s">
        <v>2028</v>
      </c>
      <c r="AM149" s="66">
        <v>122</v>
      </c>
      <c r="AN149" s="66">
        <v>152</v>
      </c>
      <c r="AO149" s="66">
        <v>224</v>
      </c>
      <c r="AP149" s="66">
        <v>362</v>
      </c>
      <c r="AQ149" s="66">
        <v>250</v>
      </c>
      <c r="AR149" s="66">
        <v>1110</v>
      </c>
      <c r="AS149" s="66"/>
      <c r="AT149" s="66" t="s">
        <v>2028</v>
      </c>
      <c r="AU149" s="66">
        <v>23</v>
      </c>
      <c r="AV149" s="66">
        <v>2</v>
      </c>
      <c r="AW149" s="66">
        <v>0</v>
      </c>
      <c r="AX149" s="66">
        <v>0</v>
      </c>
      <c r="AY149" s="66">
        <v>0</v>
      </c>
      <c r="AZ149" s="66">
        <v>25</v>
      </c>
      <c r="BB149" s="69" t="s">
        <v>1229</v>
      </c>
      <c r="BC149" s="69" t="s">
        <v>2028</v>
      </c>
      <c r="BD149" s="69">
        <v>46</v>
      </c>
      <c r="BE149" s="69">
        <v>42</v>
      </c>
      <c r="BF149" s="69">
        <v>94</v>
      </c>
      <c r="BG149" s="69">
        <v>132</v>
      </c>
      <c r="BH149" s="69">
        <v>145</v>
      </c>
      <c r="BI149" s="69">
        <v>459</v>
      </c>
      <c r="BJ149" s="69"/>
      <c r="BK149" s="69" t="s">
        <v>2028</v>
      </c>
      <c r="BL149" s="69">
        <v>16</v>
      </c>
      <c r="BM149" s="69">
        <v>0</v>
      </c>
      <c r="BN149" s="69">
        <v>0</v>
      </c>
      <c r="BO149" s="69">
        <v>0</v>
      </c>
      <c r="BP149" s="69">
        <v>0</v>
      </c>
      <c r="BQ149" s="69">
        <v>16</v>
      </c>
      <c r="BS149" s="70" t="s">
        <v>1446</v>
      </c>
      <c r="BT149" s="70" t="s">
        <v>2098</v>
      </c>
      <c r="BU149" s="70">
        <v>106</v>
      </c>
      <c r="BV149" s="70">
        <v>94</v>
      </c>
      <c r="BW149" s="70">
        <v>125</v>
      </c>
      <c r="BX149" s="70">
        <v>245</v>
      </c>
      <c r="BY149" s="70">
        <v>231</v>
      </c>
      <c r="BZ149" s="70">
        <v>801</v>
      </c>
      <c r="CA149" s="70"/>
      <c r="CB149" s="70" t="s">
        <v>2098</v>
      </c>
      <c r="CC149" s="70">
        <v>33</v>
      </c>
      <c r="CD149" s="70">
        <v>0</v>
      </c>
      <c r="CE149" s="70">
        <v>0</v>
      </c>
      <c r="CF149" s="70">
        <v>0</v>
      </c>
      <c r="CG149" s="70">
        <v>0</v>
      </c>
      <c r="CH149" s="70">
        <v>33</v>
      </c>
      <c r="CL149" s="57" t="s">
        <v>571</v>
      </c>
      <c r="CM149" s="57" t="s">
        <v>2032</v>
      </c>
      <c r="CN149" s="57">
        <v>54</v>
      </c>
      <c r="CO149" s="57">
        <v>46</v>
      </c>
      <c r="CP149" s="57">
        <v>109</v>
      </c>
      <c r="CQ149" s="57">
        <v>124</v>
      </c>
      <c r="CR149" s="57">
        <v>117</v>
      </c>
      <c r="CS149" s="57">
        <v>450</v>
      </c>
      <c r="CT149" s="57"/>
      <c r="CU149" s="57" t="s">
        <v>2032</v>
      </c>
      <c r="CV149" s="57">
        <v>16</v>
      </c>
      <c r="CW149" s="57">
        <v>0</v>
      </c>
      <c r="CX149" s="57">
        <v>0</v>
      </c>
      <c r="CY149" s="57">
        <v>0</v>
      </c>
      <c r="CZ149" s="57">
        <v>0</v>
      </c>
      <c r="DA149" s="57">
        <v>16</v>
      </c>
      <c r="DV149" s="79" t="s">
        <v>1689</v>
      </c>
      <c r="DW149" s="79" t="s">
        <v>2098</v>
      </c>
      <c r="DX149" s="79">
        <v>427</v>
      </c>
      <c r="DY149" s="79">
        <v>369</v>
      </c>
      <c r="DZ149" s="79">
        <v>354</v>
      </c>
      <c r="EA149" s="79">
        <v>394</v>
      </c>
      <c r="EB149" s="79">
        <v>413</v>
      </c>
      <c r="EC149" s="79">
        <v>1957</v>
      </c>
      <c r="ED149" s="79"/>
      <c r="EE149" s="79" t="s">
        <v>2098</v>
      </c>
      <c r="EF149" s="79">
        <v>18</v>
      </c>
      <c r="EG149" s="79">
        <v>3</v>
      </c>
      <c r="EH149" s="79">
        <v>0</v>
      </c>
      <c r="EI149" s="79">
        <v>0</v>
      </c>
      <c r="EJ149" s="79">
        <v>0</v>
      </c>
      <c r="EK149" s="79">
        <v>21</v>
      </c>
      <c r="EN149" s="57" t="s">
        <v>1723</v>
      </c>
      <c r="EO149" s="57" t="s">
        <v>25</v>
      </c>
      <c r="EP149" s="57">
        <v>387</v>
      </c>
      <c r="EQ149" s="57">
        <v>629</v>
      </c>
      <c r="ER149" s="57">
        <v>829</v>
      </c>
      <c r="ES149" s="57">
        <v>958</v>
      </c>
      <c r="ET149" s="57">
        <v>858</v>
      </c>
      <c r="EU149" s="57">
        <v>3661</v>
      </c>
      <c r="EV149" s="57"/>
      <c r="EW149" s="57" t="s">
        <v>25</v>
      </c>
      <c r="EX149" s="57">
        <v>95</v>
      </c>
      <c r="EY149" s="57">
        <v>27</v>
      </c>
      <c r="EZ149" s="57">
        <v>29</v>
      </c>
      <c r="FA149" s="57">
        <v>18</v>
      </c>
      <c r="FB149" s="57">
        <v>15</v>
      </c>
      <c r="FC149" s="57">
        <v>184</v>
      </c>
      <c r="FF149" s="70" t="s">
        <v>1807</v>
      </c>
      <c r="FG149" s="70" t="s">
        <v>2032</v>
      </c>
      <c r="FH149" s="70">
        <v>203</v>
      </c>
      <c r="FI149" s="70">
        <v>169</v>
      </c>
      <c r="FJ149" s="70">
        <v>149</v>
      </c>
      <c r="FK149" s="70">
        <v>202</v>
      </c>
      <c r="FL149" s="70">
        <v>269</v>
      </c>
      <c r="FM149" s="70">
        <v>992</v>
      </c>
      <c r="FN149" s="70"/>
      <c r="FO149" s="70" t="s">
        <v>2032</v>
      </c>
      <c r="FP149" s="70">
        <v>41</v>
      </c>
      <c r="FQ149" s="70">
        <v>7</v>
      </c>
      <c r="FR149" s="70">
        <v>0</v>
      </c>
      <c r="FS149" s="70">
        <v>0</v>
      </c>
      <c r="FT149" s="70">
        <v>0</v>
      </c>
      <c r="FU149" s="70">
        <v>48</v>
      </c>
    </row>
    <row r="150" spans="2:177">
      <c r="B150" s="64" t="s">
        <v>933</v>
      </c>
      <c r="C150" s="64" t="s">
        <v>2028</v>
      </c>
      <c r="D150" s="64">
        <v>105</v>
      </c>
      <c r="E150" s="64">
        <v>217</v>
      </c>
      <c r="F150" s="64">
        <v>346</v>
      </c>
      <c r="G150" s="64">
        <v>434</v>
      </c>
      <c r="H150" s="64">
        <v>319</v>
      </c>
      <c r="I150" s="64">
        <v>1421</v>
      </c>
      <c r="K150" s="64" t="s">
        <v>2028</v>
      </c>
      <c r="L150" s="64">
        <v>10</v>
      </c>
      <c r="M150" s="64">
        <v>7</v>
      </c>
      <c r="N150" s="64">
        <v>3</v>
      </c>
      <c r="O150" s="64">
        <v>2</v>
      </c>
      <c r="P150" s="64">
        <v>0</v>
      </c>
      <c r="Q150" s="64">
        <v>22</v>
      </c>
      <c r="T150" s="65" t="s">
        <v>1004</v>
      </c>
      <c r="U150" s="65" t="s">
        <v>2098</v>
      </c>
      <c r="V150" s="65">
        <v>848</v>
      </c>
      <c r="W150" s="65">
        <v>1012</v>
      </c>
      <c r="X150" s="65">
        <v>1087</v>
      </c>
      <c r="Y150" s="65">
        <v>1081</v>
      </c>
      <c r="Z150" s="65">
        <v>877</v>
      </c>
      <c r="AA150" s="65">
        <v>4905</v>
      </c>
      <c r="AB150" s="65"/>
      <c r="AC150" s="65" t="s">
        <v>2098</v>
      </c>
      <c r="AD150" s="65">
        <v>175</v>
      </c>
      <c r="AE150" s="65">
        <v>33</v>
      </c>
      <c r="AF150" s="65">
        <v>9</v>
      </c>
      <c r="AG150" s="65">
        <v>4</v>
      </c>
      <c r="AH150" s="65">
        <v>2</v>
      </c>
      <c r="AI150" s="65">
        <v>223</v>
      </c>
      <c r="AK150" s="66" t="s">
        <v>1949</v>
      </c>
      <c r="AL150" s="66" t="s">
        <v>2028</v>
      </c>
      <c r="AM150" s="66">
        <v>314</v>
      </c>
      <c r="AN150" s="66">
        <v>319</v>
      </c>
      <c r="AO150" s="66">
        <v>536</v>
      </c>
      <c r="AP150" s="66">
        <v>633</v>
      </c>
      <c r="AQ150" s="66">
        <v>485</v>
      </c>
      <c r="AR150" s="66">
        <v>2287</v>
      </c>
      <c r="AS150" s="66"/>
      <c r="AT150" s="66" t="s">
        <v>2028</v>
      </c>
      <c r="AU150" s="66">
        <v>34</v>
      </c>
      <c r="AV150" s="66">
        <v>2</v>
      </c>
      <c r="AW150" s="66">
        <v>1</v>
      </c>
      <c r="AX150" s="66">
        <v>0</v>
      </c>
      <c r="AY150" s="66">
        <v>0</v>
      </c>
      <c r="AZ150" s="66">
        <v>37</v>
      </c>
      <c r="BB150" s="69" t="s">
        <v>1233</v>
      </c>
      <c r="BC150" s="69" t="s">
        <v>2028</v>
      </c>
      <c r="BD150" s="69">
        <v>529</v>
      </c>
      <c r="BE150" s="69">
        <v>325</v>
      </c>
      <c r="BF150" s="69">
        <v>412</v>
      </c>
      <c r="BG150" s="69">
        <v>422</v>
      </c>
      <c r="BH150" s="69">
        <v>404</v>
      </c>
      <c r="BI150" s="69">
        <v>2092</v>
      </c>
      <c r="BJ150" s="69"/>
      <c r="BK150" s="69" t="s">
        <v>2028</v>
      </c>
      <c r="BL150" s="69">
        <v>21</v>
      </c>
      <c r="BM150" s="69">
        <v>0</v>
      </c>
      <c r="BN150" s="69">
        <v>0</v>
      </c>
      <c r="BO150" s="69">
        <v>0</v>
      </c>
      <c r="BP150" s="69">
        <v>0</v>
      </c>
      <c r="BQ150" s="69">
        <v>21</v>
      </c>
      <c r="BS150" s="70" t="s">
        <v>1448</v>
      </c>
      <c r="BT150" s="70" t="s">
        <v>2098</v>
      </c>
      <c r="BU150" s="70">
        <v>38</v>
      </c>
      <c r="BV150" s="70">
        <v>30</v>
      </c>
      <c r="BW150" s="70">
        <v>76</v>
      </c>
      <c r="BX150" s="70">
        <v>93</v>
      </c>
      <c r="BY150" s="70">
        <v>105</v>
      </c>
      <c r="BZ150" s="70">
        <v>342</v>
      </c>
      <c r="CA150" s="70"/>
      <c r="CB150" s="70" t="s">
        <v>2098</v>
      </c>
      <c r="CC150" s="70">
        <v>13</v>
      </c>
      <c r="CD150" s="70">
        <v>0</v>
      </c>
      <c r="CE150" s="70">
        <v>0</v>
      </c>
      <c r="CF150" s="70">
        <v>0</v>
      </c>
      <c r="CG150" s="70">
        <v>0</v>
      </c>
      <c r="CH150" s="70">
        <v>13</v>
      </c>
      <c r="CL150" s="57" t="s">
        <v>573</v>
      </c>
      <c r="CM150" s="57" t="s">
        <v>2032</v>
      </c>
      <c r="CN150" s="57">
        <v>31</v>
      </c>
      <c r="CO150" s="57">
        <v>30</v>
      </c>
      <c r="CP150" s="57">
        <v>71</v>
      </c>
      <c r="CQ150" s="57">
        <v>112</v>
      </c>
      <c r="CR150" s="57">
        <v>99</v>
      </c>
      <c r="CS150" s="57">
        <v>343</v>
      </c>
      <c r="CT150" s="57"/>
      <c r="CU150" s="57" t="s">
        <v>2032</v>
      </c>
      <c r="CV150" s="57">
        <v>14</v>
      </c>
      <c r="CW150" s="57">
        <v>0</v>
      </c>
      <c r="CX150" s="57">
        <v>0</v>
      </c>
      <c r="CY150" s="57">
        <v>0</v>
      </c>
      <c r="CZ150" s="57">
        <v>0</v>
      </c>
      <c r="DA150" s="57">
        <v>14</v>
      </c>
      <c r="DD150" s="21"/>
      <c r="DV150" s="79" t="s">
        <v>1692</v>
      </c>
      <c r="DW150" s="79" t="s">
        <v>2098</v>
      </c>
      <c r="DX150" s="79">
        <v>698</v>
      </c>
      <c r="DY150" s="79">
        <v>442</v>
      </c>
      <c r="DZ150" s="79">
        <v>393</v>
      </c>
      <c r="EA150" s="79">
        <v>350</v>
      </c>
      <c r="EB150" s="79">
        <v>330</v>
      </c>
      <c r="EC150" s="79">
        <v>2213</v>
      </c>
      <c r="ED150" s="79"/>
      <c r="EE150" s="79" t="s">
        <v>2098</v>
      </c>
      <c r="EF150" s="79">
        <v>22</v>
      </c>
      <c r="EG150" s="79">
        <v>0</v>
      </c>
      <c r="EH150" s="79">
        <v>0</v>
      </c>
      <c r="EI150" s="79">
        <v>0</v>
      </c>
      <c r="EJ150" s="79">
        <v>0</v>
      </c>
      <c r="EK150" s="79">
        <v>22</v>
      </c>
      <c r="EN150" s="57" t="s">
        <v>1726</v>
      </c>
      <c r="EO150" s="57" t="s">
        <v>25</v>
      </c>
      <c r="EP150" s="57">
        <v>165</v>
      </c>
      <c r="EQ150" s="57">
        <v>185</v>
      </c>
      <c r="ER150" s="57">
        <v>221</v>
      </c>
      <c r="ES150" s="57">
        <v>247</v>
      </c>
      <c r="ET150" s="57">
        <v>251</v>
      </c>
      <c r="EU150" s="57">
        <v>1069</v>
      </c>
      <c r="EV150" s="57"/>
      <c r="EW150" s="57" t="s">
        <v>25</v>
      </c>
      <c r="EX150" s="57">
        <v>21</v>
      </c>
      <c r="EY150" s="57">
        <v>7</v>
      </c>
      <c r="EZ150" s="57">
        <v>5</v>
      </c>
      <c r="FA150" s="57">
        <v>2</v>
      </c>
      <c r="FB150" s="57">
        <v>2</v>
      </c>
      <c r="FC150" s="57">
        <v>37</v>
      </c>
      <c r="FF150" s="70" t="s">
        <v>1808</v>
      </c>
      <c r="FG150" s="70" t="s">
        <v>2032</v>
      </c>
      <c r="FH150" s="70">
        <v>261</v>
      </c>
      <c r="FI150" s="70">
        <v>349</v>
      </c>
      <c r="FJ150" s="70">
        <v>280</v>
      </c>
      <c r="FK150" s="70">
        <v>330</v>
      </c>
      <c r="FL150" s="70">
        <v>470</v>
      </c>
      <c r="FM150" s="70">
        <v>1690</v>
      </c>
      <c r="FN150" s="70"/>
      <c r="FO150" s="70" t="s">
        <v>2032</v>
      </c>
      <c r="FP150" s="70">
        <v>61</v>
      </c>
      <c r="FQ150" s="70">
        <v>14</v>
      </c>
      <c r="FR150" s="70">
        <v>1</v>
      </c>
      <c r="FS150" s="70">
        <v>1</v>
      </c>
      <c r="FT150" s="70">
        <v>5</v>
      </c>
      <c r="FU150" s="70">
        <v>82</v>
      </c>
    </row>
    <row r="151" spans="2:177">
      <c r="B151" s="64" t="s">
        <v>145</v>
      </c>
      <c r="C151" s="64" t="s">
        <v>2028</v>
      </c>
      <c r="D151" s="64">
        <v>185</v>
      </c>
      <c r="E151" s="64">
        <v>264</v>
      </c>
      <c r="F151" s="64">
        <v>444</v>
      </c>
      <c r="G151" s="64">
        <v>539</v>
      </c>
      <c r="H151" s="64">
        <v>382</v>
      </c>
      <c r="I151" s="64">
        <v>1814</v>
      </c>
      <c r="K151" s="64" t="s">
        <v>2028</v>
      </c>
      <c r="L151" s="64">
        <v>24</v>
      </c>
      <c r="M151" s="64">
        <v>0</v>
      </c>
      <c r="N151" s="64">
        <v>1</v>
      </c>
      <c r="O151" s="64">
        <v>0</v>
      </c>
      <c r="P151" s="64">
        <v>0</v>
      </c>
      <c r="Q151" s="64">
        <v>25</v>
      </c>
      <c r="T151" s="65" t="s">
        <v>1009</v>
      </c>
      <c r="U151" s="65" t="s">
        <v>2098</v>
      </c>
      <c r="V151" s="65">
        <v>879</v>
      </c>
      <c r="W151" s="65">
        <v>797</v>
      </c>
      <c r="X151" s="65">
        <v>794</v>
      </c>
      <c r="Y151" s="65">
        <v>918</v>
      </c>
      <c r="Z151" s="65">
        <v>660</v>
      </c>
      <c r="AA151" s="65">
        <v>4048</v>
      </c>
      <c r="AB151" s="65"/>
      <c r="AC151" s="65" t="s">
        <v>2098</v>
      </c>
      <c r="AD151" s="65">
        <v>132</v>
      </c>
      <c r="AE151" s="65">
        <v>12</v>
      </c>
      <c r="AF151" s="65">
        <v>4</v>
      </c>
      <c r="AG151" s="65">
        <v>0</v>
      </c>
      <c r="AH151" s="65">
        <v>0</v>
      </c>
      <c r="AI151" s="65">
        <v>148</v>
      </c>
      <c r="AK151" s="66" t="s">
        <v>1944</v>
      </c>
      <c r="AL151" s="66" t="s">
        <v>2028</v>
      </c>
      <c r="AM151" s="66">
        <v>689</v>
      </c>
      <c r="AN151" s="66">
        <v>590</v>
      </c>
      <c r="AO151" s="66">
        <v>966</v>
      </c>
      <c r="AP151" s="66">
        <v>1238</v>
      </c>
      <c r="AQ151" s="66">
        <v>863</v>
      </c>
      <c r="AR151" s="66">
        <v>4346</v>
      </c>
      <c r="AS151" s="66"/>
      <c r="AT151" s="66" t="s">
        <v>2028</v>
      </c>
      <c r="AU151" s="66">
        <v>35</v>
      </c>
      <c r="AV151" s="66">
        <v>0</v>
      </c>
      <c r="AW151" s="66">
        <v>0</v>
      </c>
      <c r="AX151" s="66">
        <v>0</v>
      </c>
      <c r="AY151" s="66">
        <v>0</v>
      </c>
      <c r="AZ151" s="66">
        <v>35</v>
      </c>
      <c r="BB151" s="69" t="s">
        <v>1237</v>
      </c>
      <c r="BC151" s="69" t="s">
        <v>2028</v>
      </c>
      <c r="BD151" s="69">
        <v>230</v>
      </c>
      <c r="BE151" s="69">
        <v>186</v>
      </c>
      <c r="BF151" s="69">
        <v>281</v>
      </c>
      <c r="BG151" s="69">
        <v>340</v>
      </c>
      <c r="BH151" s="69">
        <v>329</v>
      </c>
      <c r="BI151" s="69">
        <v>1366</v>
      </c>
      <c r="BJ151" s="69"/>
      <c r="BK151" s="69" t="s">
        <v>2028</v>
      </c>
      <c r="BL151" s="69">
        <v>19</v>
      </c>
      <c r="BM151" s="69">
        <v>0</v>
      </c>
      <c r="BN151" s="69">
        <v>0</v>
      </c>
      <c r="BO151" s="69">
        <v>0</v>
      </c>
      <c r="BP151" s="69">
        <v>0</v>
      </c>
      <c r="BQ151" s="69">
        <v>19</v>
      </c>
      <c r="BS151" s="70" t="s">
        <v>1450</v>
      </c>
      <c r="BT151" s="70" t="s">
        <v>2098</v>
      </c>
      <c r="BU151" s="70">
        <v>134</v>
      </c>
      <c r="BV151" s="70">
        <v>88</v>
      </c>
      <c r="BW151" s="70">
        <v>81</v>
      </c>
      <c r="BX151" s="70">
        <v>105</v>
      </c>
      <c r="BY151" s="70">
        <v>137</v>
      </c>
      <c r="BZ151" s="70">
        <v>545</v>
      </c>
      <c r="CA151" s="70"/>
      <c r="CB151" s="70" t="s">
        <v>2098</v>
      </c>
      <c r="CC151" s="70">
        <v>50</v>
      </c>
      <c r="CD151" s="70">
        <v>2</v>
      </c>
      <c r="CE151" s="70">
        <v>0</v>
      </c>
      <c r="CF151" s="70">
        <v>0</v>
      </c>
      <c r="CG151" s="70">
        <v>0</v>
      </c>
      <c r="CH151" s="70">
        <v>52</v>
      </c>
      <c r="CL151" s="57" t="s">
        <v>1965</v>
      </c>
      <c r="CM151" s="57" t="s">
        <v>2032</v>
      </c>
      <c r="CN151" s="57" t="s">
        <v>324</v>
      </c>
      <c r="CO151" s="57" t="s">
        <v>324</v>
      </c>
      <c r="CP151" s="57" t="s">
        <v>324</v>
      </c>
      <c r="CQ151" s="57" t="s">
        <v>324</v>
      </c>
      <c r="CR151" s="57" t="s">
        <v>324</v>
      </c>
      <c r="CS151" s="57" t="s">
        <v>324</v>
      </c>
      <c r="CT151" s="57"/>
      <c r="CU151" s="57" t="s">
        <v>2032</v>
      </c>
      <c r="CV151" s="57" t="s">
        <v>324</v>
      </c>
      <c r="CW151" s="57" t="s">
        <v>324</v>
      </c>
      <c r="CX151" s="57" t="s">
        <v>324</v>
      </c>
      <c r="CY151" s="57" t="s">
        <v>324</v>
      </c>
      <c r="CZ151" s="57" t="s">
        <v>324</v>
      </c>
      <c r="DA151" s="57" t="s">
        <v>324</v>
      </c>
      <c r="DD151" s="21"/>
      <c r="DT151" s="16" t="s">
        <v>2022</v>
      </c>
      <c r="DU151" s="16" t="s">
        <v>1695</v>
      </c>
      <c r="DV151" s="79" t="s">
        <v>2658</v>
      </c>
      <c r="DW151" s="79" t="s">
        <v>2098</v>
      </c>
      <c r="DX151" s="79">
        <v>178</v>
      </c>
      <c r="DY151" s="79">
        <v>127</v>
      </c>
      <c r="DZ151" s="79">
        <v>131</v>
      </c>
      <c r="EA151" s="79">
        <v>165</v>
      </c>
      <c r="EB151" s="79">
        <v>138</v>
      </c>
      <c r="EC151" s="79">
        <v>739</v>
      </c>
      <c r="ED151" s="79"/>
      <c r="EE151" s="79" t="s">
        <v>2098</v>
      </c>
      <c r="EF151" s="79">
        <v>21</v>
      </c>
      <c r="EG151" s="79">
        <v>0</v>
      </c>
      <c r="EH151" s="79">
        <v>0</v>
      </c>
      <c r="EI151" s="79">
        <v>0</v>
      </c>
      <c r="EJ151" s="79">
        <v>0</v>
      </c>
      <c r="EK151" s="79">
        <v>21</v>
      </c>
      <c r="EN151" s="57" t="s">
        <v>1729</v>
      </c>
      <c r="EO151" s="57" t="s">
        <v>25</v>
      </c>
      <c r="EP151" s="57">
        <v>176</v>
      </c>
      <c r="EQ151" s="57">
        <v>280</v>
      </c>
      <c r="ER151" s="57">
        <v>307</v>
      </c>
      <c r="ES151" s="57">
        <v>411</v>
      </c>
      <c r="ET151" s="57">
        <v>508</v>
      </c>
      <c r="EU151" s="57">
        <v>1682</v>
      </c>
      <c r="EV151" s="57"/>
      <c r="EW151" s="57" t="s">
        <v>25</v>
      </c>
      <c r="EX151" s="57">
        <v>38</v>
      </c>
      <c r="EY151" s="57">
        <v>23</v>
      </c>
      <c r="EZ151" s="57">
        <v>14</v>
      </c>
      <c r="FA151" s="57">
        <v>8</v>
      </c>
      <c r="FB151" s="57">
        <v>7</v>
      </c>
      <c r="FC151" s="57">
        <v>90</v>
      </c>
      <c r="FF151" s="70" t="s">
        <v>1809</v>
      </c>
      <c r="FG151" s="70" t="s">
        <v>2032</v>
      </c>
      <c r="FH151" s="70">
        <v>312</v>
      </c>
      <c r="FI151" s="70">
        <v>425</v>
      </c>
      <c r="FJ151" s="70">
        <v>341</v>
      </c>
      <c r="FK151" s="70">
        <v>423</v>
      </c>
      <c r="FL151" s="70">
        <v>553</v>
      </c>
      <c r="FM151" s="70">
        <v>2054</v>
      </c>
      <c r="FN151" s="70"/>
      <c r="FO151" s="70" t="s">
        <v>2032</v>
      </c>
      <c r="FP151" s="70">
        <v>63</v>
      </c>
      <c r="FQ151" s="70">
        <v>21</v>
      </c>
      <c r="FR151" s="70">
        <v>4</v>
      </c>
      <c r="FS151" s="70">
        <v>5</v>
      </c>
      <c r="FT151" s="70">
        <v>5</v>
      </c>
      <c r="FU151" s="70">
        <v>98</v>
      </c>
    </row>
    <row r="152" spans="2:177">
      <c r="B152" s="16"/>
      <c r="C152" s="16"/>
      <c r="D152" s="16"/>
      <c r="E152" s="16"/>
      <c r="F152" s="16"/>
      <c r="G152" s="16"/>
      <c r="H152" s="16"/>
      <c r="I152" s="16"/>
      <c r="J152" s="16"/>
      <c r="K152" s="16"/>
      <c r="L152" s="16"/>
      <c r="M152" s="16"/>
      <c r="N152" s="16"/>
      <c r="O152" s="16"/>
      <c r="P152" s="16"/>
      <c r="Q152" s="16"/>
      <c r="R152" s="16"/>
      <c r="T152" s="65" t="s">
        <v>1014</v>
      </c>
      <c r="U152" s="65" t="s">
        <v>2098</v>
      </c>
      <c r="V152" s="65">
        <v>516</v>
      </c>
      <c r="W152" s="65">
        <v>424</v>
      </c>
      <c r="X152" s="65">
        <v>399</v>
      </c>
      <c r="Y152" s="65">
        <v>455</v>
      </c>
      <c r="Z152" s="65">
        <v>397</v>
      </c>
      <c r="AA152" s="65">
        <v>2191</v>
      </c>
      <c r="AB152" s="65"/>
      <c r="AC152" s="65" t="s">
        <v>2098</v>
      </c>
      <c r="AD152" s="65">
        <v>21</v>
      </c>
      <c r="AE152" s="65">
        <v>1</v>
      </c>
      <c r="AF152" s="65">
        <v>0</v>
      </c>
      <c r="AG152" s="65">
        <v>0</v>
      </c>
      <c r="AH152" s="65">
        <v>0</v>
      </c>
      <c r="AI152" s="65">
        <v>22</v>
      </c>
      <c r="AK152" s="66" t="s">
        <v>1942</v>
      </c>
      <c r="AL152" s="66" t="s">
        <v>2028</v>
      </c>
      <c r="AM152" s="66">
        <v>108</v>
      </c>
      <c r="AN152" s="66">
        <v>145</v>
      </c>
      <c r="AO152" s="66">
        <v>196</v>
      </c>
      <c r="AP152" s="66">
        <v>243</v>
      </c>
      <c r="AQ152" s="66">
        <v>184</v>
      </c>
      <c r="AR152" s="66">
        <v>876</v>
      </c>
      <c r="AS152" s="66"/>
      <c r="AT152" s="66" t="s">
        <v>2028</v>
      </c>
      <c r="AU152" s="66">
        <v>17</v>
      </c>
      <c r="AV152" s="66">
        <v>3</v>
      </c>
      <c r="AW152" s="66">
        <v>1</v>
      </c>
      <c r="AX152" s="66">
        <v>1</v>
      </c>
      <c r="AY152" s="66">
        <v>0</v>
      </c>
      <c r="AZ152" s="66">
        <v>22</v>
      </c>
      <c r="BB152" s="69" t="s">
        <v>1241</v>
      </c>
      <c r="BC152" s="69" t="s">
        <v>2028</v>
      </c>
      <c r="BD152" s="69">
        <v>62</v>
      </c>
      <c r="BE152" s="69">
        <v>109</v>
      </c>
      <c r="BF152" s="69">
        <v>214</v>
      </c>
      <c r="BG152" s="69">
        <v>279</v>
      </c>
      <c r="BH152" s="69">
        <v>232</v>
      </c>
      <c r="BI152" s="69">
        <v>896</v>
      </c>
      <c r="BJ152" s="69"/>
      <c r="BK152" s="69" t="s">
        <v>2028</v>
      </c>
      <c r="BL152" s="69">
        <v>12</v>
      </c>
      <c r="BM152" s="69">
        <v>0</v>
      </c>
      <c r="BN152" s="69">
        <v>0</v>
      </c>
      <c r="BO152" s="69">
        <v>0</v>
      </c>
      <c r="BP152" s="69">
        <v>0</v>
      </c>
      <c r="BQ152" s="69">
        <v>12</v>
      </c>
      <c r="BS152" s="70" t="s">
        <v>1454</v>
      </c>
      <c r="BT152" s="70" t="s">
        <v>2098</v>
      </c>
      <c r="BU152" s="70">
        <v>109</v>
      </c>
      <c r="BV152" s="70">
        <v>70</v>
      </c>
      <c r="BW152" s="70">
        <v>84</v>
      </c>
      <c r="BX152" s="70">
        <v>85</v>
      </c>
      <c r="BY152" s="70">
        <v>106</v>
      </c>
      <c r="BZ152" s="70">
        <v>454</v>
      </c>
      <c r="CA152" s="70"/>
      <c r="CB152" s="70" t="s">
        <v>2098</v>
      </c>
      <c r="CC152" s="70">
        <v>33</v>
      </c>
      <c r="CD152" s="70">
        <v>1</v>
      </c>
      <c r="CE152" s="70">
        <v>0</v>
      </c>
      <c r="CF152" s="70">
        <v>0</v>
      </c>
      <c r="CG152" s="70">
        <v>0</v>
      </c>
      <c r="CH152" s="70">
        <v>34</v>
      </c>
      <c r="CL152" s="57" t="s">
        <v>486</v>
      </c>
      <c r="CM152" s="57" t="s">
        <v>2032</v>
      </c>
      <c r="CN152" s="57" t="s">
        <v>324</v>
      </c>
      <c r="CO152" s="57" t="s">
        <v>324</v>
      </c>
      <c r="CP152" s="57" t="s">
        <v>324</v>
      </c>
      <c r="CQ152" s="57" t="s">
        <v>324</v>
      </c>
      <c r="CR152" s="57" t="s">
        <v>324</v>
      </c>
      <c r="CS152" s="57" t="s">
        <v>324</v>
      </c>
      <c r="CT152" s="57"/>
      <c r="CU152" s="57" t="s">
        <v>2032</v>
      </c>
      <c r="CV152" s="57" t="s">
        <v>324</v>
      </c>
      <c r="CW152" s="57" t="s">
        <v>324</v>
      </c>
      <c r="CX152" s="57" t="s">
        <v>324</v>
      </c>
      <c r="CY152" s="57" t="s">
        <v>324</v>
      </c>
      <c r="CZ152" s="57" t="s">
        <v>324</v>
      </c>
      <c r="DA152" s="57" t="s">
        <v>324</v>
      </c>
      <c r="DD152" s="21"/>
      <c r="DT152" s="16" t="s">
        <v>2022</v>
      </c>
      <c r="DU152" s="16" t="s">
        <v>1698</v>
      </c>
      <c r="DV152" s="79" t="s">
        <v>2661</v>
      </c>
      <c r="DW152" s="79" t="s">
        <v>2098</v>
      </c>
      <c r="DX152" s="79">
        <v>329</v>
      </c>
      <c r="DY152" s="79">
        <v>312</v>
      </c>
      <c r="DZ152" s="79">
        <v>333</v>
      </c>
      <c r="EA152" s="79">
        <v>364</v>
      </c>
      <c r="EB152" s="79">
        <v>252</v>
      </c>
      <c r="EC152" s="79">
        <v>1590</v>
      </c>
      <c r="ED152" s="79"/>
      <c r="EE152" s="79" t="s">
        <v>2098</v>
      </c>
      <c r="EF152" s="79">
        <v>20</v>
      </c>
      <c r="EG152" s="79">
        <v>0</v>
      </c>
      <c r="EH152" s="79">
        <v>0</v>
      </c>
      <c r="EI152" s="79">
        <v>0</v>
      </c>
      <c r="EJ152" s="79">
        <v>0</v>
      </c>
      <c r="EK152" s="79">
        <v>20</v>
      </c>
      <c r="EN152" s="57" t="s">
        <v>1734</v>
      </c>
      <c r="EO152" s="57" t="s">
        <v>25</v>
      </c>
      <c r="EP152" s="57">
        <v>377</v>
      </c>
      <c r="EQ152" s="57">
        <v>532</v>
      </c>
      <c r="ER152" s="57">
        <v>625</v>
      </c>
      <c r="ES152" s="57">
        <v>775</v>
      </c>
      <c r="ET152" s="57">
        <v>903</v>
      </c>
      <c r="EU152" s="57">
        <v>3212</v>
      </c>
      <c r="EV152" s="57"/>
      <c r="EW152" s="57" t="s">
        <v>25</v>
      </c>
      <c r="EX152" s="57">
        <v>59</v>
      </c>
      <c r="EY152" s="57">
        <v>18</v>
      </c>
      <c r="EZ152" s="57">
        <v>14</v>
      </c>
      <c r="FA152" s="57">
        <v>7</v>
      </c>
      <c r="FB152" s="57">
        <v>11</v>
      </c>
      <c r="FC152" s="57">
        <v>109</v>
      </c>
      <c r="FF152" s="70" t="s">
        <v>1811</v>
      </c>
      <c r="FG152" s="70" t="s">
        <v>2032</v>
      </c>
      <c r="FH152" s="70">
        <v>321</v>
      </c>
      <c r="FI152" s="70">
        <v>456</v>
      </c>
      <c r="FJ152" s="70">
        <v>437</v>
      </c>
      <c r="FK152" s="70">
        <v>492</v>
      </c>
      <c r="FL152" s="70">
        <v>464</v>
      </c>
      <c r="FM152" s="70">
        <v>2170</v>
      </c>
      <c r="FN152" s="70"/>
      <c r="FO152" s="70" t="s">
        <v>2032</v>
      </c>
      <c r="FP152" s="70">
        <v>48</v>
      </c>
      <c r="FQ152" s="70">
        <v>13</v>
      </c>
      <c r="FR152" s="70">
        <v>0</v>
      </c>
      <c r="FS152" s="70">
        <v>0</v>
      </c>
      <c r="FT152" s="70">
        <v>0</v>
      </c>
      <c r="FU152" s="70">
        <v>61</v>
      </c>
    </row>
    <row r="153" spans="2:177">
      <c r="B153" s="64" t="s">
        <v>709</v>
      </c>
      <c r="C153" s="64" t="s">
        <v>2032</v>
      </c>
      <c r="D153" s="64">
        <v>115</v>
      </c>
      <c r="E153" s="64">
        <v>178</v>
      </c>
      <c r="F153" s="64">
        <v>279</v>
      </c>
      <c r="G153" s="64">
        <v>351</v>
      </c>
      <c r="H153" s="64">
        <v>297</v>
      </c>
      <c r="I153" s="64">
        <v>1220</v>
      </c>
      <c r="K153" s="64" t="s">
        <v>2032</v>
      </c>
      <c r="L153" s="64">
        <v>10</v>
      </c>
      <c r="M153" s="64">
        <v>1</v>
      </c>
      <c r="N153" s="64">
        <v>0</v>
      </c>
      <c r="O153" s="64">
        <v>1</v>
      </c>
      <c r="P153" s="64">
        <v>0</v>
      </c>
      <c r="Q153" s="64">
        <v>12</v>
      </c>
      <c r="T153" s="65" t="s">
        <v>1017</v>
      </c>
      <c r="U153" s="65" t="s">
        <v>2098</v>
      </c>
      <c r="V153" s="65">
        <v>697</v>
      </c>
      <c r="W153" s="65">
        <v>704</v>
      </c>
      <c r="X153" s="65">
        <v>981</v>
      </c>
      <c r="Y153" s="65">
        <v>1305</v>
      </c>
      <c r="Z153" s="65">
        <v>964</v>
      </c>
      <c r="AA153" s="65">
        <v>4651</v>
      </c>
      <c r="AB153" s="65"/>
      <c r="AC153" s="65" t="s">
        <v>2098</v>
      </c>
      <c r="AD153" s="65">
        <v>26</v>
      </c>
      <c r="AE153" s="65">
        <v>5</v>
      </c>
      <c r="AF153" s="65">
        <v>0</v>
      </c>
      <c r="AG153" s="65">
        <v>0</v>
      </c>
      <c r="AH153" s="65">
        <v>0</v>
      </c>
      <c r="AI153" s="65">
        <v>31</v>
      </c>
      <c r="AK153" s="66" t="s">
        <v>1925</v>
      </c>
      <c r="AL153" s="66" t="s">
        <v>2028</v>
      </c>
      <c r="AM153" s="66" t="s">
        <v>394</v>
      </c>
      <c r="AN153" s="66" t="s">
        <v>394</v>
      </c>
      <c r="AO153" s="66" t="s">
        <v>394</v>
      </c>
      <c r="AP153" s="66" t="s">
        <v>394</v>
      </c>
      <c r="AQ153" s="66" t="s">
        <v>394</v>
      </c>
      <c r="AR153" s="66" t="s">
        <v>394</v>
      </c>
      <c r="AS153" s="66"/>
      <c r="AT153" s="66" t="s">
        <v>2028</v>
      </c>
      <c r="AU153" s="66" t="s">
        <v>394</v>
      </c>
      <c r="AV153" s="66" t="s">
        <v>394</v>
      </c>
      <c r="AW153" s="66" t="s">
        <v>394</v>
      </c>
      <c r="AX153" s="66" t="s">
        <v>394</v>
      </c>
      <c r="AY153" s="66" t="s">
        <v>394</v>
      </c>
      <c r="AZ153" s="66" t="s">
        <v>394</v>
      </c>
      <c r="BB153" s="69" t="s">
        <v>330</v>
      </c>
      <c r="BC153" s="69" t="s">
        <v>2028</v>
      </c>
      <c r="BD153" s="69">
        <v>155</v>
      </c>
      <c r="BE153" s="69">
        <v>143</v>
      </c>
      <c r="BF153" s="69">
        <v>219</v>
      </c>
      <c r="BG153" s="69">
        <v>294</v>
      </c>
      <c r="BH153" s="69">
        <v>269</v>
      </c>
      <c r="BI153" s="69">
        <v>1080</v>
      </c>
      <c r="BJ153" s="69"/>
      <c r="BK153" s="69" t="s">
        <v>2028</v>
      </c>
      <c r="BL153" s="69">
        <v>18</v>
      </c>
      <c r="BM153" s="69">
        <v>0</v>
      </c>
      <c r="BN153" s="69">
        <v>0</v>
      </c>
      <c r="BO153" s="69">
        <v>0</v>
      </c>
      <c r="BP153" s="69">
        <v>0</v>
      </c>
      <c r="BQ153" s="69">
        <v>18</v>
      </c>
      <c r="BR153" s="16" t="s">
        <v>2243</v>
      </c>
      <c r="BS153" s="70" t="s">
        <v>2116</v>
      </c>
      <c r="BT153" s="70" t="s">
        <v>2098</v>
      </c>
      <c r="BU153" s="70">
        <v>32</v>
      </c>
      <c r="BV153" s="70">
        <v>38</v>
      </c>
      <c r="BW153" s="70">
        <v>68</v>
      </c>
      <c r="BX153" s="70">
        <v>88</v>
      </c>
      <c r="BY153" s="70">
        <v>96</v>
      </c>
      <c r="BZ153" s="70">
        <v>322</v>
      </c>
      <c r="CA153" s="70"/>
      <c r="CB153" s="70" t="s">
        <v>2098</v>
      </c>
      <c r="CC153" s="70">
        <v>9</v>
      </c>
      <c r="CD153" s="70">
        <v>0</v>
      </c>
      <c r="CE153" s="70">
        <v>0</v>
      </c>
      <c r="CF153" s="70">
        <v>0</v>
      </c>
      <c r="CG153" s="70">
        <v>0</v>
      </c>
      <c r="CH153" s="70">
        <v>9</v>
      </c>
      <c r="CL153" s="57" t="s">
        <v>534</v>
      </c>
      <c r="CM153" s="57" t="s">
        <v>2032</v>
      </c>
      <c r="CN153" s="57">
        <v>226</v>
      </c>
      <c r="CO153" s="57">
        <v>93</v>
      </c>
      <c r="CP153" s="57">
        <v>130</v>
      </c>
      <c r="CQ153" s="57">
        <v>169</v>
      </c>
      <c r="CR153" s="57">
        <v>237</v>
      </c>
      <c r="CS153" s="57">
        <v>855</v>
      </c>
      <c r="CT153" s="57"/>
      <c r="CU153" s="57" t="s">
        <v>2032</v>
      </c>
      <c r="CV153" s="57">
        <v>70</v>
      </c>
      <c r="CW153" s="57">
        <v>0</v>
      </c>
      <c r="CX153" s="57">
        <v>0</v>
      </c>
      <c r="CY153" s="57">
        <v>0</v>
      </c>
      <c r="CZ153" s="57">
        <v>0</v>
      </c>
      <c r="DA153" s="57">
        <v>70</v>
      </c>
      <c r="DD153" s="21"/>
      <c r="DV153" s="79" t="s">
        <v>1701</v>
      </c>
      <c r="DW153" s="79" t="s">
        <v>2098</v>
      </c>
      <c r="DX153" s="79">
        <v>125</v>
      </c>
      <c r="DY153" s="79">
        <v>133</v>
      </c>
      <c r="DZ153" s="79">
        <v>154</v>
      </c>
      <c r="EA153" s="79">
        <v>200</v>
      </c>
      <c r="EB153" s="79">
        <v>164</v>
      </c>
      <c r="EC153" s="79">
        <v>776</v>
      </c>
      <c r="ED153" s="79"/>
      <c r="EE153" s="79" t="s">
        <v>2098</v>
      </c>
      <c r="EF153" s="79">
        <v>13</v>
      </c>
      <c r="EG153" s="79">
        <v>2</v>
      </c>
      <c r="EH153" s="79">
        <v>0</v>
      </c>
      <c r="EI153" s="79">
        <v>0</v>
      </c>
      <c r="EJ153" s="79">
        <v>0</v>
      </c>
      <c r="EK153" s="79">
        <v>15</v>
      </c>
      <c r="EN153" s="57" t="s">
        <v>1737</v>
      </c>
      <c r="EO153" s="57" t="s">
        <v>25</v>
      </c>
      <c r="EP153" s="57">
        <v>245</v>
      </c>
      <c r="EQ153" s="57">
        <v>417</v>
      </c>
      <c r="ER153" s="57">
        <v>453</v>
      </c>
      <c r="ES153" s="57">
        <v>608</v>
      </c>
      <c r="ET153" s="57">
        <v>672</v>
      </c>
      <c r="EU153" s="57">
        <v>2395</v>
      </c>
      <c r="EV153" s="57"/>
      <c r="EW153" s="57" t="s">
        <v>25</v>
      </c>
      <c r="EX153" s="57">
        <v>67</v>
      </c>
      <c r="EY153" s="57">
        <v>24</v>
      </c>
      <c r="EZ153" s="57">
        <v>6</v>
      </c>
      <c r="FA153" s="57">
        <v>8</v>
      </c>
      <c r="FB153" s="57">
        <v>7</v>
      </c>
      <c r="FC153" s="57">
        <v>112</v>
      </c>
      <c r="FF153" s="70" t="s">
        <v>1813</v>
      </c>
      <c r="FG153" s="70" t="s">
        <v>2032</v>
      </c>
      <c r="FH153" s="70">
        <v>1995</v>
      </c>
      <c r="FI153" s="70">
        <v>1515</v>
      </c>
      <c r="FJ153" s="70">
        <v>818</v>
      </c>
      <c r="FK153" s="70">
        <v>760</v>
      </c>
      <c r="FL153" s="70">
        <v>874</v>
      </c>
      <c r="FM153" s="70">
        <v>5962</v>
      </c>
      <c r="FN153" s="70"/>
      <c r="FO153" s="70" t="s">
        <v>2032</v>
      </c>
      <c r="FP153" s="70">
        <v>477</v>
      </c>
      <c r="FQ153" s="70">
        <v>66</v>
      </c>
      <c r="FR153" s="70">
        <v>7</v>
      </c>
      <c r="FS153" s="70">
        <v>0</v>
      </c>
      <c r="FT153" s="70">
        <v>0</v>
      </c>
      <c r="FU153" s="70">
        <v>550</v>
      </c>
    </row>
    <row r="154" spans="2:177">
      <c r="B154" s="64" t="s">
        <v>717</v>
      </c>
      <c r="C154" s="64" t="s">
        <v>2032</v>
      </c>
      <c r="D154" s="64">
        <v>154</v>
      </c>
      <c r="E154" s="64">
        <v>232</v>
      </c>
      <c r="F154" s="64">
        <v>409</v>
      </c>
      <c r="G154" s="64">
        <v>498</v>
      </c>
      <c r="H154" s="64">
        <v>433</v>
      </c>
      <c r="I154" s="64">
        <v>1726</v>
      </c>
      <c r="K154" s="64" t="s">
        <v>2032</v>
      </c>
      <c r="L154" s="64">
        <v>7</v>
      </c>
      <c r="M154" s="64">
        <v>2</v>
      </c>
      <c r="N154" s="64">
        <v>2</v>
      </c>
      <c r="O154" s="64">
        <v>1</v>
      </c>
      <c r="P154" s="64">
        <v>0</v>
      </c>
      <c r="Q154" s="64">
        <v>12</v>
      </c>
      <c r="T154" s="65" t="s">
        <v>1020</v>
      </c>
      <c r="U154" s="65" t="s">
        <v>2098</v>
      </c>
      <c r="V154" s="65">
        <v>585</v>
      </c>
      <c r="W154" s="65">
        <v>427</v>
      </c>
      <c r="X154" s="65">
        <v>464</v>
      </c>
      <c r="Y154" s="65">
        <v>413</v>
      </c>
      <c r="Z154" s="65">
        <v>274</v>
      </c>
      <c r="AA154" s="65">
        <v>2163</v>
      </c>
      <c r="AB154" s="65"/>
      <c r="AC154" s="65" t="s">
        <v>2098</v>
      </c>
      <c r="AD154" s="65">
        <v>40</v>
      </c>
      <c r="AE154" s="65">
        <v>0</v>
      </c>
      <c r="AF154" s="65">
        <v>0</v>
      </c>
      <c r="AG154" s="65">
        <v>0</v>
      </c>
      <c r="AH154" s="65">
        <v>0</v>
      </c>
      <c r="AI154" s="65">
        <v>40</v>
      </c>
      <c r="AK154" s="66" t="s">
        <v>1149</v>
      </c>
      <c r="AL154" s="66" t="s">
        <v>2028</v>
      </c>
      <c r="AM154" s="66">
        <v>520</v>
      </c>
      <c r="AN154" s="66">
        <v>422</v>
      </c>
      <c r="AO154" s="66">
        <v>467</v>
      </c>
      <c r="AP154" s="66">
        <v>454</v>
      </c>
      <c r="AQ154" s="66">
        <v>292</v>
      </c>
      <c r="AR154" s="66">
        <v>2155</v>
      </c>
      <c r="AS154" s="66"/>
      <c r="AT154" s="66" t="s">
        <v>2028</v>
      </c>
      <c r="AU154" s="66">
        <v>87</v>
      </c>
      <c r="AV154" s="66">
        <v>6</v>
      </c>
      <c r="AW154" s="66">
        <v>1</v>
      </c>
      <c r="AX154" s="66">
        <v>1</v>
      </c>
      <c r="AY154" s="66">
        <v>0</v>
      </c>
      <c r="AZ154" s="66">
        <v>95</v>
      </c>
      <c r="BB154" s="69" t="s">
        <v>1250</v>
      </c>
      <c r="BC154" s="69" t="s">
        <v>2028</v>
      </c>
      <c r="BD154" s="69">
        <v>521</v>
      </c>
      <c r="BE154" s="69">
        <v>645</v>
      </c>
      <c r="BF154" s="69">
        <v>999</v>
      </c>
      <c r="BG154" s="69">
        <v>1117</v>
      </c>
      <c r="BH154" s="69">
        <v>908</v>
      </c>
      <c r="BI154" s="69">
        <v>4190</v>
      </c>
      <c r="BJ154" s="69"/>
      <c r="BK154" s="69" t="s">
        <v>2028</v>
      </c>
      <c r="BL154" s="69">
        <v>20</v>
      </c>
      <c r="BM154" s="69">
        <v>0</v>
      </c>
      <c r="BN154" s="69">
        <v>0</v>
      </c>
      <c r="BO154" s="69">
        <v>0</v>
      </c>
      <c r="BP154" s="69">
        <v>0</v>
      </c>
      <c r="BQ154" s="69">
        <v>20</v>
      </c>
      <c r="BS154" s="70" t="s">
        <v>1458</v>
      </c>
      <c r="BT154" s="70" t="s">
        <v>2098</v>
      </c>
      <c r="BU154" s="70">
        <v>35</v>
      </c>
      <c r="BV154" s="70">
        <v>57</v>
      </c>
      <c r="BW154" s="70">
        <v>95</v>
      </c>
      <c r="BX154" s="70">
        <v>194</v>
      </c>
      <c r="BY154" s="70">
        <v>180</v>
      </c>
      <c r="BZ154" s="70">
        <v>561</v>
      </c>
      <c r="CA154" s="70"/>
      <c r="CB154" s="70" t="s">
        <v>2098</v>
      </c>
      <c r="CC154" s="70">
        <v>15</v>
      </c>
      <c r="CD154" s="70">
        <v>0</v>
      </c>
      <c r="CE154" s="70">
        <v>0</v>
      </c>
      <c r="CF154" s="70">
        <v>0</v>
      </c>
      <c r="CG154" s="70">
        <v>0</v>
      </c>
      <c r="CH154" s="70">
        <v>15</v>
      </c>
      <c r="CL154" s="57" t="s">
        <v>367</v>
      </c>
      <c r="CM154" s="57" t="s">
        <v>2032</v>
      </c>
      <c r="CN154" s="57">
        <v>50</v>
      </c>
      <c r="CO154" s="57">
        <v>53</v>
      </c>
      <c r="CP154" s="57">
        <v>55</v>
      </c>
      <c r="CQ154" s="57">
        <v>40</v>
      </c>
      <c r="CR154" s="57">
        <v>81</v>
      </c>
      <c r="CS154" s="57">
        <v>279</v>
      </c>
      <c r="CT154" s="57"/>
      <c r="CU154" s="57" t="s">
        <v>2032</v>
      </c>
      <c r="CV154" s="57">
        <v>4</v>
      </c>
      <c r="CW154" s="57">
        <v>0</v>
      </c>
      <c r="CX154" s="57">
        <v>0</v>
      </c>
      <c r="CY154" s="57">
        <v>0</v>
      </c>
      <c r="CZ154" s="57">
        <v>0</v>
      </c>
      <c r="DA154" s="57">
        <v>4</v>
      </c>
      <c r="DD154" s="21"/>
      <c r="EN154" s="57" t="s">
        <v>1740</v>
      </c>
      <c r="EO154" s="57" t="s">
        <v>25</v>
      </c>
      <c r="EP154" s="57">
        <v>39</v>
      </c>
      <c r="EQ154" s="57">
        <v>137</v>
      </c>
      <c r="ER154" s="57">
        <v>216</v>
      </c>
      <c r="ES154" s="57">
        <v>325</v>
      </c>
      <c r="ET154" s="57">
        <v>329</v>
      </c>
      <c r="EU154" s="57">
        <v>1046</v>
      </c>
      <c r="EV154" s="57"/>
      <c r="EW154" s="57" t="s">
        <v>25</v>
      </c>
      <c r="EX154" s="57">
        <v>1</v>
      </c>
      <c r="EY154" s="57">
        <v>5</v>
      </c>
      <c r="EZ154" s="57">
        <v>3</v>
      </c>
      <c r="FA154" s="57">
        <v>4</v>
      </c>
      <c r="FB154" s="57">
        <v>0</v>
      </c>
      <c r="FC154" s="57">
        <v>13</v>
      </c>
      <c r="FF154" s="70" t="s">
        <v>1816</v>
      </c>
      <c r="FG154" s="70" t="s">
        <v>2032</v>
      </c>
      <c r="FH154" s="70">
        <v>246</v>
      </c>
      <c r="FI154" s="70">
        <v>387</v>
      </c>
      <c r="FJ154" s="70">
        <v>493</v>
      </c>
      <c r="FK154" s="70">
        <v>522</v>
      </c>
      <c r="FL154" s="70">
        <v>585</v>
      </c>
      <c r="FM154" s="70">
        <v>2233</v>
      </c>
      <c r="FN154" s="70"/>
      <c r="FO154" s="70" t="s">
        <v>2032</v>
      </c>
      <c r="FP154" s="70">
        <v>51</v>
      </c>
      <c r="FQ154" s="70">
        <v>1</v>
      </c>
      <c r="FR154" s="70">
        <v>0</v>
      </c>
      <c r="FS154" s="70">
        <v>0</v>
      </c>
      <c r="FT154" s="70">
        <v>0</v>
      </c>
      <c r="FU154" s="70">
        <v>52</v>
      </c>
    </row>
    <row r="155" spans="2:177">
      <c r="B155" s="64" t="s">
        <v>721</v>
      </c>
      <c r="C155" s="64" t="s">
        <v>2032</v>
      </c>
      <c r="D155" s="64">
        <v>925</v>
      </c>
      <c r="E155" s="64">
        <v>718</v>
      </c>
      <c r="F155" s="64">
        <v>818</v>
      </c>
      <c r="G155" s="64">
        <v>835</v>
      </c>
      <c r="H155" s="64">
        <v>593</v>
      </c>
      <c r="I155" s="64">
        <v>3889</v>
      </c>
      <c r="K155" s="64" t="s">
        <v>2032</v>
      </c>
      <c r="L155" s="64">
        <v>152</v>
      </c>
      <c r="M155" s="64">
        <v>5</v>
      </c>
      <c r="N155" s="64">
        <v>1</v>
      </c>
      <c r="O155" s="64">
        <v>1</v>
      </c>
      <c r="P155" s="64">
        <v>0</v>
      </c>
      <c r="Q155" s="64">
        <v>159</v>
      </c>
      <c r="T155" s="65" t="s">
        <v>1026</v>
      </c>
      <c r="U155" s="65" t="s">
        <v>2098</v>
      </c>
      <c r="V155" s="65">
        <v>122</v>
      </c>
      <c r="W155" s="65">
        <v>281</v>
      </c>
      <c r="X155" s="65">
        <v>477</v>
      </c>
      <c r="Y155" s="65">
        <v>687</v>
      </c>
      <c r="Z155" s="65">
        <v>518</v>
      </c>
      <c r="AA155" s="65">
        <v>2085</v>
      </c>
      <c r="AB155" s="65"/>
      <c r="AC155" s="65" t="s">
        <v>2098</v>
      </c>
      <c r="AD155" s="65">
        <v>13</v>
      </c>
      <c r="AE155" s="65">
        <v>2</v>
      </c>
      <c r="AF155" s="65">
        <v>0</v>
      </c>
      <c r="AG155" s="65">
        <v>1</v>
      </c>
      <c r="AH155" s="65">
        <v>0</v>
      </c>
      <c r="AI155" s="65">
        <v>16</v>
      </c>
      <c r="AK155" s="66" t="s">
        <v>1945</v>
      </c>
      <c r="AL155" s="66" t="s">
        <v>2028</v>
      </c>
      <c r="AM155" s="66">
        <v>888</v>
      </c>
      <c r="AN155" s="66">
        <v>831</v>
      </c>
      <c r="AO155" s="66">
        <v>1314</v>
      </c>
      <c r="AP155" s="66">
        <v>1774</v>
      </c>
      <c r="AQ155" s="66">
        <v>1352</v>
      </c>
      <c r="AR155" s="66">
        <v>6159</v>
      </c>
      <c r="AS155" s="66"/>
      <c r="AT155" s="66" t="s">
        <v>2028</v>
      </c>
      <c r="AU155" s="66">
        <v>49</v>
      </c>
      <c r="AV155" s="66">
        <v>0</v>
      </c>
      <c r="AW155" s="66">
        <v>0</v>
      </c>
      <c r="AX155" s="66">
        <v>0</v>
      </c>
      <c r="AY155" s="66">
        <v>0</v>
      </c>
      <c r="AZ155" s="66">
        <v>49</v>
      </c>
      <c r="BB155" s="69" t="s">
        <v>1954</v>
      </c>
      <c r="BC155" s="69" t="s">
        <v>2028</v>
      </c>
      <c r="BD155" s="69">
        <v>1642</v>
      </c>
      <c r="BE155" s="69">
        <v>1180</v>
      </c>
      <c r="BF155" s="69">
        <v>1104</v>
      </c>
      <c r="BG155" s="69">
        <v>1005</v>
      </c>
      <c r="BH155" s="69">
        <v>723</v>
      </c>
      <c r="BI155" s="69">
        <v>5654</v>
      </c>
      <c r="BJ155" s="69"/>
      <c r="BK155" s="69" t="s">
        <v>2028</v>
      </c>
      <c r="BL155" s="69">
        <v>251</v>
      </c>
      <c r="BM155" s="69">
        <v>3</v>
      </c>
      <c r="BN155" s="69">
        <v>0</v>
      </c>
      <c r="BO155" s="69">
        <v>0</v>
      </c>
      <c r="BP155" s="69">
        <v>0</v>
      </c>
      <c r="BQ155" s="69">
        <v>254</v>
      </c>
      <c r="BS155" s="70" t="s">
        <v>1462</v>
      </c>
      <c r="BT155" s="70" t="s">
        <v>2098</v>
      </c>
      <c r="BU155" s="70">
        <v>37</v>
      </c>
      <c r="BV155" s="70">
        <v>58</v>
      </c>
      <c r="BW155" s="70">
        <v>82</v>
      </c>
      <c r="BX155" s="70">
        <v>121</v>
      </c>
      <c r="BY155" s="70">
        <v>148</v>
      </c>
      <c r="BZ155" s="70">
        <v>446</v>
      </c>
      <c r="CA155" s="70"/>
      <c r="CB155" s="70" t="s">
        <v>2098</v>
      </c>
      <c r="CC155" s="70">
        <v>10</v>
      </c>
      <c r="CD155" s="70">
        <v>0</v>
      </c>
      <c r="CE155" s="70">
        <v>0</v>
      </c>
      <c r="CF155" s="70">
        <v>0</v>
      </c>
      <c r="CG155" s="70">
        <v>0</v>
      </c>
      <c r="CH155" s="70">
        <v>10</v>
      </c>
      <c r="CL155" s="57" t="s">
        <v>506</v>
      </c>
      <c r="CM155" s="57" t="s">
        <v>2032</v>
      </c>
      <c r="CN155" s="57">
        <v>400</v>
      </c>
      <c r="CO155" s="57">
        <v>73</v>
      </c>
      <c r="CP155" s="57">
        <v>142</v>
      </c>
      <c r="CQ155" s="57">
        <v>170</v>
      </c>
      <c r="CR155" s="57">
        <v>285</v>
      </c>
      <c r="CS155" s="57">
        <v>1070</v>
      </c>
      <c r="CT155" s="57"/>
      <c r="CU155" s="57" t="s">
        <v>2032</v>
      </c>
      <c r="CV155" s="57">
        <v>135</v>
      </c>
      <c r="CW155" s="57">
        <v>0</v>
      </c>
      <c r="CX155" s="57">
        <v>0</v>
      </c>
      <c r="CY155" s="57">
        <v>0</v>
      </c>
      <c r="CZ155" s="57">
        <v>0</v>
      </c>
      <c r="DA155" s="57">
        <v>135</v>
      </c>
      <c r="DD155" s="21"/>
      <c r="DT155" s="16" t="s">
        <v>2022</v>
      </c>
      <c r="DU155" s="16" t="s">
        <v>1627</v>
      </c>
      <c r="DV155" s="79" t="s">
        <v>2664</v>
      </c>
      <c r="DW155" s="79" t="s">
        <v>2253</v>
      </c>
      <c r="DX155" s="79" t="s">
        <v>324</v>
      </c>
      <c r="DY155" s="79" t="s">
        <v>324</v>
      </c>
      <c r="DZ155" s="79" t="s">
        <v>324</v>
      </c>
      <c r="EA155" s="79" t="s">
        <v>324</v>
      </c>
      <c r="EB155" s="79" t="s">
        <v>324</v>
      </c>
      <c r="EC155" s="79" t="s">
        <v>324</v>
      </c>
      <c r="ED155" s="79"/>
      <c r="EE155" s="79" t="s">
        <v>2253</v>
      </c>
      <c r="EF155" s="79" t="s">
        <v>324</v>
      </c>
      <c r="EG155" s="79" t="s">
        <v>324</v>
      </c>
      <c r="EH155" s="79" t="s">
        <v>324</v>
      </c>
      <c r="EI155" s="79" t="s">
        <v>324</v>
      </c>
      <c r="EJ155" s="79" t="s">
        <v>324</v>
      </c>
      <c r="EK155" s="79" t="s">
        <v>324</v>
      </c>
      <c r="EN155" s="57" t="s">
        <v>1747</v>
      </c>
      <c r="EO155" s="57" t="s">
        <v>25</v>
      </c>
      <c r="EP155" s="57">
        <v>153</v>
      </c>
      <c r="EQ155" s="57">
        <v>313</v>
      </c>
      <c r="ER155" s="57">
        <v>424</v>
      </c>
      <c r="ES155" s="57">
        <v>570</v>
      </c>
      <c r="ET155" s="57">
        <v>666</v>
      </c>
      <c r="EU155" s="57">
        <v>2126</v>
      </c>
      <c r="EV155" s="57"/>
      <c r="EW155" s="57" t="s">
        <v>25</v>
      </c>
      <c r="EX155" s="57">
        <v>22</v>
      </c>
      <c r="EY155" s="57">
        <v>4</v>
      </c>
      <c r="EZ155" s="57">
        <v>4</v>
      </c>
      <c r="FA155" s="57">
        <v>3</v>
      </c>
      <c r="FB155" s="57">
        <v>3</v>
      </c>
      <c r="FC155" s="57">
        <v>36</v>
      </c>
      <c r="FF155" s="70" t="s">
        <v>1818</v>
      </c>
      <c r="FG155" s="70" t="s">
        <v>2032</v>
      </c>
      <c r="FH155" s="70">
        <v>203</v>
      </c>
      <c r="FI155" s="70">
        <v>305</v>
      </c>
      <c r="FJ155" s="70">
        <v>489</v>
      </c>
      <c r="FK155" s="70">
        <v>486</v>
      </c>
      <c r="FL155" s="70">
        <v>582</v>
      </c>
      <c r="FM155" s="70">
        <v>2065</v>
      </c>
      <c r="FN155" s="70"/>
      <c r="FO155" s="70" t="s">
        <v>2032</v>
      </c>
      <c r="FP155" s="70">
        <v>17</v>
      </c>
      <c r="FQ155" s="70">
        <v>0</v>
      </c>
      <c r="FR155" s="70">
        <v>0</v>
      </c>
      <c r="FS155" s="70">
        <v>0</v>
      </c>
      <c r="FT155" s="70">
        <v>0</v>
      </c>
      <c r="FU155" s="70">
        <v>17</v>
      </c>
    </row>
    <row r="156" spans="2:177">
      <c r="B156" s="64" t="s">
        <v>726</v>
      </c>
      <c r="C156" s="64" t="s">
        <v>2032</v>
      </c>
      <c r="D156" s="64">
        <v>651</v>
      </c>
      <c r="E156" s="64">
        <v>971</v>
      </c>
      <c r="F156" s="64">
        <v>1325</v>
      </c>
      <c r="G156" s="64">
        <v>1457</v>
      </c>
      <c r="H156" s="64">
        <v>893</v>
      </c>
      <c r="I156" s="64">
        <v>5297</v>
      </c>
      <c r="K156" s="64" t="s">
        <v>2032</v>
      </c>
      <c r="L156" s="64">
        <v>56</v>
      </c>
      <c r="M156" s="64">
        <v>5</v>
      </c>
      <c r="N156" s="64">
        <v>0</v>
      </c>
      <c r="O156" s="64">
        <v>0</v>
      </c>
      <c r="P156" s="64">
        <v>0</v>
      </c>
      <c r="Q156" s="64">
        <v>61</v>
      </c>
      <c r="T156" s="65" t="s">
        <v>1030</v>
      </c>
      <c r="U156" s="65" t="s">
        <v>2098</v>
      </c>
      <c r="V156" s="65">
        <v>258</v>
      </c>
      <c r="W156" s="65">
        <v>284</v>
      </c>
      <c r="X156" s="65">
        <v>394</v>
      </c>
      <c r="Y156" s="65">
        <v>423</v>
      </c>
      <c r="Z156" s="65">
        <v>330</v>
      </c>
      <c r="AA156" s="65">
        <v>1689</v>
      </c>
      <c r="AB156" s="65"/>
      <c r="AC156" s="65" t="s">
        <v>2098</v>
      </c>
      <c r="AD156" s="65">
        <v>39</v>
      </c>
      <c r="AE156" s="65">
        <v>0</v>
      </c>
      <c r="AF156" s="65">
        <v>0</v>
      </c>
      <c r="AG156" s="65">
        <v>0</v>
      </c>
      <c r="AH156" s="65">
        <v>0</v>
      </c>
      <c r="AI156" s="65">
        <v>39</v>
      </c>
      <c r="AK156" s="66" t="s">
        <v>1951</v>
      </c>
      <c r="AL156" s="66" t="s">
        <v>2028</v>
      </c>
      <c r="AM156" s="66">
        <v>825</v>
      </c>
      <c r="AN156" s="66">
        <v>1025</v>
      </c>
      <c r="AO156" s="66">
        <v>1450</v>
      </c>
      <c r="AP156" s="66">
        <v>1625</v>
      </c>
      <c r="AQ156" s="66">
        <v>1073</v>
      </c>
      <c r="AR156" s="66">
        <v>5998</v>
      </c>
      <c r="AS156" s="66"/>
      <c r="AT156" s="66" t="s">
        <v>2028</v>
      </c>
      <c r="AU156" s="66">
        <v>52</v>
      </c>
      <c r="AV156" s="66">
        <v>3</v>
      </c>
      <c r="AW156" s="66">
        <v>0</v>
      </c>
      <c r="AX156" s="66">
        <v>0</v>
      </c>
      <c r="AY156" s="66">
        <v>2</v>
      </c>
      <c r="AZ156" s="66">
        <v>57</v>
      </c>
      <c r="BB156" s="69" t="s">
        <v>1268</v>
      </c>
      <c r="BC156" s="69" t="s">
        <v>2028</v>
      </c>
      <c r="BD156" s="69">
        <v>141</v>
      </c>
      <c r="BE156" s="69">
        <v>108</v>
      </c>
      <c r="BF156" s="69">
        <v>181</v>
      </c>
      <c r="BG156" s="69">
        <v>232</v>
      </c>
      <c r="BH156" s="69">
        <v>216</v>
      </c>
      <c r="BI156" s="69">
        <v>878</v>
      </c>
      <c r="BJ156" s="69"/>
      <c r="BK156" s="69" t="s">
        <v>2028</v>
      </c>
      <c r="BL156" s="69">
        <v>26</v>
      </c>
      <c r="BM156" s="69">
        <v>0</v>
      </c>
      <c r="BN156" s="69">
        <v>1</v>
      </c>
      <c r="BO156" s="69">
        <v>0</v>
      </c>
      <c r="BP156" s="69">
        <v>0</v>
      </c>
      <c r="BQ156" s="69">
        <v>27</v>
      </c>
      <c r="BS156" s="70" t="s">
        <v>1464</v>
      </c>
      <c r="BT156" s="70" t="s">
        <v>2098</v>
      </c>
      <c r="BU156" s="70">
        <v>56</v>
      </c>
      <c r="BV156" s="70">
        <v>73</v>
      </c>
      <c r="BW156" s="70">
        <v>93</v>
      </c>
      <c r="BX156" s="70">
        <v>142</v>
      </c>
      <c r="BY156" s="70">
        <v>161</v>
      </c>
      <c r="BZ156" s="70">
        <v>525</v>
      </c>
      <c r="CA156" s="70"/>
      <c r="CB156" s="70" t="s">
        <v>2098</v>
      </c>
      <c r="CC156" s="70">
        <v>19</v>
      </c>
      <c r="CD156" s="70">
        <v>0</v>
      </c>
      <c r="CE156" s="70">
        <v>0</v>
      </c>
      <c r="CF156" s="70">
        <v>0</v>
      </c>
      <c r="CG156" s="70">
        <v>0</v>
      </c>
      <c r="CH156" s="70">
        <v>19</v>
      </c>
      <c r="CL156" s="57" t="s">
        <v>368</v>
      </c>
      <c r="CM156" s="57" t="s">
        <v>2032</v>
      </c>
      <c r="CN156" s="57">
        <v>1251</v>
      </c>
      <c r="CO156" s="57">
        <v>768</v>
      </c>
      <c r="CP156" s="57">
        <v>1017</v>
      </c>
      <c r="CQ156" s="57">
        <v>945</v>
      </c>
      <c r="CR156" s="57">
        <v>801</v>
      </c>
      <c r="CS156" s="57">
        <v>4782</v>
      </c>
      <c r="CT156" s="57"/>
      <c r="CU156" s="57" t="s">
        <v>2032</v>
      </c>
      <c r="CV156" s="57">
        <v>165</v>
      </c>
      <c r="CW156" s="57">
        <v>5</v>
      </c>
      <c r="CX156" s="57">
        <v>1</v>
      </c>
      <c r="CY156" s="57">
        <v>0</v>
      </c>
      <c r="CZ156" s="57">
        <v>0</v>
      </c>
      <c r="DA156" s="57">
        <v>171</v>
      </c>
      <c r="DD156" s="21"/>
      <c r="DT156" s="16" t="s">
        <v>2022</v>
      </c>
      <c r="DU156" s="16" t="s">
        <v>1632</v>
      </c>
      <c r="DV156" s="79" t="s">
        <v>2667</v>
      </c>
      <c r="DW156" s="79" t="s">
        <v>2253</v>
      </c>
      <c r="DX156" s="79" t="s">
        <v>324</v>
      </c>
      <c r="DY156" s="79" t="s">
        <v>324</v>
      </c>
      <c r="DZ156" s="79" t="s">
        <v>324</v>
      </c>
      <c r="EA156" s="79" t="s">
        <v>324</v>
      </c>
      <c r="EB156" s="79" t="s">
        <v>324</v>
      </c>
      <c r="EC156" s="79" t="s">
        <v>324</v>
      </c>
      <c r="ED156" s="79"/>
      <c r="EE156" s="79" t="s">
        <v>2253</v>
      </c>
      <c r="EF156" s="79" t="s">
        <v>324</v>
      </c>
      <c r="EG156" s="79" t="s">
        <v>324</v>
      </c>
      <c r="EH156" s="79" t="s">
        <v>324</v>
      </c>
      <c r="EI156" s="79" t="s">
        <v>324</v>
      </c>
      <c r="EJ156" s="79" t="s">
        <v>324</v>
      </c>
      <c r="EK156" s="79" t="s">
        <v>324</v>
      </c>
      <c r="EN156" s="57" t="s">
        <v>1750</v>
      </c>
      <c r="EO156" s="57" t="s">
        <v>25</v>
      </c>
      <c r="EP156" s="57">
        <v>511</v>
      </c>
      <c r="EQ156" s="57">
        <v>586</v>
      </c>
      <c r="ER156" s="57">
        <v>704</v>
      </c>
      <c r="ES156" s="57">
        <v>878</v>
      </c>
      <c r="ET156" s="57">
        <v>918</v>
      </c>
      <c r="EU156" s="57">
        <v>3597</v>
      </c>
      <c r="EV156" s="57"/>
      <c r="EW156" s="57" t="s">
        <v>25</v>
      </c>
      <c r="EX156" s="57">
        <v>44</v>
      </c>
      <c r="EY156" s="57">
        <v>11</v>
      </c>
      <c r="EZ156" s="57">
        <v>7</v>
      </c>
      <c r="FA156" s="57">
        <v>7</v>
      </c>
      <c r="FB156" s="57">
        <v>4</v>
      </c>
      <c r="FC156" s="57">
        <v>73</v>
      </c>
      <c r="FF156" s="70" t="s">
        <v>1820</v>
      </c>
      <c r="FG156" s="70" t="s">
        <v>2032</v>
      </c>
      <c r="FH156" s="70">
        <v>387</v>
      </c>
      <c r="FI156" s="70">
        <v>498</v>
      </c>
      <c r="FJ156" s="70">
        <v>638</v>
      </c>
      <c r="FK156" s="70">
        <v>636</v>
      </c>
      <c r="FL156" s="70">
        <v>656</v>
      </c>
      <c r="FM156" s="70">
        <v>2815</v>
      </c>
      <c r="FN156" s="70"/>
      <c r="FO156" s="70" t="s">
        <v>2032</v>
      </c>
      <c r="FP156" s="70">
        <v>69</v>
      </c>
      <c r="FQ156" s="70">
        <v>0</v>
      </c>
      <c r="FR156" s="70">
        <v>0</v>
      </c>
      <c r="FS156" s="70">
        <v>0</v>
      </c>
      <c r="FT156" s="70">
        <v>0</v>
      </c>
      <c r="FU156" s="70">
        <v>69</v>
      </c>
    </row>
    <row r="157" spans="2:177">
      <c r="B157" s="64" t="s">
        <v>730</v>
      </c>
      <c r="C157" s="64" t="s">
        <v>2032</v>
      </c>
      <c r="D157" s="64">
        <v>601</v>
      </c>
      <c r="E157" s="64">
        <v>725</v>
      </c>
      <c r="F157" s="64">
        <v>1107</v>
      </c>
      <c r="G157" s="64">
        <v>1201</v>
      </c>
      <c r="H157" s="64">
        <v>830</v>
      </c>
      <c r="I157" s="64">
        <v>4464</v>
      </c>
      <c r="K157" s="64" t="s">
        <v>2032</v>
      </c>
      <c r="L157" s="64">
        <v>75</v>
      </c>
      <c r="M157" s="64">
        <v>2</v>
      </c>
      <c r="N157" s="64">
        <v>0</v>
      </c>
      <c r="O157" s="64">
        <v>2</v>
      </c>
      <c r="P157" s="64">
        <v>0</v>
      </c>
      <c r="Q157" s="64">
        <v>79</v>
      </c>
      <c r="T157" s="65" t="s">
        <v>1035</v>
      </c>
      <c r="U157" s="65" t="s">
        <v>2098</v>
      </c>
      <c r="V157" s="65">
        <v>132</v>
      </c>
      <c r="W157" s="65">
        <v>202</v>
      </c>
      <c r="X157" s="65">
        <v>374</v>
      </c>
      <c r="Y157" s="65">
        <v>477</v>
      </c>
      <c r="Z157" s="65">
        <v>437</v>
      </c>
      <c r="AA157" s="65">
        <v>1622</v>
      </c>
      <c r="AB157" s="65"/>
      <c r="AC157" s="65" t="s">
        <v>2098</v>
      </c>
      <c r="AD157" s="65">
        <v>13</v>
      </c>
      <c r="AE157" s="65">
        <v>0</v>
      </c>
      <c r="AF157" s="65">
        <v>0</v>
      </c>
      <c r="AG157" s="65">
        <v>0</v>
      </c>
      <c r="AH157" s="65">
        <v>0</v>
      </c>
      <c r="AI157" s="65">
        <v>13</v>
      </c>
      <c r="AK157" s="66" t="s">
        <v>1915</v>
      </c>
      <c r="AL157" s="66" t="s">
        <v>2028</v>
      </c>
      <c r="AM157" s="66">
        <v>708</v>
      </c>
      <c r="AN157" s="66">
        <v>674</v>
      </c>
      <c r="AO157" s="66">
        <v>750</v>
      </c>
      <c r="AP157" s="66">
        <v>869</v>
      </c>
      <c r="AQ157" s="66">
        <v>607</v>
      </c>
      <c r="AR157" s="66">
        <v>3608</v>
      </c>
      <c r="AS157" s="66"/>
      <c r="AT157" s="66" t="s">
        <v>2028</v>
      </c>
      <c r="AU157" s="66">
        <v>79</v>
      </c>
      <c r="AV157" s="66">
        <v>0</v>
      </c>
      <c r="AW157" s="66">
        <v>0</v>
      </c>
      <c r="AX157" s="66">
        <v>1</v>
      </c>
      <c r="AY157" s="66">
        <v>1</v>
      </c>
      <c r="AZ157" s="66">
        <v>81</v>
      </c>
      <c r="BB157" s="69" t="s">
        <v>1272</v>
      </c>
      <c r="BC157" s="69" t="s">
        <v>2028</v>
      </c>
      <c r="BD157" s="69">
        <v>380</v>
      </c>
      <c r="BE157" s="69">
        <v>523</v>
      </c>
      <c r="BF157" s="69">
        <v>726</v>
      </c>
      <c r="BG157" s="69">
        <v>853</v>
      </c>
      <c r="BH157" s="69">
        <v>575</v>
      </c>
      <c r="BI157" s="69">
        <v>3057</v>
      </c>
      <c r="BJ157" s="69"/>
      <c r="BK157" s="69" t="s">
        <v>2028</v>
      </c>
      <c r="BL157" s="69">
        <v>33</v>
      </c>
      <c r="BM157" s="69">
        <v>0</v>
      </c>
      <c r="BN157" s="69">
        <v>0</v>
      </c>
      <c r="BO157" s="69">
        <v>0</v>
      </c>
      <c r="BP157" s="69">
        <v>0</v>
      </c>
      <c r="BQ157" s="69">
        <v>33</v>
      </c>
      <c r="BS157" s="70" t="s">
        <v>1466</v>
      </c>
      <c r="BT157" s="70" t="s">
        <v>2098</v>
      </c>
      <c r="BU157" s="70">
        <v>35</v>
      </c>
      <c r="BV157" s="70">
        <v>39</v>
      </c>
      <c r="BW157" s="70">
        <v>83</v>
      </c>
      <c r="BX157" s="70">
        <v>170</v>
      </c>
      <c r="BY157" s="70">
        <v>128</v>
      </c>
      <c r="BZ157" s="70">
        <v>455</v>
      </c>
      <c r="CA157" s="70"/>
      <c r="CB157" s="70" t="s">
        <v>2098</v>
      </c>
      <c r="CC157" s="70">
        <v>19</v>
      </c>
      <c r="CD157" s="70">
        <v>0</v>
      </c>
      <c r="CE157" s="70">
        <v>0</v>
      </c>
      <c r="CF157" s="70">
        <v>0</v>
      </c>
      <c r="CG157" s="70">
        <v>0</v>
      </c>
      <c r="CH157" s="70">
        <v>19</v>
      </c>
      <c r="CL157" s="57" t="s">
        <v>544</v>
      </c>
      <c r="CM157" s="57" t="s">
        <v>2032</v>
      </c>
      <c r="CN157" s="57" t="s">
        <v>324</v>
      </c>
      <c r="CO157" s="57" t="s">
        <v>324</v>
      </c>
      <c r="CP157" s="57" t="s">
        <v>324</v>
      </c>
      <c r="CQ157" s="57" t="s">
        <v>324</v>
      </c>
      <c r="CR157" s="57" t="s">
        <v>324</v>
      </c>
      <c r="CS157" s="57" t="s">
        <v>324</v>
      </c>
      <c r="CT157" s="57"/>
      <c r="CU157" s="57" t="s">
        <v>2032</v>
      </c>
      <c r="CV157" s="57" t="s">
        <v>324</v>
      </c>
      <c r="CW157" s="57" t="s">
        <v>324</v>
      </c>
      <c r="CX157" s="57" t="s">
        <v>324</v>
      </c>
      <c r="CY157" s="57" t="s">
        <v>324</v>
      </c>
      <c r="CZ157" s="57" t="s">
        <v>324</v>
      </c>
      <c r="DA157" s="57" t="s">
        <v>324</v>
      </c>
      <c r="DD157" s="21"/>
      <c r="DT157" s="16" t="s">
        <v>2022</v>
      </c>
      <c r="DU157" s="16" t="s">
        <v>1636</v>
      </c>
      <c r="DV157" s="79" t="s">
        <v>2694</v>
      </c>
      <c r="DW157" s="79" t="s">
        <v>2253</v>
      </c>
      <c r="DX157" s="79" t="s">
        <v>324</v>
      </c>
      <c r="DY157" s="79" t="s">
        <v>324</v>
      </c>
      <c r="DZ157" s="79" t="s">
        <v>324</v>
      </c>
      <c r="EA157" s="79" t="s">
        <v>324</v>
      </c>
      <c r="EB157" s="79" t="s">
        <v>324</v>
      </c>
      <c r="EC157" s="79" t="s">
        <v>324</v>
      </c>
      <c r="ED157" s="79"/>
      <c r="EE157" s="79" t="s">
        <v>2253</v>
      </c>
      <c r="EF157" s="79" t="s">
        <v>324</v>
      </c>
      <c r="EG157" s="79" t="s">
        <v>324</v>
      </c>
      <c r="EH157" s="79" t="s">
        <v>324</v>
      </c>
      <c r="EI157" s="79" t="s">
        <v>324</v>
      </c>
      <c r="EJ157" s="79" t="s">
        <v>324</v>
      </c>
      <c r="EK157" s="79" t="s">
        <v>324</v>
      </c>
      <c r="EN157" s="57" t="s">
        <v>1753</v>
      </c>
      <c r="EO157" s="57" t="s">
        <v>25</v>
      </c>
      <c r="EP157" s="57">
        <v>301</v>
      </c>
      <c r="EQ157" s="57">
        <v>448</v>
      </c>
      <c r="ER157" s="57">
        <v>425</v>
      </c>
      <c r="ES157" s="57">
        <v>482</v>
      </c>
      <c r="ET157" s="57">
        <v>577</v>
      </c>
      <c r="EU157" s="57">
        <v>2233</v>
      </c>
      <c r="EV157" s="57"/>
      <c r="EW157" s="57" t="s">
        <v>25</v>
      </c>
      <c r="EX157" s="57">
        <v>17</v>
      </c>
      <c r="EY157" s="57">
        <v>7</v>
      </c>
      <c r="EZ157" s="57">
        <v>1</v>
      </c>
      <c r="FA157" s="57">
        <v>1</v>
      </c>
      <c r="FB157" s="57">
        <v>6</v>
      </c>
      <c r="FC157" s="57">
        <v>32</v>
      </c>
      <c r="FF157" s="70" t="s">
        <v>1822</v>
      </c>
      <c r="FG157" s="70" t="s">
        <v>2032</v>
      </c>
      <c r="FH157" s="70">
        <v>381</v>
      </c>
      <c r="FI157" s="70">
        <v>540</v>
      </c>
      <c r="FJ157" s="70">
        <v>693</v>
      </c>
      <c r="FK157" s="70">
        <v>650</v>
      </c>
      <c r="FL157" s="70">
        <v>764</v>
      </c>
      <c r="FM157" s="70">
        <v>3028</v>
      </c>
      <c r="FN157" s="70"/>
      <c r="FO157" s="70" t="s">
        <v>2032</v>
      </c>
      <c r="FP157" s="70">
        <v>57</v>
      </c>
      <c r="FQ157" s="70">
        <v>1</v>
      </c>
      <c r="FR157" s="70">
        <v>0</v>
      </c>
      <c r="FS157" s="70">
        <v>0</v>
      </c>
      <c r="FT157" s="70">
        <v>0</v>
      </c>
      <c r="FU157" s="70">
        <v>58</v>
      </c>
    </row>
    <row r="158" spans="2:177">
      <c r="B158" s="64" t="s">
        <v>736</v>
      </c>
      <c r="C158" s="64" t="s">
        <v>2032</v>
      </c>
      <c r="D158" s="64">
        <v>318</v>
      </c>
      <c r="E158" s="64">
        <v>516</v>
      </c>
      <c r="F158" s="64">
        <v>685</v>
      </c>
      <c r="G158" s="64">
        <v>876</v>
      </c>
      <c r="H158" s="64">
        <v>547</v>
      </c>
      <c r="I158" s="64">
        <v>2942</v>
      </c>
      <c r="K158" s="64" t="s">
        <v>2032</v>
      </c>
      <c r="L158" s="64">
        <v>15</v>
      </c>
      <c r="M158" s="64">
        <v>1</v>
      </c>
      <c r="N158" s="64">
        <v>0</v>
      </c>
      <c r="O158" s="64">
        <v>0</v>
      </c>
      <c r="P158" s="64">
        <v>0</v>
      </c>
      <c r="Q158" s="64">
        <v>16</v>
      </c>
      <c r="T158" s="65" t="s">
        <v>1038</v>
      </c>
      <c r="U158" s="65" t="s">
        <v>2098</v>
      </c>
      <c r="V158" s="65">
        <v>487</v>
      </c>
      <c r="W158" s="65">
        <v>555</v>
      </c>
      <c r="X158" s="65">
        <v>642</v>
      </c>
      <c r="Y158" s="65">
        <v>777</v>
      </c>
      <c r="Z158" s="65">
        <v>712</v>
      </c>
      <c r="AA158" s="65">
        <v>3173</v>
      </c>
      <c r="AB158" s="65"/>
      <c r="AC158" s="65" t="s">
        <v>2098</v>
      </c>
      <c r="AD158" s="65">
        <v>47</v>
      </c>
      <c r="AE158" s="65">
        <v>0</v>
      </c>
      <c r="AF158" s="65">
        <v>0</v>
      </c>
      <c r="AG158" s="65">
        <v>0</v>
      </c>
      <c r="AH158" s="65">
        <v>0</v>
      </c>
      <c r="AI158" s="65">
        <v>47</v>
      </c>
      <c r="AK158" s="66" t="s">
        <v>1930</v>
      </c>
      <c r="AL158" s="66" t="s">
        <v>2028</v>
      </c>
      <c r="AM158" s="66">
        <v>358</v>
      </c>
      <c r="AN158" s="66">
        <v>485</v>
      </c>
      <c r="AO158" s="66">
        <v>741</v>
      </c>
      <c r="AP158" s="66">
        <v>819</v>
      </c>
      <c r="AQ158" s="66">
        <v>546</v>
      </c>
      <c r="AR158" s="66">
        <v>2949</v>
      </c>
      <c r="AS158" s="66"/>
      <c r="AT158" s="66" t="s">
        <v>2028</v>
      </c>
      <c r="AU158" s="66">
        <v>22</v>
      </c>
      <c r="AV158" s="66">
        <v>2</v>
      </c>
      <c r="AW158" s="66">
        <v>0</v>
      </c>
      <c r="AX158" s="66">
        <v>0</v>
      </c>
      <c r="AY158" s="66">
        <v>1</v>
      </c>
      <c r="AZ158" s="66">
        <v>25</v>
      </c>
      <c r="BB158" s="69" t="s">
        <v>430</v>
      </c>
      <c r="BC158" s="69" t="s">
        <v>2028</v>
      </c>
      <c r="BD158" s="69">
        <v>146</v>
      </c>
      <c r="BE158" s="69">
        <v>162</v>
      </c>
      <c r="BF158" s="69">
        <v>389</v>
      </c>
      <c r="BG158" s="69">
        <v>583</v>
      </c>
      <c r="BH158" s="69">
        <v>445</v>
      </c>
      <c r="BI158" s="69">
        <v>1725</v>
      </c>
      <c r="BJ158" s="69"/>
      <c r="BK158" s="69" t="s">
        <v>2028</v>
      </c>
      <c r="BL158" s="69">
        <v>28</v>
      </c>
      <c r="BM158" s="69">
        <v>0</v>
      </c>
      <c r="BN158" s="69">
        <v>0</v>
      </c>
      <c r="BO158" s="69">
        <v>0</v>
      </c>
      <c r="BP158" s="69">
        <v>0</v>
      </c>
      <c r="BQ158" s="69">
        <v>28</v>
      </c>
      <c r="BS158" s="70" t="s">
        <v>1468</v>
      </c>
      <c r="BT158" s="70" t="s">
        <v>2098</v>
      </c>
      <c r="BU158" s="70">
        <v>26</v>
      </c>
      <c r="BV158" s="70">
        <v>17</v>
      </c>
      <c r="BW158" s="70">
        <v>45</v>
      </c>
      <c r="BX158" s="70">
        <v>69</v>
      </c>
      <c r="BY158" s="70">
        <v>99</v>
      </c>
      <c r="BZ158" s="70">
        <v>256</v>
      </c>
      <c r="CA158" s="70"/>
      <c r="CB158" s="70" t="s">
        <v>2098</v>
      </c>
      <c r="CC158" s="70">
        <v>9</v>
      </c>
      <c r="CD158" s="70">
        <v>0</v>
      </c>
      <c r="CE158" s="70">
        <v>0</v>
      </c>
      <c r="CF158" s="70">
        <v>0</v>
      </c>
      <c r="CG158" s="70">
        <v>0</v>
      </c>
      <c r="CH158" s="70">
        <v>9</v>
      </c>
      <c r="CL158" s="57" t="s">
        <v>369</v>
      </c>
      <c r="CM158" s="57" t="s">
        <v>2032</v>
      </c>
      <c r="CN158" s="57">
        <v>111</v>
      </c>
      <c r="CO158" s="57">
        <v>105</v>
      </c>
      <c r="CP158" s="57">
        <v>217</v>
      </c>
      <c r="CQ158" s="57">
        <v>309</v>
      </c>
      <c r="CR158" s="57">
        <v>259</v>
      </c>
      <c r="CS158" s="57">
        <v>1001</v>
      </c>
      <c r="CT158" s="57"/>
      <c r="CU158" s="57" t="s">
        <v>2032</v>
      </c>
      <c r="CV158" s="57">
        <v>18</v>
      </c>
      <c r="CW158" s="57">
        <v>0</v>
      </c>
      <c r="CX158" s="57">
        <v>0</v>
      </c>
      <c r="CY158" s="57">
        <v>0</v>
      </c>
      <c r="CZ158" s="57">
        <v>0</v>
      </c>
      <c r="DA158" s="57">
        <v>18</v>
      </c>
      <c r="DD158" s="21"/>
      <c r="DT158" s="16" t="s">
        <v>2022</v>
      </c>
      <c r="DU158" s="16" t="s">
        <v>1640</v>
      </c>
      <c r="DV158" s="79" t="s">
        <v>2682</v>
      </c>
      <c r="DW158" s="79" t="s">
        <v>2253</v>
      </c>
      <c r="DX158" s="79" t="s">
        <v>324</v>
      </c>
      <c r="DY158" s="79" t="s">
        <v>324</v>
      </c>
      <c r="DZ158" s="79" t="s">
        <v>324</v>
      </c>
      <c r="EA158" s="79" t="s">
        <v>324</v>
      </c>
      <c r="EB158" s="79" t="s">
        <v>324</v>
      </c>
      <c r="EC158" s="79" t="s">
        <v>324</v>
      </c>
      <c r="ED158" s="79"/>
      <c r="EE158" s="79" t="s">
        <v>2253</v>
      </c>
      <c r="EF158" s="79" t="s">
        <v>324</v>
      </c>
      <c r="EG158" s="79" t="s">
        <v>324</v>
      </c>
      <c r="EH158" s="79" t="s">
        <v>324</v>
      </c>
      <c r="EI158" s="79" t="s">
        <v>324</v>
      </c>
      <c r="EJ158" s="79" t="s">
        <v>324</v>
      </c>
      <c r="EK158" s="79" t="s">
        <v>324</v>
      </c>
      <c r="EN158" s="57" t="s">
        <v>1756</v>
      </c>
      <c r="EO158" s="57" t="s">
        <v>25</v>
      </c>
      <c r="EP158" s="57">
        <v>96</v>
      </c>
      <c r="EQ158" s="57">
        <v>128</v>
      </c>
      <c r="ER158" s="57">
        <v>118</v>
      </c>
      <c r="ES158" s="57">
        <v>175</v>
      </c>
      <c r="ET158" s="57">
        <v>179</v>
      </c>
      <c r="EU158" s="57">
        <v>696</v>
      </c>
      <c r="EV158" s="57"/>
      <c r="EW158" s="57" t="s">
        <v>25</v>
      </c>
      <c r="EX158" s="57">
        <v>21</v>
      </c>
      <c r="EY158" s="57">
        <v>8</v>
      </c>
      <c r="EZ158" s="57">
        <v>0</v>
      </c>
      <c r="FA158" s="57">
        <v>0</v>
      </c>
      <c r="FB158" s="57">
        <v>0</v>
      </c>
      <c r="FC158" s="57">
        <v>29</v>
      </c>
      <c r="FF158" s="70" t="s">
        <v>2007</v>
      </c>
      <c r="FG158" s="70" t="s">
        <v>2032</v>
      </c>
      <c r="FH158" s="70" t="s">
        <v>324</v>
      </c>
      <c r="FI158" s="70" t="s">
        <v>324</v>
      </c>
      <c r="FJ158" s="70" t="s">
        <v>324</v>
      </c>
      <c r="FK158" s="70" t="s">
        <v>324</v>
      </c>
      <c r="FL158" s="70" t="s">
        <v>324</v>
      </c>
      <c r="FM158" s="70" t="s">
        <v>324</v>
      </c>
      <c r="FN158" s="70"/>
      <c r="FO158" s="70" t="s">
        <v>2032</v>
      </c>
      <c r="FP158" s="70" t="s">
        <v>324</v>
      </c>
      <c r="FQ158" s="70" t="s">
        <v>324</v>
      </c>
      <c r="FR158" s="70" t="s">
        <v>324</v>
      </c>
      <c r="FS158" s="70" t="s">
        <v>324</v>
      </c>
      <c r="FT158" s="70" t="s">
        <v>324</v>
      </c>
      <c r="FU158" s="70" t="s">
        <v>324</v>
      </c>
    </row>
    <row r="159" spans="2:177">
      <c r="B159" s="64" t="s">
        <v>741</v>
      </c>
      <c r="C159" s="64" t="s">
        <v>2032</v>
      </c>
      <c r="D159" s="64">
        <v>415</v>
      </c>
      <c r="E159" s="64">
        <v>664</v>
      </c>
      <c r="F159" s="64">
        <v>887</v>
      </c>
      <c r="G159" s="64">
        <v>1030</v>
      </c>
      <c r="H159" s="64">
        <v>559</v>
      </c>
      <c r="I159" s="64">
        <v>3555</v>
      </c>
      <c r="K159" s="64" t="s">
        <v>2032</v>
      </c>
      <c r="L159" s="64">
        <v>44</v>
      </c>
      <c r="M159" s="64">
        <v>1</v>
      </c>
      <c r="N159" s="64">
        <v>0</v>
      </c>
      <c r="O159" s="64">
        <v>0</v>
      </c>
      <c r="P159" s="64">
        <v>0</v>
      </c>
      <c r="Q159" s="64">
        <v>45</v>
      </c>
      <c r="T159" s="65" t="s">
        <v>1042</v>
      </c>
      <c r="U159" s="65" t="s">
        <v>2098</v>
      </c>
      <c r="V159" s="65">
        <v>86</v>
      </c>
      <c r="W159" s="65">
        <v>145</v>
      </c>
      <c r="X159" s="65">
        <v>190</v>
      </c>
      <c r="Y159" s="65">
        <v>299</v>
      </c>
      <c r="Z159" s="65">
        <v>272</v>
      </c>
      <c r="AA159" s="65">
        <v>992</v>
      </c>
      <c r="AB159" s="65"/>
      <c r="AC159" s="65" t="s">
        <v>2098</v>
      </c>
      <c r="AD159" s="65">
        <v>11</v>
      </c>
      <c r="AE159" s="65">
        <v>4</v>
      </c>
      <c r="AF159" s="65">
        <v>1</v>
      </c>
      <c r="AG159" s="65">
        <v>0</v>
      </c>
      <c r="AH159" s="65">
        <v>0</v>
      </c>
      <c r="AI159" s="65">
        <v>16</v>
      </c>
      <c r="AK159" s="66" t="s">
        <v>2033</v>
      </c>
      <c r="AL159" s="66" t="s">
        <v>2028</v>
      </c>
      <c r="AM159" s="66">
        <v>228</v>
      </c>
      <c r="AN159" s="66">
        <v>363</v>
      </c>
      <c r="AO159" s="66">
        <v>593</v>
      </c>
      <c r="AP159" s="66">
        <v>745</v>
      </c>
      <c r="AQ159" s="66">
        <v>545</v>
      </c>
      <c r="AR159" s="66">
        <v>2474</v>
      </c>
      <c r="AS159" s="66"/>
      <c r="AT159" s="66" t="s">
        <v>2028</v>
      </c>
      <c r="AU159" s="66">
        <v>22</v>
      </c>
      <c r="AV159" s="66">
        <v>3</v>
      </c>
      <c r="AW159" s="66">
        <v>1</v>
      </c>
      <c r="AX159" s="66">
        <v>1</v>
      </c>
      <c r="AY159" s="66">
        <v>0</v>
      </c>
      <c r="AZ159" s="66">
        <v>27</v>
      </c>
      <c r="BB159" s="69" t="s">
        <v>1285</v>
      </c>
      <c r="BC159" s="69" t="s">
        <v>2028</v>
      </c>
      <c r="BD159" s="69">
        <v>184</v>
      </c>
      <c r="BE159" s="69">
        <v>244</v>
      </c>
      <c r="BF159" s="69">
        <v>490</v>
      </c>
      <c r="BG159" s="69">
        <v>700</v>
      </c>
      <c r="BH159" s="69">
        <v>569</v>
      </c>
      <c r="BI159" s="69">
        <v>2187</v>
      </c>
      <c r="BJ159" s="69"/>
      <c r="BK159" s="69" t="s">
        <v>2028</v>
      </c>
      <c r="BL159" s="69">
        <v>31</v>
      </c>
      <c r="BM159" s="69">
        <v>2</v>
      </c>
      <c r="BN159" s="69">
        <v>0</v>
      </c>
      <c r="BO159" s="69">
        <v>0</v>
      </c>
      <c r="BP159" s="69">
        <v>0</v>
      </c>
      <c r="BQ159" s="69">
        <v>33</v>
      </c>
      <c r="BS159" s="70" t="s">
        <v>1471</v>
      </c>
      <c r="BT159" s="70" t="s">
        <v>2098</v>
      </c>
      <c r="BU159" s="70">
        <v>50</v>
      </c>
      <c r="BV159" s="70">
        <v>34</v>
      </c>
      <c r="BW159" s="70">
        <v>65</v>
      </c>
      <c r="BX159" s="70">
        <v>97</v>
      </c>
      <c r="BY159" s="70">
        <v>97</v>
      </c>
      <c r="BZ159" s="70">
        <v>343</v>
      </c>
      <c r="CA159" s="70"/>
      <c r="CB159" s="70" t="s">
        <v>2098</v>
      </c>
      <c r="CC159" s="70">
        <v>13</v>
      </c>
      <c r="CD159" s="70">
        <v>0</v>
      </c>
      <c r="CE159" s="70">
        <v>0</v>
      </c>
      <c r="CF159" s="70">
        <v>0</v>
      </c>
      <c r="CG159" s="70">
        <v>0</v>
      </c>
      <c r="CH159" s="70">
        <v>13</v>
      </c>
      <c r="CL159" s="57" t="s">
        <v>540</v>
      </c>
      <c r="CM159" s="57" t="s">
        <v>2032</v>
      </c>
      <c r="CN159" s="57">
        <v>122</v>
      </c>
      <c r="CO159" s="57">
        <v>137</v>
      </c>
      <c r="CP159" s="57">
        <v>268</v>
      </c>
      <c r="CQ159" s="57">
        <v>375</v>
      </c>
      <c r="CR159" s="57">
        <v>318</v>
      </c>
      <c r="CS159" s="57">
        <v>1220</v>
      </c>
      <c r="CT159" s="57"/>
      <c r="CU159" s="57" t="s">
        <v>2032</v>
      </c>
      <c r="CV159" s="57">
        <v>29</v>
      </c>
      <c r="CW159" s="57">
        <v>0</v>
      </c>
      <c r="CX159" s="57">
        <v>0</v>
      </c>
      <c r="CY159" s="57">
        <v>0</v>
      </c>
      <c r="CZ159" s="57">
        <v>0</v>
      </c>
      <c r="DA159" s="57">
        <v>29</v>
      </c>
      <c r="DD159" s="21"/>
      <c r="DT159" s="16" t="s">
        <v>2022</v>
      </c>
      <c r="DU159" s="16" t="s">
        <v>1643</v>
      </c>
      <c r="DV159" s="79" t="s">
        <v>2685</v>
      </c>
      <c r="DW159" s="79" t="s">
        <v>2253</v>
      </c>
      <c r="DX159" s="79" t="s">
        <v>324</v>
      </c>
      <c r="DY159" s="79" t="s">
        <v>324</v>
      </c>
      <c r="DZ159" s="79" t="s">
        <v>324</v>
      </c>
      <c r="EA159" s="79" t="s">
        <v>324</v>
      </c>
      <c r="EB159" s="79" t="s">
        <v>324</v>
      </c>
      <c r="EC159" s="79" t="s">
        <v>324</v>
      </c>
      <c r="ED159" s="79"/>
      <c r="EE159" s="79" t="s">
        <v>2253</v>
      </c>
      <c r="EF159" s="79" t="s">
        <v>324</v>
      </c>
      <c r="EG159" s="79" t="s">
        <v>324</v>
      </c>
      <c r="EH159" s="79" t="s">
        <v>324</v>
      </c>
      <c r="EI159" s="79" t="s">
        <v>324</v>
      </c>
      <c r="EJ159" s="79" t="s">
        <v>324</v>
      </c>
      <c r="EK159" s="79" t="s">
        <v>324</v>
      </c>
      <c r="EN159" s="57" t="s">
        <v>1760</v>
      </c>
      <c r="EO159" s="57" t="s">
        <v>25</v>
      </c>
      <c r="EP159" s="57">
        <v>65</v>
      </c>
      <c r="EQ159" s="57">
        <v>129</v>
      </c>
      <c r="ER159" s="57">
        <v>136</v>
      </c>
      <c r="ES159" s="57">
        <v>171</v>
      </c>
      <c r="ET159" s="57">
        <v>202</v>
      </c>
      <c r="EU159" s="57">
        <v>703</v>
      </c>
      <c r="EV159" s="57"/>
      <c r="EW159" s="57" t="s">
        <v>25</v>
      </c>
      <c r="EX159" s="57">
        <v>13</v>
      </c>
      <c r="EY159" s="57">
        <v>12</v>
      </c>
      <c r="EZ159" s="57">
        <v>11</v>
      </c>
      <c r="FA159" s="57">
        <v>8</v>
      </c>
      <c r="FB159" s="57">
        <v>1</v>
      </c>
      <c r="FC159" s="57">
        <v>45</v>
      </c>
      <c r="FF159" s="70" t="s">
        <v>1825</v>
      </c>
      <c r="FG159" s="70" t="s">
        <v>2032</v>
      </c>
      <c r="FH159" s="70">
        <v>355</v>
      </c>
      <c r="FI159" s="70">
        <v>397</v>
      </c>
      <c r="FJ159" s="70">
        <v>507</v>
      </c>
      <c r="FK159" s="70">
        <v>573</v>
      </c>
      <c r="FL159" s="70">
        <v>657</v>
      </c>
      <c r="FM159" s="70">
        <v>2489</v>
      </c>
      <c r="FN159" s="70"/>
      <c r="FO159" s="70" t="s">
        <v>2032</v>
      </c>
      <c r="FP159" s="70">
        <v>73</v>
      </c>
      <c r="FQ159" s="70">
        <v>21</v>
      </c>
      <c r="FR159" s="70">
        <v>7</v>
      </c>
      <c r="FS159" s="70">
        <v>2</v>
      </c>
      <c r="FT159" s="70">
        <v>10</v>
      </c>
      <c r="FU159" s="70">
        <v>113</v>
      </c>
    </row>
    <row r="160" spans="2:177">
      <c r="B160" s="64" t="s">
        <v>744</v>
      </c>
      <c r="C160" s="64" t="s">
        <v>2032</v>
      </c>
      <c r="D160" s="64">
        <v>1429</v>
      </c>
      <c r="E160" s="64">
        <v>1035</v>
      </c>
      <c r="F160" s="64">
        <v>960</v>
      </c>
      <c r="G160" s="64">
        <v>872</v>
      </c>
      <c r="H160" s="64">
        <v>619</v>
      </c>
      <c r="I160" s="64">
        <v>4915</v>
      </c>
      <c r="K160" s="64" t="s">
        <v>2032</v>
      </c>
      <c r="L160" s="64">
        <v>107</v>
      </c>
      <c r="M160" s="64">
        <v>5</v>
      </c>
      <c r="N160" s="64">
        <v>0</v>
      </c>
      <c r="O160" s="64">
        <v>0</v>
      </c>
      <c r="P160" s="64">
        <v>0</v>
      </c>
      <c r="Q160" s="64">
        <v>112</v>
      </c>
      <c r="AK160" s="66" t="s">
        <v>1931</v>
      </c>
      <c r="AL160" s="66" t="s">
        <v>2028</v>
      </c>
      <c r="AM160" s="66">
        <v>332</v>
      </c>
      <c r="AN160" s="66">
        <v>451</v>
      </c>
      <c r="AO160" s="66">
        <v>587</v>
      </c>
      <c r="AP160" s="66">
        <v>655</v>
      </c>
      <c r="AQ160" s="66">
        <v>487</v>
      </c>
      <c r="AR160" s="66">
        <v>2512</v>
      </c>
      <c r="AS160" s="66"/>
      <c r="AT160" s="66" t="s">
        <v>2028</v>
      </c>
      <c r="AU160" s="66">
        <v>23</v>
      </c>
      <c r="AV160" s="66">
        <v>0</v>
      </c>
      <c r="AW160" s="66">
        <v>0</v>
      </c>
      <c r="AX160" s="66">
        <v>0</v>
      </c>
      <c r="AY160" s="66">
        <v>0</v>
      </c>
      <c r="AZ160" s="66">
        <v>23</v>
      </c>
      <c r="BB160" s="69" t="s">
        <v>1289</v>
      </c>
      <c r="BC160" s="69" t="s">
        <v>2028</v>
      </c>
      <c r="BD160" s="69">
        <v>234</v>
      </c>
      <c r="BE160" s="69">
        <v>173</v>
      </c>
      <c r="BF160" s="69">
        <v>277</v>
      </c>
      <c r="BG160" s="69">
        <v>366</v>
      </c>
      <c r="BH160" s="69">
        <v>322</v>
      </c>
      <c r="BI160" s="69">
        <v>1372</v>
      </c>
      <c r="BJ160" s="69"/>
      <c r="BK160" s="69" t="s">
        <v>2028</v>
      </c>
      <c r="BL160" s="69">
        <v>35</v>
      </c>
      <c r="BM160" s="69">
        <v>0</v>
      </c>
      <c r="BN160" s="69">
        <v>0</v>
      </c>
      <c r="BO160" s="69">
        <v>0</v>
      </c>
      <c r="BP160" s="69">
        <v>0</v>
      </c>
      <c r="BQ160" s="69">
        <v>35</v>
      </c>
      <c r="CL160" s="57" t="s">
        <v>549</v>
      </c>
      <c r="CM160" s="57" t="s">
        <v>2032</v>
      </c>
      <c r="CN160" s="57">
        <v>51</v>
      </c>
      <c r="CO160" s="57">
        <v>41</v>
      </c>
      <c r="CP160" s="57">
        <v>52</v>
      </c>
      <c r="CQ160" s="57">
        <v>55</v>
      </c>
      <c r="CR160" s="57">
        <v>48</v>
      </c>
      <c r="CS160" s="57">
        <v>247</v>
      </c>
      <c r="CT160" s="57"/>
      <c r="CU160" s="57" t="s">
        <v>2032</v>
      </c>
      <c r="CV160" s="57">
        <v>17</v>
      </c>
      <c r="CW160" s="57">
        <v>0</v>
      </c>
      <c r="CX160" s="57">
        <v>0</v>
      </c>
      <c r="CY160" s="57">
        <v>0</v>
      </c>
      <c r="CZ160" s="57">
        <v>0</v>
      </c>
      <c r="DA160" s="57">
        <v>17</v>
      </c>
      <c r="DD160" s="21"/>
      <c r="DT160" s="16" t="s">
        <v>2022</v>
      </c>
      <c r="DU160" s="16" t="s">
        <v>1646</v>
      </c>
      <c r="DV160" s="79" t="s">
        <v>2679</v>
      </c>
      <c r="DW160" s="79" t="s">
        <v>2253</v>
      </c>
      <c r="DX160" s="79" t="s">
        <v>324</v>
      </c>
      <c r="DY160" s="79" t="s">
        <v>324</v>
      </c>
      <c r="DZ160" s="79" t="s">
        <v>324</v>
      </c>
      <c r="EA160" s="79" t="s">
        <v>324</v>
      </c>
      <c r="EB160" s="79" t="s">
        <v>324</v>
      </c>
      <c r="EC160" s="79" t="s">
        <v>324</v>
      </c>
      <c r="ED160" s="79"/>
      <c r="EE160" s="79" t="s">
        <v>2253</v>
      </c>
      <c r="EF160" s="79" t="s">
        <v>324</v>
      </c>
      <c r="EG160" s="79" t="s">
        <v>324</v>
      </c>
      <c r="EH160" s="79" t="s">
        <v>324</v>
      </c>
      <c r="EI160" s="79" t="s">
        <v>324</v>
      </c>
      <c r="EJ160" s="79" t="s">
        <v>324</v>
      </c>
      <c r="EK160" s="79" t="s">
        <v>324</v>
      </c>
      <c r="EN160" s="57" t="s">
        <v>1763</v>
      </c>
      <c r="EO160" s="57" t="s">
        <v>25</v>
      </c>
      <c r="EP160" s="57">
        <v>34</v>
      </c>
      <c r="EQ160" s="57">
        <v>91</v>
      </c>
      <c r="ER160" s="57">
        <v>125</v>
      </c>
      <c r="ES160" s="57">
        <v>188</v>
      </c>
      <c r="ET160" s="57">
        <v>208</v>
      </c>
      <c r="EU160" s="57">
        <v>646</v>
      </c>
      <c r="EV160" s="57"/>
      <c r="EW160" s="57" t="s">
        <v>25</v>
      </c>
      <c r="EX160" s="57">
        <v>8</v>
      </c>
      <c r="EY160" s="57">
        <v>3</v>
      </c>
      <c r="EZ160" s="57">
        <v>5</v>
      </c>
      <c r="FA160" s="57">
        <v>1</v>
      </c>
      <c r="FB160" s="57">
        <v>2</v>
      </c>
      <c r="FC160" s="57">
        <v>19</v>
      </c>
      <c r="FF160" s="70" t="s">
        <v>1827</v>
      </c>
      <c r="FG160" s="70" t="s">
        <v>2032</v>
      </c>
      <c r="FH160" s="70">
        <v>532</v>
      </c>
      <c r="FI160" s="70">
        <v>510</v>
      </c>
      <c r="FJ160" s="70">
        <v>574</v>
      </c>
      <c r="FK160" s="70">
        <v>703</v>
      </c>
      <c r="FL160" s="70">
        <v>671</v>
      </c>
      <c r="FM160" s="70">
        <v>2990</v>
      </c>
      <c r="FN160" s="70"/>
      <c r="FO160" s="70" t="s">
        <v>2032</v>
      </c>
      <c r="FP160" s="70">
        <v>61</v>
      </c>
      <c r="FQ160" s="70">
        <v>14</v>
      </c>
      <c r="FR160" s="70">
        <v>5</v>
      </c>
      <c r="FS160" s="70">
        <v>2</v>
      </c>
      <c r="FT160" s="70">
        <v>4</v>
      </c>
      <c r="FU160" s="70">
        <v>86</v>
      </c>
    </row>
    <row r="161" spans="1:177">
      <c r="B161" s="64" t="s">
        <v>747</v>
      </c>
      <c r="C161" s="64" t="s">
        <v>2032</v>
      </c>
      <c r="D161" s="64">
        <v>306</v>
      </c>
      <c r="E161" s="64">
        <v>283</v>
      </c>
      <c r="F161" s="64">
        <v>375</v>
      </c>
      <c r="G161" s="64">
        <v>450</v>
      </c>
      <c r="H161" s="64">
        <v>325</v>
      </c>
      <c r="I161" s="64">
        <v>1739</v>
      </c>
      <c r="K161" s="64" t="s">
        <v>2032</v>
      </c>
      <c r="L161" s="64">
        <v>58</v>
      </c>
      <c r="M161" s="64">
        <v>5</v>
      </c>
      <c r="N161" s="64">
        <v>0</v>
      </c>
      <c r="O161" s="64">
        <v>0</v>
      </c>
      <c r="P161" s="64">
        <v>0</v>
      </c>
      <c r="Q161" s="64">
        <v>63</v>
      </c>
      <c r="T161" s="65" t="s">
        <v>939</v>
      </c>
      <c r="U161" s="65" t="s">
        <v>2253</v>
      </c>
      <c r="V161" s="65">
        <v>563</v>
      </c>
      <c r="W161" s="65">
        <v>612</v>
      </c>
      <c r="X161" s="65">
        <v>791</v>
      </c>
      <c r="Y161" s="65">
        <v>870</v>
      </c>
      <c r="Z161" s="65">
        <v>599</v>
      </c>
      <c r="AA161" s="65">
        <v>3435</v>
      </c>
      <c r="AB161" s="65"/>
      <c r="AC161" s="65" t="s">
        <v>2253</v>
      </c>
      <c r="AD161" s="65">
        <v>102</v>
      </c>
      <c r="AE161" s="65">
        <v>4</v>
      </c>
      <c r="AF161" s="65">
        <v>0</v>
      </c>
      <c r="AG161" s="65">
        <v>0</v>
      </c>
      <c r="AH161" s="65">
        <v>0</v>
      </c>
      <c r="AI161" s="65">
        <v>106</v>
      </c>
      <c r="BB161" s="69" t="s">
        <v>1292</v>
      </c>
      <c r="BC161" s="69" t="s">
        <v>2028</v>
      </c>
      <c r="BD161" s="69">
        <v>496</v>
      </c>
      <c r="BE161" s="69">
        <v>71</v>
      </c>
      <c r="BF161" s="69">
        <v>108</v>
      </c>
      <c r="BG161" s="69">
        <v>145</v>
      </c>
      <c r="BH161" s="69">
        <v>251</v>
      </c>
      <c r="BI161" s="69">
        <v>1071</v>
      </c>
      <c r="BJ161" s="69"/>
      <c r="BK161" s="69" t="s">
        <v>2028</v>
      </c>
      <c r="BL161" s="69">
        <v>150</v>
      </c>
      <c r="BM161" s="69">
        <v>0</v>
      </c>
      <c r="BN161" s="69">
        <v>0</v>
      </c>
      <c r="BO161" s="69">
        <v>0</v>
      </c>
      <c r="BP161" s="69">
        <v>0</v>
      </c>
      <c r="BQ161" s="69">
        <v>150</v>
      </c>
      <c r="BS161" s="70" t="s">
        <v>459</v>
      </c>
      <c r="BT161" s="70" t="s">
        <v>2253</v>
      </c>
      <c r="BU161" s="70">
        <v>69</v>
      </c>
      <c r="BV161" s="70">
        <v>45</v>
      </c>
      <c r="BW161" s="70">
        <v>63</v>
      </c>
      <c r="BX161" s="70">
        <v>91</v>
      </c>
      <c r="BY161" s="70">
        <v>104</v>
      </c>
      <c r="BZ161" s="70">
        <v>372</v>
      </c>
      <c r="CA161" s="70"/>
      <c r="CB161" s="70" t="s">
        <v>2253</v>
      </c>
      <c r="CC161" s="70">
        <v>21</v>
      </c>
      <c r="CD161" s="70">
        <v>0</v>
      </c>
      <c r="CE161" s="70">
        <v>0</v>
      </c>
      <c r="CF161" s="70">
        <v>0</v>
      </c>
      <c r="CG161" s="70">
        <v>0</v>
      </c>
      <c r="CH161" s="70">
        <v>21</v>
      </c>
      <c r="CL161" s="57" t="s">
        <v>1553</v>
      </c>
      <c r="CM161" s="57" t="s">
        <v>2032</v>
      </c>
      <c r="CN161" s="57" t="s">
        <v>324</v>
      </c>
      <c r="CO161" s="57" t="s">
        <v>324</v>
      </c>
      <c r="CP161" s="57" t="s">
        <v>324</v>
      </c>
      <c r="CQ161" s="57" t="s">
        <v>324</v>
      </c>
      <c r="CR161" s="57" t="s">
        <v>324</v>
      </c>
      <c r="CS161" s="57" t="s">
        <v>324</v>
      </c>
      <c r="CT161" s="57"/>
      <c r="CU161" s="57" t="s">
        <v>2032</v>
      </c>
      <c r="CV161" s="57" t="s">
        <v>324</v>
      </c>
      <c r="CW161" s="57" t="s">
        <v>324</v>
      </c>
      <c r="CX161" s="57" t="s">
        <v>324</v>
      </c>
      <c r="CY161" s="57" t="s">
        <v>324</v>
      </c>
      <c r="CZ161" s="57" t="s">
        <v>324</v>
      </c>
      <c r="DA161" s="57" t="s">
        <v>324</v>
      </c>
      <c r="DD161" s="21"/>
      <c r="DT161" s="16" t="s">
        <v>2022</v>
      </c>
      <c r="DU161" s="16" t="s">
        <v>1649</v>
      </c>
      <c r="DV161" s="79" t="s">
        <v>2676</v>
      </c>
      <c r="DW161" s="79" t="s">
        <v>2253</v>
      </c>
      <c r="DX161" s="79" t="s">
        <v>324</v>
      </c>
      <c r="DY161" s="79" t="s">
        <v>324</v>
      </c>
      <c r="DZ161" s="79" t="s">
        <v>324</v>
      </c>
      <c r="EA161" s="79" t="s">
        <v>324</v>
      </c>
      <c r="EB161" s="79" t="s">
        <v>324</v>
      </c>
      <c r="EC161" s="79" t="s">
        <v>324</v>
      </c>
      <c r="ED161" s="79"/>
      <c r="EE161" s="79" t="s">
        <v>2253</v>
      </c>
      <c r="EF161" s="79" t="s">
        <v>324</v>
      </c>
      <c r="EG161" s="79" t="s">
        <v>324</v>
      </c>
      <c r="EH161" s="79" t="s">
        <v>324</v>
      </c>
      <c r="EI161" s="79" t="s">
        <v>324</v>
      </c>
      <c r="EJ161" s="79" t="s">
        <v>324</v>
      </c>
      <c r="EK161" s="79" t="s">
        <v>324</v>
      </c>
      <c r="EN161" s="57" t="s">
        <v>1767</v>
      </c>
      <c r="EO161" s="57" t="s">
        <v>25</v>
      </c>
      <c r="EP161" s="57">
        <v>147</v>
      </c>
      <c r="EQ161" s="57">
        <v>157</v>
      </c>
      <c r="ER161" s="57">
        <v>177</v>
      </c>
      <c r="ES161" s="57">
        <v>212</v>
      </c>
      <c r="ET161" s="57">
        <v>247</v>
      </c>
      <c r="EU161" s="57">
        <v>940</v>
      </c>
      <c r="EV161" s="57"/>
      <c r="EW161" s="57" t="s">
        <v>25</v>
      </c>
      <c r="EX161" s="57">
        <v>30</v>
      </c>
      <c r="EY161" s="57">
        <v>8</v>
      </c>
      <c r="EZ161" s="57">
        <v>0</v>
      </c>
      <c r="FA161" s="57">
        <v>0</v>
      </c>
      <c r="FB161" s="57">
        <v>0</v>
      </c>
      <c r="FC161" s="57">
        <v>38</v>
      </c>
      <c r="FF161" s="70" t="s">
        <v>1828</v>
      </c>
      <c r="FG161" s="70" t="s">
        <v>2032</v>
      </c>
      <c r="FH161" s="70">
        <v>270</v>
      </c>
      <c r="FI161" s="70">
        <v>428</v>
      </c>
      <c r="FJ161" s="70">
        <v>566</v>
      </c>
      <c r="FK161" s="70">
        <v>584</v>
      </c>
      <c r="FL161" s="70">
        <v>593</v>
      </c>
      <c r="FM161" s="70">
        <v>2441</v>
      </c>
      <c r="FN161" s="70"/>
      <c r="FO161" s="70" t="s">
        <v>2032</v>
      </c>
      <c r="FP161" s="70">
        <v>30</v>
      </c>
      <c r="FQ161" s="70">
        <v>4</v>
      </c>
      <c r="FR161" s="70">
        <v>9</v>
      </c>
      <c r="FS161" s="70">
        <v>3</v>
      </c>
      <c r="FT161" s="70">
        <v>1</v>
      </c>
      <c r="FU161" s="70">
        <v>47</v>
      </c>
    </row>
    <row r="162" spans="1:177">
      <c r="B162" s="64" t="s">
        <v>749</v>
      </c>
      <c r="C162" s="64" t="s">
        <v>2032</v>
      </c>
      <c r="D162" s="64">
        <v>64</v>
      </c>
      <c r="E162" s="64">
        <v>124</v>
      </c>
      <c r="F162" s="64">
        <v>229</v>
      </c>
      <c r="G162" s="64">
        <v>328</v>
      </c>
      <c r="H162" s="64">
        <v>287</v>
      </c>
      <c r="I162" s="64">
        <v>1032</v>
      </c>
      <c r="K162" s="64" t="s">
        <v>2032</v>
      </c>
      <c r="L162" s="64">
        <v>6</v>
      </c>
      <c r="M162" s="64">
        <v>0</v>
      </c>
      <c r="N162" s="64">
        <v>0</v>
      </c>
      <c r="O162" s="64">
        <v>0</v>
      </c>
      <c r="P162" s="64">
        <v>0</v>
      </c>
      <c r="Q162" s="64">
        <v>6</v>
      </c>
      <c r="T162" s="65" t="s">
        <v>947</v>
      </c>
      <c r="U162" s="65" t="s">
        <v>2253</v>
      </c>
      <c r="V162" s="65">
        <v>157</v>
      </c>
      <c r="W162" s="65">
        <v>179</v>
      </c>
      <c r="X162" s="65">
        <v>266</v>
      </c>
      <c r="Y162" s="65">
        <v>347</v>
      </c>
      <c r="Z162" s="65">
        <v>336</v>
      </c>
      <c r="AA162" s="65">
        <v>1285</v>
      </c>
      <c r="AB162" s="65"/>
      <c r="AC162" s="65" t="s">
        <v>2253</v>
      </c>
      <c r="AD162" s="65">
        <v>9</v>
      </c>
      <c r="AE162" s="65">
        <v>8</v>
      </c>
      <c r="AF162" s="65">
        <v>0</v>
      </c>
      <c r="AG162" s="65">
        <v>0</v>
      </c>
      <c r="AH162" s="65">
        <v>0</v>
      </c>
      <c r="AI162" s="65">
        <v>17</v>
      </c>
      <c r="AK162" s="66" t="s">
        <v>1910</v>
      </c>
      <c r="AL162" s="66" t="s">
        <v>2028</v>
      </c>
      <c r="AM162" s="66">
        <v>384</v>
      </c>
      <c r="AN162" s="66">
        <v>390</v>
      </c>
      <c r="AO162" s="66">
        <v>328</v>
      </c>
      <c r="AP162" s="66">
        <v>288</v>
      </c>
      <c r="AQ162" s="66">
        <v>464</v>
      </c>
      <c r="AR162" s="66">
        <v>1854</v>
      </c>
      <c r="AS162" s="66"/>
      <c r="AT162" s="66" t="s">
        <v>2028</v>
      </c>
      <c r="AU162" s="66">
        <v>139</v>
      </c>
      <c r="AV162" s="66">
        <v>57</v>
      </c>
      <c r="AW162" s="66">
        <v>49</v>
      </c>
      <c r="AX162" s="66">
        <v>51</v>
      </c>
      <c r="AY162" s="66">
        <v>65</v>
      </c>
      <c r="AZ162" s="66">
        <v>361</v>
      </c>
      <c r="BB162" s="69" t="s">
        <v>439</v>
      </c>
      <c r="BC162" s="69" t="s">
        <v>2028</v>
      </c>
      <c r="BD162" s="69">
        <v>70</v>
      </c>
      <c r="BE162" s="69">
        <v>38</v>
      </c>
      <c r="BF162" s="69">
        <v>36</v>
      </c>
      <c r="BG162" s="69">
        <v>42</v>
      </c>
      <c r="BH162" s="69">
        <v>107</v>
      </c>
      <c r="BI162" s="69">
        <v>293</v>
      </c>
      <c r="BJ162" s="69"/>
      <c r="BK162" s="69" t="s">
        <v>2028</v>
      </c>
      <c r="BL162" s="69">
        <v>36</v>
      </c>
      <c r="BM162" s="69">
        <v>0</v>
      </c>
      <c r="BN162" s="69">
        <v>0</v>
      </c>
      <c r="BO162" s="69">
        <v>0</v>
      </c>
      <c r="BP162" s="69">
        <v>0</v>
      </c>
      <c r="BQ162" s="69">
        <v>36</v>
      </c>
      <c r="BS162" s="70" t="s">
        <v>460</v>
      </c>
      <c r="BT162" s="70" t="s">
        <v>2253</v>
      </c>
      <c r="BU162" s="70">
        <v>927</v>
      </c>
      <c r="BV162" s="70">
        <v>729</v>
      </c>
      <c r="BW162" s="70">
        <v>620</v>
      </c>
      <c r="BX162" s="70">
        <v>510</v>
      </c>
      <c r="BY162" s="70">
        <v>353</v>
      </c>
      <c r="BZ162" s="70">
        <v>3139</v>
      </c>
      <c r="CA162" s="70"/>
      <c r="CB162" s="70" t="s">
        <v>2253</v>
      </c>
      <c r="CC162" s="70">
        <v>181</v>
      </c>
      <c r="CD162" s="70">
        <v>7</v>
      </c>
      <c r="CE162" s="70">
        <v>0</v>
      </c>
      <c r="CF162" s="70">
        <v>0</v>
      </c>
      <c r="CG162" s="70">
        <v>0</v>
      </c>
      <c r="CH162" s="70">
        <v>188</v>
      </c>
      <c r="CL162" s="57" t="s">
        <v>555</v>
      </c>
      <c r="CM162" s="57" t="s">
        <v>2032</v>
      </c>
      <c r="CN162" s="57">
        <v>521</v>
      </c>
      <c r="CO162" s="57">
        <v>404</v>
      </c>
      <c r="CP162" s="57">
        <v>668</v>
      </c>
      <c r="CQ162" s="57">
        <v>1043</v>
      </c>
      <c r="CR162" s="57">
        <v>989</v>
      </c>
      <c r="CS162" s="57">
        <v>3625</v>
      </c>
      <c r="CT162" s="57"/>
      <c r="CU162" s="57" t="s">
        <v>2032</v>
      </c>
      <c r="CV162" s="57">
        <v>143</v>
      </c>
      <c r="CW162" s="57">
        <v>0</v>
      </c>
      <c r="CX162" s="57">
        <v>0</v>
      </c>
      <c r="CY162" s="57">
        <v>0</v>
      </c>
      <c r="CZ162" s="57">
        <v>0</v>
      </c>
      <c r="DA162" s="57">
        <v>143</v>
      </c>
      <c r="DD162" s="21"/>
      <c r="DT162" s="16" t="s">
        <v>2022</v>
      </c>
      <c r="DU162" s="16" t="s">
        <v>1652</v>
      </c>
      <c r="DV162" s="79" t="s">
        <v>2670</v>
      </c>
      <c r="DW162" s="79" t="s">
        <v>2253</v>
      </c>
      <c r="DX162" s="79" t="s">
        <v>324</v>
      </c>
      <c r="DY162" s="79" t="s">
        <v>324</v>
      </c>
      <c r="DZ162" s="79" t="s">
        <v>324</v>
      </c>
      <c r="EA162" s="79" t="s">
        <v>324</v>
      </c>
      <c r="EB162" s="79" t="s">
        <v>324</v>
      </c>
      <c r="EC162" s="79" t="s">
        <v>324</v>
      </c>
      <c r="ED162" s="79"/>
      <c r="EE162" s="79" t="s">
        <v>2253</v>
      </c>
      <c r="EF162" s="79" t="s">
        <v>324</v>
      </c>
      <c r="EG162" s="79" t="s">
        <v>324</v>
      </c>
      <c r="EH162" s="79" t="s">
        <v>324</v>
      </c>
      <c r="EI162" s="79" t="s">
        <v>324</v>
      </c>
      <c r="EJ162" s="79" t="s">
        <v>324</v>
      </c>
      <c r="EK162" s="79" t="s">
        <v>324</v>
      </c>
      <c r="EN162" s="57" t="s">
        <v>1770</v>
      </c>
      <c r="EO162" s="57" t="s">
        <v>25</v>
      </c>
      <c r="EP162" s="57">
        <v>529</v>
      </c>
      <c r="EQ162" s="57">
        <v>542</v>
      </c>
      <c r="ER162" s="57">
        <v>522</v>
      </c>
      <c r="ES162" s="57">
        <v>557</v>
      </c>
      <c r="ET162" s="57">
        <v>552</v>
      </c>
      <c r="EU162" s="57">
        <v>2702</v>
      </c>
      <c r="EV162" s="57"/>
      <c r="EW162" s="57" t="s">
        <v>25</v>
      </c>
      <c r="EX162" s="57">
        <v>79</v>
      </c>
      <c r="EY162" s="57">
        <v>11</v>
      </c>
      <c r="EZ162" s="57">
        <v>0</v>
      </c>
      <c r="FA162" s="57">
        <v>0</v>
      </c>
      <c r="FB162" s="57">
        <v>0</v>
      </c>
      <c r="FC162" s="57">
        <v>90</v>
      </c>
      <c r="FF162" s="70" t="s">
        <v>1829</v>
      </c>
      <c r="FG162" s="70" t="s">
        <v>2032</v>
      </c>
      <c r="FH162" s="70">
        <v>2181</v>
      </c>
      <c r="FI162" s="70">
        <v>983</v>
      </c>
      <c r="FJ162" s="70">
        <v>751</v>
      </c>
      <c r="FK162" s="70">
        <v>649</v>
      </c>
      <c r="FL162" s="70">
        <v>686</v>
      </c>
      <c r="FM162" s="70">
        <v>5250</v>
      </c>
      <c r="FN162" s="70"/>
      <c r="FO162" s="70" t="s">
        <v>2032</v>
      </c>
      <c r="FP162" s="70">
        <v>375</v>
      </c>
      <c r="FQ162" s="70">
        <v>0</v>
      </c>
      <c r="FR162" s="70">
        <v>0</v>
      </c>
      <c r="FS162" s="70">
        <v>0</v>
      </c>
      <c r="FT162" s="70">
        <v>0</v>
      </c>
      <c r="FU162" s="70">
        <v>375</v>
      </c>
    </row>
    <row r="163" spans="1:177">
      <c r="B163" s="64" t="s">
        <v>752</v>
      </c>
      <c r="C163" s="64" t="s">
        <v>2032</v>
      </c>
      <c r="D163" s="64">
        <v>269</v>
      </c>
      <c r="E163" s="64">
        <v>384</v>
      </c>
      <c r="F163" s="64">
        <v>561</v>
      </c>
      <c r="G163" s="64">
        <v>625</v>
      </c>
      <c r="H163" s="64">
        <v>436</v>
      </c>
      <c r="I163" s="64">
        <v>2275</v>
      </c>
      <c r="K163" s="64" t="s">
        <v>2032</v>
      </c>
      <c r="L163" s="64">
        <v>5</v>
      </c>
      <c r="M163" s="64">
        <v>1</v>
      </c>
      <c r="N163" s="64">
        <v>0</v>
      </c>
      <c r="O163" s="64">
        <v>0</v>
      </c>
      <c r="P163" s="64">
        <v>0</v>
      </c>
      <c r="Q163" s="64">
        <v>6</v>
      </c>
      <c r="T163" s="65" t="s">
        <v>952</v>
      </c>
      <c r="U163" s="65" t="s">
        <v>2253</v>
      </c>
      <c r="V163" s="65">
        <v>251</v>
      </c>
      <c r="W163" s="65">
        <v>122</v>
      </c>
      <c r="X163" s="65">
        <v>168</v>
      </c>
      <c r="Y163" s="65">
        <v>233</v>
      </c>
      <c r="Z163" s="65">
        <v>197</v>
      </c>
      <c r="AA163" s="65">
        <v>971</v>
      </c>
      <c r="AB163" s="65"/>
      <c r="AC163" s="65" t="s">
        <v>2253</v>
      </c>
      <c r="AD163" s="65">
        <v>28</v>
      </c>
      <c r="AE163" s="65">
        <v>0</v>
      </c>
      <c r="AF163" s="65">
        <v>0</v>
      </c>
      <c r="AG163" s="65">
        <v>0</v>
      </c>
      <c r="AH163" s="65">
        <v>0</v>
      </c>
      <c r="AI163" s="65">
        <v>28</v>
      </c>
      <c r="AK163" s="66" t="s">
        <v>1912</v>
      </c>
      <c r="AL163" s="66" t="s">
        <v>2028</v>
      </c>
      <c r="AM163" s="66">
        <v>537</v>
      </c>
      <c r="AN163" s="66">
        <v>622</v>
      </c>
      <c r="AO163" s="66">
        <v>422</v>
      </c>
      <c r="AP163" s="66">
        <v>371</v>
      </c>
      <c r="AQ163" s="66">
        <v>497</v>
      </c>
      <c r="AR163" s="66">
        <v>2449</v>
      </c>
      <c r="AS163" s="66"/>
      <c r="AT163" s="66" t="s">
        <v>2028</v>
      </c>
      <c r="AU163" s="66">
        <v>153</v>
      </c>
      <c r="AV163" s="66">
        <v>39</v>
      </c>
      <c r="AW163" s="66">
        <v>21</v>
      </c>
      <c r="AX163" s="66">
        <v>26</v>
      </c>
      <c r="AY163" s="66">
        <v>46</v>
      </c>
      <c r="AZ163" s="66">
        <v>285</v>
      </c>
      <c r="BB163" s="69" t="s">
        <v>1300</v>
      </c>
      <c r="BC163" s="69" t="s">
        <v>2028</v>
      </c>
      <c r="BD163" s="69">
        <v>805</v>
      </c>
      <c r="BE163" s="69">
        <v>665</v>
      </c>
      <c r="BF163" s="69">
        <v>888</v>
      </c>
      <c r="BG163" s="69">
        <v>845</v>
      </c>
      <c r="BH163" s="69">
        <v>690</v>
      </c>
      <c r="BI163" s="69">
        <v>3893</v>
      </c>
      <c r="BJ163" s="69"/>
      <c r="BK163" s="69" t="s">
        <v>2028</v>
      </c>
      <c r="BL163" s="69">
        <v>204</v>
      </c>
      <c r="BM163" s="69">
        <v>0</v>
      </c>
      <c r="BN163" s="69">
        <v>0</v>
      </c>
      <c r="BO163" s="69">
        <v>0</v>
      </c>
      <c r="BP163" s="69">
        <v>0</v>
      </c>
      <c r="BQ163" s="69">
        <v>204</v>
      </c>
      <c r="BS163" s="70" t="s">
        <v>461</v>
      </c>
      <c r="BT163" s="70" t="s">
        <v>2253</v>
      </c>
      <c r="BU163" s="70">
        <v>1057</v>
      </c>
      <c r="BV163" s="70">
        <v>857</v>
      </c>
      <c r="BW163" s="70">
        <v>679</v>
      </c>
      <c r="BX163" s="70">
        <v>573</v>
      </c>
      <c r="BY163" s="70">
        <v>402</v>
      </c>
      <c r="BZ163" s="70">
        <v>3568</v>
      </c>
      <c r="CA163" s="70"/>
      <c r="CB163" s="70" t="s">
        <v>2253</v>
      </c>
      <c r="CC163" s="70">
        <v>193</v>
      </c>
      <c r="CD163" s="70">
        <v>10</v>
      </c>
      <c r="CE163" s="70">
        <v>0</v>
      </c>
      <c r="CF163" s="70">
        <v>0</v>
      </c>
      <c r="CG163" s="70">
        <v>0</v>
      </c>
      <c r="CH163" s="70">
        <v>203</v>
      </c>
      <c r="CL163" s="57" t="s">
        <v>551</v>
      </c>
      <c r="CM163" s="57" t="s">
        <v>2032</v>
      </c>
      <c r="CN163" s="57">
        <v>163</v>
      </c>
      <c r="CO163" s="57">
        <v>81</v>
      </c>
      <c r="CP163" s="57">
        <v>127</v>
      </c>
      <c r="CQ163" s="57">
        <v>195</v>
      </c>
      <c r="CR163" s="57">
        <v>151</v>
      </c>
      <c r="CS163" s="57">
        <v>717</v>
      </c>
      <c r="CT163" s="57"/>
      <c r="CU163" s="57" t="s">
        <v>2032</v>
      </c>
      <c r="CV163" s="57">
        <v>62</v>
      </c>
      <c r="CW163" s="57">
        <v>0</v>
      </c>
      <c r="CX163" s="57">
        <v>0</v>
      </c>
      <c r="CY163" s="57">
        <v>0</v>
      </c>
      <c r="CZ163" s="57">
        <v>0</v>
      </c>
      <c r="DA163" s="57">
        <v>62</v>
      </c>
      <c r="DD163" s="21"/>
      <c r="DT163" s="16" t="s">
        <v>2022</v>
      </c>
      <c r="DU163" s="16" t="s">
        <v>1654</v>
      </c>
      <c r="DV163" s="79" t="s">
        <v>2673</v>
      </c>
      <c r="DW163" s="79" t="s">
        <v>2253</v>
      </c>
      <c r="DX163" s="79" t="s">
        <v>324</v>
      </c>
      <c r="DY163" s="79" t="s">
        <v>324</v>
      </c>
      <c r="DZ163" s="79" t="s">
        <v>324</v>
      </c>
      <c r="EA163" s="79" t="s">
        <v>324</v>
      </c>
      <c r="EB163" s="79" t="s">
        <v>324</v>
      </c>
      <c r="EC163" s="79" t="s">
        <v>324</v>
      </c>
      <c r="ED163" s="79"/>
      <c r="EE163" s="79" t="s">
        <v>2253</v>
      </c>
      <c r="EF163" s="79" t="s">
        <v>324</v>
      </c>
      <c r="EG163" s="79" t="s">
        <v>324</v>
      </c>
      <c r="EH163" s="79" t="s">
        <v>324</v>
      </c>
      <c r="EI163" s="79" t="s">
        <v>324</v>
      </c>
      <c r="EJ163" s="79" t="s">
        <v>324</v>
      </c>
      <c r="EK163" s="79" t="s">
        <v>324</v>
      </c>
      <c r="EN163" s="57" t="s">
        <v>1774</v>
      </c>
      <c r="EO163" s="57" t="s">
        <v>25</v>
      </c>
      <c r="EP163" s="57">
        <v>154</v>
      </c>
      <c r="EQ163" s="57">
        <v>240</v>
      </c>
      <c r="ER163" s="57">
        <v>327</v>
      </c>
      <c r="ES163" s="57">
        <v>369</v>
      </c>
      <c r="ET163" s="57">
        <v>411</v>
      </c>
      <c r="EU163" s="57">
        <v>1501</v>
      </c>
      <c r="EV163" s="57"/>
      <c r="EW163" s="57" t="s">
        <v>25</v>
      </c>
      <c r="EX163" s="57">
        <v>5</v>
      </c>
      <c r="EY163" s="57">
        <v>0</v>
      </c>
      <c r="EZ163" s="57">
        <v>2</v>
      </c>
      <c r="FA163" s="57">
        <v>0</v>
      </c>
      <c r="FB163" s="57">
        <v>3</v>
      </c>
      <c r="FC163" s="57">
        <v>10</v>
      </c>
      <c r="FF163" s="70" t="s">
        <v>1831</v>
      </c>
      <c r="FG163" s="70" t="s">
        <v>2032</v>
      </c>
      <c r="FH163" s="70">
        <v>817</v>
      </c>
      <c r="FI163" s="70">
        <v>1041</v>
      </c>
      <c r="FJ163" s="70">
        <v>672</v>
      </c>
      <c r="FK163" s="70">
        <v>585</v>
      </c>
      <c r="FL163" s="70">
        <v>579</v>
      </c>
      <c r="FM163" s="70">
        <v>3694</v>
      </c>
      <c r="FN163" s="70"/>
      <c r="FO163" s="70" t="s">
        <v>2032</v>
      </c>
      <c r="FP163" s="70">
        <v>165</v>
      </c>
      <c r="FQ163" s="70">
        <v>5</v>
      </c>
      <c r="FR163" s="70">
        <v>0</v>
      </c>
      <c r="FS163" s="70">
        <v>0</v>
      </c>
      <c r="FT163" s="70">
        <v>0</v>
      </c>
      <c r="FU163" s="70">
        <v>170</v>
      </c>
    </row>
    <row r="164" spans="1:177">
      <c r="B164" s="64" t="s">
        <v>755</v>
      </c>
      <c r="C164" s="64" t="s">
        <v>2032</v>
      </c>
      <c r="D164" s="64">
        <v>95</v>
      </c>
      <c r="E164" s="64">
        <v>221</v>
      </c>
      <c r="F164" s="64">
        <v>380</v>
      </c>
      <c r="G164" s="64">
        <v>501</v>
      </c>
      <c r="H164" s="64">
        <v>344</v>
      </c>
      <c r="I164" s="64">
        <v>1541</v>
      </c>
      <c r="K164" s="64" t="s">
        <v>2032</v>
      </c>
      <c r="L164" s="64">
        <v>19</v>
      </c>
      <c r="M164" s="64">
        <v>1</v>
      </c>
      <c r="N164" s="64">
        <v>0</v>
      </c>
      <c r="O164" s="64">
        <v>1</v>
      </c>
      <c r="P164" s="64">
        <v>0</v>
      </c>
      <c r="Q164" s="64">
        <v>21</v>
      </c>
      <c r="T164" s="65" t="s">
        <v>958</v>
      </c>
      <c r="U164" s="65" t="s">
        <v>2253</v>
      </c>
      <c r="V164" s="65">
        <v>513</v>
      </c>
      <c r="W164" s="65">
        <v>620</v>
      </c>
      <c r="X164" s="65">
        <v>657</v>
      </c>
      <c r="Y164" s="65">
        <v>758</v>
      </c>
      <c r="Z164" s="65">
        <v>520</v>
      </c>
      <c r="AA164" s="65">
        <v>3068</v>
      </c>
      <c r="AB164" s="65"/>
      <c r="AC164" s="65" t="s">
        <v>2253</v>
      </c>
      <c r="AD164" s="65">
        <v>40</v>
      </c>
      <c r="AE164" s="65">
        <v>3</v>
      </c>
      <c r="AF164" s="65">
        <v>2</v>
      </c>
      <c r="AG164" s="65">
        <v>1</v>
      </c>
      <c r="AH164" s="65">
        <v>0</v>
      </c>
      <c r="AI164" s="65">
        <v>46</v>
      </c>
      <c r="AK164" s="66" t="s">
        <v>1914</v>
      </c>
      <c r="AL164" s="66" t="s">
        <v>2028</v>
      </c>
      <c r="AM164" s="66">
        <v>520</v>
      </c>
      <c r="AN164" s="66">
        <v>729</v>
      </c>
      <c r="AO164" s="66">
        <v>432</v>
      </c>
      <c r="AP164" s="66">
        <v>493</v>
      </c>
      <c r="AQ164" s="66">
        <v>534</v>
      </c>
      <c r="AR164" s="66">
        <v>2708</v>
      </c>
      <c r="AS164" s="66"/>
      <c r="AT164" s="66" t="s">
        <v>2028</v>
      </c>
      <c r="AU164" s="66">
        <v>135</v>
      </c>
      <c r="AV164" s="66">
        <v>40</v>
      </c>
      <c r="AW164" s="66">
        <v>40</v>
      </c>
      <c r="AX164" s="66">
        <v>51</v>
      </c>
      <c r="AY164" s="66">
        <v>41</v>
      </c>
      <c r="AZ164" s="66">
        <v>307</v>
      </c>
      <c r="BB164" s="69" t="s">
        <v>1303</v>
      </c>
      <c r="BC164" s="69" t="s">
        <v>2028</v>
      </c>
      <c r="BD164" s="69">
        <v>128</v>
      </c>
      <c r="BE164" s="69">
        <v>157</v>
      </c>
      <c r="BF164" s="69">
        <v>281</v>
      </c>
      <c r="BG164" s="69">
        <v>385</v>
      </c>
      <c r="BH164" s="69">
        <v>373</v>
      </c>
      <c r="BI164" s="69">
        <v>1324</v>
      </c>
      <c r="BJ164" s="69"/>
      <c r="BK164" s="69" t="s">
        <v>2028</v>
      </c>
      <c r="BL164" s="69">
        <v>49</v>
      </c>
      <c r="BM164" s="69">
        <v>0</v>
      </c>
      <c r="BN164" s="69">
        <v>0</v>
      </c>
      <c r="BO164" s="69">
        <v>0</v>
      </c>
      <c r="BP164" s="69">
        <v>0</v>
      </c>
      <c r="BQ164" s="69">
        <v>49</v>
      </c>
      <c r="BS164" s="70" t="s">
        <v>463</v>
      </c>
      <c r="BT164" s="70" t="s">
        <v>2253</v>
      </c>
      <c r="BU164" s="70">
        <v>145</v>
      </c>
      <c r="BV164" s="70">
        <v>221</v>
      </c>
      <c r="BW164" s="70">
        <v>288</v>
      </c>
      <c r="BX164" s="70">
        <v>309</v>
      </c>
      <c r="BY164" s="70">
        <v>246</v>
      </c>
      <c r="BZ164" s="70">
        <v>1209</v>
      </c>
      <c r="CA164" s="70"/>
      <c r="CB164" s="70" t="s">
        <v>2253</v>
      </c>
      <c r="CC164" s="70">
        <v>36</v>
      </c>
      <c r="CD164" s="70">
        <v>0</v>
      </c>
      <c r="CE164" s="70">
        <v>0</v>
      </c>
      <c r="CF164" s="70">
        <v>0</v>
      </c>
      <c r="CG164" s="70">
        <v>0</v>
      </c>
      <c r="CH164" s="70">
        <v>36</v>
      </c>
      <c r="CL164" s="57" t="s">
        <v>557</v>
      </c>
      <c r="CM164" s="57" t="s">
        <v>2032</v>
      </c>
      <c r="CN164" s="57">
        <v>212</v>
      </c>
      <c r="CO164" s="57">
        <v>299</v>
      </c>
      <c r="CP164" s="57">
        <v>508</v>
      </c>
      <c r="CQ164" s="57">
        <v>729</v>
      </c>
      <c r="CR164" s="57">
        <v>682</v>
      </c>
      <c r="CS164" s="57">
        <v>2430</v>
      </c>
      <c r="CT164" s="57"/>
      <c r="CU164" s="57" t="s">
        <v>2032</v>
      </c>
      <c r="CV164" s="57">
        <v>22</v>
      </c>
      <c r="CW164" s="57">
        <v>0</v>
      </c>
      <c r="CX164" s="57">
        <v>0</v>
      </c>
      <c r="CY164" s="57">
        <v>0</v>
      </c>
      <c r="CZ164" s="57">
        <v>0</v>
      </c>
      <c r="DA164" s="57">
        <v>22</v>
      </c>
      <c r="DD164" s="21"/>
      <c r="DV164" s="79"/>
      <c r="DW164" s="79"/>
      <c r="DX164" s="79"/>
      <c r="DY164" s="79"/>
      <c r="DZ164" s="79"/>
      <c r="EA164" s="79"/>
      <c r="EB164" s="79"/>
      <c r="EC164" s="79"/>
      <c r="ED164" s="79"/>
      <c r="EE164" s="79"/>
      <c r="EF164" s="79"/>
      <c r="EG164" s="79"/>
      <c r="EH164" s="79"/>
      <c r="EI164" s="79"/>
      <c r="EJ164" s="79"/>
      <c r="EK164" s="79"/>
      <c r="EN164" s="57" t="s">
        <v>1778</v>
      </c>
      <c r="EO164" s="57" t="s">
        <v>25</v>
      </c>
      <c r="EP164" s="57">
        <v>176</v>
      </c>
      <c r="EQ164" s="57">
        <v>270</v>
      </c>
      <c r="ER164" s="57">
        <v>288</v>
      </c>
      <c r="ES164" s="57">
        <v>454</v>
      </c>
      <c r="ET164" s="57">
        <v>506</v>
      </c>
      <c r="EU164" s="57">
        <v>1694</v>
      </c>
      <c r="EV164" s="57"/>
      <c r="EW164" s="57" t="s">
        <v>25</v>
      </c>
      <c r="EX164" s="57">
        <v>23</v>
      </c>
      <c r="EY164" s="57">
        <v>6</v>
      </c>
      <c r="EZ164" s="57">
        <v>0</v>
      </c>
      <c r="FA164" s="57">
        <v>2</v>
      </c>
      <c r="FB164" s="57">
        <v>2</v>
      </c>
      <c r="FC164" s="57">
        <v>33</v>
      </c>
      <c r="FE164" s="16" t="s">
        <v>2022</v>
      </c>
      <c r="FF164" s="70" t="s">
        <v>1833</v>
      </c>
      <c r="FG164" s="70" t="s">
        <v>2032</v>
      </c>
      <c r="FH164" s="70">
        <v>288</v>
      </c>
      <c r="FI164" s="70">
        <v>354</v>
      </c>
      <c r="FJ164" s="70">
        <v>481</v>
      </c>
      <c r="FK164" s="70">
        <v>496</v>
      </c>
      <c r="FL164" s="70">
        <v>516</v>
      </c>
      <c r="FM164" s="70">
        <v>2135</v>
      </c>
      <c r="FN164" s="70"/>
      <c r="FO164" s="70" t="s">
        <v>2032</v>
      </c>
      <c r="FP164" s="70">
        <v>54</v>
      </c>
      <c r="FQ164" s="70">
        <v>1</v>
      </c>
      <c r="FR164" s="70">
        <v>0</v>
      </c>
      <c r="FS164" s="70">
        <v>0</v>
      </c>
      <c r="FT164" s="70">
        <v>0</v>
      </c>
      <c r="FU164" s="70">
        <v>55</v>
      </c>
    </row>
    <row r="165" spans="1:177">
      <c r="B165" s="64" t="s">
        <v>759</v>
      </c>
      <c r="C165" s="64" t="s">
        <v>2032</v>
      </c>
      <c r="D165" s="64">
        <v>148</v>
      </c>
      <c r="E165" s="64">
        <v>308</v>
      </c>
      <c r="F165" s="64">
        <v>529</v>
      </c>
      <c r="G165" s="64">
        <v>673</v>
      </c>
      <c r="H165" s="64">
        <v>436</v>
      </c>
      <c r="I165" s="64">
        <v>2094</v>
      </c>
      <c r="K165" s="64" t="s">
        <v>2032</v>
      </c>
      <c r="L165" s="64">
        <v>22</v>
      </c>
      <c r="M165" s="64">
        <v>2</v>
      </c>
      <c r="N165" s="64">
        <v>1</v>
      </c>
      <c r="O165" s="64">
        <v>0</v>
      </c>
      <c r="P165" s="64">
        <v>0</v>
      </c>
      <c r="Q165" s="64">
        <v>25</v>
      </c>
      <c r="T165" s="65" t="s">
        <v>962</v>
      </c>
      <c r="U165" s="65" t="s">
        <v>2253</v>
      </c>
      <c r="V165" s="65">
        <v>1519</v>
      </c>
      <c r="W165" s="65">
        <v>1268</v>
      </c>
      <c r="X165" s="65">
        <v>1284</v>
      </c>
      <c r="Y165" s="65">
        <v>1430</v>
      </c>
      <c r="Z165" s="65">
        <v>960</v>
      </c>
      <c r="AA165" s="65">
        <v>6461</v>
      </c>
      <c r="AB165" s="65"/>
      <c r="AC165" s="65" t="s">
        <v>2253</v>
      </c>
      <c r="AD165" s="65">
        <v>124</v>
      </c>
      <c r="AE165" s="65">
        <v>26</v>
      </c>
      <c r="AF165" s="65">
        <v>3</v>
      </c>
      <c r="AG165" s="65">
        <v>2</v>
      </c>
      <c r="AH165" s="65">
        <v>2</v>
      </c>
      <c r="AI165" s="65">
        <v>157</v>
      </c>
      <c r="AK165" s="66" t="s">
        <v>1916</v>
      </c>
      <c r="AL165" s="66" t="s">
        <v>2028</v>
      </c>
      <c r="AM165" s="66">
        <v>484</v>
      </c>
      <c r="AN165" s="66">
        <v>361</v>
      </c>
      <c r="AO165" s="66">
        <v>368</v>
      </c>
      <c r="AP165" s="66">
        <v>370</v>
      </c>
      <c r="AQ165" s="66">
        <v>486</v>
      </c>
      <c r="AR165" s="66">
        <v>2069</v>
      </c>
      <c r="AS165" s="66"/>
      <c r="AT165" s="66" t="s">
        <v>2028</v>
      </c>
      <c r="AU165" s="66">
        <v>190</v>
      </c>
      <c r="AV165" s="66">
        <v>35</v>
      </c>
      <c r="AW165" s="66">
        <v>33</v>
      </c>
      <c r="AX165" s="66">
        <v>22</v>
      </c>
      <c r="AY165" s="66">
        <v>52</v>
      </c>
      <c r="AZ165" s="66">
        <v>332</v>
      </c>
      <c r="BB165" s="69" t="s">
        <v>1306</v>
      </c>
      <c r="BC165" s="69" t="s">
        <v>2028</v>
      </c>
      <c r="BD165" s="69">
        <v>327</v>
      </c>
      <c r="BE165" s="69">
        <v>488</v>
      </c>
      <c r="BF165" s="69">
        <v>710</v>
      </c>
      <c r="BG165" s="69">
        <v>766</v>
      </c>
      <c r="BH165" s="69">
        <v>712</v>
      </c>
      <c r="BI165" s="69">
        <v>3003</v>
      </c>
      <c r="BJ165" s="69"/>
      <c r="BK165" s="69" t="s">
        <v>2028</v>
      </c>
      <c r="BL165" s="69">
        <v>30</v>
      </c>
      <c r="BM165" s="69">
        <v>0</v>
      </c>
      <c r="BN165" s="69">
        <v>0</v>
      </c>
      <c r="BO165" s="69">
        <v>0</v>
      </c>
      <c r="BP165" s="69">
        <v>0</v>
      </c>
      <c r="BQ165" s="69">
        <v>30</v>
      </c>
      <c r="BS165" s="70" t="s">
        <v>1423</v>
      </c>
      <c r="BT165" s="70" t="s">
        <v>2253</v>
      </c>
      <c r="BU165" s="70">
        <v>522</v>
      </c>
      <c r="BV165" s="70">
        <v>264</v>
      </c>
      <c r="BW165" s="70">
        <v>330</v>
      </c>
      <c r="BX165" s="70">
        <v>404</v>
      </c>
      <c r="BY165" s="70">
        <v>345</v>
      </c>
      <c r="BZ165" s="70">
        <v>1865</v>
      </c>
      <c r="CA165" s="70"/>
      <c r="CB165" s="70" t="s">
        <v>2253</v>
      </c>
      <c r="CC165" s="70">
        <v>158</v>
      </c>
      <c r="CD165" s="70">
        <v>1</v>
      </c>
      <c r="CE165" s="70">
        <v>1</v>
      </c>
      <c r="CF165" s="70">
        <v>1</v>
      </c>
      <c r="CG165" s="70">
        <v>0</v>
      </c>
      <c r="CH165" s="70">
        <v>161</v>
      </c>
      <c r="CL165" s="57" t="s">
        <v>354</v>
      </c>
      <c r="CM165" s="57" t="s">
        <v>2032</v>
      </c>
      <c r="CN165" s="57">
        <v>433</v>
      </c>
      <c r="CO165" s="57">
        <v>260</v>
      </c>
      <c r="CP165" s="57">
        <v>335</v>
      </c>
      <c r="CQ165" s="57">
        <v>462</v>
      </c>
      <c r="CR165" s="57">
        <v>403</v>
      </c>
      <c r="CS165" s="57">
        <v>1893</v>
      </c>
      <c r="CT165" s="57"/>
      <c r="CU165" s="57" t="s">
        <v>2032</v>
      </c>
      <c r="CV165" s="57">
        <v>90</v>
      </c>
      <c r="CW165" s="57">
        <v>0</v>
      </c>
      <c r="CX165" s="57">
        <v>0</v>
      </c>
      <c r="CY165" s="57">
        <v>0</v>
      </c>
      <c r="CZ165" s="57">
        <v>0</v>
      </c>
      <c r="DA165" s="57">
        <v>90</v>
      </c>
      <c r="DD165" s="21"/>
      <c r="DT165" s="16" t="s">
        <v>2022</v>
      </c>
      <c r="DU165" s="16" t="s">
        <v>1658</v>
      </c>
      <c r="DV165" s="79" t="s">
        <v>2691</v>
      </c>
      <c r="DW165" s="79" t="s">
        <v>2253</v>
      </c>
      <c r="DX165" s="79" t="s">
        <v>324</v>
      </c>
      <c r="DY165" s="79" t="s">
        <v>324</v>
      </c>
      <c r="DZ165" s="79" t="s">
        <v>324</v>
      </c>
      <c r="EA165" s="79" t="s">
        <v>324</v>
      </c>
      <c r="EB165" s="79" t="s">
        <v>324</v>
      </c>
      <c r="EC165" s="79" t="s">
        <v>324</v>
      </c>
      <c r="ED165" s="79"/>
      <c r="EE165" s="79" t="s">
        <v>2253</v>
      </c>
      <c r="EF165" s="79" t="s">
        <v>324</v>
      </c>
      <c r="EG165" s="79" t="s">
        <v>324</v>
      </c>
      <c r="EH165" s="79" t="s">
        <v>324</v>
      </c>
      <c r="EI165" s="79" t="s">
        <v>324</v>
      </c>
      <c r="EJ165" s="79" t="s">
        <v>324</v>
      </c>
      <c r="EK165" s="79" t="s">
        <v>324</v>
      </c>
      <c r="EN165" s="57" t="s">
        <v>1781</v>
      </c>
      <c r="EO165" s="57" t="s">
        <v>25</v>
      </c>
      <c r="EP165" s="57">
        <v>124</v>
      </c>
      <c r="EQ165" s="57">
        <v>228</v>
      </c>
      <c r="ER165" s="57">
        <v>291</v>
      </c>
      <c r="ES165" s="57">
        <v>386</v>
      </c>
      <c r="ET165" s="57">
        <v>497</v>
      </c>
      <c r="EU165" s="57">
        <v>1526</v>
      </c>
      <c r="EV165" s="57"/>
      <c r="EW165" s="57" t="s">
        <v>25</v>
      </c>
      <c r="EX165" s="57">
        <v>16</v>
      </c>
      <c r="EY165" s="57">
        <v>5</v>
      </c>
      <c r="EZ165" s="57">
        <v>5</v>
      </c>
      <c r="FA165" s="57">
        <v>3</v>
      </c>
      <c r="FB165" s="57">
        <v>2</v>
      </c>
      <c r="FC165" s="57">
        <v>31</v>
      </c>
      <c r="FE165" s="16" t="s">
        <v>2024</v>
      </c>
      <c r="FF165" s="70" t="s">
        <v>2008</v>
      </c>
      <c r="FG165" s="70" t="s">
        <v>2032</v>
      </c>
      <c r="FH165" s="70" t="s">
        <v>394</v>
      </c>
      <c r="FI165" s="70" t="s">
        <v>394</v>
      </c>
      <c r="FJ165" s="70" t="s">
        <v>394</v>
      </c>
      <c r="FK165" s="70" t="s">
        <v>394</v>
      </c>
      <c r="FL165" s="70" t="s">
        <v>394</v>
      </c>
      <c r="FM165" s="70" t="s">
        <v>394</v>
      </c>
      <c r="FN165" s="70"/>
      <c r="FO165" s="70" t="s">
        <v>2032</v>
      </c>
      <c r="FP165" s="70" t="s">
        <v>394</v>
      </c>
      <c r="FQ165" s="70" t="s">
        <v>394</v>
      </c>
      <c r="FR165" s="70" t="s">
        <v>394</v>
      </c>
      <c r="FS165" s="70" t="s">
        <v>394</v>
      </c>
      <c r="FT165" s="70" t="s">
        <v>394</v>
      </c>
      <c r="FU165" s="70" t="s">
        <v>394</v>
      </c>
    </row>
    <row r="166" spans="1:177">
      <c r="B166" s="64" t="s">
        <v>762</v>
      </c>
      <c r="C166" s="64" t="s">
        <v>2032</v>
      </c>
      <c r="D166" s="64">
        <v>411</v>
      </c>
      <c r="E166" s="64">
        <v>641</v>
      </c>
      <c r="F166" s="64">
        <v>812</v>
      </c>
      <c r="G166" s="64">
        <v>961</v>
      </c>
      <c r="H166" s="64">
        <v>635</v>
      </c>
      <c r="I166" s="64">
        <v>3460</v>
      </c>
      <c r="K166" s="64" t="s">
        <v>2032</v>
      </c>
      <c r="L166" s="64">
        <v>22</v>
      </c>
      <c r="M166" s="64">
        <v>11</v>
      </c>
      <c r="N166" s="64">
        <v>0</v>
      </c>
      <c r="O166" s="64">
        <v>0</v>
      </c>
      <c r="P166" s="64">
        <v>0</v>
      </c>
      <c r="Q166" s="64">
        <v>33</v>
      </c>
      <c r="T166" s="65" t="s">
        <v>965</v>
      </c>
      <c r="U166" s="65" t="s">
        <v>2253</v>
      </c>
      <c r="V166" s="65">
        <v>557</v>
      </c>
      <c r="W166" s="65">
        <v>599</v>
      </c>
      <c r="X166" s="65">
        <v>871</v>
      </c>
      <c r="Y166" s="65">
        <v>1032</v>
      </c>
      <c r="Z166" s="65">
        <v>832</v>
      </c>
      <c r="AA166" s="65">
        <v>3891</v>
      </c>
      <c r="AB166" s="65"/>
      <c r="AC166" s="65" t="s">
        <v>2253</v>
      </c>
      <c r="AD166" s="65">
        <v>66</v>
      </c>
      <c r="AE166" s="65">
        <v>4</v>
      </c>
      <c r="AF166" s="65">
        <v>1</v>
      </c>
      <c r="AG166" s="65">
        <v>3</v>
      </c>
      <c r="AH166" s="65">
        <v>0</v>
      </c>
      <c r="AI166" s="65">
        <v>74</v>
      </c>
      <c r="AK166" s="66" t="s">
        <v>1918</v>
      </c>
      <c r="AL166" s="66" t="s">
        <v>2028</v>
      </c>
      <c r="AM166" s="66">
        <v>774</v>
      </c>
      <c r="AN166" s="66">
        <v>679</v>
      </c>
      <c r="AO166" s="66">
        <v>549</v>
      </c>
      <c r="AP166" s="66">
        <v>565</v>
      </c>
      <c r="AQ166" s="66">
        <v>772</v>
      </c>
      <c r="AR166" s="66">
        <v>3339</v>
      </c>
      <c r="AS166" s="66"/>
      <c r="AT166" s="66" t="s">
        <v>2028</v>
      </c>
      <c r="AU166" s="66">
        <v>144</v>
      </c>
      <c r="AV166" s="66">
        <v>15</v>
      </c>
      <c r="AW166" s="66">
        <v>12</v>
      </c>
      <c r="AX166" s="66">
        <v>10</v>
      </c>
      <c r="AY166" s="66">
        <v>23</v>
      </c>
      <c r="AZ166" s="66">
        <v>204</v>
      </c>
      <c r="BB166" s="69" t="s">
        <v>1309</v>
      </c>
      <c r="BC166" s="69" t="s">
        <v>2028</v>
      </c>
      <c r="BD166" s="69">
        <v>120</v>
      </c>
      <c r="BE166" s="69">
        <v>108</v>
      </c>
      <c r="BF166" s="69">
        <v>243</v>
      </c>
      <c r="BG166" s="69">
        <v>360</v>
      </c>
      <c r="BH166" s="69">
        <v>352</v>
      </c>
      <c r="BI166" s="69">
        <v>1183</v>
      </c>
      <c r="BJ166" s="69"/>
      <c r="BK166" s="69" t="s">
        <v>2028</v>
      </c>
      <c r="BL166" s="69">
        <v>22</v>
      </c>
      <c r="BM166" s="69">
        <v>0</v>
      </c>
      <c r="BN166" s="69">
        <v>0</v>
      </c>
      <c r="BO166" s="69">
        <v>0</v>
      </c>
      <c r="BP166" s="69">
        <v>0</v>
      </c>
      <c r="BQ166" s="69">
        <v>22</v>
      </c>
      <c r="BS166" s="70" t="s">
        <v>1425</v>
      </c>
      <c r="BT166" s="70" t="s">
        <v>2253</v>
      </c>
      <c r="BU166" s="70">
        <v>1035</v>
      </c>
      <c r="BV166" s="70">
        <v>375</v>
      </c>
      <c r="BW166" s="70">
        <v>518</v>
      </c>
      <c r="BX166" s="70">
        <v>655</v>
      </c>
      <c r="BY166" s="70">
        <v>619</v>
      </c>
      <c r="BZ166" s="70">
        <v>3202</v>
      </c>
      <c r="CA166" s="70"/>
      <c r="CB166" s="70" t="s">
        <v>2253</v>
      </c>
      <c r="CC166" s="70">
        <v>235</v>
      </c>
      <c r="CD166" s="70">
        <v>0</v>
      </c>
      <c r="CE166" s="70">
        <v>0</v>
      </c>
      <c r="CF166" s="70">
        <v>0</v>
      </c>
      <c r="CG166" s="70">
        <v>0</v>
      </c>
      <c r="CH166" s="70">
        <v>235</v>
      </c>
      <c r="CL166" s="57" t="s">
        <v>355</v>
      </c>
      <c r="CM166" s="57" t="s">
        <v>2032</v>
      </c>
      <c r="CN166" s="57">
        <v>458</v>
      </c>
      <c r="CO166" s="57">
        <v>267</v>
      </c>
      <c r="CP166" s="57">
        <v>406</v>
      </c>
      <c r="CQ166" s="57">
        <v>500</v>
      </c>
      <c r="CR166" s="57">
        <v>461</v>
      </c>
      <c r="CS166" s="57">
        <v>2092</v>
      </c>
      <c r="CT166" s="57"/>
      <c r="CU166" s="57" t="s">
        <v>2032</v>
      </c>
      <c r="CV166" s="57">
        <v>163</v>
      </c>
      <c r="CW166" s="57">
        <v>0</v>
      </c>
      <c r="CX166" s="57">
        <v>0</v>
      </c>
      <c r="CY166" s="57">
        <v>0</v>
      </c>
      <c r="CZ166" s="57">
        <v>0</v>
      </c>
      <c r="DA166" s="57">
        <v>163</v>
      </c>
      <c r="DD166" s="21"/>
      <c r="DT166" s="16" t="s">
        <v>2022</v>
      </c>
      <c r="DU166" s="16" t="s">
        <v>1661</v>
      </c>
      <c r="DV166" s="79" t="s">
        <v>2688</v>
      </c>
      <c r="DW166" s="79" t="s">
        <v>2253</v>
      </c>
      <c r="DX166" s="79" t="s">
        <v>324</v>
      </c>
      <c r="DY166" s="79" t="s">
        <v>324</v>
      </c>
      <c r="DZ166" s="79" t="s">
        <v>324</v>
      </c>
      <c r="EA166" s="79" t="s">
        <v>324</v>
      </c>
      <c r="EB166" s="79" t="s">
        <v>324</v>
      </c>
      <c r="EC166" s="79" t="s">
        <v>324</v>
      </c>
      <c r="ED166" s="79"/>
      <c r="EE166" s="79" t="s">
        <v>2253</v>
      </c>
      <c r="EF166" s="79" t="s">
        <v>324</v>
      </c>
      <c r="EG166" s="79" t="s">
        <v>324</v>
      </c>
      <c r="EH166" s="79" t="s">
        <v>324</v>
      </c>
      <c r="EI166" s="79" t="s">
        <v>324</v>
      </c>
      <c r="EJ166" s="79" t="s">
        <v>324</v>
      </c>
      <c r="EK166" s="79" t="s">
        <v>324</v>
      </c>
      <c r="EN166" s="57" t="s">
        <v>1784</v>
      </c>
      <c r="EO166" s="57" t="s">
        <v>25</v>
      </c>
      <c r="EP166" s="57">
        <v>95</v>
      </c>
      <c r="EQ166" s="57">
        <v>155</v>
      </c>
      <c r="ER166" s="57">
        <v>254</v>
      </c>
      <c r="ES166" s="57">
        <v>299</v>
      </c>
      <c r="ET166" s="57">
        <v>414</v>
      </c>
      <c r="EU166" s="57">
        <v>1217</v>
      </c>
      <c r="EV166" s="57"/>
      <c r="EW166" s="57" t="s">
        <v>25</v>
      </c>
      <c r="EX166" s="57">
        <v>12</v>
      </c>
      <c r="EY166" s="57">
        <v>5</v>
      </c>
      <c r="EZ166" s="57">
        <v>2</v>
      </c>
      <c r="FA166" s="57">
        <v>3</v>
      </c>
      <c r="FB166" s="57">
        <v>0</v>
      </c>
      <c r="FC166" s="57">
        <v>22</v>
      </c>
      <c r="FF166" s="70" t="s">
        <v>1837</v>
      </c>
      <c r="FG166" s="70" t="s">
        <v>2032</v>
      </c>
      <c r="FH166" s="70">
        <v>117</v>
      </c>
      <c r="FI166" s="70">
        <v>226</v>
      </c>
      <c r="FJ166" s="70">
        <v>258</v>
      </c>
      <c r="FK166" s="70">
        <v>345</v>
      </c>
      <c r="FL166" s="70">
        <v>409</v>
      </c>
      <c r="FM166" s="70">
        <v>1355</v>
      </c>
      <c r="FN166" s="70"/>
      <c r="FO166" s="70" t="s">
        <v>2032</v>
      </c>
      <c r="FP166" s="70">
        <v>13</v>
      </c>
      <c r="FQ166" s="70">
        <v>9</v>
      </c>
      <c r="FR166" s="70">
        <v>0</v>
      </c>
      <c r="FS166" s="70">
        <v>4</v>
      </c>
      <c r="FT166" s="70">
        <v>2</v>
      </c>
      <c r="FU166" s="70">
        <v>28</v>
      </c>
    </row>
    <row r="167" spans="1:177">
      <c r="B167" s="64" t="s">
        <v>765</v>
      </c>
      <c r="C167" s="64" t="s">
        <v>2032</v>
      </c>
      <c r="D167" s="64">
        <v>382</v>
      </c>
      <c r="E167" s="64">
        <v>410</v>
      </c>
      <c r="F167" s="64">
        <v>539</v>
      </c>
      <c r="G167" s="64">
        <v>669</v>
      </c>
      <c r="H167" s="64">
        <v>489</v>
      </c>
      <c r="I167" s="64">
        <v>2489</v>
      </c>
      <c r="K167" s="64" t="s">
        <v>2032</v>
      </c>
      <c r="L167" s="64">
        <v>35</v>
      </c>
      <c r="M167" s="64">
        <v>0</v>
      </c>
      <c r="N167" s="64">
        <v>0</v>
      </c>
      <c r="O167" s="64">
        <v>0</v>
      </c>
      <c r="P167" s="64">
        <v>0</v>
      </c>
      <c r="Q167" s="64">
        <v>35</v>
      </c>
      <c r="T167" s="65" t="s">
        <v>971</v>
      </c>
      <c r="U167" s="65" t="s">
        <v>2253</v>
      </c>
      <c r="V167" s="65">
        <v>387</v>
      </c>
      <c r="W167" s="65">
        <v>339</v>
      </c>
      <c r="X167" s="65">
        <v>604</v>
      </c>
      <c r="Y167" s="65">
        <v>682</v>
      </c>
      <c r="Z167" s="65">
        <v>568</v>
      </c>
      <c r="AA167" s="65">
        <v>2580</v>
      </c>
      <c r="AB167" s="65"/>
      <c r="AC167" s="65" t="s">
        <v>2253</v>
      </c>
      <c r="AD167" s="65">
        <v>17</v>
      </c>
      <c r="AE167" s="65">
        <v>0</v>
      </c>
      <c r="AF167" s="65">
        <v>0</v>
      </c>
      <c r="AG167" s="65">
        <v>0</v>
      </c>
      <c r="AH167" s="65">
        <v>0</v>
      </c>
      <c r="AI167" s="65">
        <v>17</v>
      </c>
      <c r="AK167" s="66" t="s">
        <v>1920</v>
      </c>
      <c r="AL167" s="66" t="s">
        <v>2028</v>
      </c>
      <c r="AM167" s="66">
        <v>678</v>
      </c>
      <c r="AN167" s="66">
        <v>545</v>
      </c>
      <c r="AO167" s="66">
        <v>530</v>
      </c>
      <c r="AP167" s="66">
        <v>489</v>
      </c>
      <c r="AQ167" s="66">
        <v>687</v>
      </c>
      <c r="AR167" s="66">
        <v>2929</v>
      </c>
      <c r="AS167" s="66"/>
      <c r="AT167" s="66" t="s">
        <v>2028</v>
      </c>
      <c r="AU167" s="66">
        <v>133</v>
      </c>
      <c r="AV167" s="66">
        <v>23</v>
      </c>
      <c r="AW167" s="66">
        <v>19</v>
      </c>
      <c r="AX167" s="66">
        <v>20</v>
      </c>
      <c r="AY167" s="66">
        <v>27</v>
      </c>
      <c r="AZ167" s="66">
        <v>222</v>
      </c>
      <c r="BB167" s="69" t="s">
        <v>1312</v>
      </c>
      <c r="BC167" s="69" t="s">
        <v>2028</v>
      </c>
      <c r="BD167" s="69">
        <v>116</v>
      </c>
      <c r="BE167" s="69">
        <v>192</v>
      </c>
      <c r="BF167" s="69">
        <v>366</v>
      </c>
      <c r="BG167" s="69">
        <v>447</v>
      </c>
      <c r="BH167" s="69">
        <v>386</v>
      </c>
      <c r="BI167" s="69">
        <v>1507</v>
      </c>
      <c r="BJ167" s="69"/>
      <c r="BK167" s="69" t="s">
        <v>2028</v>
      </c>
      <c r="BL167" s="69">
        <v>21</v>
      </c>
      <c r="BM167" s="69">
        <v>0</v>
      </c>
      <c r="BN167" s="69">
        <v>0</v>
      </c>
      <c r="BO167" s="69">
        <v>0</v>
      </c>
      <c r="BP167" s="69">
        <v>0</v>
      </c>
      <c r="BQ167" s="69">
        <v>21</v>
      </c>
      <c r="BS167" s="70" t="s">
        <v>1428</v>
      </c>
      <c r="BT167" s="70" t="s">
        <v>2253</v>
      </c>
      <c r="BU167" s="70">
        <v>108</v>
      </c>
      <c r="BV167" s="70">
        <v>144</v>
      </c>
      <c r="BW167" s="70">
        <v>287</v>
      </c>
      <c r="BX167" s="70">
        <v>393</v>
      </c>
      <c r="BY167" s="70">
        <v>342</v>
      </c>
      <c r="BZ167" s="70">
        <v>1274</v>
      </c>
      <c r="CA167" s="70"/>
      <c r="CB167" s="70" t="s">
        <v>2253</v>
      </c>
      <c r="CC167" s="70">
        <v>30</v>
      </c>
      <c r="CD167" s="70">
        <v>0</v>
      </c>
      <c r="CE167" s="70">
        <v>0</v>
      </c>
      <c r="CF167" s="70">
        <v>0</v>
      </c>
      <c r="CG167" s="70">
        <v>0</v>
      </c>
      <c r="CH167" s="70">
        <v>30</v>
      </c>
      <c r="CL167" s="57" t="s">
        <v>358</v>
      </c>
      <c r="CM167" s="57" t="s">
        <v>2032</v>
      </c>
      <c r="CN167" s="57">
        <v>101</v>
      </c>
      <c r="CO167" s="57">
        <v>105</v>
      </c>
      <c r="CP167" s="57">
        <v>129</v>
      </c>
      <c r="CQ167" s="57">
        <v>214</v>
      </c>
      <c r="CR167" s="57">
        <v>213</v>
      </c>
      <c r="CS167" s="57">
        <v>762</v>
      </c>
      <c r="CT167" s="57"/>
      <c r="CU167" s="57" t="s">
        <v>2032</v>
      </c>
      <c r="CV167" s="57">
        <v>22</v>
      </c>
      <c r="CW167" s="57">
        <v>0</v>
      </c>
      <c r="CX167" s="57">
        <v>0</v>
      </c>
      <c r="CY167" s="57">
        <v>0</v>
      </c>
      <c r="CZ167" s="57">
        <v>0</v>
      </c>
      <c r="DA167" s="57">
        <v>22</v>
      </c>
      <c r="DD167" s="21"/>
      <c r="DT167" s="16" t="s">
        <v>2022</v>
      </c>
      <c r="DU167" s="16" t="s">
        <v>1664</v>
      </c>
      <c r="DV167" s="79" t="s">
        <v>1664</v>
      </c>
      <c r="DW167" s="79" t="s">
        <v>2253</v>
      </c>
      <c r="DX167" s="79">
        <v>1389</v>
      </c>
      <c r="DY167" s="79">
        <v>696</v>
      </c>
      <c r="DZ167" s="79">
        <v>593</v>
      </c>
      <c r="EA167" s="79">
        <v>549</v>
      </c>
      <c r="EB167" s="79">
        <v>670</v>
      </c>
      <c r="EC167" s="79">
        <v>3897</v>
      </c>
      <c r="ED167" s="79"/>
      <c r="EE167" s="79" t="s">
        <v>2253</v>
      </c>
      <c r="EF167" s="79">
        <v>319</v>
      </c>
      <c r="EG167" s="79">
        <v>45</v>
      </c>
      <c r="EH167" s="79">
        <v>32</v>
      </c>
      <c r="EI167" s="79">
        <v>11</v>
      </c>
      <c r="EJ167" s="79">
        <v>9</v>
      </c>
      <c r="EK167" s="79">
        <v>416</v>
      </c>
      <c r="EN167" s="57" t="s">
        <v>1787</v>
      </c>
      <c r="EO167" s="57" t="s">
        <v>25</v>
      </c>
      <c r="EP167" s="57">
        <v>46</v>
      </c>
      <c r="EQ167" s="57">
        <v>92</v>
      </c>
      <c r="ER167" s="57">
        <v>126</v>
      </c>
      <c r="ES167" s="57">
        <v>192</v>
      </c>
      <c r="ET167" s="57">
        <v>275</v>
      </c>
      <c r="EU167" s="57">
        <v>731</v>
      </c>
      <c r="EV167" s="57"/>
      <c r="EW167" s="57" t="s">
        <v>25</v>
      </c>
      <c r="EX167" s="57">
        <v>4</v>
      </c>
      <c r="EY167" s="57">
        <v>1</v>
      </c>
      <c r="EZ167" s="57">
        <v>2</v>
      </c>
      <c r="FA167" s="57">
        <v>2</v>
      </c>
      <c r="FB167" s="57">
        <v>2</v>
      </c>
      <c r="FC167" s="57">
        <v>11</v>
      </c>
      <c r="FF167" s="70" t="s">
        <v>1838</v>
      </c>
      <c r="FG167" s="70" t="s">
        <v>2032</v>
      </c>
      <c r="FH167" s="70">
        <v>237</v>
      </c>
      <c r="FI167" s="70">
        <v>423</v>
      </c>
      <c r="FJ167" s="70">
        <v>471</v>
      </c>
      <c r="FK167" s="70">
        <v>528</v>
      </c>
      <c r="FL167" s="70">
        <v>641</v>
      </c>
      <c r="FM167" s="70">
        <v>2300</v>
      </c>
      <c r="FN167" s="70"/>
      <c r="FO167" s="70" t="s">
        <v>2032</v>
      </c>
      <c r="FP167" s="70">
        <v>41</v>
      </c>
      <c r="FQ167" s="70">
        <v>11</v>
      </c>
      <c r="FR167" s="70">
        <v>2</v>
      </c>
      <c r="FS167" s="70">
        <v>1</v>
      </c>
      <c r="FT167" s="70">
        <v>2</v>
      </c>
      <c r="FU167" s="70">
        <v>57</v>
      </c>
    </row>
    <row r="168" spans="1:177">
      <c r="B168" s="64" t="s">
        <v>773</v>
      </c>
      <c r="C168" s="64" t="s">
        <v>2032</v>
      </c>
      <c r="D168" s="64">
        <v>277</v>
      </c>
      <c r="E168" s="64">
        <v>343</v>
      </c>
      <c r="F168" s="64">
        <v>539</v>
      </c>
      <c r="G168" s="64">
        <v>612</v>
      </c>
      <c r="H168" s="64">
        <v>463</v>
      </c>
      <c r="I168" s="64">
        <v>2234</v>
      </c>
      <c r="K168" s="64" t="s">
        <v>2032</v>
      </c>
      <c r="L168" s="64">
        <v>26</v>
      </c>
      <c r="M168" s="64">
        <v>0</v>
      </c>
      <c r="N168" s="64">
        <v>0</v>
      </c>
      <c r="O168" s="64">
        <v>0</v>
      </c>
      <c r="P168" s="64">
        <v>0</v>
      </c>
      <c r="Q168" s="64">
        <v>26</v>
      </c>
      <c r="T168" s="65" t="s">
        <v>978</v>
      </c>
      <c r="U168" s="65" t="s">
        <v>2253</v>
      </c>
      <c r="V168" s="65">
        <v>176</v>
      </c>
      <c r="W168" s="65">
        <v>122</v>
      </c>
      <c r="X168" s="65">
        <v>240</v>
      </c>
      <c r="Y168" s="65">
        <v>282</v>
      </c>
      <c r="Z168" s="65">
        <v>243</v>
      </c>
      <c r="AA168" s="65">
        <v>1063</v>
      </c>
      <c r="AB168" s="65"/>
      <c r="AC168" s="65" t="s">
        <v>2253</v>
      </c>
      <c r="AD168" s="65">
        <v>8</v>
      </c>
      <c r="AE168" s="65">
        <v>0</v>
      </c>
      <c r="AF168" s="65">
        <v>0</v>
      </c>
      <c r="AG168" s="65">
        <v>0</v>
      </c>
      <c r="AH168" s="65">
        <v>0</v>
      </c>
      <c r="AI168" s="65">
        <v>8</v>
      </c>
      <c r="AK168" s="66" t="s">
        <v>1922</v>
      </c>
      <c r="AL168" s="66" t="s">
        <v>2028</v>
      </c>
      <c r="AM168" s="66">
        <v>777</v>
      </c>
      <c r="AN168" s="66">
        <v>602</v>
      </c>
      <c r="AO168" s="66">
        <v>545</v>
      </c>
      <c r="AP168" s="66">
        <v>517</v>
      </c>
      <c r="AQ168" s="66">
        <v>697</v>
      </c>
      <c r="AR168" s="66">
        <v>3138</v>
      </c>
      <c r="AS168" s="66"/>
      <c r="AT168" s="66" t="s">
        <v>2028</v>
      </c>
      <c r="AU168" s="66">
        <v>227</v>
      </c>
      <c r="AV168" s="66">
        <v>57</v>
      </c>
      <c r="AW168" s="66">
        <v>51</v>
      </c>
      <c r="AX168" s="66">
        <v>35</v>
      </c>
      <c r="AY168" s="66">
        <v>53</v>
      </c>
      <c r="AZ168" s="66">
        <v>423</v>
      </c>
      <c r="BB168" s="69" t="s">
        <v>1315</v>
      </c>
      <c r="BC168" s="69" t="s">
        <v>2028</v>
      </c>
      <c r="BD168" s="69">
        <v>1526</v>
      </c>
      <c r="BE168" s="69">
        <v>975</v>
      </c>
      <c r="BF168" s="69">
        <v>1228</v>
      </c>
      <c r="BG168" s="69">
        <v>1283</v>
      </c>
      <c r="BH168" s="69">
        <v>865</v>
      </c>
      <c r="BI168" s="69">
        <v>5877</v>
      </c>
      <c r="BJ168" s="69"/>
      <c r="BK168" s="69" t="s">
        <v>2028</v>
      </c>
      <c r="BL168" s="69">
        <v>390</v>
      </c>
      <c r="BM168" s="69">
        <v>0</v>
      </c>
      <c r="BN168" s="69">
        <v>0</v>
      </c>
      <c r="BO168" s="69">
        <v>0</v>
      </c>
      <c r="BP168" s="69">
        <v>0</v>
      </c>
      <c r="BQ168" s="69">
        <v>390</v>
      </c>
      <c r="BS168" s="70" t="s">
        <v>1430</v>
      </c>
      <c r="BT168" s="70" t="s">
        <v>2253</v>
      </c>
      <c r="BU168" s="70">
        <v>141</v>
      </c>
      <c r="BV168" s="70">
        <v>129</v>
      </c>
      <c r="BW168" s="70">
        <v>265</v>
      </c>
      <c r="BX168" s="70">
        <v>373</v>
      </c>
      <c r="BY168" s="70">
        <v>307</v>
      </c>
      <c r="BZ168" s="70">
        <v>1215</v>
      </c>
      <c r="CA168" s="70"/>
      <c r="CB168" s="70" t="s">
        <v>2253</v>
      </c>
      <c r="CC168" s="70">
        <v>45</v>
      </c>
      <c r="CD168" s="70">
        <v>0</v>
      </c>
      <c r="CE168" s="70">
        <v>0</v>
      </c>
      <c r="CF168" s="70">
        <v>0</v>
      </c>
      <c r="CG168" s="70">
        <v>0</v>
      </c>
      <c r="CH168" s="70">
        <v>45</v>
      </c>
      <c r="CL168" s="57" t="s">
        <v>357</v>
      </c>
      <c r="CM168" s="57" t="s">
        <v>2032</v>
      </c>
      <c r="CN168" s="57">
        <v>129</v>
      </c>
      <c r="CO168" s="57">
        <v>69</v>
      </c>
      <c r="CP168" s="57">
        <v>79</v>
      </c>
      <c r="CQ168" s="57">
        <v>86</v>
      </c>
      <c r="CR168" s="57">
        <v>120</v>
      </c>
      <c r="CS168" s="57">
        <v>483</v>
      </c>
      <c r="CT168" s="57"/>
      <c r="CU168" s="57" t="s">
        <v>2032</v>
      </c>
      <c r="CV168" s="57">
        <v>68</v>
      </c>
      <c r="CW168" s="57">
        <v>0</v>
      </c>
      <c r="CX168" s="57">
        <v>0</v>
      </c>
      <c r="CY168" s="57">
        <v>0</v>
      </c>
      <c r="CZ168" s="57">
        <v>0</v>
      </c>
      <c r="DA168" s="57">
        <v>68</v>
      </c>
      <c r="DD168" s="21"/>
      <c r="DT168" s="16" t="s">
        <v>2022</v>
      </c>
      <c r="DU168" s="16" t="s">
        <v>1667</v>
      </c>
      <c r="DV168" s="79" t="s">
        <v>2697</v>
      </c>
      <c r="DW168" s="79" t="s">
        <v>2253</v>
      </c>
      <c r="DX168" s="79" t="s">
        <v>324</v>
      </c>
      <c r="DY168" s="79" t="s">
        <v>324</v>
      </c>
      <c r="DZ168" s="79" t="s">
        <v>324</v>
      </c>
      <c r="EA168" s="79" t="s">
        <v>324</v>
      </c>
      <c r="EB168" s="79" t="s">
        <v>324</v>
      </c>
      <c r="EC168" s="79" t="s">
        <v>324</v>
      </c>
      <c r="ED168" s="79"/>
      <c r="EE168" s="79" t="s">
        <v>2253</v>
      </c>
      <c r="EF168" s="79" t="s">
        <v>324</v>
      </c>
      <c r="EG168" s="79" t="s">
        <v>324</v>
      </c>
      <c r="EH168" s="79" t="s">
        <v>324</v>
      </c>
      <c r="EI168" s="79" t="s">
        <v>324</v>
      </c>
      <c r="EJ168" s="79" t="s">
        <v>324</v>
      </c>
      <c r="EK168" s="79" t="s">
        <v>324</v>
      </c>
      <c r="FF168" s="70" t="s">
        <v>1840</v>
      </c>
      <c r="FG168" s="70" t="s">
        <v>2032</v>
      </c>
      <c r="FH168" s="70">
        <v>114</v>
      </c>
      <c r="FI168" s="70">
        <v>214</v>
      </c>
      <c r="FJ168" s="70">
        <v>235</v>
      </c>
      <c r="FK168" s="70">
        <v>295</v>
      </c>
      <c r="FL168" s="70">
        <v>366</v>
      </c>
      <c r="FM168" s="70">
        <v>1224</v>
      </c>
      <c r="FN168" s="70"/>
      <c r="FO168" s="70" t="s">
        <v>2032</v>
      </c>
      <c r="FP168" s="70">
        <v>25</v>
      </c>
      <c r="FQ168" s="70">
        <v>4</v>
      </c>
      <c r="FR168" s="70">
        <v>0</v>
      </c>
      <c r="FS168" s="70">
        <v>0</v>
      </c>
      <c r="FT168" s="70">
        <v>1</v>
      </c>
      <c r="FU168" s="70">
        <v>30</v>
      </c>
    </row>
    <row r="169" spans="1:177">
      <c r="B169" s="64" t="s">
        <v>776</v>
      </c>
      <c r="C169" s="64" t="s">
        <v>2032</v>
      </c>
      <c r="D169" s="64">
        <v>291</v>
      </c>
      <c r="E169" s="64">
        <v>281</v>
      </c>
      <c r="F169" s="64">
        <v>383</v>
      </c>
      <c r="G169" s="64">
        <v>512</v>
      </c>
      <c r="H169" s="64">
        <v>394</v>
      </c>
      <c r="I169" s="64">
        <v>1861</v>
      </c>
      <c r="K169" s="64" t="s">
        <v>2032</v>
      </c>
      <c r="L169" s="64">
        <v>28</v>
      </c>
      <c r="M169" s="64">
        <v>0</v>
      </c>
      <c r="N169" s="64">
        <v>0</v>
      </c>
      <c r="O169" s="64">
        <v>0</v>
      </c>
      <c r="P169" s="64">
        <v>0</v>
      </c>
      <c r="Q169" s="64">
        <v>28</v>
      </c>
      <c r="T169" s="65" t="s">
        <v>984</v>
      </c>
      <c r="U169" s="65" t="s">
        <v>2253</v>
      </c>
      <c r="V169" s="65">
        <v>550</v>
      </c>
      <c r="W169" s="65">
        <v>456</v>
      </c>
      <c r="X169" s="65">
        <v>626</v>
      </c>
      <c r="Y169" s="65">
        <v>738</v>
      </c>
      <c r="Z169" s="65">
        <v>540</v>
      </c>
      <c r="AA169" s="65">
        <v>2910</v>
      </c>
      <c r="AB169" s="65"/>
      <c r="AC169" s="65" t="s">
        <v>2253</v>
      </c>
      <c r="AD169" s="65">
        <v>16</v>
      </c>
      <c r="AE169" s="65">
        <v>0</v>
      </c>
      <c r="AF169" s="65">
        <v>0</v>
      </c>
      <c r="AG169" s="65">
        <v>0</v>
      </c>
      <c r="AH169" s="65">
        <v>0</v>
      </c>
      <c r="AI169" s="65">
        <v>16</v>
      </c>
      <c r="AK169" s="66" t="s">
        <v>1924</v>
      </c>
      <c r="AL169" s="66" t="s">
        <v>2028</v>
      </c>
      <c r="AM169" s="66">
        <v>592</v>
      </c>
      <c r="AN169" s="66">
        <v>557</v>
      </c>
      <c r="AO169" s="66">
        <v>445</v>
      </c>
      <c r="AP169" s="66">
        <v>470</v>
      </c>
      <c r="AQ169" s="66">
        <v>627</v>
      </c>
      <c r="AR169" s="66">
        <v>2691</v>
      </c>
      <c r="AS169" s="66"/>
      <c r="AT169" s="66" t="s">
        <v>2028</v>
      </c>
      <c r="AU169" s="66">
        <v>205</v>
      </c>
      <c r="AV169" s="66">
        <v>47</v>
      </c>
      <c r="AW169" s="66">
        <v>30</v>
      </c>
      <c r="AX169" s="66">
        <v>24</v>
      </c>
      <c r="AY169" s="66">
        <v>48</v>
      </c>
      <c r="AZ169" s="66">
        <v>354</v>
      </c>
      <c r="BB169" s="69" t="s">
        <v>1955</v>
      </c>
      <c r="BC169" s="69" t="s">
        <v>2028</v>
      </c>
      <c r="BD169" s="69">
        <v>59</v>
      </c>
      <c r="BE169" s="69">
        <v>77</v>
      </c>
      <c r="BF169" s="69">
        <v>142</v>
      </c>
      <c r="BG169" s="69">
        <v>225</v>
      </c>
      <c r="BH169" s="69">
        <v>216</v>
      </c>
      <c r="BI169" s="69">
        <v>719</v>
      </c>
      <c r="BJ169" s="69"/>
      <c r="BK169" s="69" t="s">
        <v>2028</v>
      </c>
      <c r="BL169" s="69">
        <v>22</v>
      </c>
      <c r="BM169" s="69">
        <v>0</v>
      </c>
      <c r="BN169" s="69">
        <v>0</v>
      </c>
      <c r="BO169" s="69">
        <v>0</v>
      </c>
      <c r="BP169" s="69">
        <v>0</v>
      </c>
      <c r="BQ169" s="69">
        <v>22</v>
      </c>
      <c r="BS169" s="70" t="s">
        <v>1433</v>
      </c>
      <c r="BT169" s="70" t="s">
        <v>2253</v>
      </c>
      <c r="BU169" s="70">
        <v>64</v>
      </c>
      <c r="BV169" s="70">
        <v>37</v>
      </c>
      <c r="BW169" s="70">
        <v>134</v>
      </c>
      <c r="BX169" s="70">
        <v>174</v>
      </c>
      <c r="BY169" s="70">
        <v>216</v>
      </c>
      <c r="BZ169" s="70">
        <v>625</v>
      </c>
      <c r="CA169" s="70"/>
      <c r="CB169" s="70" t="s">
        <v>2253</v>
      </c>
      <c r="CC169" s="70">
        <v>18</v>
      </c>
      <c r="CD169" s="70">
        <v>0</v>
      </c>
      <c r="CE169" s="70">
        <v>0</v>
      </c>
      <c r="CF169" s="70">
        <v>0</v>
      </c>
      <c r="CG169" s="70">
        <v>0</v>
      </c>
      <c r="CH169" s="70">
        <v>18</v>
      </c>
      <c r="CL169" s="57" t="s">
        <v>559</v>
      </c>
      <c r="CM169" s="57" t="s">
        <v>2032</v>
      </c>
      <c r="CN169" s="57">
        <v>80</v>
      </c>
      <c r="CO169" s="57">
        <v>39</v>
      </c>
      <c r="CP169" s="57">
        <v>64</v>
      </c>
      <c r="CQ169" s="57">
        <v>92</v>
      </c>
      <c r="CR169" s="57">
        <v>91</v>
      </c>
      <c r="CS169" s="57">
        <v>366</v>
      </c>
      <c r="CT169" s="57"/>
      <c r="CU169" s="57" t="s">
        <v>2032</v>
      </c>
      <c r="CV169" s="57">
        <v>37</v>
      </c>
      <c r="CW169" s="57">
        <v>0</v>
      </c>
      <c r="CX169" s="57">
        <v>0</v>
      </c>
      <c r="CY169" s="57">
        <v>0</v>
      </c>
      <c r="CZ169" s="57">
        <v>0</v>
      </c>
      <c r="DA169" s="57">
        <v>37</v>
      </c>
      <c r="DD169" s="21"/>
      <c r="DV169" s="79"/>
      <c r="DW169" s="79"/>
      <c r="DX169" s="79"/>
      <c r="DY169" s="79"/>
      <c r="DZ169" s="79"/>
      <c r="EA169" s="79"/>
      <c r="EB169" s="79"/>
      <c r="EC169" s="79"/>
      <c r="ED169" s="79"/>
      <c r="EE169" s="79"/>
      <c r="EF169" s="79"/>
      <c r="EG169" s="79"/>
      <c r="EH169" s="79"/>
      <c r="EI169" s="79"/>
      <c r="EJ169" s="79"/>
      <c r="EK169" s="79"/>
      <c r="EN169" s="57" t="s">
        <v>2135</v>
      </c>
      <c r="EO169" s="57" t="s">
        <v>2098</v>
      </c>
      <c r="EP169" s="57">
        <v>298</v>
      </c>
      <c r="EQ169" s="57">
        <v>435</v>
      </c>
      <c r="ER169" s="57">
        <v>514</v>
      </c>
      <c r="ES169" s="57">
        <v>629</v>
      </c>
      <c r="ET169" s="57">
        <v>707</v>
      </c>
      <c r="EU169" s="57">
        <v>2583</v>
      </c>
      <c r="EV169" s="57"/>
      <c r="EW169" s="57" t="s">
        <v>2098</v>
      </c>
      <c r="EX169" s="57">
        <v>61</v>
      </c>
      <c r="EY169" s="57">
        <v>29</v>
      </c>
      <c r="EZ169" s="57">
        <v>17</v>
      </c>
      <c r="FA169" s="57">
        <v>7</v>
      </c>
      <c r="FB169" s="57">
        <v>10</v>
      </c>
      <c r="FC169" s="57">
        <v>124</v>
      </c>
      <c r="FF169" s="70" t="s">
        <v>2009</v>
      </c>
      <c r="FG169" s="70" t="s">
        <v>2032</v>
      </c>
      <c r="FH169" s="70">
        <v>145</v>
      </c>
      <c r="FI169" s="70">
        <v>209</v>
      </c>
      <c r="FJ169" s="70">
        <v>294</v>
      </c>
      <c r="FK169" s="70">
        <v>340</v>
      </c>
      <c r="FL169" s="70">
        <v>410</v>
      </c>
      <c r="FM169" s="70">
        <v>1398</v>
      </c>
      <c r="FN169" s="70"/>
      <c r="FO169" s="70" t="s">
        <v>2032</v>
      </c>
      <c r="FP169" s="70">
        <v>21</v>
      </c>
      <c r="FQ169" s="70">
        <v>2</v>
      </c>
      <c r="FR169" s="70">
        <v>2</v>
      </c>
      <c r="FS169" s="70">
        <v>0</v>
      </c>
      <c r="FT169" s="70">
        <v>1</v>
      </c>
      <c r="FU169" s="70">
        <v>26</v>
      </c>
    </row>
    <row r="170" spans="1:177">
      <c r="B170" s="64" t="s">
        <v>781</v>
      </c>
      <c r="C170" s="64" t="s">
        <v>2032</v>
      </c>
      <c r="D170" s="64">
        <v>94</v>
      </c>
      <c r="E170" s="64">
        <v>161</v>
      </c>
      <c r="F170" s="64">
        <v>292</v>
      </c>
      <c r="G170" s="64">
        <v>401</v>
      </c>
      <c r="H170" s="64">
        <v>284</v>
      </c>
      <c r="I170" s="64">
        <v>1232</v>
      </c>
      <c r="K170" s="64" t="s">
        <v>2032</v>
      </c>
      <c r="L170" s="64">
        <v>6</v>
      </c>
      <c r="M170" s="64">
        <v>3</v>
      </c>
      <c r="N170" s="64">
        <v>0</v>
      </c>
      <c r="O170" s="64">
        <v>0</v>
      </c>
      <c r="P170" s="64">
        <v>0</v>
      </c>
      <c r="Q170" s="64">
        <v>9</v>
      </c>
      <c r="T170" s="65" t="s">
        <v>993</v>
      </c>
      <c r="U170" s="65" t="s">
        <v>2253</v>
      </c>
      <c r="V170" s="65">
        <v>349</v>
      </c>
      <c r="W170" s="65">
        <v>249</v>
      </c>
      <c r="X170" s="65">
        <v>399</v>
      </c>
      <c r="Y170" s="65">
        <v>478</v>
      </c>
      <c r="Z170" s="65">
        <v>441</v>
      </c>
      <c r="AA170" s="65">
        <v>1916</v>
      </c>
      <c r="AB170" s="65"/>
      <c r="AC170" s="65" t="s">
        <v>2253</v>
      </c>
      <c r="AD170" s="65">
        <v>46</v>
      </c>
      <c r="AE170" s="65">
        <v>0</v>
      </c>
      <c r="AF170" s="65">
        <v>0</v>
      </c>
      <c r="AG170" s="65">
        <v>0</v>
      </c>
      <c r="AH170" s="65">
        <v>0</v>
      </c>
      <c r="AI170" s="65">
        <v>46</v>
      </c>
      <c r="AK170" s="66" t="s">
        <v>1926</v>
      </c>
      <c r="AL170" s="66" t="s">
        <v>2028</v>
      </c>
      <c r="AM170" s="66">
        <v>363</v>
      </c>
      <c r="AN170" s="66">
        <v>462</v>
      </c>
      <c r="AO170" s="66">
        <v>369</v>
      </c>
      <c r="AP170" s="66">
        <v>374</v>
      </c>
      <c r="AQ170" s="66">
        <v>452</v>
      </c>
      <c r="AR170" s="66">
        <v>2020</v>
      </c>
      <c r="AS170" s="66"/>
      <c r="AT170" s="66" t="s">
        <v>2028</v>
      </c>
      <c r="AU170" s="66">
        <v>124</v>
      </c>
      <c r="AV170" s="66">
        <v>54</v>
      </c>
      <c r="AW170" s="66">
        <v>41</v>
      </c>
      <c r="AX170" s="66">
        <v>46</v>
      </c>
      <c r="AY170" s="66">
        <v>50</v>
      </c>
      <c r="AZ170" s="66">
        <v>315</v>
      </c>
      <c r="BB170" s="69" t="s">
        <v>1322</v>
      </c>
      <c r="BC170" s="69" t="s">
        <v>2028</v>
      </c>
      <c r="BD170" s="69">
        <v>137</v>
      </c>
      <c r="BE170" s="69">
        <v>87</v>
      </c>
      <c r="BF170" s="69">
        <v>116</v>
      </c>
      <c r="BG170" s="69">
        <v>147</v>
      </c>
      <c r="BH170" s="69">
        <v>132</v>
      </c>
      <c r="BI170" s="69">
        <v>619</v>
      </c>
      <c r="BJ170" s="69"/>
      <c r="BK170" s="69" t="s">
        <v>2028</v>
      </c>
      <c r="BL170" s="69">
        <v>30</v>
      </c>
      <c r="BM170" s="69">
        <v>0</v>
      </c>
      <c r="BN170" s="69">
        <v>0</v>
      </c>
      <c r="BO170" s="69">
        <v>0</v>
      </c>
      <c r="BP170" s="69">
        <v>0</v>
      </c>
      <c r="BQ170" s="69">
        <v>30</v>
      </c>
      <c r="BS170" s="70" t="s">
        <v>1436</v>
      </c>
      <c r="BT170" s="70" t="s">
        <v>2253</v>
      </c>
      <c r="BU170" s="70">
        <v>92</v>
      </c>
      <c r="BV170" s="70">
        <v>63</v>
      </c>
      <c r="BW170" s="70">
        <v>128</v>
      </c>
      <c r="BX170" s="70">
        <v>207</v>
      </c>
      <c r="BY170" s="70">
        <v>190</v>
      </c>
      <c r="BZ170" s="70">
        <v>680</v>
      </c>
      <c r="CA170" s="70"/>
      <c r="CB170" s="70" t="s">
        <v>2253</v>
      </c>
      <c r="CC170" s="70">
        <v>30</v>
      </c>
      <c r="CD170" s="70">
        <v>0</v>
      </c>
      <c r="CE170" s="70">
        <v>0</v>
      </c>
      <c r="CF170" s="70">
        <v>0</v>
      </c>
      <c r="CG170" s="70">
        <v>0</v>
      </c>
      <c r="CH170" s="70">
        <v>30</v>
      </c>
      <c r="CL170" s="57" t="s">
        <v>561</v>
      </c>
      <c r="CM170" s="57" t="s">
        <v>2032</v>
      </c>
      <c r="CN170" s="57">
        <v>77</v>
      </c>
      <c r="CO170" s="57">
        <v>90</v>
      </c>
      <c r="CP170" s="57">
        <v>174</v>
      </c>
      <c r="CQ170" s="57">
        <v>247</v>
      </c>
      <c r="CR170" s="57">
        <v>277</v>
      </c>
      <c r="CS170" s="57">
        <v>865</v>
      </c>
      <c r="CT170" s="57"/>
      <c r="CU170" s="57" t="s">
        <v>2032</v>
      </c>
      <c r="CV170" s="57">
        <v>11</v>
      </c>
      <c r="CW170" s="57">
        <v>0</v>
      </c>
      <c r="CX170" s="57">
        <v>0</v>
      </c>
      <c r="CY170" s="57">
        <v>0</v>
      </c>
      <c r="CZ170" s="57">
        <v>0</v>
      </c>
      <c r="DA170" s="57">
        <v>11</v>
      </c>
      <c r="DD170" s="21"/>
      <c r="DT170" s="16" t="s">
        <v>2022</v>
      </c>
      <c r="DU170" s="16" t="s">
        <v>1673</v>
      </c>
      <c r="DV170" s="79" t="s">
        <v>2700</v>
      </c>
      <c r="DW170" s="79" t="s">
        <v>2253</v>
      </c>
      <c r="DX170" s="79" t="s">
        <v>324</v>
      </c>
      <c r="DY170" s="79" t="s">
        <v>324</v>
      </c>
      <c r="DZ170" s="79" t="s">
        <v>324</v>
      </c>
      <c r="EA170" s="79" t="s">
        <v>324</v>
      </c>
      <c r="EB170" s="79" t="s">
        <v>324</v>
      </c>
      <c r="EC170" s="79" t="s">
        <v>324</v>
      </c>
      <c r="ED170" s="79"/>
      <c r="EE170" s="79" t="s">
        <v>2253</v>
      </c>
      <c r="EF170" s="79" t="s">
        <v>324</v>
      </c>
      <c r="EG170" s="79" t="s">
        <v>324</v>
      </c>
      <c r="EH170" s="79" t="s">
        <v>324</v>
      </c>
      <c r="EI170" s="79" t="s">
        <v>324</v>
      </c>
      <c r="EJ170" s="79" t="s">
        <v>324</v>
      </c>
      <c r="EK170" s="79" t="s">
        <v>324</v>
      </c>
      <c r="EN170" s="57" t="s">
        <v>2136</v>
      </c>
      <c r="EO170" s="57" t="s">
        <v>2098</v>
      </c>
      <c r="EP170" s="57">
        <v>546</v>
      </c>
      <c r="EQ170" s="57">
        <v>714</v>
      </c>
      <c r="ER170" s="57">
        <v>854</v>
      </c>
      <c r="ES170" s="57">
        <v>983</v>
      </c>
      <c r="ET170" s="57">
        <v>1133</v>
      </c>
      <c r="EU170" s="57">
        <v>4230</v>
      </c>
      <c r="EV170" s="57"/>
      <c r="EW170" s="57" t="s">
        <v>2098</v>
      </c>
      <c r="EX170" s="57">
        <v>131</v>
      </c>
      <c r="EY170" s="57">
        <v>49</v>
      </c>
      <c r="EZ170" s="57">
        <v>21</v>
      </c>
      <c r="FA170" s="57">
        <v>16</v>
      </c>
      <c r="FB170" s="57">
        <v>18</v>
      </c>
      <c r="FC170" s="57">
        <v>235</v>
      </c>
      <c r="FF170" s="70" t="s">
        <v>1850</v>
      </c>
      <c r="FG170" s="70" t="s">
        <v>2032</v>
      </c>
      <c r="FH170" s="70">
        <v>344</v>
      </c>
      <c r="FI170" s="70">
        <v>485</v>
      </c>
      <c r="FJ170" s="70">
        <v>470</v>
      </c>
      <c r="FK170" s="70">
        <v>559</v>
      </c>
      <c r="FL170" s="70">
        <v>661</v>
      </c>
      <c r="FM170" s="70">
        <v>2519</v>
      </c>
      <c r="FN170" s="70"/>
      <c r="FO170" s="70" t="s">
        <v>2032</v>
      </c>
      <c r="FP170" s="70">
        <v>33</v>
      </c>
      <c r="FQ170" s="70">
        <v>7</v>
      </c>
      <c r="FR170" s="70">
        <v>1</v>
      </c>
      <c r="FS170" s="70">
        <v>6</v>
      </c>
      <c r="FT170" s="70">
        <v>5</v>
      </c>
      <c r="FU170" s="70">
        <v>52</v>
      </c>
    </row>
    <row r="171" spans="1:177">
      <c r="B171" s="64" t="s">
        <v>787</v>
      </c>
      <c r="C171" s="64" t="s">
        <v>2032</v>
      </c>
      <c r="D171" s="64">
        <v>197</v>
      </c>
      <c r="E171" s="64">
        <v>200</v>
      </c>
      <c r="F171" s="64">
        <v>316</v>
      </c>
      <c r="G171" s="64">
        <v>370</v>
      </c>
      <c r="H171" s="64">
        <v>267</v>
      </c>
      <c r="I171" s="64">
        <v>1350</v>
      </c>
      <c r="K171" s="64" t="s">
        <v>2032</v>
      </c>
      <c r="L171" s="64">
        <v>46</v>
      </c>
      <c r="M171" s="64">
        <v>7</v>
      </c>
      <c r="N171" s="64">
        <v>2</v>
      </c>
      <c r="O171" s="64">
        <v>0</v>
      </c>
      <c r="P171" s="64">
        <v>1</v>
      </c>
      <c r="Q171" s="64">
        <v>56</v>
      </c>
      <c r="T171" s="65" t="s">
        <v>999</v>
      </c>
      <c r="U171" s="65" t="s">
        <v>2253</v>
      </c>
      <c r="V171" s="65">
        <v>339</v>
      </c>
      <c r="W171" s="65">
        <v>402</v>
      </c>
      <c r="X171" s="65">
        <v>545</v>
      </c>
      <c r="Y171" s="65">
        <v>604</v>
      </c>
      <c r="Z171" s="65">
        <v>516</v>
      </c>
      <c r="AA171" s="65">
        <v>2406</v>
      </c>
      <c r="AB171" s="65"/>
      <c r="AC171" s="65" t="s">
        <v>2253</v>
      </c>
      <c r="AD171" s="65">
        <v>29</v>
      </c>
      <c r="AE171" s="65">
        <v>0</v>
      </c>
      <c r="AF171" s="65">
        <v>0</v>
      </c>
      <c r="AG171" s="65">
        <v>0</v>
      </c>
      <c r="AH171" s="65">
        <v>0</v>
      </c>
      <c r="AI171" s="65">
        <v>29</v>
      </c>
      <c r="AK171" s="66" t="s">
        <v>1928</v>
      </c>
      <c r="AL171" s="66" t="s">
        <v>2028</v>
      </c>
      <c r="AM171" s="66">
        <v>511</v>
      </c>
      <c r="AN171" s="66">
        <v>618</v>
      </c>
      <c r="AO171" s="66">
        <v>434</v>
      </c>
      <c r="AP171" s="66">
        <v>431</v>
      </c>
      <c r="AQ171" s="66">
        <v>561</v>
      </c>
      <c r="AR171" s="66">
        <v>2555</v>
      </c>
      <c r="AS171" s="66"/>
      <c r="AT171" s="66" t="s">
        <v>2028</v>
      </c>
      <c r="AU171" s="66">
        <v>142</v>
      </c>
      <c r="AV171" s="66">
        <v>33</v>
      </c>
      <c r="AW171" s="66">
        <v>21</v>
      </c>
      <c r="AX171" s="66">
        <v>19</v>
      </c>
      <c r="AY171" s="66">
        <v>33</v>
      </c>
      <c r="AZ171" s="66">
        <v>248</v>
      </c>
      <c r="BB171" s="69" t="s">
        <v>1327</v>
      </c>
      <c r="BC171" s="69" t="s">
        <v>2028</v>
      </c>
      <c r="BD171" s="69">
        <v>75</v>
      </c>
      <c r="BE171" s="69">
        <v>52</v>
      </c>
      <c r="BF171" s="69">
        <v>92</v>
      </c>
      <c r="BG171" s="69">
        <v>96</v>
      </c>
      <c r="BH171" s="69">
        <v>82</v>
      </c>
      <c r="BI171" s="69">
        <v>397</v>
      </c>
      <c r="BJ171" s="69"/>
      <c r="BK171" s="69" t="s">
        <v>2028</v>
      </c>
      <c r="BL171" s="69">
        <v>23</v>
      </c>
      <c r="BM171" s="69">
        <v>0</v>
      </c>
      <c r="BN171" s="69">
        <v>0</v>
      </c>
      <c r="BO171" s="69">
        <v>0</v>
      </c>
      <c r="BP171" s="69">
        <v>0</v>
      </c>
      <c r="BQ171" s="69">
        <v>23</v>
      </c>
      <c r="BS171" s="70" t="s">
        <v>1438</v>
      </c>
      <c r="BT171" s="70" t="s">
        <v>2253</v>
      </c>
      <c r="BU171" s="70">
        <v>67</v>
      </c>
      <c r="BV171" s="70">
        <v>146</v>
      </c>
      <c r="BW171" s="70">
        <v>287</v>
      </c>
      <c r="BX171" s="70">
        <v>477</v>
      </c>
      <c r="BY171" s="70">
        <v>429</v>
      </c>
      <c r="BZ171" s="70">
        <v>1406</v>
      </c>
      <c r="CA171" s="70"/>
      <c r="CB171" s="70" t="s">
        <v>2253</v>
      </c>
      <c r="CC171" s="70">
        <v>24</v>
      </c>
      <c r="CD171" s="70">
        <v>0</v>
      </c>
      <c r="CE171" s="70">
        <v>0</v>
      </c>
      <c r="CF171" s="70">
        <v>0</v>
      </c>
      <c r="CG171" s="70">
        <v>0</v>
      </c>
      <c r="CH171" s="70">
        <v>24</v>
      </c>
      <c r="CL171" s="57" t="s">
        <v>360</v>
      </c>
      <c r="CM171" s="57" t="s">
        <v>2032</v>
      </c>
      <c r="CN171" s="57" t="s">
        <v>324</v>
      </c>
      <c r="CO171" s="57" t="s">
        <v>324</v>
      </c>
      <c r="CP171" s="57" t="s">
        <v>324</v>
      </c>
      <c r="CQ171" s="57" t="s">
        <v>324</v>
      </c>
      <c r="CR171" s="57" t="s">
        <v>324</v>
      </c>
      <c r="CS171" s="57" t="s">
        <v>324</v>
      </c>
      <c r="CT171" s="57"/>
      <c r="CU171" s="57" t="s">
        <v>2032</v>
      </c>
      <c r="CV171" s="57" t="s">
        <v>324</v>
      </c>
      <c r="CW171" s="57" t="s">
        <v>324</v>
      </c>
      <c r="CX171" s="57" t="s">
        <v>324</v>
      </c>
      <c r="CY171" s="57" t="s">
        <v>324</v>
      </c>
      <c r="CZ171" s="57" t="s">
        <v>324</v>
      </c>
      <c r="DA171" s="57" t="s">
        <v>324</v>
      </c>
      <c r="DD171" s="21"/>
      <c r="DT171" s="16" t="s">
        <v>2022</v>
      </c>
      <c r="DU171" s="16" t="s">
        <v>1676</v>
      </c>
      <c r="DV171" s="79" t="s">
        <v>2703</v>
      </c>
      <c r="DW171" s="79" t="s">
        <v>2253</v>
      </c>
      <c r="DX171" s="79" t="s">
        <v>324</v>
      </c>
      <c r="DY171" s="79" t="s">
        <v>324</v>
      </c>
      <c r="DZ171" s="79" t="s">
        <v>324</v>
      </c>
      <c r="EA171" s="79" t="s">
        <v>324</v>
      </c>
      <c r="EB171" s="79" t="s">
        <v>324</v>
      </c>
      <c r="EC171" s="79" t="s">
        <v>324</v>
      </c>
      <c r="ED171" s="79"/>
      <c r="EE171" s="79" t="s">
        <v>2253</v>
      </c>
      <c r="EF171" s="79" t="s">
        <v>324</v>
      </c>
      <c r="EG171" s="79" t="s">
        <v>324</v>
      </c>
      <c r="EH171" s="79" t="s">
        <v>324</v>
      </c>
      <c r="EI171" s="79" t="s">
        <v>324</v>
      </c>
      <c r="EJ171" s="79" t="s">
        <v>324</v>
      </c>
      <c r="EK171" s="79" t="s">
        <v>324</v>
      </c>
      <c r="EN171" s="57" t="s">
        <v>1716</v>
      </c>
      <c r="EO171" s="57" t="s">
        <v>2098</v>
      </c>
      <c r="EP171" s="57">
        <v>167</v>
      </c>
      <c r="EQ171" s="57">
        <v>264</v>
      </c>
      <c r="ER171" s="57">
        <v>316</v>
      </c>
      <c r="ES171" s="57">
        <v>412</v>
      </c>
      <c r="ET171" s="57">
        <v>399</v>
      </c>
      <c r="EU171" s="57">
        <v>1558</v>
      </c>
      <c r="EV171" s="57"/>
      <c r="EW171" s="57" t="s">
        <v>2098</v>
      </c>
      <c r="EX171" s="57">
        <v>45</v>
      </c>
      <c r="EY171" s="57">
        <v>27</v>
      </c>
      <c r="EZ171" s="57">
        <v>7</v>
      </c>
      <c r="FA171" s="57">
        <v>16</v>
      </c>
      <c r="FB171" s="57">
        <v>8</v>
      </c>
      <c r="FC171" s="57">
        <v>103</v>
      </c>
      <c r="FF171" s="70" t="s">
        <v>1851</v>
      </c>
      <c r="FG171" s="70" t="s">
        <v>2032</v>
      </c>
      <c r="FH171" s="70">
        <v>387</v>
      </c>
      <c r="FI171" s="70">
        <v>388</v>
      </c>
      <c r="FJ171" s="70">
        <v>349</v>
      </c>
      <c r="FK171" s="70">
        <v>383</v>
      </c>
      <c r="FL171" s="70">
        <v>449</v>
      </c>
      <c r="FM171" s="70">
        <v>1956</v>
      </c>
      <c r="FN171" s="70"/>
      <c r="FO171" s="70" t="s">
        <v>2032</v>
      </c>
      <c r="FP171" s="70">
        <v>68</v>
      </c>
      <c r="FQ171" s="70">
        <v>14</v>
      </c>
      <c r="FR171" s="70">
        <v>5</v>
      </c>
      <c r="FS171" s="70">
        <v>0</v>
      </c>
      <c r="FT171" s="70">
        <v>7</v>
      </c>
      <c r="FU171" s="70">
        <v>94</v>
      </c>
    </row>
    <row r="172" spans="1:177">
      <c r="B172" s="64" t="s">
        <v>795</v>
      </c>
      <c r="C172" s="64" t="s">
        <v>2032</v>
      </c>
      <c r="D172" s="64">
        <v>113</v>
      </c>
      <c r="E172" s="64">
        <v>130</v>
      </c>
      <c r="F172" s="64">
        <v>165</v>
      </c>
      <c r="G172" s="64">
        <v>197</v>
      </c>
      <c r="H172" s="64">
        <v>207</v>
      </c>
      <c r="I172" s="64">
        <v>812</v>
      </c>
      <c r="K172" s="64" t="s">
        <v>2032</v>
      </c>
      <c r="L172" s="64">
        <v>31</v>
      </c>
      <c r="M172" s="64">
        <v>1</v>
      </c>
      <c r="N172" s="64">
        <v>1</v>
      </c>
      <c r="O172" s="64">
        <v>2</v>
      </c>
      <c r="P172" s="64">
        <v>0</v>
      </c>
      <c r="Q172" s="64">
        <v>35</v>
      </c>
      <c r="T172" s="65" t="s">
        <v>1004</v>
      </c>
      <c r="U172" s="65" t="s">
        <v>2253</v>
      </c>
      <c r="V172" s="65">
        <v>1296</v>
      </c>
      <c r="W172" s="65">
        <v>1343</v>
      </c>
      <c r="X172" s="65">
        <v>1136</v>
      </c>
      <c r="Y172" s="65">
        <v>1145</v>
      </c>
      <c r="Z172" s="65">
        <v>865</v>
      </c>
      <c r="AA172" s="65">
        <v>5785</v>
      </c>
      <c r="AB172" s="65"/>
      <c r="AC172" s="65" t="s">
        <v>2253</v>
      </c>
      <c r="AD172" s="65">
        <v>121</v>
      </c>
      <c r="AE172" s="65">
        <v>61</v>
      </c>
      <c r="AF172" s="65">
        <v>12</v>
      </c>
      <c r="AG172" s="65">
        <v>3</v>
      </c>
      <c r="AH172" s="65">
        <v>1</v>
      </c>
      <c r="AI172" s="65">
        <v>198</v>
      </c>
      <c r="BB172" s="69" t="s">
        <v>1333</v>
      </c>
      <c r="BC172" s="69" t="s">
        <v>2028</v>
      </c>
      <c r="BD172" s="69">
        <v>88</v>
      </c>
      <c r="BE172" s="69">
        <v>69</v>
      </c>
      <c r="BF172" s="69">
        <v>148</v>
      </c>
      <c r="BG172" s="69">
        <v>224</v>
      </c>
      <c r="BH172" s="69">
        <v>222</v>
      </c>
      <c r="BI172" s="69">
        <v>751</v>
      </c>
      <c r="BJ172" s="69"/>
      <c r="BK172" s="69" t="s">
        <v>2028</v>
      </c>
      <c r="BL172" s="69">
        <v>26</v>
      </c>
      <c r="BM172" s="69">
        <v>0</v>
      </c>
      <c r="BN172" s="69">
        <v>0</v>
      </c>
      <c r="BO172" s="69">
        <v>0</v>
      </c>
      <c r="BP172" s="69">
        <v>0</v>
      </c>
      <c r="BQ172" s="69">
        <v>26</v>
      </c>
      <c r="BS172" s="70" t="s">
        <v>1440</v>
      </c>
      <c r="BT172" s="70" t="s">
        <v>2253</v>
      </c>
      <c r="BU172" s="70">
        <v>73</v>
      </c>
      <c r="BV172" s="70">
        <v>146</v>
      </c>
      <c r="BW172" s="70">
        <v>302</v>
      </c>
      <c r="BX172" s="70">
        <v>548</v>
      </c>
      <c r="BY172" s="70">
        <v>452</v>
      </c>
      <c r="BZ172" s="70">
        <v>1521</v>
      </c>
      <c r="CA172" s="70"/>
      <c r="CB172" s="70" t="s">
        <v>2253</v>
      </c>
      <c r="CC172" s="70">
        <v>17</v>
      </c>
      <c r="CD172" s="70">
        <v>0</v>
      </c>
      <c r="CE172" s="70">
        <v>0</v>
      </c>
      <c r="CF172" s="70">
        <v>0</v>
      </c>
      <c r="CG172" s="70">
        <v>0</v>
      </c>
      <c r="CH172" s="70">
        <v>17</v>
      </c>
      <c r="CL172" s="57" t="s">
        <v>492</v>
      </c>
      <c r="CM172" s="57" t="s">
        <v>2032</v>
      </c>
      <c r="CN172" s="57" t="s">
        <v>324</v>
      </c>
      <c r="CO172" s="57" t="s">
        <v>324</v>
      </c>
      <c r="CP172" s="57" t="s">
        <v>324</v>
      </c>
      <c r="CQ172" s="57" t="s">
        <v>324</v>
      </c>
      <c r="CR172" s="57" t="s">
        <v>324</v>
      </c>
      <c r="CS172" s="57" t="s">
        <v>324</v>
      </c>
      <c r="CT172" s="57"/>
      <c r="CU172" s="57" t="s">
        <v>2032</v>
      </c>
      <c r="CV172" s="57" t="s">
        <v>324</v>
      </c>
      <c r="CW172" s="57" t="s">
        <v>324</v>
      </c>
      <c r="CX172" s="57" t="s">
        <v>324</v>
      </c>
      <c r="CY172" s="57" t="s">
        <v>324</v>
      </c>
      <c r="CZ172" s="57" t="s">
        <v>324</v>
      </c>
      <c r="DA172" s="57" t="s">
        <v>324</v>
      </c>
      <c r="DD172" s="21"/>
      <c r="DV172" s="79" t="s">
        <v>1679</v>
      </c>
      <c r="DW172" s="79" t="s">
        <v>2253</v>
      </c>
      <c r="DX172" s="79">
        <v>386</v>
      </c>
      <c r="DY172" s="79">
        <v>553</v>
      </c>
      <c r="DZ172" s="79">
        <v>919</v>
      </c>
      <c r="EA172" s="79">
        <v>1143</v>
      </c>
      <c r="EB172" s="79">
        <v>979</v>
      </c>
      <c r="EC172" s="79">
        <v>3980</v>
      </c>
      <c r="ED172" s="79"/>
      <c r="EE172" s="79" t="s">
        <v>2253</v>
      </c>
      <c r="EF172" s="79">
        <v>17</v>
      </c>
      <c r="EG172" s="79">
        <v>1</v>
      </c>
      <c r="EH172" s="79">
        <v>2</v>
      </c>
      <c r="EI172" s="79">
        <v>0</v>
      </c>
      <c r="EJ172" s="79">
        <v>0</v>
      </c>
      <c r="EK172" s="79">
        <v>20</v>
      </c>
      <c r="EN172" s="57" t="s">
        <v>1720</v>
      </c>
      <c r="EO172" s="57" t="s">
        <v>2098</v>
      </c>
      <c r="EP172" s="57">
        <v>117</v>
      </c>
      <c r="EQ172" s="57">
        <v>218</v>
      </c>
      <c r="ER172" s="57">
        <v>279</v>
      </c>
      <c r="ES172" s="57">
        <v>360</v>
      </c>
      <c r="ET172" s="57">
        <v>404</v>
      </c>
      <c r="EU172" s="57">
        <v>1378</v>
      </c>
      <c r="EV172" s="57"/>
      <c r="EW172" s="57" t="s">
        <v>2098</v>
      </c>
      <c r="EX172" s="57">
        <v>41</v>
      </c>
      <c r="EY172" s="57">
        <v>22</v>
      </c>
      <c r="EZ172" s="57">
        <v>12</v>
      </c>
      <c r="FA172" s="57">
        <v>5</v>
      </c>
      <c r="FB172" s="57">
        <v>12</v>
      </c>
      <c r="FC172" s="57">
        <v>92</v>
      </c>
      <c r="FF172" s="70" t="s">
        <v>1852</v>
      </c>
      <c r="FG172" s="70" t="s">
        <v>2032</v>
      </c>
      <c r="FH172" s="70">
        <v>107</v>
      </c>
      <c r="FI172" s="70">
        <v>212</v>
      </c>
      <c r="FJ172" s="70">
        <v>301</v>
      </c>
      <c r="FK172" s="70">
        <v>362</v>
      </c>
      <c r="FL172" s="70">
        <v>498</v>
      </c>
      <c r="FM172" s="70">
        <v>1480</v>
      </c>
      <c r="FN172" s="70"/>
      <c r="FO172" s="70" t="s">
        <v>2032</v>
      </c>
      <c r="FP172" s="70">
        <v>13</v>
      </c>
      <c r="FQ172" s="70">
        <v>6</v>
      </c>
      <c r="FR172" s="70">
        <v>1</v>
      </c>
      <c r="FS172" s="70">
        <v>4</v>
      </c>
      <c r="FT172" s="70">
        <v>3</v>
      </c>
      <c r="FU172" s="70">
        <v>27</v>
      </c>
    </row>
    <row r="173" spans="1:177">
      <c r="B173" s="64" t="s">
        <v>801</v>
      </c>
      <c r="C173" s="64" t="s">
        <v>2032</v>
      </c>
      <c r="D173" s="64" t="s">
        <v>324</v>
      </c>
      <c r="E173" s="64" t="s">
        <v>324</v>
      </c>
      <c r="F173" s="64" t="s">
        <v>324</v>
      </c>
      <c r="G173" s="64" t="s">
        <v>324</v>
      </c>
      <c r="H173" s="64" t="s">
        <v>324</v>
      </c>
      <c r="I173" s="64" t="s">
        <v>324</v>
      </c>
      <c r="K173" s="64" t="s">
        <v>2032</v>
      </c>
      <c r="L173" s="64" t="s">
        <v>324</v>
      </c>
      <c r="M173" s="64" t="s">
        <v>324</v>
      </c>
      <c r="N173" s="64" t="s">
        <v>324</v>
      </c>
      <c r="O173" s="64" t="s">
        <v>324</v>
      </c>
      <c r="P173" s="64" t="s">
        <v>324</v>
      </c>
      <c r="Q173" s="64" t="s">
        <v>324</v>
      </c>
      <c r="T173" s="65" t="s">
        <v>1009</v>
      </c>
      <c r="U173" s="65" t="s">
        <v>2253</v>
      </c>
      <c r="V173" s="65">
        <v>994</v>
      </c>
      <c r="W173" s="65">
        <v>768</v>
      </c>
      <c r="X173" s="65">
        <v>932</v>
      </c>
      <c r="Y173" s="65">
        <v>902</v>
      </c>
      <c r="Z173" s="65">
        <v>659</v>
      </c>
      <c r="AA173" s="65">
        <v>4255</v>
      </c>
      <c r="AB173" s="65"/>
      <c r="AC173" s="65" t="s">
        <v>2253</v>
      </c>
      <c r="AD173" s="65">
        <v>146</v>
      </c>
      <c r="AE173" s="65">
        <v>7</v>
      </c>
      <c r="AF173" s="65">
        <v>1</v>
      </c>
      <c r="AG173" s="65">
        <v>0</v>
      </c>
      <c r="AH173" s="65">
        <v>1</v>
      </c>
      <c r="AI173" s="65">
        <v>155</v>
      </c>
      <c r="AK173" s="66" t="s">
        <v>1045</v>
      </c>
      <c r="AL173" s="66" t="s">
        <v>2032</v>
      </c>
      <c r="AM173" s="66" t="s">
        <v>394</v>
      </c>
      <c r="AN173" s="66" t="s">
        <v>394</v>
      </c>
      <c r="AO173" s="66" t="s">
        <v>394</v>
      </c>
      <c r="AP173" s="66" t="s">
        <v>394</v>
      </c>
      <c r="AQ173" s="66" t="s">
        <v>394</v>
      </c>
      <c r="AR173" s="66" t="s">
        <v>394</v>
      </c>
      <c r="AS173" s="66"/>
      <c r="AT173" s="66" t="s">
        <v>2032</v>
      </c>
      <c r="AU173" s="66" t="s">
        <v>394</v>
      </c>
      <c r="AV173" s="66" t="s">
        <v>394</v>
      </c>
      <c r="AW173" s="66" t="s">
        <v>394</v>
      </c>
      <c r="AX173" s="66" t="s">
        <v>394</v>
      </c>
      <c r="AY173" s="66" t="s">
        <v>394</v>
      </c>
      <c r="AZ173" s="66" t="s">
        <v>394</v>
      </c>
      <c r="BB173" s="69" t="s">
        <v>1347</v>
      </c>
      <c r="BC173" s="69" t="s">
        <v>2028</v>
      </c>
      <c r="BD173" s="69">
        <v>410</v>
      </c>
      <c r="BE173" s="69">
        <v>426</v>
      </c>
      <c r="BF173" s="69">
        <v>920</v>
      </c>
      <c r="BG173" s="69">
        <v>1331</v>
      </c>
      <c r="BH173" s="69">
        <v>1149</v>
      </c>
      <c r="BI173" s="69">
        <v>4236</v>
      </c>
      <c r="BJ173" s="69"/>
      <c r="BK173" s="69" t="s">
        <v>2028</v>
      </c>
      <c r="BL173" s="69">
        <v>63</v>
      </c>
      <c r="BM173" s="69">
        <v>0</v>
      </c>
      <c r="BN173" s="69">
        <v>0</v>
      </c>
      <c r="BO173" s="69">
        <v>0</v>
      </c>
      <c r="BP173" s="69">
        <v>0</v>
      </c>
      <c r="BQ173" s="69">
        <v>63</v>
      </c>
      <c r="BS173" s="70" t="s">
        <v>1442</v>
      </c>
      <c r="BT173" s="70" t="s">
        <v>2253</v>
      </c>
      <c r="BU173" s="70">
        <v>28</v>
      </c>
      <c r="BV173" s="70">
        <v>47</v>
      </c>
      <c r="BW173" s="70">
        <v>123</v>
      </c>
      <c r="BX173" s="70">
        <v>216</v>
      </c>
      <c r="BY173" s="70">
        <v>192</v>
      </c>
      <c r="BZ173" s="70">
        <v>606</v>
      </c>
      <c r="CA173" s="70"/>
      <c r="CB173" s="70" t="s">
        <v>2253</v>
      </c>
      <c r="CC173" s="70">
        <v>10</v>
      </c>
      <c r="CD173" s="70">
        <v>0</v>
      </c>
      <c r="CE173" s="70">
        <v>0</v>
      </c>
      <c r="CF173" s="70">
        <v>0</v>
      </c>
      <c r="CG173" s="70">
        <v>0</v>
      </c>
      <c r="CH173" s="70">
        <v>10</v>
      </c>
      <c r="CL173" s="57" t="s">
        <v>356</v>
      </c>
      <c r="CM173" s="57" t="s">
        <v>2032</v>
      </c>
      <c r="CN173" s="57">
        <v>109</v>
      </c>
      <c r="CO173" s="57">
        <v>70</v>
      </c>
      <c r="CP173" s="57">
        <v>122</v>
      </c>
      <c r="CQ173" s="57">
        <v>172</v>
      </c>
      <c r="CR173" s="57">
        <v>162</v>
      </c>
      <c r="CS173" s="57">
        <v>635</v>
      </c>
      <c r="CT173" s="57"/>
      <c r="CU173" s="57" t="s">
        <v>2032</v>
      </c>
      <c r="CV173" s="57">
        <v>23</v>
      </c>
      <c r="CW173" s="57">
        <v>0</v>
      </c>
      <c r="CX173" s="57">
        <v>0</v>
      </c>
      <c r="CY173" s="57">
        <v>0</v>
      </c>
      <c r="CZ173" s="57">
        <v>0</v>
      </c>
      <c r="DA173" s="57">
        <v>23</v>
      </c>
      <c r="DD173" s="21"/>
      <c r="DV173" s="79" t="s">
        <v>1682</v>
      </c>
      <c r="DW173" s="79" t="s">
        <v>2253</v>
      </c>
      <c r="DX173" s="79">
        <v>268</v>
      </c>
      <c r="DY173" s="79">
        <v>356</v>
      </c>
      <c r="DZ173" s="79">
        <v>403</v>
      </c>
      <c r="EA173" s="79">
        <v>352</v>
      </c>
      <c r="EB173" s="79">
        <v>314</v>
      </c>
      <c r="EC173" s="79">
        <v>1693</v>
      </c>
      <c r="ED173" s="79"/>
      <c r="EE173" s="79" t="s">
        <v>2253</v>
      </c>
      <c r="EF173" s="79">
        <v>18</v>
      </c>
      <c r="EG173" s="79">
        <v>0</v>
      </c>
      <c r="EH173" s="79">
        <v>0</v>
      </c>
      <c r="EI173" s="79">
        <v>0</v>
      </c>
      <c r="EJ173" s="79">
        <v>0</v>
      </c>
      <c r="EK173" s="79">
        <v>18</v>
      </c>
      <c r="EN173" s="57" t="s">
        <v>1723</v>
      </c>
      <c r="EO173" s="57" t="s">
        <v>2098</v>
      </c>
      <c r="EP173" s="57">
        <v>472</v>
      </c>
      <c r="EQ173" s="57">
        <v>666</v>
      </c>
      <c r="ER173" s="57">
        <v>782</v>
      </c>
      <c r="ES173" s="57">
        <v>930</v>
      </c>
      <c r="ET173" s="57">
        <v>853</v>
      </c>
      <c r="EU173" s="57">
        <v>3703</v>
      </c>
      <c r="EV173" s="57"/>
      <c r="EW173" s="57" t="s">
        <v>2098</v>
      </c>
      <c r="EX173" s="57">
        <v>105</v>
      </c>
      <c r="EY173" s="57">
        <v>41</v>
      </c>
      <c r="EZ173" s="57">
        <v>33</v>
      </c>
      <c r="FA173" s="57">
        <v>22</v>
      </c>
      <c r="FB173" s="57">
        <v>21</v>
      </c>
      <c r="FC173" s="57">
        <v>222</v>
      </c>
      <c r="FF173" s="70" t="s">
        <v>1853</v>
      </c>
      <c r="FG173" s="70" t="s">
        <v>2032</v>
      </c>
      <c r="FH173" s="70">
        <v>214</v>
      </c>
      <c r="FI173" s="70">
        <v>372</v>
      </c>
      <c r="FJ173" s="70">
        <v>384</v>
      </c>
      <c r="FK173" s="70">
        <v>464</v>
      </c>
      <c r="FL173" s="70">
        <v>665</v>
      </c>
      <c r="FM173" s="70">
        <v>2099</v>
      </c>
      <c r="FN173" s="70"/>
      <c r="FO173" s="70" t="s">
        <v>2032</v>
      </c>
      <c r="FP173" s="70">
        <v>21</v>
      </c>
      <c r="FQ173" s="70">
        <v>12</v>
      </c>
      <c r="FR173" s="70">
        <v>3</v>
      </c>
      <c r="FS173" s="70">
        <v>2</v>
      </c>
      <c r="FT173" s="70">
        <v>5</v>
      </c>
      <c r="FU173" s="70">
        <v>43</v>
      </c>
    </row>
    <row r="174" spans="1:177">
      <c r="B174" s="64" t="s">
        <v>805</v>
      </c>
      <c r="C174" s="64" t="s">
        <v>2032</v>
      </c>
      <c r="D174" s="64">
        <v>67</v>
      </c>
      <c r="E174" s="64">
        <v>149</v>
      </c>
      <c r="F174" s="64">
        <v>300</v>
      </c>
      <c r="G174" s="64">
        <v>346</v>
      </c>
      <c r="H174" s="64">
        <v>255</v>
      </c>
      <c r="I174" s="64">
        <v>1117</v>
      </c>
      <c r="K174" s="64" t="s">
        <v>2032</v>
      </c>
      <c r="L174" s="64">
        <v>13</v>
      </c>
      <c r="M174" s="64">
        <v>1</v>
      </c>
      <c r="N174" s="64">
        <v>1</v>
      </c>
      <c r="O174" s="64">
        <v>1</v>
      </c>
      <c r="P174" s="64">
        <v>0</v>
      </c>
      <c r="Q174" s="64">
        <v>16</v>
      </c>
      <c r="T174" s="65" t="s">
        <v>1014</v>
      </c>
      <c r="U174" s="65" t="s">
        <v>2253</v>
      </c>
      <c r="V174" s="65">
        <v>667</v>
      </c>
      <c r="W174" s="65">
        <v>468</v>
      </c>
      <c r="X174" s="65">
        <v>478</v>
      </c>
      <c r="Y174" s="65">
        <v>466</v>
      </c>
      <c r="Z174" s="65">
        <v>381</v>
      </c>
      <c r="AA174" s="65">
        <v>2460</v>
      </c>
      <c r="AB174" s="65"/>
      <c r="AC174" s="65" t="s">
        <v>2253</v>
      </c>
      <c r="AD174" s="65">
        <v>15</v>
      </c>
      <c r="AE174" s="65">
        <v>0</v>
      </c>
      <c r="AF174" s="65">
        <v>1</v>
      </c>
      <c r="AG174" s="65">
        <v>0</v>
      </c>
      <c r="AH174" s="65">
        <v>1</v>
      </c>
      <c r="AI174" s="65">
        <v>17</v>
      </c>
      <c r="AK174" s="66" t="s">
        <v>1047</v>
      </c>
      <c r="AL174" s="66" t="s">
        <v>2032</v>
      </c>
      <c r="AM174" s="66" t="s">
        <v>394</v>
      </c>
      <c r="AN174" s="66" t="s">
        <v>394</v>
      </c>
      <c r="AO174" s="66" t="s">
        <v>394</v>
      </c>
      <c r="AP174" s="66" t="s">
        <v>394</v>
      </c>
      <c r="AQ174" s="66" t="s">
        <v>394</v>
      </c>
      <c r="AR174" s="66" t="s">
        <v>394</v>
      </c>
      <c r="AS174" s="66"/>
      <c r="AT174" s="66" t="s">
        <v>2032</v>
      </c>
      <c r="AU174" s="66" t="s">
        <v>394</v>
      </c>
      <c r="AV174" s="66" t="s">
        <v>394</v>
      </c>
      <c r="AW174" s="66" t="s">
        <v>394</v>
      </c>
      <c r="AX174" s="66" t="s">
        <v>394</v>
      </c>
      <c r="AY174" s="66" t="s">
        <v>394</v>
      </c>
      <c r="AZ174" s="66" t="s">
        <v>394</v>
      </c>
      <c r="BB174" s="69" t="s">
        <v>1351</v>
      </c>
      <c r="BC174" s="69" t="s">
        <v>2028</v>
      </c>
      <c r="BD174" s="69">
        <v>179</v>
      </c>
      <c r="BE174" s="69">
        <v>97</v>
      </c>
      <c r="BF174" s="69">
        <v>202</v>
      </c>
      <c r="BG174" s="69">
        <v>268</v>
      </c>
      <c r="BH174" s="69">
        <v>282</v>
      </c>
      <c r="BI174" s="69">
        <v>1028</v>
      </c>
      <c r="BJ174" s="69"/>
      <c r="BK174" s="69" t="s">
        <v>2028</v>
      </c>
      <c r="BL174" s="69">
        <v>21</v>
      </c>
      <c r="BM174" s="69">
        <v>0</v>
      </c>
      <c r="BN174" s="69">
        <v>0</v>
      </c>
      <c r="BO174" s="69">
        <v>0</v>
      </c>
      <c r="BP174" s="69">
        <v>0</v>
      </c>
      <c r="BQ174" s="69">
        <v>21</v>
      </c>
      <c r="BS174" s="70" t="s">
        <v>1444</v>
      </c>
      <c r="BT174" s="70" t="s">
        <v>2253</v>
      </c>
      <c r="BU174" s="70">
        <v>173</v>
      </c>
      <c r="BV174" s="70">
        <v>168</v>
      </c>
      <c r="BW174" s="70">
        <v>259</v>
      </c>
      <c r="BX174" s="70">
        <v>332</v>
      </c>
      <c r="BY174" s="70">
        <v>259</v>
      </c>
      <c r="BZ174" s="70">
        <v>1191</v>
      </c>
      <c r="CA174" s="70"/>
      <c r="CB174" s="70" t="s">
        <v>2253</v>
      </c>
      <c r="CC174" s="70">
        <v>56</v>
      </c>
      <c r="CD174" s="70">
        <v>0</v>
      </c>
      <c r="CE174" s="70">
        <v>0</v>
      </c>
      <c r="CF174" s="70">
        <v>0</v>
      </c>
      <c r="CG174" s="70">
        <v>0</v>
      </c>
      <c r="CH174" s="70">
        <v>56</v>
      </c>
      <c r="CL174" s="57" t="s">
        <v>361</v>
      </c>
      <c r="CM174" s="57" t="s">
        <v>2032</v>
      </c>
      <c r="CN174" s="57">
        <v>100</v>
      </c>
      <c r="CO174" s="57">
        <v>38</v>
      </c>
      <c r="CP174" s="57">
        <v>76</v>
      </c>
      <c r="CQ174" s="57">
        <v>107</v>
      </c>
      <c r="CR174" s="57">
        <v>118</v>
      </c>
      <c r="CS174" s="57">
        <v>439</v>
      </c>
      <c r="CT174" s="57"/>
      <c r="CU174" s="57" t="s">
        <v>2032</v>
      </c>
      <c r="CV174" s="57">
        <v>18</v>
      </c>
      <c r="CW174" s="57">
        <v>0</v>
      </c>
      <c r="CX174" s="57">
        <v>0</v>
      </c>
      <c r="CY174" s="57">
        <v>0</v>
      </c>
      <c r="CZ174" s="57">
        <v>0</v>
      </c>
      <c r="DA174" s="57">
        <v>18</v>
      </c>
      <c r="DD174" s="21"/>
      <c r="DV174" s="79" t="s">
        <v>2132</v>
      </c>
      <c r="DW174" s="79" t="s">
        <v>2253</v>
      </c>
      <c r="DX174" s="79">
        <v>75</v>
      </c>
      <c r="DY174" s="79">
        <v>82</v>
      </c>
      <c r="DZ174" s="79">
        <v>79</v>
      </c>
      <c r="EA174" s="79">
        <v>107</v>
      </c>
      <c r="EB174" s="79">
        <v>98</v>
      </c>
      <c r="EC174" s="79">
        <v>441</v>
      </c>
      <c r="ED174" s="79"/>
      <c r="EE174" s="79" t="s">
        <v>2253</v>
      </c>
      <c r="EF174" s="79">
        <v>5</v>
      </c>
      <c r="EG174" s="79">
        <v>4</v>
      </c>
      <c r="EH174" s="79">
        <v>3</v>
      </c>
      <c r="EI174" s="79">
        <v>1</v>
      </c>
      <c r="EJ174" s="79">
        <v>1</v>
      </c>
      <c r="EK174" s="79">
        <v>14</v>
      </c>
      <c r="EN174" s="57" t="s">
        <v>1726</v>
      </c>
      <c r="EO174" s="57" t="s">
        <v>2098</v>
      </c>
      <c r="EP174" s="57">
        <v>208</v>
      </c>
      <c r="EQ174" s="57">
        <v>234</v>
      </c>
      <c r="ER174" s="57">
        <v>221</v>
      </c>
      <c r="ES174" s="57">
        <v>274</v>
      </c>
      <c r="ET174" s="57">
        <v>289</v>
      </c>
      <c r="EU174" s="57">
        <v>1226</v>
      </c>
      <c r="EV174" s="57"/>
      <c r="EW174" s="57" t="s">
        <v>2098</v>
      </c>
      <c r="EX174" s="57">
        <v>27</v>
      </c>
      <c r="EY174" s="57">
        <v>15</v>
      </c>
      <c r="EZ174" s="57">
        <v>5</v>
      </c>
      <c r="FA174" s="57">
        <v>4</v>
      </c>
      <c r="FB174" s="57">
        <v>2</v>
      </c>
      <c r="FC174" s="57">
        <v>53</v>
      </c>
      <c r="FF174" s="70" t="s">
        <v>1854</v>
      </c>
      <c r="FG174" s="70" t="s">
        <v>2032</v>
      </c>
      <c r="FH174" s="70">
        <v>279</v>
      </c>
      <c r="FI174" s="70">
        <v>281</v>
      </c>
      <c r="FJ174" s="70">
        <v>340</v>
      </c>
      <c r="FK174" s="70">
        <v>393</v>
      </c>
      <c r="FL174" s="70">
        <v>445</v>
      </c>
      <c r="FM174" s="70">
        <v>1738</v>
      </c>
      <c r="FN174" s="70"/>
      <c r="FO174" s="70" t="s">
        <v>2032</v>
      </c>
      <c r="FP174" s="70">
        <v>28</v>
      </c>
      <c r="FQ174" s="70">
        <v>7</v>
      </c>
      <c r="FR174" s="70">
        <v>3</v>
      </c>
      <c r="FS174" s="70">
        <v>4</v>
      </c>
      <c r="FT174" s="70">
        <v>3</v>
      </c>
      <c r="FU174" s="70">
        <v>45</v>
      </c>
    </row>
    <row r="175" spans="1:177">
      <c r="B175" s="64" t="s">
        <v>812</v>
      </c>
      <c r="C175" s="64" t="s">
        <v>2032</v>
      </c>
      <c r="D175" s="64">
        <v>102</v>
      </c>
      <c r="E175" s="64">
        <v>213</v>
      </c>
      <c r="F175" s="64">
        <v>374</v>
      </c>
      <c r="G175" s="64">
        <v>420</v>
      </c>
      <c r="H175" s="64">
        <v>282</v>
      </c>
      <c r="I175" s="64">
        <v>1391</v>
      </c>
      <c r="K175" s="64" t="s">
        <v>2032</v>
      </c>
      <c r="L175" s="64">
        <v>17</v>
      </c>
      <c r="M175" s="64">
        <v>1</v>
      </c>
      <c r="N175" s="64">
        <v>2</v>
      </c>
      <c r="O175" s="64">
        <v>2</v>
      </c>
      <c r="P175" s="64">
        <v>1</v>
      </c>
      <c r="Q175" s="64">
        <v>23</v>
      </c>
      <c r="T175" s="65" t="s">
        <v>1017</v>
      </c>
      <c r="U175" s="65" t="s">
        <v>2253</v>
      </c>
      <c r="V175" s="65">
        <v>763</v>
      </c>
      <c r="W175" s="65">
        <v>739</v>
      </c>
      <c r="X175" s="65">
        <v>968</v>
      </c>
      <c r="Y175" s="65">
        <v>1288</v>
      </c>
      <c r="Z175" s="65">
        <v>1048</v>
      </c>
      <c r="AA175" s="65">
        <v>4806</v>
      </c>
      <c r="AB175" s="65"/>
      <c r="AC175" s="65" t="s">
        <v>2253</v>
      </c>
      <c r="AD175" s="65">
        <v>29</v>
      </c>
      <c r="AE175" s="65">
        <v>0</v>
      </c>
      <c r="AF175" s="65">
        <v>0</v>
      </c>
      <c r="AG175" s="65">
        <v>0</v>
      </c>
      <c r="AH175" s="65">
        <v>0</v>
      </c>
      <c r="AI175" s="65">
        <v>29</v>
      </c>
      <c r="AK175" s="66" t="s">
        <v>1050</v>
      </c>
      <c r="AL175" s="66" t="s">
        <v>2032</v>
      </c>
      <c r="AM175" s="66" t="s">
        <v>394</v>
      </c>
      <c r="AN175" s="66" t="s">
        <v>394</v>
      </c>
      <c r="AO175" s="66" t="s">
        <v>394</v>
      </c>
      <c r="AP175" s="66" t="s">
        <v>394</v>
      </c>
      <c r="AQ175" s="66" t="s">
        <v>394</v>
      </c>
      <c r="AR175" s="66" t="s">
        <v>394</v>
      </c>
      <c r="AS175" s="66"/>
      <c r="AT175" s="66" t="s">
        <v>2032</v>
      </c>
      <c r="AU175" s="66" t="s">
        <v>394</v>
      </c>
      <c r="AV175" s="66" t="s">
        <v>394</v>
      </c>
      <c r="AW175" s="66" t="s">
        <v>394</v>
      </c>
      <c r="AX175" s="66" t="s">
        <v>394</v>
      </c>
      <c r="AY175" s="66" t="s">
        <v>394</v>
      </c>
      <c r="AZ175" s="66" t="s">
        <v>394</v>
      </c>
      <c r="BB175" s="69" t="s">
        <v>1356</v>
      </c>
      <c r="BC175" s="69" t="s">
        <v>2028</v>
      </c>
      <c r="BD175" s="69">
        <v>482</v>
      </c>
      <c r="BE175" s="69">
        <v>313</v>
      </c>
      <c r="BF175" s="69">
        <v>538</v>
      </c>
      <c r="BG175" s="69">
        <v>687</v>
      </c>
      <c r="BH175" s="69">
        <v>566</v>
      </c>
      <c r="BI175" s="69">
        <v>2586</v>
      </c>
      <c r="BJ175" s="69"/>
      <c r="BK175" s="69" t="s">
        <v>2028</v>
      </c>
      <c r="BL175" s="69">
        <v>60</v>
      </c>
      <c r="BM175" s="69">
        <v>0</v>
      </c>
      <c r="BN175" s="69">
        <v>0</v>
      </c>
      <c r="BO175" s="69">
        <v>0</v>
      </c>
      <c r="BP175" s="69">
        <v>0</v>
      </c>
      <c r="BQ175" s="69">
        <v>60</v>
      </c>
      <c r="BS175" s="70" t="s">
        <v>1446</v>
      </c>
      <c r="BT175" s="70" t="s">
        <v>2253</v>
      </c>
      <c r="BU175" s="70">
        <v>105</v>
      </c>
      <c r="BV175" s="70">
        <v>70</v>
      </c>
      <c r="BW175" s="70">
        <v>173</v>
      </c>
      <c r="BX175" s="70">
        <v>267</v>
      </c>
      <c r="BY175" s="70">
        <v>215</v>
      </c>
      <c r="BZ175" s="70">
        <v>830</v>
      </c>
      <c r="CA175" s="70"/>
      <c r="CB175" s="70" t="s">
        <v>2253</v>
      </c>
      <c r="CC175" s="70">
        <v>33</v>
      </c>
      <c r="CD175" s="70">
        <v>0</v>
      </c>
      <c r="CE175" s="70">
        <v>0</v>
      </c>
      <c r="CF175" s="70">
        <v>0</v>
      </c>
      <c r="CG175" s="70">
        <v>0</v>
      </c>
      <c r="CH175" s="70">
        <v>33</v>
      </c>
      <c r="CL175" s="57" t="s">
        <v>359</v>
      </c>
      <c r="CM175" s="57" t="s">
        <v>2032</v>
      </c>
      <c r="CN175" s="57">
        <v>63</v>
      </c>
      <c r="CO175" s="57">
        <v>45</v>
      </c>
      <c r="CP175" s="57">
        <v>93</v>
      </c>
      <c r="CQ175" s="57">
        <v>113</v>
      </c>
      <c r="CR175" s="57">
        <v>166</v>
      </c>
      <c r="CS175" s="57">
        <v>480</v>
      </c>
      <c r="CT175" s="57"/>
      <c r="CU175" s="57" t="s">
        <v>2032</v>
      </c>
      <c r="CV175" s="57">
        <v>10</v>
      </c>
      <c r="CW175" s="57">
        <v>0</v>
      </c>
      <c r="CX175" s="57">
        <v>0</v>
      </c>
      <c r="CY175" s="57">
        <v>0</v>
      </c>
      <c r="CZ175" s="57">
        <v>0</v>
      </c>
      <c r="DA175" s="57">
        <v>10</v>
      </c>
      <c r="DD175" s="21"/>
      <c r="DV175" s="79" t="s">
        <v>2130</v>
      </c>
      <c r="DW175" s="79" t="s">
        <v>2253</v>
      </c>
      <c r="DX175" s="79">
        <v>296</v>
      </c>
      <c r="DY175" s="79">
        <v>241</v>
      </c>
      <c r="DZ175" s="79">
        <v>282</v>
      </c>
      <c r="EA175" s="79">
        <v>320</v>
      </c>
      <c r="EB175" s="79">
        <v>290</v>
      </c>
      <c r="EC175" s="79">
        <v>1429</v>
      </c>
      <c r="ED175" s="79"/>
      <c r="EE175" s="79" t="s">
        <v>2253</v>
      </c>
      <c r="EF175" s="79">
        <v>26</v>
      </c>
      <c r="EG175" s="79">
        <v>0</v>
      </c>
      <c r="EH175" s="79">
        <v>0</v>
      </c>
      <c r="EI175" s="79">
        <v>0</v>
      </c>
      <c r="EJ175" s="79">
        <v>0</v>
      </c>
      <c r="EK175" s="79">
        <v>26</v>
      </c>
      <c r="EN175" s="57" t="s">
        <v>1729</v>
      </c>
      <c r="EO175" s="57" t="s">
        <v>2098</v>
      </c>
      <c r="EP175" s="57">
        <v>283</v>
      </c>
      <c r="EQ175" s="57">
        <v>366</v>
      </c>
      <c r="ER175" s="57">
        <v>413</v>
      </c>
      <c r="ES175" s="57">
        <v>469</v>
      </c>
      <c r="ET175" s="57">
        <v>578</v>
      </c>
      <c r="EU175" s="57">
        <v>2109</v>
      </c>
      <c r="EV175" s="57"/>
      <c r="EW175" s="57" t="s">
        <v>2098</v>
      </c>
      <c r="EX175" s="57">
        <v>55</v>
      </c>
      <c r="EY175" s="57">
        <v>20</v>
      </c>
      <c r="EZ175" s="57">
        <v>9</v>
      </c>
      <c r="FA175" s="57">
        <v>5</v>
      </c>
      <c r="FB175" s="57">
        <v>7</v>
      </c>
      <c r="FC175" s="57">
        <v>96</v>
      </c>
      <c r="FF175" s="70" t="s">
        <v>1857</v>
      </c>
      <c r="FG175" s="70" t="s">
        <v>2032</v>
      </c>
      <c r="FH175" s="70">
        <v>221</v>
      </c>
      <c r="FI175" s="70">
        <v>316</v>
      </c>
      <c r="FJ175" s="70">
        <v>380</v>
      </c>
      <c r="FK175" s="70">
        <v>428</v>
      </c>
      <c r="FL175" s="70">
        <v>534</v>
      </c>
      <c r="FM175" s="70">
        <v>1879</v>
      </c>
      <c r="FN175" s="70"/>
      <c r="FO175" s="70" t="s">
        <v>2032</v>
      </c>
      <c r="FP175" s="70">
        <v>17</v>
      </c>
      <c r="FQ175" s="70">
        <v>4</v>
      </c>
      <c r="FR175" s="70">
        <v>2</v>
      </c>
      <c r="FS175" s="70">
        <v>3</v>
      </c>
      <c r="FT175" s="70">
        <v>6</v>
      </c>
      <c r="FU175" s="70">
        <v>32</v>
      </c>
    </row>
    <row r="176" spans="1:177">
      <c r="A176" s="16" t="s">
        <v>2019</v>
      </c>
      <c r="B176" s="64" t="s">
        <v>2020</v>
      </c>
      <c r="C176" s="64" t="s">
        <v>2032</v>
      </c>
      <c r="D176" s="64">
        <v>75</v>
      </c>
      <c r="E176" s="64">
        <v>186</v>
      </c>
      <c r="F176" s="64">
        <v>321</v>
      </c>
      <c r="G176" s="64">
        <v>451</v>
      </c>
      <c r="H176" s="64">
        <v>320</v>
      </c>
      <c r="I176" s="64">
        <v>1353</v>
      </c>
      <c r="K176" s="64" t="s">
        <v>2032</v>
      </c>
      <c r="L176" s="64">
        <v>7</v>
      </c>
      <c r="M176" s="64">
        <v>1</v>
      </c>
      <c r="N176" s="64">
        <v>3</v>
      </c>
      <c r="O176" s="64">
        <v>0</v>
      </c>
      <c r="P176" s="64">
        <v>0</v>
      </c>
      <c r="Q176" s="64">
        <v>11</v>
      </c>
      <c r="T176" s="65" t="s">
        <v>1020</v>
      </c>
      <c r="U176" s="65" t="s">
        <v>2253</v>
      </c>
      <c r="V176" s="65">
        <v>605</v>
      </c>
      <c r="W176" s="65">
        <v>424</v>
      </c>
      <c r="X176" s="65">
        <v>423</v>
      </c>
      <c r="Y176" s="65">
        <v>423</v>
      </c>
      <c r="Z176" s="65">
        <v>266</v>
      </c>
      <c r="AA176" s="65">
        <v>2141</v>
      </c>
      <c r="AB176" s="65"/>
      <c r="AC176" s="65" t="s">
        <v>2253</v>
      </c>
      <c r="AD176" s="65">
        <v>37</v>
      </c>
      <c r="AE176" s="65">
        <v>0</v>
      </c>
      <c r="AF176" s="65">
        <v>0</v>
      </c>
      <c r="AG176" s="65">
        <v>0</v>
      </c>
      <c r="AH176" s="65">
        <v>0</v>
      </c>
      <c r="AI176" s="65">
        <v>37</v>
      </c>
      <c r="AK176" s="66" t="s">
        <v>1057</v>
      </c>
      <c r="AL176" s="66" t="s">
        <v>2032</v>
      </c>
      <c r="AM176" s="66" t="s">
        <v>394</v>
      </c>
      <c r="AN176" s="66" t="s">
        <v>394</v>
      </c>
      <c r="AO176" s="66" t="s">
        <v>394</v>
      </c>
      <c r="AP176" s="66" t="s">
        <v>394</v>
      </c>
      <c r="AQ176" s="66" t="s">
        <v>394</v>
      </c>
      <c r="AR176" s="66" t="s">
        <v>394</v>
      </c>
      <c r="AS176" s="66"/>
      <c r="AT176" s="66" t="s">
        <v>2032</v>
      </c>
      <c r="AU176" s="66" t="s">
        <v>394</v>
      </c>
      <c r="AV176" s="66" t="s">
        <v>394</v>
      </c>
      <c r="AW176" s="66" t="s">
        <v>394</v>
      </c>
      <c r="AX176" s="66" t="s">
        <v>394</v>
      </c>
      <c r="AY176" s="66" t="s">
        <v>394</v>
      </c>
      <c r="AZ176" s="66" t="s">
        <v>394</v>
      </c>
      <c r="BB176" s="69" t="s">
        <v>1359</v>
      </c>
      <c r="BC176" s="69" t="s">
        <v>2028</v>
      </c>
      <c r="BD176" s="69">
        <v>208</v>
      </c>
      <c r="BE176" s="69">
        <v>197</v>
      </c>
      <c r="BF176" s="69">
        <v>309</v>
      </c>
      <c r="BG176" s="69">
        <v>429</v>
      </c>
      <c r="BH176" s="69">
        <v>405</v>
      </c>
      <c r="BI176" s="69">
        <v>1548</v>
      </c>
      <c r="BJ176" s="69"/>
      <c r="BK176" s="69" t="s">
        <v>2028</v>
      </c>
      <c r="BL176" s="69">
        <v>40</v>
      </c>
      <c r="BM176" s="69">
        <v>0</v>
      </c>
      <c r="BN176" s="69">
        <v>0</v>
      </c>
      <c r="BO176" s="69">
        <v>0</v>
      </c>
      <c r="BP176" s="69">
        <v>0</v>
      </c>
      <c r="BQ176" s="69">
        <v>40</v>
      </c>
      <c r="BS176" s="70" t="s">
        <v>1448</v>
      </c>
      <c r="BT176" s="70" t="s">
        <v>2253</v>
      </c>
      <c r="BU176" s="70">
        <v>65</v>
      </c>
      <c r="BV176" s="70">
        <v>40</v>
      </c>
      <c r="BW176" s="70">
        <v>86</v>
      </c>
      <c r="BX176" s="70">
        <v>111</v>
      </c>
      <c r="BY176" s="70">
        <v>116</v>
      </c>
      <c r="BZ176" s="70">
        <v>418</v>
      </c>
      <c r="CA176" s="70"/>
      <c r="CB176" s="70" t="s">
        <v>2253</v>
      </c>
      <c r="CC176" s="70">
        <v>18</v>
      </c>
      <c r="CD176" s="70">
        <v>0</v>
      </c>
      <c r="CE176" s="70">
        <v>0</v>
      </c>
      <c r="CF176" s="70">
        <v>0</v>
      </c>
      <c r="CG176" s="70">
        <v>0</v>
      </c>
      <c r="CH176" s="70">
        <v>18</v>
      </c>
      <c r="CL176" s="57" t="s">
        <v>553</v>
      </c>
      <c r="CM176" s="57" t="s">
        <v>2032</v>
      </c>
      <c r="CN176" s="57">
        <v>1157</v>
      </c>
      <c r="CO176" s="57">
        <v>1070</v>
      </c>
      <c r="CP176" s="57">
        <v>1043</v>
      </c>
      <c r="CQ176" s="57">
        <v>1120</v>
      </c>
      <c r="CR176" s="57">
        <v>817</v>
      </c>
      <c r="CS176" s="57">
        <v>5207</v>
      </c>
      <c r="CT176" s="57"/>
      <c r="CU176" s="57" t="s">
        <v>2032</v>
      </c>
      <c r="CV176" s="57">
        <v>243</v>
      </c>
      <c r="CW176" s="57">
        <v>0</v>
      </c>
      <c r="CX176" s="57">
        <v>0</v>
      </c>
      <c r="CY176" s="57">
        <v>0</v>
      </c>
      <c r="CZ176" s="57">
        <v>0</v>
      </c>
      <c r="DA176" s="57">
        <v>243</v>
      </c>
      <c r="DD176" s="21"/>
      <c r="DV176" s="79" t="s">
        <v>2706</v>
      </c>
      <c r="DW176" s="79" t="s">
        <v>2253</v>
      </c>
      <c r="DX176" s="79" t="s">
        <v>324</v>
      </c>
      <c r="DY176" s="79" t="s">
        <v>324</v>
      </c>
      <c r="DZ176" s="79" t="s">
        <v>324</v>
      </c>
      <c r="EA176" s="79" t="s">
        <v>324</v>
      </c>
      <c r="EB176" s="79" t="s">
        <v>324</v>
      </c>
      <c r="EC176" s="79" t="s">
        <v>324</v>
      </c>
      <c r="ED176" s="79"/>
      <c r="EE176" s="79" t="s">
        <v>2253</v>
      </c>
      <c r="EF176" s="79" t="s">
        <v>324</v>
      </c>
      <c r="EG176" s="79" t="s">
        <v>324</v>
      </c>
      <c r="EH176" s="79" t="s">
        <v>324</v>
      </c>
      <c r="EI176" s="79" t="s">
        <v>324</v>
      </c>
      <c r="EJ176" s="79" t="s">
        <v>324</v>
      </c>
      <c r="EK176" s="79" t="s">
        <v>324</v>
      </c>
      <c r="EN176" s="57" t="s">
        <v>2137</v>
      </c>
      <c r="EO176" s="57" t="s">
        <v>2098</v>
      </c>
      <c r="EP176" s="57">
        <v>165</v>
      </c>
      <c r="EQ176" s="57">
        <v>199</v>
      </c>
      <c r="ER176" s="57">
        <v>301</v>
      </c>
      <c r="ES176" s="57">
        <v>378</v>
      </c>
      <c r="ET176" s="57">
        <v>435</v>
      </c>
      <c r="EU176" s="57">
        <v>1478</v>
      </c>
      <c r="EV176" s="57"/>
      <c r="EW176" s="57" t="s">
        <v>2098</v>
      </c>
      <c r="EX176" s="57">
        <v>20</v>
      </c>
      <c r="EY176" s="57">
        <v>2</v>
      </c>
      <c r="EZ176" s="57">
        <v>1</v>
      </c>
      <c r="FA176" s="57">
        <v>7</v>
      </c>
      <c r="FB176" s="57">
        <v>4</v>
      </c>
      <c r="FC176" s="57">
        <v>34</v>
      </c>
      <c r="FF176" s="70" t="s">
        <v>1859</v>
      </c>
      <c r="FG176" s="70" t="s">
        <v>2032</v>
      </c>
      <c r="FH176" s="70">
        <v>67</v>
      </c>
      <c r="FI176" s="70">
        <v>115</v>
      </c>
      <c r="FJ176" s="70">
        <v>153</v>
      </c>
      <c r="FK176" s="70">
        <v>217</v>
      </c>
      <c r="FL176" s="70">
        <v>250</v>
      </c>
      <c r="FM176" s="70">
        <v>802</v>
      </c>
      <c r="FN176" s="70"/>
      <c r="FO176" s="70" t="s">
        <v>2032</v>
      </c>
      <c r="FP176" s="70">
        <v>6</v>
      </c>
      <c r="FQ176" s="70">
        <v>2</v>
      </c>
      <c r="FR176" s="70">
        <v>0</v>
      </c>
      <c r="FS176" s="70">
        <v>1</v>
      </c>
      <c r="FT176" s="70">
        <v>1</v>
      </c>
      <c r="FU176" s="70">
        <v>10</v>
      </c>
    </row>
    <row r="177" spans="1:177">
      <c r="B177" s="64" t="s">
        <v>818</v>
      </c>
      <c r="C177" s="64" t="s">
        <v>2032</v>
      </c>
      <c r="D177" s="64">
        <v>110</v>
      </c>
      <c r="E177" s="64">
        <v>185</v>
      </c>
      <c r="F177" s="64">
        <v>386</v>
      </c>
      <c r="G177" s="64">
        <v>536</v>
      </c>
      <c r="H177" s="64">
        <v>419</v>
      </c>
      <c r="I177" s="64">
        <v>1636</v>
      </c>
      <c r="K177" s="64" t="s">
        <v>2032</v>
      </c>
      <c r="L177" s="64">
        <v>12</v>
      </c>
      <c r="M177" s="64">
        <v>3</v>
      </c>
      <c r="N177" s="64">
        <v>1</v>
      </c>
      <c r="O177" s="64">
        <v>0</v>
      </c>
      <c r="P177" s="64">
        <v>0</v>
      </c>
      <c r="Q177" s="64">
        <v>16</v>
      </c>
      <c r="T177" s="65" t="s">
        <v>1026</v>
      </c>
      <c r="U177" s="65" t="s">
        <v>2253</v>
      </c>
      <c r="V177" s="65">
        <v>145</v>
      </c>
      <c r="W177" s="65">
        <v>337</v>
      </c>
      <c r="X177" s="65">
        <v>452</v>
      </c>
      <c r="Y177" s="65">
        <v>705</v>
      </c>
      <c r="Z177" s="65">
        <v>558</v>
      </c>
      <c r="AA177" s="65">
        <v>2197</v>
      </c>
      <c r="AB177" s="65"/>
      <c r="AC177" s="65" t="s">
        <v>2253</v>
      </c>
      <c r="AD177" s="65">
        <v>3</v>
      </c>
      <c r="AE177" s="65">
        <v>8</v>
      </c>
      <c r="AF177" s="65">
        <v>3</v>
      </c>
      <c r="AG177" s="65">
        <v>0</v>
      </c>
      <c r="AH177" s="65">
        <v>1</v>
      </c>
      <c r="AI177" s="65">
        <v>15</v>
      </c>
      <c r="AK177" s="66" t="s">
        <v>1061</v>
      </c>
      <c r="AL177" s="66" t="s">
        <v>2032</v>
      </c>
      <c r="AM177" s="66" t="s">
        <v>394</v>
      </c>
      <c r="AN177" s="66" t="s">
        <v>394</v>
      </c>
      <c r="AO177" s="66" t="s">
        <v>394</v>
      </c>
      <c r="AP177" s="66" t="s">
        <v>394</v>
      </c>
      <c r="AQ177" s="66" t="s">
        <v>394</v>
      </c>
      <c r="AR177" s="66" t="s">
        <v>394</v>
      </c>
      <c r="AS177" s="66"/>
      <c r="AT177" s="66" t="s">
        <v>2032</v>
      </c>
      <c r="AU177" s="66" t="s">
        <v>394</v>
      </c>
      <c r="AV177" s="66" t="s">
        <v>394</v>
      </c>
      <c r="AW177" s="66" t="s">
        <v>394</v>
      </c>
      <c r="AX177" s="66" t="s">
        <v>394</v>
      </c>
      <c r="AY177" s="66" t="s">
        <v>394</v>
      </c>
      <c r="AZ177" s="66" t="s">
        <v>394</v>
      </c>
      <c r="BB177" s="69" t="s">
        <v>1363</v>
      </c>
      <c r="BC177" s="69" t="s">
        <v>2028</v>
      </c>
      <c r="BD177" s="69">
        <v>165</v>
      </c>
      <c r="BE177" s="69">
        <v>154</v>
      </c>
      <c r="BF177" s="69">
        <v>293</v>
      </c>
      <c r="BG177" s="69">
        <v>448</v>
      </c>
      <c r="BH177" s="69">
        <v>434</v>
      </c>
      <c r="BI177" s="69">
        <v>1494</v>
      </c>
      <c r="BJ177" s="69"/>
      <c r="BK177" s="69" t="s">
        <v>2028</v>
      </c>
      <c r="BL177" s="69">
        <v>22</v>
      </c>
      <c r="BM177" s="69">
        <v>0</v>
      </c>
      <c r="BN177" s="69">
        <v>0</v>
      </c>
      <c r="BO177" s="69">
        <v>0</v>
      </c>
      <c r="BP177" s="69">
        <v>0</v>
      </c>
      <c r="BQ177" s="69">
        <v>22</v>
      </c>
      <c r="BS177" s="70" t="s">
        <v>1450</v>
      </c>
      <c r="BT177" s="70" t="s">
        <v>2253</v>
      </c>
      <c r="BU177" s="70">
        <v>242</v>
      </c>
      <c r="BV177" s="70">
        <v>118</v>
      </c>
      <c r="BW177" s="70">
        <v>112</v>
      </c>
      <c r="BX177" s="70">
        <v>144</v>
      </c>
      <c r="BY177" s="70">
        <v>120</v>
      </c>
      <c r="BZ177" s="70">
        <v>736</v>
      </c>
      <c r="CA177" s="70"/>
      <c r="CB177" s="70" t="s">
        <v>2253</v>
      </c>
      <c r="CC177" s="70">
        <v>51</v>
      </c>
      <c r="CD177" s="70">
        <v>2</v>
      </c>
      <c r="CE177" s="70">
        <v>0</v>
      </c>
      <c r="CF177" s="70">
        <v>0</v>
      </c>
      <c r="CG177" s="70">
        <v>0</v>
      </c>
      <c r="CH177" s="70">
        <v>53</v>
      </c>
      <c r="CL177" s="57" t="s">
        <v>497</v>
      </c>
      <c r="CM177" s="57" t="s">
        <v>2032</v>
      </c>
      <c r="CN177" s="57">
        <v>77</v>
      </c>
      <c r="CO177" s="57">
        <v>91</v>
      </c>
      <c r="CP177" s="57">
        <v>197</v>
      </c>
      <c r="CQ177" s="57">
        <v>337</v>
      </c>
      <c r="CR177" s="57">
        <v>270</v>
      </c>
      <c r="CS177" s="57">
        <v>972</v>
      </c>
      <c r="CT177" s="57"/>
      <c r="CU177" s="57" t="s">
        <v>2032</v>
      </c>
      <c r="CV177" s="57">
        <v>18</v>
      </c>
      <c r="CW177" s="57">
        <v>0</v>
      </c>
      <c r="CX177" s="57">
        <v>0</v>
      </c>
      <c r="CY177" s="57">
        <v>0</v>
      </c>
      <c r="CZ177" s="57">
        <v>0</v>
      </c>
      <c r="DA177" s="57">
        <v>18</v>
      </c>
      <c r="DD177" s="21"/>
      <c r="DV177" s="79" t="s">
        <v>1686</v>
      </c>
      <c r="DW177" s="79" t="s">
        <v>2253</v>
      </c>
      <c r="DX177" s="79">
        <v>239</v>
      </c>
      <c r="DY177" s="79">
        <v>187</v>
      </c>
      <c r="DZ177" s="79">
        <v>260</v>
      </c>
      <c r="EA177" s="79">
        <v>334</v>
      </c>
      <c r="EB177" s="79">
        <v>301</v>
      </c>
      <c r="EC177" s="79">
        <v>1321</v>
      </c>
      <c r="ED177" s="79"/>
      <c r="EE177" s="79" t="s">
        <v>2253</v>
      </c>
      <c r="EF177" s="79">
        <v>21</v>
      </c>
      <c r="EG177" s="79">
        <v>0</v>
      </c>
      <c r="EH177" s="79">
        <v>0</v>
      </c>
      <c r="EI177" s="79">
        <v>0</v>
      </c>
      <c r="EJ177" s="79">
        <v>0</v>
      </c>
      <c r="EK177" s="79">
        <v>21</v>
      </c>
      <c r="EN177" s="57" t="s">
        <v>1734</v>
      </c>
      <c r="EO177" s="57" t="s">
        <v>2098</v>
      </c>
      <c r="EP177" s="57">
        <v>446</v>
      </c>
      <c r="EQ177" s="57">
        <v>613</v>
      </c>
      <c r="ER177" s="57">
        <v>658</v>
      </c>
      <c r="ES177" s="57">
        <v>873</v>
      </c>
      <c r="ET177" s="57">
        <v>898</v>
      </c>
      <c r="EU177" s="57">
        <v>3488</v>
      </c>
      <c r="EV177" s="57"/>
      <c r="EW177" s="57" t="s">
        <v>2098</v>
      </c>
      <c r="EX177" s="57">
        <v>62</v>
      </c>
      <c r="EY177" s="57">
        <v>17</v>
      </c>
      <c r="EZ177" s="57">
        <v>11</v>
      </c>
      <c r="FA177" s="57">
        <v>12</v>
      </c>
      <c r="FB177" s="57">
        <v>9</v>
      </c>
      <c r="FC177" s="57">
        <v>111</v>
      </c>
      <c r="FF177" s="70" t="s">
        <v>1861</v>
      </c>
      <c r="FG177" s="70" t="s">
        <v>2032</v>
      </c>
      <c r="FH177" s="70">
        <v>305</v>
      </c>
      <c r="FI177" s="70">
        <v>267</v>
      </c>
      <c r="FJ177" s="70">
        <v>317</v>
      </c>
      <c r="FK177" s="70">
        <v>381</v>
      </c>
      <c r="FL177" s="70">
        <v>521</v>
      </c>
      <c r="FM177" s="70">
        <v>1791</v>
      </c>
      <c r="FN177" s="70"/>
      <c r="FO177" s="70" t="s">
        <v>2032</v>
      </c>
      <c r="FP177" s="70">
        <v>19</v>
      </c>
      <c r="FQ177" s="70">
        <v>4</v>
      </c>
      <c r="FR177" s="70">
        <v>1</v>
      </c>
      <c r="FS177" s="70">
        <v>2</v>
      </c>
      <c r="FT177" s="70">
        <v>3</v>
      </c>
      <c r="FU177" s="70">
        <v>29</v>
      </c>
    </row>
    <row r="178" spans="1:177">
      <c r="B178" s="64" t="s">
        <v>822</v>
      </c>
      <c r="C178" s="64" t="s">
        <v>2032</v>
      </c>
      <c r="D178" s="64">
        <v>592</v>
      </c>
      <c r="E178" s="64">
        <v>531</v>
      </c>
      <c r="F178" s="64">
        <v>557</v>
      </c>
      <c r="G178" s="64">
        <v>577</v>
      </c>
      <c r="H178" s="64">
        <v>397</v>
      </c>
      <c r="I178" s="64">
        <v>2654</v>
      </c>
      <c r="K178" s="64" t="s">
        <v>2032</v>
      </c>
      <c r="L178" s="64">
        <v>50</v>
      </c>
      <c r="M178" s="64">
        <v>5</v>
      </c>
      <c r="N178" s="64">
        <v>1</v>
      </c>
      <c r="O178" s="64">
        <v>0</v>
      </c>
      <c r="P178" s="64">
        <v>0</v>
      </c>
      <c r="Q178" s="64">
        <v>56</v>
      </c>
      <c r="T178" s="65" t="s">
        <v>1030</v>
      </c>
      <c r="U178" s="65" t="s">
        <v>2253</v>
      </c>
      <c r="V178" s="65">
        <v>317</v>
      </c>
      <c r="W178" s="65">
        <v>325</v>
      </c>
      <c r="X178" s="65">
        <v>396</v>
      </c>
      <c r="Y178" s="65">
        <v>482</v>
      </c>
      <c r="Z178" s="65">
        <v>363</v>
      </c>
      <c r="AA178" s="65">
        <v>1883</v>
      </c>
      <c r="AB178" s="65"/>
      <c r="AC178" s="65" t="s">
        <v>2253</v>
      </c>
      <c r="AD178" s="65">
        <v>35</v>
      </c>
      <c r="AE178" s="65">
        <v>0</v>
      </c>
      <c r="AF178" s="65">
        <v>0</v>
      </c>
      <c r="AG178" s="65">
        <v>0</v>
      </c>
      <c r="AH178" s="65">
        <v>0</v>
      </c>
      <c r="AI178" s="65">
        <v>35</v>
      </c>
      <c r="AK178" s="66" t="s">
        <v>1064</v>
      </c>
      <c r="AL178" s="66" t="s">
        <v>2032</v>
      </c>
      <c r="AM178" s="66" t="s">
        <v>394</v>
      </c>
      <c r="AN178" s="66" t="s">
        <v>394</v>
      </c>
      <c r="AO178" s="66" t="s">
        <v>394</v>
      </c>
      <c r="AP178" s="66" t="s">
        <v>394</v>
      </c>
      <c r="AQ178" s="66" t="s">
        <v>394</v>
      </c>
      <c r="AR178" s="66" t="s">
        <v>394</v>
      </c>
      <c r="AS178" s="66"/>
      <c r="AT178" s="66" t="s">
        <v>2032</v>
      </c>
      <c r="AU178" s="66" t="s">
        <v>394</v>
      </c>
      <c r="AV178" s="66" t="s">
        <v>394</v>
      </c>
      <c r="AW178" s="66" t="s">
        <v>394</v>
      </c>
      <c r="AX178" s="66" t="s">
        <v>394</v>
      </c>
      <c r="AY178" s="66" t="s">
        <v>394</v>
      </c>
      <c r="AZ178" s="66" t="s">
        <v>394</v>
      </c>
      <c r="BB178" s="69" t="s">
        <v>1366</v>
      </c>
      <c r="BC178" s="69" t="s">
        <v>2028</v>
      </c>
      <c r="BD178" s="69">
        <v>125</v>
      </c>
      <c r="BE178" s="69">
        <v>125</v>
      </c>
      <c r="BF178" s="69">
        <v>227</v>
      </c>
      <c r="BG178" s="69">
        <v>373</v>
      </c>
      <c r="BH178" s="69">
        <v>308</v>
      </c>
      <c r="BI178" s="69">
        <v>1158</v>
      </c>
      <c r="BJ178" s="69"/>
      <c r="BK178" s="69" t="s">
        <v>2028</v>
      </c>
      <c r="BL178" s="69">
        <v>37</v>
      </c>
      <c r="BM178" s="69">
        <v>0</v>
      </c>
      <c r="BN178" s="69">
        <v>0</v>
      </c>
      <c r="BO178" s="69">
        <v>0</v>
      </c>
      <c r="BP178" s="69">
        <v>0</v>
      </c>
      <c r="BQ178" s="69">
        <v>37</v>
      </c>
      <c r="BS178" s="70" t="s">
        <v>1454</v>
      </c>
      <c r="BT178" s="70" t="s">
        <v>2253</v>
      </c>
      <c r="BU178" s="70">
        <v>77</v>
      </c>
      <c r="BV178" s="70">
        <v>61</v>
      </c>
      <c r="BW178" s="70">
        <v>75</v>
      </c>
      <c r="BX178" s="70">
        <v>90</v>
      </c>
      <c r="BY178" s="70">
        <v>80</v>
      </c>
      <c r="BZ178" s="70">
        <v>383</v>
      </c>
      <c r="CA178" s="70"/>
      <c r="CB178" s="70" t="s">
        <v>2253</v>
      </c>
      <c r="CC178" s="70">
        <v>27</v>
      </c>
      <c r="CD178" s="70">
        <v>1</v>
      </c>
      <c r="CE178" s="70">
        <v>0</v>
      </c>
      <c r="CF178" s="70">
        <v>0</v>
      </c>
      <c r="CG178" s="70">
        <v>0</v>
      </c>
      <c r="CH178" s="70">
        <v>28</v>
      </c>
      <c r="CL178" s="57" t="s">
        <v>525</v>
      </c>
      <c r="CM178" s="57" t="s">
        <v>2032</v>
      </c>
      <c r="CN178" s="57">
        <v>41</v>
      </c>
      <c r="CO178" s="57">
        <v>40</v>
      </c>
      <c r="CP178" s="57">
        <v>58</v>
      </c>
      <c r="CQ178" s="57">
        <v>89</v>
      </c>
      <c r="CR178" s="57">
        <v>101</v>
      </c>
      <c r="CS178" s="57">
        <v>329</v>
      </c>
      <c r="CT178" s="57"/>
      <c r="CU178" s="57" t="s">
        <v>2032</v>
      </c>
      <c r="CV178" s="57">
        <v>18</v>
      </c>
      <c r="CW178" s="57">
        <v>0</v>
      </c>
      <c r="CX178" s="57">
        <v>0</v>
      </c>
      <c r="CY178" s="57">
        <v>0</v>
      </c>
      <c r="CZ178" s="57">
        <v>0</v>
      </c>
      <c r="DA178" s="57">
        <v>18</v>
      </c>
      <c r="DD178" s="21"/>
      <c r="DV178" s="79" t="s">
        <v>1689</v>
      </c>
      <c r="DW178" s="79" t="s">
        <v>2253</v>
      </c>
      <c r="DX178" s="79">
        <v>240</v>
      </c>
      <c r="DY178" s="79">
        <v>287</v>
      </c>
      <c r="DZ178" s="79">
        <v>335</v>
      </c>
      <c r="EA178" s="79">
        <v>462</v>
      </c>
      <c r="EB178" s="79">
        <v>400</v>
      </c>
      <c r="EC178" s="79">
        <v>1724</v>
      </c>
      <c r="ED178" s="79"/>
      <c r="EE178" s="79" t="s">
        <v>2253</v>
      </c>
      <c r="EF178" s="79">
        <v>17</v>
      </c>
      <c r="EG178" s="79">
        <v>5</v>
      </c>
      <c r="EH178" s="79">
        <v>0</v>
      </c>
      <c r="EI178" s="79">
        <v>0</v>
      </c>
      <c r="EJ178" s="79">
        <v>0</v>
      </c>
      <c r="EK178" s="79">
        <v>22</v>
      </c>
      <c r="EN178" s="57" t="s">
        <v>1737</v>
      </c>
      <c r="EO178" s="57" t="s">
        <v>2098</v>
      </c>
      <c r="EP178" s="57">
        <v>178</v>
      </c>
      <c r="EQ178" s="57">
        <v>349</v>
      </c>
      <c r="ER178" s="57">
        <v>416</v>
      </c>
      <c r="ES178" s="57">
        <v>557</v>
      </c>
      <c r="ET178" s="57">
        <v>616</v>
      </c>
      <c r="EU178" s="57">
        <v>2116</v>
      </c>
      <c r="EV178" s="57"/>
      <c r="EW178" s="57" t="s">
        <v>2098</v>
      </c>
      <c r="EX178" s="57">
        <v>42</v>
      </c>
      <c r="EY178" s="57">
        <v>23</v>
      </c>
      <c r="EZ178" s="57">
        <v>8</v>
      </c>
      <c r="FA178" s="57">
        <v>13</v>
      </c>
      <c r="FB178" s="57">
        <v>6</v>
      </c>
      <c r="FC178" s="57">
        <v>92</v>
      </c>
      <c r="FF178" s="70" t="s">
        <v>1863</v>
      </c>
      <c r="FG178" s="70" t="s">
        <v>2032</v>
      </c>
      <c r="FH178" s="70">
        <v>86</v>
      </c>
      <c r="FI178" s="70">
        <v>141</v>
      </c>
      <c r="FJ178" s="70">
        <v>179</v>
      </c>
      <c r="FK178" s="70">
        <v>253</v>
      </c>
      <c r="FL178" s="70">
        <v>394</v>
      </c>
      <c r="FM178" s="70">
        <v>1053</v>
      </c>
      <c r="FN178" s="70"/>
      <c r="FO178" s="70" t="s">
        <v>2032</v>
      </c>
      <c r="FP178" s="70">
        <v>17</v>
      </c>
      <c r="FQ178" s="70">
        <v>2</v>
      </c>
      <c r="FR178" s="70">
        <v>0</v>
      </c>
      <c r="FS178" s="70">
        <v>0</v>
      </c>
      <c r="FT178" s="70">
        <v>0</v>
      </c>
      <c r="FU178" s="70">
        <v>19</v>
      </c>
    </row>
    <row r="179" spans="1:177">
      <c r="B179" s="64" t="s">
        <v>826</v>
      </c>
      <c r="C179" s="64" t="s">
        <v>2032</v>
      </c>
      <c r="D179" s="64">
        <v>163</v>
      </c>
      <c r="E179" s="64">
        <v>207</v>
      </c>
      <c r="F179" s="64">
        <v>277</v>
      </c>
      <c r="G179" s="64">
        <v>342</v>
      </c>
      <c r="H179" s="64">
        <v>221</v>
      </c>
      <c r="I179" s="64">
        <v>1210</v>
      </c>
      <c r="K179" s="64" t="s">
        <v>2032</v>
      </c>
      <c r="L179" s="64">
        <v>20</v>
      </c>
      <c r="M179" s="64">
        <v>1</v>
      </c>
      <c r="N179" s="64">
        <v>2</v>
      </c>
      <c r="O179" s="64">
        <v>2</v>
      </c>
      <c r="P179" s="64">
        <v>1</v>
      </c>
      <c r="Q179" s="64">
        <v>26</v>
      </c>
      <c r="T179" s="65" t="s">
        <v>1035</v>
      </c>
      <c r="U179" s="65" t="s">
        <v>2253</v>
      </c>
      <c r="V179" s="65">
        <v>331</v>
      </c>
      <c r="W179" s="65">
        <v>360</v>
      </c>
      <c r="X179" s="65">
        <v>498</v>
      </c>
      <c r="Y179" s="65">
        <v>643</v>
      </c>
      <c r="Z179" s="65">
        <v>559</v>
      </c>
      <c r="AA179" s="65">
        <v>2391</v>
      </c>
      <c r="AB179" s="65"/>
      <c r="AC179" s="65" t="s">
        <v>2253</v>
      </c>
      <c r="AD179" s="65">
        <v>12</v>
      </c>
      <c r="AE179" s="65">
        <v>0</v>
      </c>
      <c r="AF179" s="65">
        <v>0</v>
      </c>
      <c r="AG179" s="65">
        <v>0</v>
      </c>
      <c r="AH179" s="65">
        <v>0</v>
      </c>
      <c r="AI179" s="65">
        <v>12</v>
      </c>
      <c r="AK179" s="66" t="s">
        <v>1067</v>
      </c>
      <c r="AL179" s="66" t="s">
        <v>2032</v>
      </c>
      <c r="AM179" s="66" t="s">
        <v>394</v>
      </c>
      <c r="AN179" s="66" t="s">
        <v>394</v>
      </c>
      <c r="AO179" s="66" t="s">
        <v>394</v>
      </c>
      <c r="AP179" s="66" t="s">
        <v>394</v>
      </c>
      <c r="AQ179" s="66" t="s">
        <v>394</v>
      </c>
      <c r="AR179" s="66" t="s">
        <v>394</v>
      </c>
      <c r="AS179" s="66"/>
      <c r="AT179" s="66" t="s">
        <v>2032</v>
      </c>
      <c r="AU179" s="66" t="s">
        <v>394</v>
      </c>
      <c r="AV179" s="66" t="s">
        <v>394</v>
      </c>
      <c r="AW179" s="66" t="s">
        <v>394</v>
      </c>
      <c r="AX179" s="66" t="s">
        <v>394</v>
      </c>
      <c r="AY179" s="66" t="s">
        <v>394</v>
      </c>
      <c r="AZ179" s="66" t="s">
        <v>394</v>
      </c>
      <c r="BB179" s="69" t="s">
        <v>1369</v>
      </c>
      <c r="BC179" s="69" t="s">
        <v>2028</v>
      </c>
      <c r="BD179" s="69">
        <v>150</v>
      </c>
      <c r="BE179" s="69">
        <v>196</v>
      </c>
      <c r="BF179" s="69">
        <v>349</v>
      </c>
      <c r="BG179" s="69">
        <v>602</v>
      </c>
      <c r="BH179" s="69">
        <v>535</v>
      </c>
      <c r="BI179" s="69">
        <v>1832</v>
      </c>
      <c r="BJ179" s="69"/>
      <c r="BK179" s="69" t="s">
        <v>2028</v>
      </c>
      <c r="BL179" s="69">
        <v>41</v>
      </c>
      <c r="BM179" s="69">
        <v>0</v>
      </c>
      <c r="BN179" s="69">
        <v>0</v>
      </c>
      <c r="BO179" s="69">
        <v>0</v>
      </c>
      <c r="BP179" s="69">
        <v>0</v>
      </c>
      <c r="BQ179" s="69">
        <v>41</v>
      </c>
      <c r="BS179" s="70" t="s">
        <v>2116</v>
      </c>
      <c r="BT179" s="70" t="s">
        <v>2253</v>
      </c>
      <c r="BU179" s="70">
        <v>25</v>
      </c>
      <c r="BV179" s="70">
        <v>17</v>
      </c>
      <c r="BW179" s="70">
        <v>33</v>
      </c>
      <c r="BX179" s="70">
        <v>65</v>
      </c>
      <c r="BY179" s="70">
        <v>55</v>
      </c>
      <c r="BZ179" s="70">
        <v>195</v>
      </c>
      <c r="CA179" s="70"/>
      <c r="CB179" s="70" t="s">
        <v>2253</v>
      </c>
      <c r="CC179" s="70">
        <v>7</v>
      </c>
      <c r="CD179" s="70">
        <v>0</v>
      </c>
      <c r="CE179" s="70">
        <v>0</v>
      </c>
      <c r="CF179" s="70">
        <v>0</v>
      </c>
      <c r="CG179" s="70">
        <v>0</v>
      </c>
      <c r="CH179" s="70">
        <v>7</v>
      </c>
      <c r="CL179" s="57" t="s">
        <v>546</v>
      </c>
      <c r="CM179" s="57" t="s">
        <v>2032</v>
      </c>
      <c r="CN179" s="57">
        <v>183</v>
      </c>
      <c r="CO179" s="57">
        <v>181</v>
      </c>
      <c r="CP179" s="57">
        <v>310</v>
      </c>
      <c r="CQ179" s="57">
        <v>404</v>
      </c>
      <c r="CR179" s="57">
        <v>349</v>
      </c>
      <c r="CS179" s="57">
        <v>1427</v>
      </c>
      <c r="CT179" s="57"/>
      <c r="CU179" s="57" t="s">
        <v>2032</v>
      </c>
      <c r="CV179" s="57">
        <v>28</v>
      </c>
      <c r="CW179" s="57">
        <v>0</v>
      </c>
      <c r="CX179" s="57">
        <v>0</v>
      </c>
      <c r="CY179" s="57">
        <v>0</v>
      </c>
      <c r="CZ179" s="57">
        <v>0</v>
      </c>
      <c r="DA179" s="57">
        <v>28</v>
      </c>
      <c r="DD179" s="21"/>
      <c r="DV179" s="79" t="s">
        <v>1692</v>
      </c>
      <c r="DW179" s="79" t="s">
        <v>2253</v>
      </c>
      <c r="DX179" s="79">
        <v>860</v>
      </c>
      <c r="DY179" s="79">
        <v>474</v>
      </c>
      <c r="DZ179" s="79">
        <v>369</v>
      </c>
      <c r="EA179" s="79">
        <v>395</v>
      </c>
      <c r="EB179" s="79">
        <v>285</v>
      </c>
      <c r="EC179" s="79">
        <v>2383</v>
      </c>
      <c r="ED179" s="79"/>
      <c r="EE179" s="79" t="s">
        <v>2253</v>
      </c>
      <c r="EF179" s="79">
        <v>30</v>
      </c>
      <c r="EG179" s="79">
        <v>0</v>
      </c>
      <c r="EH179" s="79">
        <v>0</v>
      </c>
      <c r="EI179" s="79">
        <v>0</v>
      </c>
      <c r="EJ179" s="79">
        <v>0</v>
      </c>
      <c r="EK179" s="79">
        <v>30</v>
      </c>
      <c r="EN179" s="57" t="s">
        <v>1741</v>
      </c>
      <c r="EO179" s="57" t="s">
        <v>2098</v>
      </c>
      <c r="EP179" s="57">
        <v>118</v>
      </c>
      <c r="EQ179" s="57">
        <v>269</v>
      </c>
      <c r="ER179" s="57">
        <v>372</v>
      </c>
      <c r="ES179" s="57">
        <v>508</v>
      </c>
      <c r="ET179" s="57">
        <v>537</v>
      </c>
      <c r="EU179" s="57">
        <v>1804</v>
      </c>
      <c r="EV179" s="57"/>
      <c r="EW179" s="57" t="s">
        <v>2098</v>
      </c>
      <c r="EX179" s="57">
        <v>10</v>
      </c>
      <c r="EY179" s="57">
        <v>8</v>
      </c>
      <c r="EZ179" s="57">
        <v>7</v>
      </c>
      <c r="FA179" s="57">
        <v>1</v>
      </c>
      <c r="FB179" s="57">
        <v>3</v>
      </c>
      <c r="FC179" s="57">
        <v>29</v>
      </c>
      <c r="FF179" s="70" t="s">
        <v>1865</v>
      </c>
      <c r="FG179" s="70" t="s">
        <v>2032</v>
      </c>
      <c r="FH179" s="70">
        <v>82</v>
      </c>
      <c r="FI179" s="70">
        <v>115</v>
      </c>
      <c r="FJ179" s="70">
        <v>156</v>
      </c>
      <c r="FK179" s="70">
        <v>226</v>
      </c>
      <c r="FL179" s="70">
        <v>284</v>
      </c>
      <c r="FM179" s="70">
        <v>863</v>
      </c>
      <c r="FN179" s="70"/>
      <c r="FO179" s="70" t="s">
        <v>2032</v>
      </c>
      <c r="FP179" s="70">
        <v>9</v>
      </c>
      <c r="FQ179" s="70">
        <v>1</v>
      </c>
      <c r="FR179" s="70">
        <v>1</v>
      </c>
      <c r="FS179" s="70">
        <v>1</v>
      </c>
      <c r="FT179" s="70">
        <v>1</v>
      </c>
      <c r="FU179" s="70">
        <v>13</v>
      </c>
    </row>
    <row r="180" spans="1:177">
      <c r="B180" s="64" t="s">
        <v>830</v>
      </c>
      <c r="C180" s="64" t="s">
        <v>2032</v>
      </c>
      <c r="D180" s="64">
        <v>583</v>
      </c>
      <c r="E180" s="64">
        <v>606</v>
      </c>
      <c r="F180" s="64">
        <v>893</v>
      </c>
      <c r="G180" s="64">
        <v>1007</v>
      </c>
      <c r="H180" s="64">
        <v>710</v>
      </c>
      <c r="I180" s="64">
        <v>3799</v>
      </c>
      <c r="K180" s="64" t="s">
        <v>2032</v>
      </c>
      <c r="L180" s="64">
        <v>48</v>
      </c>
      <c r="M180" s="64">
        <v>4</v>
      </c>
      <c r="N180" s="64">
        <v>1</v>
      </c>
      <c r="O180" s="64">
        <v>1</v>
      </c>
      <c r="P180" s="64">
        <v>0</v>
      </c>
      <c r="Q180" s="64">
        <v>54</v>
      </c>
      <c r="T180" s="65" t="s">
        <v>1038</v>
      </c>
      <c r="U180" s="65" t="s">
        <v>2253</v>
      </c>
      <c r="V180" s="65">
        <v>332</v>
      </c>
      <c r="W180" s="65">
        <v>430</v>
      </c>
      <c r="X180" s="65">
        <v>684</v>
      </c>
      <c r="Y180" s="65">
        <v>880</v>
      </c>
      <c r="Z180" s="65">
        <v>790</v>
      </c>
      <c r="AA180" s="65">
        <v>3116</v>
      </c>
      <c r="AB180" s="65"/>
      <c r="AC180" s="65" t="s">
        <v>2253</v>
      </c>
      <c r="AD180" s="65">
        <v>30</v>
      </c>
      <c r="AE180" s="65">
        <v>12</v>
      </c>
      <c r="AF180" s="65">
        <v>0</v>
      </c>
      <c r="AG180" s="65">
        <v>0</v>
      </c>
      <c r="AH180" s="65">
        <v>0</v>
      </c>
      <c r="AI180" s="65">
        <v>42</v>
      </c>
      <c r="AK180" s="66" t="s">
        <v>1071</v>
      </c>
      <c r="AL180" s="66" t="s">
        <v>2032</v>
      </c>
      <c r="AM180" s="66" t="s">
        <v>394</v>
      </c>
      <c r="AN180" s="66" t="s">
        <v>394</v>
      </c>
      <c r="AO180" s="66" t="s">
        <v>394</v>
      </c>
      <c r="AP180" s="66" t="s">
        <v>394</v>
      </c>
      <c r="AQ180" s="66" t="s">
        <v>394</v>
      </c>
      <c r="AR180" s="66" t="s">
        <v>394</v>
      </c>
      <c r="AS180" s="66"/>
      <c r="AT180" s="66" t="s">
        <v>2032</v>
      </c>
      <c r="AU180" s="66" t="s">
        <v>394</v>
      </c>
      <c r="AV180" s="66" t="s">
        <v>394</v>
      </c>
      <c r="AW180" s="66" t="s">
        <v>394</v>
      </c>
      <c r="AX180" s="66" t="s">
        <v>394</v>
      </c>
      <c r="AY180" s="66" t="s">
        <v>394</v>
      </c>
      <c r="AZ180" s="66" t="s">
        <v>394</v>
      </c>
      <c r="BB180" s="69" t="s">
        <v>1373</v>
      </c>
      <c r="BC180" s="69" t="s">
        <v>2028</v>
      </c>
      <c r="BD180" s="69">
        <v>51</v>
      </c>
      <c r="BE180" s="69">
        <v>63</v>
      </c>
      <c r="BF180" s="69">
        <v>132</v>
      </c>
      <c r="BG180" s="69">
        <v>205</v>
      </c>
      <c r="BH180" s="69">
        <v>192</v>
      </c>
      <c r="BI180" s="69">
        <v>643</v>
      </c>
      <c r="BJ180" s="69"/>
      <c r="BK180" s="69" t="s">
        <v>2028</v>
      </c>
      <c r="BL180" s="69">
        <v>12</v>
      </c>
      <c r="BM180" s="69">
        <v>0</v>
      </c>
      <c r="BN180" s="69">
        <v>0</v>
      </c>
      <c r="BO180" s="69">
        <v>0</v>
      </c>
      <c r="BP180" s="69">
        <v>0</v>
      </c>
      <c r="BQ180" s="69">
        <v>12</v>
      </c>
      <c r="BS180" s="70" t="s">
        <v>1458</v>
      </c>
      <c r="BT180" s="70" t="s">
        <v>2253</v>
      </c>
      <c r="BU180" s="70">
        <v>65</v>
      </c>
      <c r="BV180" s="70">
        <v>78</v>
      </c>
      <c r="BW180" s="70">
        <v>139</v>
      </c>
      <c r="BX180" s="70">
        <v>208</v>
      </c>
      <c r="BY180" s="70">
        <v>195</v>
      </c>
      <c r="BZ180" s="70">
        <v>685</v>
      </c>
      <c r="CA180" s="70"/>
      <c r="CB180" s="70" t="s">
        <v>2253</v>
      </c>
      <c r="CC180" s="70">
        <v>24</v>
      </c>
      <c r="CD180" s="70">
        <v>0</v>
      </c>
      <c r="CE180" s="70">
        <v>0</v>
      </c>
      <c r="CF180" s="70">
        <v>0</v>
      </c>
      <c r="CG180" s="70">
        <v>0</v>
      </c>
      <c r="CH180" s="70">
        <v>24</v>
      </c>
      <c r="CL180" s="57" t="s">
        <v>527</v>
      </c>
      <c r="CM180" s="57" t="s">
        <v>2032</v>
      </c>
      <c r="CN180" s="57">
        <v>67</v>
      </c>
      <c r="CO180" s="57">
        <v>117</v>
      </c>
      <c r="CP180" s="57">
        <v>273</v>
      </c>
      <c r="CQ180" s="57">
        <v>414</v>
      </c>
      <c r="CR180" s="57">
        <v>329</v>
      </c>
      <c r="CS180" s="57">
        <v>1200</v>
      </c>
      <c r="CT180" s="57"/>
      <c r="CU180" s="57" t="s">
        <v>2032</v>
      </c>
      <c r="CV180" s="57">
        <v>12</v>
      </c>
      <c r="CW180" s="57">
        <v>0</v>
      </c>
      <c r="CX180" s="57">
        <v>0</v>
      </c>
      <c r="CY180" s="57">
        <v>0</v>
      </c>
      <c r="CZ180" s="57">
        <v>0</v>
      </c>
      <c r="DA180" s="57">
        <v>12</v>
      </c>
      <c r="DD180" s="21"/>
      <c r="DV180" s="79"/>
      <c r="DW180" s="79"/>
      <c r="DX180" s="79"/>
      <c r="DY180" s="79"/>
      <c r="DZ180" s="79"/>
      <c r="EA180" s="79"/>
      <c r="EB180" s="79"/>
      <c r="EC180" s="79"/>
      <c r="ED180" s="79"/>
      <c r="EE180" s="79"/>
      <c r="EF180" s="79"/>
      <c r="EG180" s="79"/>
      <c r="EH180" s="79"/>
      <c r="EI180" s="79"/>
      <c r="EJ180" s="79"/>
      <c r="EK180" s="79"/>
      <c r="EN180" s="57" t="s">
        <v>1744</v>
      </c>
      <c r="EO180" s="57" t="s">
        <v>2098</v>
      </c>
      <c r="EP180" s="57">
        <v>167</v>
      </c>
      <c r="EQ180" s="57">
        <v>313</v>
      </c>
      <c r="ER180" s="57">
        <v>420</v>
      </c>
      <c r="ES180" s="57">
        <v>512</v>
      </c>
      <c r="ET180" s="57">
        <v>597</v>
      </c>
      <c r="EU180" s="57">
        <v>2009</v>
      </c>
      <c r="EV180" s="57"/>
      <c r="EW180" s="57" t="s">
        <v>2098</v>
      </c>
      <c r="EX180" s="57">
        <v>32</v>
      </c>
      <c r="EY180" s="57">
        <v>16</v>
      </c>
      <c r="EZ180" s="57">
        <v>6</v>
      </c>
      <c r="FA180" s="57">
        <v>5</v>
      </c>
      <c r="FB180" s="57">
        <v>4</v>
      </c>
      <c r="FC180" s="57">
        <v>63</v>
      </c>
      <c r="FF180" s="70" t="s">
        <v>1867</v>
      </c>
      <c r="FG180" s="70" t="s">
        <v>2032</v>
      </c>
      <c r="FH180" s="70">
        <v>65</v>
      </c>
      <c r="FI180" s="70">
        <v>102</v>
      </c>
      <c r="FJ180" s="70">
        <v>141</v>
      </c>
      <c r="FK180" s="70">
        <v>191</v>
      </c>
      <c r="FL180" s="70">
        <v>262</v>
      </c>
      <c r="FM180" s="70">
        <v>761</v>
      </c>
      <c r="FN180" s="70"/>
      <c r="FO180" s="70" t="s">
        <v>2032</v>
      </c>
      <c r="FP180" s="70">
        <v>13</v>
      </c>
      <c r="FQ180" s="70">
        <v>5</v>
      </c>
      <c r="FR180" s="70">
        <v>2</v>
      </c>
      <c r="FS180" s="70">
        <v>1</v>
      </c>
      <c r="FT180" s="70">
        <v>0</v>
      </c>
      <c r="FU180" s="70">
        <v>21</v>
      </c>
    </row>
    <row r="181" spans="1:177">
      <c r="B181" s="64" t="s">
        <v>836</v>
      </c>
      <c r="C181" s="64" t="s">
        <v>2032</v>
      </c>
      <c r="D181" s="64">
        <v>143</v>
      </c>
      <c r="E181" s="64">
        <v>274</v>
      </c>
      <c r="F181" s="64">
        <v>330</v>
      </c>
      <c r="G181" s="64">
        <v>491</v>
      </c>
      <c r="H181" s="64">
        <v>362</v>
      </c>
      <c r="I181" s="64">
        <v>1600</v>
      </c>
      <c r="K181" s="64" t="s">
        <v>2032</v>
      </c>
      <c r="L181" s="64">
        <v>41</v>
      </c>
      <c r="M181" s="64">
        <v>8</v>
      </c>
      <c r="N181" s="64">
        <v>3</v>
      </c>
      <c r="O181" s="64">
        <v>1</v>
      </c>
      <c r="P181" s="64">
        <v>1</v>
      </c>
      <c r="Q181" s="64">
        <v>54</v>
      </c>
      <c r="T181" s="65" t="s">
        <v>1042</v>
      </c>
      <c r="U181" s="65" t="s">
        <v>2253</v>
      </c>
      <c r="V181" s="65">
        <v>59</v>
      </c>
      <c r="W181" s="65">
        <v>84</v>
      </c>
      <c r="X181" s="65">
        <v>147</v>
      </c>
      <c r="Y181" s="65">
        <v>222</v>
      </c>
      <c r="Z181" s="65">
        <v>248</v>
      </c>
      <c r="AA181" s="65">
        <v>760</v>
      </c>
      <c r="AB181" s="65"/>
      <c r="AC181" s="65" t="s">
        <v>2253</v>
      </c>
      <c r="AD181" s="65">
        <v>11</v>
      </c>
      <c r="AE181" s="65">
        <v>4</v>
      </c>
      <c r="AF181" s="65">
        <v>0</v>
      </c>
      <c r="AG181" s="65">
        <v>0</v>
      </c>
      <c r="AH181" s="65">
        <v>0</v>
      </c>
      <c r="AI181" s="65">
        <v>15</v>
      </c>
      <c r="AK181" s="66" t="s">
        <v>1074</v>
      </c>
      <c r="AL181" s="66" t="s">
        <v>2032</v>
      </c>
      <c r="AM181" s="66" t="s">
        <v>394</v>
      </c>
      <c r="AN181" s="66" t="s">
        <v>394</v>
      </c>
      <c r="AO181" s="66" t="s">
        <v>394</v>
      </c>
      <c r="AP181" s="66" t="s">
        <v>394</v>
      </c>
      <c r="AQ181" s="66" t="s">
        <v>394</v>
      </c>
      <c r="AR181" s="66" t="s">
        <v>394</v>
      </c>
      <c r="AS181" s="66"/>
      <c r="AT181" s="66" t="s">
        <v>2032</v>
      </c>
      <c r="AU181" s="66" t="s">
        <v>394</v>
      </c>
      <c r="AV181" s="66" t="s">
        <v>394</v>
      </c>
      <c r="AW181" s="66" t="s">
        <v>394</v>
      </c>
      <c r="AX181" s="66" t="s">
        <v>394</v>
      </c>
      <c r="AY181" s="66" t="s">
        <v>394</v>
      </c>
      <c r="AZ181" s="66" t="s">
        <v>394</v>
      </c>
      <c r="BB181" s="69" t="s">
        <v>41</v>
      </c>
      <c r="BC181" s="69" t="s">
        <v>2028</v>
      </c>
      <c r="BD181" s="69">
        <v>369</v>
      </c>
      <c r="BE181" s="69">
        <v>506</v>
      </c>
      <c r="BF181" s="69">
        <v>884</v>
      </c>
      <c r="BG181" s="69">
        <v>1305</v>
      </c>
      <c r="BH181" s="69">
        <v>1220</v>
      </c>
      <c r="BI181" s="69">
        <v>4284</v>
      </c>
      <c r="BJ181" s="69"/>
      <c r="BK181" s="69" t="s">
        <v>2028</v>
      </c>
      <c r="BL181" s="69">
        <v>55</v>
      </c>
      <c r="BM181" s="69">
        <v>2</v>
      </c>
      <c r="BN181" s="69">
        <v>0</v>
      </c>
      <c r="BO181" s="69">
        <v>0</v>
      </c>
      <c r="BP181" s="69">
        <v>0</v>
      </c>
      <c r="BQ181" s="69">
        <v>57</v>
      </c>
      <c r="BS181" s="70" t="s">
        <v>1462</v>
      </c>
      <c r="BT181" s="70" t="s">
        <v>2253</v>
      </c>
      <c r="BU181" s="70">
        <v>149</v>
      </c>
      <c r="BV181" s="70">
        <v>85</v>
      </c>
      <c r="BW181" s="70">
        <v>134</v>
      </c>
      <c r="BX181" s="70">
        <v>207</v>
      </c>
      <c r="BY181" s="70">
        <v>194</v>
      </c>
      <c r="BZ181" s="70">
        <v>769</v>
      </c>
      <c r="CA181" s="70"/>
      <c r="CB181" s="70" t="s">
        <v>2253</v>
      </c>
      <c r="CC181" s="70">
        <v>23</v>
      </c>
      <c r="CD181" s="70">
        <v>0</v>
      </c>
      <c r="CE181" s="70">
        <v>0</v>
      </c>
      <c r="CF181" s="70">
        <v>0</v>
      </c>
      <c r="CG181" s="70">
        <v>0</v>
      </c>
      <c r="CH181" s="70">
        <v>23</v>
      </c>
      <c r="CL181" s="57" t="s">
        <v>529</v>
      </c>
      <c r="CM181" s="57" t="s">
        <v>2032</v>
      </c>
      <c r="CN181" s="57">
        <v>831</v>
      </c>
      <c r="CO181" s="57">
        <v>567</v>
      </c>
      <c r="CP181" s="57">
        <v>639</v>
      </c>
      <c r="CQ181" s="57">
        <v>603</v>
      </c>
      <c r="CR181" s="57">
        <v>501</v>
      </c>
      <c r="CS181" s="57">
        <v>3141</v>
      </c>
      <c r="CT181" s="57"/>
      <c r="CU181" s="57" t="s">
        <v>2032</v>
      </c>
      <c r="CV181" s="57">
        <v>258</v>
      </c>
      <c r="CW181" s="57">
        <v>2</v>
      </c>
      <c r="CX181" s="57">
        <v>0</v>
      </c>
      <c r="CY181" s="57">
        <v>0</v>
      </c>
      <c r="CZ181" s="57">
        <v>0</v>
      </c>
      <c r="DA181" s="57">
        <v>260</v>
      </c>
      <c r="DD181" s="21"/>
      <c r="DT181" s="16" t="s">
        <v>2022</v>
      </c>
      <c r="DU181" s="16" t="s">
        <v>1695</v>
      </c>
      <c r="DV181" s="79" t="s">
        <v>2658</v>
      </c>
      <c r="DW181" s="79" t="s">
        <v>2253</v>
      </c>
      <c r="DX181" s="79" t="s">
        <v>324</v>
      </c>
      <c r="DY181" s="79" t="s">
        <v>324</v>
      </c>
      <c r="DZ181" s="79" t="s">
        <v>324</v>
      </c>
      <c r="EA181" s="79" t="s">
        <v>324</v>
      </c>
      <c r="EB181" s="79" t="s">
        <v>324</v>
      </c>
      <c r="EC181" s="79" t="s">
        <v>324</v>
      </c>
      <c r="ED181" s="79"/>
      <c r="EE181" s="79" t="s">
        <v>2253</v>
      </c>
      <c r="EF181" s="79" t="s">
        <v>324</v>
      </c>
      <c r="EG181" s="79" t="s">
        <v>324</v>
      </c>
      <c r="EH181" s="79" t="s">
        <v>324</v>
      </c>
      <c r="EI181" s="79" t="s">
        <v>324</v>
      </c>
      <c r="EJ181" s="79" t="s">
        <v>324</v>
      </c>
      <c r="EK181" s="79" t="s">
        <v>324</v>
      </c>
      <c r="EN181" s="57" t="s">
        <v>1747</v>
      </c>
      <c r="EO181" s="57" t="s">
        <v>2098</v>
      </c>
      <c r="EP181" s="57">
        <v>276</v>
      </c>
      <c r="EQ181" s="57">
        <v>501</v>
      </c>
      <c r="ER181" s="57">
        <v>508</v>
      </c>
      <c r="ES181" s="57">
        <v>666</v>
      </c>
      <c r="ET181" s="57">
        <v>798</v>
      </c>
      <c r="EU181" s="57">
        <v>2749</v>
      </c>
      <c r="EV181" s="57"/>
      <c r="EW181" s="57" t="s">
        <v>2098</v>
      </c>
      <c r="EX181" s="57">
        <v>36</v>
      </c>
      <c r="EY181" s="57">
        <v>26</v>
      </c>
      <c r="EZ181" s="57">
        <v>5</v>
      </c>
      <c r="FA181" s="57">
        <v>6</v>
      </c>
      <c r="FB181" s="57">
        <v>9</v>
      </c>
      <c r="FC181" s="57">
        <v>82</v>
      </c>
      <c r="FF181" s="70" t="s">
        <v>1869</v>
      </c>
      <c r="FG181" s="70" t="s">
        <v>2032</v>
      </c>
      <c r="FH181" s="70">
        <v>264</v>
      </c>
      <c r="FI181" s="70">
        <v>342</v>
      </c>
      <c r="FJ181" s="70">
        <v>267</v>
      </c>
      <c r="FK181" s="70">
        <v>291</v>
      </c>
      <c r="FL181" s="70">
        <v>353</v>
      </c>
      <c r="FM181" s="70">
        <v>1517</v>
      </c>
      <c r="FN181" s="70"/>
      <c r="FO181" s="70" t="s">
        <v>2032</v>
      </c>
      <c r="FP181" s="70">
        <v>28</v>
      </c>
      <c r="FQ181" s="70">
        <v>6</v>
      </c>
      <c r="FR181" s="70">
        <v>6</v>
      </c>
      <c r="FS181" s="70">
        <v>1</v>
      </c>
      <c r="FT181" s="70">
        <v>1</v>
      </c>
      <c r="FU181" s="70">
        <v>42</v>
      </c>
    </row>
    <row r="182" spans="1:177">
      <c r="A182" s="21" t="s">
        <v>2029</v>
      </c>
      <c r="B182" s="64" t="s">
        <v>839</v>
      </c>
      <c r="C182" s="64" t="s">
        <v>2032</v>
      </c>
      <c r="D182" s="64" t="s">
        <v>324</v>
      </c>
      <c r="E182" s="64" t="s">
        <v>324</v>
      </c>
      <c r="F182" s="64" t="s">
        <v>324</v>
      </c>
      <c r="G182" s="64" t="s">
        <v>324</v>
      </c>
      <c r="H182" s="64" t="s">
        <v>324</v>
      </c>
      <c r="I182" s="64" t="s">
        <v>324</v>
      </c>
      <c r="K182" s="64" t="s">
        <v>2032</v>
      </c>
      <c r="L182" s="64" t="s">
        <v>324</v>
      </c>
      <c r="M182" s="64" t="s">
        <v>324</v>
      </c>
      <c r="N182" s="64" t="s">
        <v>324</v>
      </c>
      <c r="O182" s="64" t="s">
        <v>324</v>
      </c>
      <c r="P182" s="64" t="s">
        <v>324</v>
      </c>
      <c r="Q182" s="64" t="s">
        <v>324</v>
      </c>
      <c r="AK182" s="66" t="s">
        <v>1077</v>
      </c>
      <c r="AL182" s="66" t="s">
        <v>2032</v>
      </c>
      <c r="AM182" s="66" t="s">
        <v>394</v>
      </c>
      <c r="AN182" s="66" t="s">
        <v>394</v>
      </c>
      <c r="AO182" s="66" t="s">
        <v>394</v>
      </c>
      <c r="AP182" s="66" t="s">
        <v>394</v>
      </c>
      <c r="AQ182" s="66" t="s">
        <v>394</v>
      </c>
      <c r="AR182" s="66" t="s">
        <v>394</v>
      </c>
      <c r="AS182" s="66"/>
      <c r="AT182" s="66" t="s">
        <v>2032</v>
      </c>
      <c r="AU182" s="66" t="s">
        <v>394</v>
      </c>
      <c r="AV182" s="66" t="s">
        <v>394</v>
      </c>
      <c r="AW182" s="66" t="s">
        <v>394</v>
      </c>
      <c r="AX182" s="66" t="s">
        <v>394</v>
      </c>
      <c r="AY182" s="66" t="s">
        <v>394</v>
      </c>
      <c r="AZ182" s="66" t="s">
        <v>394</v>
      </c>
      <c r="BB182" s="69" t="s">
        <v>1380</v>
      </c>
      <c r="BC182" s="69" t="s">
        <v>2028</v>
      </c>
      <c r="BD182" s="69">
        <v>370</v>
      </c>
      <c r="BE182" s="69">
        <v>378</v>
      </c>
      <c r="BF182" s="69">
        <v>712</v>
      </c>
      <c r="BG182" s="69">
        <v>1042</v>
      </c>
      <c r="BH182" s="69">
        <v>894</v>
      </c>
      <c r="BI182" s="69">
        <v>3396</v>
      </c>
      <c r="BJ182" s="69"/>
      <c r="BK182" s="69" t="s">
        <v>2028</v>
      </c>
      <c r="BL182" s="69">
        <v>39</v>
      </c>
      <c r="BM182" s="69">
        <v>0</v>
      </c>
      <c r="BN182" s="69">
        <v>0</v>
      </c>
      <c r="BO182" s="69">
        <v>0</v>
      </c>
      <c r="BP182" s="69">
        <v>0</v>
      </c>
      <c r="BQ182" s="69">
        <v>39</v>
      </c>
      <c r="BS182" s="70" t="s">
        <v>1464</v>
      </c>
      <c r="BT182" s="70" t="s">
        <v>2253</v>
      </c>
      <c r="BU182" s="70">
        <v>49</v>
      </c>
      <c r="BV182" s="70">
        <v>69</v>
      </c>
      <c r="BW182" s="70">
        <v>147</v>
      </c>
      <c r="BX182" s="70">
        <v>164</v>
      </c>
      <c r="BY182" s="70">
        <v>147</v>
      </c>
      <c r="BZ182" s="70">
        <v>576</v>
      </c>
      <c r="CA182" s="70"/>
      <c r="CB182" s="70" t="s">
        <v>2253</v>
      </c>
      <c r="CC182" s="70">
        <v>14</v>
      </c>
      <c r="CD182" s="70">
        <v>0</v>
      </c>
      <c r="CE182" s="70">
        <v>0</v>
      </c>
      <c r="CF182" s="70">
        <v>0</v>
      </c>
      <c r="CG182" s="70">
        <v>0</v>
      </c>
      <c r="CH182" s="70">
        <v>14</v>
      </c>
      <c r="DD182" s="21"/>
      <c r="DT182" s="16" t="s">
        <v>2022</v>
      </c>
      <c r="DU182" s="16" t="s">
        <v>1698</v>
      </c>
      <c r="DV182" s="79" t="s">
        <v>2661</v>
      </c>
      <c r="DW182" s="79" t="s">
        <v>2253</v>
      </c>
      <c r="DX182" s="79" t="s">
        <v>324</v>
      </c>
      <c r="DY182" s="79" t="s">
        <v>324</v>
      </c>
      <c r="DZ182" s="79" t="s">
        <v>324</v>
      </c>
      <c r="EA182" s="79" t="s">
        <v>324</v>
      </c>
      <c r="EB182" s="79" t="s">
        <v>324</v>
      </c>
      <c r="EC182" s="79" t="s">
        <v>324</v>
      </c>
      <c r="ED182" s="79"/>
      <c r="EE182" s="79" t="s">
        <v>2253</v>
      </c>
      <c r="EF182" s="79" t="s">
        <v>324</v>
      </c>
      <c r="EG182" s="79" t="s">
        <v>324</v>
      </c>
      <c r="EH182" s="79" t="s">
        <v>324</v>
      </c>
      <c r="EI182" s="79" t="s">
        <v>324</v>
      </c>
      <c r="EJ182" s="79" t="s">
        <v>324</v>
      </c>
      <c r="EK182" s="79" t="s">
        <v>324</v>
      </c>
      <c r="EN182" s="57" t="s">
        <v>1750</v>
      </c>
      <c r="EO182" s="57" t="s">
        <v>2098</v>
      </c>
      <c r="EP182" s="57">
        <v>404</v>
      </c>
      <c r="EQ182" s="57">
        <v>506</v>
      </c>
      <c r="ER182" s="57">
        <v>541</v>
      </c>
      <c r="ES182" s="57">
        <v>659</v>
      </c>
      <c r="ET182" s="57">
        <v>651</v>
      </c>
      <c r="EU182" s="57">
        <v>2761</v>
      </c>
      <c r="EV182" s="57"/>
      <c r="EW182" s="57" t="s">
        <v>2098</v>
      </c>
      <c r="EX182" s="57">
        <v>53</v>
      </c>
      <c r="EY182" s="57">
        <v>12</v>
      </c>
      <c r="EZ182" s="57">
        <v>7</v>
      </c>
      <c r="FA182" s="57">
        <v>5</v>
      </c>
      <c r="FB182" s="57">
        <v>4</v>
      </c>
      <c r="FC182" s="57">
        <v>81</v>
      </c>
      <c r="FF182" s="70" t="s">
        <v>1871</v>
      </c>
      <c r="FG182" s="70" t="s">
        <v>2032</v>
      </c>
      <c r="FH182" s="70">
        <v>124</v>
      </c>
      <c r="FI182" s="70">
        <v>148</v>
      </c>
      <c r="FJ182" s="70">
        <v>160</v>
      </c>
      <c r="FK182" s="70">
        <v>232</v>
      </c>
      <c r="FL182" s="70">
        <v>299</v>
      </c>
      <c r="FM182" s="70">
        <v>963</v>
      </c>
      <c r="FN182" s="70"/>
      <c r="FO182" s="70" t="s">
        <v>2032</v>
      </c>
      <c r="FP182" s="70">
        <v>11</v>
      </c>
      <c r="FQ182" s="70">
        <v>2</v>
      </c>
      <c r="FR182" s="70">
        <v>0</v>
      </c>
      <c r="FS182" s="70">
        <v>0</v>
      </c>
      <c r="FT182" s="70">
        <v>0</v>
      </c>
      <c r="FU182" s="70">
        <v>13</v>
      </c>
    </row>
    <row r="183" spans="1:177">
      <c r="B183" s="64" t="s">
        <v>845</v>
      </c>
      <c r="C183" s="64" t="s">
        <v>2032</v>
      </c>
      <c r="D183" s="64">
        <v>272</v>
      </c>
      <c r="E183" s="64">
        <v>534</v>
      </c>
      <c r="F183" s="64">
        <v>812</v>
      </c>
      <c r="G183" s="64">
        <v>1079</v>
      </c>
      <c r="H183" s="64">
        <v>878</v>
      </c>
      <c r="I183" s="64">
        <v>3575</v>
      </c>
      <c r="K183" s="64" t="s">
        <v>2032</v>
      </c>
      <c r="L183" s="64">
        <v>18</v>
      </c>
      <c r="M183" s="64">
        <v>2</v>
      </c>
      <c r="N183" s="64">
        <v>2</v>
      </c>
      <c r="O183" s="64">
        <v>0</v>
      </c>
      <c r="P183" s="64">
        <v>0</v>
      </c>
      <c r="Q183" s="64">
        <v>22</v>
      </c>
      <c r="AK183" s="66" t="s">
        <v>1080</v>
      </c>
      <c r="AL183" s="66" t="s">
        <v>2032</v>
      </c>
      <c r="AM183" s="66" t="s">
        <v>394</v>
      </c>
      <c r="AN183" s="66" t="s">
        <v>394</v>
      </c>
      <c r="AO183" s="66" t="s">
        <v>394</v>
      </c>
      <c r="AP183" s="66" t="s">
        <v>394</v>
      </c>
      <c r="AQ183" s="66" t="s">
        <v>394</v>
      </c>
      <c r="AR183" s="66" t="s">
        <v>394</v>
      </c>
      <c r="AS183" s="66"/>
      <c r="AT183" s="66" t="s">
        <v>2032</v>
      </c>
      <c r="AU183" s="66" t="s">
        <v>394</v>
      </c>
      <c r="AV183" s="66" t="s">
        <v>394</v>
      </c>
      <c r="AW183" s="66" t="s">
        <v>394</v>
      </c>
      <c r="AX183" s="66" t="s">
        <v>394</v>
      </c>
      <c r="AY183" s="66" t="s">
        <v>394</v>
      </c>
      <c r="AZ183" s="66" t="s">
        <v>394</v>
      </c>
      <c r="BB183" s="69" t="s">
        <v>1383</v>
      </c>
      <c r="BC183" s="69" t="s">
        <v>2028</v>
      </c>
      <c r="BD183" s="69">
        <v>256</v>
      </c>
      <c r="BE183" s="69">
        <v>257</v>
      </c>
      <c r="BF183" s="69">
        <v>513</v>
      </c>
      <c r="BG183" s="69">
        <v>841</v>
      </c>
      <c r="BH183" s="69">
        <v>816</v>
      </c>
      <c r="BI183" s="69">
        <v>2683</v>
      </c>
      <c r="BJ183" s="69"/>
      <c r="BK183" s="69" t="s">
        <v>2028</v>
      </c>
      <c r="BL183" s="69">
        <v>32</v>
      </c>
      <c r="BM183" s="69">
        <v>1</v>
      </c>
      <c r="BN183" s="69">
        <v>0</v>
      </c>
      <c r="BO183" s="69">
        <v>0</v>
      </c>
      <c r="BP183" s="69">
        <v>0</v>
      </c>
      <c r="BQ183" s="69">
        <v>33</v>
      </c>
      <c r="BS183" s="70" t="s">
        <v>1466</v>
      </c>
      <c r="BT183" s="70" t="s">
        <v>2253</v>
      </c>
      <c r="BU183" s="70">
        <v>68</v>
      </c>
      <c r="BV183" s="70">
        <v>42</v>
      </c>
      <c r="BW183" s="70">
        <v>94</v>
      </c>
      <c r="BX183" s="70">
        <v>169</v>
      </c>
      <c r="BY183" s="70">
        <v>188</v>
      </c>
      <c r="BZ183" s="70">
        <v>561</v>
      </c>
      <c r="CA183" s="70"/>
      <c r="CB183" s="70" t="s">
        <v>2253</v>
      </c>
      <c r="CC183" s="70">
        <v>23</v>
      </c>
      <c r="CD183" s="70">
        <v>0</v>
      </c>
      <c r="CE183" s="70">
        <v>0</v>
      </c>
      <c r="CF183" s="70">
        <v>0</v>
      </c>
      <c r="CG183" s="70">
        <v>0</v>
      </c>
      <c r="CH183" s="70">
        <v>23</v>
      </c>
      <c r="CL183" s="57" t="s">
        <v>474</v>
      </c>
      <c r="CM183" s="57" t="s">
        <v>708</v>
      </c>
      <c r="CN183" s="57">
        <v>123</v>
      </c>
      <c r="CO183" s="57">
        <v>87</v>
      </c>
      <c r="CP183" s="57">
        <v>129</v>
      </c>
      <c r="CQ183" s="57">
        <v>186</v>
      </c>
      <c r="CR183" s="57">
        <v>184</v>
      </c>
      <c r="CS183" s="57">
        <v>709</v>
      </c>
      <c r="CT183" s="57"/>
      <c r="CU183" s="57" t="s">
        <v>708</v>
      </c>
      <c r="CV183" s="57">
        <v>39</v>
      </c>
      <c r="CW183" s="57">
        <v>0</v>
      </c>
      <c r="CX183" s="57">
        <v>0</v>
      </c>
      <c r="CY183" s="57">
        <v>0</v>
      </c>
      <c r="CZ183" s="57">
        <v>0</v>
      </c>
      <c r="DA183" s="57">
        <v>39</v>
      </c>
      <c r="EN183" s="57" t="s">
        <v>1753</v>
      </c>
      <c r="EO183" s="57" t="s">
        <v>2098</v>
      </c>
      <c r="EP183" s="57">
        <v>307</v>
      </c>
      <c r="EQ183" s="57">
        <v>377</v>
      </c>
      <c r="ER183" s="57">
        <v>434</v>
      </c>
      <c r="ES183" s="57">
        <v>449</v>
      </c>
      <c r="ET183" s="57">
        <v>520</v>
      </c>
      <c r="EU183" s="57">
        <v>2087</v>
      </c>
      <c r="EV183" s="57"/>
      <c r="EW183" s="57" t="s">
        <v>2098</v>
      </c>
      <c r="EX183" s="57">
        <v>21</v>
      </c>
      <c r="EY183" s="57">
        <v>9</v>
      </c>
      <c r="EZ183" s="57">
        <v>5</v>
      </c>
      <c r="FA183" s="57">
        <v>3</v>
      </c>
      <c r="FB183" s="57">
        <v>5</v>
      </c>
      <c r="FC183" s="57">
        <v>43</v>
      </c>
      <c r="FF183" s="70" t="s">
        <v>1875</v>
      </c>
      <c r="FG183" s="70" t="s">
        <v>2032</v>
      </c>
      <c r="FH183" s="70">
        <v>96</v>
      </c>
      <c r="FI183" s="70">
        <v>151</v>
      </c>
      <c r="FJ183" s="70">
        <v>183</v>
      </c>
      <c r="FK183" s="70">
        <v>220</v>
      </c>
      <c r="FL183" s="70">
        <v>334</v>
      </c>
      <c r="FM183" s="70">
        <v>984</v>
      </c>
      <c r="FN183" s="70"/>
      <c r="FO183" s="70" t="s">
        <v>2032</v>
      </c>
      <c r="FP183" s="70">
        <v>14</v>
      </c>
      <c r="FQ183" s="70">
        <v>4</v>
      </c>
      <c r="FR183" s="70">
        <v>2</v>
      </c>
      <c r="FS183" s="70">
        <v>2</v>
      </c>
      <c r="FT183" s="70">
        <v>0</v>
      </c>
      <c r="FU183" s="70">
        <v>22</v>
      </c>
    </row>
    <row r="184" spans="1:177">
      <c r="B184" s="64" t="s">
        <v>849</v>
      </c>
      <c r="C184" s="64" t="s">
        <v>2032</v>
      </c>
      <c r="D184" s="64">
        <v>335</v>
      </c>
      <c r="E184" s="64">
        <v>555</v>
      </c>
      <c r="F184" s="64">
        <v>936</v>
      </c>
      <c r="G184" s="64">
        <v>1098</v>
      </c>
      <c r="H184" s="64">
        <v>914</v>
      </c>
      <c r="I184" s="64">
        <v>3838</v>
      </c>
      <c r="K184" s="64" t="s">
        <v>2032</v>
      </c>
      <c r="L184" s="64">
        <v>27</v>
      </c>
      <c r="M184" s="64">
        <v>1</v>
      </c>
      <c r="N184" s="64">
        <v>2</v>
      </c>
      <c r="O184" s="64">
        <v>1</v>
      </c>
      <c r="P184" s="64">
        <v>0</v>
      </c>
      <c r="Q184" s="64">
        <v>31</v>
      </c>
      <c r="AK184" s="66" t="s">
        <v>1084</v>
      </c>
      <c r="AL184" s="66" t="s">
        <v>2032</v>
      </c>
      <c r="AM184" s="66" t="s">
        <v>394</v>
      </c>
      <c r="AN184" s="66" t="s">
        <v>394</v>
      </c>
      <c r="AO184" s="66" t="s">
        <v>394</v>
      </c>
      <c r="AP184" s="66" t="s">
        <v>394</v>
      </c>
      <c r="AQ184" s="66" t="s">
        <v>394</v>
      </c>
      <c r="AR184" s="66" t="s">
        <v>394</v>
      </c>
      <c r="AS184" s="66"/>
      <c r="AT184" s="66" t="s">
        <v>2032</v>
      </c>
      <c r="AU184" s="66" t="s">
        <v>394</v>
      </c>
      <c r="AV184" s="66" t="s">
        <v>394</v>
      </c>
      <c r="AW184" s="66" t="s">
        <v>394</v>
      </c>
      <c r="AX184" s="66" t="s">
        <v>394</v>
      </c>
      <c r="AY184" s="66" t="s">
        <v>394</v>
      </c>
      <c r="AZ184" s="66" t="s">
        <v>394</v>
      </c>
      <c r="BB184" s="69" t="s">
        <v>1386</v>
      </c>
      <c r="BC184" s="69" t="s">
        <v>2028</v>
      </c>
      <c r="BD184" s="69">
        <v>88</v>
      </c>
      <c r="BE184" s="69">
        <v>122</v>
      </c>
      <c r="BF184" s="69">
        <v>218</v>
      </c>
      <c r="BG184" s="69">
        <v>316</v>
      </c>
      <c r="BH184" s="69">
        <v>310</v>
      </c>
      <c r="BI184" s="69">
        <v>1054</v>
      </c>
      <c r="BJ184" s="69"/>
      <c r="BK184" s="69" t="s">
        <v>2028</v>
      </c>
      <c r="BL184" s="69">
        <v>18</v>
      </c>
      <c r="BM184" s="69">
        <v>0</v>
      </c>
      <c r="BN184" s="69">
        <v>0</v>
      </c>
      <c r="BO184" s="69">
        <v>0</v>
      </c>
      <c r="BP184" s="69">
        <v>0</v>
      </c>
      <c r="BQ184" s="69">
        <v>18</v>
      </c>
      <c r="BS184" s="70" t="s">
        <v>1468</v>
      </c>
      <c r="BT184" s="70" t="s">
        <v>2253</v>
      </c>
      <c r="BU184" s="70">
        <v>31</v>
      </c>
      <c r="BV184" s="70">
        <v>40</v>
      </c>
      <c r="BW184" s="70">
        <v>55</v>
      </c>
      <c r="BX184" s="70">
        <v>106</v>
      </c>
      <c r="BY184" s="70">
        <v>103</v>
      </c>
      <c r="BZ184" s="70">
        <v>335</v>
      </c>
      <c r="CA184" s="70"/>
      <c r="CB184" s="70" t="s">
        <v>2253</v>
      </c>
      <c r="CC184" s="70">
        <v>17</v>
      </c>
      <c r="CD184" s="70">
        <v>0</v>
      </c>
      <c r="CE184" s="70">
        <v>0</v>
      </c>
      <c r="CF184" s="70">
        <v>0</v>
      </c>
      <c r="CG184" s="70">
        <v>0</v>
      </c>
      <c r="CH184" s="70">
        <v>17</v>
      </c>
      <c r="CL184" s="57" t="s">
        <v>476</v>
      </c>
      <c r="CM184" s="57" t="s">
        <v>708</v>
      </c>
      <c r="CN184" s="57">
        <v>181</v>
      </c>
      <c r="CO184" s="57">
        <v>106</v>
      </c>
      <c r="CP184" s="57">
        <v>199</v>
      </c>
      <c r="CQ184" s="57">
        <v>248</v>
      </c>
      <c r="CR184" s="57">
        <v>267</v>
      </c>
      <c r="CS184" s="57">
        <v>1001</v>
      </c>
      <c r="CT184" s="57"/>
      <c r="CU184" s="57" t="s">
        <v>708</v>
      </c>
      <c r="CV184" s="57">
        <v>61</v>
      </c>
      <c r="CW184" s="57">
        <v>0</v>
      </c>
      <c r="CX184" s="57">
        <v>0</v>
      </c>
      <c r="CY184" s="57">
        <v>0</v>
      </c>
      <c r="CZ184" s="57">
        <v>0</v>
      </c>
      <c r="DA184" s="57">
        <v>61</v>
      </c>
      <c r="EN184" s="57" t="s">
        <v>1756</v>
      </c>
      <c r="EO184" s="57" t="s">
        <v>2098</v>
      </c>
      <c r="EP184" s="57">
        <v>128</v>
      </c>
      <c r="EQ184" s="57">
        <v>151</v>
      </c>
      <c r="ER184" s="57">
        <v>128</v>
      </c>
      <c r="ES184" s="57">
        <v>155</v>
      </c>
      <c r="ET184" s="57">
        <v>191</v>
      </c>
      <c r="EU184" s="57">
        <v>753</v>
      </c>
      <c r="EV184" s="57"/>
      <c r="EW184" s="57" t="s">
        <v>2098</v>
      </c>
      <c r="EX184" s="57">
        <v>39</v>
      </c>
      <c r="EY184" s="57">
        <v>8</v>
      </c>
      <c r="EZ184" s="57">
        <v>0</v>
      </c>
      <c r="FA184" s="57">
        <v>0</v>
      </c>
      <c r="FB184" s="57">
        <v>0</v>
      </c>
      <c r="FC184" s="57">
        <v>47</v>
      </c>
    </row>
    <row r="185" spans="1:177">
      <c r="B185" s="64" t="s">
        <v>852</v>
      </c>
      <c r="C185" s="64" t="s">
        <v>2032</v>
      </c>
      <c r="D185" s="64">
        <v>414</v>
      </c>
      <c r="E185" s="64">
        <v>536</v>
      </c>
      <c r="F185" s="64">
        <v>972</v>
      </c>
      <c r="G185" s="64">
        <v>1394</v>
      </c>
      <c r="H185" s="64">
        <v>1166</v>
      </c>
      <c r="I185" s="64">
        <v>4482</v>
      </c>
      <c r="K185" s="64" t="s">
        <v>2032</v>
      </c>
      <c r="L185" s="64">
        <v>21</v>
      </c>
      <c r="M185" s="64">
        <v>1</v>
      </c>
      <c r="N185" s="64">
        <v>0</v>
      </c>
      <c r="O185" s="64">
        <v>1</v>
      </c>
      <c r="P185" s="64">
        <v>0</v>
      </c>
      <c r="Q185" s="64">
        <v>23</v>
      </c>
      <c r="AK185" s="66" t="s">
        <v>1087</v>
      </c>
      <c r="AL185" s="66" t="s">
        <v>2032</v>
      </c>
      <c r="AM185" s="66" t="s">
        <v>394</v>
      </c>
      <c r="AN185" s="66" t="s">
        <v>394</v>
      </c>
      <c r="AO185" s="66" t="s">
        <v>394</v>
      </c>
      <c r="AP185" s="66" t="s">
        <v>394</v>
      </c>
      <c r="AQ185" s="66" t="s">
        <v>394</v>
      </c>
      <c r="AR185" s="66" t="s">
        <v>394</v>
      </c>
      <c r="AS185" s="66"/>
      <c r="AT185" s="66" t="s">
        <v>2032</v>
      </c>
      <c r="AU185" s="66" t="s">
        <v>394</v>
      </c>
      <c r="AV185" s="66" t="s">
        <v>394</v>
      </c>
      <c r="AW185" s="66" t="s">
        <v>394</v>
      </c>
      <c r="AX185" s="66" t="s">
        <v>394</v>
      </c>
      <c r="AY185" s="66" t="s">
        <v>394</v>
      </c>
      <c r="AZ185" s="66" t="s">
        <v>394</v>
      </c>
      <c r="BB185" s="69" t="s">
        <v>1389</v>
      </c>
      <c r="BC185" s="69" t="s">
        <v>2028</v>
      </c>
      <c r="BD185" s="69">
        <v>80</v>
      </c>
      <c r="BE185" s="69">
        <v>84</v>
      </c>
      <c r="BF185" s="69">
        <v>184</v>
      </c>
      <c r="BG185" s="69">
        <v>207</v>
      </c>
      <c r="BH185" s="69">
        <v>235</v>
      </c>
      <c r="BI185" s="69">
        <v>790</v>
      </c>
      <c r="BJ185" s="69"/>
      <c r="BK185" s="69" t="s">
        <v>2028</v>
      </c>
      <c r="BL185" s="69">
        <v>19</v>
      </c>
      <c r="BM185" s="69">
        <v>0</v>
      </c>
      <c r="BN185" s="69">
        <v>0</v>
      </c>
      <c r="BO185" s="69">
        <v>0</v>
      </c>
      <c r="BP185" s="69">
        <v>0</v>
      </c>
      <c r="BQ185" s="69">
        <v>19</v>
      </c>
      <c r="BS185" s="70" t="s">
        <v>1471</v>
      </c>
      <c r="BT185" s="70" t="s">
        <v>2253</v>
      </c>
      <c r="BU185" s="70">
        <v>51</v>
      </c>
      <c r="BV185" s="70">
        <v>34</v>
      </c>
      <c r="BW185" s="70">
        <v>67</v>
      </c>
      <c r="BX185" s="70">
        <v>98</v>
      </c>
      <c r="BY185" s="70">
        <v>117</v>
      </c>
      <c r="BZ185" s="70">
        <v>367</v>
      </c>
      <c r="CA185" s="70"/>
      <c r="CB185" s="70" t="s">
        <v>2253</v>
      </c>
      <c r="CC185" s="70">
        <v>20</v>
      </c>
      <c r="CD185" s="70">
        <v>0</v>
      </c>
      <c r="CE185" s="70">
        <v>0</v>
      </c>
      <c r="CF185" s="70">
        <v>0</v>
      </c>
      <c r="CG185" s="70">
        <v>0</v>
      </c>
      <c r="CH185" s="70">
        <v>20</v>
      </c>
      <c r="CL185" s="57" t="s">
        <v>479</v>
      </c>
      <c r="CM185" s="57" t="s">
        <v>25</v>
      </c>
      <c r="CN185" s="57">
        <v>31</v>
      </c>
      <c r="CO185" s="57">
        <v>53</v>
      </c>
      <c r="CP185" s="57">
        <v>73</v>
      </c>
      <c r="CQ185" s="57">
        <v>142</v>
      </c>
      <c r="CR185" s="57">
        <v>141</v>
      </c>
      <c r="CS185" s="57">
        <v>440</v>
      </c>
      <c r="CT185" s="57"/>
      <c r="CU185" s="57" t="s">
        <v>25</v>
      </c>
      <c r="CV185" s="57">
        <v>3</v>
      </c>
      <c r="CW185" s="57">
        <v>0</v>
      </c>
      <c r="CX185" s="57">
        <v>0</v>
      </c>
      <c r="CY185" s="57">
        <v>0</v>
      </c>
      <c r="CZ185" s="57">
        <v>0</v>
      </c>
      <c r="DA185" s="57">
        <v>3</v>
      </c>
      <c r="EN185" s="57" t="s">
        <v>1760</v>
      </c>
      <c r="EO185" s="57" t="s">
        <v>2098</v>
      </c>
      <c r="EP185" s="57">
        <v>71</v>
      </c>
      <c r="EQ185" s="57">
        <v>132</v>
      </c>
      <c r="ER185" s="57">
        <v>126</v>
      </c>
      <c r="ES185" s="57">
        <v>173</v>
      </c>
      <c r="ET185" s="57">
        <v>179</v>
      </c>
      <c r="EU185" s="57">
        <v>681</v>
      </c>
      <c r="EV185" s="57"/>
      <c r="EW185" s="57" t="s">
        <v>2098</v>
      </c>
      <c r="EX185" s="57">
        <v>14</v>
      </c>
      <c r="EY185" s="57">
        <v>10</v>
      </c>
      <c r="EZ185" s="57">
        <v>6</v>
      </c>
      <c r="FA185" s="57">
        <v>3</v>
      </c>
      <c r="FB185" s="57">
        <v>6</v>
      </c>
      <c r="FC185" s="57">
        <v>39</v>
      </c>
      <c r="FF185" s="70" t="s">
        <v>1790</v>
      </c>
      <c r="FG185" s="70" t="s">
        <v>708</v>
      </c>
      <c r="FH185" s="70">
        <v>2606</v>
      </c>
      <c r="FI185" s="70">
        <v>1373</v>
      </c>
      <c r="FJ185" s="70">
        <v>909</v>
      </c>
      <c r="FK185" s="70">
        <v>805</v>
      </c>
      <c r="FL185" s="70">
        <v>969</v>
      </c>
      <c r="FM185" s="70">
        <v>6662</v>
      </c>
      <c r="FN185" s="70"/>
      <c r="FO185" s="70" t="s">
        <v>708</v>
      </c>
      <c r="FP185" s="70">
        <v>455</v>
      </c>
      <c r="FQ185" s="70">
        <v>64</v>
      </c>
      <c r="FR185" s="70">
        <v>31</v>
      </c>
      <c r="FS185" s="70">
        <v>16</v>
      </c>
      <c r="FT185" s="70">
        <v>17</v>
      </c>
      <c r="FU185" s="70">
        <v>583</v>
      </c>
    </row>
    <row r="186" spans="1:177">
      <c r="B186" s="64" t="s">
        <v>855</v>
      </c>
      <c r="C186" s="64" t="s">
        <v>2032</v>
      </c>
      <c r="D186" s="64">
        <v>766</v>
      </c>
      <c r="E186" s="64">
        <v>583</v>
      </c>
      <c r="F186" s="64">
        <v>883</v>
      </c>
      <c r="G186" s="64">
        <v>1120</v>
      </c>
      <c r="H186" s="64">
        <v>967</v>
      </c>
      <c r="I186" s="64">
        <v>4319</v>
      </c>
      <c r="K186" s="64" t="s">
        <v>2032</v>
      </c>
      <c r="L186" s="64">
        <v>42</v>
      </c>
      <c r="M186" s="64">
        <v>0</v>
      </c>
      <c r="N186" s="64">
        <v>0</v>
      </c>
      <c r="O186" s="64">
        <v>0</v>
      </c>
      <c r="P186" s="64">
        <v>0</v>
      </c>
      <c r="Q186" s="64">
        <v>42</v>
      </c>
      <c r="AK186" s="66" t="s">
        <v>1090</v>
      </c>
      <c r="AL186" s="66" t="s">
        <v>2032</v>
      </c>
      <c r="AM186" s="66" t="s">
        <v>394</v>
      </c>
      <c r="AN186" s="66" t="s">
        <v>394</v>
      </c>
      <c r="AO186" s="66" t="s">
        <v>394</v>
      </c>
      <c r="AP186" s="66" t="s">
        <v>394</v>
      </c>
      <c r="AQ186" s="66" t="s">
        <v>394</v>
      </c>
      <c r="AR186" s="66" t="s">
        <v>394</v>
      </c>
      <c r="AS186" s="66"/>
      <c r="AT186" s="66" t="s">
        <v>2032</v>
      </c>
      <c r="AU186" s="66" t="s">
        <v>394</v>
      </c>
      <c r="AV186" s="66" t="s">
        <v>394</v>
      </c>
      <c r="AW186" s="66" t="s">
        <v>394</v>
      </c>
      <c r="AX186" s="66" t="s">
        <v>394</v>
      </c>
      <c r="AY186" s="66" t="s">
        <v>394</v>
      </c>
      <c r="AZ186" s="66" t="s">
        <v>394</v>
      </c>
      <c r="BB186" s="69" t="s">
        <v>1392</v>
      </c>
      <c r="BC186" s="69" t="s">
        <v>2028</v>
      </c>
      <c r="BD186" s="69">
        <v>182</v>
      </c>
      <c r="BE186" s="69">
        <v>96</v>
      </c>
      <c r="BF186" s="69">
        <v>123</v>
      </c>
      <c r="BG186" s="69">
        <v>161</v>
      </c>
      <c r="BH186" s="69">
        <v>200</v>
      </c>
      <c r="BI186" s="69">
        <v>762</v>
      </c>
      <c r="BJ186" s="69"/>
      <c r="BK186" s="69" t="s">
        <v>2028</v>
      </c>
      <c r="BL186" s="69">
        <v>60</v>
      </c>
      <c r="BM186" s="69">
        <v>0</v>
      </c>
      <c r="BN186" s="69">
        <v>0</v>
      </c>
      <c r="BO186" s="69">
        <v>0</v>
      </c>
      <c r="BP186" s="69">
        <v>0</v>
      </c>
      <c r="BQ186" s="69">
        <v>60</v>
      </c>
      <c r="BS186" s="70"/>
      <c r="BT186" s="70"/>
      <c r="BU186" s="70"/>
      <c r="BV186" s="70"/>
      <c r="BW186" s="70"/>
      <c r="BX186" s="70"/>
      <c r="BY186" s="70"/>
      <c r="BZ186" s="70"/>
      <c r="CA186" s="70"/>
      <c r="CB186" s="70"/>
      <c r="CC186" s="70"/>
      <c r="CD186" s="70"/>
      <c r="CE186" s="70"/>
      <c r="CF186" s="70"/>
      <c r="CG186" s="70"/>
      <c r="CH186" s="70"/>
      <c r="CL186" s="57" t="s">
        <v>482</v>
      </c>
      <c r="CM186" s="57" t="s">
        <v>25</v>
      </c>
      <c r="CN186" s="57">
        <v>110</v>
      </c>
      <c r="CO186" s="57">
        <v>84</v>
      </c>
      <c r="CP186" s="57">
        <v>147</v>
      </c>
      <c r="CQ186" s="57">
        <v>227</v>
      </c>
      <c r="CR186" s="57">
        <v>239</v>
      </c>
      <c r="CS186" s="57">
        <v>807</v>
      </c>
      <c r="CT186" s="57"/>
      <c r="CU186" s="57" t="s">
        <v>25</v>
      </c>
      <c r="CV186" s="57">
        <v>23</v>
      </c>
      <c r="CW186" s="57">
        <v>0</v>
      </c>
      <c r="CX186" s="57">
        <v>0</v>
      </c>
      <c r="CY186" s="57">
        <v>0</v>
      </c>
      <c r="CZ186" s="57">
        <v>0</v>
      </c>
      <c r="DA186" s="57">
        <v>23</v>
      </c>
      <c r="EN186" s="57" t="s">
        <v>1763</v>
      </c>
      <c r="EO186" s="57" t="s">
        <v>2098</v>
      </c>
      <c r="EP186" s="57">
        <v>62</v>
      </c>
      <c r="EQ186" s="57">
        <v>122</v>
      </c>
      <c r="ER186" s="57">
        <v>175</v>
      </c>
      <c r="ES186" s="57">
        <v>216</v>
      </c>
      <c r="ET186" s="57">
        <v>225</v>
      </c>
      <c r="EU186" s="57">
        <v>800</v>
      </c>
      <c r="EV186" s="57"/>
      <c r="EW186" s="57" t="s">
        <v>2098</v>
      </c>
      <c r="EX186" s="57">
        <v>5</v>
      </c>
      <c r="EY186" s="57">
        <v>2</v>
      </c>
      <c r="EZ186" s="57">
        <v>4</v>
      </c>
      <c r="FA186" s="57">
        <v>1</v>
      </c>
      <c r="FB186" s="57">
        <v>4</v>
      </c>
      <c r="FC186" s="57">
        <v>16</v>
      </c>
      <c r="FF186" s="70" t="s">
        <v>1793</v>
      </c>
      <c r="FG186" s="70" t="s">
        <v>708</v>
      </c>
      <c r="FH186" s="70">
        <v>195</v>
      </c>
      <c r="FI186" s="70">
        <v>265</v>
      </c>
      <c r="FJ186" s="70">
        <v>340</v>
      </c>
      <c r="FK186" s="70">
        <v>448</v>
      </c>
      <c r="FL186" s="70">
        <v>516</v>
      </c>
      <c r="FM186" s="70">
        <v>1764</v>
      </c>
      <c r="FN186" s="70"/>
      <c r="FO186" s="70" t="s">
        <v>708</v>
      </c>
      <c r="FP186" s="70">
        <v>5</v>
      </c>
      <c r="FQ186" s="70">
        <v>4</v>
      </c>
      <c r="FR186" s="70">
        <v>2</v>
      </c>
      <c r="FS186" s="70">
        <v>5</v>
      </c>
      <c r="FT186" s="70">
        <v>3</v>
      </c>
      <c r="FU186" s="70">
        <v>19</v>
      </c>
    </row>
    <row r="187" spans="1:177">
      <c r="B187" s="64" t="s">
        <v>858</v>
      </c>
      <c r="C187" s="64" t="s">
        <v>2032</v>
      </c>
      <c r="D187" s="64" t="s">
        <v>324</v>
      </c>
      <c r="E187" s="64" t="s">
        <v>324</v>
      </c>
      <c r="F187" s="64" t="s">
        <v>324</v>
      </c>
      <c r="G187" s="64" t="s">
        <v>324</v>
      </c>
      <c r="H187" s="64" t="s">
        <v>324</v>
      </c>
      <c r="I187" s="64" t="s">
        <v>324</v>
      </c>
      <c r="K187" s="64" t="s">
        <v>2032</v>
      </c>
      <c r="L187" s="64" t="s">
        <v>324</v>
      </c>
      <c r="M187" s="64" t="s">
        <v>324</v>
      </c>
      <c r="N187" s="64" t="s">
        <v>324</v>
      </c>
      <c r="O187" s="64" t="s">
        <v>324</v>
      </c>
      <c r="P187" s="64" t="s">
        <v>324</v>
      </c>
      <c r="Q187" s="64" t="s">
        <v>324</v>
      </c>
      <c r="AK187" s="66" t="s">
        <v>1948</v>
      </c>
      <c r="AL187" s="66" t="s">
        <v>2032</v>
      </c>
      <c r="AM187" s="66" t="s">
        <v>394</v>
      </c>
      <c r="AN187" s="66" t="s">
        <v>394</v>
      </c>
      <c r="AO187" s="66" t="s">
        <v>394</v>
      </c>
      <c r="AP187" s="66" t="s">
        <v>394</v>
      </c>
      <c r="AQ187" s="66" t="s">
        <v>394</v>
      </c>
      <c r="AR187" s="66" t="s">
        <v>394</v>
      </c>
      <c r="AS187" s="66"/>
      <c r="AT187" s="66" t="s">
        <v>2032</v>
      </c>
      <c r="AU187" s="66" t="s">
        <v>394</v>
      </c>
      <c r="AV187" s="66" t="s">
        <v>394</v>
      </c>
      <c r="AW187" s="66" t="s">
        <v>394</v>
      </c>
      <c r="AX187" s="66" t="s">
        <v>394</v>
      </c>
      <c r="AY187" s="66" t="s">
        <v>394</v>
      </c>
      <c r="AZ187" s="66" t="s">
        <v>394</v>
      </c>
      <c r="CL187" s="57" t="s">
        <v>484</v>
      </c>
      <c r="CM187" s="57" t="s">
        <v>25</v>
      </c>
      <c r="CN187" s="57">
        <v>1266</v>
      </c>
      <c r="CO187" s="57">
        <v>460</v>
      </c>
      <c r="CP187" s="57">
        <v>607</v>
      </c>
      <c r="CQ187" s="57">
        <v>643</v>
      </c>
      <c r="CR187" s="57">
        <v>564</v>
      </c>
      <c r="CS187" s="57">
        <v>3540</v>
      </c>
      <c r="CT187" s="57"/>
      <c r="CU187" s="57" t="s">
        <v>25</v>
      </c>
      <c r="CV187" s="57">
        <v>246</v>
      </c>
      <c r="CW187" s="57">
        <v>0</v>
      </c>
      <c r="CX187" s="57">
        <v>0</v>
      </c>
      <c r="CY187" s="57">
        <v>0</v>
      </c>
      <c r="CZ187" s="57">
        <v>0</v>
      </c>
      <c r="DA187" s="57">
        <v>246</v>
      </c>
      <c r="EN187" s="57" t="s">
        <v>1767</v>
      </c>
      <c r="EO187" s="57" t="s">
        <v>2098</v>
      </c>
      <c r="EP187" s="57">
        <v>152</v>
      </c>
      <c r="EQ187" s="57">
        <v>200</v>
      </c>
      <c r="ER187" s="57">
        <v>245</v>
      </c>
      <c r="ES187" s="57">
        <v>284</v>
      </c>
      <c r="ET187" s="57">
        <v>302</v>
      </c>
      <c r="EU187" s="57">
        <v>1183</v>
      </c>
      <c r="EV187" s="57"/>
      <c r="EW187" s="57" t="s">
        <v>2098</v>
      </c>
      <c r="EX187" s="57">
        <v>38</v>
      </c>
      <c r="EY187" s="57">
        <v>6</v>
      </c>
      <c r="EZ187" s="57">
        <v>0</v>
      </c>
      <c r="FA187" s="57">
        <v>0</v>
      </c>
      <c r="FB187" s="57">
        <v>0</v>
      </c>
      <c r="FC187" s="57">
        <v>44</v>
      </c>
      <c r="FF187" s="70" t="s">
        <v>1795</v>
      </c>
      <c r="FG187" s="70" t="s">
        <v>708</v>
      </c>
      <c r="FH187" s="70">
        <v>719</v>
      </c>
      <c r="FI187" s="70">
        <v>713</v>
      </c>
      <c r="FJ187" s="70">
        <v>798</v>
      </c>
      <c r="FK187" s="70">
        <v>726</v>
      </c>
      <c r="FL187" s="70">
        <v>780</v>
      </c>
      <c r="FM187" s="70">
        <v>3736</v>
      </c>
      <c r="FN187" s="70"/>
      <c r="FO187" s="70" t="s">
        <v>708</v>
      </c>
      <c r="FP187" s="70">
        <v>65</v>
      </c>
      <c r="FQ187" s="70">
        <v>0</v>
      </c>
      <c r="FR187" s="70">
        <v>0</v>
      </c>
      <c r="FS187" s="70">
        <v>0</v>
      </c>
      <c r="FT187" s="70">
        <v>0</v>
      </c>
      <c r="FU187" s="70">
        <v>65</v>
      </c>
    </row>
    <row r="188" spans="1:177">
      <c r="B188" s="64" t="s">
        <v>861</v>
      </c>
      <c r="C188" s="64" t="s">
        <v>2032</v>
      </c>
      <c r="D188" s="64" t="s">
        <v>324</v>
      </c>
      <c r="E188" s="64" t="s">
        <v>324</v>
      </c>
      <c r="F188" s="64" t="s">
        <v>324</v>
      </c>
      <c r="G188" s="64" t="s">
        <v>324</v>
      </c>
      <c r="H188" s="64" t="s">
        <v>324</v>
      </c>
      <c r="I188" s="64" t="s">
        <v>324</v>
      </c>
      <c r="K188" s="64" t="s">
        <v>2032</v>
      </c>
      <c r="L188" s="64" t="s">
        <v>324</v>
      </c>
      <c r="M188" s="64" t="s">
        <v>324</v>
      </c>
      <c r="N188" s="64" t="s">
        <v>324</v>
      </c>
      <c r="O188" s="64" t="s">
        <v>324</v>
      </c>
      <c r="P188" s="64" t="s">
        <v>324</v>
      </c>
      <c r="Q188" s="64" t="s">
        <v>324</v>
      </c>
      <c r="AK188" s="66" t="s">
        <v>1093</v>
      </c>
      <c r="AL188" s="66" t="s">
        <v>2032</v>
      </c>
      <c r="AM188" s="66" t="s">
        <v>394</v>
      </c>
      <c r="AN188" s="66" t="s">
        <v>394</v>
      </c>
      <c r="AO188" s="66" t="s">
        <v>394</v>
      </c>
      <c r="AP188" s="66" t="s">
        <v>394</v>
      </c>
      <c r="AQ188" s="66" t="s">
        <v>394</v>
      </c>
      <c r="AR188" s="66" t="s">
        <v>394</v>
      </c>
      <c r="AS188" s="66"/>
      <c r="AT188" s="66" t="s">
        <v>2032</v>
      </c>
      <c r="AU188" s="66" t="s">
        <v>394</v>
      </c>
      <c r="AV188" s="66" t="s">
        <v>394</v>
      </c>
      <c r="AW188" s="66" t="s">
        <v>394</v>
      </c>
      <c r="AX188" s="66" t="s">
        <v>394</v>
      </c>
      <c r="AY188" s="66" t="s">
        <v>394</v>
      </c>
      <c r="AZ188" s="66" t="s">
        <v>394</v>
      </c>
      <c r="BB188" s="69" t="s">
        <v>1152</v>
      </c>
      <c r="BC188" s="69" t="s">
        <v>2032</v>
      </c>
      <c r="BD188" s="69">
        <v>250</v>
      </c>
      <c r="BE188" s="69">
        <v>235</v>
      </c>
      <c r="BF188" s="69">
        <v>422</v>
      </c>
      <c r="BG188" s="69">
        <v>576</v>
      </c>
      <c r="BH188" s="69">
        <v>566</v>
      </c>
      <c r="BI188" s="69">
        <v>2049</v>
      </c>
      <c r="BJ188" s="69"/>
      <c r="BK188" s="69" t="s">
        <v>2032</v>
      </c>
      <c r="BL188" s="69">
        <v>22</v>
      </c>
      <c r="BM188" s="69">
        <v>0</v>
      </c>
      <c r="BN188" s="69">
        <v>0</v>
      </c>
      <c r="BO188" s="69">
        <v>0</v>
      </c>
      <c r="BP188" s="69">
        <v>0</v>
      </c>
      <c r="BQ188" s="69">
        <v>22</v>
      </c>
      <c r="BS188" s="21"/>
      <c r="CL188" s="57" t="s">
        <v>511</v>
      </c>
      <c r="CM188" s="57" t="s">
        <v>25</v>
      </c>
      <c r="CN188" s="57">
        <v>165</v>
      </c>
      <c r="CO188" s="57">
        <v>147</v>
      </c>
      <c r="CP188" s="57">
        <v>192</v>
      </c>
      <c r="CQ188" s="57">
        <v>223</v>
      </c>
      <c r="CR188" s="57">
        <v>208</v>
      </c>
      <c r="CS188" s="57">
        <v>935</v>
      </c>
      <c r="CT188" s="57"/>
      <c r="CU188" s="57" t="s">
        <v>25</v>
      </c>
      <c r="CV188" s="57">
        <v>16</v>
      </c>
      <c r="CW188" s="57">
        <v>0</v>
      </c>
      <c r="CX188" s="57">
        <v>0</v>
      </c>
      <c r="CY188" s="57">
        <v>0</v>
      </c>
      <c r="CZ188" s="57">
        <v>0</v>
      </c>
      <c r="DA188" s="57">
        <v>16</v>
      </c>
      <c r="EN188" s="57" t="s">
        <v>1770</v>
      </c>
      <c r="EO188" s="57" t="s">
        <v>2098</v>
      </c>
      <c r="EP188" s="57">
        <v>485</v>
      </c>
      <c r="EQ188" s="57">
        <v>578</v>
      </c>
      <c r="ER188" s="57">
        <v>514</v>
      </c>
      <c r="ES188" s="57">
        <v>557</v>
      </c>
      <c r="ET188" s="57">
        <v>577</v>
      </c>
      <c r="EU188" s="57">
        <v>2711</v>
      </c>
      <c r="EV188" s="57"/>
      <c r="EW188" s="57" t="s">
        <v>2098</v>
      </c>
      <c r="EX188" s="57">
        <v>36</v>
      </c>
      <c r="EY188" s="57">
        <v>7</v>
      </c>
      <c r="EZ188" s="57">
        <v>0</v>
      </c>
      <c r="FA188" s="57">
        <v>0</v>
      </c>
      <c r="FB188" s="57">
        <v>0</v>
      </c>
      <c r="FC188" s="57">
        <v>43</v>
      </c>
      <c r="FF188" s="70" t="s">
        <v>1797</v>
      </c>
      <c r="FG188" s="70" t="s">
        <v>708</v>
      </c>
      <c r="FH188" s="70">
        <v>210</v>
      </c>
      <c r="FI188" s="70">
        <v>317</v>
      </c>
      <c r="FJ188" s="70">
        <v>337</v>
      </c>
      <c r="FK188" s="70">
        <v>453</v>
      </c>
      <c r="FL188" s="70">
        <v>587</v>
      </c>
      <c r="FM188" s="70">
        <v>1904</v>
      </c>
      <c r="FN188" s="70"/>
      <c r="FO188" s="70" t="s">
        <v>708</v>
      </c>
      <c r="FP188" s="70">
        <v>15</v>
      </c>
      <c r="FQ188" s="70">
        <v>2</v>
      </c>
      <c r="FR188" s="70">
        <v>2</v>
      </c>
      <c r="FS188" s="70">
        <v>2</v>
      </c>
      <c r="FT188" s="70">
        <v>4</v>
      </c>
      <c r="FU188" s="70">
        <v>25</v>
      </c>
    </row>
    <row r="189" spans="1:177">
      <c r="B189" s="64" t="s">
        <v>864</v>
      </c>
      <c r="C189" s="64" t="s">
        <v>2032</v>
      </c>
      <c r="D189" s="64">
        <v>30</v>
      </c>
      <c r="E189" s="64">
        <v>45</v>
      </c>
      <c r="F189" s="64">
        <v>39</v>
      </c>
      <c r="G189" s="64">
        <v>63</v>
      </c>
      <c r="H189" s="64">
        <v>51</v>
      </c>
      <c r="I189" s="64">
        <v>228</v>
      </c>
      <c r="K189" s="64" t="s">
        <v>2032</v>
      </c>
      <c r="L189" s="64">
        <v>3</v>
      </c>
      <c r="M189" s="64">
        <v>0</v>
      </c>
      <c r="N189" s="64">
        <v>0</v>
      </c>
      <c r="O189" s="64">
        <v>0</v>
      </c>
      <c r="P189" s="64">
        <v>0</v>
      </c>
      <c r="Q189" s="64">
        <v>3</v>
      </c>
      <c r="AK189" s="66" t="s">
        <v>1098</v>
      </c>
      <c r="AL189" s="66" t="s">
        <v>2032</v>
      </c>
      <c r="AM189" s="66" t="s">
        <v>394</v>
      </c>
      <c r="AN189" s="66" t="s">
        <v>394</v>
      </c>
      <c r="AO189" s="66" t="s">
        <v>394</v>
      </c>
      <c r="AP189" s="66" t="s">
        <v>394</v>
      </c>
      <c r="AQ189" s="66" t="s">
        <v>394</v>
      </c>
      <c r="AR189" s="66" t="s">
        <v>394</v>
      </c>
      <c r="AS189" s="66"/>
      <c r="AT189" s="66" t="s">
        <v>2032</v>
      </c>
      <c r="AU189" s="66" t="s">
        <v>394</v>
      </c>
      <c r="AV189" s="66" t="s">
        <v>394</v>
      </c>
      <c r="AW189" s="66" t="s">
        <v>394</v>
      </c>
      <c r="AX189" s="66" t="s">
        <v>394</v>
      </c>
      <c r="AY189" s="66" t="s">
        <v>394</v>
      </c>
      <c r="AZ189" s="66" t="s">
        <v>394</v>
      </c>
      <c r="BB189" s="69" t="s">
        <v>1155</v>
      </c>
      <c r="BC189" s="69" t="s">
        <v>2032</v>
      </c>
      <c r="BD189" s="69">
        <v>398</v>
      </c>
      <c r="BE189" s="69">
        <v>251</v>
      </c>
      <c r="BF189" s="69">
        <v>376</v>
      </c>
      <c r="BG189" s="69">
        <v>419</v>
      </c>
      <c r="BH189" s="69">
        <v>385</v>
      </c>
      <c r="BI189" s="69">
        <v>1829</v>
      </c>
      <c r="BJ189" s="69"/>
      <c r="BK189" s="69" t="s">
        <v>2032</v>
      </c>
      <c r="BL189" s="69">
        <v>81</v>
      </c>
      <c r="BM189" s="69">
        <v>0</v>
      </c>
      <c r="BN189" s="69">
        <v>0</v>
      </c>
      <c r="BO189" s="69">
        <v>0</v>
      </c>
      <c r="BP189" s="69">
        <v>0</v>
      </c>
      <c r="BQ189" s="69">
        <v>81</v>
      </c>
      <c r="BS189" s="21"/>
      <c r="CL189" s="57" t="s">
        <v>531</v>
      </c>
      <c r="CM189" s="57" t="s">
        <v>25</v>
      </c>
      <c r="CN189" s="57">
        <v>44</v>
      </c>
      <c r="CO189" s="57">
        <v>45</v>
      </c>
      <c r="CP189" s="57">
        <v>60</v>
      </c>
      <c r="CQ189" s="57">
        <v>62</v>
      </c>
      <c r="CR189" s="57">
        <v>88</v>
      </c>
      <c r="CS189" s="57">
        <v>299</v>
      </c>
      <c r="CT189" s="57"/>
      <c r="CU189" s="57" t="s">
        <v>25</v>
      </c>
      <c r="CV189" s="57">
        <v>13</v>
      </c>
      <c r="CW189" s="57">
        <v>0</v>
      </c>
      <c r="CX189" s="57">
        <v>0</v>
      </c>
      <c r="CY189" s="57">
        <v>0</v>
      </c>
      <c r="CZ189" s="57">
        <v>0</v>
      </c>
      <c r="DA189" s="57">
        <v>13</v>
      </c>
      <c r="EN189" s="57" t="s">
        <v>1774</v>
      </c>
      <c r="EO189" s="57" t="s">
        <v>2098</v>
      </c>
      <c r="EP189" s="57">
        <v>385</v>
      </c>
      <c r="EQ189" s="57">
        <v>402</v>
      </c>
      <c r="ER189" s="57">
        <v>370</v>
      </c>
      <c r="ES189" s="57">
        <v>456</v>
      </c>
      <c r="ET189" s="57">
        <v>535</v>
      </c>
      <c r="EU189" s="57">
        <v>2148</v>
      </c>
      <c r="EV189" s="57"/>
      <c r="EW189" s="57" t="s">
        <v>2098</v>
      </c>
      <c r="EX189" s="57">
        <v>27</v>
      </c>
      <c r="EY189" s="57">
        <v>7</v>
      </c>
      <c r="EZ189" s="57">
        <v>5</v>
      </c>
      <c r="FA189" s="57">
        <v>5</v>
      </c>
      <c r="FB189" s="57">
        <v>7</v>
      </c>
      <c r="FC189" s="57">
        <v>51</v>
      </c>
      <c r="FF189" s="70" t="s">
        <v>1800</v>
      </c>
      <c r="FG189" s="70" t="s">
        <v>708</v>
      </c>
      <c r="FH189" s="70">
        <v>100</v>
      </c>
      <c r="FI189" s="70">
        <v>129</v>
      </c>
      <c r="FJ189" s="70">
        <v>197</v>
      </c>
      <c r="FK189" s="70">
        <v>272</v>
      </c>
      <c r="FL189" s="70">
        <v>382</v>
      </c>
      <c r="FM189" s="70">
        <v>1080</v>
      </c>
      <c r="FN189" s="70"/>
      <c r="FO189" s="70" t="s">
        <v>708</v>
      </c>
      <c r="FP189" s="70">
        <v>5</v>
      </c>
      <c r="FQ189" s="70">
        <v>5</v>
      </c>
      <c r="FR189" s="70">
        <v>2</v>
      </c>
      <c r="FS189" s="70">
        <v>1</v>
      </c>
      <c r="FT189" s="70">
        <v>1</v>
      </c>
      <c r="FU189" s="70">
        <v>14</v>
      </c>
    </row>
    <row r="190" spans="1:177">
      <c r="B190" s="64" t="s">
        <v>869</v>
      </c>
      <c r="C190" s="64" t="s">
        <v>2032</v>
      </c>
      <c r="D190" s="64">
        <v>326</v>
      </c>
      <c r="E190" s="64">
        <v>376</v>
      </c>
      <c r="F190" s="64">
        <v>418</v>
      </c>
      <c r="G190" s="64">
        <v>458</v>
      </c>
      <c r="H190" s="64">
        <v>330</v>
      </c>
      <c r="I190" s="64">
        <v>1908</v>
      </c>
      <c r="K190" s="64" t="s">
        <v>2032</v>
      </c>
      <c r="L190" s="64">
        <v>63</v>
      </c>
      <c r="M190" s="64">
        <v>3</v>
      </c>
      <c r="N190" s="64">
        <v>0</v>
      </c>
      <c r="O190" s="64">
        <v>0</v>
      </c>
      <c r="P190" s="64">
        <v>1</v>
      </c>
      <c r="Q190" s="64">
        <v>67</v>
      </c>
      <c r="AK190" s="66" t="s">
        <v>1101</v>
      </c>
      <c r="AL190" s="66" t="s">
        <v>2032</v>
      </c>
      <c r="AM190" s="66" t="s">
        <v>394</v>
      </c>
      <c r="AN190" s="66" t="s">
        <v>394</v>
      </c>
      <c r="AO190" s="66" t="s">
        <v>394</v>
      </c>
      <c r="AP190" s="66" t="s">
        <v>394</v>
      </c>
      <c r="AQ190" s="66" t="s">
        <v>394</v>
      </c>
      <c r="AR190" s="66" t="s">
        <v>394</v>
      </c>
      <c r="AS190" s="66"/>
      <c r="AT190" s="66" t="s">
        <v>2032</v>
      </c>
      <c r="AU190" s="66" t="s">
        <v>394</v>
      </c>
      <c r="AV190" s="66" t="s">
        <v>394</v>
      </c>
      <c r="AW190" s="66" t="s">
        <v>394</v>
      </c>
      <c r="AX190" s="66" t="s">
        <v>394</v>
      </c>
      <c r="AY190" s="66" t="s">
        <v>394</v>
      </c>
      <c r="AZ190" s="66" t="s">
        <v>394</v>
      </c>
      <c r="BB190" s="69" t="s">
        <v>1159</v>
      </c>
      <c r="BC190" s="69" t="s">
        <v>2032</v>
      </c>
      <c r="BD190" s="69">
        <v>187</v>
      </c>
      <c r="BE190" s="69">
        <v>239</v>
      </c>
      <c r="BF190" s="69">
        <v>466</v>
      </c>
      <c r="BG190" s="69">
        <v>640</v>
      </c>
      <c r="BH190" s="69">
        <v>484</v>
      </c>
      <c r="BI190" s="69">
        <v>2016</v>
      </c>
      <c r="BJ190" s="69"/>
      <c r="BK190" s="69" t="s">
        <v>2032</v>
      </c>
      <c r="BL190" s="69">
        <v>14</v>
      </c>
      <c r="BM190" s="69">
        <v>0</v>
      </c>
      <c r="BN190" s="69">
        <v>0</v>
      </c>
      <c r="BO190" s="69">
        <v>0</v>
      </c>
      <c r="BP190" s="69">
        <v>0</v>
      </c>
      <c r="BQ190" s="69">
        <v>14</v>
      </c>
      <c r="BS190" s="21"/>
      <c r="CL190" s="57" t="s">
        <v>513</v>
      </c>
      <c r="CM190" s="57" t="s">
        <v>25</v>
      </c>
      <c r="CN190" s="57">
        <v>134</v>
      </c>
      <c r="CO190" s="57">
        <v>87</v>
      </c>
      <c r="CP190" s="57">
        <v>197</v>
      </c>
      <c r="CQ190" s="57">
        <v>268</v>
      </c>
      <c r="CR190" s="57">
        <v>217</v>
      </c>
      <c r="CS190" s="57">
        <v>903</v>
      </c>
      <c r="CT190" s="57"/>
      <c r="CU190" s="57" t="s">
        <v>25</v>
      </c>
      <c r="CV190" s="57">
        <v>13</v>
      </c>
      <c r="CW190" s="57">
        <v>0</v>
      </c>
      <c r="CX190" s="57">
        <v>0</v>
      </c>
      <c r="CY190" s="57">
        <v>0</v>
      </c>
      <c r="CZ190" s="57">
        <v>0</v>
      </c>
      <c r="DA190" s="57">
        <v>13</v>
      </c>
      <c r="EN190" s="57" t="s">
        <v>1778</v>
      </c>
      <c r="EO190" s="57" t="s">
        <v>2098</v>
      </c>
      <c r="EP190" s="57">
        <v>226</v>
      </c>
      <c r="EQ190" s="57">
        <v>327</v>
      </c>
      <c r="ER190" s="57">
        <v>405</v>
      </c>
      <c r="ES190" s="57">
        <v>541</v>
      </c>
      <c r="ET190" s="57">
        <v>550</v>
      </c>
      <c r="EU190" s="57">
        <v>2049</v>
      </c>
      <c r="EV190" s="57"/>
      <c r="EW190" s="57" t="s">
        <v>2098</v>
      </c>
      <c r="EX190" s="57">
        <v>33</v>
      </c>
      <c r="EY190" s="57">
        <v>14</v>
      </c>
      <c r="EZ190" s="57">
        <v>12</v>
      </c>
      <c r="FA190" s="57">
        <v>5</v>
      </c>
      <c r="FB190" s="57">
        <v>1</v>
      </c>
      <c r="FC190" s="57">
        <v>65</v>
      </c>
      <c r="FF190" s="70" t="s">
        <v>1803</v>
      </c>
      <c r="FG190" s="70" t="s">
        <v>708</v>
      </c>
      <c r="FH190" s="70">
        <v>602</v>
      </c>
      <c r="FI190" s="70">
        <v>591</v>
      </c>
      <c r="FJ190" s="70">
        <v>563</v>
      </c>
      <c r="FK190" s="70">
        <v>591</v>
      </c>
      <c r="FL190" s="70">
        <v>774</v>
      </c>
      <c r="FM190" s="70">
        <v>3121</v>
      </c>
      <c r="FN190" s="70"/>
      <c r="FO190" s="70" t="s">
        <v>708</v>
      </c>
      <c r="FP190" s="70">
        <v>152</v>
      </c>
      <c r="FQ190" s="70">
        <v>51</v>
      </c>
      <c r="FR190" s="70">
        <v>13</v>
      </c>
      <c r="FS190" s="70">
        <v>11</v>
      </c>
      <c r="FT190" s="70">
        <v>4</v>
      </c>
      <c r="FU190" s="70">
        <v>231</v>
      </c>
    </row>
    <row r="191" spans="1:177">
      <c r="B191" s="64" t="s">
        <v>874</v>
      </c>
      <c r="C191" s="64" t="s">
        <v>2032</v>
      </c>
      <c r="D191" s="64">
        <v>236</v>
      </c>
      <c r="E191" s="64">
        <v>319</v>
      </c>
      <c r="F191" s="64">
        <v>387</v>
      </c>
      <c r="G191" s="64">
        <v>433</v>
      </c>
      <c r="H191" s="64">
        <v>289</v>
      </c>
      <c r="I191" s="64">
        <v>1664</v>
      </c>
      <c r="K191" s="64" t="s">
        <v>2032</v>
      </c>
      <c r="L191" s="64">
        <v>41</v>
      </c>
      <c r="M191" s="64">
        <v>5</v>
      </c>
      <c r="N191" s="64">
        <v>2</v>
      </c>
      <c r="O191" s="64">
        <v>0</v>
      </c>
      <c r="P191" s="64">
        <v>0</v>
      </c>
      <c r="Q191" s="64">
        <v>48</v>
      </c>
      <c r="AK191" s="66" t="s">
        <v>1104</v>
      </c>
      <c r="AL191" s="66" t="s">
        <v>2032</v>
      </c>
      <c r="AM191" s="66" t="s">
        <v>394</v>
      </c>
      <c r="AN191" s="66" t="s">
        <v>394</v>
      </c>
      <c r="AO191" s="66" t="s">
        <v>394</v>
      </c>
      <c r="AP191" s="66" t="s">
        <v>394</v>
      </c>
      <c r="AQ191" s="66" t="s">
        <v>394</v>
      </c>
      <c r="AR191" s="66" t="s">
        <v>394</v>
      </c>
      <c r="AS191" s="66"/>
      <c r="AT191" s="66" t="s">
        <v>2032</v>
      </c>
      <c r="AU191" s="66" t="s">
        <v>394</v>
      </c>
      <c r="AV191" s="66" t="s">
        <v>394</v>
      </c>
      <c r="AW191" s="66" t="s">
        <v>394</v>
      </c>
      <c r="AX191" s="66" t="s">
        <v>394</v>
      </c>
      <c r="AY191" s="66" t="s">
        <v>394</v>
      </c>
      <c r="AZ191" s="66" t="s">
        <v>394</v>
      </c>
      <c r="BB191" s="69" t="s">
        <v>1162</v>
      </c>
      <c r="BC191" s="69" t="s">
        <v>2032</v>
      </c>
      <c r="BD191" s="69">
        <v>155</v>
      </c>
      <c r="BE191" s="69">
        <v>151</v>
      </c>
      <c r="BF191" s="69">
        <v>295</v>
      </c>
      <c r="BG191" s="69">
        <v>400</v>
      </c>
      <c r="BH191" s="69">
        <v>385</v>
      </c>
      <c r="BI191" s="69">
        <v>1386</v>
      </c>
      <c r="BJ191" s="69"/>
      <c r="BK191" s="69" t="s">
        <v>2032</v>
      </c>
      <c r="BL191" s="69">
        <v>21</v>
      </c>
      <c r="BM191" s="69">
        <v>0</v>
      </c>
      <c r="BN191" s="69">
        <v>0</v>
      </c>
      <c r="BO191" s="69">
        <v>0</v>
      </c>
      <c r="BP191" s="69">
        <v>0</v>
      </c>
      <c r="BQ191" s="69">
        <v>21</v>
      </c>
      <c r="BS191" s="21"/>
      <c r="CL191" s="57" t="s">
        <v>515</v>
      </c>
      <c r="CM191" s="57" t="s">
        <v>25</v>
      </c>
      <c r="CN191" s="57">
        <v>224</v>
      </c>
      <c r="CO191" s="57">
        <v>361</v>
      </c>
      <c r="CP191" s="57">
        <v>515</v>
      </c>
      <c r="CQ191" s="57">
        <v>639</v>
      </c>
      <c r="CR191" s="57">
        <v>591</v>
      </c>
      <c r="CS191" s="57">
        <v>2330</v>
      </c>
      <c r="CT191" s="57"/>
      <c r="CU191" s="57" t="s">
        <v>25</v>
      </c>
      <c r="CV191" s="57">
        <v>8</v>
      </c>
      <c r="CW191" s="57">
        <v>0</v>
      </c>
      <c r="CX191" s="57">
        <v>0</v>
      </c>
      <c r="CY191" s="57">
        <v>0</v>
      </c>
      <c r="CZ191" s="57">
        <v>0</v>
      </c>
      <c r="DA191" s="57">
        <v>8</v>
      </c>
      <c r="EN191" s="57" t="s">
        <v>1781</v>
      </c>
      <c r="EO191" s="57" t="s">
        <v>2098</v>
      </c>
      <c r="EP191" s="57">
        <v>174</v>
      </c>
      <c r="EQ191" s="57">
        <v>234</v>
      </c>
      <c r="ER191" s="57">
        <v>299</v>
      </c>
      <c r="ES191" s="57">
        <v>397</v>
      </c>
      <c r="ET191" s="57">
        <v>530</v>
      </c>
      <c r="EU191" s="57">
        <v>1634</v>
      </c>
      <c r="EV191" s="57"/>
      <c r="EW191" s="57" t="s">
        <v>2098</v>
      </c>
      <c r="EX191" s="57">
        <v>31</v>
      </c>
      <c r="EY191" s="57">
        <v>4</v>
      </c>
      <c r="EZ191" s="57">
        <v>0</v>
      </c>
      <c r="FA191" s="57">
        <v>2</v>
      </c>
      <c r="FB191" s="57">
        <v>2</v>
      </c>
      <c r="FC191" s="57">
        <v>39</v>
      </c>
      <c r="FF191" s="70" t="s">
        <v>1806</v>
      </c>
      <c r="FG191" s="70" t="s">
        <v>708</v>
      </c>
      <c r="FH191" s="70">
        <v>137</v>
      </c>
      <c r="FI191" s="70">
        <v>233</v>
      </c>
      <c r="FJ191" s="70">
        <v>234</v>
      </c>
      <c r="FK191" s="70">
        <v>282</v>
      </c>
      <c r="FL191" s="70">
        <v>395</v>
      </c>
      <c r="FM191" s="70">
        <v>1281</v>
      </c>
      <c r="FN191" s="70"/>
      <c r="FO191" s="70" t="s">
        <v>708</v>
      </c>
      <c r="FP191" s="70">
        <v>18</v>
      </c>
      <c r="FQ191" s="70">
        <v>7</v>
      </c>
      <c r="FR191" s="70">
        <v>5</v>
      </c>
      <c r="FS191" s="70">
        <v>4</v>
      </c>
      <c r="FT191" s="70">
        <v>2</v>
      </c>
      <c r="FU191" s="70">
        <v>36</v>
      </c>
    </row>
    <row r="192" spans="1:177">
      <c r="B192" s="64" t="s">
        <v>878</v>
      </c>
      <c r="C192" s="64" t="s">
        <v>2032</v>
      </c>
      <c r="D192" s="64">
        <v>635</v>
      </c>
      <c r="E192" s="64">
        <v>576</v>
      </c>
      <c r="F192" s="64">
        <v>637</v>
      </c>
      <c r="G192" s="64">
        <v>595</v>
      </c>
      <c r="H192" s="64">
        <v>378</v>
      </c>
      <c r="I192" s="64">
        <v>2821</v>
      </c>
      <c r="K192" s="64" t="s">
        <v>2032</v>
      </c>
      <c r="L192" s="64">
        <v>106</v>
      </c>
      <c r="M192" s="64">
        <v>4</v>
      </c>
      <c r="N192" s="64">
        <v>1</v>
      </c>
      <c r="O192" s="64">
        <v>0</v>
      </c>
      <c r="P192" s="64">
        <v>0</v>
      </c>
      <c r="Q192" s="64">
        <v>111</v>
      </c>
      <c r="AK192" s="66" t="s">
        <v>2036</v>
      </c>
      <c r="AL192" s="66" t="s">
        <v>2032</v>
      </c>
      <c r="AM192" s="66">
        <v>292</v>
      </c>
      <c r="AN192" s="66">
        <v>575</v>
      </c>
      <c r="AO192" s="66">
        <v>776</v>
      </c>
      <c r="AP192" s="66">
        <v>860</v>
      </c>
      <c r="AQ192" s="66">
        <v>626</v>
      </c>
      <c r="AR192" s="66">
        <v>3129</v>
      </c>
      <c r="AS192" s="66"/>
      <c r="AT192" s="66" t="s">
        <v>2032</v>
      </c>
      <c r="AU192" s="66">
        <v>67</v>
      </c>
      <c r="AV192" s="66">
        <v>3</v>
      </c>
      <c r="AW192" s="66">
        <v>0</v>
      </c>
      <c r="AX192" s="66">
        <v>1</v>
      </c>
      <c r="AY192" s="66">
        <v>0</v>
      </c>
      <c r="AZ192" s="66">
        <v>71</v>
      </c>
      <c r="BB192" s="69" t="s">
        <v>1165</v>
      </c>
      <c r="BC192" s="69" t="s">
        <v>2032</v>
      </c>
      <c r="BD192" s="69">
        <v>247</v>
      </c>
      <c r="BE192" s="69">
        <v>242</v>
      </c>
      <c r="BF192" s="69">
        <v>286</v>
      </c>
      <c r="BG192" s="69">
        <v>316</v>
      </c>
      <c r="BH192" s="69">
        <v>254</v>
      </c>
      <c r="BI192" s="69">
        <v>1345</v>
      </c>
      <c r="BJ192" s="69"/>
      <c r="BK192" s="69" t="s">
        <v>2032</v>
      </c>
      <c r="BL192" s="69">
        <v>52</v>
      </c>
      <c r="BM192" s="69">
        <v>0</v>
      </c>
      <c r="BN192" s="69">
        <v>0</v>
      </c>
      <c r="BO192" s="69">
        <v>0</v>
      </c>
      <c r="BP192" s="69">
        <v>0</v>
      </c>
      <c r="BQ192" s="69">
        <v>52</v>
      </c>
      <c r="BS192" s="21"/>
      <c r="CL192" s="57" t="s">
        <v>507</v>
      </c>
      <c r="CM192" s="57" t="s">
        <v>25</v>
      </c>
      <c r="CN192" s="57">
        <v>259</v>
      </c>
      <c r="CO192" s="57">
        <v>100</v>
      </c>
      <c r="CP192" s="57">
        <v>139</v>
      </c>
      <c r="CQ192" s="57">
        <v>232</v>
      </c>
      <c r="CR192" s="57">
        <v>286</v>
      </c>
      <c r="CS192" s="57">
        <v>1016</v>
      </c>
      <c r="CT192" s="57"/>
      <c r="CU192" s="57" t="s">
        <v>25</v>
      </c>
      <c r="CV192" s="57">
        <v>65</v>
      </c>
      <c r="CW192" s="57">
        <v>0</v>
      </c>
      <c r="CX192" s="57">
        <v>0</v>
      </c>
      <c r="CY192" s="57">
        <v>0</v>
      </c>
      <c r="CZ192" s="57">
        <v>0</v>
      </c>
      <c r="DA192" s="57">
        <v>65</v>
      </c>
      <c r="EN192" s="57" t="s">
        <v>1784</v>
      </c>
      <c r="EO192" s="57" t="s">
        <v>2098</v>
      </c>
      <c r="EP192" s="57">
        <v>228</v>
      </c>
      <c r="EQ192" s="57">
        <v>322</v>
      </c>
      <c r="ER192" s="57">
        <v>428</v>
      </c>
      <c r="ES192" s="57">
        <v>498</v>
      </c>
      <c r="ET192" s="57">
        <v>564</v>
      </c>
      <c r="EU192" s="57">
        <v>2040</v>
      </c>
      <c r="EV192" s="57"/>
      <c r="EW192" s="57" t="s">
        <v>2098</v>
      </c>
      <c r="EX192" s="57">
        <v>44</v>
      </c>
      <c r="EY192" s="57">
        <v>10</v>
      </c>
      <c r="EZ192" s="57">
        <v>13</v>
      </c>
      <c r="FA192" s="57">
        <v>8</v>
      </c>
      <c r="FB192" s="57">
        <v>8</v>
      </c>
      <c r="FC192" s="57">
        <v>83</v>
      </c>
      <c r="FF192" s="70" t="s">
        <v>1807</v>
      </c>
      <c r="FG192" s="70" t="s">
        <v>708</v>
      </c>
      <c r="FH192" s="70">
        <v>273</v>
      </c>
      <c r="FI192" s="70">
        <v>290</v>
      </c>
      <c r="FJ192" s="70">
        <v>246</v>
      </c>
      <c r="FK192" s="70">
        <v>339</v>
      </c>
      <c r="FL192" s="70">
        <v>410</v>
      </c>
      <c r="FM192" s="70">
        <v>1558</v>
      </c>
      <c r="FN192" s="70"/>
      <c r="FO192" s="70" t="s">
        <v>708</v>
      </c>
      <c r="FP192" s="70">
        <v>45</v>
      </c>
      <c r="FQ192" s="70">
        <v>14</v>
      </c>
      <c r="FR192" s="70">
        <v>3</v>
      </c>
      <c r="FS192" s="70">
        <v>0</v>
      </c>
      <c r="FT192" s="70">
        <v>0</v>
      </c>
      <c r="FU192" s="70">
        <v>62</v>
      </c>
    </row>
    <row r="193" spans="2:177">
      <c r="B193" s="64" t="s">
        <v>882</v>
      </c>
      <c r="C193" s="64" t="s">
        <v>2032</v>
      </c>
      <c r="D193" s="64">
        <v>481</v>
      </c>
      <c r="E193" s="64">
        <v>459</v>
      </c>
      <c r="F193" s="64">
        <v>547</v>
      </c>
      <c r="G193" s="64">
        <v>620</v>
      </c>
      <c r="H193" s="64">
        <v>380</v>
      </c>
      <c r="I193" s="64">
        <v>2487</v>
      </c>
      <c r="K193" s="64" t="s">
        <v>2032</v>
      </c>
      <c r="L193" s="64">
        <v>84</v>
      </c>
      <c r="M193" s="64">
        <v>5</v>
      </c>
      <c r="N193" s="64">
        <v>0</v>
      </c>
      <c r="O193" s="64">
        <v>0</v>
      </c>
      <c r="P193" s="64">
        <v>0</v>
      </c>
      <c r="Q193" s="64">
        <v>89</v>
      </c>
      <c r="AK193" s="66" t="s">
        <v>2037</v>
      </c>
      <c r="AL193" s="66" t="s">
        <v>2032</v>
      </c>
      <c r="AM193" s="66">
        <v>217</v>
      </c>
      <c r="AN193" s="66">
        <v>224</v>
      </c>
      <c r="AO193" s="66">
        <v>430</v>
      </c>
      <c r="AP193" s="66">
        <v>495</v>
      </c>
      <c r="AQ193" s="66">
        <v>471</v>
      </c>
      <c r="AR193" s="66">
        <v>1837</v>
      </c>
      <c r="AS193" s="66"/>
      <c r="AT193" s="66" t="s">
        <v>2032</v>
      </c>
      <c r="AU193" s="66">
        <v>52</v>
      </c>
      <c r="AV193" s="66">
        <v>2</v>
      </c>
      <c r="AW193" s="66">
        <v>0</v>
      </c>
      <c r="AX193" s="66">
        <v>0</v>
      </c>
      <c r="AY193" s="66">
        <v>0</v>
      </c>
      <c r="AZ193" s="66">
        <v>54</v>
      </c>
      <c r="BB193" s="69" t="s">
        <v>1168</v>
      </c>
      <c r="BC193" s="69" t="s">
        <v>2032</v>
      </c>
      <c r="BD193" s="69">
        <v>309</v>
      </c>
      <c r="BE193" s="69">
        <v>226</v>
      </c>
      <c r="BF193" s="69">
        <v>322</v>
      </c>
      <c r="BG193" s="69">
        <v>341</v>
      </c>
      <c r="BH193" s="69">
        <v>270</v>
      </c>
      <c r="BI193" s="69">
        <v>1468</v>
      </c>
      <c r="BJ193" s="69"/>
      <c r="BK193" s="69" t="s">
        <v>2032</v>
      </c>
      <c r="BL193" s="69">
        <v>20</v>
      </c>
      <c r="BM193" s="69">
        <v>0</v>
      </c>
      <c r="BN193" s="69">
        <v>0</v>
      </c>
      <c r="BO193" s="69">
        <v>0</v>
      </c>
      <c r="BP193" s="69">
        <v>0</v>
      </c>
      <c r="BQ193" s="69">
        <v>20</v>
      </c>
      <c r="BS193" s="21"/>
      <c r="CL193" s="57" t="s">
        <v>519</v>
      </c>
      <c r="CM193" s="57" t="s">
        <v>25</v>
      </c>
      <c r="CN193" s="57">
        <v>76</v>
      </c>
      <c r="CO193" s="57">
        <v>96</v>
      </c>
      <c r="CP193" s="57">
        <v>164</v>
      </c>
      <c r="CQ193" s="57">
        <v>211</v>
      </c>
      <c r="CR193" s="57">
        <v>219</v>
      </c>
      <c r="CS193" s="57">
        <v>766</v>
      </c>
      <c r="CT193" s="57"/>
      <c r="CU193" s="57" t="s">
        <v>25</v>
      </c>
      <c r="CV193" s="57">
        <v>15</v>
      </c>
      <c r="CW193" s="57">
        <v>0</v>
      </c>
      <c r="CX193" s="57">
        <v>0</v>
      </c>
      <c r="CY193" s="57">
        <v>0</v>
      </c>
      <c r="CZ193" s="57">
        <v>0</v>
      </c>
      <c r="DA193" s="57">
        <v>15</v>
      </c>
      <c r="EN193" s="57" t="s">
        <v>1787</v>
      </c>
      <c r="EO193" s="57" t="s">
        <v>2098</v>
      </c>
      <c r="EP193" s="57">
        <v>59</v>
      </c>
      <c r="EQ193" s="57">
        <v>132</v>
      </c>
      <c r="ER193" s="57">
        <v>158</v>
      </c>
      <c r="ES193" s="57">
        <v>270</v>
      </c>
      <c r="ET193" s="57">
        <v>305</v>
      </c>
      <c r="EU193" s="57">
        <v>924</v>
      </c>
      <c r="EV193" s="57"/>
      <c r="EW193" s="57" t="s">
        <v>2098</v>
      </c>
      <c r="EX193" s="57">
        <v>5</v>
      </c>
      <c r="EY193" s="57">
        <v>3</v>
      </c>
      <c r="EZ193" s="57">
        <v>0</v>
      </c>
      <c r="FA193" s="57">
        <v>2</v>
      </c>
      <c r="FB193" s="57">
        <v>1</v>
      </c>
      <c r="FC193" s="57">
        <v>11</v>
      </c>
      <c r="FF193" s="70" t="s">
        <v>1808</v>
      </c>
      <c r="FG193" s="70" t="s">
        <v>708</v>
      </c>
      <c r="FH193" s="70">
        <v>272</v>
      </c>
      <c r="FI193" s="70">
        <v>366</v>
      </c>
      <c r="FJ193" s="70">
        <v>319</v>
      </c>
      <c r="FK193" s="70">
        <v>427</v>
      </c>
      <c r="FL193" s="70">
        <v>541</v>
      </c>
      <c r="FM193" s="70">
        <v>1925</v>
      </c>
      <c r="FN193" s="70"/>
      <c r="FO193" s="70" t="s">
        <v>708</v>
      </c>
      <c r="FP193" s="70">
        <v>64</v>
      </c>
      <c r="FQ193" s="70">
        <v>16</v>
      </c>
      <c r="FR193" s="70">
        <v>6</v>
      </c>
      <c r="FS193" s="70">
        <v>2</v>
      </c>
      <c r="FT193" s="70">
        <v>8</v>
      </c>
      <c r="FU193" s="70">
        <v>96</v>
      </c>
    </row>
    <row r="194" spans="2:177">
      <c r="B194" s="64" t="s">
        <v>889</v>
      </c>
      <c r="C194" s="64" t="s">
        <v>2032</v>
      </c>
      <c r="D194" s="64">
        <v>128</v>
      </c>
      <c r="E194" s="64">
        <v>191</v>
      </c>
      <c r="F194" s="64">
        <v>296</v>
      </c>
      <c r="G194" s="64">
        <v>310</v>
      </c>
      <c r="H194" s="64">
        <v>259</v>
      </c>
      <c r="I194" s="64">
        <v>1184</v>
      </c>
      <c r="K194" s="64" t="s">
        <v>2032</v>
      </c>
      <c r="L194" s="64">
        <v>17</v>
      </c>
      <c r="M194" s="64">
        <v>2</v>
      </c>
      <c r="N194" s="64">
        <v>3</v>
      </c>
      <c r="O194" s="64">
        <v>0</v>
      </c>
      <c r="P194" s="64">
        <v>0</v>
      </c>
      <c r="Q194" s="64">
        <v>22</v>
      </c>
      <c r="AK194" s="66" t="s">
        <v>2038</v>
      </c>
      <c r="AL194" s="66" t="s">
        <v>2032</v>
      </c>
      <c r="AM194" s="66">
        <v>562</v>
      </c>
      <c r="AN194" s="66">
        <v>368</v>
      </c>
      <c r="AO194" s="66">
        <v>475</v>
      </c>
      <c r="AP194" s="66">
        <v>502</v>
      </c>
      <c r="AQ194" s="66">
        <v>395</v>
      </c>
      <c r="AR194" s="66">
        <v>2302</v>
      </c>
      <c r="AS194" s="66"/>
      <c r="AT194" s="66" t="s">
        <v>2032</v>
      </c>
      <c r="AU194" s="66">
        <v>76</v>
      </c>
      <c r="AV194" s="66">
        <v>4</v>
      </c>
      <c r="AW194" s="66">
        <v>2</v>
      </c>
      <c r="AX194" s="66">
        <v>0</v>
      </c>
      <c r="AY194" s="66">
        <v>0</v>
      </c>
      <c r="AZ194" s="66">
        <v>82</v>
      </c>
      <c r="BB194" s="69" t="s">
        <v>1172</v>
      </c>
      <c r="BC194" s="69" t="s">
        <v>2032</v>
      </c>
      <c r="BD194" s="69">
        <v>508</v>
      </c>
      <c r="BE194" s="69">
        <v>347</v>
      </c>
      <c r="BF194" s="69">
        <v>412</v>
      </c>
      <c r="BG194" s="69">
        <v>530</v>
      </c>
      <c r="BH194" s="69">
        <v>396</v>
      </c>
      <c r="BI194" s="69">
        <v>2193</v>
      </c>
      <c r="BJ194" s="69"/>
      <c r="BK194" s="69" t="s">
        <v>2032</v>
      </c>
      <c r="BL194" s="69">
        <v>49</v>
      </c>
      <c r="BM194" s="69">
        <v>0</v>
      </c>
      <c r="BN194" s="69">
        <v>0</v>
      </c>
      <c r="BO194" s="69">
        <v>0</v>
      </c>
      <c r="BP194" s="69">
        <v>0</v>
      </c>
      <c r="BQ194" s="69">
        <v>49</v>
      </c>
      <c r="BS194" s="21"/>
      <c r="CL194" s="57" t="s">
        <v>522</v>
      </c>
      <c r="CM194" s="57" t="s">
        <v>25</v>
      </c>
      <c r="CN194" s="57">
        <v>189</v>
      </c>
      <c r="CO194" s="57">
        <v>82</v>
      </c>
      <c r="CP194" s="57">
        <v>171</v>
      </c>
      <c r="CQ194" s="57">
        <v>159</v>
      </c>
      <c r="CR194" s="57">
        <v>192</v>
      </c>
      <c r="CS194" s="57">
        <v>793</v>
      </c>
      <c r="CT194" s="57"/>
      <c r="CU194" s="57" t="s">
        <v>25</v>
      </c>
      <c r="CV194" s="57">
        <v>53</v>
      </c>
      <c r="CW194" s="57">
        <v>0</v>
      </c>
      <c r="CX194" s="57">
        <v>0</v>
      </c>
      <c r="CY194" s="57">
        <v>0</v>
      </c>
      <c r="CZ194" s="57">
        <v>0</v>
      </c>
      <c r="DA194" s="57">
        <v>53</v>
      </c>
      <c r="FF194" s="70" t="s">
        <v>1809</v>
      </c>
      <c r="FG194" s="70" t="s">
        <v>708</v>
      </c>
      <c r="FH194" s="70">
        <v>246</v>
      </c>
      <c r="FI194" s="70">
        <v>328</v>
      </c>
      <c r="FJ194" s="70">
        <v>348</v>
      </c>
      <c r="FK194" s="70">
        <v>421</v>
      </c>
      <c r="FL194" s="70">
        <v>532</v>
      </c>
      <c r="FM194" s="70">
        <v>1875</v>
      </c>
      <c r="FN194" s="70"/>
      <c r="FO194" s="70" t="s">
        <v>708</v>
      </c>
      <c r="FP194" s="70">
        <v>39</v>
      </c>
      <c r="FQ194" s="70">
        <v>13</v>
      </c>
      <c r="FR194" s="70">
        <v>9</v>
      </c>
      <c r="FS194" s="70">
        <v>4</v>
      </c>
      <c r="FT194" s="70">
        <v>6</v>
      </c>
      <c r="FU194" s="70">
        <v>71</v>
      </c>
    </row>
    <row r="195" spans="2:177">
      <c r="B195" s="64" t="s">
        <v>893</v>
      </c>
      <c r="C195" s="64" t="s">
        <v>2032</v>
      </c>
      <c r="D195" s="64">
        <v>195</v>
      </c>
      <c r="E195" s="64">
        <v>245</v>
      </c>
      <c r="F195" s="64">
        <v>381</v>
      </c>
      <c r="G195" s="64">
        <v>418</v>
      </c>
      <c r="H195" s="64">
        <v>364</v>
      </c>
      <c r="I195" s="64">
        <v>1603</v>
      </c>
      <c r="K195" s="64" t="s">
        <v>2032</v>
      </c>
      <c r="L195" s="64">
        <v>29</v>
      </c>
      <c r="M195" s="64">
        <v>1</v>
      </c>
      <c r="N195" s="64">
        <v>1</v>
      </c>
      <c r="O195" s="64">
        <v>0</v>
      </c>
      <c r="P195" s="64">
        <v>0</v>
      </c>
      <c r="Q195" s="64">
        <v>31</v>
      </c>
      <c r="AK195" s="66" t="s">
        <v>2039</v>
      </c>
      <c r="AL195" s="66" t="s">
        <v>2032</v>
      </c>
      <c r="AM195" s="66">
        <v>260</v>
      </c>
      <c r="AN195" s="66">
        <v>301</v>
      </c>
      <c r="AO195" s="66">
        <v>473</v>
      </c>
      <c r="AP195" s="66">
        <v>582</v>
      </c>
      <c r="AQ195" s="66">
        <v>471</v>
      </c>
      <c r="AR195" s="66">
        <v>2087</v>
      </c>
      <c r="AS195" s="66"/>
      <c r="AT195" s="66" t="s">
        <v>2032</v>
      </c>
      <c r="AU195" s="66">
        <v>32</v>
      </c>
      <c r="AV195" s="66">
        <v>7</v>
      </c>
      <c r="AW195" s="66">
        <v>2</v>
      </c>
      <c r="AX195" s="66">
        <v>1</v>
      </c>
      <c r="AY195" s="66">
        <v>0</v>
      </c>
      <c r="AZ195" s="66">
        <v>42</v>
      </c>
      <c r="BB195" s="69" t="s">
        <v>1174</v>
      </c>
      <c r="BC195" s="69" t="s">
        <v>2032</v>
      </c>
      <c r="BD195" s="69">
        <v>583</v>
      </c>
      <c r="BE195" s="69">
        <v>398</v>
      </c>
      <c r="BF195" s="69">
        <v>546</v>
      </c>
      <c r="BG195" s="69">
        <v>645</v>
      </c>
      <c r="BH195" s="69">
        <v>543</v>
      </c>
      <c r="BI195" s="69">
        <v>2715</v>
      </c>
      <c r="BJ195" s="69"/>
      <c r="BK195" s="69" t="s">
        <v>2032</v>
      </c>
      <c r="BL195" s="69">
        <v>22</v>
      </c>
      <c r="BM195" s="69">
        <v>0</v>
      </c>
      <c r="BN195" s="69">
        <v>0</v>
      </c>
      <c r="BO195" s="69">
        <v>0</v>
      </c>
      <c r="BP195" s="69">
        <v>0</v>
      </c>
      <c r="BQ195" s="69">
        <v>22</v>
      </c>
      <c r="BS195" s="21"/>
      <c r="CL195" s="57" t="s">
        <v>563</v>
      </c>
      <c r="CM195" s="57" t="s">
        <v>25</v>
      </c>
      <c r="CN195" s="57">
        <v>42</v>
      </c>
      <c r="CO195" s="57">
        <v>38</v>
      </c>
      <c r="CP195" s="57">
        <v>73</v>
      </c>
      <c r="CQ195" s="57">
        <v>97</v>
      </c>
      <c r="CR195" s="57">
        <v>113</v>
      </c>
      <c r="CS195" s="57">
        <v>363</v>
      </c>
      <c r="CT195" s="57"/>
      <c r="CU195" s="57" t="s">
        <v>25</v>
      </c>
      <c r="CV195" s="57">
        <v>11</v>
      </c>
      <c r="CW195" s="57">
        <v>0</v>
      </c>
      <c r="CX195" s="57">
        <v>0</v>
      </c>
      <c r="CY195" s="57">
        <v>0</v>
      </c>
      <c r="CZ195" s="57">
        <v>0</v>
      </c>
      <c r="DA195" s="57">
        <v>11</v>
      </c>
      <c r="EN195" s="57" t="s">
        <v>2135</v>
      </c>
      <c r="EO195" s="57" t="s">
        <v>2253</v>
      </c>
      <c r="EP195" s="57">
        <v>601</v>
      </c>
      <c r="EQ195" s="57">
        <v>662</v>
      </c>
      <c r="ER195" s="57">
        <v>730</v>
      </c>
      <c r="ES195" s="57">
        <v>803</v>
      </c>
      <c r="ET195" s="57">
        <v>814</v>
      </c>
      <c r="EU195" s="57">
        <v>3610</v>
      </c>
      <c r="EV195" s="57"/>
      <c r="EW195" s="57" t="s">
        <v>2253</v>
      </c>
      <c r="EX195" s="57">
        <v>178</v>
      </c>
      <c r="EY195" s="57">
        <v>50</v>
      </c>
      <c r="EZ195" s="57">
        <v>19</v>
      </c>
      <c r="FA195" s="57">
        <v>19</v>
      </c>
      <c r="FB195" s="57">
        <v>11</v>
      </c>
      <c r="FC195" s="57">
        <v>277</v>
      </c>
      <c r="FF195" s="70" t="s">
        <v>1811</v>
      </c>
      <c r="FG195" s="70" t="s">
        <v>708</v>
      </c>
      <c r="FH195" s="70">
        <v>421</v>
      </c>
      <c r="FI195" s="70">
        <v>489</v>
      </c>
      <c r="FJ195" s="70">
        <v>516</v>
      </c>
      <c r="FK195" s="70">
        <v>572</v>
      </c>
      <c r="FL195" s="70">
        <v>602</v>
      </c>
      <c r="FM195" s="70">
        <v>2600</v>
      </c>
      <c r="FN195" s="70"/>
      <c r="FO195" s="70" t="s">
        <v>708</v>
      </c>
      <c r="FP195" s="70">
        <v>48</v>
      </c>
      <c r="FQ195" s="70">
        <v>6</v>
      </c>
      <c r="FR195" s="70">
        <v>0</v>
      </c>
      <c r="FS195" s="70">
        <v>0</v>
      </c>
      <c r="FT195" s="70">
        <v>0</v>
      </c>
      <c r="FU195" s="70">
        <v>54</v>
      </c>
    </row>
    <row r="196" spans="2:177">
      <c r="B196" s="64" t="s">
        <v>897</v>
      </c>
      <c r="C196" s="64" t="s">
        <v>2032</v>
      </c>
      <c r="D196" s="64">
        <v>78</v>
      </c>
      <c r="E196" s="64">
        <v>173</v>
      </c>
      <c r="F196" s="64">
        <v>248</v>
      </c>
      <c r="G196" s="64">
        <v>348</v>
      </c>
      <c r="H196" s="64">
        <v>267</v>
      </c>
      <c r="I196" s="64">
        <v>1114</v>
      </c>
      <c r="K196" s="64" t="s">
        <v>2032</v>
      </c>
      <c r="L196" s="64">
        <v>10</v>
      </c>
      <c r="M196" s="64">
        <v>2</v>
      </c>
      <c r="N196" s="64">
        <v>1</v>
      </c>
      <c r="O196" s="64">
        <v>0</v>
      </c>
      <c r="P196" s="64">
        <v>0</v>
      </c>
      <c r="Q196" s="64">
        <v>13</v>
      </c>
      <c r="AK196" s="66" t="s">
        <v>2040</v>
      </c>
      <c r="AL196" s="66" t="s">
        <v>2032</v>
      </c>
      <c r="AM196" s="66">
        <v>1075</v>
      </c>
      <c r="AN196" s="66">
        <v>463</v>
      </c>
      <c r="AO196" s="66">
        <v>486</v>
      </c>
      <c r="AP196" s="66">
        <v>496</v>
      </c>
      <c r="AQ196" s="66">
        <v>456</v>
      </c>
      <c r="AR196" s="66">
        <v>2976</v>
      </c>
      <c r="AS196" s="66"/>
      <c r="AT196" s="66" t="s">
        <v>2032</v>
      </c>
      <c r="AU196" s="66">
        <v>72</v>
      </c>
      <c r="AV196" s="66">
        <v>0</v>
      </c>
      <c r="AW196" s="66">
        <v>0</v>
      </c>
      <c r="AX196" s="66">
        <v>0</v>
      </c>
      <c r="AY196" s="66">
        <v>0</v>
      </c>
      <c r="AZ196" s="66">
        <v>72</v>
      </c>
      <c r="BB196" s="69" t="s">
        <v>1177</v>
      </c>
      <c r="BC196" s="69" t="s">
        <v>2032</v>
      </c>
      <c r="BD196" s="69">
        <v>135</v>
      </c>
      <c r="BE196" s="69">
        <v>222</v>
      </c>
      <c r="BF196" s="69">
        <v>389</v>
      </c>
      <c r="BG196" s="69">
        <v>559</v>
      </c>
      <c r="BH196" s="69">
        <v>463</v>
      </c>
      <c r="BI196" s="69">
        <v>1768</v>
      </c>
      <c r="BJ196" s="69"/>
      <c r="BK196" s="69" t="s">
        <v>2032</v>
      </c>
      <c r="BL196" s="69">
        <v>20</v>
      </c>
      <c r="BM196" s="69">
        <v>0</v>
      </c>
      <c r="BN196" s="69">
        <v>0</v>
      </c>
      <c r="BO196" s="69">
        <v>0</v>
      </c>
      <c r="BP196" s="69">
        <v>0</v>
      </c>
      <c r="BQ196" s="69">
        <v>20</v>
      </c>
      <c r="BS196" s="21"/>
      <c r="CL196" s="57" t="s">
        <v>565</v>
      </c>
      <c r="CM196" s="57" t="s">
        <v>25</v>
      </c>
      <c r="CN196" s="57">
        <v>56</v>
      </c>
      <c r="CO196" s="57">
        <v>52</v>
      </c>
      <c r="CP196" s="57">
        <v>127</v>
      </c>
      <c r="CQ196" s="57">
        <v>163</v>
      </c>
      <c r="CR196" s="57">
        <v>182</v>
      </c>
      <c r="CS196" s="57">
        <v>580</v>
      </c>
      <c r="CT196" s="57"/>
      <c r="CU196" s="57" t="s">
        <v>25</v>
      </c>
      <c r="CV196" s="57">
        <v>16</v>
      </c>
      <c r="CW196" s="57">
        <v>0</v>
      </c>
      <c r="CX196" s="57">
        <v>0</v>
      </c>
      <c r="CY196" s="57">
        <v>0</v>
      </c>
      <c r="CZ196" s="57">
        <v>0</v>
      </c>
      <c r="DA196" s="57">
        <v>16</v>
      </c>
      <c r="EN196" s="57" t="s">
        <v>2136</v>
      </c>
      <c r="EO196" s="57" t="s">
        <v>2253</v>
      </c>
      <c r="EP196" s="57">
        <v>722</v>
      </c>
      <c r="EQ196" s="57">
        <v>949</v>
      </c>
      <c r="ER196" s="57">
        <v>1013</v>
      </c>
      <c r="ES196" s="57">
        <v>1143</v>
      </c>
      <c r="ET196" s="57">
        <v>1310</v>
      </c>
      <c r="EU196" s="57">
        <v>5137</v>
      </c>
      <c r="EV196" s="57"/>
      <c r="EW196" s="57" t="s">
        <v>2253</v>
      </c>
      <c r="EX196" s="57">
        <v>193</v>
      </c>
      <c r="EY196" s="57">
        <v>73</v>
      </c>
      <c r="EZ196" s="57">
        <v>37</v>
      </c>
      <c r="FA196" s="57">
        <v>31</v>
      </c>
      <c r="FB196" s="57">
        <v>44</v>
      </c>
      <c r="FC196" s="57">
        <v>378</v>
      </c>
      <c r="FF196" s="70" t="s">
        <v>1813</v>
      </c>
      <c r="FG196" s="70" t="s">
        <v>708</v>
      </c>
      <c r="FH196" s="70">
        <v>2143</v>
      </c>
      <c r="FI196" s="70">
        <v>1493</v>
      </c>
      <c r="FJ196" s="70">
        <v>897</v>
      </c>
      <c r="FK196" s="70">
        <v>787</v>
      </c>
      <c r="FL196" s="70">
        <v>1007</v>
      </c>
      <c r="FM196" s="70">
        <v>6327</v>
      </c>
      <c r="FN196" s="70"/>
      <c r="FO196" s="70" t="s">
        <v>708</v>
      </c>
      <c r="FP196" s="70">
        <v>389</v>
      </c>
      <c r="FQ196" s="70">
        <v>73</v>
      </c>
      <c r="FR196" s="70">
        <v>0</v>
      </c>
      <c r="FS196" s="70">
        <v>0</v>
      </c>
      <c r="FT196" s="70">
        <v>0</v>
      </c>
      <c r="FU196" s="70">
        <v>462</v>
      </c>
    </row>
    <row r="197" spans="2:177">
      <c r="B197" s="64" t="s">
        <v>902</v>
      </c>
      <c r="C197" s="64" t="s">
        <v>2032</v>
      </c>
      <c r="D197" s="64">
        <v>51</v>
      </c>
      <c r="E197" s="64">
        <v>118</v>
      </c>
      <c r="F197" s="64">
        <v>166</v>
      </c>
      <c r="G197" s="64">
        <v>305</v>
      </c>
      <c r="H197" s="64">
        <v>254</v>
      </c>
      <c r="I197" s="64">
        <v>894</v>
      </c>
      <c r="K197" s="64" t="s">
        <v>2032</v>
      </c>
      <c r="L197" s="64">
        <v>3</v>
      </c>
      <c r="M197" s="64">
        <v>2</v>
      </c>
      <c r="N197" s="64">
        <v>1</v>
      </c>
      <c r="O197" s="64">
        <v>0</v>
      </c>
      <c r="P197" s="64">
        <v>0</v>
      </c>
      <c r="Q197" s="64">
        <v>6</v>
      </c>
      <c r="AK197" s="66" t="s">
        <v>1131</v>
      </c>
      <c r="AL197" s="66" t="s">
        <v>2032</v>
      </c>
      <c r="AM197" s="66">
        <v>233</v>
      </c>
      <c r="AN197" s="66">
        <v>354</v>
      </c>
      <c r="AO197" s="66">
        <v>457</v>
      </c>
      <c r="AP197" s="66">
        <v>579</v>
      </c>
      <c r="AQ197" s="66">
        <v>471</v>
      </c>
      <c r="AR197" s="66">
        <v>2094</v>
      </c>
      <c r="AS197" s="66"/>
      <c r="AT197" s="66" t="s">
        <v>2032</v>
      </c>
      <c r="AU197" s="66">
        <v>31</v>
      </c>
      <c r="AV197" s="66">
        <v>7</v>
      </c>
      <c r="AW197" s="66">
        <v>0</v>
      </c>
      <c r="AX197" s="66">
        <v>1</v>
      </c>
      <c r="AY197" s="66">
        <v>0</v>
      </c>
      <c r="AZ197" s="66">
        <v>39</v>
      </c>
      <c r="BB197" s="69" t="s">
        <v>1180</v>
      </c>
      <c r="BC197" s="69" t="s">
        <v>2032</v>
      </c>
      <c r="BD197" s="69">
        <v>191</v>
      </c>
      <c r="BE197" s="69">
        <v>117</v>
      </c>
      <c r="BF197" s="69">
        <v>145</v>
      </c>
      <c r="BG197" s="69">
        <v>193</v>
      </c>
      <c r="BH197" s="69">
        <v>203</v>
      </c>
      <c r="BI197" s="69">
        <v>849</v>
      </c>
      <c r="BJ197" s="69"/>
      <c r="BK197" s="69" t="s">
        <v>2032</v>
      </c>
      <c r="BL197" s="69">
        <v>31</v>
      </c>
      <c r="BM197" s="69">
        <v>0</v>
      </c>
      <c r="BN197" s="69">
        <v>0</v>
      </c>
      <c r="BO197" s="69">
        <v>0</v>
      </c>
      <c r="BP197" s="69">
        <v>0</v>
      </c>
      <c r="BQ197" s="69">
        <v>31</v>
      </c>
      <c r="BS197" s="21"/>
      <c r="CL197" s="57" t="s">
        <v>569</v>
      </c>
      <c r="CM197" s="57" t="s">
        <v>25</v>
      </c>
      <c r="CN197" s="57">
        <v>57</v>
      </c>
      <c r="CO197" s="57">
        <v>101</v>
      </c>
      <c r="CP197" s="57">
        <v>144</v>
      </c>
      <c r="CQ197" s="57">
        <v>186</v>
      </c>
      <c r="CR197" s="57">
        <v>166</v>
      </c>
      <c r="CS197" s="57">
        <v>654</v>
      </c>
      <c r="CT197" s="57"/>
      <c r="CU197" s="57" t="s">
        <v>25</v>
      </c>
      <c r="CV197" s="57">
        <v>3</v>
      </c>
      <c r="CW197" s="57">
        <v>0</v>
      </c>
      <c r="CX197" s="57">
        <v>0</v>
      </c>
      <c r="CY197" s="57">
        <v>0</v>
      </c>
      <c r="CZ197" s="57">
        <v>0</v>
      </c>
      <c r="DA197" s="57">
        <v>3</v>
      </c>
      <c r="EN197" s="57" t="s">
        <v>1716</v>
      </c>
      <c r="EO197" s="57" t="s">
        <v>2253</v>
      </c>
      <c r="EP197" s="57">
        <v>189</v>
      </c>
      <c r="EQ197" s="57">
        <v>284</v>
      </c>
      <c r="ER197" s="57">
        <v>354</v>
      </c>
      <c r="ES197" s="57">
        <v>389</v>
      </c>
      <c r="ET197" s="57">
        <v>395</v>
      </c>
      <c r="EU197" s="57">
        <v>1611</v>
      </c>
      <c r="EV197" s="57"/>
      <c r="EW197" s="57" t="s">
        <v>2253</v>
      </c>
      <c r="EX197" s="57">
        <v>57</v>
      </c>
      <c r="EY197" s="57">
        <v>23</v>
      </c>
      <c r="EZ197" s="57">
        <v>19</v>
      </c>
      <c r="FA197" s="57">
        <v>11</v>
      </c>
      <c r="FB197" s="57">
        <v>20</v>
      </c>
      <c r="FC197" s="57">
        <v>130</v>
      </c>
      <c r="FF197" s="70" t="s">
        <v>1816</v>
      </c>
      <c r="FG197" s="70" t="s">
        <v>708</v>
      </c>
      <c r="FH197" s="70">
        <v>248</v>
      </c>
      <c r="FI197" s="70">
        <v>402</v>
      </c>
      <c r="FJ197" s="70">
        <v>542</v>
      </c>
      <c r="FK197" s="70">
        <v>554</v>
      </c>
      <c r="FL197" s="70">
        <v>626</v>
      </c>
      <c r="FM197" s="70">
        <v>2372</v>
      </c>
      <c r="FN197" s="70"/>
      <c r="FO197" s="70" t="s">
        <v>708</v>
      </c>
      <c r="FP197" s="70">
        <v>46</v>
      </c>
      <c r="FQ197" s="70">
        <v>6</v>
      </c>
      <c r="FR197" s="70">
        <v>0</v>
      </c>
      <c r="FS197" s="70">
        <v>0</v>
      </c>
      <c r="FT197" s="70">
        <v>0</v>
      </c>
      <c r="FU197" s="70">
        <v>52</v>
      </c>
    </row>
    <row r="198" spans="2:177">
      <c r="B198" s="64" t="s">
        <v>907</v>
      </c>
      <c r="C198" s="64" t="s">
        <v>2032</v>
      </c>
      <c r="D198" s="64">
        <v>153</v>
      </c>
      <c r="E198" s="64">
        <v>249</v>
      </c>
      <c r="F198" s="64">
        <v>380</v>
      </c>
      <c r="G198" s="64">
        <v>445</v>
      </c>
      <c r="H198" s="64">
        <v>392</v>
      </c>
      <c r="I198" s="64">
        <v>1619</v>
      </c>
      <c r="K198" s="64" t="s">
        <v>2032</v>
      </c>
      <c r="L198" s="64">
        <v>24</v>
      </c>
      <c r="M198" s="64">
        <v>4</v>
      </c>
      <c r="N198" s="64">
        <v>2</v>
      </c>
      <c r="O198" s="64">
        <v>7</v>
      </c>
      <c r="P198" s="64">
        <v>3</v>
      </c>
      <c r="Q198" s="64">
        <v>40</v>
      </c>
      <c r="AK198" s="66" t="s">
        <v>1134</v>
      </c>
      <c r="AL198" s="66" t="s">
        <v>2032</v>
      </c>
      <c r="AM198" s="66">
        <v>602</v>
      </c>
      <c r="AN198" s="66">
        <v>296</v>
      </c>
      <c r="AO198" s="66">
        <v>381</v>
      </c>
      <c r="AP198" s="66">
        <v>493</v>
      </c>
      <c r="AQ198" s="66">
        <v>473</v>
      </c>
      <c r="AR198" s="66">
        <v>2245</v>
      </c>
      <c r="AS198" s="66"/>
      <c r="AT198" s="66" t="s">
        <v>2032</v>
      </c>
      <c r="AU198" s="66">
        <v>102</v>
      </c>
      <c r="AV198" s="66">
        <v>2</v>
      </c>
      <c r="AW198" s="66">
        <v>0</v>
      </c>
      <c r="AX198" s="66">
        <v>0</v>
      </c>
      <c r="AY198" s="66">
        <v>0</v>
      </c>
      <c r="AZ198" s="66">
        <v>104</v>
      </c>
      <c r="BB198" s="69" t="s">
        <v>1183</v>
      </c>
      <c r="BC198" s="69" t="s">
        <v>2032</v>
      </c>
      <c r="BD198" s="69">
        <v>304</v>
      </c>
      <c r="BE198" s="69">
        <v>328</v>
      </c>
      <c r="BF198" s="69">
        <v>484</v>
      </c>
      <c r="BG198" s="69">
        <v>597</v>
      </c>
      <c r="BH198" s="69">
        <v>620</v>
      </c>
      <c r="BI198" s="69">
        <v>2333</v>
      </c>
      <c r="BJ198" s="69"/>
      <c r="BK198" s="69" t="s">
        <v>2032</v>
      </c>
      <c r="BL198" s="69">
        <v>22</v>
      </c>
      <c r="BM198" s="69">
        <v>0</v>
      </c>
      <c r="BN198" s="69">
        <v>0</v>
      </c>
      <c r="BO198" s="69">
        <v>0</v>
      </c>
      <c r="BP198" s="69">
        <v>0</v>
      </c>
      <c r="BQ198" s="69">
        <v>22</v>
      </c>
      <c r="BS198" s="21"/>
      <c r="CL198" s="57" t="s">
        <v>571</v>
      </c>
      <c r="CM198" s="57" t="s">
        <v>25</v>
      </c>
      <c r="CN198" s="57">
        <v>46</v>
      </c>
      <c r="CO198" s="57">
        <v>51</v>
      </c>
      <c r="CP198" s="57">
        <v>72</v>
      </c>
      <c r="CQ198" s="57">
        <v>132</v>
      </c>
      <c r="CR198" s="57">
        <v>104</v>
      </c>
      <c r="CS198" s="57">
        <v>405</v>
      </c>
      <c r="CT198" s="57"/>
      <c r="CU198" s="57" t="s">
        <v>25</v>
      </c>
      <c r="CV198" s="57">
        <v>23</v>
      </c>
      <c r="CW198" s="57">
        <v>0</v>
      </c>
      <c r="CX198" s="57">
        <v>0</v>
      </c>
      <c r="CY198" s="57">
        <v>0</v>
      </c>
      <c r="CZ198" s="57">
        <v>0</v>
      </c>
      <c r="DA198" s="57">
        <v>23</v>
      </c>
      <c r="EN198" s="57" t="s">
        <v>1720</v>
      </c>
      <c r="EO198" s="57" t="s">
        <v>2253</v>
      </c>
      <c r="EP198" s="57">
        <v>108</v>
      </c>
      <c r="EQ198" s="57">
        <v>213</v>
      </c>
      <c r="ER198" s="57">
        <v>249</v>
      </c>
      <c r="ES198" s="57">
        <v>305</v>
      </c>
      <c r="ET198" s="57">
        <v>338</v>
      </c>
      <c r="EU198" s="57">
        <v>1213</v>
      </c>
      <c r="EV198" s="57"/>
      <c r="EW198" s="57" t="s">
        <v>2253</v>
      </c>
      <c r="EX198" s="57">
        <v>35</v>
      </c>
      <c r="EY198" s="57">
        <v>23</v>
      </c>
      <c r="EZ198" s="57">
        <v>11</v>
      </c>
      <c r="FA198" s="57">
        <v>10</v>
      </c>
      <c r="FB198" s="57">
        <v>3</v>
      </c>
      <c r="FC198" s="57">
        <v>82</v>
      </c>
      <c r="FF198" s="70" t="s">
        <v>1818</v>
      </c>
      <c r="FG198" s="70" t="s">
        <v>708</v>
      </c>
      <c r="FH198" s="70">
        <v>165</v>
      </c>
      <c r="FI198" s="70">
        <v>291</v>
      </c>
      <c r="FJ198" s="70">
        <v>515</v>
      </c>
      <c r="FK198" s="70">
        <v>528</v>
      </c>
      <c r="FL198" s="70">
        <v>610</v>
      </c>
      <c r="FM198" s="70">
        <v>2109</v>
      </c>
      <c r="FN198" s="70"/>
      <c r="FO198" s="70" t="s">
        <v>708</v>
      </c>
      <c r="FP198" s="70">
        <v>21</v>
      </c>
      <c r="FQ198" s="70">
        <v>0</v>
      </c>
      <c r="FR198" s="70">
        <v>0</v>
      </c>
      <c r="FS198" s="70">
        <v>0</v>
      </c>
      <c r="FT198" s="70">
        <v>0</v>
      </c>
      <c r="FU198" s="70">
        <v>21</v>
      </c>
    </row>
    <row r="199" spans="2:177">
      <c r="B199" s="64" t="s">
        <v>911</v>
      </c>
      <c r="C199" s="64" t="s">
        <v>2032</v>
      </c>
      <c r="D199" s="64">
        <v>39</v>
      </c>
      <c r="E199" s="64">
        <v>32</v>
      </c>
      <c r="F199" s="64">
        <v>18</v>
      </c>
      <c r="G199" s="64">
        <v>26</v>
      </c>
      <c r="H199" s="64">
        <v>12</v>
      </c>
      <c r="I199" s="64">
        <v>127</v>
      </c>
      <c r="K199" s="64" t="s">
        <v>2032</v>
      </c>
      <c r="L199" s="64">
        <v>7</v>
      </c>
      <c r="M199" s="64">
        <v>0</v>
      </c>
      <c r="N199" s="64">
        <v>0</v>
      </c>
      <c r="O199" s="64">
        <v>0</v>
      </c>
      <c r="P199" s="64">
        <v>0</v>
      </c>
      <c r="Q199" s="64">
        <v>7</v>
      </c>
      <c r="AK199" s="66" t="s">
        <v>1137</v>
      </c>
      <c r="AL199" s="66" t="s">
        <v>2032</v>
      </c>
      <c r="AM199" s="66">
        <v>315</v>
      </c>
      <c r="AN199" s="66">
        <v>268</v>
      </c>
      <c r="AO199" s="66">
        <v>411</v>
      </c>
      <c r="AP199" s="66">
        <v>505</v>
      </c>
      <c r="AQ199" s="66">
        <v>457</v>
      </c>
      <c r="AR199" s="66">
        <v>1956</v>
      </c>
      <c r="AS199" s="66"/>
      <c r="AT199" s="66" t="s">
        <v>2032</v>
      </c>
      <c r="AU199" s="66">
        <v>96</v>
      </c>
      <c r="AV199" s="66">
        <v>2</v>
      </c>
      <c r="AW199" s="66">
        <v>0</v>
      </c>
      <c r="AX199" s="66">
        <v>0</v>
      </c>
      <c r="AY199" s="66">
        <v>0</v>
      </c>
      <c r="AZ199" s="66">
        <v>98</v>
      </c>
      <c r="BB199" s="69" t="s">
        <v>1186</v>
      </c>
      <c r="BC199" s="69" t="s">
        <v>2032</v>
      </c>
      <c r="BD199" s="69">
        <v>156</v>
      </c>
      <c r="BE199" s="69">
        <v>94</v>
      </c>
      <c r="BF199" s="69">
        <v>157</v>
      </c>
      <c r="BG199" s="69">
        <v>206</v>
      </c>
      <c r="BH199" s="69">
        <v>237</v>
      </c>
      <c r="BI199" s="69">
        <v>850</v>
      </c>
      <c r="BJ199" s="69"/>
      <c r="BK199" s="69" t="s">
        <v>2032</v>
      </c>
      <c r="BL199" s="69">
        <v>17</v>
      </c>
      <c r="BM199" s="69">
        <v>0</v>
      </c>
      <c r="BN199" s="69">
        <v>0</v>
      </c>
      <c r="BO199" s="69">
        <v>0</v>
      </c>
      <c r="BP199" s="69">
        <v>0</v>
      </c>
      <c r="BQ199" s="69">
        <v>17</v>
      </c>
      <c r="BS199" s="21"/>
      <c r="CL199" s="57" t="s">
        <v>573</v>
      </c>
      <c r="CM199" s="57" t="s">
        <v>25</v>
      </c>
      <c r="CN199" s="57">
        <v>24</v>
      </c>
      <c r="CO199" s="57">
        <v>30</v>
      </c>
      <c r="CP199" s="57">
        <v>59</v>
      </c>
      <c r="CQ199" s="57">
        <v>107</v>
      </c>
      <c r="CR199" s="57">
        <v>108</v>
      </c>
      <c r="CS199" s="57">
        <v>328</v>
      </c>
      <c r="CT199" s="57"/>
      <c r="CU199" s="57" t="s">
        <v>25</v>
      </c>
      <c r="CV199" s="57">
        <v>10</v>
      </c>
      <c r="CW199" s="57">
        <v>0</v>
      </c>
      <c r="CX199" s="57">
        <v>0</v>
      </c>
      <c r="CY199" s="57">
        <v>0</v>
      </c>
      <c r="CZ199" s="57">
        <v>0</v>
      </c>
      <c r="DA199" s="57">
        <v>10</v>
      </c>
      <c r="DD199" s="21"/>
      <c r="EN199" s="57" t="s">
        <v>1723</v>
      </c>
      <c r="EO199" s="57" t="s">
        <v>2253</v>
      </c>
      <c r="EP199" s="57">
        <v>370</v>
      </c>
      <c r="EQ199" s="57">
        <v>588</v>
      </c>
      <c r="ER199" s="57">
        <v>774</v>
      </c>
      <c r="ES199" s="57">
        <v>814</v>
      </c>
      <c r="ET199" s="57">
        <v>748</v>
      </c>
      <c r="EU199" s="57">
        <v>3294</v>
      </c>
      <c r="EV199" s="57"/>
      <c r="EW199" s="57" t="s">
        <v>2253</v>
      </c>
      <c r="EX199" s="57">
        <v>93</v>
      </c>
      <c r="EY199" s="57">
        <v>25</v>
      </c>
      <c r="EZ199" s="57">
        <v>25</v>
      </c>
      <c r="FA199" s="57">
        <v>23</v>
      </c>
      <c r="FB199" s="57">
        <v>11</v>
      </c>
      <c r="FC199" s="57">
        <v>177</v>
      </c>
      <c r="FF199" s="70" t="s">
        <v>1820</v>
      </c>
      <c r="FG199" s="70" t="s">
        <v>708</v>
      </c>
      <c r="FH199" s="70">
        <v>355</v>
      </c>
      <c r="FI199" s="70">
        <v>531</v>
      </c>
      <c r="FJ199" s="70">
        <v>636</v>
      </c>
      <c r="FK199" s="70">
        <v>680</v>
      </c>
      <c r="FL199" s="70">
        <v>693</v>
      </c>
      <c r="FM199" s="70">
        <v>2895</v>
      </c>
      <c r="FN199" s="70"/>
      <c r="FO199" s="70" t="s">
        <v>708</v>
      </c>
      <c r="FP199" s="70">
        <v>70</v>
      </c>
      <c r="FQ199" s="70">
        <v>0</v>
      </c>
      <c r="FR199" s="70">
        <v>0</v>
      </c>
      <c r="FS199" s="70">
        <v>0</v>
      </c>
      <c r="FT199" s="70">
        <v>0</v>
      </c>
      <c r="FU199" s="70">
        <v>70</v>
      </c>
    </row>
    <row r="200" spans="2:177">
      <c r="B200" s="64" t="s">
        <v>915</v>
      </c>
      <c r="C200" s="64" t="s">
        <v>2032</v>
      </c>
      <c r="D200" s="64" t="s">
        <v>324</v>
      </c>
      <c r="E200" s="64" t="s">
        <v>324</v>
      </c>
      <c r="F200" s="64" t="s">
        <v>324</v>
      </c>
      <c r="G200" s="64" t="s">
        <v>324</v>
      </c>
      <c r="H200" s="64" t="s">
        <v>324</v>
      </c>
      <c r="I200" s="64" t="s">
        <v>324</v>
      </c>
      <c r="K200" s="64" t="s">
        <v>2032</v>
      </c>
      <c r="L200" s="64" t="s">
        <v>324</v>
      </c>
      <c r="M200" s="64" t="s">
        <v>324</v>
      </c>
      <c r="N200" s="64" t="s">
        <v>324</v>
      </c>
      <c r="O200" s="64" t="s">
        <v>324</v>
      </c>
      <c r="P200" s="64" t="s">
        <v>324</v>
      </c>
      <c r="Q200" s="64" t="s">
        <v>324</v>
      </c>
      <c r="AK200" s="66" t="s">
        <v>2041</v>
      </c>
      <c r="AL200" s="66" t="s">
        <v>2032</v>
      </c>
      <c r="AM200" s="66">
        <v>625</v>
      </c>
      <c r="AN200" s="66">
        <v>310</v>
      </c>
      <c r="AO200" s="66">
        <v>449</v>
      </c>
      <c r="AP200" s="66">
        <v>524</v>
      </c>
      <c r="AQ200" s="66">
        <v>495</v>
      </c>
      <c r="AR200" s="66">
        <v>2403</v>
      </c>
      <c r="AS200" s="66"/>
      <c r="AT200" s="66" t="s">
        <v>2032</v>
      </c>
      <c r="AU200" s="66">
        <v>154</v>
      </c>
      <c r="AV200" s="66">
        <v>2</v>
      </c>
      <c r="AW200" s="66">
        <v>0</v>
      </c>
      <c r="AX200" s="66">
        <v>0</v>
      </c>
      <c r="AY200" s="66">
        <v>0</v>
      </c>
      <c r="AZ200" s="66">
        <v>156</v>
      </c>
      <c r="BB200" s="69" t="s">
        <v>1189</v>
      </c>
      <c r="BC200" s="69" t="s">
        <v>2032</v>
      </c>
      <c r="BD200" s="69">
        <v>37</v>
      </c>
      <c r="BE200" s="69">
        <v>35</v>
      </c>
      <c r="BF200" s="69">
        <v>77</v>
      </c>
      <c r="BG200" s="69">
        <v>130</v>
      </c>
      <c r="BH200" s="69">
        <v>182</v>
      </c>
      <c r="BI200" s="69">
        <v>461</v>
      </c>
      <c r="BJ200" s="69"/>
      <c r="BK200" s="69" t="s">
        <v>2032</v>
      </c>
      <c r="BL200" s="69">
        <v>1</v>
      </c>
      <c r="BM200" s="69">
        <v>0</v>
      </c>
      <c r="BN200" s="69">
        <v>0</v>
      </c>
      <c r="BO200" s="69">
        <v>0</v>
      </c>
      <c r="BP200" s="69">
        <v>0</v>
      </c>
      <c r="BQ200" s="69">
        <v>1</v>
      </c>
      <c r="BS200" s="21"/>
      <c r="CL200" s="57" t="s">
        <v>1965</v>
      </c>
      <c r="CM200" s="57" t="s">
        <v>25</v>
      </c>
      <c r="CN200" s="57">
        <v>102</v>
      </c>
      <c r="CO200" s="57">
        <v>97</v>
      </c>
      <c r="CP200" s="57">
        <v>208</v>
      </c>
      <c r="CQ200" s="57">
        <v>279</v>
      </c>
      <c r="CR200" s="57">
        <v>227</v>
      </c>
      <c r="CS200" s="57">
        <v>913</v>
      </c>
      <c r="CT200" s="57"/>
      <c r="CU200" s="57" t="s">
        <v>25</v>
      </c>
      <c r="CV200" s="57">
        <v>26</v>
      </c>
      <c r="CW200" s="57">
        <v>0</v>
      </c>
      <c r="CX200" s="57">
        <v>0</v>
      </c>
      <c r="CY200" s="57">
        <v>0</v>
      </c>
      <c r="CZ200" s="57">
        <v>0</v>
      </c>
      <c r="DA200" s="57">
        <v>26</v>
      </c>
      <c r="DD200" s="21"/>
      <c r="EN200" s="57" t="s">
        <v>1726</v>
      </c>
      <c r="EO200" s="57" t="s">
        <v>2253</v>
      </c>
      <c r="EP200" s="57">
        <v>230</v>
      </c>
      <c r="EQ200" s="57">
        <v>211</v>
      </c>
      <c r="ER200" s="57">
        <v>191</v>
      </c>
      <c r="ES200" s="57">
        <v>276</v>
      </c>
      <c r="ET200" s="57">
        <v>274</v>
      </c>
      <c r="EU200" s="57">
        <v>1182</v>
      </c>
      <c r="EV200" s="57"/>
      <c r="EW200" s="57" t="s">
        <v>2253</v>
      </c>
      <c r="EX200" s="57">
        <v>43</v>
      </c>
      <c r="EY200" s="57">
        <v>10</v>
      </c>
      <c r="EZ200" s="57">
        <v>3</v>
      </c>
      <c r="FA200" s="57">
        <v>5</v>
      </c>
      <c r="FB200" s="57">
        <v>3</v>
      </c>
      <c r="FC200" s="57">
        <v>64</v>
      </c>
      <c r="FF200" s="70" t="s">
        <v>1822</v>
      </c>
      <c r="FG200" s="70" t="s">
        <v>708</v>
      </c>
      <c r="FH200" s="70">
        <v>448</v>
      </c>
      <c r="FI200" s="70">
        <v>543</v>
      </c>
      <c r="FJ200" s="70">
        <v>822</v>
      </c>
      <c r="FK200" s="70">
        <v>806</v>
      </c>
      <c r="FL200" s="70">
        <v>888</v>
      </c>
      <c r="FM200" s="70">
        <v>3507</v>
      </c>
      <c r="FN200" s="70"/>
      <c r="FO200" s="70" t="s">
        <v>708</v>
      </c>
      <c r="FP200" s="70">
        <v>60</v>
      </c>
      <c r="FQ200" s="70">
        <v>0</v>
      </c>
      <c r="FR200" s="70">
        <v>0</v>
      </c>
      <c r="FS200" s="70">
        <v>0</v>
      </c>
      <c r="FT200" s="70">
        <v>0</v>
      </c>
      <c r="FU200" s="70">
        <v>60</v>
      </c>
    </row>
    <row r="201" spans="2:177">
      <c r="B201" s="64" t="s">
        <v>918</v>
      </c>
      <c r="C201" s="64" t="s">
        <v>2032</v>
      </c>
      <c r="D201" s="64" t="s">
        <v>324</v>
      </c>
      <c r="E201" s="64" t="s">
        <v>324</v>
      </c>
      <c r="F201" s="64" t="s">
        <v>324</v>
      </c>
      <c r="G201" s="64" t="s">
        <v>324</v>
      </c>
      <c r="H201" s="64" t="s">
        <v>324</v>
      </c>
      <c r="I201" s="64" t="s">
        <v>324</v>
      </c>
      <c r="K201" s="64" t="s">
        <v>2032</v>
      </c>
      <c r="L201" s="64" t="s">
        <v>324</v>
      </c>
      <c r="M201" s="64" t="s">
        <v>324</v>
      </c>
      <c r="N201" s="64" t="s">
        <v>324</v>
      </c>
      <c r="O201" s="64" t="s">
        <v>324</v>
      </c>
      <c r="P201" s="64" t="s">
        <v>324</v>
      </c>
      <c r="Q201" s="64" t="s">
        <v>324</v>
      </c>
      <c r="AK201" s="66" t="s">
        <v>2042</v>
      </c>
      <c r="AL201" s="66" t="s">
        <v>2032</v>
      </c>
      <c r="AM201" s="66">
        <v>987</v>
      </c>
      <c r="AN201" s="66">
        <v>890</v>
      </c>
      <c r="AO201" s="66">
        <v>997</v>
      </c>
      <c r="AP201" s="66">
        <v>978</v>
      </c>
      <c r="AQ201" s="66">
        <v>737</v>
      </c>
      <c r="AR201" s="66">
        <v>4589</v>
      </c>
      <c r="AS201" s="66"/>
      <c r="AT201" s="66" t="s">
        <v>2032</v>
      </c>
      <c r="AU201" s="66">
        <v>168</v>
      </c>
      <c r="AV201" s="66">
        <v>1</v>
      </c>
      <c r="AW201" s="66">
        <v>2</v>
      </c>
      <c r="AX201" s="66">
        <v>0</v>
      </c>
      <c r="AY201" s="66">
        <v>1</v>
      </c>
      <c r="AZ201" s="66">
        <v>172</v>
      </c>
      <c r="BB201" s="69" t="s">
        <v>1193</v>
      </c>
      <c r="BC201" s="69" t="s">
        <v>2032</v>
      </c>
      <c r="BD201" s="69">
        <v>153</v>
      </c>
      <c r="BE201" s="69">
        <v>222</v>
      </c>
      <c r="BF201" s="69">
        <v>415</v>
      </c>
      <c r="BG201" s="69">
        <v>521</v>
      </c>
      <c r="BH201" s="69">
        <v>530</v>
      </c>
      <c r="BI201" s="69">
        <v>1841</v>
      </c>
      <c r="BJ201" s="69"/>
      <c r="BK201" s="69" t="s">
        <v>2032</v>
      </c>
      <c r="BL201" s="69">
        <v>30</v>
      </c>
      <c r="BM201" s="69">
        <v>0</v>
      </c>
      <c r="BN201" s="69">
        <v>0</v>
      </c>
      <c r="BO201" s="69">
        <v>0</v>
      </c>
      <c r="BP201" s="69">
        <v>0</v>
      </c>
      <c r="BQ201" s="69">
        <v>30</v>
      </c>
      <c r="BS201" s="21"/>
      <c r="CL201" s="57" t="s">
        <v>486</v>
      </c>
      <c r="CM201" s="57" t="s">
        <v>25</v>
      </c>
      <c r="CN201" s="57">
        <v>45</v>
      </c>
      <c r="CO201" s="57">
        <v>37</v>
      </c>
      <c r="CP201" s="57">
        <v>62</v>
      </c>
      <c r="CQ201" s="57">
        <v>98</v>
      </c>
      <c r="CR201" s="57">
        <v>109</v>
      </c>
      <c r="CS201" s="57">
        <v>351</v>
      </c>
      <c r="CT201" s="57"/>
      <c r="CU201" s="57" t="s">
        <v>25</v>
      </c>
      <c r="CV201" s="57">
        <v>4</v>
      </c>
      <c r="CW201" s="57">
        <v>0</v>
      </c>
      <c r="CX201" s="57">
        <v>0</v>
      </c>
      <c r="CY201" s="57">
        <v>0</v>
      </c>
      <c r="CZ201" s="57">
        <v>0</v>
      </c>
      <c r="DA201" s="57">
        <v>4</v>
      </c>
      <c r="DD201" s="21"/>
      <c r="EN201" s="57" t="s">
        <v>1729</v>
      </c>
      <c r="EO201" s="57" t="s">
        <v>2253</v>
      </c>
      <c r="EP201" s="57">
        <v>207</v>
      </c>
      <c r="EQ201" s="57">
        <v>323</v>
      </c>
      <c r="ER201" s="57">
        <v>406</v>
      </c>
      <c r="ES201" s="57">
        <v>455</v>
      </c>
      <c r="ET201" s="57">
        <v>470</v>
      </c>
      <c r="EU201" s="57">
        <v>1861</v>
      </c>
      <c r="EV201" s="57"/>
      <c r="EW201" s="57" t="s">
        <v>2253</v>
      </c>
      <c r="EX201" s="57">
        <v>52</v>
      </c>
      <c r="EY201" s="57">
        <v>39</v>
      </c>
      <c r="EZ201" s="57">
        <v>18</v>
      </c>
      <c r="FA201" s="57">
        <v>26</v>
      </c>
      <c r="FB201" s="57">
        <v>14</v>
      </c>
      <c r="FC201" s="57">
        <v>149</v>
      </c>
      <c r="FF201" s="70" t="s">
        <v>2007</v>
      </c>
      <c r="FG201" s="70" t="s">
        <v>708</v>
      </c>
      <c r="FH201" s="70">
        <v>51</v>
      </c>
      <c r="FI201" s="70">
        <v>159</v>
      </c>
      <c r="FJ201" s="70">
        <v>170</v>
      </c>
      <c r="FK201" s="70">
        <v>193</v>
      </c>
      <c r="FL201" s="70">
        <v>236</v>
      </c>
      <c r="FM201" s="70">
        <v>809</v>
      </c>
      <c r="FN201" s="70"/>
      <c r="FO201" s="70" t="s">
        <v>708</v>
      </c>
      <c r="FP201" s="70">
        <v>6</v>
      </c>
      <c r="FQ201" s="70">
        <v>1</v>
      </c>
      <c r="FR201" s="70">
        <v>5</v>
      </c>
      <c r="FS201" s="70">
        <v>0</v>
      </c>
      <c r="FT201" s="70">
        <v>2</v>
      </c>
      <c r="FU201" s="70">
        <v>14</v>
      </c>
    </row>
    <row r="202" spans="2:177">
      <c r="B202" s="64" t="s">
        <v>922</v>
      </c>
      <c r="C202" s="64" t="s">
        <v>2032</v>
      </c>
      <c r="D202" s="64" t="s">
        <v>324</v>
      </c>
      <c r="E202" s="64" t="s">
        <v>324</v>
      </c>
      <c r="F202" s="64" t="s">
        <v>324</v>
      </c>
      <c r="G202" s="64" t="s">
        <v>324</v>
      </c>
      <c r="H202" s="64" t="s">
        <v>324</v>
      </c>
      <c r="I202" s="64" t="s">
        <v>324</v>
      </c>
      <c r="K202" s="64" t="s">
        <v>2032</v>
      </c>
      <c r="L202" s="64" t="s">
        <v>324</v>
      </c>
      <c r="M202" s="64" t="s">
        <v>324</v>
      </c>
      <c r="N202" s="64" t="s">
        <v>324</v>
      </c>
      <c r="O202" s="64" t="s">
        <v>324</v>
      </c>
      <c r="P202" s="64" t="s">
        <v>324</v>
      </c>
      <c r="Q202" s="64" t="s">
        <v>324</v>
      </c>
      <c r="AK202" s="66" t="s">
        <v>1146</v>
      </c>
      <c r="AL202" s="66" t="s">
        <v>2032</v>
      </c>
      <c r="AM202" s="66">
        <v>436</v>
      </c>
      <c r="AN202" s="66">
        <v>547</v>
      </c>
      <c r="AO202" s="66">
        <v>699</v>
      </c>
      <c r="AP202" s="66">
        <v>813</v>
      </c>
      <c r="AQ202" s="66">
        <v>537</v>
      </c>
      <c r="AR202" s="66">
        <v>3032</v>
      </c>
      <c r="AS202" s="66"/>
      <c r="AT202" s="66" t="s">
        <v>2032</v>
      </c>
      <c r="AU202" s="66">
        <v>44</v>
      </c>
      <c r="AV202" s="66">
        <v>4</v>
      </c>
      <c r="AW202" s="66">
        <v>0</v>
      </c>
      <c r="AX202" s="66">
        <v>0</v>
      </c>
      <c r="AY202" s="66">
        <v>0</v>
      </c>
      <c r="AZ202" s="66">
        <v>48</v>
      </c>
      <c r="BB202" s="69" t="s">
        <v>1197</v>
      </c>
      <c r="BC202" s="69" t="s">
        <v>2032</v>
      </c>
      <c r="BD202" s="69">
        <v>112</v>
      </c>
      <c r="BE202" s="69">
        <v>148</v>
      </c>
      <c r="BF202" s="69">
        <v>288</v>
      </c>
      <c r="BG202" s="69">
        <v>367</v>
      </c>
      <c r="BH202" s="69">
        <v>303</v>
      </c>
      <c r="BI202" s="69">
        <v>1218</v>
      </c>
      <c r="BJ202" s="69"/>
      <c r="BK202" s="69" t="s">
        <v>2032</v>
      </c>
      <c r="BL202" s="69">
        <v>17</v>
      </c>
      <c r="BM202" s="69">
        <v>0</v>
      </c>
      <c r="BN202" s="69">
        <v>0</v>
      </c>
      <c r="BO202" s="69">
        <v>0</v>
      </c>
      <c r="BP202" s="69">
        <v>0</v>
      </c>
      <c r="BQ202" s="69">
        <v>17</v>
      </c>
      <c r="BS202" s="21"/>
      <c r="CL202" s="57" t="s">
        <v>534</v>
      </c>
      <c r="CM202" s="57" t="s">
        <v>25</v>
      </c>
      <c r="CN202" s="57">
        <v>259</v>
      </c>
      <c r="CO202" s="57">
        <v>68</v>
      </c>
      <c r="CP202" s="57">
        <v>124</v>
      </c>
      <c r="CQ202" s="57">
        <v>167</v>
      </c>
      <c r="CR202" s="57">
        <v>232</v>
      </c>
      <c r="CS202" s="57">
        <v>850</v>
      </c>
      <c r="CT202" s="57"/>
      <c r="CU202" s="57" t="s">
        <v>25</v>
      </c>
      <c r="CV202" s="57">
        <v>80</v>
      </c>
      <c r="CW202" s="57">
        <v>0</v>
      </c>
      <c r="CX202" s="57">
        <v>0</v>
      </c>
      <c r="CY202" s="57">
        <v>0</v>
      </c>
      <c r="CZ202" s="57">
        <v>0</v>
      </c>
      <c r="DA202" s="57">
        <v>80</v>
      </c>
      <c r="DD202" s="21"/>
      <c r="EN202" s="57" t="s">
        <v>1734</v>
      </c>
      <c r="EO202" s="57" t="s">
        <v>2253</v>
      </c>
      <c r="EP202" s="57">
        <v>468</v>
      </c>
      <c r="EQ202" s="57">
        <v>663</v>
      </c>
      <c r="ER202" s="57">
        <v>672</v>
      </c>
      <c r="ES202" s="57">
        <v>889</v>
      </c>
      <c r="ET202" s="57">
        <v>881</v>
      </c>
      <c r="EU202" s="57">
        <v>3573</v>
      </c>
      <c r="EV202" s="57"/>
      <c r="EW202" s="57" t="s">
        <v>2253</v>
      </c>
      <c r="EX202" s="57">
        <v>80</v>
      </c>
      <c r="EY202" s="57">
        <v>0</v>
      </c>
      <c r="EZ202" s="57">
        <v>0</v>
      </c>
      <c r="FA202" s="57">
        <v>0</v>
      </c>
      <c r="FB202" s="57">
        <v>0</v>
      </c>
      <c r="FC202" s="57">
        <v>80</v>
      </c>
      <c r="FF202" s="70" t="s">
        <v>1825</v>
      </c>
      <c r="FG202" s="70" t="s">
        <v>708</v>
      </c>
      <c r="FH202" s="70">
        <v>338</v>
      </c>
      <c r="FI202" s="70">
        <v>447</v>
      </c>
      <c r="FJ202" s="70">
        <v>564</v>
      </c>
      <c r="FK202" s="70">
        <v>602</v>
      </c>
      <c r="FL202" s="70">
        <v>792</v>
      </c>
      <c r="FM202" s="70">
        <v>2743</v>
      </c>
      <c r="FN202" s="70"/>
      <c r="FO202" s="70" t="s">
        <v>708</v>
      </c>
      <c r="FP202" s="70">
        <v>53</v>
      </c>
      <c r="FQ202" s="70">
        <v>27</v>
      </c>
      <c r="FR202" s="70">
        <v>11</v>
      </c>
      <c r="FS202" s="70">
        <v>7</v>
      </c>
      <c r="FT202" s="70">
        <v>11</v>
      </c>
      <c r="FU202" s="70">
        <v>109</v>
      </c>
    </row>
    <row r="203" spans="2:177">
      <c r="B203" s="64" t="s">
        <v>925</v>
      </c>
      <c r="C203" s="64" t="s">
        <v>2032</v>
      </c>
      <c r="D203" s="64">
        <v>125</v>
      </c>
      <c r="E203" s="64">
        <v>90</v>
      </c>
      <c r="F203" s="64">
        <v>162</v>
      </c>
      <c r="G203" s="64">
        <v>241</v>
      </c>
      <c r="H203" s="64">
        <v>250</v>
      </c>
      <c r="I203" s="64">
        <v>868</v>
      </c>
      <c r="K203" s="64" t="s">
        <v>2032</v>
      </c>
      <c r="L203" s="64">
        <v>10</v>
      </c>
      <c r="M203" s="64">
        <v>0</v>
      </c>
      <c r="N203" s="64">
        <v>0</v>
      </c>
      <c r="O203" s="64">
        <v>0</v>
      </c>
      <c r="P203" s="64">
        <v>0</v>
      </c>
      <c r="Q203" s="64">
        <v>10</v>
      </c>
      <c r="AK203" s="66" t="s">
        <v>2043</v>
      </c>
      <c r="AL203" s="66" t="s">
        <v>2032</v>
      </c>
      <c r="AM203" s="66">
        <v>518</v>
      </c>
      <c r="AN203" s="66">
        <v>474</v>
      </c>
      <c r="AO203" s="66">
        <v>538</v>
      </c>
      <c r="AP203" s="66">
        <v>508</v>
      </c>
      <c r="AQ203" s="66">
        <v>325</v>
      </c>
      <c r="AR203" s="66">
        <v>2363</v>
      </c>
      <c r="AS203" s="66"/>
      <c r="AT203" s="66" t="s">
        <v>2032</v>
      </c>
      <c r="AU203" s="66">
        <v>82</v>
      </c>
      <c r="AV203" s="66">
        <v>5</v>
      </c>
      <c r="AW203" s="66">
        <v>3</v>
      </c>
      <c r="AX203" s="66">
        <v>2</v>
      </c>
      <c r="AY203" s="66">
        <v>2</v>
      </c>
      <c r="AZ203" s="66">
        <v>94</v>
      </c>
      <c r="BB203" s="69" t="s">
        <v>1201</v>
      </c>
      <c r="BC203" s="69" t="s">
        <v>2032</v>
      </c>
      <c r="BD203" s="69">
        <v>1365</v>
      </c>
      <c r="BE203" s="69">
        <v>592</v>
      </c>
      <c r="BF203" s="69">
        <v>827</v>
      </c>
      <c r="BG203" s="69">
        <v>995</v>
      </c>
      <c r="BH203" s="69">
        <v>787</v>
      </c>
      <c r="BI203" s="69">
        <v>4566</v>
      </c>
      <c r="BJ203" s="69"/>
      <c r="BK203" s="69" t="s">
        <v>2032</v>
      </c>
      <c r="BL203" s="69">
        <v>273</v>
      </c>
      <c r="BM203" s="69">
        <v>0</v>
      </c>
      <c r="BN203" s="69">
        <v>0</v>
      </c>
      <c r="BO203" s="69">
        <v>0</v>
      </c>
      <c r="BP203" s="69">
        <v>0</v>
      </c>
      <c r="BQ203" s="69">
        <v>273</v>
      </c>
      <c r="BS203" s="21"/>
      <c r="CL203" s="57" t="s">
        <v>367</v>
      </c>
      <c r="CM203" s="57" t="s">
        <v>25</v>
      </c>
      <c r="CN203" s="57">
        <v>95</v>
      </c>
      <c r="CO203" s="57">
        <v>132</v>
      </c>
      <c r="CP203" s="57">
        <v>174</v>
      </c>
      <c r="CQ203" s="57">
        <v>206</v>
      </c>
      <c r="CR203" s="57">
        <v>242</v>
      </c>
      <c r="CS203" s="57">
        <v>849</v>
      </c>
      <c r="CT203" s="57"/>
      <c r="CU203" s="57" t="s">
        <v>25</v>
      </c>
      <c r="CV203" s="57">
        <v>8</v>
      </c>
      <c r="CW203" s="57">
        <v>0</v>
      </c>
      <c r="CX203" s="57">
        <v>0</v>
      </c>
      <c r="CY203" s="57">
        <v>0</v>
      </c>
      <c r="CZ203" s="57">
        <v>0</v>
      </c>
      <c r="DA203" s="57">
        <v>8</v>
      </c>
      <c r="DD203" s="21"/>
      <c r="EN203" s="57" t="s">
        <v>1737</v>
      </c>
      <c r="EO203" s="57" t="s">
        <v>2253</v>
      </c>
      <c r="EP203" s="57">
        <v>145</v>
      </c>
      <c r="EQ203" s="57">
        <v>318</v>
      </c>
      <c r="ER203" s="57">
        <v>478</v>
      </c>
      <c r="ES203" s="57">
        <v>589</v>
      </c>
      <c r="ET203" s="57">
        <v>615</v>
      </c>
      <c r="EU203" s="57">
        <v>2145</v>
      </c>
      <c r="EV203" s="57"/>
      <c r="EW203" s="57" t="s">
        <v>2253</v>
      </c>
      <c r="EX203" s="57">
        <v>46</v>
      </c>
      <c r="EY203" s="57">
        <v>32</v>
      </c>
      <c r="EZ203" s="57">
        <v>19</v>
      </c>
      <c r="FA203" s="57">
        <v>13</v>
      </c>
      <c r="FB203" s="57">
        <v>0</v>
      </c>
      <c r="FC203" s="57">
        <v>110</v>
      </c>
      <c r="FF203" s="70" t="s">
        <v>1827</v>
      </c>
      <c r="FG203" s="70" t="s">
        <v>708</v>
      </c>
      <c r="FH203" s="70">
        <v>579</v>
      </c>
      <c r="FI203" s="70">
        <v>573</v>
      </c>
      <c r="FJ203" s="70">
        <v>615</v>
      </c>
      <c r="FK203" s="70">
        <v>710</v>
      </c>
      <c r="FL203" s="70">
        <v>781</v>
      </c>
      <c r="FM203" s="70">
        <v>3258</v>
      </c>
      <c r="FN203" s="70"/>
      <c r="FO203" s="70" t="s">
        <v>708</v>
      </c>
      <c r="FP203" s="70">
        <v>82</v>
      </c>
      <c r="FQ203" s="70">
        <v>11</v>
      </c>
      <c r="FR203" s="70">
        <v>9</v>
      </c>
      <c r="FS203" s="70">
        <v>4</v>
      </c>
      <c r="FT203" s="70">
        <v>2</v>
      </c>
      <c r="FU203" s="70">
        <v>108</v>
      </c>
    </row>
    <row r="204" spans="2:177">
      <c r="B204" s="64" t="s">
        <v>71</v>
      </c>
      <c r="C204" s="64" t="s">
        <v>2032</v>
      </c>
      <c r="D204" s="64">
        <v>144</v>
      </c>
      <c r="E204" s="64">
        <v>216</v>
      </c>
      <c r="F204" s="64">
        <v>378</v>
      </c>
      <c r="G204" s="64">
        <v>418</v>
      </c>
      <c r="H204" s="64">
        <v>303</v>
      </c>
      <c r="I204" s="64">
        <v>1459</v>
      </c>
      <c r="K204" s="64" t="s">
        <v>2032</v>
      </c>
      <c r="L204" s="64">
        <v>25</v>
      </c>
      <c r="M204" s="64">
        <v>0</v>
      </c>
      <c r="N204" s="64">
        <v>1</v>
      </c>
      <c r="O204" s="64">
        <v>1</v>
      </c>
      <c r="P204" s="64">
        <v>0</v>
      </c>
      <c r="Q204" s="64">
        <v>27</v>
      </c>
      <c r="BB204" s="69" t="s">
        <v>1204</v>
      </c>
      <c r="BC204" s="69" t="s">
        <v>2032</v>
      </c>
      <c r="BD204" s="69">
        <v>42</v>
      </c>
      <c r="BE204" s="69">
        <v>40</v>
      </c>
      <c r="BF204" s="69">
        <v>96</v>
      </c>
      <c r="BG204" s="69">
        <v>129</v>
      </c>
      <c r="BH204" s="69">
        <v>206</v>
      </c>
      <c r="BI204" s="69">
        <v>513</v>
      </c>
      <c r="BJ204" s="69"/>
      <c r="BK204" s="69" t="s">
        <v>2032</v>
      </c>
      <c r="BL204" s="69">
        <v>10</v>
      </c>
      <c r="BM204" s="69">
        <v>0</v>
      </c>
      <c r="BN204" s="69">
        <v>0</v>
      </c>
      <c r="BO204" s="69">
        <v>0</v>
      </c>
      <c r="BP204" s="69">
        <v>0</v>
      </c>
      <c r="BQ204" s="69">
        <v>10</v>
      </c>
      <c r="BS204" s="21"/>
      <c r="CL204" s="57" t="s">
        <v>506</v>
      </c>
      <c r="CM204" s="57" t="s">
        <v>25</v>
      </c>
      <c r="CN204" s="57">
        <v>518</v>
      </c>
      <c r="CO204" s="57">
        <v>86</v>
      </c>
      <c r="CP204" s="57">
        <v>159</v>
      </c>
      <c r="CQ204" s="57">
        <v>220</v>
      </c>
      <c r="CR204" s="57">
        <v>350</v>
      </c>
      <c r="CS204" s="57">
        <v>1333</v>
      </c>
      <c r="CT204" s="57"/>
      <c r="CU204" s="57" t="s">
        <v>25</v>
      </c>
      <c r="CV204" s="57">
        <v>131</v>
      </c>
      <c r="CW204" s="57">
        <v>0</v>
      </c>
      <c r="CX204" s="57">
        <v>0</v>
      </c>
      <c r="CY204" s="57">
        <v>0</v>
      </c>
      <c r="CZ204" s="57">
        <v>0</v>
      </c>
      <c r="DA204" s="57">
        <v>131</v>
      </c>
      <c r="DD204" s="21"/>
      <c r="EN204" s="57" t="s">
        <v>1741</v>
      </c>
      <c r="EO204" s="57" t="s">
        <v>2253</v>
      </c>
      <c r="EP204" s="57">
        <v>199</v>
      </c>
      <c r="EQ204" s="57">
        <v>484</v>
      </c>
      <c r="ER204" s="57">
        <v>575</v>
      </c>
      <c r="ES204" s="57">
        <v>664</v>
      </c>
      <c r="ET204" s="57">
        <v>707</v>
      </c>
      <c r="EU204" s="57">
        <v>2629</v>
      </c>
      <c r="EV204" s="57"/>
      <c r="EW204" s="57" t="s">
        <v>2253</v>
      </c>
      <c r="EX204" s="57">
        <v>25</v>
      </c>
      <c r="EY204" s="57">
        <v>13</v>
      </c>
      <c r="EZ204" s="57">
        <v>12</v>
      </c>
      <c r="FA204" s="57">
        <v>11</v>
      </c>
      <c r="FB204" s="57">
        <v>12</v>
      </c>
      <c r="FC204" s="57">
        <v>73</v>
      </c>
      <c r="FF204" s="70" t="s">
        <v>1828</v>
      </c>
      <c r="FG204" s="70" t="s">
        <v>708</v>
      </c>
      <c r="FH204" s="70">
        <v>327</v>
      </c>
      <c r="FI204" s="70">
        <v>532</v>
      </c>
      <c r="FJ204" s="70">
        <v>566</v>
      </c>
      <c r="FK204" s="70">
        <v>688</v>
      </c>
      <c r="FL204" s="70">
        <v>724</v>
      </c>
      <c r="FM204" s="70">
        <v>2837</v>
      </c>
      <c r="FN204" s="70"/>
      <c r="FO204" s="70" t="s">
        <v>708</v>
      </c>
      <c r="FP204" s="70">
        <v>35</v>
      </c>
      <c r="FQ204" s="70">
        <v>17</v>
      </c>
      <c r="FR204" s="70">
        <v>6</v>
      </c>
      <c r="FS204" s="70">
        <v>4</v>
      </c>
      <c r="FT204" s="70">
        <v>3</v>
      </c>
      <c r="FU204" s="70">
        <v>65</v>
      </c>
    </row>
    <row r="205" spans="2:177">
      <c r="B205" s="64" t="s">
        <v>933</v>
      </c>
      <c r="C205" s="64" t="s">
        <v>2032</v>
      </c>
      <c r="D205" s="64">
        <v>340</v>
      </c>
      <c r="E205" s="64">
        <v>405</v>
      </c>
      <c r="F205" s="64">
        <v>459</v>
      </c>
      <c r="G205" s="64">
        <v>503</v>
      </c>
      <c r="H205" s="64">
        <v>339</v>
      </c>
      <c r="I205" s="64">
        <v>2046</v>
      </c>
      <c r="K205" s="64" t="s">
        <v>2032</v>
      </c>
      <c r="L205" s="64">
        <v>29</v>
      </c>
      <c r="M205" s="64">
        <v>3</v>
      </c>
      <c r="N205" s="64">
        <v>1</v>
      </c>
      <c r="O205" s="64">
        <v>0</v>
      </c>
      <c r="P205" s="64">
        <v>0</v>
      </c>
      <c r="Q205" s="64">
        <v>33</v>
      </c>
      <c r="AJ205" s="16" t="s">
        <v>2370</v>
      </c>
      <c r="AK205" s="66" t="s">
        <v>2112</v>
      </c>
      <c r="AL205" s="66" t="s">
        <v>708</v>
      </c>
      <c r="AM205" s="66">
        <v>569</v>
      </c>
      <c r="AN205" s="66">
        <v>789</v>
      </c>
      <c r="AO205" s="66">
        <v>1068</v>
      </c>
      <c r="AP205" s="66">
        <v>1097</v>
      </c>
      <c r="AQ205" s="66">
        <v>793</v>
      </c>
      <c r="AR205" s="66">
        <v>4316</v>
      </c>
      <c r="AS205" s="66"/>
      <c r="AT205" s="66" t="s">
        <v>708</v>
      </c>
      <c r="AU205" s="66">
        <v>60</v>
      </c>
      <c r="AV205" s="66">
        <v>6</v>
      </c>
      <c r="AW205" s="66">
        <v>0</v>
      </c>
      <c r="AX205" s="66">
        <v>3</v>
      </c>
      <c r="AY205" s="66">
        <v>1</v>
      </c>
      <c r="AZ205" s="66">
        <v>70</v>
      </c>
      <c r="BB205" s="69" t="s">
        <v>1207</v>
      </c>
      <c r="BC205" s="69" t="s">
        <v>2032</v>
      </c>
      <c r="BD205" s="69">
        <v>376</v>
      </c>
      <c r="BE205" s="69">
        <v>391</v>
      </c>
      <c r="BF205" s="69">
        <v>637</v>
      </c>
      <c r="BG205" s="69">
        <v>842</v>
      </c>
      <c r="BH205" s="69">
        <v>790</v>
      </c>
      <c r="BI205" s="69">
        <v>3036</v>
      </c>
      <c r="BJ205" s="69"/>
      <c r="BK205" s="69" t="s">
        <v>2032</v>
      </c>
      <c r="BL205" s="69">
        <v>34</v>
      </c>
      <c r="BM205" s="69">
        <v>0</v>
      </c>
      <c r="BN205" s="69">
        <v>0</v>
      </c>
      <c r="BO205" s="69">
        <v>0</v>
      </c>
      <c r="BP205" s="69">
        <v>0</v>
      </c>
      <c r="BQ205" s="69">
        <v>34</v>
      </c>
      <c r="BS205" s="21"/>
      <c r="CL205" s="57" t="s">
        <v>368</v>
      </c>
      <c r="CM205" s="57" t="s">
        <v>25</v>
      </c>
      <c r="CN205" s="57">
        <v>1205</v>
      </c>
      <c r="CO205" s="57">
        <v>943</v>
      </c>
      <c r="CP205" s="57">
        <v>1034</v>
      </c>
      <c r="CQ205" s="57">
        <v>960</v>
      </c>
      <c r="CR205" s="57">
        <v>789</v>
      </c>
      <c r="CS205" s="57">
        <v>4931</v>
      </c>
      <c r="CT205" s="57"/>
      <c r="CU205" s="57" t="s">
        <v>25</v>
      </c>
      <c r="CV205" s="57">
        <v>155</v>
      </c>
      <c r="CW205" s="57">
        <v>5</v>
      </c>
      <c r="CX205" s="57">
        <v>0</v>
      </c>
      <c r="CY205" s="57">
        <v>0</v>
      </c>
      <c r="CZ205" s="57">
        <v>0</v>
      </c>
      <c r="DA205" s="57">
        <v>160</v>
      </c>
      <c r="DD205" s="21"/>
      <c r="EN205" s="57" t="s">
        <v>1744</v>
      </c>
      <c r="EO205" s="57" t="s">
        <v>2253</v>
      </c>
      <c r="EP205" s="57">
        <v>207</v>
      </c>
      <c r="EQ205" s="57">
        <v>423</v>
      </c>
      <c r="ER205" s="57">
        <v>547</v>
      </c>
      <c r="ES205" s="57">
        <v>629</v>
      </c>
      <c r="ET205" s="57">
        <v>629</v>
      </c>
      <c r="EU205" s="57">
        <v>2435</v>
      </c>
      <c r="EV205" s="57"/>
      <c r="EW205" s="57" t="s">
        <v>2253</v>
      </c>
      <c r="EX205" s="57">
        <v>49</v>
      </c>
      <c r="EY205" s="57">
        <v>31</v>
      </c>
      <c r="EZ205" s="57">
        <v>0</v>
      </c>
      <c r="FA205" s="57">
        <v>0</v>
      </c>
      <c r="FB205" s="57">
        <v>0</v>
      </c>
      <c r="FC205" s="57">
        <v>80</v>
      </c>
      <c r="FF205" s="70" t="s">
        <v>1829</v>
      </c>
      <c r="FG205" s="70" t="s">
        <v>708</v>
      </c>
      <c r="FH205" s="70">
        <v>2007</v>
      </c>
      <c r="FI205" s="70">
        <v>1077</v>
      </c>
      <c r="FJ205" s="70">
        <v>801</v>
      </c>
      <c r="FK205" s="70">
        <v>629</v>
      </c>
      <c r="FL205" s="70">
        <v>715</v>
      </c>
      <c r="FM205" s="70">
        <v>5229</v>
      </c>
      <c r="FN205" s="70"/>
      <c r="FO205" s="70" t="s">
        <v>708</v>
      </c>
      <c r="FP205" s="70">
        <v>415</v>
      </c>
      <c r="FQ205" s="70">
        <v>0</v>
      </c>
      <c r="FR205" s="70">
        <v>0</v>
      </c>
      <c r="FS205" s="70">
        <v>0</v>
      </c>
      <c r="FT205" s="70">
        <v>0</v>
      </c>
      <c r="FU205" s="70">
        <v>415</v>
      </c>
    </row>
    <row r="206" spans="2:177">
      <c r="B206" s="64" t="s">
        <v>145</v>
      </c>
      <c r="C206" s="64" t="s">
        <v>2032</v>
      </c>
      <c r="D206" s="64">
        <v>143</v>
      </c>
      <c r="E206" s="64">
        <v>265</v>
      </c>
      <c r="F206" s="64">
        <v>406</v>
      </c>
      <c r="G206" s="64">
        <v>511</v>
      </c>
      <c r="H206" s="64">
        <v>378</v>
      </c>
      <c r="I206" s="64">
        <v>1703</v>
      </c>
      <c r="K206" s="64" t="s">
        <v>2034</v>
      </c>
      <c r="L206" s="64">
        <v>28</v>
      </c>
      <c r="M206" s="64">
        <v>0</v>
      </c>
      <c r="N206" s="64">
        <v>0</v>
      </c>
      <c r="O206" s="64">
        <v>1</v>
      </c>
      <c r="P206" s="64">
        <v>0</v>
      </c>
      <c r="Q206" s="64">
        <v>29</v>
      </c>
      <c r="AK206" s="66" t="s">
        <v>1047</v>
      </c>
      <c r="AL206" s="66" t="s">
        <v>708</v>
      </c>
      <c r="AM206" s="66">
        <v>183</v>
      </c>
      <c r="AN206" s="66">
        <v>305</v>
      </c>
      <c r="AO206" s="66">
        <v>540</v>
      </c>
      <c r="AP206" s="66">
        <v>601</v>
      </c>
      <c r="AQ206" s="66">
        <v>466</v>
      </c>
      <c r="AR206" s="66">
        <v>2095</v>
      </c>
      <c r="AS206" s="66"/>
      <c r="AT206" s="66" t="s">
        <v>708</v>
      </c>
      <c r="AU206" s="66">
        <v>27</v>
      </c>
      <c r="AV206" s="66">
        <v>1</v>
      </c>
      <c r="AW206" s="66">
        <v>0</v>
      </c>
      <c r="AX206" s="66">
        <v>0</v>
      </c>
      <c r="AY206" s="66">
        <v>1</v>
      </c>
      <c r="AZ206" s="66">
        <v>29</v>
      </c>
      <c r="BB206" s="69" t="s">
        <v>1210</v>
      </c>
      <c r="BC206" s="69" t="s">
        <v>2032</v>
      </c>
      <c r="BD206" s="69">
        <v>139</v>
      </c>
      <c r="BE206" s="69">
        <v>83</v>
      </c>
      <c r="BF206" s="69">
        <v>170</v>
      </c>
      <c r="BG206" s="69">
        <v>246</v>
      </c>
      <c r="BH206" s="69">
        <v>210</v>
      </c>
      <c r="BI206" s="69">
        <v>848</v>
      </c>
      <c r="BJ206" s="69"/>
      <c r="BK206" s="69" t="s">
        <v>2032</v>
      </c>
      <c r="BL206" s="69">
        <v>48</v>
      </c>
      <c r="BM206" s="69">
        <v>0</v>
      </c>
      <c r="BN206" s="69">
        <v>0</v>
      </c>
      <c r="BO206" s="69">
        <v>0</v>
      </c>
      <c r="BP206" s="69">
        <v>0</v>
      </c>
      <c r="BQ206" s="69">
        <v>48</v>
      </c>
      <c r="BS206" s="21"/>
      <c r="CL206" s="57" t="s">
        <v>544</v>
      </c>
      <c r="CM206" s="57" t="s">
        <v>25</v>
      </c>
      <c r="CN206" s="57">
        <v>33</v>
      </c>
      <c r="CO206" s="57">
        <v>51</v>
      </c>
      <c r="CP206" s="57">
        <v>103</v>
      </c>
      <c r="CQ206" s="57">
        <v>181</v>
      </c>
      <c r="CR206" s="57">
        <v>189</v>
      </c>
      <c r="CS206" s="57">
        <v>557</v>
      </c>
      <c r="CT206" s="57"/>
      <c r="CU206" s="57" t="s">
        <v>25</v>
      </c>
      <c r="CV206" s="57">
        <v>7</v>
      </c>
      <c r="CW206" s="57">
        <v>1</v>
      </c>
      <c r="CX206" s="57">
        <v>0</v>
      </c>
      <c r="CY206" s="57">
        <v>0</v>
      </c>
      <c r="CZ206" s="57">
        <v>0</v>
      </c>
      <c r="DA206" s="57">
        <v>8</v>
      </c>
      <c r="DD206" s="21"/>
      <c r="EN206" s="57" t="s">
        <v>1747</v>
      </c>
      <c r="EO206" s="57" t="s">
        <v>2253</v>
      </c>
      <c r="EP206" s="57">
        <v>237</v>
      </c>
      <c r="EQ206" s="57">
        <v>492</v>
      </c>
      <c r="ER206" s="57">
        <v>542</v>
      </c>
      <c r="ES206" s="57">
        <v>686</v>
      </c>
      <c r="ET206" s="57">
        <v>703</v>
      </c>
      <c r="EU206" s="57">
        <v>2660</v>
      </c>
      <c r="EV206" s="57"/>
      <c r="EW206" s="57" t="s">
        <v>2253</v>
      </c>
      <c r="EX206" s="57">
        <v>35</v>
      </c>
      <c r="EY206" s="57">
        <v>23</v>
      </c>
      <c r="EZ206" s="57">
        <v>9</v>
      </c>
      <c r="FA206" s="57">
        <v>7</v>
      </c>
      <c r="FB206" s="57">
        <v>10</v>
      </c>
      <c r="FC206" s="57">
        <v>84</v>
      </c>
      <c r="FF206" s="70" t="s">
        <v>1831</v>
      </c>
      <c r="FG206" s="70" t="s">
        <v>708</v>
      </c>
      <c r="FH206" s="70">
        <v>814</v>
      </c>
      <c r="FI206" s="70">
        <v>1146</v>
      </c>
      <c r="FJ206" s="70">
        <v>686</v>
      </c>
      <c r="FK206" s="70">
        <v>574</v>
      </c>
      <c r="FL206" s="70">
        <v>564</v>
      </c>
      <c r="FM206" s="70">
        <v>3784</v>
      </c>
      <c r="FN206" s="70"/>
      <c r="FO206" s="70" t="s">
        <v>708</v>
      </c>
      <c r="FP206" s="70">
        <v>130</v>
      </c>
      <c r="FQ206" s="70">
        <v>0</v>
      </c>
      <c r="FR206" s="70">
        <v>0</v>
      </c>
      <c r="FS206" s="70">
        <v>0</v>
      </c>
      <c r="FT206" s="70">
        <v>0</v>
      </c>
      <c r="FU206" s="70">
        <v>130</v>
      </c>
    </row>
    <row r="207" spans="2:177">
      <c r="B207" s="16"/>
      <c r="C207" s="16"/>
      <c r="D207" s="16"/>
      <c r="E207" s="16"/>
      <c r="F207" s="16"/>
      <c r="G207" s="16"/>
      <c r="H207" s="16"/>
      <c r="I207" s="16"/>
      <c r="J207" s="16"/>
      <c r="K207" s="16"/>
      <c r="L207" s="16"/>
      <c r="M207" s="16"/>
      <c r="N207" s="16"/>
      <c r="O207" s="16"/>
      <c r="P207" s="16"/>
      <c r="Q207" s="16"/>
      <c r="R207" s="16"/>
      <c r="S207" s="16"/>
      <c r="AK207" s="66" t="s">
        <v>1050</v>
      </c>
      <c r="AL207" s="66" t="s">
        <v>25</v>
      </c>
      <c r="AM207" s="66">
        <v>102</v>
      </c>
      <c r="AN207" s="66">
        <v>198</v>
      </c>
      <c r="AO207" s="66">
        <v>296</v>
      </c>
      <c r="AP207" s="66">
        <v>428</v>
      </c>
      <c r="AQ207" s="66">
        <v>286</v>
      </c>
      <c r="AR207" s="66">
        <v>1310</v>
      </c>
      <c r="AS207" s="66"/>
      <c r="AT207" s="66" t="s">
        <v>25</v>
      </c>
      <c r="AU207" s="66">
        <v>8</v>
      </c>
      <c r="AV207" s="66">
        <v>6</v>
      </c>
      <c r="AW207" s="66">
        <v>2</v>
      </c>
      <c r="AX207" s="66">
        <v>2</v>
      </c>
      <c r="AY207" s="66">
        <v>0</v>
      </c>
      <c r="AZ207" s="66">
        <v>18</v>
      </c>
      <c r="BB207" s="69" t="s">
        <v>1215</v>
      </c>
      <c r="BC207" s="69" t="s">
        <v>2032</v>
      </c>
      <c r="BD207" s="69">
        <v>477</v>
      </c>
      <c r="BE207" s="69">
        <v>265</v>
      </c>
      <c r="BF207" s="69">
        <v>423</v>
      </c>
      <c r="BG207" s="69">
        <v>542</v>
      </c>
      <c r="BH207" s="69">
        <v>435</v>
      </c>
      <c r="BI207" s="69">
        <v>2142</v>
      </c>
      <c r="BJ207" s="69"/>
      <c r="BK207" s="69" t="s">
        <v>2032</v>
      </c>
      <c r="BL207" s="69">
        <v>141</v>
      </c>
      <c r="BM207" s="69">
        <v>0</v>
      </c>
      <c r="BN207" s="69">
        <v>0</v>
      </c>
      <c r="BO207" s="69">
        <v>0</v>
      </c>
      <c r="BP207" s="69">
        <v>0</v>
      </c>
      <c r="BQ207" s="69">
        <v>141</v>
      </c>
      <c r="BS207" s="21"/>
      <c r="CL207" s="57" t="s">
        <v>369</v>
      </c>
      <c r="CM207" s="57" t="s">
        <v>25</v>
      </c>
      <c r="CN207" s="57">
        <v>127</v>
      </c>
      <c r="CO207" s="57">
        <v>128</v>
      </c>
      <c r="CP207" s="57">
        <v>257</v>
      </c>
      <c r="CQ207" s="57">
        <v>344</v>
      </c>
      <c r="CR207" s="57">
        <v>342</v>
      </c>
      <c r="CS207" s="57">
        <v>1198</v>
      </c>
      <c r="CT207" s="57"/>
      <c r="CU207" s="57" t="s">
        <v>25</v>
      </c>
      <c r="CV207" s="57">
        <v>20</v>
      </c>
      <c r="CW207" s="57">
        <v>0</v>
      </c>
      <c r="CX207" s="57">
        <v>0</v>
      </c>
      <c r="CY207" s="57">
        <v>0</v>
      </c>
      <c r="CZ207" s="57">
        <v>0</v>
      </c>
      <c r="DA207" s="57">
        <v>20</v>
      </c>
      <c r="DD207" s="21"/>
      <c r="EN207" s="57" t="s">
        <v>1750</v>
      </c>
      <c r="EO207" s="57" t="s">
        <v>2253</v>
      </c>
      <c r="EP207" s="57">
        <v>590</v>
      </c>
      <c r="EQ207" s="57">
        <v>602</v>
      </c>
      <c r="ER207" s="57">
        <v>612</v>
      </c>
      <c r="ES207" s="57">
        <v>664</v>
      </c>
      <c r="ET207" s="57">
        <v>680</v>
      </c>
      <c r="EU207" s="57">
        <v>3148</v>
      </c>
      <c r="EV207" s="57"/>
      <c r="EW207" s="57" t="s">
        <v>2253</v>
      </c>
      <c r="EX207" s="57">
        <v>65</v>
      </c>
      <c r="EY207" s="57">
        <v>19</v>
      </c>
      <c r="EZ207" s="57">
        <v>8</v>
      </c>
      <c r="FA207" s="57">
        <v>6</v>
      </c>
      <c r="FB207" s="57">
        <v>8</v>
      </c>
      <c r="FC207" s="57">
        <v>106</v>
      </c>
      <c r="FE207" s="16" t="s">
        <v>2022</v>
      </c>
      <c r="FF207" s="70" t="s">
        <v>1833</v>
      </c>
      <c r="FG207" s="70" t="s">
        <v>708</v>
      </c>
      <c r="FH207" s="70">
        <v>486</v>
      </c>
      <c r="FI207" s="70">
        <v>399</v>
      </c>
      <c r="FJ207" s="70">
        <v>468</v>
      </c>
      <c r="FK207" s="70">
        <v>502</v>
      </c>
      <c r="FL207" s="70">
        <v>590</v>
      </c>
      <c r="FM207" s="70">
        <v>2445</v>
      </c>
      <c r="FN207" s="70"/>
      <c r="FO207" s="70" t="s">
        <v>708</v>
      </c>
      <c r="FP207" s="70">
        <v>56</v>
      </c>
      <c r="FQ207" s="70">
        <v>2</v>
      </c>
      <c r="FR207" s="70">
        <v>0</v>
      </c>
      <c r="FS207" s="70">
        <v>0</v>
      </c>
      <c r="FT207" s="70">
        <v>0</v>
      </c>
      <c r="FU207" s="70">
        <v>58</v>
      </c>
    </row>
    <row r="208" spans="2:177">
      <c r="B208" s="64" t="s">
        <v>709</v>
      </c>
      <c r="C208" s="64" t="s">
        <v>708</v>
      </c>
      <c r="D208" s="64">
        <v>95</v>
      </c>
      <c r="E208" s="64">
        <v>159</v>
      </c>
      <c r="F208" s="64">
        <v>311</v>
      </c>
      <c r="G208" s="64">
        <v>382</v>
      </c>
      <c r="H208" s="64">
        <v>307</v>
      </c>
      <c r="I208" s="64">
        <v>1254</v>
      </c>
      <c r="K208" s="64" t="s">
        <v>708</v>
      </c>
      <c r="L208" s="64">
        <v>2</v>
      </c>
      <c r="M208" s="64">
        <v>1</v>
      </c>
      <c r="N208" s="64">
        <v>1</v>
      </c>
      <c r="O208" s="64">
        <v>0</v>
      </c>
      <c r="P208" s="64">
        <v>0</v>
      </c>
      <c r="Q208" s="64">
        <v>4</v>
      </c>
      <c r="AK208" s="66" t="s">
        <v>1057</v>
      </c>
      <c r="AL208" s="66" t="s">
        <v>25</v>
      </c>
      <c r="AM208" s="66">
        <v>864</v>
      </c>
      <c r="AN208" s="66">
        <v>907</v>
      </c>
      <c r="AO208" s="66">
        <v>1111</v>
      </c>
      <c r="AP208" s="66">
        <v>1233</v>
      </c>
      <c r="AQ208" s="66">
        <v>887</v>
      </c>
      <c r="AR208" s="66">
        <v>5002</v>
      </c>
      <c r="AS208" s="66"/>
      <c r="AT208" s="66" t="s">
        <v>25</v>
      </c>
      <c r="AU208" s="66">
        <v>138</v>
      </c>
      <c r="AV208" s="66">
        <v>8</v>
      </c>
      <c r="AW208" s="66">
        <v>2</v>
      </c>
      <c r="AX208" s="66">
        <v>1</v>
      </c>
      <c r="AY208" s="66">
        <v>1</v>
      </c>
      <c r="AZ208" s="66">
        <v>150</v>
      </c>
      <c r="BB208" s="69" t="s">
        <v>1218</v>
      </c>
      <c r="BC208" s="69" t="s">
        <v>2032</v>
      </c>
      <c r="BD208" s="69">
        <v>145</v>
      </c>
      <c r="BE208" s="69">
        <v>61</v>
      </c>
      <c r="BF208" s="69">
        <v>142</v>
      </c>
      <c r="BG208" s="69">
        <v>156</v>
      </c>
      <c r="BH208" s="69">
        <v>177</v>
      </c>
      <c r="BI208" s="69">
        <v>681</v>
      </c>
      <c r="BJ208" s="69"/>
      <c r="BK208" s="69" t="s">
        <v>2032</v>
      </c>
      <c r="BL208" s="69">
        <v>33</v>
      </c>
      <c r="BM208" s="69">
        <v>0</v>
      </c>
      <c r="BN208" s="69">
        <v>0</v>
      </c>
      <c r="BO208" s="69">
        <v>0</v>
      </c>
      <c r="BP208" s="69">
        <v>0</v>
      </c>
      <c r="BQ208" s="69">
        <v>33</v>
      </c>
      <c r="BS208" s="21"/>
      <c r="CL208" s="57" t="s">
        <v>540</v>
      </c>
      <c r="CM208" s="57" t="s">
        <v>25</v>
      </c>
      <c r="CN208" s="57">
        <v>129</v>
      </c>
      <c r="CO208" s="57">
        <v>152</v>
      </c>
      <c r="CP208" s="57">
        <v>289</v>
      </c>
      <c r="CQ208" s="57">
        <v>381</v>
      </c>
      <c r="CR208" s="57">
        <v>304</v>
      </c>
      <c r="CS208" s="57">
        <v>1255</v>
      </c>
      <c r="CT208" s="57"/>
      <c r="CU208" s="57" t="s">
        <v>25</v>
      </c>
      <c r="CV208" s="57">
        <v>30</v>
      </c>
      <c r="CW208" s="57">
        <v>0</v>
      </c>
      <c r="CX208" s="57">
        <v>0</v>
      </c>
      <c r="CY208" s="57">
        <v>0</v>
      </c>
      <c r="CZ208" s="57">
        <v>0</v>
      </c>
      <c r="DA208" s="57">
        <v>30</v>
      </c>
      <c r="DD208" s="21"/>
      <c r="EN208" s="57" t="s">
        <v>1753</v>
      </c>
      <c r="EO208" s="57" t="s">
        <v>2253</v>
      </c>
      <c r="EP208" s="57">
        <v>245</v>
      </c>
      <c r="EQ208" s="57">
        <v>423</v>
      </c>
      <c r="ER208" s="57">
        <v>461</v>
      </c>
      <c r="ES208" s="57">
        <v>513</v>
      </c>
      <c r="ET208" s="57">
        <v>484</v>
      </c>
      <c r="EU208" s="57">
        <v>2126</v>
      </c>
      <c r="EV208" s="57"/>
      <c r="EW208" s="57" t="s">
        <v>2253</v>
      </c>
      <c r="EX208" s="57">
        <v>20</v>
      </c>
      <c r="EY208" s="57">
        <v>19</v>
      </c>
      <c r="EZ208" s="57">
        <v>11</v>
      </c>
      <c r="FA208" s="57">
        <v>7</v>
      </c>
      <c r="FB208" s="57">
        <v>9</v>
      </c>
      <c r="FC208" s="57">
        <v>66</v>
      </c>
      <c r="FE208" s="16" t="s">
        <v>2024</v>
      </c>
      <c r="FF208" s="70" t="s">
        <v>1834</v>
      </c>
      <c r="FG208" s="70" t="s">
        <v>708</v>
      </c>
      <c r="FH208" s="70">
        <v>198</v>
      </c>
      <c r="FI208" s="70">
        <v>235</v>
      </c>
      <c r="FJ208" s="70">
        <v>226</v>
      </c>
      <c r="FK208" s="70">
        <v>264</v>
      </c>
      <c r="FL208" s="70">
        <v>312</v>
      </c>
      <c r="FM208" s="70">
        <v>1235</v>
      </c>
      <c r="FN208" s="70"/>
      <c r="FO208" s="70" t="s">
        <v>708</v>
      </c>
      <c r="FP208" s="70">
        <v>23</v>
      </c>
      <c r="FQ208" s="70">
        <v>1</v>
      </c>
      <c r="FR208" s="70">
        <v>1</v>
      </c>
      <c r="FS208" s="70">
        <v>2</v>
      </c>
      <c r="FT208" s="70">
        <v>0</v>
      </c>
      <c r="FU208" s="70">
        <v>27</v>
      </c>
    </row>
    <row r="209" spans="2:177">
      <c r="B209" s="64" t="s">
        <v>717</v>
      </c>
      <c r="C209" s="64" t="s">
        <v>708</v>
      </c>
      <c r="D209" s="64">
        <v>191</v>
      </c>
      <c r="E209" s="64">
        <v>435</v>
      </c>
      <c r="F209" s="64">
        <v>571</v>
      </c>
      <c r="G209" s="64">
        <v>668</v>
      </c>
      <c r="H209" s="64">
        <v>572</v>
      </c>
      <c r="I209" s="64">
        <v>2437</v>
      </c>
      <c r="K209" s="64" t="s">
        <v>708</v>
      </c>
      <c r="L209" s="64">
        <v>2</v>
      </c>
      <c r="M209" s="64">
        <v>1</v>
      </c>
      <c r="N209" s="64">
        <v>0</v>
      </c>
      <c r="O209" s="64">
        <v>0</v>
      </c>
      <c r="P209" s="64">
        <v>0</v>
      </c>
      <c r="Q209" s="64">
        <v>3</v>
      </c>
      <c r="AK209" s="66" t="s">
        <v>1061</v>
      </c>
      <c r="AL209" s="66" t="s">
        <v>25</v>
      </c>
      <c r="AM209" s="66">
        <v>596</v>
      </c>
      <c r="AN209" s="66">
        <v>630</v>
      </c>
      <c r="AO209" s="66">
        <v>705</v>
      </c>
      <c r="AP209" s="66">
        <v>884</v>
      </c>
      <c r="AQ209" s="66">
        <v>695</v>
      </c>
      <c r="AR209" s="66">
        <v>3510</v>
      </c>
      <c r="AS209" s="66"/>
      <c r="AT209" s="66" t="s">
        <v>25</v>
      </c>
      <c r="AU209" s="66">
        <v>42</v>
      </c>
      <c r="AV209" s="66">
        <v>8</v>
      </c>
      <c r="AW209" s="66">
        <v>1</v>
      </c>
      <c r="AX209" s="66">
        <v>4</v>
      </c>
      <c r="AY209" s="66">
        <v>0</v>
      </c>
      <c r="AZ209" s="66">
        <v>55</v>
      </c>
      <c r="BB209" s="69" t="s">
        <v>1221</v>
      </c>
      <c r="BC209" s="69" t="s">
        <v>2032</v>
      </c>
      <c r="BD209" s="69">
        <v>42</v>
      </c>
      <c r="BE209" s="69">
        <v>52</v>
      </c>
      <c r="BF209" s="69">
        <v>104</v>
      </c>
      <c r="BG209" s="69">
        <v>162</v>
      </c>
      <c r="BH209" s="69">
        <v>112</v>
      </c>
      <c r="BI209" s="69">
        <v>472</v>
      </c>
      <c r="BJ209" s="69"/>
      <c r="BK209" s="69" t="s">
        <v>2032</v>
      </c>
      <c r="BL209" s="69">
        <v>17</v>
      </c>
      <c r="BM209" s="69">
        <v>0</v>
      </c>
      <c r="BN209" s="69">
        <v>0</v>
      </c>
      <c r="BO209" s="69">
        <v>0</v>
      </c>
      <c r="BP209" s="69">
        <v>0</v>
      </c>
      <c r="BQ209" s="69">
        <v>17</v>
      </c>
      <c r="BS209" s="21"/>
      <c r="CL209" s="57" t="s">
        <v>549</v>
      </c>
      <c r="CM209" s="57" t="s">
        <v>25</v>
      </c>
      <c r="CN209" s="57">
        <v>46</v>
      </c>
      <c r="CO209" s="57">
        <v>33</v>
      </c>
      <c r="CP209" s="57">
        <v>57</v>
      </c>
      <c r="CQ209" s="57">
        <v>54</v>
      </c>
      <c r="CR209" s="57">
        <v>69</v>
      </c>
      <c r="CS209" s="57">
        <v>259</v>
      </c>
      <c r="CT209" s="57"/>
      <c r="CU209" s="57" t="s">
        <v>25</v>
      </c>
      <c r="CV209" s="57">
        <v>13</v>
      </c>
      <c r="CW209" s="57">
        <v>0</v>
      </c>
      <c r="CX209" s="57">
        <v>0</v>
      </c>
      <c r="CY209" s="57">
        <v>0</v>
      </c>
      <c r="CZ209" s="57">
        <v>0</v>
      </c>
      <c r="DA209" s="57">
        <v>13</v>
      </c>
      <c r="DD209" s="21"/>
      <c r="EN209" s="57" t="s">
        <v>2147</v>
      </c>
      <c r="EO209" s="57" t="s">
        <v>2253</v>
      </c>
      <c r="EP209" s="57">
        <v>165</v>
      </c>
      <c r="EQ209" s="57">
        <v>204</v>
      </c>
      <c r="ER209" s="57">
        <v>186</v>
      </c>
      <c r="ES209" s="57">
        <v>226</v>
      </c>
      <c r="ET209" s="57">
        <v>267</v>
      </c>
      <c r="EU209" s="57">
        <v>1048</v>
      </c>
      <c r="EV209" s="57"/>
      <c r="EW209" s="57" t="s">
        <v>2253</v>
      </c>
      <c r="EX209" s="57">
        <v>20</v>
      </c>
      <c r="EY209" s="57">
        <v>4</v>
      </c>
      <c r="EZ209" s="57">
        <v>1</v>
      </c>
      <c r="FA209" s="57">
        <v>0</v>
      </c>
      <c r="FB209" s="57">
        <v>0</v>
      </c>
      <c r="FC209" s="57">
        <v>25</v>
      </c>
      <c r="FF209" s="70" t="s">
        <v>1837</v>
      </c>
      <c r="FG209" s="70" t="s">
        <v>708</v>
      </c>
      <c r="FH209" s="70">
        <v>144</v>
      </c>
      <c r="FI209" s="70">
        <v>279</v>
      </c>
      <c r="FJ209" s="70">
        <v>315</v>
      </c>
      <c r="FK209" s="70">
        <v>370</v>
      </c>
      <c r="FL209" s="70">
        <v>431</v>
      </c>
      <c r="FM209" s="70">
        <v>1539</v>
      </c>
      <c r="FN209" s="70"/>
      <c r="FO209" s="70" t="s">
        <v>708</v>
      </c>
      <c r="FP209" s="70">
        <v>21</v>
      </c>
      <c r="FQ209" s="70">
        <v>10</v>
      </c>
      <c r="FR209" s="70">
        <v>4</v>
      </c>
      <c r="FS209" s="70">
        <v>2</v>
      </c>
      <c r="FT209" s="70">
        <v>2</v>
      </c>
      <c r="FU209" s="70">
        <v>39</v>
      </c>
    </row>
    <row r="210" spans="2:177">
      <c r="B210" s="64" t="s">
        <v>721</v>
      </c>
      <c r="C210" s="64" t="s">
        <v>25</v>
      </c>
      <c r="D210" s="64">
        <v>1025</v>
      </c>
      <c r="E210" s="64">
        <v>809</v>
      </c>
      <c r="F210" s="64">
        <v>870</v>
      </c>
      <c r="G210" s="64">
        <v>922</v>
      </c>
      <c r="H210" s="64">
        <v>592</v>
      </c>
      <c r="I210" s="64">
        <v>4218</v>
      </c>
      <c r="K210" s="64" t="s">
        <v>25</v>
      </c>
      <c r="L210" s="64">
        <v>136</v>
      </c>
      <c r="M210" s="64">
        <v>3</v>
      </c>
      <c r="N210" s="64">
        <v>0</v>
      </c>
      <c r="O210" s="64">
        <v>0</v>
      </c>
      <c r="P210" s="64">
        <v>0</v>
      </c>
      <c r="Q210" s="64">
        <v>139</v>
      </c>
      <c r="AK210" s="66" t="s">
        <v>1064</v>
      </c>
      <c r="AL210" s="66" t="s">
        <v>25</v>
      </c>
      <c r="AM210" s="66">
        <v>1036</v>
      </c>
      <c r="AN210" s="66">
        <v>1191</v>
      </c>
      <c r="AO210" s="66">
        <v>1548</v>
      </c>
      <c r="AP210" s="66">
        <v>1692</v>
      </c>
      <c r="AQ210" s="66">
        <v>1047</v>
      </c>
      <c r="AR210" s="66">
        <v>6514</v>
      </c>
      <c r="AS210" s="66"/>
      <c r="AT210" s="66" t="s">
        <v>25</v>
      </c>
      <c r="AU210" s="66">
        <v>79</v>
      </c>
      <c r="AV210" s="66">
        <v>3</v>
      </c>
      <c r="AW210" s="66">
        <v>4</v>
      </c>
      <c r="AX210" s="66">
        <v>3</v>
      </c>
      <c r="AY210" s="66">
        <v>0</v>
      </c>
      <c r="AZ210" s="66">
        <v>89</v>
      </c>
      <c r="BB210" s="69" t="s">
        <v>1225</v>
      </c>
      <c r="BC210" s="69" t="s">
        <v>2032</v>
      </c>
      <c r="BD210" s="69">
        <v>60</v>
      </c>
      <c r="BE210" s="69">
        <v>58</v>
      </c>
      <c r="BF210" s="69">
        <v>109</v>
      </c>
      <c r="BG210" s="69">
        <v>132</v>
      </c>
      <c r="BH210" s="69">
        <v>139</v>
      </c>
      <c r="BI210" s="69">
        <v>498</v>
      </c>
      <c r="BJ210" s="69"/>
      <c r="BK210" s="69" t="s">
        <v>2032</v>
      </c>
      <c r="BL210" s="69">
        <v>19</v>
      </c>
      <c r="BM210" s="69">
        <v>0</v>
      </c>
      <c r="BN210" s="69">
        <v>0</v>
      </c>
      <c r="BO210" s="69">
        <v>0</v>
      </c>
      <c r="BP210" s="69">
        <v>0</v>
      </c>
      <c r="BQ210" s="69">
        <v>19</v>
      </c>
      <c r="BS210" s="21"/>
      <c r="CL210" s="57" t="s">
        <v>1553</v>
      </c>
      <c r="CM210" s="57" t="s">
        <v>25</v>
      </c>
      <c r="CN210" s="57">
        <v>295</v>
      </c>
      <c r="CO210" s="57">
        <v>317</v>
      </c>
      <c r="CP210" s="57">
        <v>581</v>
      </c>
      <c r="CQ210" s="57">
        <v>806</v>
      </c>
      <c r="CR210" s="57">
        <v>754</v>
      </c>
      <c r="CS210" s="57">
        <v>2753</v>
      </c>
      <c r="CT210" s="57"/>
      <c r="CU210" s="57" t="s">
        <v>25</v>
      </c>
      <c r="CV210" s="57">
        <v>58</v>
      </c>
      <c r="CW210" s="57">
        <v>0</v>
      </c>
      <c r="CX210" s="57">
        <v>0</v>
      </c>
      <c r="CY210" s="57">
        <v>0</v>
      </c>
      <c r="CZ210" s="57">
        <v>0</v>
      </c>
      <c r="DA210" s="57">
        <v>58</v>
      </c>
      <c r="DD210" s="21"/>
      <c r="EN210" s="57" t="s">
        <v>1756</v>
      </c>
      <c r="EO210" s="57" t="s">
        <v>2253</v>
      </c>
      <c r="EP210" s="57">
        <v>142</v>
      </c>
      <c r="EQ210" s="57">
        <v>132</v>
      </c>
      <c r="ER210" s="57">
        <v>149</v>
      </c>
      <c r="ES210" s="57">
        <v>183</v>
      </c>
      <c r="ET210" s="57">
        <v>183</v>
      </c>
      <c r="EU210" s="57">
        <v>789</v>
      </c>
      <c r="EV210" s="57"/>
      <c r="EW210" s="57" t="s">
        <v>2253</v>
      </c>
      <c r="EX210" s="57">
        <v>31</v>
      </c>
      <c r="EY210" s="57">
        <v>5</v>
      </c>
      <c r="EZ210" s="57">
        <v>0</v>
      </c>
      <c r="FA210" s="57">
        <v>0</v>
      </c>
      <c r="FB210" s="57">
        <v>0</v>
      </c>
      <c r="FC210" s="57">
        <v>36</v>
      </c>
      <c r="FF210" s="70" t="s">
        <v>1838</v>
      </c>
      <c r="FG210" s="70" t="s">
        <v>708</v>
      </c>
      <c r="FH210" s="70">
        <v>322</v>
      </c>
      <c r="FI210" s="70">
        <v>558</v>
      </c>
      <c r="FJ210" s="70">
        <v>595</v>
      </c>
      <c r="FK210" s="70">
        <v>652</v>
      </c>
      <c r="FL210" s="70">
        <v>774</v>
      </c>
      <c r="FM210" s="70">
        <v>2901</v>
      </c>
      <c r="FN210" s="70"/>
      <c r="FO210" s="70" t="s">
        <v>708</v>
      </c>
      <c r="FP210" s="70">
        <v>47</v>
      </c>
      <c r="FQ210" s="70">
        <v>8</v>
      </c>
      <c r="FR210" s="70">
        <v>3</v>
      </c>
      <c r="FS210" s="70">
        <v>1</v>
      </c>
      <c r="FT210" s="70">
        <v>0</v>
      </c>
      <c r="FU210" s="70">
        <v>59</v>
      </c>
    </row>
    <row r="211" spans="2:177">
      <c r="B211" s="64" t="s">
        <v>726</v>
      </c>
      <c r="C211" s="64" t="s">
        <v>25</v>
      </c>
      <c r="D211" s="64">
        <v>549</v>
      </c>
      <c r="E211" s="64">
        <v>911</v>
      </c>
      <c r="F211" s="64">
        <v>1358</v>
      </c>
      <c r="G211" s="64">
        <v>1475</v>
      </c>
      <c r="H211" s="64">
        <v>924</v>
      </c>
      <c r="I211" s="64">
        <v>5217</v>
      </c>
      <c r="K211" s="64" t="s">
        <v>25</v>
      </c>
      <c r="L211" s="64">
        <v>38</v>
      </c>
      <c r="M211" s="64">
        <v>9</v>
      </c>
      <c r="N211" s="64">
        <v>0</v>
      </c>
      <c r="O211" s="64">
        <v>0</v>
      </c>
      <c r="P211" s="64">
        <v>0</v>
      </c>
      <c r="Q211" s="64">
        <v>47</v>
      </c>
      <c r="AK211" s="66" t="s">
        <v>1067</v>
      </c>
      <c r="AL211" s="66" t="s">
        <v>25</v>
      </c>
      <c r="AM211" s="66">
        <v>307</v>
      </c>
      <c r="AN211" s="66">
        <v>275</v>
      </c>
      <c r="AO211" s="66">
        <v>400</v>
      </c>
      <c r="AP211" s="66">
        <v>517</v>
      </c>
      <c r="AQ211" s="66">
        <v>432</v>
      </c>
      <c r="AR211" s="66">
        <v>1931</v>
      </c>
      <c r="AS211" s="66"/>
      <c r="AT211" s="66" t="s">
        <v>25</v>
      </c>
      <c r="AU211" s="66">
        <v>93</v>
      </c>
      <c r="AV211" s="66">
        <v>5</v>
      </c>
      <c r="AW211" s="66">
        <v>3</v>
      </c>
      <c r="AX211" s="66">
        <v>4</v>
      </c>
      <c r="AY211" s="66">
        <v>0</v>
      </c>
      <c r="AZ211" s="66">
        <v>105</v>
      </c>
      <c r="BB211" s="69" t="s">
        <v>1229</v>
      </c>
      <c r="BC211" s="69" t="s">
        <v>2032</v>
      </c>
      <c r="BD211" s="69">
        <v>57</v>
      </c>
      <c r="BE211" s="69">
        <v>40</v>
      </c>
      <c r="BF211" s="69">
        <v>83</v>
      </c>
      <c r="BG211" s="69">
        <v>145</v>
      </c>
      <c r="BH211" s="69">
        <v>175</v>
      </c>
      <c r="BI211" s="69">
        <v>500</v>
      </c>
      <c r="BJ211" s="69"/>
      <c r="BK211" s="69" t="s">
        <v>2032</v>
      </c>
      <c r="BL211" s="69">
        <v>15</v>
      </c>
      <c r="BM211" s="69">
        <v>0</v>
      </c>
      <c r="BN211" s="69">
        <v>0</v>
      </c>
      <c r="BO211" s="69">
        <v>0</v>
      </c>
      <c r="BP211" s="69">
        <v>0</v>
      </c>
      <c r="BQ211" s="69">
        <v>15</v>
      </c>
      <c r="BS211" s="21"/>
      <c r="CL211" s="57" t="s">
        <v>555</v>
      </c>
      <c r="CM211" s="57" t="s">
        <v>25</v>
      </c>
      <c r="CN211" s="57">
        <v>448</v>
      </c>
      <c r="CO211" s="57">
        <v>411</v>
      </c>
      <c r="CP211" s="57">
        <v>715</v>
      </c>
      <c r="CQ211" s="57">
        <v>1220</v>
      </c>
      <c r="CR211" s="57">
        <v>1025</v>
      </c>
      <c r="CS211" s="57">
        <v>3819</v>
      </c>
      <c r="CT211" s="57"/>
      <c r="CU211" s="57" t="s">
        <v>25</v>
      </c>
      <c r="CV211" s="57">
        <v>99</v>
      </c>
      <c r="CW211" s="57">
        <v>0</v>
      </c>
      <c r="CX211" s="57">
        <v>0</v>
      </c>
      <c r="CY211" s="57">
        <v>0</v>
      </c>
      <c r="CZ211" s="57">
        <v>0</v>
      </c>
      <c r="DA211" s="57">
        <v>99</v>
      </c>
      <c r="DD211" s="21"/>
      <c r="EN211" s="57" t="s">
        <v>1760</v>
      </c>
      <c r="EO211" s="57" t="s">
        <v>2253</v>
      </c>
      <c r="EP211" s="57">
        <v>52</v>
      </c>
      <c r="EQ211" s="57">
        <v>119</v>
      </c>
      <c r="ER211" s="57">
        <v>113</v>
      </c>
      <c r="ES211" s="57">
        <v>153</v>
      </c>
      <c r="ET211" s="57">
        <v>176</v>
      </c>
      <c r="EU211" s="57">
        <v>613</v>
      </c>
      <c r="EV211" s="57"/>
      <c r="EW211" s="57" t="s">
        <v>2253</v>
      </c>
      <c r="EX211" s="57">
        <v>11</v>
      </c>
      <c r="EY211" s="57">
        <v>8</v>
      </c>
      <c r="EZ211" s="57">
        <v>8</v>
      </c>
      <c r="FA211" s="57">
        <v>4</v>
      </c>
      <c r="FB211" s="57">
        <v>2</v>
      </c>
      <c r="FC211" s="57">
        <v>33</v>
      </c>
      <c r="FF211" s="70" t="s">
        <v>1840</v>
      </c>
      <c r="FG211" s="70" t="s">
        <v>708</v>
      </c>
      <c r="FH211" s="70">
        <v>207</v>
      </c>
      <c r="FI211" s="70">
        <v>306</v>
      </c>
      <c r="FJ211" s="70">
        <v>333</v>
      </c>
      <c r="FK211" s="70">
        <v>408</v>
      </c>
      <c r="FL211" s="70">
        <v>571</v>
      </c>
      <c r="FM211" s="70">
        <v>1825</v>
      </c>
      <c r="FN211" s="70"/>
      <c r="FO211" s="70" t="s">
        <v>708</v>
      </c>
      <c r="FP211" s="70">
        <v>23</v>
      </c>
      <c r="FQ211" s="70">
        <v>6</v>
      </c>
      <c r="FR211" s="70">
        <v>3</v>
      </c>
      <c r="FS211" s="70">
        <v>2</v>
      </c>
      <c r="FT211" s="70">
        <v>0</v>
      </c>
      <c r="FU211" s="70">
        <v>34</v>
      </c>
    </row>
    <row r="212" spans="2:177">
      <c r="B212" s="64" t="s">
        <v>730</v>
      </c>
      <c r="C212" s="64" t="s">
        <v>25</v>
      </c>
      <c r="D212" s="64">
        <v>642</v>
      </c>
      <c r="E212" s="64">
        <v>840</v>
      </c>
      <c r="F212" s="64">
        <v>1206</v>
      </c>
      <c r="G212" s="64">
        <v>1232</v>
      </c>
      <c r="H212" s="64">
        <v>842</v>
      </c>
      <c r="I212" s="64">
        <v>4762</v>
      </c>
      <c r="K212" s="64" t="s">
        <v>25</v>
      </c>
      <c r="L212" s="64">
        <v>79</v>
      </c>
      <c r="M212" s="64">
        <v>7</v>
      </c>
      <c r="N212" s="64">
        <v>0</v>
      </c>
      <c r="O212" s="64">
        <v>0</v>
      </c>
      <c r="P212" s="64">
        <v>0</v>
      </c>
      <c r="Q212" s="64">
        <v>86</v>
      </c>
      <c r="AK212" s="66" t="s">
        <v>1071</v>
      </c>
      <c r="AL212" s="66" t="s">
        <v>25</v>
      </c>
      <c r="AM212" s="66">
        <v>304</v>
      </c>
      <c r="AN212" s="66">
        <v>418</v>
      </c>
      <c r="AO212" s="66">
        <v>609</v>
      </c>
      <c r="AP212" s="66">
        <v>703</v>
      </c>
      <c r="AQ212" s="66">
        <v>460</v>
      </c>
      <c r="AR212" s="66">
        <v>2494</v>
      </c>
      <c r="AS212" s="66"/>
      <c r="AT212" s="66" t="s">
        <v>25</v>
      </c>
      <c r="AU212" s="66">
        <v>27</v>
      </c>
      <c r="AV212" s="66">
        <v>4</v>
      </c>
      <c r="AW212" s="66">
        <v>1</v>
      </c>
      <c r="AX212" s="66">
        <v>1</v>
      </c>
      <c r="AY212" s="66">
        <v>0</v>
      </c>
      <c r="AZ212" s="66">
        <v>33</v>
      </c>
      <c r="BB212" s="69" t="s">
        <v>1233</v>
      </c>
      <c r="BC212" s="69" t="s">
        <v>2032</v>
      </c>
      <c r="BD212" s="69">
        <v>501</v>
      </c>
      <c r="BE212" s="69">
        <v>311</v>
      </c>
      <c r="BF212" s="69">
        <v>370</v>
      </c>
      <c r="BG212" s="69">
        <v>418</v>
      </c>
      <c r="BH212" s="69">
        <v>326</v>
      </c>
      <c r="BI212" s="69">
        <v>1926</v>
      </c>
      <c r="BJ212" s="69"/>
      <c r="BK212" s="69" t="s">
        <v>2032</v>
      </c>
      <c r="BL212" s="69">
        <v>27</v>
      </c>
      <c r="BM212" s="69">
        <v>0</v>
      </c>
      <c r="BN212" s="69">
        <v>0</v>
      </c>
      <c r="BO212" s="69">
        <v>0</v>
      </c>
      <c r="BP212" s="69">
        <v>0</v>
      </c>
      <c r="BQ212" s="69">
        <v>27</v>
      </c>
      <c r="BS212" s="21"/>
      <c r="CL212" s="57" t="s">
        <v>551</v>
      </c>
      <c r="CM212" s="57" t="s">
        <v>25</v>
      </c>
      <c r="CN212" s="57">
        <v>157</v>
      </c>
      <c r="CO212" s="57">
        <v>56</v>
      </c>
      <c r="CP212" s="57">
        <v>139</v>
      </c>
      <c r="CQ212" s="57">
        <v>175</v>
      </c>
      <c r="CR212" s="57">
        <v>147</v>
      </c>
      <c r="CS212" s="57">
        <v>674</v>
      </c>
      <c r="CT212" s="57"/>
      <c r="CU212" s="57" t="s">
        <v>25</v>
      </c>
      <c r="CV212" s="57">
        <v>64</v>
      </c>
      <c r="CW212" s="57">
        <v>0</v>
      </c>
      <c r="CX212" s="57">
        <v>0</v>
      </c>
      <c r="CY212" s="57">
        <v>0</v>
      </c>
      <c r="CZ212" s="57">
        <v>0</v>
      </c>
      <c r="DA212" s="57">
        <v>64</v>
      </c>
      <c r="DD212" s="21"/>
      <c r="EN212" s="57" t="s">
        <v>1763</v>
      </c>
      <c r="EO212" s="57" t="s">
        <v>2253</v>
      </c>
      <c r="EP212" s="57">
        <v>36</v>
      </c>
      <c r="EQ212" s="57">
        <v>111</v>
      </c>
      <c r="ER212" s="57">
        <v>121</v>
      </c>
      <c r="ES212" s="57">
        <v>170</v>
      </c>
      <c r="ET212" s="57">
        <v>188</v>
      </c>
      <c r="EU212" s="57">
        <v>626</v>
      </c>
      <c r="EV212" s="57"/>
      <c r="EW212" s="57" t="s">
        <v>2253</v>
      </c>
      <c r="EX212" s="57">
        <v>3</v>
      </c>
      <c r="EY212" s="57">
        <v>8</v>
      </c>
      <c r="EZ212" s="57">
        <v>1</v>
      </c>
      <c r="FA212" s="57">
        <v>4</v>
      </c>
      <c r="FB212" s="57">
        <v>5</v>
      </c>
      <c r="FC212" s="57">
        <v>21</v>
      </c>
      <c r="FF212" s="70" t="s">
        <v>1850</v>
      </c>
      <c r="FG212" s="70" t="s">
        <v>708</v>
      </c>
      <c r="FH212" s="70">
        <v>355</v>
      </c>
      <c r="FI212" s="70">
        <v>441</v>
      </c>
      <c r="FJ212" s="70">
        <v>482</v>
      </c>
      <c r="FK212" s="70">
        <v>564</v>
      </c>
      <c r="FL212" s="70">
        <v>655</v>
      </c>
      <c r="FM212" s="70">
        <v>2497</v>
      </c>
      <c r="FN212" s="70"/>
      <c r="FO212" s="70" t="s">
        <v>708</v>
      </c>
      <c r="FP212" s="70">
        <v>24</v>
      </c>
      <c r="FQ212" s="70">
        <v>8</v>
      </c>
      <c r="FR212" s="70">
        <v>2</v>
      </c>
      <c r="FS212" s="70">
        <v>2</v>
      </c>
      <c r="FT212" s="70">
        <v>4</v>
      </c>
      <c r="FU212" s="70">
        <v>40</v>
      </c>
    </row>
    <row r="213" spans="2:177">
      <c r="B213" s="64" t="s">
        <v>736</v>
      </c>
      <c r="C213" s="64" t="s">
        <v>25</v>
      </c>
      <c r="D213" s="64">
        <v>218</v>
      </c>
      <c r="E213" s="64">
        <v>384</v>
      </c>
      <c r="F213" s="64">
        <v>695</v>
      </c>
      <c r="G213" s="64">
        <v>807</v>
      </c>
      <c r="H213" s="64">
        <v>611</v>
      </c>
      <c r="I213" s="64">
        <v>2715</v>
      </c>
      <c r="K213" s="64" t="s">
        <v>25</v>
      </c>
      <c r="L213" s="64">
        <v>20</v>
      </c>
      <c r="M213" s="64">
        <v>3</v>
      </c>
      <c r="N213" s="64">
        <v>0</v>
      </c>
      <c r="O213" s="64">
        <v>0</v>
      </c>
      <c r="P213" s="64">
        <v>0</v>
      </c>
      <c r="Q213" s="64">
        <v>23</v>
      </c>
      <c r="AK213" s="66" t="s">
        <v>1074</v>
      </c>
      <c r="AL213" s="66" t="s">
        <v>25</v>
      </c>
      <c r="AM213" s="66">
        <v>955</v>
      </c>
      <c r="AN213" s="66">
        <v>745</v>
      </c>
      <c r="AO213" s="66">
        <v>894</v>
      </c>
      <c r="AP213" s="66">
        <v>901</v>
      </c>
      <c r="AQ213" s="66">
        <v>591</v>
      </c>
      <c r="AR213" s="66">
        <v>4086</v>
      </c>
      <c r="AS213" s="66"/>
      <c r="AT213" s="66" t="s">
        <v>25</v>
      </c>
      <c r="AU213" s="66">
        <v>113</v>
      </c>
      <c r="AV213" s="66">
        <v>3</v>
      </c>
      <c r="AW213" s="66">
        <v>2</v>
      </c>
      <c r="AX213" s="66">
        <v>1</v>
      </c>
      <c r="AY213" s="66">
        <v>0</v>
      </c>
      <c r="AZ213" s="66">
        <v>119</v>
      </c>
      <c r="BB213" s="69" t="s">
        <v>1237</v>
      </c>
      <c r="BC213" s="69" t="s">
        <v>2032</v>
      </c>
      <c r="BD213" s="69">
        <v>216</v>
      </c>
      <c r="BE213" s="69">
        <v>178</v>
      </c>
      <c r="BF213" s="69">
        <v>307</v>
      </c>
      <c r="BG213" s="69">
        <v>392</v>
      </c>
      <c r="BH213" s="69">
        <v>306</v>
      </c>
      <c r="BI213" s="69">
        <v>1399</v>
      </c>
      <c r="BJ213" s="69"/>
      <c r="BK213" s="69" t="s">
        <v>2032</v>
      </c>
      <c r="BL213" s="69">
        <v>20</v>
      </c>
      <c r="BM213" s="69">
        <v>0</v>
      </c>
      <c r="BN213" s="69">
        <v>0</v>
      </c>
      <c r="BO213" s="69">
        <v>0</v>
      </c>
      <c r="BP213" s="69">
        <v>0</v>
      </c>
      <c r="BQ213" s="69">
        <v>20</v>
      </c>
      <c r="BS213" s="21"/>
      <c r="CL213" s="57" t="s">
        <v>557</v>
      </c>
      <c r="CM213" s="57" t="s">
        <v>25</v>
      </c>
      <c r="CN213" s="57">
        <v>208</v>
      </c>
      <c r="CO213" s="57">
        <v>252</v>
      </c>
      <c r="CP213" s="57">
        <v>520</v>
      </c>
      <c r="CQ213" s="57">
        <v>716</v>
      </c>
      <c r="CR213" s="57">
        <v>641</v>
      </c>
      <c r="CS213" s="57">
        <v>2337</v>
      </c>
      <c r="CT213" s="57"/>
      <c r="CU213" s="57" t="s">
        <v>25</v>
      </c>
      <c r="CV213" s="57">
        <v>25</v>
      </c>
      <c r="CW213" s="57">
        <v>0</v>
      </c>
      <c r="CX213" s="57">
        <v>0</v>
      </c>
      <c r="CY213" s="57">
        <v>0</v>
      </c>
      <c r="CZ213" s="57">
        <v>0</v>
      </c>
      <c r="DA213" s="57">
        <v>25</v>
      </c>
      <c r="DD213" s="21"/>
      <c r="EN213" s="57" t="s">
        <v>1767</v>
      </c>
      <c r="EO213" s="57" t="s">
        <v>2253</v>
      </c>
      <c r="EP213" s="57">
        <v>165</v>
      </c>
      <c r="EQ213" s="57">
        <v>207</v>
      </c>
      <c r="ER213" s="57">
        <v>196</v>
      </c>
      <c r="ES213" s="57">
        <v>228</v>
      </c>
      <c r="ET213" s="57">
        <v>264</v>
      </c>
      <c r="EU213" s="57">
        <v>1060</v>
      </c>
      <c r="EV213" s="57"/>
      <c r="EW213" s="57" t="s">
        <v>2253</v>
      </c>
      <c r="EX213" s="57">
        <v>26</v>
      </c>
      <c r="EY213" s="57">
        <v>3</v>
      </c>
      <c r="EZ213" s="57">
        <v>0</v>
      </c>
      <c r="FA213" s="57">
        <v>0</v>
      </c>
      <c r="FB213" s="57">
        <v>0</v>
      </c>
      <c r="FC213" s="57">
        <v>29</v>
      </c>
      <c r="FF213" s="70" t="s">
        <v>1851</v>
      </c>
      <c r="FG213" s="70" t="s">
        <v>708</v>
      </c>
      <c r="FH213" s="70">
        <v>401</v>
      </c>
      <c r="FI213" s="70">
        <v>462</v>
      </c>
      <c r="FJ213" s="70">
        <v>397</v>
      </c>
      <c r="FK213" s="70">
        <v>407</v>
      </c>
      <c r="FL213" s="70">
        <v>469</v>
      </c>
      <c r="FM213" s="70">
        <v>2136</v>
      </c>
      <c r="FN213" s="70"/>
      <c r="FO213" s="70" t="s">
        <v>708</v>
      </c>
      <c r="FP213" s="70">
        <v>58</v>
      </c>
      <c r="FQ213" s="70">
        <v>11</v>
      </c>
      <c r="FR213" s="70">
        <v>2</v>
      </c>
      <c r="FS213" s="70">
        <v>1</v>
      </c>
      <c r="FT213" s="70">
        <v>5</v>
      </c>
      <c r="FU213" s="70">
        <v>77</v>
      </c>
    </row>
    <row r="214" spans="2:177">
      <c r="B214" s="64" t="s">
        <v>741</v>
      </c>
      <c r="C214" s="64" t="s">
        <v>25</v>
      </c>
      <c r="D214" s="64">
        <v>327</v>
      </c>
      <c r="E214" s="64">
        <v>592</v>
      </c>
      <c r="F214" s="64">
        <v>967</v>
      </c>
      <c r="G214" s="64">
        <v>1067</v>
      </c>
      <c r="H214" s="64">
        <v>719</v>
      </c>
      <c r="I214" s="64">
        <v>3672</v>
      </c>
      <c r="K214" s="64" t="s">
        <v>25</v>
      </c>
      <c r="L214" s="64">
        <v>31</v>
      </c>
      <c r="M214" s="64">
        <v>5</v>
      </c>
      <c r="N214" s="64">
        <v>2</v>
      </c>
      <c r="O214" s="64">
        <v>0</v>
      </c>
      <c r="P214" s="64">
        <v>1</v>
      </c>
      <c r="Q214" s="64">
        <v>39</v>
      </c>
      <c r="AK214" s="66" t="s">
        <v>1077</v>
      </c>
      <c r="AL214" s="66" t="s">
        <v>25</v>
      </c>
      <c r="AM214" s="66">
        <v>177</v>
      </c>
      <c r="AN214" s="66">
        <v>243</v>
      </c>
      <c r="AO214" s="66">
        <v>336</v>
      </c>
      <c r="AP214" s="66">
        <v>438</v>
      </c>
      <c r="AQ214" s="66">
        <v>332</v>
      </c>
      <c r="AR214" s="66">
        <v>1526</v>
      </c>
      <c r="AS214" s="66"/>
      <c r="AT214" s="66" t="s">
        <v>25</v>
      </c>
      <c r="AU214" s="66">
        <v>28</v>
      </c>
      <c r="AV214" s="66">
        <v>2</v>
      </c>
      <c r="AW214" s="66">
        <v>0</v>
      </c>
      <c r="AX214" s="66">
        <v>1</v>
      </c>
      <c r="AY214" s="66">
        <v>0</v>
      </c>
      <c r="AZ214" s="66">
        <v>31</v>
      </c>
      <c r="BB214" s="69" t="s">
        <v>1241</v>
      </c>
      <c r="BC214" s="69" t="s">
        <v>2032</v>
      </c>
      <c r="BD214" s="69">
        <v>110</v>
      </c>
      <c r="BE214" s="69">
        <v>103</v>
      </c>
      <c r="BF214" s="69">
        <v>206</v>
      </c>
      <c r="BG214" s="69">
        <v>250</v>
      </c>
      <c r="BH214" s="69">
        <v>174</v>
      </c>
      <c r="BI214" s="69">
        <v>843</v>
      </c>
      <c r="BJ214" s="69"/>
      <c r="BK214" s="69" t="s">
        <v>2032</v>
      </c>
      <c r="BL214" s="69">
        <v>11</v>
      </c>
      <c r="BM214" s="69">
        <v>0</v>
      </c>
      <c r="BN214" s="69">
        <v>0</v>
      </c>
      <c r="BO214" s="69">
        <v>0</v>
      </c>
      <c r="BP214" s="69">
        <v>0</v>
      </c>
      <c r="BQ214" s="69">
        <v>11</v>
      </c>
      <c r="BS214" s="21"/>
      <c r="CL214" s="57" t="s">
        <v>354</v>
      </c>
      <c r="CM214" s="57" t="s">
        <v>25</v>
      </c>
      <c r="CN214" s="57">
        <v>393</v>
      </c>
      <c r="CO214" s="57">
        <v>275</v>
      </c>
      <c r="CP214" s="57">
        <v>341</v>
      </c>
      <c r="CQ214" s="57">
        <v>459</v>
      </c>
      <c r="CR214" s="57">
        <v>395</v>
      </c>
      <c r="CS214" s="57">
        <v>1863</v>
      </c>
      <c r="CT214" s="57"/>
      <c r="CU214" s="57" t="s">
        <v>25</v>
      </c>
      <c r="CV214" s="57">
        <v>82</v>
      </c>
      <c r="CW214" s="57">
        <v>0</v>
      </c>
      <c r="CX214" s="57">
        <v>0</v>
      </c>
      <c r="CY214" s="57">
        <v>0</v>
      </c>
      <c r="CZ214" s="57">
        <v>0</v>
      </c>
      <c r="DA214" s="57">
        <v>82</v>
      </c>
      <c r="DD214" s="21"/>
      <c r="EN214" s="57" t="s">
        <v>1770</v>
      </c>
      <c r="EO214" s="57" t="s">
        <v>2253</v>
      </c>
      <c r="EP214" s="57">
        <v>390</v>
      </c>
      <c r="EQ214" s="57">
        <v>501</v>
      </c>
      <c r="ER214" s="57">
        <v>462</v>
      </c>
      <c r="ES214" s="57">
        <v>522</v>
      </c>
      <c r="ET214" s="57">
        <v>520</v>
      </c>
      <c r="EU214" s="57">
        <v>2395</v>
      </c>
      <c r="EV214" s="57"/>
      <c r="EW214" s="57" t="s">
        <v>2253</v>
      </c>
      <c r="EX214" s="57">
        <v>23</v>
      </c>
      <c r="EY214" s="57">
        <v>3</v>
      </c>
      <c r="EZ214" s="57">
        <v>0</v>
      </c>
      <c r="FA214" s="57">
        <v>0</v>
      </c>
      <c r="FB214" s="57">
        <v>0</v>
      </c>
      <c r="FC214" s="57">
        <v>26</v>
      </c>
      <c r="FF214" s="70" t="s">
        <v>1852</v>
      </c>
      <c r="FG214" s="70" t="s">
        <v>708</v>
      </c>
      <c r="FH214" s="70">
        <v>126</v>
      </c>
      <c r="FI214" s="70">
        <v>257</v>
      </c>
      <c r="FJ214" s="70">
        <v>332</v>
      </c>
      <c r="FK214" s="70">
        <v>366</v>
      </c>
      <c r="FL214" s="70">
        <v>560</v>
      </c>
      <c r="FM214" s="70">
        <v>1641</v>
      </c>
      <c r="FN214" s="70"/>
      <c r="FO214" s="70" t="s">
        <v>708</v>
      </c>
      <c r="FP214" s="70">
        <v>23</v>
      </c>
      <c r="FQ214" s="70">
        <v>5</v>
      </c>
      <c r="FR214" s="70">
        <v>1</v>
      </c>
      <c r="FS214" s="70">
        <v>3</v>
      </c>
      <c r="FT214" s="70">
        <v>2</v>
      </c>
      <c r="FU214" s="70">
        <v>34</v>
      </c>
    </row>
    <row r="215" spans="2:177">
      <c r="B215" s="64" t="s">
        <v>744</v>
      </c>
      <c r="C215" s="64" t="s">
        <v>25</v>
      </c>
      <c r="D215" s="64">
        <v>828</v>
      </c>
      <c r="E215" s="64">
        <v>903</v>
      </c>
      <c r="F215" s="64">
        <v>1041</v>
      </c>
      <c r="G215" s="64">
        <v>1074</v>
      </c>
      <c r="H215" s="64">
        <v>735</v>
      </c>
      <c r="I215" s="64">
        <v>4581</v>
      </c>
      <c r="K215" s="64" t="s">
        <v>25</v>
      </c>
      <c r="L215" s="64">
        <v>106</v>
      </c>
      <c r="M215" s="64">
        <v>0</v>
      </c>
      <c r="N215" s="64">
        <v>0</v>
      </c>
      <c r="O215" s="64">
        <v>0</v>
      </c>
      <c r="P215" s="64">
        <v>0</v>
      </c>
      <c r="Q215" s="64">
        <v>106</v>
      </c>
      <c r="AK215" s="66" t="s">
        <v>1080</v>
      </c>
      <c r="AL215" s="66" t="s">
        <v>25</v>
      </c>
      <c r="AM215" s="66">
        <v>299</v>
      </c>
      <c r="AN215" s="66">
        <v>358</v>
      </c>
      <c r="AO215" s="66">
        <v>586</v>
      </c>
      <c r="AP215" s="66">
        <v>616</v>
      </c>
      <c r="AQ215" s="66">
        <v>511</v>
      </c>
      <c r="AR215" s="66">
        <v>2370</v>
      </c>
      <c r="AS215" s="66"/>
      <c r="AT215" s="66" t="s">
        <v>25</v>
      </c>
      <c r="AU215" s="66">
        <v>32</v>
      </c>
      <c r="AV215" s="66">
        <v>8</v>
      </c>
      <c r="AW215" s="66">
        <v>2</v>
      </c>
      <c r="AX215" s="66">
        <v>1</v>
      </c>
      <c r="AY215" s="66">
        <v>4</v>
      </c>
      <c r="AZ215" s="66">
        <v>47</v>
      </c>
      <c r="BB215" s="69" t="s">
        <v>330</v>
      </c>
      <c r="BC215" s="69" t="s">
        <v>2032</v>
      </c>
      <c r="BD215" s="69">
        <v>119</v>
      </c>
      <c r="BE215" s="69">
        <v>125</v>
      </c>
      <c r="BF215" s="69">
        <v>219</v>
      </c>
      <c r="BG215" s="69">
        <v>241</v>
      </c>
      <c r="BH215" s="69">
        <v>221</v>
      </c>
      <c r="BI215" s="69">
        <v>925</v>
      </c>
      <c r="BJ215" s="69"/>
      <c r="BK215" s="69" t="s">
        <v>2032</v>
      </c>
      <c r="BL215" s="69">
        <v>17</v>
      </c>
      <c r="BM215" s="69">
        <v>0</v>
      </c>
      <c r="BN215" s="69">
        <v>0</v>
      </c>
      <c r="BO215" s="69">
        <v>0</v>
      </c>
      <c r="BP215" s="69">
        <v>0</v>
      </c>
      <c r="BQ215" s="69">
        <v>17</v>
      </c>
      <c r="BS215" s="21"/>
      <c r="CL215" s="57" t="s">
        <v>355</v>
      </c>
      <c r="CM215" s="57" t="s">
        <v>25</v>
      </c>
      <c r="CN215" s="57">
        <v>528</v>
      </c>
      <c r="CO215" s="57">
        <v>290</v>
      </c>
      <c r="CP215" s="57">
        <v>421</v>
      </c>
      <c r="CQ215" s="57">
        <v>537</v>
      </c>
      <c r="CR215" s="57">
        <v>467</v>
      </c>
      <c r="CS215" s="57">
        <v>2243</v>
      </c>
      <c r="CT215" s="57"/>
      <c r="CU215" s="57" t="s">
        <v>25</v>
      </c>
      <c r="CV215" s="57">
        <v>148</v>
      </c>
      <c r="CW215" s="57">
        <v>0</v>
      </c>
      <c r="CX215" s="57">
        <v>0</v>
      </c>
      <c r="CY215" s="57">
        <v>0</v>
      </c>
      <c r="CZ215" s="57">
        <v>0</v>
      </c>
      <c r="DA215" s="57">
        <v>148</v>
      </c>
      <c r="DD215" s="21"/>
      <c r="EN215" s="57" t="s">
        <v>1774</v>
      </c>
      <c r="EO215" s="57" t="s">
        <v>2253</v>
      </c>
      <c r="EP215" s="57">
        <v>379</v>
      </c>
      <c r="EQ215" s="57">
        <v>378</v>
      </c>
      <c r="ER215" s="57">
        <v>459</v>
      </c>
      <c r="ES215" s="57">
        <v>463</v>
      </c>
      <c r="ET215" s="57">
        <v>538</v>
      </c>
      <c r="EU215" s="57">
        <v>2217</v>
      </c>
      <c r="EV215" s="57"/>
      <c r="EW215" s="57" t="s">
        <v>2253</v>
      </c>
      <c r="EX215" s="57">
        <v>36</v>
      </c>
      <c r="EY215" s="57">
        <v>14</v>
      </c>
      <c r="EZ215" s="57">
        <v>11</v>
      </c>
      <c r="FA215" s="57">
        <v>6</v>
      </c>
      <c r="FB215" s="57">
        <v>7</v>
      </c>
      <c r="FC215" s="57">
        <v>74</v>
      </c>
      <c r="FF215" s="70" t="s">
        <v>1853</v>
      </c>
      <c r="FG215" s="70" t="s">
        <v>708</v>
      </c>
      <c r="FH215" s="70">
        <v>285</v>
      </c>
      <c r="FI215" s="70">
        <v>405</v>
      </c>
      <c r="FJ215" s="70">
        <v>480</v>
      </c>
      <c r="FK215" s="70">
        <v>488</v>
      </c>
      <c r="FL215" s="70">
        <v>732</v>
      </c>
      <c r="FM215" s="70">
        <v>2390</v>
      </c>
      <c r="FN215" s="70"/>
      <c r="FO215" s="70" t="s">
        <v>708</v>
      </c>
      <c r="FP215" s="70">
        <v>19</v>
      </c>
      <c r="FQ215" s="70">
        <v>11</v>
      </c>
      <c r="FR215" s="70">
        <v>6</v>
      </c>
      <c r="FS215" s="70">
        <v>2</v>
      </c>
      <c r="FT215" s="70">
        <v>4</v>
      </c>
      <c r="FU215" s="70">
        <v>42</v>
      </c>
    </row>
    <row r="216" spans="2:177">
      <c r="B216" s="64" t="s">
        <v>747</v>
      </c>
      <c r="C216" s="64" t="s">
        <v>25</v>
      </c>
      <c r="D216" s="64">
        <v>269</v>
      </c>
      <c r="E216" s="64">
        <v>286</v>
      </c>
      <c r="F216" s="64">
        <v>376</v>
      </c>
      <c r="G216" s="64">
        <v>501</v>
      </c>
      <c r="H216" s="64">
        <v>356</v>
      </c>
      <c r="I216" s="64">
        <v>1788</v>
      </c>
      <c r="K216" s="64" t="s">
        <v>25</v>
      </c>
      <c r="L216" s="64">
        <v>52</v>
      </c>
      <c r="M216" s="64">
        <v>1</v>
      </c>
      <c r="N216" s="64">
        <v>1</v>
      </c>
      <c r="O216" s="64">
        <v>0</v>
      </c>
      <c r="P216" s="64">
        <v>0</v>
      </c>
      <c r="Q216" s="64">
        <v>54</v>
      </c>
      <c r="AK216" s="66" t="s">
        <v>1084</v>
      </c>
      <c r="AL216" s="66" t="s">
        <v>25</v>
      </c>
      <c r="AM216" s="66">
        <v>186</v>
      </c>
      <c r="AN216" s="66">
        <v>272</v>
      </c>
      <c r="AO216" s="66">
        <v>631</v>
      </c>
      <c r="AP216" s="66">
        <v>763</v>
      </c>
      <c r="AQ216" s="66">
        <v>636</v>
      </c>
      <c r="AR216" s="66">
        <v>2488</v>
      </c>
      <c r="AS216" s="66"/>
      <c r="AT216" s="66" t="s">
        <v>25</v>
      </c>
      <c r="AU216" s="66">
        <v>29</v>
      </c>
      <c r="AV216" s="66">
        <v>0</v>
      </c>
      <c r="AW216" s="66">
        <v>0</v>
      </c>
      <c r="AX216" s="66">
        <v>1</v>
      </c>
      <c r="AY216" s="66">
        <v>1</v>
      </c>
      <c r="AZ216" s="66">
        <v>31</v>
      </c>
      <c r="BB216" s="69" t="s">
        <v>1250</v>
      </c>
      <c r="BC216" s="69" t="s">
        <v>2032</v>
      </c>
      <c r="BD216" s="69">
        <v>444</v>
      </c>
      <c r="BE216" s="69">
        <v>540</v>
      </c>
      <c r="BF216" s="69">
        <v>854</v>
      </c>
      <c r="BG216" s="69">
        <v>1059</v>
      </c>
      <c r="BH216" s="69">
        <v>828</v>
      </c>
      <c r="BI216" s="69">
        <v>3725</v>
      </c>
      <c r="BJ216" s="69"/>
      <c r="BK216" s="69" t="s">
        <v>2032</v>
      </c>
      <c r="BL216" s="69">
        <v>24</v>
      </c>
      <c r="BM216" s="69">
        <v>0</v>
      </c>
      <c r="BN216" s="69">
        <v>0</v>
      </c>
      <c r="BO216" s="69">
        <v>0</v>
      </c>
      <c r="BP216" s="69">
        <v>0</v>
      </c>
      <c r="BQ216" s="69">
        <v>24</v>
      </c>
      <c r="BS216" s="21"/>
      <c r="CL216" s="57" t="s">
        <v>358</v>
      </c>
      <c r="CM216" s="57" t="s">
        <v>25</v>
      </c>
      <c r="CN216" s="57">
        <v>81</v>
      </c>
      <c r="CO216" s="57">
        <v>103</v>
      </c>
      <c r="CP216" s="57">
        <v>192</v>
      </c>
      <c r="CQ216" s="57">
        <v>290</v>
      </c>
      <c r="CR216" s="57">
        <v>320</v>
      </c>
      <c r="CS216" s="57">
        <v>986</v>
      </c>
      <c r="CT216" s="57"/>
      <c r="CU216" s="57" t="s">
        <v>25</v>
      </c>
      <c r="CV216" s="57">
        <v>22</v>
      </c>
      <c r="CW216" s="57">
        <v>0</v>
      </c>
      <c r="CX216" s="57">
        <v>0</v>
      </c>
      <c r="CY216" s="57">
        <v>0</v>
      </c>
      <c r="CZ216" s="57">
        <v>0</v>
      </c>
      <c r="DA216" s="57">
        <v>22</v>
      </c>
      <c r="DD216" s="21"/>
      <c r="EN216" s="57" t="s">
        <v>1778</v>
      </c>
      <c r="EO216" s="57" t="s">
        <v>2253</v>
      </c>
      <c r="EP216" s="57">
        <v>214</v>
      </c>
      <c r="EQ216" s="57">
        <v>382</v>
      </c>
      <c r="ER216" s="57">
        <v>408</v>
      </c>
      <c r="ES216" s="57">
        <v>514</v>
      </c>
      <c r="ET216" s="57">
        <v>624</v>
      </c>
      <c r="EU216" s="57">
        <v>2142</v>
      </c>
      <c r="EV216" s="57"/>
      <c r="EW216" s="57" t="s">
        <v>2253</v>
      </c>
      <c r="EX216" s="57">
        <v>39</v>
      </c>
      <c r="EY216" s="57">
        <v>11</v>
      </c>
      <c r="EZ216" s="57">
        <v>0</v>
      </c>
      <c r="FA216" s="57">
        <v>0</v>
      </c>
      <c r="FB216" s="57">
        <v>0</v>
      </c>
      <c r="FC216" s="57">
        <v>50</v>
      </c>
      <c r="FF216" s="70" t="s">
        <v>1854</v>
      </c>
      <c r="FG216" s="70" t="s">
        <v>708</v>
      </c>
      <c r="FH216" s="70">
        <v>275</v>
      </c>
      <c r="FI216" s="70">
        <v>295</v>
      </c>
      <c r="FJ216" s="70">
        <v>369</v>
      </c>
      <c r="FK216" s="70">
        <v>432</v>
      </c>
      <c r="FL216" s="70">
        <v>436</v>
      </c>
      <c r="FM216" s="70">
        <v>1807</v>
      </c>
      <c r="FN216" s="70"/>
      <c r="FO216" s="70" t="s">
        <v>708</v>
      </c>
      <c r="FP216" s="70">
        <v>23</v>
      </c>
      <c r="FQ216" s="70">
        <v>11</v>
      </c>
      <c r="FR216" s="70">
        <v>6</v>
      </c>
      <c r="FS216" s="70">
        <v>2</v>
      </c>
      <c r="FT216" s="70">
        <v>3</v>
      </c>
      <c r="FU216" s="70">
        <v>45</v>
      </c>
    </row>
    <row r="217" spans="2:177">
      <c r="B217" s="64" t="s">
        <v>749</v>
      </c>
      <c r="C217" s="64" t="s">
        <v>25</v>
      </c>
      <c r="D217" s="64">
        <v>74</v>
      </c>
      <c r="E217" s="64">
        <v>143</v>
      </c>
      <c r="F217" s="64">
        <v>357</v>
      </c>
      <c r="G217" s="64">
        <v>470</v>
      </c>
      <c r="H217" s="64">
        <v>384</v>
      </c>
      <c r="I217" s="64">
        <v>1428</v>
      </c>
      <c r="K217" s="64" t="s">
        <v>25</v>
      </c>
      <c r="L217" s="64">
        <v>10</v>
      </c>
      <c r="M217" s="64">
        <v>0</v>
      </c>
      <c r="N217" s="64">
        <v>0</v>
      </c>
      <c r="O217" s="64">
        <v>0</v>
      </c>
      <c r="P217" s="64">
        <v>0</v>
      </c>
      <c r="Q217" s="64">
        <v>10</v>
      </c>
      <c r="AK217" s="66" t="s">
        <v>1087</v>
      </c>
      <c r="AL217" s="66" t="s">
        <v>25</v>
      </c>
      <c r="AM217" s="66">
        <v>668</v>
      </c>
      <c r="AN217" s="66">
        <v>717</v>
      </c>
      <c r="AO217" s="66">
        <v>840</v>
      </c>
      <c r="AP217" s="66">
        <v>892</v>
      </c>
      <c r="AQ217" s="66">
        <v>531</v>
      </c>
      <c r="AR217" s="66">
        <v>3648</v>
      </c>
      <c r="AS217" s="66"/>
      <c r="AT217" s="66" t="s">
        <v>25</v>
      </c>
      <c r="AU217" s="66">
        <v>61</v>
      </c>
      <c r="AV217" s="66">
        <v>3</v>
      </c>
      <c r="AW217" s="66">
        <v>2</v>
      </c>
      <c r="AX217" s="66">
        <v>1</v>
      </c>
      <c r="AY217" s="66">
        <v>0</v>
      </c>
      <c r="AZ217" s="66">
        <v>67</v>
      </c>
      <c r="BB217" s="69" t="s">
        <v>426</v>
      </c>
      <c r="BC217" s="69" t="s">
        <v>2032</v>
      </c>
      <c r="BD217" s="69" t="s">
        <v>324</v>
      </c>
      <c r="BE217" s="69" t="s">
        <v>324</v>
      </c>
      <c r="BF217" s="69" t="s">
        <v>324</v>
      </c>
      <c r="BG217" s="69" t="s">
        <v>324</v>
      </c>
      <c r="BH217" s="69" t="s">
        <v>324</v>
      </c>
      <c r="BI217" s="69" t="s">
        <v>324</v>
      </c>
      <c r="BJ217" s="69"/>
      <c r="BK217" s="69" t="s">
        <v>2032</v>
      </c>
      <c r="BL217" s="69" t="s">
        <v>324</v>
      </c>
      <c r="BM217" s="69" t="s">
        <v>324</v>
      </c>
      <c r="BN217" s="69" t="s">
        <v>324</v>
      </c>
      <c r="BO217" s="69" t="s">
        <v>324</v>
      </c>
      <c r="BP217" s="69" t="s">
        <v>324</v>
      </c>
      <c r="BQ217" s="69" t="s">
        <v>324</v>
      </c>
      <c r="BS217" s="21"/>
      <c r="CL217" s="57" t="s">
        <v>357</v>
      </c>
      <c r="CM217" s="57" t="s">
        <v>25</v>
      </c>
      <c r="CN217" s="57">
        <v>157</v>
      </c>
      <c r="CO217" s="57">
        <v>65</v>
      </c>
      <c r="CP217" s="57">
        <v>77</v>
      </c>
      <c r="CQ217" s="57">
        <v>116</v>
      </c>
      <c r="CR217" s="57">
        <v>130</v>
      </c>
      <c r="CS217" s="57">
        <v>545</v>
      </c>
      <c r="CT217" s="57"/>
      <c r="CU217" s="57" t="s">
        <v>25</v>
      </c>
      <c r="CV217" s="57">
        <v>87</v>
      </c>
      <c r="CW217" s="57">
        <v>0</v>
      </c>
      <c r="CX217" s="57">
        <v>0</v>
      </c>
      <c r="CY217" s="57">
        <v>0</v>
      </c>
      <c r="CZ217" s="57">
        <v>0</v>
      </c>
      <c r="DA217" s="57">
        <v>87</v>
      </c>
      <c r="DD217" s="21"/>
      <c r="EN217" s="57" t="s">
        <v>1781</v>
      </c>
      <c r="EO217" s="57" t="s">
        <v>2253</v>
      </c>
      <c r="EP217" s="57">
        <v>190</v>
      </c>
      <c r="EQ217" s="57">
        <v>281</v>
      </c>
      <c r="ER217" s="57">
        <v>360</v>
      </c>
      <c r="ES217" s="57">
        <v>428</v>
      </c>
      <c r="ET217" s="57">
        <v>508</v>
      </c>
      <c r="EU217" s="57">
        <v>1767</v>
      </c>
      <c r="EV217" s="57"/>
      <c r="EW217" s="57" t="s">
        <v>2253</v>
      </c>
      <c r="EX217" s="57">
        <v>45</v>
      </c>
      <c r="EY217" s="57">
        <v>19</v>
      </c>
      <c r="EZ217" s="57">
        <v>10</v>
      </c>
      <c r="FA217" s="57">
        <v>6</v>
      </c>
      <c r="FB217" s="57">
        <v>5</v>
      </c>
      <c r="FC217" s="57">
        <v>85</v>
      </c>
      <c r="FF217" s="70" t="s">
        <v>1857</v>
      </c>
      <c r="FG217" s="70" t="s">
        <v>708</v>
      </c>
      <c r="FH217" s="70">
        <v>234</v>
      </c>
      <c r="FI217" s="70">
        <v>291</v>
      </c>
      <c r="FJ217" s="70">
        <v>404</v>
      </c>
      <c r="FK217" s="70">
        <v>440</v>
      </c>
      <c r="FL217" s="70">
        <v>564</v>
      </c>
      <c r="FM217" s="70">
        <v>1933</v>
      </c>
      <c r="FN217" s="70"/>
      <c r="FO217" s="70" t="s">
        <v>708</v>
      </c>
      <c r="FP217" s="70">
        <v>17</v>
      </c>
      <c r="FQ217" s="70">
        <v>3</v>
      </c>
      <c r="FR217" s="70">
        <v>2</v>
      </c>
      <c r="FS217" s="70">
        <v>3</v>
      </c>
      <c r="FT217" s="70">
        <v>1</v>
      </c>
      <c r="FU217" s="70">
        <v>26</v>
      </c>
    </row>
    <row r="218" spans="2:177">
      <c r="B218" s="64" t="s">
        <v>752</v>
      </c>
      <c r="C218" s="64" t="s">
        <v>25</v>
      </c>
      <c r="D218" s="64">
        <v>101</v>
      </c>
      <c r="E218" s="64">
        <v>200</v>
      </c>
      <c r="F218" s="64">
        <v>414</v>
      </c>
      <c r="G218" s="64">
        <v>580</v>
      </c>
      <c r="H218" s="64">
        <v>405</v>
      </c>
      <c r="I218" s="64">
        <v>1700</v>
      </c>
      <c r="K218" s="64" t="s">
        <v>25</v>
      </c>
      <c r="L218" s="64">
        <v>8</v>
      </c>
      <c r="M218" s="64">
        <v>0</v>
      </c>
      <c r="N218" s="64">
        <v>0</v>
      </c>
      <c r="O218" s="64">
        <v>0</v>
      </c>
      <c r="P218" s="64">
        <v>0</v>
      </c>
      <c r="Q218" s="64">
        <v>8</v>
      </c>
      <c r="AK218" s="66" t="s">
        <v>1090</v>
      </c>
      <c r="AL218" s="66" t="s">
        <v>25</v>
      </c>
      <c r="AM218" s="66">
        <v>580</v>
      </c>
      <c r="AN218" s="66">
        <v>705</v>
      </c>
      <c r="AO218" s="66">
        <v>815</v>
      </c>
      <c r="AP218" s="66">
        <v>873</v>
      </c>
      <c r="AQ218" s="66">
        <v>554</v>
      </c>
      <c r="AR218" s="66">
        <v>3527</v>
      </c>
      <c r="AS218" s="66"/>
      <c r="AT218" s="66" t="s">
        <v>25</v>
      </c>
      <c r="AU218" s="66">
        <v>58</v>
      </c>
      <c r="AV218" s="66">
        <v>5</v>
      </c>
      <c r="AW218" s="66">
        <v>1</v>
      </c>
      <c r="AX218" s="66">
        <v>3</v>
      </c>
      <c r="AY218" s="66">
        <v>0</v>
      </c>
      <c r="AZ218" s="66">
        <v>67</v>
      </c>
      <c r="BB218" s="69" t="s">
        <v>1258</v>
      </c>
      <c r="BC218" s="69" t="s">
        <v>2032</v>
      </c>
      <c r="BD218" s="69" t="s">
        <v>324</v>
      </c>
      <c r="BE218" s="69" t="s">
        <v>324</v>
      </c>
      <c r="BF218" s="69" t="s">
        <v>324</v>
      </c>
      <c r="BG218" s="69" t="s">
        <v>324</v>
      </c>
      <c r="BH218" s="69" t="s">
        <v>324</v>
      </c>
      <c r="BI218" s="69" t="s">
        <v>324</v>
      </c>
      <c r="BJ218" s="69"/>
      <c r="BK218" s="69" t="s">
        <v>2032</v>
      </c>
      <c r="BL218" s="69" t="s">
        <v>324</v>
      </c>
      <c r="BM218" s="69" t="s">
        <v>324</v>
      </c>
      <c r="BN218" s="69" t="s">
        <v>324</v>
      </c>
      <c r="BO218" s="69" t="s">
        <v>324</v>
      </c>
      <c r="BP218" s="69" t="s">
        <v>324</v>
      </c>
      <c r="BQ218" s="69" t="s">
        <v>324</v>
      </c>
      <c r="BS218" s="21"/>
      <c r="CL218" s="57" t="s">
        <v>559</v>
      </c>
      <c r="CM218" s="57" t="s">
        <v>25</v>
      </c>
      <c r="CN218" s="57">
        <v>65</v>
      </c>
      <c r="CO218" s="57">
        <v>41</v>
      </c>
      <c r="CP218" s="57">
        <v>56</v>
      </c>
      <c r="CQ218" s="57">
        <v>86</v>
      </c>
      <c r="CR218" s="57">
        <v>81</v>
      </c>
      <c r="CS218" s="57">
        <v>329</v>
      </c>
      <c r="CT218" s="57"/>
      <c r="CU218" s="57" t="s">
        <v>25</v>
      </c>
      <c r="CV218" s="57">
        <v>33</v>
      </c>
      <c r="CW218" s="57">
        <v>0</v>
      </c>
      <c r="CX218" s="57">
        <v>0</v>
      </c>
      <c r="CY218" s="57">
        <v>0</v>
      </c>
      <c r="CZ218" s="57">
        <v>0</v>
      </c>
      <c r="DA218" s="57">
        <v>33</v>
      </c>
      <c r="DD218" s="21"/>
      <c r="EN218" s="57" t="s">
        <v>1784</v>
      </c>
      <c r="EO218" s="57" t="s">
        <v>2253</v>
      </c>
      <c r="EP218" s="57">
        <v>237</v>
      </c>
      <c r="EQ218" s="57">
        <v>407</v>
      </c>
      <c r="ER218" s="57">
        <v>515</v>
      </c>
      <c r="ES218" s="57">
        <v>613</v>
      </c>
      <c r="ET218" s="57">
        <v>578</v>
      </c>
      <c r="EU218" s="57">
        <v>2350</v>
      </c>
      <c r="EV218" s="57"/>
      <c r="EW218" s="57" t="s">
        <v>2253</v>
      </c>
      <c r="EX218" s="57">
        <v>70</v>
      </c>
      <c r="EY218" s="57">
        <v>0</v>
      </c>
      <c r="EZ218" s="57">
        <v>0</v>
      </c>
      <c r="FA218" s="57">
        <v>0</v>
      </c>
      <c r="FB218" s="57">
        <v>0</v>
      </c>
      <c r="FC218" s="57">
        <v>70</v>
      </c>
      <c r="FF218" s="70" t="s">
        <v>1859</v>
      </c>
      <c r="FG218" s="70" t="s">
        <v>708</v>
      </c>
      <c r="FH218" s="70">
        <v>100</v>
      </c>
      <c r="FI218" s="70">
        <v>155</v>
      </c>
      <c r="FJ218" s="70">
        <v>167</v>
      </c>
      <c r="FK218" s="70">
        <v>215</v>
      </c>
      <c r="FL218" s="70">
        <v>315</v>
      </c>
      <c r="FM218" s="70">
        <v>952</v>
      </c>
      <c r="FN218" s="70"/>
      <c r="FO218" s="70" t="s">
        <v>708</v>
      </c>
      <c r="FP218" s="70">
        <v>6</v>
      </c>
      <c r="FQ218" s="70">
        <v>1</v>
      </c>
      <c r="FR218" s="70">
        <v>0</v>
      </c>
      <c r="FS218" s="70">
        <v>0</v>
      </c>
      <c r="FT218" s="70">
        <v>0</v>
      </c>
      <c r="FU218" s="70">
        <v>7</v>
      </c>
    </row>
    <row r="219" spans="2:177">
      <c r="B219" s="64" t="s">
        <v>755</v>
      </c>
      <c r="C219" s="64" t="s">
        <v>25</v>
      </c>
      <c r="D219" s="64">
        <v>115</v>
      </c>
      <c r="E219" s="64">
        <v>188</v>
      </c>
      <c r="F219" s="64">
        <v>403</v>
      </c>
      <c r="G219" s="64">
        <v>578</v>
      </c>
      <c r="H219" s="64">
        <v>415</v>
      </c>
      <c r="I219" s="64">
        <v>1699</v>
      </c>
      <c r="K219" s="64" t="s">
        <v>25</v>
      </c>
      <c r="L219" s="64">
        <v>10</v>
      </c>
      <c r="M219" s="64">
        <v>2</v>
      </c>
      <c r="N219" s="64">
        <v>0</v>
      </c>
      <c r="O219" s="64">
        <v>0</v>
      </c>
      <c r="P219" s="64">
        <v>0</v>
      </c>
      <c r="Q219" s="64">
        <v>12</v>
      </c>
      <c r="AK219" s="66" t="s">
        <v>1093</v>
      </c>
      <c r="AL219" s="66" t="s">
        <v>25</v>
      </c>
      <c r="AM219" s="66">
        <v>339</v>
      </c>
      <c r="AN219" s="66">
        <v>283</v>
      </c>
      <c r="AO219" s="66">
        <v>360</v>
      </c>
      <c r="AP219" s="66">
        <v>381</v>
      </c>
      <c r="AQ219" s="66">
        <v>258</v>
      </c>
      <c r="AR219" s="66">
        <v>1621</v>
      </c>
      <c r="AS219" s="66"/>
      <c r="AT219" s="66" t="s">
        <v>25</v>
      </c>
      <c r="AU219" s="66">
        <v>28</v>
      </c>
      <c r="AV219" s="66">
        <v>2</v>
      </c>
      <c r="AW219" s="66">
        <v>1</v>
      </c>
      <c r="AX219" s="66">
        <v>0</v>
      </c>
      <c r="AY219" s="66">
        <v>1</v>
      </c>
      <c r="AZ219" s="66">
        <v>32</v>
      </c>
      <c r="BB219" s="69" t="s">
        <v>428</v>
      </c>
      <c r="BC219" s="69" t="s">
        <v>2032</v>
      </c>
      <c r="BD219" s="69" t="s">
        <v>324</v>
      </c>
      <c r="BE219" s="69" t="s">
        <v>324</v>
      </c>
      <c r="BF219" s="69" t="s">
        <v>324</v>
      </c>
      <c r="BG219" s="69" t="s">
        <v>324</v>
      </c>
      <c r="BH219" s="69" t="s">
        <v>324</v>
      </c>
      <c r="BI219" s="69" t="s">
        <v>324</v>
      </c>
      <c r="BJ219" s="69"/>
      <c r="BK219" s="69" t="s">
        <v>2032</v>
      </c>
      <c r="BL219" s="69" t="s">
        <v>324</v>
      </c>
      <c r="BM219" s="69" t="s">
        <v>324</v>
      </c>
      <c r="BN219" s="69" t="s">
        <v>324</v>
      </c>
      <c r="BO219" s="69" t="s">
        <v>324</v>
      </c>
      <c r="BP219" s="69" t="s">
        <v>324</v>
      </c>
      <c r="BQ219" s="69" t="s">
        <v>324</v>
      </c>
      <c r="BS219" s="21"/>
      <c r="CL219" s="57" t="s">
        <v>561</v>
      </c>
      <c r="CM219" s="57" t="s">
        <v>25</v>
      </c>
      <c r="CN219" s="57">
        <v>58</v>
      </c>
      <c r="CO219" s="57">
        <v>73</v>
      </c>
      <c r="CP219" s="57">
        <v>162</v>
      </c>
      <c r="CQ219" s="57">
        <v>260</v>
      </c>
      <c r="CR219" s="57">
        <v>272</v>
      </c>
      <c r="CS219" s="57">
        <v>825</v>
      </c>
      <c r="CT219" s="57"/>
      <c r="CU219" s="57" t="s">
        <v>25</v>
      </c>
      <c r="CV219" s="57">
        <v>6</v>
      </c>
      <c r="CW219" s="57">
        <v>0</v>
      </c>
      <c r="CX219" s="57">
        <v>0</v>
      </c>
      <c r="CY219" s="57">
        <v>0</v>
      </c>
      <c r="CZ219" s="57">
        <v>0</v>
      </c>
      <c r="DA219" s="57">
        <v>6</v>
      </c>
      <c r="DD219" s="21"/>
      <c r="EN219" s="57" t="s">
        <v>1787</v>
      </c>
      <c r="EO219" s="57" t="s">
        <v>2253</v>
      </c>
      <c r="EP219" s="57">
        <v>72</v>
      </c>
      <c r="EQ219" s="57">
        <v>171</v>
      </c>
      <c r="ER219" s="57">
        <v>217</v>
      </c>
      <c r="ES219" s="57">
        <v>346</v>
      </c>
      <c r="ET219" s="57">
        <v>389</v>
      </c>
      <c r="EU219" s="57">
        <v>1195</v>
      </c>
      <c r="EV219" s="57"/>
      <c r="EW219" s="57" t="s">
        <v>2253</v>
      </c>
      <c r="EX219" s="57">
        <v>11</v>
      </c>
      <c r="EY219" s="57">
        <v>6</v>
      </c>
      <c r="EZ219" s="57">
        <v>7</v>
      </c>
      <c r="FA219" s="57">
        <v>6</v>
      </c>
      <c r="FB219" s="57">
        <v>6</v>
      </c>
      <c r="FC219" s="57">
        <v>36</v>
      </c>
      <c r="FF219" s="70" t="s">
        <v>1861</v>
      </c>
      <c r="FG219" s="70" t="s">
        <v>708</v>
      </c>
      <c r="FH219" s="70">
        <v>283</v>
      </c>
      <c r="FI219" s="70">
        <v>267</v>
      </c>
      <c r="FJ219" s="70">
        <v>305</v>
      </c>
      <c r="FK219" s="70">
        <v>402</v>
      </c>
      <c r="FL219" s="70">
        <v>535</v>
      </c>
      <c r="FM219" s="70">
        <v>1792</v>
      </c>
      <c r="FN219" s="70"/>
      <c r="FO219" s="70" t="s">
        <v>708</v>
      </c>
      <c r="FP219" s="70">
        <v>16</v>
      </c>
      <c r="FQ219" s="70">
        <v>5</v>
      </c>
      <c r="FR219" s="70">
        <v>2</v>
      </c>
      <c r="FS219" s="70">
        <v>2</v>
      </c>
      <c r="FT219" s="70">
        <v>2</v>
      </c>
      <c r="FU219" s="70">
        <v>27</v>
      </c>
    </row>
    <row r="220" spans="2:177">
      <c r="B220" s="64" t="s">
        <v>759</v>
      </c>
      <c r="C220" s="64" t="s">
        <v>25</v>
      </c>
      <c r="D220" s="64">
        <v>168</v>
      </c>
      <c r="E220" s="64">
        <v>329</v>
      </c>
      <c r="F220" s="64">
        <v>647</v>
      </c>
      <c r="G220" s="64">
        <v>748</v>
      </c>
      <c r="H220" s="64">
        <v>479</v>
      </c>
      <c r="I220" s="64">
        <v>2371</v>
      </c>
      <c r="K220" s="64" t="s">
        <v>25</v>
      </c>
      <c r="L220" s="64">
        <v>13</v>
      </c>
      <c r="M220" s="64">
        <v>3</v>
      </c>
      <c r="N220" s="64">
        <v>0</v>
      </c>
      <c r="O220" s="64">
        <v>0</v>
      </c>
      <c r="P220" s="64">
        <v>0</v>
      </c>
      <c r="Q220" s="64">
        <v>16</v>
      </c>
      <c r="AK220" s="66" t="s">
        <v>1098</v>
      </c>
      <c r="AL220" s="66" t="s">
        <v>25</v>
      </c>
      <c r="AM220" s="66">
        <v>406</v>
      </c>
      <c r="AN220" s="66">
        <v>314</v>
      </c>
      <c r="AO220" s="66">
        <v>532</v>
      </c>
      <c r="AP220" s="66">
        <v>757</v>
      </c>
      <c r="AQ220" s="66">
        <v>700</v>
      </c>
      <c r="AR220" s="66">
        <v>2709</v>
      </c>
      <c r="AS220" s="66"/>
      <c r="AT220" s="66" t="s">
        <v>25</v>
      </c>
      <c r="AU220" s="66">
        <v>50</v>
      </c>
      <c r="AV220" s="66">
        <v>0</v>
      </c>
      <c r="AW220" s="66">
        <v>0</v>
      </c>
      <c r="AX220" s="66">
        <v>0</v>
      </c>
      <c r="AY220" s="66">
        <v>0</v>
      </c>
      <c r="AZ220" s="66">
        <v>50</v>
      </c>
      <c r="BB220" s="69" t="s">
        <v>1264</v>
      </c>
      <c r="BC220" s="69" t="s">
        <v>2032</v>
      </c>
      <c r="BD220" s="69" t="s">
        <v>324</v>
      </c>
      <c r="BE220" s="69" t="s">
        <v>324</v>
      </c>
      <c r="BF220" s="69" t="s">
        <v>324</v>
      </c>
      <c r="BG220" s="69" t="s">
        <v>324</v>
      </c>
      <c r="BH220" s="69" t="s">
        <v>324</v>
      </c>
      <c r="BI220" s="69" t="s">
        <v>324</v>
      </c>
      <c r="BJ220" s="69"/>
      <c r="BK220" s="69" t="s">
        <v>2032</v>
      </c>
      <c r="BL220" s="69" t="s">
        <v>324</v>
      </c>
      <c r="BM220" s="69" t="s">
        <v>324</v>
      </c>
      <c r="BN220" s="69" t="s">
        <v>324</v>
      </c>
      <c r="BO220" s="69" t="s">
        <v>324</v>
      </c>
      <c r="BP220" s="69" t="s">
        <v>324</v>
      </c>
      <c r="BQ220" s="69" t="s">
        <v>324</v>
      </c>
      <c r="BS220" s="21"/>
      <c r="CL220" s="57" t="s">
        <v>360</v>
      </c>
      <c r="CM220" s="57" t="s">
        <v>25</v>
      </c>
      <c r="CN220" s="57">
        <v>15</v>
      </c>
      <c r="CO220" s="57">
        <v>33</v>
      </c>
      <c r="CP220" s="57">
        <v>65</v>
      </c>
      <c r="CQ220" s="57">
        <v>112</v>
      </c>
      <c r="CR220" s="57">
        <v>135</v>
      </c>
      <c r="CS220" s="57">
        <v>360</v>
      </c>
      <c r="CT220" s="57"/>
      <c r="CU220" s="57" t="s">
        <v>25</v>
      </c>
      <c r="CV220" s="57">
        <v>4</v>
      </c>
      <c r="CW220" s="57">
        <v>0</v>
      </c>
      <c r="CX220" s="57">
        <v>0</v>
      </c>
      <c r="CY220" s="57">
        <v>0</v>
      </c>
      <c r="CZ220" s="57">
        <v>0</v>
      </c>
      <c r="DA220" s="57">
        <v>4</v>
      </c>
      <c r="DD220" s="21"/>
      <c r="FF220" s="70" t="s">
        <v>1863</v>
      </c>
      <c r="FG220" s="70" t="s">
        <v>708</v>
      </c>
      <c r="FH220" s="70">
        <v>179</v>
      </c>
      <c r="FI220" s="70">
        <v>206</v>
      </c>
      <c r="FJ220" s="70">
        <v>234</v>
      </c>
      <c r="FK220" s="70">
        <v>301</v>
      </c>
      <c r="FL220" s="70">
        <v>441</v>
      </c>
      <c r="FM220" s="70">
        <v>1361</v>
      </c>
      <c r="FN220" s="70"/>
      <c r="FO220" s="70" t="s">
        <v>708</v>
      </c>
      <c r="FP220" s="70">
        <v>6</v>
      </c>
      <c r="FQ220" s="70">
        <v>5</v>
      </c>
      <c r="FR220" s="70">
        <v>1</v>
      </c>
      <c r="FS220" s="70">
        <v>0</v>
      </c>
      <c r="FT220" s="70">
        <v>1</v>
      </c>
      <c r="FU220" s="70">
        <v>13</v>
      </c>
    </row>
    <row r="221" spans="2:177">
      <c r="B221" s="64" t="s">
        <v>762</v>
      </c>
      <c r="C221" s="64" t="s">
        <v>25</v>
      </c>
      <c r="D221" s="64">
        <v>249</v>
      </c>
      <c r="E221" s="64">
        <v>506</v>
      </c>
      <c r="F221" s="64">
        <v>807</v>
      </c>
      <c r="G221" s="64">
        <v>974</v>
      </c>
      <c r="H221" s="64">
        <v>640</v>
      </c>
      <c r="I221" s="64">
        <v>3176</v>
      </c>
      <c r="K221" s="64" t="s">
        <v>25</v>
      </c>
      <c r="L221" s="64">
        <v>11</v>
      </c>
      <c r="M221" s="64">
        <v>1</v>
      </c>
      <c r="N221" s="64">
        <v>0</v>
      </c>
      <c r="O221" s="64">
        <v>0</v>
      </c>
      <c r="P221" s="64">
        <v>0</v>
      </c>
      <c r="Q221" s="64">
        <v>12</v>
      </c>
      <c r="AK221" s="66" t="s">
        <v>1101</v>
      </c>
      <c r="AL221" s="66" t="s">
        <v>25</v>
      </c>
      <c r="AM221" s="66">
        <v>264</v>
      </c>
      <c r="AN221" s="66">
        <v>248</v>
      </c>
      <c r="AO221" s="66">
        <v>343</v>
      </c>
      <c r="AP221" s="66">
        <v>496</v>
      </c>
      <c r="AQ221" s="66">
        <v>440</v>
      </c>
      <c r="AR221" s="66">
        <v>1791</v>
      </c>
      <c r="AS221" s="66"/>
      <c r="AT221" s="66" t="s">
        <v>25</v>
      </c>
      <c r="AU221" s="66">
        <v>59</v>
      </c>
      <c r="AV221" s="66">
        <v>2</v>
      </c>
      <c r="AW221" s="66">
        <v>0</v>
      </c>
      <c r="AX221" s="66">
        <v>1</v>
      </c>
      <c r="AY221" s="66">
        <v>0</v>
      </c>
      <c r="AZ221" s="66">
        <v>62</v>
      </c>
      <c r="BB221" s="69" t="s">
        <v>1268</v>
      </c>
      <c r="BC221" s="69" t="s">
        <v>2032</v>
      </c>
      <c r="BD221" s="69">
        <v>194</v>
      </c>
      <c r="BE221" s="69">
        <v>137</v>
      </c>
      <c r="BF221" s="69">
        <v>226</v>
      </c>
      <c r="BG221" s="69">
        <v>274</v>
      </c>
      <c r="BH221" s="69">
        <v>214</v>
      </c>
      <c r="BI221" s="69">
        <v>1045</v>
      </c>
      <c r="BJ221" s="69"/>
      <c r="BK221" s="69" t="s">
        <v>2032</v>
      </c>
      <c r="BL221" s="69">
        <v>33</v>
      </c>
      <c r="BM221" s="69">
        <v>0</v>
      </c>
      <c r="BN221" s="69">
        <v>0</v>
      </c>
      <c r="BO221" s="69">
        <v>0</v>
      </c>
      <c r="BP221" s="69">
        <v>0</v>
      </c>
      <c r="BQ221" s="69">
        <v>33</v>
      </c>
      <c r="BS221" s="21"/>
      <c r="CL221" s="57" t="s">
        <v>492</v>
      </c>
      <c r="CM221" s="57" t="s">
        <v>25</v>
      </c>
      <c r="CN221" s="57">
        <v>26</v>
      </c>
      <c r="CO221" s="57">
        <v>23</v>
      </c>
      <c r="CP221" s="57">
        <v>39</v>
      </c>
      <c r="CQ221" s="57">
        <v>46</v>
      </c>
      <c r="CR221" s="57">
        <v>54</v>
      </c>
      <c r="CS221" s="57">
        <v>188</v>
      </c>
      <c r="CT221" s="57"/>
      <c r="CU221" s="57" t="s">
        <v>25</v>
      </c>
      <c r="CV221" s="57">
        <v>12</v>
      </c>
      <c r="CW221" s="57">
        <v>0</v>
      </c>
      <c r="CX221" s="57">
        <v>0</v>
      </c>
      <c r="CY221" s="57">
        <v>0</v>
      </c>
      <c r="CZ221" s="57">
        <v>0</v>
      </c>
      <c r="DA221" s="57">
        <v>12</v>
      </c>
      <c r="DD221" s="21"/>
      <c r="FF221" s="70" t="s">
        <v>1865</v>
      </c>
      <c r="FG221" s="70" t="s">
        <v>708</v>
      </c>
      <c r="FH221" s="70">
        <v>102</v>
      </c>
      <c r="FI221" s="70">
        <v>126</v>
      </c>
      <c r="FJ221" s="70">
        <v>189</v>
      </c>
      <c r="FK221" s="70">
        <v>235</v>
      </c>
      <c r="FL221" s="70">
        <v>306</v>
      </c>
      <c r="FM221" s="70">
        <v>958</v>
      </c>
      <c r="FN221" s="70"/>
      <c r="FO221" s="70" t="s">
        <v>708</v>
      </c>
      <c r="FP221" s="70">
        <v>5</v>
      </c>
      <c r="FQ221" s="70">
        <v>2</v>
      </c>
      <c r="FR221" s="70">
        <v>1</v>
      </c>
      <c r="FS221" s="70">
        <v>1</v>
      </c>
      <c r="FT221" s="70">
        <v>0</v>
      </c>
      <c r="FU221" s="70">
        <v>9</v>
      </c>
    </row>
    <row r="222" spans="2:177">
      <c r="B222" s="64" t="s">
        <v>765</v>
      </c>
      <c r="C222" s="64" t="s">
        <v>25</v>
      </c>
      <c r="D222" s="64">
        <v>454</v>
      </c>
      <c r="E222" s="64">
        <v>504</v>
      </c>
      <c r="F222" s="64">
        <v>682</v>
      </c>
      <c r="G222" s="64">
        <v>747</v>
      </c>
      <c r="H222" s="64">
        <v>555</v>
      </c>
      <c r="I222" s="64">
        <v>2942</v>
      </c>
      <c r="K222" s="64" t="s">
        <v>25</v>
      </c>
      <c r="L222" s="64">
        <v>31</v>
      </c>
      <c r="M222" s="64">
        <v>0</v>
      </c>
      <c r="N222" s="64">
        <v>0</v>
      </c>
      <c r="O222" s="64">
        <v>0</v>
      </c>
      <c r="P222" s="64">
        <v>0</v>
      </c>
      <c r="Q222" s="64">
        <v>31</v>
      </c>
      <c r="AK222" s="66" t="s">
        <v>1104</v>
      </c>
      <c r="AL222" s="66" t="s">
        <v>25</v>
      </c>
      <c r="AM222" s="66">
        <v>1123</v>
      </c>
      <c r="AN222" s="66">
        <v>890</v>
      </c>
      <c r="AO222" s="66">
        <v>1348</v>
      </c>
      <c r="AP222" s="66">
        <v>1529</v>
      </c>
      <c r="AQ222" s="66">
        <v>1130</v>
      </c>
      <c r="AR222" s="66">
        <v>6020</v>
      </c>
      <c r="AS222" s="66"/>
      <c r="AT222" s="66" t="s">
        <v>25</v>
      </c>
      <c r="AU222" s="66">
        <v>94</v>
      </c>
      <c r="AV222" s="66">
        <v>0</v>
      </c>
      <c r="AW222" s="66">
        <v>0</v>
      </c>
      <c r="AX222" s="66">
        <v>0</v>
      </c>
      <c r="AY222" s="66">
        <v>0</v>
      </c>
      <c r="AZ222" s="66">
        <v>94</v>
      </c>
      <c r="BB222" s="69" t="s">
        <v>1272</v>
      </c>
      <c r="BC222" s="69" t="s">
        <v>2032</v>
      </c>
      <c r="BD222" s="69">
        <v>275</v>
      </c>
      <c r="BE222" s="69">
        <v>438</v>
      </c>
      <c r="BF222" s="69">
        <v>663</v>
      </c>
      <c r="BG222" s="69">
        <v>792</v>
      </c>
      <c r="BH222" s="69">
        <v>524</v>
      </c>
      <c r="BI222" s="69">
        <v>2692</v>
      </c>
      <c r="BJ222" s="69"/>
      <c r="BK222" s="69" t="s">
        <v>2032</v>
      </c>
      <c r="BL222" s="69">
        <v>32</v>
      </c>
      <c r="BM222" s="69">
        <v>0</v>
      </c>
      <c r="BN222" s="69">
        <v>0</v>
      </c>
      <c r="BO222" s="69">
        <v>0</v>
      </c>
      <c r="BP222" s="69">
        <v>0</v>
      </c>
      <c r="BQ222" s="69">
        <v>32</v>
      </c>
      <c r="BS222" s="21"/>
      <c r="CL222" s="57" t="s">
        <v>356</v>
      </c>
      <c r="CM222" s="57" t="s">
        <v>25</v>
      </c>
      <c r="CN222" s="57">
        <v>125</v>
      </c>
      <c r="CO222" s="57">
        <v>79</v>
      </c>
      <c r="CP222" s="57">
        <v>115</v>
      </c>
      <c r="CQ222" s="57">
        <v>175</v>
      </c>
      <c r="CR222" s="57">
        <v>179</v>
      </c>
      <c r="CS222" s="57">
        <v>673</v>
      </c>
      <c r="CT222" s="57"/>
      <c r="CU222" s="57" t="s">
        <v>25</v>
      </c>
      <c r="CV222" s="57">
        <v>22</v>
      </c>
      <c r="CW222" s="57">
        <v>0</v>
      </c>
      <c r="CX222" s="57">
        <v>0</v>
      </c>
      <c r="CY222" s="57">
        <v>0</v>
      </c>
      <c r="CZ222" s="57">
        <v>0</v>
      </c>
      <c r="DA222" s="57">
        <v>22</v>
      </c>
      <c r="DD222" s="21"/>
      <c r="FF222" s="70" t="s">
        <v>1867</v>
      </c>
      <c r="FG222" s="70" t="s">
        <v>708</v>
      </c>
      <c r="FH222" s="70">
        <v>116</v>
      </c>
      <c r="FI222" s="70">
        <v>128</v>
      </c>
      <c r="FJ222" s="70">
        <v>171</v>
      </c>
      <c r="FK222" s="70">
        <v>200</v>
      </c>
      <c r="FL222" s="70">
        <v>304</v>
      </c>
      <c r="FM222" s="70">
        <v>919</v>
      </c>
      <c r="FN222" s="70"/>
      <c r="FO222" s="70" t="s">
        <v>708</v>
      </c>
      <c r="FP222" s="70">
        <v>18</v>
      </c>
      <c r="FQ222" s="70">
        <v>3</v>
      </c>
      <c r="FR222" s="70">
        <v>2</v>
      </c>
      <c r="FS222" s="70">
        <v>2</v>
      </c>
      <c r="FT222" s="70">
        <v>1</v>
      </c>
      <c r="FU222" s="70">
        <v>26</v>
      </c>
    </row>
    <row r="223" spans="2:177">
      <c r="B223" s="64" t="s">
        <v>773</v>
      </c>
      <c r="C223" s="64" t="s">
        <v>25</v>
      </c>
      <c r="D223" s="64">
        <v>313</v>
      </c>
      <c r="E223" s="64">
        <v>420</v>
      </c>
      <c r="F223" s="64">
        <v>602</v>
      </c>
      <c r="G223" s="64">
        <v>707</v>
      </c>
      <c r="H223" s="64">
        <v>525</v>
      </c>
      <c r="I223" s="64">
        <v>2567</v>
      </c>
      <c r="K223" s="64" t="s">
        <v>25</v>
      </c>
      <c r="L223" s="64">
        <v>21</v>
      </c>
      <c r="M223" s="64">
        <v>0</v>
      </c>
      <c r="N223" s="64">
        <v>0</v>
      </c>
      <c r="O223" s="64">
        <v>0</v>
      </c>
      <c r="P223" s="64">
        <v>0</v>
      </c>
      <c r="Q223" s="64">
        <v>21</v>
      </c>
      <c r="AK223" s="66" t="s">
        <v>1117</v>
      </c>
      <c r="AL223" s="66" t="s">
        <v>25</v>
      </c>
      <c r="AM223" s="66">
        <v>418</v>
      </c>
      <c r="AN223" s="66">
        <v>572</v>
      </c>
      <c r="AO223" s="66">
        <v>770</v>
      </c>
      <c r="AP223" s="66">
        <v>804</v>
      </c>
      <c r="AQ223" s="66">
        <v>641</v>
      </c>
      <c r="AR223" s="66">
        <v>3205</v>
      </c>
      <c r="AS223" s="66"/>
      <c r="AT223" s="66" t="s">
        <v>25</v>
      </c>
      <c r="AU223" s="66">
        <v>65</v>
      </c>
      <c r="AV223" s="66">
        <v>2</v>
      </c>
      <c r="AW223" s="66">
        <v>0</v>
      </c>
      <c r="AX223" s="66">
        <v>1</v>
      </c>
      <c r="AY223" s="66">
        <v>0</v>
      </c>
      <c r="AZ223" s="66">
        <v>68</v>
      </c>
      <c r="BB223" s="69" t="s">
        <v>429</v>
      </c>
      <c r="BC223" s="69" t="s">
        <v>2032</v>
      </c>
      <c r="BD223" s="69" t="s">
        <v>324</v>
      </c>
      <c r="BE223" s="69" t="s">
        <v>324</v>
      </c>
      <c r="BF223" s="69" t="s">
        <v>324</v>
      </c>
      <c r="BG223" s="69" t="s">
        <v>324</v>
      </c>
      <c r="BH223" s="69" t="s">
        <v>324</v>
      </c>
      <c r="BI223" s="69" t="s">
        <v>324</v>
      </c>
      <c r="BJ223" s="69"/>
      <c r="BK223" s="69" t="s">
        <v>2032</v>
      </c>
      <c r="BL223" s="69" t="s">
        <v>324</v>
      </c>
      <c r="BM223" s="69" t="s">
        <v>324</v>
      </c>
      <c r="BN223" s="69" t="s">
        <v>324</v>
      </c>
      <c r="BO223" s="69" t="s">
        <v>324</v>
      </c>
      <c r="BP223" s="69" t="s">
        <v>324</v>
      </c>
      <c r="BQ223" s="69" t="s">
        <v>324</v>
      </c>
      <c r="BS223" s="21"/>
      <c r="CL223" s="57" t="s">
        <v>361</v>
      </c>
      <c r="CM223" s="57" t="s">
        <v>25</v>
      </c>
      <c r="CN223" s="57">
        <v>92</v>
      </c>
      <c r="CO223" s="57">
        <v>61</v>
      </c>
      <c r="CP223" s="57">
        <v>79</v>
      </c>
      <c r="CQ223" s="57">
        <v>103</v>
      </c>
      <c r="CR223" s="57">
        <v>119</v>
      </c>
      <c r="CS223" s="57">
        <v>454</v>
      </c>
      <c r="CT223" s="57"/>
      <c r="CU223" s="57" t="s">
        <v>25</v>
      </c>
      <c r="CV223" s="57">
        <v>27</v>
      </c>
      <c r="CW223" s="57">
        <v>0</v>
      </c>
      <c r="CX223" s="57">
        <v>0</v>
      </c>
      <c r="CY223" s="57">
        <v>0</v>
      </c>
      <c r="CZ223" s="57">
        <v>0</v>
      </c>
      <c r="DA223" s="57">
        <v>27</v>
      </c>
      <c r="DD223" s="21"/>
      <c r="FF223" s="70" t="s">
        <v>1869</v>
      </c>
      <c r="FG223" s="70" t="s">
        <v>708</v>
      </c>
      <c r="FH223" s="70">
        <v>273</v>
      </c>
      <c r="FI223" s="70">
        <v>329</v>
      </c>
      <c r="FJ223" s="70">
        <v>332</v>
      </c>
      <c r="FK223" s="70">
        <v>324</v>
      </c>
      <c r="FL223" s="70">
        <v>397</v>
      </c>
      <c r="FM223" s="70">
        <v>1655</v>
      </c>
      <c r="FN223" s="70"/>
      <c r="FO223" s="70" t="s">
        <v>708</v>
      </c>
      <c r="FP223" s="70">
        <v>15</v>
      </c>
      <c r="FQ223" s="70">
        <v>4</v>
      </c>
      <c r="FR223" s="70">
        <v>4</v>
      </c>
      <c r="FS223" s="70">
        <v>1</v>
      </c>
      <c r="FT223" s="70">
        <v>1</v>
      </c>
      <c r="FU223" s="70">
        <v>25</v>
      </c>
    </row>
    <row r="224" spans="2:177">
      <c r="B224" s="64" t="s">
        <v>776</v>
      </c>
      <c r="C224" s="64" t="s">
        <v>25</v>
      </c>
      <c r="D224" s="64">
        <v>239</v>
      </c>
      <c r="E224" s="64">
        <v>275</v>
      </c>
      <c r="F224" s="64">
        <v>437</v>
      </c>
      <c r="G224" s="64">
        <v>562</v>
      </c>
      <c r="H224" s="64">
        <v>417</v>
      </c>
      <c r="I224" s="64">
        <v>1930</v>
      </c>
      <c r="K224" s="64" t="s">
        <v>25</v>
      </c>
      <c r="L224" s="64">
        <v>25</v>
      </c>
      <c r="M224" s="64">
        <v>0</v>
      </c>
      <c r="N224" s="64">
        <v>0</v>
      </c>
      <c r="O224" s="64">
        <v>0</v>
      </c>
      <c r="P224" s="64">
        <v>0</v>
      </c>
      <c r="Q224" s="64">
        <v>25</v>
      </c>
      <c r="AK224" s="66" t="s">
        <v>1120</v>
      </c>
      <c r="AL224" s="66" t="s">
        <v>25</v>
      </c>
      <c r="AM224" s="66">
        <v>281</v>
      </c>
      <c r="AN224" s="66">
        <v>251</v>
      </c>
      <c r="AO224" s="66">
        <v>372</v>
      </c>
      <c r="AP224" s="66">
        <v>477</v>
      </c>
      <c r="AQ224" s="66">
        <v>458</v>
      </c>
      <c r="AR224" s="66">
        <v>1839</v>
      </c>
      <c r="AS224" s="66"/>
      <c r="AT224" s="66" t="s">
        <v>25</v>
      </c>
      <c r="AU224" s="66">
        <v>66</v>
      </c>
      <c r="AV224" s="66">
        <v>1</v>
      </c>
      <c r="AW224" s="66">
        <v>0</v>
      </c>
      <c r="AX224" s="66">
        <v>0</v>
      </c>
      <c r="AY224" s="66">
        <v>0</v>
      </c>
      <c r="AZ224" s="66">
        <v>67</v>
      </c>
      <c r="BB224" s="69" t="s">
        <v>1279</v>
      </c>
      <c r="BC224" s="69" t="s">
        <v>2032</v>
      </c>
      <c r="BD224" s="69" t="s">
        <v>324</v>
      </c>
      <c r="BE224" s="69" t="s">
        <v>324</v>
      </c>
      <c r="BF224" s="69" t="s">
        <v>324</v>
      </c>
      <c r="BG224" s="69" t="s">
        <v>324</v>
      </c>
      <c r="BH224" s="69" t="s">
        <v>324</v>
      </c>
      <c r="BI224" s="69" t="s">
        <v>324</v>
      </c>
      <c r="BJ224" s="69"/>
      <c r="BK224" s="69" t="s">
        <v>2032</v>
      </c>
      <c r="BL224" s="69" t="s">
        <v>324</v>
      </c>
      <c r="BM224" s="69" t="s">
        <v>324</v>
      </c>
      <c r="BN224" s="69" t="s">
        <v>324</v>
      </c>
      <c r="BO224" s="69" t="s">
        <v>324</v>
      </c>
      <c r="BP224" s="69" t="s">
        <v>324</v>
      </c>
      <c r="BQ224" s="69" t="s">
        <v>324</v>
      </c>
      <c r="BS224" s="21"/>
      <c r="CL224" s="57" t="s">
        <v>359</v>
      </c>
      <c r="CM224" s="57" t="s">
        <v>25</v>
      </c>
      <c r="CN224" s="57">
        <v>79</v>
      </c>
      <c r="CO224" s="57">
        <v>65</v>
      </c>
      <c r="CP224" s="57">
        <v>99</v>
      </c>
      <c r="CQ224" s="57">
        <v>115</v>
      </c>
      <c r="CR224" s="57">
        <v>176</v>
      </c>
      <c r="CS224" s="57">
        <v>534</v>
      </c>
      <c r="CT224" s="57"/>
      <c r="CU224" s="57" t="s">
        <v>25</v>
      </c>
      <c r="CV224" s="57">
        <v>16</v>
      </c>
      <c r="CW224" s="57">
        <v>0</v>
      </c>
      <c r="CX224" s="57">
        <v>0</v>
      </c>
      <c r="CY224" s="57">
        <v>0</v>
      </c>
      <c r="CZ224" s="57">
        <v>0</v>
      </c>
      <c r="DA224" s="57">
        <v>16</v>
      </c>
      <c r="DD224" s="21"/>
      <c r="FF224" s="70" t="s">
        <v>1871</v>
      </c>
      <c r="FG224" s="70" t="s">
        <v>708</v>
      </c>
      <c r="FH224" s="70">
        <v>159</v>
      </c>
      <c r="FI224" s="70">
        <v>158</v>
      </c>
      <c r="FJ224" s="70">
        <v>199</v>
      </c>
      <c r="FK224" s="70">
        <v>249</v>
      </c>
      <c r="FL224" s="70">
        <v>406</v>
      </c>
      <c r="FM224" s="70">
        <v>1171</v>
      </c>
      <c r="FN224" s="70"/>
      <c r="FO224" s="70" t="s">
        <v>708</v>
      </c>
      <c r="FP224" s="70">
        <v>14</v>
      </c>
      <c r="FQ224" s="70">
        <v>4</v>
      </c>
      <c r="FR224" s="70">
        <v>0</v>
      </c>
      <c r="FS224" s="70">
        <v>0</v>
      </c>
      <c r="FT224" s="70">
        <v>0</v>
      </c>
      <c r="FU224" s="70">
        <v>18</v>
      </c>
    </row>
    <row r="225" spans="2:177">
      <c r="B225" s="64" t="s">
        <v>781</v>
      </c>
      <c r="C225" s="64" t="s">
        <v>25</v>
      </c>
      <c r="D225" s="64">
        <v>534</v>
      </c>
      <c r="E225" s="64">
        <v>553</v>
      </c>
      <c r="F225" s="64">
        <v>583</v>
      </c>
      <c r="G225" s="64">
        <v>629</v>
      </c>
      <c r="H225" s="64">
        <v>568</v>
      </c>
      <c r="I225" s="64">
        <v>2867</v>
      </c>
      <c r="K225" s="64" t="s">
        <v>25</v>
      </c>
      <c r="L225" s="64">
        <v>20</v>
      </c>
      <c r="M225" s="64">
        <v>0</v>
      </c>
      <c r="N225" s="64">
        <v>0</v>
      </c>
      <c r="O225" s="64">
        <v>0</v>
      </c>
      <c r="P225" s="64">
        <v>0</v>
      </c>
      <c r="Q225" s="64">
        <v>20</v>
      </c>
      <c r="AK225" s="66" t="s">
        <v>1123</v>
      </c>
      <c r="AL225" s="66" t="s">
        <v>25</v>
      </c>
      <c r="AM225" s="66">
        <v>462</v>
      </c>
      <c r="AN225" s="66">
        <v>543</v>
      </c>
      <c r="AO225" s="66">
        <v>593</v>
      </c>
      <c r="AP225" s="66">
        <v>719</v>
      </c>
      <c r="AQ225" s="66">
        <v>624</v>
      </c>
      <c r="AR225" s="66">
        <v>2941</v>
      </c>
      <c r="AS225" s="66"/>
      <c r="AT225" s="66" t="s">
        <v>25</v>
      </c>
      <c r="AU225" s="66">
        <v>24</v>
      </c>
      <c r="AV225" s="66">
        <v>13</v>
      </c>
      <c r="AW225" s="66">
        <v>1</v>
      </c>
      <c r="AX225" s="66">
        <v>3</v>
      </c>
      <c r="AY225" s="66">
        <v>0</v>
      </c>
      <c r="AZ225" s="66">
        <v>41</v>
      </c>
      <c r="BB225" s="69" t="s">
        <v>430</v>
      </c>
      <c r="BC225" s="69" t="s">
        <v>2032</v>
      </c>
      <c r="BD225" s="69">
        <v>171</v>
      </c>
      <c r="BE225" s="69">
        <v>251</v>
      </c>
      <c r="BF225" s="69">
        <v>417</v>
      </c>
      <c r="BG225" s="69">
        <v>634</v>
      </c>
      <c r="BH225" s="69">
        <v>462</v>
      </c>
      <c r="BI225" s="69">
        <v>1935</v>
      </c>
      <c r="BJ225" s="69"/>
      <c r="BK225" s="69" t="s">
        <v>2032</v>
      </c>
      <c r="BL225" s="69">
        <v>30</v>
      </c>
      <c r="BM225" s="69">
        <v>0</v>
      </c>
      <c r="BN225" s="69">
        <v>0</v>
      </c>
      <c r="BO225" s="69">
        <v>0</v>
      </c>
      <c r="BP225" s="69">
        <v>0</v>
      </c>
      <c r="BQ225" s="69">
        <v>30</v>
      </c>
      <c r="BS225" s="21"/>
      <c r="CL225" s="57" t="s">
        <v>553</v>
      </c>
      <c r="CM225" s="57" t="s">
        <v>25</v>
      </c>
      <c r="CN225" s="57">
        <v>1074</v>
      </c>
      <c r="CO225" s="57">
        <v>839</v>
      </c>
      <c r="CP225" s="57">
        <v>847</v>
      </c>
      <c r="CQ225" s="57">
        <v>912</v>
      </c>
      <c r="CR225" s="57">
        <v>729</v>
      </c>
      <c r="CS225" s="57">
        <v>4401</v>
      </c>
      <c r="CT225" s="57"/>
      <c r="CU225" s="57" t="s">
        <v>25</v>
      </c>
      <c r="CV225" s="57">
        <v>252</v>
      </c>
      <c r="CW225" s="57">
        <v>1</v>
      </c>
      <c r="CX225" s="57">
        <v>0</v>
      </c>
      <c r="CY225" s="57">
        <v>0</v>
      </c>
      <c r="CZ225" s="57">
        <v>0</v>
      </c>
      <c r="DA225" s="57">
        <v>253</v>
      </c>
      <c r="DD225" s="21"/>
      <c r="FF225" s="70" t="s">
        <v>1875</v>
      </c>
      <c r="FG225" s="70" t="s">
        <v>708</v>
      </c>
      <c r="FH225" s="70">
        <v>182</v>
      </c>
      <c r="FI225" s="70">
        <v>246</v>
      </c>
      <c r="FJ225" s="70">
        <v>300</v>
      </c>
      <c r="FK225" s="70">
        <v>377</v>
      </c>
      <c r="FL225" s="70">
        <v>583</v>
      </c>
      <c r="FM225" s="70">
        <v>1688</v>
      </c>
      <c r="FN225" s="70"/>
      <c r="FO225" s="70" t="s">
        <v>708</v>
      </c>
      <c r="FP225" s="70">
        <v>18</v>
      </c>
      <c r="FQ225" s="70">
        <v>5</v>
      </c>
      <c r="FR225" s="70">
        <v>4</v>
      </c>
      <c r="FS225" s="70">
        <v>0</v>
      </c>
      <c r="FT225" s="70">
        <v>2</v>
      </c>
      <c r="FU225" s="70">
        <v>29</v>
      </c>
    </row>
    <row r="226" spans="2:177">
      <c r="B226" s="64" t="s">
        <v>787</v>
      </c>
      <c r="C226" s="64" t="s">
        <v>25</v>
      </c>
      <c r="D226" s="64">
        <v>321</v>
      </c>
      <c r="E226" s="64">
        <v>340</v>
      </c>
      <c r="F226" s="64">
        <v>350</v>
      </c>
      <c r="G226" s="64">
        <v>433</v>
      </c>
      <c r="H226" s="64">
        <v>328</v>
      </c>
      <c r="I226" s="64">
        <v>1772</v>
      </c>
      <c r="K226" s="64" t="s">
        <v>25</v>
      </c>
      <c r="L226" s="64">
        <v>34</v>
      </c>
      <c r="M226" s="64">
        <v>6</v>
      </c>
      <c r="N226" s="64">
        <v>1</v>
      </c>
      <c r="O226" s="64">
        <v>0</v>
      </c>
      <c r="P226" s="64">
        <v>1</v>
      </c>
      <c r="Q226" s="64">
        <v>42</v>
      </c>
      <c r="AK226" s="66" t="s">
        <v>1126</v>
      </c>
      <c r="AL226" s="66" t="s">
        <v>25</v>
      </c>
      <c r="AM226" s="66">
        <v>988</v>
      </c>
      <c r="AN226" s="66">
        <v>450</v>
      </c>
      <c r="AO226" s="66">
        <v>615</v>
      </c>
      <c r="AP226" s="66">
        <v>603</v>
      </c>
      <c r="AQ226" s="66">
        <v>486</v>
      </c>
      <c r="AR226" s="66">
        <v>3142</v>
      </c>
      <c r="AS226" s="66"/>
      <c r="AT226" s="66" t="s">
        <v>25</v>
      </c>
      <c r="AU226" s="66">
        <v>73</v>
      </c>
      <c r="AV226" s="66">
        <v>0</v>
      </c>
      <c r="AW226" s="66">
        <v>0</v>
      </c>
      <c r="AX226" s="66">
        <v>0</v>
      </c>
      <c r="AY226" s="66">
        <v>0</v>
      </c>
      <c r="AZ226" s="66">
        <v>73</v>
      </c>
      <c r="BB226" s="69" t="s">
        <v>1285</v>
      </c>
      <c r="BC226" s="69" t="s">
        <v>2032</v>
      </c>
      <c r="BD226" s="69">
        <v>260</v>
      </c>
      <c r="BE226" s="69">
        <v>335</v>
      </c>
      <c r="BF226" s="69">
        <v>527</v>
      </c>
      <c r="BG226" s="69">
        <v>735</v>
      </c>
      <c r="BH226" s="69">
        <v>567</v>
      </c>
      <c r="BI226" s="69">
        <v>2424</v>
      </c>
      <c r="BJ226" s="69"/>
      <c r="BK226" s="69" t="s">
        <v>2032</v>
      </c>
      <c r="BL226" s="69">
        <v>38</v>
      </c>
      <c r="BM226" s="69">
        <v>0</v>
      </c>
      <c r="BN226" s="69">
        <v>0</v>
      </c>
      <c r="BO226" s="69">
        <v>0</v>
      </c>
      <c r="BP226" s="69">
        <v>0</v>
      </c>
      <c r="BQ226" s="69">
        <v>38</v>
      </c>
      <c r="BS226" s="21"/>
      <c r="CL226" s="57" t="s">
        <v>497</v>
      </c>
      <c r="CM226" s="57" t="s">
        <v>25</v>
      </c>
      <c r="CN226" s="57">
        <v>57</v>
      </c>
      <c r="CO226" s="57">
        <v>94</v>
      </c>
      <c r="CP226" s="57">
        <v>218</v>
      </c>
      <c r="CQ226" s="57">
        <v>334</v>
      </c>
      <c r="CR226" s="57">
        <v>264</v>
      </c>
      <c r="CS226" s="57">
        <v>967</v>
      </c>
      <c r="CT226" s="57"/>
      <c r="CU226" s="57" t="s">
        <v>25</v>
      </c>
      <c r="CV226" s="57">
        <v>14</v>
      </c>
      <c r="CW226" s="57">
        <v>0</v>
      </c>
      <c r="CX226" s="57">
        <v>0</v>
      </c>
      <c r="CY226" s="57">
        <v>0</v>
      </c>
      <c r="CZ226" s="57">
        <v>0</v>
      </c>
      <c r="DA226" s="57">
        <v>14</v>
      </c>
      <c r="DD226" s="21"/>
    </row>
    <row r="227" spans="2:177">
      <c r="B227" s="64" t="s">
        <v>795</v>
      </c>
      <c r="C227" s="64" t="s">
        <v>25</v>
      </c>
      <c r="D227" s="64">
        <v>138</v>
      </c>
      <c r="E227" s="64">
        <v>163</v>
      </c>
      <c r="F227" s="64">
        <v>177</v>
      </c>
      <c r="G227" s="64">
        <v>225</v>
      </c>
      <c r="H227" s="64">
        <v>234</v>
      </c>
      <c r="I227" s="64">
        <v>937</v>
      </c>
      <c r="K227" s="64" t="s">
        <v>25</v>
      </c>
      <c r="L227" s="64">
        <v>32</v>
      </c>
      <c r="M227" s="64">
        <v>2</v>
      </c>
      <c r="N227" s="64">
        <v>1</v>
      </c>
      <c r="O227" s="64">
        <v>0</v>
      </c>
      <c r="P227" s="64">
        <v>0</v>
      </c>
      <c r="Q227" s="64">
        <v>35</v>
      </c>
      <c r="AK227" s="66" t="s">
        <v>1131</v>
      </c>
      <c r="AL227" s="66" t="s">
        <v>25</v>
      </c>
      <c r="AM227" s="66">
        <v>550</v>
      </c>
      <c r="AN227" s="66">
        <v>656</v>
      </c>
      <c r="AO227" s="66">
        <v>705</v>
      </c>
      <c r="AP227" s="66">
        <v>800</v>
      </c>
      <c r="AQ227" s="66">
        <v>718</v>
      </c>
      <c r="AR227" s="66">
        <v>3429</v>
      </c>
      <c r="AS227" s="66"/>
      <c r="AT227" s="66" t="s">
        <v>25</v>
      </c>
      <c r="AU227" s="66">
        <v>27</v>
      </c>
      <c r="AV227" s="66">
        <v>6</v>
      </c>
      <c r="AW227" s="66">
        <v>1</v>
      </c>
      <c r="AX227" s="66">
        <v>0</v>
      </c>
      <c r="AY227" s="66">
        <v>1</v>
      </c>
      <c r="AZ227" s="66">
        <v>35</v>
      </c>
      <c r="BB227" s="69" t="s">
        <v>1289</v>
      </c>
      <c r="BC227" s="69" t="s">
        <v>2032</v>
      </c>
      <c r="BD227" s="69">
        <v>186</v>
      </c>
      <c r="BE227" s="69">
        <v>200</v>
      </c>
      <c r="BF227" s="69">
        <v>331</v>
      </c>
      <c r="BG227" s="69">
        <v>413</v>
      </c>
      <c r="BH227" s="69">
        <v>318</v>
      </c>
      <c r="BI227" s="69">
        <v>1448</v>
      </c>
      <c r="BJ227" s="69"/>
      <c r="BK227" s="69" t="s">
        <v>2032</v>
      </c>
      <c r="BL227" s="69">
        <v>34</v>
      </c>
      <c r="BM227" s="69">
        <v>0</v>
      </c>
      <c r="BN227" s="69">
        <v>0</v>
      </c>
      <c r="BO227" s="69">
        <v>0</v>
      </c>
      <c r="BP227" s="69">
        <v>0</v>
      </c>
      <c r="BQ227" s="69">
        <v>34</v>
      </c>
      <c r="BS227" s="21"/>
      <c r="CL227" s="57" t="s">
        <v>525</v>
      </c>
      <c r="CM227" s="57" t="s">
        <v>25</v>
      </c>
      <c r="CN227" s="57">
        <v>57</v>
      </c>
      <c r="CO227" s="57">
        <v>36</v>
      </c>
      <c r="CP227" s="57">
        <v>69</v>
      </c>
      <c r="CQ227" s="57">
        <v>82</v>
      </c>
      <c r="CR227" s="57">
        <v>120</v>
      </c>
      <c r="CS227" s="57">
        <v>364</v>
      </c>
      <c r="CT227" s="57"/>
      <c r="CU227" s="57" t="s">
        <v>25</v>
      </c>
      <c r="CV227" s="57">
        <v>19</v>
      </c>
      <c r="CW227" s="57">
        <v>0</v>
      </c>
      <c r="CX227" s="57">
        <v>0</v>
      </c>
      <c r="CY227" s="57">
        <v>0</v>
      </c>
      <c r="CZ227" s="57">
        <v>0</v>
      </c>
      <c r="DA227" s="57">
        <v>19</v>
      </c>
      <c r="DD227" s="21"/>
      <c r="FF227" s="70" t="s">
        <v>1790</v>
      </c>
      <c r="FG227" s="70" t="s">
        <v>2098</v>
      </c>
      <c r="FH227" s="70">
        <v>2606</v>
      </c>
      <c r="FI227" s="70">
        <v>1380</v>
      </c>
      <c r="FJ227" s="70">
        <v>962</v>
      </c>
      <c r="FK227" s="70">
        <v>848</v>
      </c>
      <c r="FL227" s="70">
        <v>927</v>
      </c>
      <c r="FM227" s="70">
        <v>6723</v>
      </c>
      <c r="FN227" s="70"/>
      <c r="FO227" s="70" t="s">
        <v>2098</v>
      </c>
      <c r="FP227" s="70">
        <v>537</v>
      </c>
      <c r="FQ227" s="70">
        <v>72</v>
      </c>
      <c r="FR227" s="70">
        <v>19</v>
      </c>
      <c r="FS227" s="70">
        <v>19</v>
      </c>
      <c r="FT227" s="70">
        <v>22</v>
      </c>
      <c r="FU227" s="70">
        <v>669</v>
      </c>
    </row>
    <row r="228" spans="2:177">
      <c r="B228" s="64" t="s">
        <v>801</v>
      </c>
      <c r="C228" s="64" t="s">
        <v>25</v>
      </c>
      <c r="D228" s="64">
        <v>15</v>
      </c>
      <c r="E228" s="64">
        <v>52</v>
      </c>
      <c r="F228" s="64">
        <v>102</v>
      </c>
      <c r="G228" s="64">
        <v>103</v>
      </c>
      <c r="H228" s="64">
        <v>106</v>
      </c>
      <c r="I228" s="64">
        <v>378</v>
      </c>
      <c r="K228" s="64" t="s">
        <v>25</v>
      </c>
      <c r="L228" s="64">
        <v>3</v>
      </c>
      <c r="M228" s="64">
        <v>0</v>
      </c>
      <c r="N228" s="64">
        <v>0</v>
      </c>
      <c r="O228" s="64">
        <v>0</v>
      </c>
      <c r="P228" s="64">
        <v>0</v>
      </c>
      <c r="Q228" s="64">
        <v>3</v>
      </c>
      <c r="AK228" s="66" t="s">
        <v>1134</v>
      </c>
      <c r="AL228" s="66" t="s">
        <v>25</v>
      </c>
      <c r="AM228" s="66">
        <v>481</v>
      </c>
      <c r="AN228" s="66">
        <v>258</v>
      </c>
      <c r="AO228" s="66">
        <v>384</v>
      </c>
      <c r="AP228" s="66">
        <v>468</v>
      </c>
      <c r="AQ228" s="66">
        <v>493</v>
      </c>
      <c r="AR228" s="66">
        <v>2084</v>
      </c>
      <c r="AS228" s="66"/>
      <c r="AT228" s="66" t="s">
        <v>25</v>
      </c>
      <c r="AU228" s="66">
        <v>118</v>
      </c>
      <c r="AV228" s="66">
        <v>1</v>
      </c>
      <c r="AW228" s="66">
        <v>0</v>
      </c>
      <c r="AX228" s="66">
        <v>0</v>
      </c>
      <c r="AY228" s="66">
        <v>0</v>
      </c>
      <c r="AZ228" s="66">
        <v>119</v>
      </c>
      <c r="BB228" s="69" t="s">
        <v>1292</v>
      </c>
      <c r="BC228" s="69" t="s">
        <v>2032</v>
      </c>
      <c r="BD228" s="69">
        <v>486</v>
      </c>
      <c r="BE228" s="69">
        <v>63</v>
      </c>
      <c r="BF228" s="69">
        <v>125</v>
      </c>
      <c r="BG228" s="69">
        <v>147</v>
      </c>
      <c r="BH228" s="69">
        <v>252</v>
      </c>
      <c r="BI228" s="69">
        <v>1073</v>
      </c>
      <c r="BJ228" s="69"/>
      <c r="BK228" s="69" t="s">
        <v>2032</v>
      </c>
      <c r="BL228" s="69">
        <v>153</v>
      </c>
      <c r="BM228" s="69">
        <v>0</v>
      </c>
      <c r="BN228" s="69">
        <v>0</v>
      </c>
      <c r="BO228" s="69">
        <v>0</v>
      </c>
      <c r="BP228" s="69">
        <v>0</v>
      </c>
      <c r="BQ228" s="69">
        <v>153</v>
      </c>
      <c r="BS228" s="21"/>
      <c r="CL228" s="57" t="s">
        <v>546</v>
      </c>
      <c r="CM228" s="57" t="s">
        <v>25</v>
      </c>
      <c r="CN228" s="57">
        <v>161</v>
      </c>
      <c r="CO228" s="57">
        <v>159</v>
      </c>
      <c r="CP228" s="57">
        <v>278</v>
      </c>
      <c r="CQ228" s="57">
        <v>414</v>
      </c>
      <c r="CR228" s="57">
        <v>332</v>
      </c>
      <c r="CS228" s="57">
        <v>1344</v>
      </c>
      <c r="CT228" s="57"/>
      <c r="CU228" s="57" t="s">
        <v>25</v>
      </c>
      <c r="CV228" s="57">
        <v>28</v>
      </c>
      <c r="CW228" s="57">
        <v>0</v>
      </c>
      <c r="CX228" s="57">
        <v>0</v>
      </c>
      <c r="CY228" s="57">
        <v>0</v>
      </c>
      <c r="CZ228" s="57">
        <v>0</v>
      </c>
      <c r="DA228" s="57">
        <v>28</v>
      </c>
      <c r="DD228" s="21"/>
      <c r="FF228" s="70" t="s">
        <v>1793</v>
      </c>
      <c r="FG228" s="70" t="s">
        <v>2098</v>
      </c>
      <c r="FH228" s="70">
        <v>148</v>
      </c>
      <c r="FI228" s="70">
        <v>196</v>
      </c>
      <c r="FJ228" s="70">
        <v>255</v>
      </c>
      <c r="FK228" s="70">
        <v>389</v>
      </c>
      <c r="FL228" s="70">
        <v>471</v>
      </c>
      <c r="FM228" s="70">
        <v>1459</v>
      </c>
      <c r="FN228" s="70"/>
      <c r="FO228" s="70" t="s">
        <v>2098</v>
      </c>
      <c r="FP228" s="70">
        <v>12</v>
      </c>
      <c r="FQ228" s="70">
        <v>5</v>
      </c>
      <c r="FR228" s="70">
        <v>2</v>
      </c>
      <c r="FS228" s="70">
        <v>0</v>
      </c>
      <c r="FT228" s="70">
        <v>3</v>
      </c>
      <c r="FU228" s="70">
        <v>22</v>
      </c>
    </row>
    <row r="229" spans="2:177">
      <c r="B229" s="64" t="s">
        <v>805</v>
      </c>
      <c r="C229" s="64" t="s">
        <v>25</v>
      </c>
      <c r="D229" s="64">
        <v>66</v>
      </c>
      <c r="E229" s="64">
        <v>138</v>
      </c>
      <c r="F229" s="64">
        <v>282</v>
      </c>
      <c r="G229" s="64">
        <v>370</v>
      </c>
      <c r="H229" s="64">
        <v>279</v>
      </c>
      <c r="I229" s="64">
        <v>1135</v>
      </c>
      <c r="K229" s="64" t="s">
        <v>25</v>
      </c>
      <c r="L229" s="64">
        <v>9</v>
      </c>
      <c r="M229" s="64">
        <v>1</v>
      </c>
      <c r="N229" s="64">
        <v>0</v>
      </c>
      <c r="O229" s="64">
        <v>1</v>
      </c>
      <c r="P229" s="64">
        <v>0</v>
      </c>
      <c r="Q229" s="64">
        <v>11</v>
      </c>
      <c r="AK229" s="66" t="s">
        <v>1137</v>
      </c>
      <c r="AL229" s="66" t="s">
        <v>25</v>
      </c>
      <c r="AM229" s="66">
        <v>361</v>
      </c>
      <c r="AN229" s="66">
        <v>297</v>
      </c>
      <c r="AO229" s="66">
        <v>369</v>
      </c>
      <c r="AP229" s="66">
        <v>507</v>
      </c>
      <c r="AQ229" s="66">
        <v>472</v>
      </c>
      <c r="AR229" s="66">
        <v>2006</v>
      </c>
      <c r="AS229" s="66"/>
      <c r="AT229" s="66" t="s">
        <v>25</v>
      </c>
      <c r="AU229" s="66">
        <v>98</v>
      </c>
      <c r="AV229" s="66">
        <v>1</v>
      </c>
      <c r="AW229" s="66">
        <v>0</v>
      </c>
      <c r="AX229" s="66">
        <v>0</v>
      </c>
      <c r="AY229" s="66">
        <v>0</v>
      </c>
      <c r="AZ229" s="66">
        <v>99</v>
      </c>
      <c r="BB229" s="69" t="s">
        <v>439</v>
      </c>
      <c r="BC229" s="69" t="s">
        <v>2032</v>
      </c>
      <c r="BD229" s="69">
        <v>69</v>
      </c>
      <c r="BE229" s="69">
        <v>27</v>
      </c>
      <c r="BF229" s="69">
        <v>36</v>
      </c>
      <c r="BG229" s="69">
        <v>46</v>
      </c>
      <c r="BH229" s="69">
        <v>108</v>
      </c>
      <c r="BI229" s="69">
        <v>286</v>
      </c>
      <c r="BJ229" s="69"/>
      <c r="BK229" s="69" t="s">
        <v>2032</v>
      </c>
      <c r="BL229" s="69">
        <v>33</v>
      </c>
      <c r="BM229" s="69">
        <v>0</v>
      </c>
      <c r="BN229" s="69">
        <v>0</v>
      </c>
      <c r="BO229" s="69">
        <v>0</v>
      </c>
      <c r="BP229" s="69">
        <v>0</v>
      </c>
      <c r="BQ229" s="69">
        <v>33</v>
      </c>
      <c r="BS229" s="21"/>
      <c r="CL229" s="57" t="s">
        <v>527</v>
      </c>
      <c r="CM229" s="57" t="s">
        <v>25</v>
      </c>
      <c r="CN229" s="57">
        <v>80</v>
      </c>
      <c r="CO229" s="57">
        <v>136</v>
      </c>
      <c r="CP229" s="57">
        <v>284</v>
      </c>
      <c r="CQ229" s="57">
        <v>412</v>
      </c>
      <c r="CR229" s="57">
        <v>326</v>
      </c>
      <c r="CS229" s="57">
        <v>1238</v>
      </c>
      <c r="CT229" s="57"/>
      <c r="CU229" s="57" t="s">
        <v>25</v>
      </c>
      <c r="CV229" s="57">
        <v>14</v>
      </c>
      <c r="CW229" s="57">
        <v>0</v>
      </c>
      <c r="CX229" s="57">
        <v>0</v>
      </c>
      <c r="CY229" s="57">
        <v>0</v>
      </c>
      <c r="CZ229" s="57">
        <v>0</v>
      </c>
      <c r="DA229" s="57">
        <v>14</v>
      </c>
      <c r="DD229" s="21"/>
      <c r="FF229" s="70" t="s">
        <v>1795</v>
      </c>
      <c r="FG229" s="70" t="s">
        <v>2098</v>
      </c>
      <c r="FH229" s="70">
        <v>663</v>
      </c>
      <c r="FI229" s="70">
        <v>657</v>
      </c>
      <c r="FJ229" s="70">
        <v>815</v>
      </c>
      <c r="FK229" s="70">
        <v>770</v>
      </c>
      <c r="FL229" s="70">
        <v>814</v>
      </c>
      <c r="FM229" s="70">
        <v>3719</v>
      </c>
      <c r="FN229" s="70"/>
      <c r="FO229" s="70" t="s">
        <v>2098</v>
      </c>
      <c r="FP229" s="70">
        <v>60</v>
      </c>
      <c r="FQ229" s="70">
        <v>0</v>
      </c>
      <c r="FR229" s="70">
        <v>0</v>
      </c>
      <c r="FS229" s="70">
        <v>0</v>
      </c>
      <c r="FT229" s="70">
        <v>0</v>
      </c>
      <c r="FU229" s="70">
        <v>60</v>
      </c>
    </row>
    <row r="230" spans="2:177">
      <c r="B230" s="64" t="s">
        <v>812</v>
      </c>
      <c r="C230" s="64" t="s">
        <v>25</v>
      </c>
      <c r="D230" s="64">
        <v>154</v>
      </c>
      <c r="E230" s="64">
        <v>283</v>
      </c>
      <c r="F230" s="64">
        <v>403</v>
      </c>
      <c r="G230" s="64">
        <v>513</v>
      </c>
      <c r="H230" s="64">
        <v>388</v>
      </c>
      <c r="I230" s="64">
        <v>1741</v>
      </c>
      <c r="K230" s="64" t="s">
        <v>25</v>
      </c>
      <c r="L230" s="64">
        <v>25</v>
      </c>
      <c r="M230" s="64">
        <v>2</v>
      </c>
      <c r="N230" s="64">
        <v>0</v>
      </c>
      <c r="O230" s="64">
        <v>0</v>
      </c>
      <c r="P230" s="64">
        <v>0</v>
      </c>
      <c r="Q230" s="64">
        <v>27</v>
      </c>
      <c r="AK230" s="66" t="s">
        <v>1140</v>
      </c>
      <c r="AL230" s="66" t="s">
        <v>25</v>
      </c>
      <c r="AM230" s="66">
        <v>561</v>
      </c>
      <c r="AN230" s="66">
        <v>318</v>
      </c>
      <c r="AO230" s="66">
        <v>469</v>
      </c>
      <c r="AP230" s="66">
        <v>502</v>
      </c>
      <c r="AQ230" s="66">
        <v>516</v>
      </c>
      <c r="AR230" s="66">
        <v>2366</v>
      </c>
      <c r="AS230" s="66"/>
      <c r="AT230" s="66" t="s">
        <v>25</v>
      </c>
      <c r="AU230" s="66">
        <v>147</v>
      </c>
      <c r="AV230" s="66">
        <v>1</v>
      </c>
      <c r="AW230" s="66">
        <v>0</v>
      </c>
      <c r="AX230" s="66">
        <v>0</v>
      </c>
      <c r="AY230" s="66">
        <v>0</v>
      </c>
      <c r="AZ230" s="66">
        <v>148</v>
      </c>
      <c r="BB230" s="69" t="s">
        <v>1300</v>
      </c>
      <c r="BC230" s="69" t="s">
        <v>2032</v>
      </c>
      <c r="BD230" s="69">
        <v>934</v>
      </c>
      <c r="BE230" s="69">
        <v>671</v>
      </c>
      <c r="BF230" s="69">
        <v>954</v>
      </c>
      <c r="BG230" s="69">
        <v>859</v>
      </c>
      <c r="BH230" s="69">
        <v>739</v>
      </c>
      <c r="BI230" s="69">
        <v>4157</v>
      </c>
      <c r="BJ230" s="69"/>
      <c r="BK230" s="69" t="s">
        <v>2032</v>
      </c>
      <c r="BL230" s="69">
        <v>208</v>
      </c>
      <c r="BM230" s="69">
        <v>0</v>
      </c>
      <c r="BN230" s="69">
        <v>0</v>
      </c>
      <c r="BO230" s="69">
        <v>0</v>
      </c>
      <c r="BP230" s="69">
        <v>0</v>
      </c>
      <c r="BQ230" s="69">
        <v>208</v>
      </c>
      <c r="BS230" s="21"/>
      <c r="CL230" s="57" t="s">
        <v>529</v>
      </c>
      <c r="CM230" s="57" t="s">
        <v>25</v>
      </c>
      <c r="CN230" s="57">
        <v>996</v>
      </c>
      <c r="CO230" s="57">
        <v>577</v>
      </c>
      <c r="CP230" s="57">
        <v>596</v>
      </c>
      <c r="CQ230" s="57">
        <v>630</v>
      </c>
      <c r="CR230" s="57">
        <v>483</v>
      </c>
      <c r="CS230" s="57">
        <v>3282</v>
      </c>
      <c r="CT230" s="57"/>
      <c r="CU230" s="57" t="s">
        <v>25</v>
      </c>
      <c r="CV230" s="57">
        <v>290</v>
      </c>
      <c r="CW230" s="57">
        <v>3</v>
      </c>
      <c r="CX230" s="57">
        <v>0</v>
      </c>
      <c r="CY230" s="57">
        <v>0</v>
      </c>
      <c r="CZ230" s="57">
        <v>0</v>
      </c>
      <c r="DA230" s="57">
        <v>293</v>
      </c>
      <c r="DD230" s="21"/>
      <c r="FF230" s="70" t="s">
        <v>1797</v>
      </c>
      <c r="FG230" s="70" t="s">
        <v>2098</v>
      </c>
      <c r="FH230" s="70">
        <v>197</v>
      </c>
      <c r="FI230" s="70">
        <v>297</v>
      </c>
      <c r="FJ230" s="70">
        <v>314</v>
      </c>
      <c r="FK230" s="70">
        <v>417</v>
      </c>
      <c r="FL230" s="70">
        <v>600</v>
      </c>
      <c r="FM230" s="70">
        <v>1825</v>
      </c>
      <c r="FN230" s="70"/>
      <c r="FO230" s="70" t="s">
        <v>2098</v>
      </c>
      <c r="FP230" s="70">
        <v>12</v>
      </c>
      <c r="FQ230" s="70">
        <v>4</v>
      </c>
      <c r="FR230" s="70">
        <v>1</v>
      </c>
      <c r="FS230" s="70">
        <v>0</v>
      </c>
      <c r="FT230" s="70">
        <v>4</v>
      </c>
      <c r="FU230" s="70">
        <v>21</v>
      </c>
    </row>
    <row r="231" spans="2:177">
      <c r="B231" s="64" t="s">
        <v>815</v>
      </c>
      <c r="C231" s="64" t="s">
        <v>25</v>
      </c>
      <c r="D231" s="64">
        <v>191</v>
      </c>
      <c r="E231" s="64">
        <v>249</v>
      </c>
      <c r="F231" s="64">
        <v>389</v>
      </c>
      <c r="G231" s="64">
        <v>506</v>
      </c>
      <c r="H231" s="64">
        <v>363</v>
      </c>
      <c r="I231" s="64">
        <v>1698</v>
      </c>
      <c r="K231" s="64" t="s">
        <v>25</v>
      </c>
      <c r="L231" s="64">
        <v>14</v>
      </c>
      <c r="M231" s="64">
        <v>3</v>
      </c>
      <c r="N231" s="64">
        <v>0</v>
      </c>
      <c r="O231" s="64">
        <v>0</v>
      </c>
      <c r="P231" s="64">
        <v>0</v>
      </c>
      <c r="Q231" s="64">
        <v>17</v>
      </c>
      <c r="AK231" s="66" t="s">
        <v>1143</v>
      </c>
      <c r="AL231" s="66" t="s">
        <v>25</v>
      </c>
      <c r="AM231" s="66">
        <v>823</v>
      </c>
      <c r="AN231" s="66">
        <v>869</v>
      </c>
      <c r="AO231" s="66">
        <v>910</v>
      </c>
      <c r="AP231" s="66">
        <v>1020</v>
      </c>
      <c r="AQ231" s="66">
        <v>737</v>
      </c>
      <c r="AR231" s="66">
        <v>4359</v>
      </c>
      <c r="AS231" s="66"/>
      <c r="AT231" s="66" t="s">
        <v>25</v>
      </c>
      <c r="AU231" s="66">
        <v>177</v>
      </c>
      <c r="AV231" s="66">
        <v>4</v>
      </c>
      <c r="AW231" s="66">
        <v>0</v>
      </c>
      <c r="AX231" s="66">
        <v>0</v>
      </c>
      <c r="AY231" s="66">
        <v>1</v>
      </c>
      <c r="AZ231" s="66">
        <v>182</v>
      </c>
      <c r="BB231" s="69" t="s">
        <v>1303</v>
      </c>
      <c r="BC231" s="69" t="s">
        <v>2032</v>
      </c>
      <c r="BD231" s="69">
        <v>205</v>
      </c>
      <c r="BE231" s="69">
        <v>142</v>
      </c>
      <c r="BF231" s="69">
        <v>338</v>
      </c>
      <c r="BG231" s="69">
        <v>431</v>
      </c>
      <c r="BH231" s="69">
        <v>395</v>
      </c>
      <c r="BI231" s="69">
        <v>1511</v>
      </c>
      <c r="BJ231" s="69"/>
      <c r="BK231" s="69" t="s">
        <v>2032</v>
      </c>
      <c r="BL231" s="69">
        <v>52</v>
      </c>
      <c r="BM231" s="69">
        <v>0</v>
      </c>
      <c r="BN231" s="69">
        <v>0</v>
      </c>
      <c r="BO231" s="69">
        <v>0</v>
      </c>
      <c r="BP231" s="69">
        <v>0</v>
      </c>
      <c r="BQ231" s="69">
        <v>52</v>
      </c>
      <c r="BS231" s="21"/>
      <c r="FF231" s="70" t="s">
        <v>1799</v>
      </c>
      <c r="FG231" s="70" t="s">
        <v>2098</v>
      </c>
      <c r="FH231" s="70">
        <v>38</v>
      </c>
      <c r="FI231" s="70">
        <v>81</v>
      </c>
      <c r="FJ231" s="70">
        <v>109</v>
      </c>
      <c r="FK231" s="70">
        <v>165</v>
      </c>
      <c r="FL231" s="70">
        <v>266</v>
      </c>
      <c r="FM231" s="70">
        <v>659</v>
      </c>
      <c r="FN231" s="70"/>
      <c r="FO231" s="70" t="s">
        <v>2098</v>
      </c>
      <c r="FP231" s="70">
        <v>7</v>
      </c>
      <c r="FQ231" s="70">
        <v>2</v>
      </c>
      <c r="FR231" s="70">
        <v>2</v>
      </c>
      <c r="FS231" s="70">
        <v>2</v>
      </c>
      <c r="FT231" s="70">
        <v>5</v>
      </c>
      <c r="FU231" s="70">
        <v>18</v>
      </c>
    </row>
    <row r="232" spans="2:177">
      <c r="B232" s="64" t="s">
        <v>818</v>
      </c>
      <c r="C232" s="64" t="s">
        <v>25</v>
      </c>
      <c r="D232" s="64">
        <v>502</v>
      </c>
      <c r="E232" s="64">
        <v>530</v>
      </c>
      <c r="F232" s="64">
        <v>636</v>
      </c>
      <c r="G232" s="64">
        <v>694</v>
      </c>
      <c r="H232" s="64">
        <v>518</v>
      </c>
      <c r="I232" s="64">
        <v>2880</v>
      </c>
      <c r="K232" s="64" t="s">
        <v>25</v>
      </c>
      <c r="L232" s="64">
        <v>18</v>
      </c>
      <c r="M232" s="64">
        <v>2</v>
      </c>
      <c r="N232" s="64">
        <v>0</v>
      </c>
      <c r="O232" s="64">
        <v>0</v>
      </c>
      <c r="P232" s="64">
        <v>0</v>
      </c>
      <c r="Q232" s="64">
        <v>20</v>
      </c>
      <c r="AK232" s="66" t="s">
        <v>1146</v>
      </c>
      <c r="AL232" s="66" t="s">
        <v>25</v>
      </c>
      <c r="AM232" s="66">
        <v>541</v>
      </c>
      <c r="AN232" s="66">
        <v>735</v>
      </c>
      <c r="AO232" s="66">
        <v>920</v>
      </c>
      <c r="AP232" s="66">
        <v>1008</v>
      </c>
      <c r="AQ232" s="66">
        <v>691</v>
      </c>
      <c r="AR232" s="66">
        <v>3895</v>
      </c>
      <c r="AS232" s="66"/>
      <c r="AT232" s="66" t="s">
        <v>25</v>
      </c>
      <c r="AU232" s="66">
        <v>38</v>
      </c>
      <c r="AV232" s="66">
        <v>6</v>
      </c>
      <c r="AW232" s="66">
        <v>1</v>
      </c>
      <c r="AX232" s="66">
        <v>2</v>
      </c>
      <c r="AY232" s="66">
        <v>0</v>
      </c>
      <c r="AZ232" s="66">
        <v>47</v>
      </c>
      <c r="BB232" s="69" t="s">
        <v>1306</v>
      </c>
      <c r="BC232" s="69" t="s">
        <v>2032</v>
      </c>
      <c r="BD232" s="69">
        <v>238</v>
      </c>
      <c r="BE232" s="69">
        <v>394</v>
      </c>
      <c r="BF232" s="69">
        <v>675</v>
      </c>
      <c r="BG232" s="69">
        <v>895</v>
      </c>
      <c r="BH232" s="69">
        <v>800</v>
      </c>
      <c r="BI232" s="69">
        <v>3002</v>
      </c>
      <c r="BJ232" s="69"/>
      <c r="BK232" s="69" t="s">
        <v>2032</v>
      </c>
      <c r="BL232" s="69">
        <v>19</v>
      </c>
      <c r="BM232" s="69">
        <v>0</v>
      </c>
      <c r="BN232" s="69">
        <v>0</v>
      </c>
      <c r="BO232" s="69">
        <v>0</v>
      </c>
      <c r="BP232" s="69">
        <v>0</v>
      </c>
      <c r="BQ232" s="69">
        <v>19</v>
      </c>
      <c r="BS232" s="21"/>
      <c r="CL232" s="57" t="s">
        <v>474</v>
      </c>
      <c r="CM232" s="57" t="s">
        <v>2098</v>
      </c>
      <c r="CN232" s="57">
        <v>122</v>
      </c>
      <c r="CO232" s="57">
        <v>63</v>
      </c>
      <c r="CP232" s="57">
        <v>132</v>
      </c>
      <c r="CQ232" s="57">
        <v>188</v>
      </c>
      <c r="CR232" s="57">
        <v>212</v>
      </c>
      <c r="CS232" s="57">
        <v>717</v>
      </c>
      <c r="CT232" s="57"/>
      <c r="CU232" s="57" t="s">
        <v>2098</v>
      </c>
      <c r="CV232" s="57">
        <v>38</v>
      </c>
      <c r="CW232" s="57">
        <v>0</v>
      </c>
      <c r="CX232" s="57">
        <v>0</v>
      </c>
      <c r="CY232" s="57">
        <v>0</v>
      </c>
      <c r="CZ232" s="57">
        <v>0</v>
      </c>
      <c r="DA232" s="57">
        <v>38</v>
      </c>
      <c r="FF232" s="70" t="s">
        <v>1800</v>
      </c>
      <c r="FG232" s="70" t="s">
        <v>2098</v>
      </c>
      <c r="FH232" s="70">
        <v>78</v>
      </c>
      <c r="FI232" s="70">
        <v>116</v>
      </c>
      <c r="FJ232" s="70">
        <v>160</v>
      </c>
      <c r="FK232" s="70">
        <v>261</v>
      </c>
      <c r="FL232" s="70">
        <v>328</v>
      </c>
      <c r="FM232" s="70">
        <v>943</v>
      </c>
      <c r="FN232" s="70"/>
      <c r="FO232" s="70" t="s">
        <v>2098</v>
      </c>
      <c r="FP232" s="70">
        <v>9</v>
      </c>
      <c r="FQ232" s="70">
        <v>3</v>
      </c>
      <c r="FR232" s="70">
        <v>1</v>
      </c>
      <c r="FS232" s="70">
        <v>2</v>
      </c>
      <c r="FT232" s="70">
        <v>0</v>
      </c>
      <c r="FU232" s="70">
        <v>15</v>
      </c>
    </row>
    <row r="233" spans="2:177">
      <c r="B233" s="64" t="s">
        <v>822</v>
      </c>
      <c r="C233" s="64" t="s">
        <v>25</v>
      </c>
      <c r="D233" s="64">
        <v>437</v>
      </c>
      <c r="E233" s="64">
        <v>553</v>
      </c>
      <c r="F233" s="64">
        <v>551</v>
      </c>
      <c r="G233" s="64">
        <v>544</v>
      </c>
      <c r="H233" s="64">
        <v>379</v>
      </c>
      <c r="I233" s="64">
        <v>2464</v>
      </c>
      <c r="K233" s="64" t="s">
        <v>25</v>
      </c>
      <c r="L233" s="64">
        <v>39</v>
      </c>
      <c r="M233" s="64">
        <v>6</v>
      </c>
      <c r="N233" s="64">
        <v>1</v>
      </c>
      <c r="O233" s="64">
        <v>2</v>
      </c>
      <c r="P233" s="64">
        <v>0</v>
      </c>
      <c r="Q233" s="64">
        <v>48</v>
      </c>
      <c r="AK233" s="66" t="s">
        <v>1149</v>
      </c>
      <c r="AL233" s="66" t="s">
        <v>25</v>
      </c>
      <c r="AM233" s="66">
        <v>1083</v>
      </c>
      <c r="AN233" s="66">
        <v>961</v>
      </c>
      <c r="AO233" s="66">
        <v>977</v>
      </c>
      <c r="AP233" s="66">
        <v>962</v>
      </c>
      <c r="AQ233" s="66">
        <v>604</v>
      </c>
      <c r="AR233" s="66">
        <v>4587</v>
      </c>
      <c r="AS233" s="66"/>
      <c r="AT233" s="66" t="s">
        <v>25</v>
      </c>
      <c r="AU233" s="66">
        <v>77</v>
      </c>
      <c r="AV233" s="66">
        <v>7</v>
      </c>
      <c r="AW233" s="66">
        <v>1</v>
      </c>
      <c r="AX233" s="66">
        <v>0</v>
      </c>
      <c r="AY233" s="66">
        <v>0</v>
      </c>
      <c r="AZ233" s="66">
        <v>85</v>
      </c>
      <c r="BB233" s="69" t="s">
        <v>1309</v>
      </c>
      <c r="BC233" s="69" t="s">
        <v>2032</v>
      </c>
      <c r="BD233" s="69">
        <v>154</v>
      </c>
      <c r="BE233" s="69">
        <v>124</v>
      </c>
      <c r="BF233" s="69">
        <v>259</v>
      </c>
      <c r="BG233" s="69">
        <v>304</v>
      </c>
      <c r="BH233" s="69">
        <v>296</v>
      </c>
      <c r="BI233" s="69">
        <v>1137</v>
      </c>
      <c r="BJ233" s="69"/>
      <c r="BK233" s="69" t="s">
        <v>2032</v>
      </c>
      <c r="BL233" s="69">
        <v>23</v>
      </c>
      <c r="BM233" s="69">
        <v>0</v>
      </c>
      <c r="BN233" s="69">
        <v>0</v>
      </c>
      <c r="BO233" s="69">
        <v>0</v>
      </c>
      <c r="BP233" s="69">
        <v>0</v>
      </c>
      <c r="BQ233" s="69">
        <v>23</v>
      </c>
      <c r="BS233" s="21"/>
      <c r="CL233" s="57" t="s">
        <v>476</v>
      </c>
      <c r="CM233" s="57" t="s">
        <v>2098</v>
      </c>
      <c r="CN233" s="57">
        <v>180</v>
      </c>
      <c r="CO233" s="57">
        <v>115</v>
      </c>
      <c r="CP233" s="57">
        <v>188</v>
      </c>
      <c r="CQ233" s="57">
        <v>230</v>
      </c>
      <c r="CR233" s="57">
        <v>268</v>
      </c>
      <c r="CS233" s="57">
        <v>981</v>
      </c>
      <c r="CT233" s="57"/>
      <c r="CU233" s="57" t="s">
        <v>2098</v>
      </c>
      <c r="CV233" s="57">
        <v>61</v>
      </c>
      <c r="CW233" s="57">
        <v>0</v>
      </c>
      <c r="CX233" s="57">
        <v>0</v>
      </c>
      <c r="CY233" s="57">
        <v>0</v>
      </c>
      <c r="CZ233" s="57">
        <v>0</v>
      </c>
      <c r="DA233" s="57">
        <v>61</v>
      </c>
      <c r="FF233" s="70" t="s">
        <v>1803</v>
      </c>
      <c r="FG233" s="70" t="s">
        <v>2098</v>
      </c>
      <c r="FH233" s="70">
        <v>540</v>
      </c>
      <c r="FI233" s="70">
        <v>486</v>
      </c>
      <c r="FJ233" s="70">
        <v>433</v>
      </c>
      <c r="FK233" s="70">
        <v>495</v>
      </c>
      <c r="FL233" s="70">
        <v>680</v>
      </c>
      <c r="FM233" s="70">
        <v>2634</v>
      </c>
      <c r="FN233" s="70"/>
      <c r="FO233" s="70" t="s">
        <v>2098</v>
      </c>
      <c r="FP233" s="70">
        <v>145</v>
      </c>
      <c r="FQ233" s="70">
        <v>35</v>
      </c>
      <c r="FR233" s="70">
        <v>8</v>
      </c>
      <c r="FS233" s="70">
        <v>3</v>
      </c>
      <c r="FT233" s="70">
        <v>7</v>
      </c>
      <c r="FU233" s="70">
        <v>198</v>
      </c>
    </row>
    <row r="234" spans="2:177">
      <c r="B234" s="64" t="s">
        <v>826</v>
      </c>
      <c r="C234" s="64" t="s">
        <v>25</v>
      </c>
      <c r="D234" s="64">
        <v>207</v>
      </c>
      <c r="E234" s="64">
        <v>226</v>
      </c>
      <c r="F234" s="64">
        <v>330</v>
      </c>
      <c r="G234" s="64">
        <v>321</v>
      </c>
      <c r="H234" s="64">
        <v>230</v>
      </c>
      <c r="I234" s="64">
        <v>1314</v>
      </c>
      <c r="K234" s="64" t="s">
        <v>25</v>
      </c>
      <c r="L234" s="64">
        <v>19</v>
      </c>
      <c r="M234" s="64">
        <v>2</v>
      </c>
      <c r="N234" s="64">
        <v>2</v>
      </c>
      <c r="O234" s="64">
        <v>2</v>
      </c>
      <c r="P234" s="64">
        <v>0</v>
      </c>
      <c r="Q234" s="64">
        <v>25</v>
      </c>
      <c r="AJ234" s="16" t="s">
        <v>2370</v>
      </c>
      <c r="AK234" s="66" t="s">
        <v>2113</v>
      </c>
      <c r="AL234" s="66" t="s">
        <v>25</v>
      </c>
      <c r="AM234" s="66">
        <v>569</v>
      </c>
      <c r="AN234" s="66">
        <v>789</v>
      </c>
      <c r="AO234" s="66">
        <v>1068</v>
      </c>
      <c r="AP234" s="66">
        <v>1097</v>
      </c>
      <c r="AQ234" s="66">
        <v>793</v>
      </c>
      <c r="AR234" s="66">
        <v>4316</v>
      </c>
      <c r="AS234" s="66"/>
      <c r="AT234" s="66" t="s">
        <v>25</v>
      </c>
      <c r="AU234" s="66">
        <v>60</v>
      </c>
      <c r="AV234" s="66">
        <v>6</v>
      </c>
      <c r="AW234" s="66">
        <v>0</v>
      </c>
      <c r="AX234" s="66">
        <v>3</v>
      </c>
      <c r="AY234" s="66">
        <v>1</v>
      </c>
      <c r="AZ234" s="66">
        <v>70</v>
      </c>
      <c r="BB234" s="69" t="s">
        <v>1312</v>
      </c>
      <c r="BC234" s="69" t="s">
        <v>2032</v>
      </c>
      <c r="BD234" s="69">
        <v>178</v>
      </c>
      <c r="BE234" s="69">
        <v>212</v>
      </c>
      <c r="BF234" s="69">
        <v>374</v>
      </c>
      <c r="BG234" s="69">
        <v>523</v>
      </c>
      <c r="BH234" s="69">
        <v>393</v>
      </c>
      <c r="BI234" s="69">
        <v>1680</v>
      </c>
      <c r="BJ234" s="69"/>
      <c r="BK234" s="69" t="s">
        <v>2032</v>
      </c>
      <c r="BL234" s="69">
        <v>22</v>
      </c>
      <c r="BM234" s="69">
        <v>0</v>
      </c>
      <c r="BN234" s="69">
        <v>0</v>
      </c>
      <c r="BO234" s="69">
        <v>0</v>
      </c>
      <c r="BP234" s="69">
        <v>0</v>
      </c>
      <c r="BQ234" s="69">
        <v>22</v>
      </c>
      <c r="BS234" s="21"/>
      <c r="CL234" s="57" t="s">
        <v>479</v>
      </c>
      <c r="CM234" s="57" t="s">
        <v>2098</v>
      </c>
      <c r="CN234" s="57">
        <v>38</v>
      </c>
      <c r="CO234" s="57">
        <v>61</v>
      </c>
      <c r="CP234" s="57">
        <v>116</v>
      </c>
      <c r="CQ234" s="57">
        <v>151</v>
      </c>
      <c r="CR234" s="57">
        <v>194</v>
      </c>
      <c r="CS234" s="57">
        <v>560</v>
      </c>
      <c r="CT234" s="57"/>
      <c r="CU234" s="57" t="s">
        <v>2098</v>
      </c>
      <c r="CV234" s="57">
        <v>7</v>
      </c>
      <c r="CW234" s="57">
        <v>0</v>
      </c>
      <c r="CX234" s="57">
        <v>0</v>
      </c>
      <c r="CY234" s="57">
        <v>0</v>
      </c>
      <c r="CZ234" s="57">
        <v>0</v>
      </c>
      <c r="DA234" s="57">
        <v>7</v>
      </c>
      <c r="FF234" s="70" t="s">
        <v>1806</v>
      </c>
      <c r="FG234" s="70" t="s">
        <v>2098</v>
      </c>
      <c r="FH234" s="70">
        <v>134</v>
      </c>
      <c r="FI234" s="70">
        <v>184</v>
      </c>
      <c r="FJ234" s="70">
        <v>207</v>
      </c>
      <c r="FK234" s="70">
        <v>273</v>
      </c>
      <c r="FL234" s="70">
        <v>389</v>
      </c>
      <c r="FM234" s="70">
        <v>1187</v>
      </c>
      <c r="FN234" s="70"/>
      <c r="FO234" s="70" t="s">
        <v>2098</v>
      </c>
      <c r="FP234" s="70">
        <v>26</v>
      </c>
      <c r="FQ234" s="70">
        <v>2</v>
      </c>
      <c r="FR234" s="70">
        <v>2</v>
      </c>
      <c r="FS234" s="70">
        <v>3</v>
      </c>
      <c r="FT234" s="70">
        <v>3</v>
      </c>
      <c r="FU234" s="70">
        <v>36</v>
      </c>
    </row>
    <row r="235" spans="2:177">
      <c r="B235" s="64" t="s">
        <v>830</v>
      </c>
      <c r="C235" s="64" t="s">
        <v>25</v>
      </c>
      <c r="D235" s="64">
        <v>626</v>
      </c>
      <c r="E235" s="64">
        <v>665</v>
      </c>
      <c r="F235" s="64">
        <v>933</v>
      </c>
      <c r="G235" s="64">
        <v>1074</v>
      </c>
      <c r="H235" s="64">
        <v>836</v>
      </c>
      <c r="I235" s="64">
        <v>4134</v>
      </c>
      <c r="K235" s="64" t="s">
        <v>25</v>
      </c>
      <c r="L235" s="64">
        <v>35</v>
      </c>
      <c r="M235" s="64">
        <v>6</v>
      </c>
      <c r="N235" s="64">
        <v>1</v>
      </c>
      <c r="O235" s="64">
        <v>1</v>
      </c>
      <c r="P235" s="64">
        <v>0</v>
      </c>
      <c r="Q235" s="64">
        <v>43</v>
      </c>
      <c r="BB235" s="69" t="s">
        <v>1315</v>
      </c>
      <c r="BC235" s="69" t="s">
        <v>2032</v>
      </c>
      <c r="BD235" s="69">
        <v>1527</v>
      </c>
      <c r="BE235" s="69">
        <v>972</v>
      </c>
      <c r="BF235" s="69">
        <v>1014</v>
      </c>
      <c r="BG235" s="69">
        <v>1098</v>
      </c>
      <c r="BH235" s="69">
        <v>768</v>
      </c>
      <c r="BI235" s="69">
        <v>5379</v>
      </c>
      <c r="BJ235" s="69"/>
      <c r="BK235" s="69" t="s">
        <v>2032</v>
      </c>
      <c r="BL235" s="69">
        <v>400</v>
      </c>
      <c r="BM235" s="69">
        <v>0</v>
      </c>
      <c r="BN235" s="69">
        <v>0</v>
      </c>
      <c r="BO235" s="69">
        <v>0</v>
      </c>
      <c r="BP235" s="69">
        <v>0</v>
      </c>
      <c r="BQ235" s="69">
        <v>400</v>
      </c>
      <c r="BS235" s="21"/>
      <c r="CL235" s="57" t="s">
        <v>482</v>
      </c>
      <c r="CM235" s="57" t="s">
        <v>2098</v>
      </c>
      <c r="CN235" s="57">
        <v>101</v>
      </c>
      <c r="CO235" s="57">
        <v>76</v>
      </c>
      <c r="CP235" s="57">
        <v>184</v>
      </c>
      <c r="CQ235" s="57">
        <v>225</v>
      </c>
      <c r="CR235" s="57">
        <v>265</v>
      </c>
      <c r="CS235" s="57">
        <v>851</v>
      </c>
      <c r="CT235" s="57"/>
      <c r="CU235" s="57" t="s">
        <v>2098</v>
      </c>
      <c r="CV235" s="57">
        <v>26</v>
      </c>
      <c r="CW235" s="57">
        <v>0</v>
      </c>
      <c r="CX235" s="57">
        <v>0</v>
      </c>
      <c r="CY235" s="57">
        <v>0</v>
      </c>
      <c r="CZ235" s="57">
        <v>0</v>
      </c>
      <c r="DA235" s="57">
        <v>26</v>
      </c>
      <c r="FF235" s="70" t="s">
        <v>1807</v>
      </c>
      <c r="FG235" s="70" t="s">
        <v>2098</v>
      </c>
      <c r="FH235" s="70">
        <v>254</v>
      </c>
      <c r="FI235" s="70">
        <v>235</v>
      </c>
      <c r="FJ235" s="70">
        <v>240</v>
      </c>
      <c r="FK235" s="70">
        <v>300</v>
      </c>
      <c r="FL235" s="70">
        <v>420</v>
      </c>
      <c r="FM235" s="70">
        <v>1449</v>
      </c>
      <c r="FN235" s="70"/>
      <c r="FO235" s="70" t="s">
        <v>2098</v>
      </c>
      <c r="FP235" s="70">
        <v>41</v>
      </c>
      <c r="FQ235" s="70">
        <v>2</v>
      </c>
      <c r="FR235" s="70">
        <v>1</v>
      </c>
      <c r="FS235" s="70">
        <v>0</v>
      </c>
      <c r="FT235" s="70">
        <v>0</v>
      </c>
      <c r="FU235" s="70">
        <v>44</v>
      </c>
    </row>
    <row r="236" spans="2:177">
      <c r="B236" s="64" t="s">
        <v>836</v>
      </c>
      <c r="C236" s="64" t="s">
        <v>25</v>
      </c>
      <c r="D236" s="64">
        <v>324</v>
      </c>
      <c r="E236" s="64">
        <v>285</v>
      </c>
      <c r="F236" s="64">
        <v>345</v>
      </c>
      <c r="G236" s="64">
        <v>424</v>
      </c>
      <c r="H236" s="64">
        <v>348</v>
      </c>
      <c r="I236" s="64">
        <v>1726</v>
      </c>
      <c r="K236" s="64" t="s">
        <v>25</v>
      </c>
      <c r="L236" s="64">
        <v>48</v>
      </c>
      <c r="M236" s="64">
        <v>9</v>
      </c>
      <c r="N236" s="64">
        <v>0</v>
      </c>
      <c r="O236" s="64">
        <v>2</v>
      </c>
      <c r="P236" s="64">
        <v>0</v>
      </c>
      <c r="Q236" s="64">
        <v>59</v>
      </c>
      <c r="AK236" s="66" t="s">
        <v>2112</v>
      </c>
      <c r="AL236" s="66" t="s">
        <v>2098</v>
      </c>
      <c r="AM236" s="66" t="s">
        <v>324</v>
      </c>
      <c r="AN236" s="66" t="s">
        <v>324</v>
      </c>
      <c r="AO236" s="66" t="s">
        <v>324</v>
      </c>
      <c r="AP236" s="66" t="s">
        <v>324</v>
      </c>
      <c r="AQ236" s="66" t="s">
        <v>324</v>
      </c>
      <c r="AR236" s="66" t="s">
        <v>324</v>
      </c>
      <c r="AS236" s="66"/>
      <c r="AT236" s="66" t="s">
        <v>2098</v>
      </c>
      <c r="AU236" s="66" t="s">
        <v>324</v>
      </c>
      <c r="AV236" s="66" t="s">
        <v>324</v>
      </c>
      <c r="AW236" s="66" t="s">
        <v>324</v>
      </c>
      <c r="AX236" s="66" t="s">
        <v>324</v>
      </c>
      <c r="AY236" s="66" t="s">
        <v>324</v>
      </c>
      <c r="AZ236" s="66" t="s">
        <v>324</v>
      </c>
      <c r="BB236" s="69" t="s">
        <v>1956</v>
      </c>
      <c r="BC236" s="69" t="s">
        <v>2032</v>
      </c>
      <c r="BD236" s="69" t="s">
        <v>324</v>
      </c>
      <c r="BE236" s="69" t="s">
        <v>324</v>
      </c>
      <c r="BF236" s="69" t="s">
        <v>324</v>
      </c>
      <c r="BG236" s="69" t="s">
        <v>324</v>
      </c>
      <c r="BH236" s="69" t="s">
        <v>324</v>
      </c>
      <c r="BI236" s="69" t="s">
        <v>324</v>
      </c>
      <c r="BJ236" s="69"/>
      <c r="BK236" s="69" t="s">
        <v>2032</v>
      </c>
      <c r="BL236" s="69" t="s">
        <v>324</v>
      </c>
      <c r="BM236" s="69" t="s">
        <v>324</v>
      </c>
      <c r="BN236" s="69" t="s">
        <v>324</v>
      </c>
      <c r="BO236" s="69" t="s">
        <v>324</v>
      </c>
      <c r="BP236" s="69" t="s">
        <v>324</v>
      </c>
      <c r="BQ236" s="69" t="s">
        <v>324</v>
      </c>
      <c r="BS236" s="21"/>
      <c r="CL236" s="57" t="s">
        <v>484</v>
      </c>
      <c r="CM236" s="57" t="s">
        <v>2098</v>
      </c>
      <c r="CN236" s="57">
        <v>982</v>
      </c>
      <c r="CO236" s="57">
        <v>428</v>
      </c>
      <c r="CP236" s="57">
        <v>553</v>
      </c>
      <c r="CQ236" s="57">
        <v>603</v>
      </c>
      <c r="CR236" s="57">
        <v>585</v>
      </c>
      <c r="CS236" s="57">
        <v>3151</v>
      </c>
      <c r="CT236" s="57"/>
      <c r="CU236" s="57" t="s">
        <v>2098</v>
      </c>
      <c r="CV236" s="57">
        <v>221</v>
      </c>
      <c r="CW236" s="57">
        <v>0</v>
      </c>
      <c r="CX236" s="57">
        <v>0</v>
      </c>
      <c r="CY236" s="57">
        <v>0</v>
      </c>
      <c r="CZ236" s="57">
        <v>0</v>
      </c>
      <c r="DA236" s="57">
        <v>221</v>
      </c>
      <c r="FF236" s="70" t="s">
        <v>1808</v>
      </c>
      <c r="FG236" s="70" t="s">
        <v>2098</v>
      </c>
      <c r="FH236" s="70">
        <v>217</v>
      </c>
      <c r="FI236" s="70">
        <v>285</v>
      </c>
      <c r="FJ236" s="70">
        <v>330</v>
      </c>
      <c r="FK236" s="70">
        <v>389</v>
      </c>
      <c r="FL236" s="70">
        <v>526</v>
      </c>
      <c r="FM236" s="70">
        <v>1747</v>
      </c>
      <c r="FN236" s="70"/>
      <c r="FO236" s="70" t="s">
        <v>2098</v>
      </c>
      <c r="FP236" s="70">
        <v>50</v>
      </c>
      <c r="FQ236" s="70">
        <v>10</v>
      </c>
      <c r="FR236" s="70">
        <v>2</v>
      </c>
      <c r="FS236" s="70">
        <v>0</v>
      </c>
      <c r="FT236" s="70">
        <v>1</v>
      </c>
      <c r="FU236" s="70">
        <v>63</v>
      </c>
    </row>
    <row r="237" spans="2:177">
      <c r="B237" s="64" t="s">
        <v>839</v>
      </c>
      <c r="C237" s="64" t="s">
        <v>25</v>
      </c>
      <c r="D237" s="64">
        <v>165</v>
      </c>
      <c r="E237" s="64">
        <v>239</v>
      </c>
      <c r="F237" s="64">
        <v>361</v>
      </c>
      <c r="G237" s="64">
        <v>382</v>
      </c>
      <c r="H237" s="64">
        <v>301</v>
      </c>
      <c r="I237" s="64">
        <v>1448</v>
      </c>
      <c r="K237" s="64" t="s">
        <v>25</v>
      </c>
      <c r="L237" s="64">
        <v>22</v>
      </c>
      <c r="M237" s="64">
        <v>3</v>
      </c>
      <c r="N237" s="64">
        <v>0</v>
      </c>
      <c r="O237" s="64">
        <v>0</v>
      </c>
      <c r="P237" s="64">
        <v>0</v>
      </c>
      <c r="Q237" s="64">
        <v>25</v>
      </c>
      <c r="AJ237" s="461" t="s">
        <v>3032</v>
      </c>
      <c r="AK237" s="462" t="s">
        <v>2743</v>
      </c>
      <c r="AL237" s="66" t="s">
        <v>2098</v>
      </c>
      <c r="AM237" s="66">
        <v>231</v>
      </c>
      <c r="AN237" s="66">
        <v>378</v>
      </c>
      <c r="AO237" s="66">
        <v>585</v>
      </c>
      <c r="AP237" s="66">
        <v>672</v>
      </c>
      <c r="AQ237" s="66">
        <v>517</v>
      </c>
      <c r="AR237" s="66">
        <v>2383</v>
      </c>
      <c r="AS237" s="66"/>
      <c r="AT237" s="66" t="s">
        <v>2098</v>
      </c>
      <c r="AU237" s="66">
        <v>33</v>
      </c>
      <c r="AV237" s="66">
        <v>1</v>
      </c>
      <c r="AW237" s="66">
        <v>0</v>
      </c>
      <c r="AX237" s="66">
        <v>0</v>
      </c>
      <c r="AY237" s="66">
        <v>0</v>
      </c>
      <c r="AZ237" s="66">
        <v>34</v>
      </c>
      <c r="BB237" s="69" t="s">
        <v>1322</v>
      </c>
      <c r="BC237" s="69" t="s">
        <v>2032</v>
      </c>
      <c r="BD237" s="69">
        <v>101</v>
      </c>
      <c r="BE237" s="69">
        <v>72</v>
      </c>
      <c r="BF237" s="69">
        <v>111</v>
      </c>
      <c r="BG237" s="69">
        <v>149</v>
      </c>
      <c r="BH237" s="69">
        <v>130</v>
      </c>
      <c r="BI237" s="69">
        <v>563</v>
      </c>
      <c r="BJ237" s="69"/>
      <c r="BK237" s="69" t="s">
        <v>2032</v>
      </c>
      <c r="BL237" s="69">
        <v>32</v>
      </c>
      <c r="BM237" s="69">
        <v>0</v>
      </c>
      <c r="BN237" s="69">
        <v>0</v>
      </c>
      <c r="BO237" s="69">
        <v>0</v>
      </c>
      <c r="BP237" s="69">
        <v>0</v>
      </c>
      <c r="BQ237" s="69">
        <v>32</v>
      </c>
      <c r="BS237" s="21"/>
      <c r="CL237" s="57" t="s">
        <v>511</v>
      </c>
      <c r="CM237" s="57" t="s">
        <v>2098</v>
      </c>
      <c r="CN237" s="57">
        <v>148</v>
      </c>
      <c r="CO237" s="57">
        <v>139</v>
      </c>
      <c r="CP237" s="57">
        <v>164</v>
      </c>
      <c r="CQ237" s="57">
        <v>237</v>
      </c>
      <c r="CR237" s="57">
        <v>217</v>
      </c>
      <c r="CS237" s="57">
        <v>905</v>
      </c>
      <c r="CT237" s="57"/>
      <c r="CU237" s="57" t="s">
        <v>2098</v>
      </c>
      <c r="CV237" s="57">
        <v>15</v>
      </c>
      <c r="CW237" s="57">
        <v>0</v>
      </c>
      <c r="CX237" s="57">
        <v>0</v>
      </c>
      <c r="CY237" s="57">
        <v>0</v>
      </c>
      <c r="CZ237" s="57">
        <v>0</v>
      </c>
      <c r="DA237" s="57">
        <v>15</v>
      </c>
      <c r="FF237" s="70" t="s">
        <v>1809</v>
      </c>
      <c r="FG237" s="70" t="s">
        <v>2098</v>
      </c>
      <c r="FH237" s="70">
        <v>191</v>
      </c>
      <c r="FI237" s="70">
        <v>291</v>
      </c>
      <c r="FJ237" s="70">
        <v>328</v>
      </c>
      <c r="FK237" s="70">
        <v>358</v>
      </c>
      <c r="FL237" s="70">
        <v>463</v>
      </c>
      <c r="FM237" s="70">
        <v>1631</v>
      </c>
      <c r="FN237" s="70"/>
      <c r="FO237" s="70" t="s">
        <v>2098</v>
      </c>
      <c r="FP237" s="70">
        <v>31</v>
      </c>
      <c r="FQ237" s="70">
        <v>9</v>
      </c>
      <c r="FR237" s="70">
        <v>3</v>
      </c>
      <c r="FS237" s="70">
        <v>2</v>
      </c>
      <c r="FT237" s="70">
        <v>5</v>
      </c>
      <c r="FU237" s="70">
        <v>50</v>
      </c>
    </row>
    <row r="238" spans="2:177">
      <c r="B238" s="64" t="s">
        <v>845</v>
      </c>
      <c r="C238" s="64" t="s">
        <v>25</v>
      </c>
      <c r="D238" s="64">
        <v>273</v>
      </c>
      <c r="E238" s="64">
        <v>545</v>
      </c>
      <c r="F238" s="64">
        <v>848</v>
      </c>
      <c r="G238" s="64">
        <v>1073</v>
      </c>
      <c r="H238" s="64">
        <v>866</v>
      </c>
      <c r="I238" s="64">
        <v>3605</v>
      </c>
      <c r="K238" s="64" t="s">
        <v>25</v>
      </c>
      <c r="L238" s="64">
        <v>14</v>
      </c>
      <c r="M238" s="64">
        <v>4</v>
      </c>
      <c r="N238" s="64">
        <v>0</v>
      </c>
      <c r="O238" s="64">
        <v>0</v>
      </c>
      <c r="P238" s="64">
        <v>0</v>
      </c>
      <c r="Q238" s="64">
        <v>18</v>
      </c>
      <c r="AK238" s="66" t="s">
        <v>1050</v>
      </c>
      <c r="AL238" s="66" t="s">
        <v>2098</v>
      </c>
      <c r="AM238" s="66">
        <v>481</v>
      </c>
      <c r="AN238" s="66">
        <v>486</v>
      </c>
      <c r="AO238" s="66">
        <v>565</v>
      </c>
      <c r="AP238" s="66">
        <v>592</v>
      </c>
      <c r="AQ238" s="66">
        <v>453</v>
      </c>
      <c r="AR238" s="66">
        <v>2577</v>
      </c>
      <c r="AS238" s="66"/>
      <c r="AT238" s="66" t="s">
        <v>2098</v>
      </c>
      <c r="AU238" s="66">
        <v>24</v>
      </c>
      <c r="AV238" s="66">
        <v>3</v>
      </c>
      <c r="AW238" s="66">
        <v>0</v>
      </c>
      <c r="AX238" s="66">
        <v>2</v>
      </c>
      <c r="AY238" s="66">
        <v>0</v>
      </c>
      <c r="AZ238" s="66">
        <v>29</v>
      </c>
      <c r="BB238" s="69" t="s">
        <v>1327</v>
      </c>
      <c r="BC238" s="69" t="s">
        <v>2032</v>
      </c>
      <c r="BD238" s="69">
        <v>80</v>
      </c>
      <c r="BE238" s="69">
        <v>40</v>
      </c>
      <c r="BF238" s="69">
        <v>68</v>
      </c>
      <c r="BG238" s="69">
        <v>88</v>
      </c>
      <c r="BH238" s="69">
        <v>74</v>
      </c>
      <c r="BI238" s="69">
        <v>350</v>
      </c>
      <c r="BJ238" s="69"/>
      <c r="BK238" s="69" t="s">
        <v>2032</v>
      </c>
      <c r="BL238" s="69">
        <v>25</v>
      </c>
      <c r="BM238" s="69">
        <v>0</v>
      </c>
      <c r="BN238" s="69">
        <v>0</v>
      </c>
      <c r="BO238" s="69">
        <v>0</v>
      </c>
      <c r="BP238" s="69">
        <v>0</v>
      </c>
      <c r="BQ238" s="69">
        <v>25</v>
      </c>
      <c r="BS238" s="21"/>
      <c r="CL238" s="57" t="s">
        <v>531</v>
      </c>
      <c r="CM238" s="57" t="s">
        <v>2098</v>
      </c>
      <c r="CN238" s="57">
        <v>64</v>
      </c>
      <c r="CO238" s="57">
        <v>37</v>
      </c>
      <c r="CP238" s="57">
        <v>64</v>
      </c>
      <c r="CQ238" s="57">
        <v>95</v>
      </c>
      <c r="CR238" s="57">
        <v>95</v>
      </c>
      <c r="CS238" s="57">
        <v>355</v>
      </c>
      <c r="CT238" s="57"/>
      <c r="CU238" s="57" t="s">
        <v>2098</v>
      </c>
      <c r="CV238" s="57">
        <v>27</v>
      </c>
      <c r="CW238" s="57">
        <v>0</v>
      </c>
      <c r="CX238" s="57">
        <v>0</v>
      </c>
      <c r="CY238" s="57">
        <v>0</v>
      </c>
      <c r="CZ238" s="57">
        <v>0</v>
      </c>
      <c r="DA238" s="57">
        <v>27</v>
      </c>
      <c r="FF238" s="70" t="s">
        <v>1811</v>
      </c>
      <c r="FG238" s="70" t="s">
        <v>2098</v>
      </c>
      <c r="FH238" s="70">
        <v>342</v>
      </c>
      <c r="FI238" s="70">
        <v>457</v>
      </c>
      <c r="FJ238" s="70">
        <v>475</v>
      </c>
      <c r="FK238" s="70">
        <v>521</v>
      </c>
      <c r="FL238" s="70">
        <v>583</v>
      </c>
      <c r="FM238" s="70">
        <v>2378</v>
      </c>
      <c r="FN238" s="70"/>
      <c r="FO238" s="70" t="s">
        <v>2098</v>
      </c>
      <c r="FP238" s="70">
        <v>38</v>
      </c>
      <c r="FQ238" s="70">
        <v>7</v>
      </c>
      <c r="FR238" s="70">
        <v>4</v>
      </c>
      <c r="FS238" s="70">
        <v>3</v>
      </c>
      <c r="FT238" s="70">
        <v>6</v>
      </c>
      <c r="FU238" s="70">
        <v>58</v>
      </c>
    </row>
    <row r="239" spans="2:177">
      <c r="B239" s="64" t="s">
        <v>849</v>
      </c>
      <c r="C239" s="64" t="s">
        <v>25</v>
      </c>
      <c r="D239" s="64">
        <v>256</v>
      </c>
      <c r="E239" s="64">
        <v>471</v>
      </c>
      <c r="F239" s="64">
        <v>798</v>
      </c>
      <c r="G239" s="64">
        <v>1044</v>
      </c>
      <c r="H239" s="64">
        <v>851</v>
      </c>
      <c r="I239" s="64">
        <v>3420</v>
      </c>
      <c r="K239" s="64" t="s">
        <v>25</v>
      </c>
      <c r="L239" s="64">
        <v>18</v>
      </c>
      <c r="M239" s="64">
        <v>0</v>
      </c>
      <c r="N239" s="64">
        <v>0</v>
      </c>
      <c r="O239" s="64">
        <v>0</v>
      </c>
      <c r="P239" s="64">
        <v>1</v>
      </c>
      <c r="Q239" s="64">
        <v>19</v>
      </c>
      <c r="AK239" s="66" t="s">
        <v>1053</v>
      </c>
      <c r="AL239" s="66" t="s">
        <v>2098</v>
      </c>
      <c r="AM239" s="66">
        <v>757</v>
      </c>
      <c r="AN239" s="66">
        <v>364</v>
      </c>
      <c r="AO239" s="66">
        <v>449</v>
      </c>
      <c r="AP239" s="66">
        <v>478</v>
      </c>
      <c r="AQ239" s="66">
        <v>430</v>
      </c>
      <c r="AR239" s="66">
        <v>2478</v>
      </c>
      <c r="AS239" s="66"/>
      <c r="AT239" s="66" t="s">
        <v>2098</v>
      </c>
      <c r="AU239" s="66">
        <v>76</v>
      </c>
      <c r="AV239" s="66">
        <v>3</v>
      </c>
      <c r="AW239" s="66">
        <v>1</v>
      </c>
      <c r="AX239" s="66">
        <v>0</v>
      </c>
      <c r="AY239" s="66">
        <v>0</v>
      </c>
      <c r="AZ239" s="66">
        <v>80</v>
      </c>
      <c r="BB239" s="69" t="s">
        <v>1333</v>
      </c>
      <c r="BC239" s="69" t="s">
        <v>2032</v>
      </c>
      <c r="BD239" s="69">
        <v>97</v>
      </c>
      <c r="BE239" s="69">
        <v>67</v>
      </c>
      <c r="BF239" s="69">
        <v>115</v>
      </c>
      <c r="BG239" s="69">
        <v>230</v>
      </c>
      <c r="BH239" s="69">
        <v>205</v>
      </c>
      <c r="BI239" s="69">
        <v>714</v>
      </c>
      <c r="BJ239" s="69"/>
      <c r="BK239" s="69" t="s">
        <v>2032</v>
      </c>
      <c r="BL239" s="69">
        <v>26</v>
      </c>
      <c r="BM239" s="69">
        <v>0</v>
      </c>
      <c r="BN239" s="69">
        <v>0</v>
      </c>
      <c r="BO239" s="69">
        <v>0</v>
      </c>
      <c r="BP239" s="69">
        <v>0</v>
      </c>
      <c r="BQ239" s="69">
        <v>26</v>
      </c>
      <c r="BS239" s="21"/>
      <c r="CL239" s="57" t="s">
        <v>513</v>
      </c>
      <c r="CM239" s="57" t="s">
        <v>2098</v>
      </c>
      <c r="CN239" s="57">
        <v>137</v>
      </c>
      <c r="CO239" s="57">
        <v>119</v>
      </c>
      <c r="CP239" s="57">
        <v>173</v>
      </c>
      <c r="CQ239" s="57">
        <v>257</v>
      </c>
      <c r="CR239" s="57">
        <v>219</v>
      </c>
      <c r="CS239" s="57">
        <v>905</v>
      </c>
      <c r="CT239" s="57"/>
      <c r="CU239" s="57" t="s">
        <v>2098</v>
      </c>
      <c r="CV239" s="57">
        <v>15</v>
      </c>
      <c r="CW239" s="57">
        <v>0</v>
      </c>
      <c r="CX239" s="57">
        <v>0</v>
      </c>
      <c r="CY239" s="57">
        <v>0</v>
      </c>
      <c r="CZ239" s="57">
        <v>0</v>
      </c>
      <c r="DA239" s="57">
        <v>15</v>
      </c>
      <c r="FF239" s="70" t="s">
        <v>1813</v>
      </c>
      <c r="FG239" s="70" t="s">
        <v>2098</v>
      </c>
      <c r="FH239" s="70">
        <v>1957</v>
      </c>
      <c r="FI239" s="70">
        <v>1513</v>
      </c>
      <c r="FJ239" s="70">
        <v>873</v>
      </c>
      <c r="FK239" s="70">
        <v>788</v>
      </c>
      <c r="FL239" s="70">
        <v>816</v>
      </c>
      <c r="FM239" s="70">
        <v>5947</v>
      </c>
      <c r="FN239" s="70"/>
      <c r="FO239" s="70" t="s">
        <v>2098</v>
      </c>
      <c r="FP239" s="70">
        <v>441</v>
      </c>
      <c r="FQ239" s="70">
        <v>98</v>
      </c>
      <c r="FR239" s="70">
        <v>16</v>
      </c>
      <c r="FS239" s="70">
        <v>0</v>
      </c>
      <c r="FT239" s="70">
        <v>0</v>
      </c>
      <c r="FU239" s="70">
        <v>555</v>
      </c>
    </row>
    <row r="240" spans="2:177">
      <c r="B240" s="64" t="s">
        <v>852</v>
      </c>
      <c r="C240" s="64" t="s">
        <v>25</v>
      </c>
      <c r="D240" s="64">
        <v>306</v>
      </c>
      <c r="E240" s="64">
        <v>485</v>
      </c>
      <c r="F240" s="64">
        <v>876</v>
      </c>
      <c r="G240" s="64">
        <v>1248</v>
      </c>
      <c r="H240" s="64">
        <v>1077</v>
      </c>
      <c r="I240" s="64">
        <v>3992</v>
      </c>
      <c r="K240" s="64" t="s">
        <v>25</v>
      </c>
      <c r="L240" s="64">
        <v>22</v>
      </c>
      <c r="M240" s="64">
        <v>2</v>
      </c>
      <c r="N240" s="64">
        <v>0</v>
      </c>
      <c r="O240" s="64">
        <v>0</v>
      </c>
      <c r="P240" s="64">
        <v>0</v>
      </c>
      <c r="Q240" s="64">
        <v>24</v>
      </c>
      <c r="AK240" s="66" t="s">
        <v>1057</v>
      </c>
      <c r="AL240" s="66" t="s">
        <v>2098</v>
      </c>
      <c r="AM240" s="66">
        <v>1099</v>
      </c>
      <c r="AN240" s="66">
        <v>986</v>
      </c>
      <c r="AO240" s="66">
        <v>1099</v>
      </c>
      <c r="AP240" s="66">
        <v>1167</v>
      </c>
      <c r="AQ240" s="66">
        <v>792</v>
      </c>
      <c r="AR240" s="66">
        <v>5143</v>
      </c>
      <c r="AS240" s="66"/>
      <c r="AT240" s="66" t="s">
        <v>2098</v>
      </c>
      <c r="AU240" s="66">
        <v>100</v>
      </c>
      <c r="AV240" s="66">
        <v>3</v>
      </c>
      <c r="AW240" s="66">
        <v>0</v>
      </c>
      <c r="AX240" s="66">
        <v>0</v>
      </c>
      <c r="AY240" s="66">
        <v>0</v>
      </c>
      <c r="AZ240" s="66">
        <v>103</v>
      </c>
      <c r="BB240" s="69" t="s">
        <v>1337</v>
      </c>
      <c r="BC240" s="69" t="s">
        <v>2032</v>
      </c>
      <c r="BD240" s="69" t="s">
        <v>324</v>
      </c>
      <c r="BE240" s="69" t="s">
        <v>324</v>
      </c>
      <c r="BF240" s="69" t="s">
        <v>324</v>
      </c>
      <c r="BG240" s="69" t="s">
        <v>324</v>
      </c>
      <c r="BH240" s="69" t="s">
        <v>324</v>
      </c>
      <c r="BI240" s="69" t="s">
        <v>324</v>
      </c>
      <c r="BJ240" s="69"/>
      <c r="BK240" s="69" t="s">
        <v>2032</v>
      </c>
      <c r="BL240" s="69" t="s">
        <v>324</v>
      </c>
      <c r="BM240" s="69" t="s">
        <v>324</v>
      </c>
      <c r="BN240" s="69" t="s">
        <v>324</v>
      </c>
      <c r="BO240" s="69" t="s">
        <v>324</v>
      </c>
      <c r="BP240" s="69" t="s">
        <v>324</v>
      </c>
      <c r="BQ240" s="69" t="s">
        <v>324</v>
      </c>
      <c r="BS240" s="21"/>
      <c r="CL240" s="57" t="s">
        <v>515</v>
      </c>
      <c r="CM240" s="57" t="s">
        <v>2098</v>
      </c>
      <c r="CN240" s="57">
        <v>210</v>
      </c>
      <c r="CO240" s="57">
        <v>290</v>
      </c>
      <c r="CP240" s="57">
        <v>469</v>
      </c>
      <c r="CQ240" s="57">
        <v>621</v>
      </c>
      <c r="CR240" s="57">
        <v>532</v>
      </c>
      <c r="CS240" s="57">
        <v>2122</v>
      </c>
      <c r="CT240" s="57"/>
      <c r="CU240" s="57" t="s">
        <v>2098</v>
      </c>
      <c r="CV240" s="57">
        <v>10</v>
      </c>
      <c r="CW240" s="57">
        <v>0</v>
      </c>
      <c r="CX240" s="57">
        <v>0</v>
      </c>
      <c r="CY240" s="57">
        <v>0</v>
      </c>
      <c r="CZ240" s="57">
        <v>0</v>
      </c>
      <c r="DA240" s="57">
        <v>10</v>
      </c>
      <c r="FF240" s="70" t="s">
        <v>1816</v>
      </c>
      <c r="FG240" s="70" t="s">
        <v>2098</v>
      </c>
      <c r="FH240" s="70">
        <v>286</v>
      </c>
      <c r="FI240" s="70">
        <v>472</v>
      </c>
      <c r="FJ240" s="70">
        <v>520</v>
      </c>
      <c r="FK240" s="70">
        <v>529</v>
      </c>
      <c r="FL240" s="70">
        <v>580</v>
      </c>
      <c r="FM240" s="70">
        <v>2387</v>
      </c>
      <c r="FN240" s="70"/>
      <c r="FO240" s="70" t="s">
        <v>2098</v>
      </c>
      <c r="FP240" s="70">
        <v>36</v>
      </c>
      <c r="FQ240" s="70">
        <v>6</v>
      </c>
      <c r="FR240" s="70">
        <v>0</v>
      </c>
      <c r="FS240" s="70">
        <v>0</v>
      </c>
      <c r="FT240" s="70">
        <v>0</v>
      </c>
      <c r="FU240" s="70">
        <v>42</v>
      </c>
    </row>
    <row r="241" spans="2:177">
      <c r="B241" s="64" t="s">
        <v>855</v>
      </c>
      <c r="C241" s="64" t="s">
        <v>25</v>
      </c>
      <c r="D241" s="64">
        <v>667</v>
      </c>
      <c r="E241" s="64">
        <v>519</v>
      </c>
      <c r="F241" s="64">
        <v>767</v>
      </c>
      <c r="G241" s="64">
        <v>1063</v>
      </c>
      <c r="H241" s="64">
        <v>843</v>
      </c>
      <c r="I241" s="64">
        <v>3859</v>
      </c>
      <c r="K241" s="64" t="s">
        <v>25</v>
      </c>
      <c r="L241" s="64">
        <v>26</v>
      </c>
      <c r="M241" s="64">
        <v>0</v>
      </c>
      <c r="N241" s="64">
        <v>0</v>
      </c>
      <c r="O241" s="64">
        <v>0</v>
      </c>
      <c r="P241" s="64">
        <v>0</v>
      </c>
      <c r="Q241" s="64">
        <v>26</v>
      </c>
      <c r="AK241" s="66" t="s">
        <v>1061</v>
      </c>
      <c r="AL241" s="66" t="s">
        <v>2098</v>
      </c>
      <c r="AM241" s="66">
        <v>718</v>
      </c>
      <c r="AN241" s="66">
        <v>733</v>
      </c>
      <c r="AO241" s="66">
        <v>879</v>
      </c>
      <c r="AP241" s="66">
        <v>990</v>
      </c>
      <c r="AQ241" s="66">
        <v>713</v>
      </c>
      <c r="AR241" s="66">
        <v>4033</v>
      </c>
      <c r="AS241" s="66"/>
      <c r="AT241" s="66" t="s">
        <v>2098</v>
      </c>
      <c r="AU241" s="66">
        <v>45</v>
      </c>
      <c r="AV241" s="66">
        <v>4</v>
      </c>
      <c r="AW241" s="66">
        <v>1</v>
      </c>
      <c r="AX241" s="66">
        <v>0</v>
      </c>
      <c r="AY241" s="66">
        <v>1</v>
      </c>
      <c r="AZ241" s="66">
        <v>51</v>
      </c>
      <c r="BB241" s="69" t="s">
        <v>1341</v>
      </c>
      <c r="BC241" s="69" t="s">
        <v>2032</v>
      </c>
      <c r="BD241" s="69" t="s">
        <v>324</v>
      </c>
      <c r="BE241" s="69" t="s">
        <v>324</v>
      </c>
      <c r="BF241" s="69" t="s">
        <v>324</v>
      </c>
      <c r="BG241" s="69" t="s">
        <v>324</v>
      </c>
      <c r="BH241" s="69" t="s">
        <v>324</v>
      </c>
      <c r="BI241" s="69" t="s">
        <v>324</v>
      </c>
      <c r="BJ241" s="69"/>
      <c r="BK241" s="69" t="s">
        <v>2032</v>
      </c>
      <c r="BL241" s="69" t="s">
        <v>324</v>
      </c>
      <c r="BM241" s="69" t="s">
        <v>324</v>
      </c>
      <c r="BN241" s="69" t="s">
        <v>324</v>
      </c>
      <c r="BO241" s="69" t="s">
        <v>324</v>
      </c>
      <c r="BP241" s="69" t="s">
        <v>324</v>
      </c>
      <c r="BQ241" s="69" t="s">
        <v>324</v>
      </c>
      <c r="BS241" s="21"/>
      <c r="CL241" s="57" t="s">
        <v>507</v>
      </c>
      <c r="CM241" s="57" t="s">
        <v>2098</v>
      </c>
      <c r="CN241" s="57">
        <v>260</v>
      </c>
      <c r="CO241" s="57">
        <v>125</v>
      </c>
      <c r="CP241" s="57">
        <v>178</v>
      </c>
      <c r="CQ241" s="57">
        <v>230</v>
      </c>
      <c r="CR241" s="57">
        <v>390</v>
      </c>
      <c r="CS241" s="57">
        <v>1183</v>
      </c>
      <c r="CT241" s="57"/>
      <c r="CU241" s="57" t="s">
        <v>2098</v>
      </c>
      <c r="CV241" s="57">
        <v>65</v>
      </c>
      <c r="CW241" s="57">
        <v>0</v>
      </c>
      <c r="CX241" s="57">
        <v>0</v>
      </c>
      <c r="CY241" s="57">
        <v>0</v>
      </c>
      <c r="CZ241" s="57">
        <v>0</v>
      </c>
      <c r="DA241" s="57">
        <v>65</v>
      </c>
      <c r="FF241" s="70" t="s">
        <v>1818</v>
      </c>
      <c r="FG241" s="70" t="s">
        <v>2098</v>
      </c>
      <c r="FH241" s="70">
        <v>152</v>
      </c>
      <c r="FI241" s="70">
        <v>320</v>
      </c>
      <c r="FJ241" s="70">
        <v>530</v>
      </c>
      <c r="FK241" s="70">
        <v>551</v>
      </c>
      <c r="FL241" s="70">
        <v>608</v>
      </c>
      <c r="FM241" s="70">
        <v>2161</v>
      </c>
      <c r="FN241" s="70"/>
      <c r="FO241" s="70" t="s">
        <v>2098</v>
      </c>
      <c r="FP241" s="70">
        <v>19</v>
      </c>
      <c r="FQ241" s="70">
        <v>2</v>
      </c>
      <c r="FR241" s="70">
        <v>0</v>
      </c>
      <c r="FS241" s="70">
        <v>0</v>
      </c>
      <c r="FT241" s="70">
        <v>0</v>
      </c>
      <c r="FU241" s="70">
        <v>21</v>
      </c>
    </row>
    <row r="242" spans="2:177">
      <c r="B242" s="64" t="s">
        <v>858</v>
      </c>
      <c r="C242" s="64" t="s">
        <v>25</v>
      </c>
      <c r="D242" s="64">
        <v>12</v>
      </c>
      <c r="E242" s="64">
        <v>38</v>
      </c>
      <c r="F242" s="64">
        <v>60</v>
      </c>
      <c r="G242" s="64">
        <v>92</v>
      </c>
      <c r="H242" s="64">
        <v>95</v>
      </c>
      <c r="I242" s="64">
        <v>297</v>
      </c>
      <c r="K242" s="64" t="s">
        <v>25</v>
      </c>
      <c r="L242" s="64">
        <v>1</v>
      </c>
      <c r="M242" s="64">
        <v>0</v>
      </c>
      <c r="N242" s="64">
        <v>0</v>
      </c>
      <c r="O242" s="64">
        <v>0</v>
      </c>
      <c r="P242" s="64">
        <v>0</v>
      </c>
      <c r="Q242" s="64">
        <v>1</v>
      </c>
      <c r="AK242" s="66" t="s">
        <v>1064</v>
      </c>
      <c r="AL242" s="66" t="s">
        <v>2098</v>
      </c>
      <c r="AM242" s="66">
        <v>1023</v>
      </c>
      <c r="AN242" s="66">
        <v>1095</v>
      </c>
      <c r="AO242" s="66">
        <v>1467</v>
      </c>
      <c r="AP242" s="66">
        <v>1639</v>
      </c>
      <c r="AQ242" s="66">
        <v>1097</v>
      </c>
      <c r="AR242" s="66">
        <v>6321</v>
      </c>
      <c r="AS242" s="66"/>
      <c r="AT242" s="66" t="s">
        <v>2098</v>
      </c>
      <c r="AU242" s="66">
        <v>70</v>
      </c>
      <c r="AV242" s="66">
        <v>6</v>
      </c>
      <c r="AW242" s="66">
        <v>3</v>
      </c>
      <c r="AX242" s="66">
        <v>0</v>
      </c>
      <c r="AY242" s="66">
        <v>0</v>
      </c>
      <c r="AZ242" s="66">
        <v>79</v>
      </c>
      <c r="BB242" s="69" t="s">
        <v>1347</v>
      </c>
      <c r="BC242" s="69" t="s">
        <v>2032</v>
      </c>
      <c r="BD242" s="69">
        <v>498</v>
      </c>
      <c r="BE242" s="69">
        <v>455</v>
      </c>
      <c r="BF242" s="69">
        <v>844</v>
      </c>
      <c r="BG242" s="69">
        <v>1204</v>
      </c>
      <c r="BH242" s="69">
        <v>1072</v>
      </c>
      <c r="BI242" s="69">
        <v>4073</v>
      </c>
      <c r="BJ242" s="69"/>
      <c r="BK242" s="69" t="s">
        <v>2032</v>
      </c>
      <c r="BL242" s="69">
        <v>66</v>
      </c>
      <c r="BM242" s="69">
        <v>0</v>
      </c>
      <c r="BN242" s="69">
        <v>0</v>
      </c>
      <c r="BO242" s="69">
        <v>0</v>
      </c>
      <c r="BP242" s="69">
        <v>0</v>
      </c>
      <c r="BQ242" s="69">
        <v>66</v>
      </c>
      <c r="BS242" s="21"/>
      <c r="CL242" s="57" t="s">
        <v>519</v>
      </c>
      <c r="CM242" s="57" t="s">
        <v>2098</v>
      </c>
      <c r="CN242" s="57">
        <v>99</v>
      </c>
      <c r="CO242" s="57">
        <v>105</v>
      </c>
      <c r="CP242" s="57">
        <v>163</v>
      </c>
      <c r="CQ242" s="57">
        <v>242</v>
      </c>
      <c r="CR242" s="57">
        <v>235</v>
      </c>
      <c r="CS242" s="57">
        <v>844</v>
      </c>
      <c r="CT242" s="57"/>
      <c r="CU242" s="57" t="s">
        <v>2098</v>
      </c>
      <c r="CV242" s="57">
        <v>18</v>
      </c>
      <c r="CW242" s="57">
        <v>0</v>
      </c>
      <c r="CX242" s="57">
        <v>0</v>
      </c>
      <c r="CY242" s="57">
        <v>0</v>
      </c>
      <c r="CZ242" s="57">
        <v>0</v>
      </c>
      <c r="DA242" s="57">
        <v>18</v>
      </c>
      <c r="FF242" s="70" t="s">
        <v>1820</v>
      </c>
      <c r="FG242" s="70" t="s">
        <v>2098</v>
      </c>
      <c r="FH242" s="70">
        <v>422</v>
      </c>
      <c r="FI242" s="70">
        <v>455</v>
      </c>
      <c r="FJ242" s="70">
        <v>655</v>
      </c>
      <c r="FK242" s="70">
        <v>590</v>
      </c>
      <c r="FL242" s="70">
        <v>614</v>
      </c>
      <c r="FM242" s="70">
        <v>2736</v>
      </c>
      <c r="FN242" s="70"/>
      <c r="FO242" s="70" t="s">
        <v>2098</v>
      </c>
      <c r="FP242" s="70">
        <v>59</v>
      </c>
      <c r="FQ242" s="70">
        <v>0</v>
      </c>
      <c r="FR242" s="70">
        <v>0</v>
      </c>
      <c r="FS242" s="70">
        <v>0</v>
      </c>
      <c r="FT242" s="70">
        <v>0</v>
      </c>
      <c r="FU242" s="70">
        <v>59</v>
      </c>
    </row>
    <row r="243" spans="2:177">
      <c r="B243" s="64" t="s">
        <v>861</v>
      </c>
      <c r="C243" s="64" t="s">
        <v>25</v>
      </c>
      <c r="D243" s="64">
        <v>37</v>
      </c>
      <c r="E243" s="64">
        <v>99</v>
      </c>
      <c r="F243" s="64">
        <v>164</v>
      </c>
      <c r="G243" s="64">
        <v>222</v>
      </c>
      <c r="H243" s="64">
        <v>210</v>
      </c>
      <c r="I243" s="64">
        <v>732</v>
      </c>
      <c r="K243" s="64" t="s">
        <v>25</v>
      </c>
      <c r="L243" s="64">
        <v>2</v>
      </c>
      <c r="M243" s="64">
        <v>2</v>
      </c>
      <c r="N243" s="64">
        <v>2</v>
      </c>
      <c r="O243" s="64">
        <v>0</v>
      </c>
      <c r="P243" s="64">
        <v>0</v>
      </c>
      <c r="Q243" s="64">
        <v>6</v>
      </c>
      <c r="AK243" s="66" t="s">
        <v>1067</v>
      </c>
      <c r="AL243" s="66" t="s">
        <v>2098</v>
      </c>
      <c r="AM243" s="66">
        <v>293</v>
      </c>
      <c r="AN243" s="66">
        <v>343</v>
      </c>
      <c r="AO243" s="66">
        <v>443</v>
      </c>
      <c r="AP243" s="66">
        <v>517</v>
      </c>
      <c r="AQ243" s="66">
        <v>434</v>
      </c>
      <c r="AR243" s="66">
        <v>2030</v>
      </c>
      <c r="AS243" s="66"/>
      <c r="AT243" s="66" t="s">
        <v>2098</v>
      </c>
      <c r="AU243" s="66">
        <v>94</v>
      </c>
      <c r="AV243" s="66">
        <v>2</v>
      </c>
      <c r="AW243" s="66">
        <v>0</v>
      </c>
      <c r="AX243" s="66">
        <v>3</v>
      </c>
      <c r="AY243" s="66">
        <v>1</v>
      </c>
      <c r="AZ243" s="66">
        <v>100</v>
      </c>
      <c r="BB243" s="69" t="s">
        <v>1351</v>
      </c>
      <c r="BC243" s="69" t="s">
        <v>2032</v>
      </c>
      <c r="BD243" s="69">
        <v>154</v>
      </c>
      <c r="BE243" s="69">
        <v>88</v>
      </c>
      <c r="BF243" s="69">
        <v>166</v>
      </c>
      <c r="BG243" s="69">
        <v>288</v>
      </c>
      <c r="BH243" s="69">
        <v>273</v>
      </c>
      <c r="BI243" s="69">
        <v>969</v>
      </c>
      <c r="BJ243" s="69"/>
      <c r="BK243" s="69" t="s">
        <v>2032</v>
      </c>
      <c r="BL243" s="69">
        <v>38</v>
      </c>
      <c r="BM243" s="69">
        <v>0</v>
      </c>
      <c r="BN243" s="69">
        <v>0</v>
      </c>
      <c r="BO243" s="69">
        <v>0</v>
      </c>
      <c r="BP243" s="69">
        <v>0</v>
      </c>
      <c r="BQ243" s="69">
        <v>38</v>
      </c>
      <c r="BS243" s="21"/>
      <c r="CL243" s="57" t="s">
        <v>522</v>
      </c>
      <c r="CM243" s="57" t="s">
        <v>2098</v>
      </c>
      <c r="CN243" s="57">
        <v>155</v>
      </c>
      <c r="CO243" s="57">
        <v>87</v>
      </c>
      <c r="CP243" s="57">
        <v>174</v>
      </c>
      <c r="CQ243" s="57">
        <v>215</v>
      </c>
      <c r="CR243" s="57">
        <v>214</v>
      </c>
      <c r="CS243" s="57">
        <v>845</v>
      </c>
      <c r="CT243" s="57"/>
      <c r="CU243" s="57" t="s">
        <v>2098</v>
      </c>
      <c r="CV243" s="57">
        <v>59</v>
      </c>
      <c r="CW243" s="57">
        <v>0</v>
      </c>
      <c r="CX243" s="57">
        <v>0</v>
      </c>
      <c r="CY243" s="57">
        <v>0</v>
      </c>
      <c r="CZ243" s="57">
        <v>0</v>
      </c>
      <c r="DA243" s="57">
        <v>59</v>
      </c>
      <c r="FF243" s="70" t="s">
        <v>1822</v>
      </c>
      <c r="FG243" s="70" t="s">
        <v>2098</v>
      </c>
      <c r="FH243" s="70">
        <v>471</v>
      </c>
      <c r="FI243" s="70">
        <v>535</v>
      </c>
      <c r="FJ243" s="70">
        <v>767</v>
      </c>
      <c r="FK243" s="70">
        <v>681</v>
      </c>
      <c r="FL243" s="70">
        <v>797</v>
      </c>
      <c r="FM243" s="70">
        <v>3251</v>
      </c>
      <c r="FN243" s="70"/>
      <c r="FO243" s="70" t="s">
        <v>2098</v>
      </c>
      <c r="FP243" s="70">
        <v>50</v>
      </c>
      <c r="FQ243" s="70">
        <v>4</v>
      </c>
      <c r="FR243" s="70">
        <v>0</v>
      </c>
      <c r="FS243" s="70">
        <v>0</v>
      </c>
      <c r="FT243" s="70">
        <v>0</v>
      </c>
      <c r="FU243" s="70">
        <v>54</v>
      </c>
    </row>
    <row r="244" spans="2:177">
      <c r="B244" s="64" t="s">
        <v>864</v>
      </c>
      <c r="C244" s="64" t="s">
        <v>25</v>
      </c>
      <c r="D244" s="64">
        <v>18</v>
      </c>
      <c r="E244" s="64">
        <v>22</v>
      </c>
      <c r="F244" s="64">
        <v>48</v>
      </c>
      <c r="G244" s="64">
        <v>66</v>
      </c>
      <c r="H244" s="64">
        <v>60</v>
      </c>
      <c r="I244" s="64">
        <v>214</v>
      </c>
      <c r="K244" s="64" t="s">
        <v>25</v>
      </c>
      <c r="L244" s="64">
        <v>3</v>
      </c>
      <c r="M244" s="64">
        <v>0</v>
      </c>
      <c r="N244" s="64">
        <v>0</v>
      </c>
      <c r="O244" s="64">
        <v>0</v>
      </c>
      <c r="P244" s="64">
        <v>0</v>
      </c>
      <c r="Q244" s="64">
        <v>3</v>
      </c>
      <c r="AJ244" s="461" t="s">
        <v>3031</v>
      </c>
      <c r="AK244" s="462" t="s">
        <v>2738</v>
      </c>
      <c r="AL244" s="66" t="s">
        <v>2098</v>
      </c>
      <c r="AM244" s="66">
        <v>446</v>
      </c>
      <c r="AN244" s="66">
        <v>528</v>
      </c>
      <c r="AO244" s="66">
        <v>674</v>
      </c>
      <c r="AP244" s="66">
        <v>717</v>
      </c>
      <c r="AQ244" s="66">
        <v>511</v>
      </c>
      <c r="AR244" s="66">
        <v>2876</v>
      </c>
      <c r="AS244" s="66"/>
      <c r="AT244" s="66" t="s">
        <v>2098</v>
      </c>
      <c r="AU244" s="66">
        <v>21</v>
      </c>
      <c r="AV244" s="66">
        <v>4</v>
      </c>
      <c r="AW244" s="66">
        <v>0</v>
      </c>
      <c r="AX244" s="66">
        <v>0</v>
      </c>
      <c r="AY244" s="66">
        <v>0</v>
      </c>
      <c r="AZ244" s="66">
        <v>25</v>
      </c>
      <c r="BB244" s="69" t="s">
        <v>1356</v>
      </c>
      <c r="BC244" s="69" t="s">
        <v>2032</v>
      </c>
      <c r="BD244" s="69">
        <v>442</v>
      </c>
      <c r="BE244" s="69">
        <v>339</v>
      </c>
      <c r="BF244" s="69">
        <v>514</v>
      </c>
      <c r="BG244" s="69">
        <v>689</v>
      </c>
      <c r="BH244" s="69">
        <v>594</v>
      </c>
      <c r="BI244" s="69">
        <v>2578</v>
      </c>
      <c r="BJ244" s="69"/>
      <c r="BK244" s="69" t="s">
        <v>2032</v>
      </c>
      <c r="BL244" s="69">
        <v>59</v>
      </c>
      <c r="BM244" s="69">
        <v>0</v>
      </c>
      <c r="BN244" s="69">
        <v>0</v>
      </c>
      <c r="BO244" s="69">
        <v>0</v>
      </c>
      <c r="BP244" s="69">
        <v>0</v>
      </c>
      <c r="BQ244" s="69">
        <v>59</v>
      </c>
      <c r="BS244" s="21"/>
      <c r="CL244" s="57" t="s">
        <v>563</v>
      </c>
      <c r="CM244" s="57" t="s">
        <v>2098</v>
      </c>
      <c r="CN244" s="57">
        <v>25</v>
      </c>
      <c r="CO244" s="57">
        <v>28</v>
      </c>
      <c r="CP244" s="57">
        <v>74</v>
      </c>
      <c r="CQ244" s="57">
        <v>130</v>
      </c>
      <c r="CR244" s="57">
        <v>140</v>
      </c>
      <c r="CS244" s="57">
        <v>397</v>
      </c>
      <c r="CT244" s="57"/>
      <c r="CU244" s="57" t="s">
        <v>2098</v>
      </c>
      <c r="CV244" s="57">
        <v>5</v>
      </c>
      <c r="CW244" s="57">
        <v>0</v>
      </c>
      <c r="CX244" s="57">
        <v>0</v>
      </c>
      <c r="CY244" s="57">
        <v>0</v>
      </c>
      <c r="CZ244" s="57">
        <v>0</v>
      </c>
      <c r="DA244" s="57">
        <v>5</v>
      </c>
      <c r="FF244" s="70" t="s">
        <v>2007</v>
      </c>
      <c r="FG244" s="70" t="s">
        <v>2098</v>
      </c>
      <c r="FH244" s="70">
        <v>88</v>
      </c>
      <c r="FI244" s="70">
        <v>241</v>
      </c>
      <c r="FJ244" s="70">
        <v>214</v>
      </c>
      <c r="FK244" s="70">
        <v>280</v>
      </c>
      <c r="FL244" s="70">
        <v>268</v>
      </c>
      <c r="FM244" s="70">
        <v>1091</v>
      </c>
      <c r="FN244" s="70"/>
      <c r="FO244" s="70" t="s">
        <v>2098</v>
      </c>
      <c r="FP244" s="70">
        <v>12</v>
      </c>
      <c r="FQ244" s="70">
        <v>7</v>
      </c>
      <c r="FR244" s="70">
        <v>1</v>
      </c>
      <c r="FS244" s="70">
        <v>0</v>
      </c>
      <c r="FT244" s="70">
        <v>0</v>
      </c>
      <c r="FU244" s="70">
        <v>20</v>
      </c>
    </row>
    <row r="245" spans="2:177">
      <c r="B245" s="64" t="s">
        <v>869</v>
      </c>
      <c r="C245" s="64" t="s">
        <v>25</v>
      </c>
      <c r="D245" s="64">
        <v>532</v>
      </c>
      <c r="E245" s="64">
        <v>502</v>
      </c>
      <c r="F245" s="64">
        <v>474</v>
      </c>
      <c r="G245" s="64">
        <v>521</v>
      </c>
      <c r="H245" s="64">
        <v>410</v>
      </c>
      <c r="I245" s="64">
        <v>2439</v>
      </c>
      <c r="K245" s="64" t="s">
        <v>25</v>
      </c>
      <c r="L245" s="64">
        <v>83</v>
      </c>
      <c r="M245" s="64">
        <v>2</v>
      </c>
      <c r="N245" s="64">
        <v>1</v>
      </c>
      <c r="O245" s="64">
        <v>0</v>
      </c>
      <c r="P245" s="64">
        <v>0</v>
      </c>
      <c r="Q245" s="64">
        <v>86</v>
      </c>
      <c r="AK245" s="66" t="s">
        <v>1074</v>
      </c>
      <c r="AL245" s="66" t="s">
        <v>2098</v>
      </c>
      <c r="AM245" s="66">
        <v>865</v>
      </c>
      <c r="AN245" s="66">
        <v>756</v>
      </c>
      <c r="AO245" s="66">
        <v>808</v>
      </c>
      <c r="AP245" s="66">
        <v>831</v>
      </c>
      <c r="AQ245" s="66">
        <v>613</v>
      </c>
      <c r="AR245" s="66">
        <v>3873</v>
      </c>
      <c r="AS245" s="66"/>
      <c r="AT245" s="66" t="s">
        <v>2098</v>
      </c>
      <c r="AU245" s="66">
        <v>95</v>
      </c>
      <c r="AV245" s="66">
        <v>4</v>
      </c>
      <c r="AW245" s="66">
        <v>1</v>
      </c>
      <c r="AX245" s="66">
        <v>0</v>
      </c>
      <c r="AY245" s="66">
        <v>0</v>
      </c>
      <c r="AZ245" s="66">
        <v>100</v>
      </c>
      <c r="BB245" s="69" t="s">
        <v>1359</v>
      </c>
      <c r="BC245" s="69" t="s">
        <v>2032</v>
      </c>
      <c r="BD245" s="69">
        <v>289</v>
      </c>
      <c r="BE245" s="69">
        <v>215</v>
      </c>
      <c r="BF245" s="69">
        <v>359</v>
      </c>
      <c r="BG245" s="69">
        <v>453</v>
      </c>
      <c r="BH245" s="69">
        <v>412</v>
      </c>
      <c r="BI245" s="69">
        <v>1728</v>
      </c>
      <c r="BJ245" s="69"/>
      <c r="BK245" s="69" t="s">
        <v>2032</v>
      </c>
      <c r="BL245" s="69">
        <v>42</v>
      </c>
      <c r="BM245" s="69">
        <v>0</v>
      </c>
      <c r="BN245" s="69">
        <v>0</v>
      </c>
      <c r="BO245" s="69">
        <v>0</v>
      </c>
      <c r="BP245" s="69">
        <v>0</v>
      </c>
      <c r="BQ245" s="69">
        <v>42</v>
      </c>
      <c r="BS245" s="21"/>
      <c r="CL245" s="57" t="s">
        <v>565</v>
      </c>
      <c r="CM245" s="57" t="s">
        <v>2098</v>
      </c>
      <c r="CN245" s="57">
        <v>59</v>
      </c>
      <c r="CO245" s="57">
        <v>67</v>
      </c>
      <c r="CP245" s="57">
        <v>105</v>
      </c>
      <c r="CQ245" s="57">
        <v>192</v>
      </c>
      <c r="CR245" s="57">
        <v>190</v>
      </c>
      <c r="CS245" s="57">
        <v>613</v>
      </c>
      <c r="CT245" s="57"/>
      <c r="CU245" s="57" t="s">
        <v>2098</v>
      </c>
      <c r="CV245" s="57">
        <v>25</v>
      </c>
      <c r="CW245" s="57">
        <v>0</v>
      </c>
      <c r="CX245" s="57">
        <v>0</v>
      </c>
      <c r="CY245" s="57">
        <v>0</v>
      </c>
      <c r="CZ245" s="57">
        <v>0</v>
      </c>
      <c r="DA245" s="57">
        <v>25</v>
      </c>
      <c r="FF245" s="70" t="s">
        <v>1825</v>
      </c>
      <c r="FG245" s="70" t="s">
        <v>2098</v>
      </c>
      <c r="FH245" s="70">
        <v>358</v>
      </c>
      <c r="FI245" s="70">
        <v>444</v>
      </c>
      <c r="FJ245" s="70">
        <v>519</v>
      </c>
      <c r="FK245" s="70">
        <v>588</v>
      </c>
      <c r="FL245" s="70">
        <v>730</v>
      </c>
      <c r="FM245" s="70">
        <v>2639</v>
      </c>
      <c r="FN245" s="70"/>
      <c r="FO245" s="70" t="s">
        <v>2098</v>
      </c>
      <c r="FP245" s="70">
        <v>73</v>
      </c>
      <c r="FQ245" s="70">
        <v>18</v>
      </c>
      <c r="FR245" s="70">
        <v>8</v>
      </c>
      <c r="FS245" s="70">
        <v>8</v>
      </c>
      <c r="FT245" s="70">
        <v>3</v>
      </c>
      <c r="FU245" s="70">
        <v>110</v>
      </c>
    </row>
    <row r="246" spans="2:177">
      <c r="B246" s="64" t="s">
        <v>874</v>
      </c>
      <c r="C246" s="64" t="s">
        <v>25</v>
      </c>
      <c r="D246" s="64">
        <v>268</v>
      </c>
      <c r="E246" s="64">
        <v>374</v>
      </c>
      <c r="F246" s="64">
        <v>412</v>
      </c>
      <c r="G246" s="64">
        <v>434</v>
      </c>
      <c r="H246" s="64">
        <v>294</v>
      </c>
      <c r="I246" s="64">
        <v>1782</v>
      </c>
      <c r="K246" s="64" t="s">
        <v>25</v>
      </c>
      <c r="L246" s="64">
        <v>50</v>
      </c>
      <c r="M246" s="64">
        <v>6</v>
      </c>
      <c r="N246" s="64">
        <v>3</v>
      </c>
      <c r="O246" s="64">
        <v>0</v>
      </c>
      <c r="P246" s="64">
        <v>0</v>
      </c>
      <c r="Q246" s="64">
        <v>59</v>
      </c>
      <c r="AK246" s="66" t="s">
        <v>1077</v>
      </c>
      <c r="AL246" s="66" t="s">
        <v>2098</v>
      </c>
      <c r="AM246" s="66">
        <v>218</v>
      </c>
      <c r="AN246" s="66">
        <v>233</v>
      </c>
      <c r="AO246" s="66">
        <v>384</v>
      </c>
      <c r="AP246" s="66">
        <v>445</v>
      </c>
      <c r="AQ246" s="66">
        <v>361</v>
      </c>
      <c r="AR246" s="66">
        <v>1641</v>
      </c>
      <c r="AS246" s="66"/>
      <c r="AT246" s="66" t="s">
        <v>2098</v>
      </c>
      <c r="AU246" s="66">
        <v>27</v>
      </c>
      <c r="AV246" s="66">
        <v>4</v>
      </c>
      <c r="AW246" s="66">
        <v>0</v>
      </c>
      <c r="AX246" s="66">
        <v>0</v>
      </c>
      <c r="AY246" s="66">
        <v>0</v>
      </c>
      <c r="AZ246" s="66">
        <v>31</v>
      </c>
      <c r="BB246" s="69" t="s">
        <v>1363</v>
      </c>
      <c r="BC246" s="69" t="s">
        <v>2032</v>
      </c>
      <c r="BD246" s="69">
        <v>141</v>
      </c>
      <c r="BE246" s="69">
        <v>138</v>
      </c>
      <c r="BF246" s="69">
        <v>267</v>
      </c>
      <c r="BG246" s="69">
        <v>427</v>
      </c>
      <c r="BH246" s="69">
        <v>434</v>
      </c>
      <c r="BI246" s="69">
        <v>1407</v>
      </c>
      <c r="BJ246" s="69"/>
      <c r="BK246" s="69" t="s">
        <v>2032</v>
      </c>
      <c r="BL246" s="69">
        <v>25</v>
      </c>
      <c r="BM246" s="69">
        <v>0</v>
      </c>
      <c r="BN246" s="69">
        <v>0</v>
      </c>
      <c r="BO246" s="69">
        <v>0</v>
      </c>
      <c r="BP246" s="69">
        <v>0</v>
      </c>
      <c r="BQ246" s="69">
        <v>25</v>
      </c>
      <c r="BS246" s="21"/>
      <c r="CL246" s="57" t="s">
        <v>569</v>
      </c>
      <c r="CM246" s="57" t="s">
        <v>2098</v>
      </c>
      <c r="CN246" s="57">
        <v>33</v>
      </c>
      <c r="CO246" s="57">
        <v>75</v>
      </c>
      <c r="CP246" s="57">
        <v>126</v>
      </c>
      <c r="CQ246" s="57">
        <v>153</v>
      </c>
      <c r="CR246" s="57">
        <v>162</v>
      </c>
      <c r="CS246" s="57">
        <v>549</v>
      </c>
      <c r="CT246" s="57"/>
      <c r="CU246" s="57" t="s">
        <v>2098</v>
      </c>
      <c r="CV246" s="57">
        <v>2</v>
      </c>
      <c r="CW246" s="57">
        <v>0</v>
      </c>
      <c r="CX246" s="57">
        <v>0</v>
      </c>
      <c r="CY246" s="57">
        <v>0</v>
      </c>
      <c r="CZ246" s="57">
        <v>0</v>
      </c>
      <c r="DA246" s="57">
        <v>2</v>
      </c>
      <c r="FF246" s="70" t="s">
        <v>1827</v>
      </c>
      <c r="FG246" s="70" t="s">
        <v>2098</v>
      </c>
      <c r="FH246" s="70">
        <v>533</v>
      </c>
      <c r="FI246" s="70">
        <v>537</v>
      </c>
      <c r="FJ246" s="70">
        <v>607</v>
      </c>
      <c r="FK246" s="70">
        <v>637</v>
      </c>
      <c r="FL246" s="70">
        <v>790</v>
      </c>
      <c r="FM246" s="70">
        <v>3104</v>
      </c>
      <c r="FN246" s="70"/>
      <c r="FO246" s="70" t="s">
        <v>2098</v>
      </c>
      <c r="FP246" s="70">
        <v>67</v>
      </c>
      <c r="FQ246" s="70">
        <v>14</v>
      </c>
      <c r="FR246" s="70">
        <v>8</v>
      </c>
      <c r="FS246" s="70">
        <v>6</v>
      </c>
      <c r="FT246" s="70">
        <v>4</v>
      </c>
      <c r="FU246" s="70">
        <v>99</v>
      </c>
    </row>
    <row r="247" spans="2:177">
      <c r="B247" s="64" t="s">
        <v>878</v>
      </c>
      <c r="C247" s="64" t="s">
        <v>25</v>
      </c>
      <c r="D247" s="64">
        <v>842</v>
      </c>
      <c r="E247" s="64">
        <v>774</v>
      </c>
      <c r="F247" s="64">
        <v>726</v>
      </c>
      <c r="G247" s="64">
        <v>642</v>
      </c>
      <c r="H247" s="64">
        <v>445</v>
      </c>
      <c r="I247" s="64">
        <v>3429</v>
      </c>
      <c r="K247" s="64" t="s">
        <v>25</v>
      </c>
      <c r="L247" s="64">
        <v>93</v>
      </c>
      <c r="M247" s="64">
        <v>3</v>
      </c>
      <c r="N247" s="64">
        <v>1</v>
      </c>
      <c r="O247" s="64">
        <v>0</v>
      </c>
      <c r="P247" s="64">
        <v>0</v>
      </c>
      <c r="Q247" s="64">
        <v>97</v>
      </c>
      <c r="AK247" s="66" t="s">
        <v>1080</v>
      </c>
      <c r="AL247" s="66" t="s">
        <v>2098</v>
      </c>
      <c r="AM247" s="66">
        <v>736</v>
      </c>
      <c r="AN247" s="66">
        <v>665</v>
      </c>
      <c r="AO247" s="66">
        <v>812</v>
      </c>
      <c r="AP247" s="66">
        <v>790</v>
      </c>
      <c r="AQ247" s="66">
        <v>577</v>
      </c>
      <c r="AR247" s="66">
        <v>3580</v>
      </c>
      <c r="AS247" s="66"/>
      <c r="AT247" s="66" t="s">
        <v>2098</v>
      </c>
      <c r="AU247" s="66">
        <v>37</v>
      </c>
      <c r="AV247" s="66">
        <v>0</v>
      </c>
      <c r="AW247" s="66">
        <v>2</v>
      </c>
      <c r="AX247" s="66">
        <v>0</v>
      </c>
      <c r="AY247" s="66">
        <v>2</v>
      </c>
      <c r="AZ247" s="66">
        <v>41</v>
      </c>
      <c r="BB247" s="69" t="s">
        <v>1366</v>
      </c>
      <c r="BC247" s="69" t="s">
        <v>2032</v>
      </c>
      <c r="BD247" s="69">
        <v>89</v>
      </c>
      <c r="BE247" s="69">
        <v>95</v>
      </c>
      <c r="BF247" s="69">
        <v>201</v>
      </c>
      <c r="BG247" s="69">
        <v>261</v>
      </c>
      <c r="BH247" s="69">
        <v>230</v>
      </c>
      <c r="BI247" s="69">
        <v>876</v>
      </c>
      <c r="BJ247" s="69"/>
      <c r="BK247" s="69" t="s">
        <v>2032</v>
      </c>
      <c r="BL247" s="69">
        <v>14</v>
      </c>
      <c r="BM247" s="69">
        <v>6</v>
      </c>
      <c r="BN247" s="69">
        <v>5</v>
      </c>
      <c r="BO247" s="69">
        <v>0</v>
      </c>
      <c r="BP247" s="69">
        <v>0</v>
      </c>
      <c r="BQ247" s="69">
        <v>25</v>
      </c>
      <c r="BS247" s="21"/>
      <c r="CL247" s="57" t="s">
        <v>571</v>
      </c>
      <c r="CM247" s="57" t="s">
        <v>2098</v>
      </c>
      <c r="CN247" s="57">
        <v>57</v>
      </c>
      <c r="CO247" s="57">
        <v>49</v>
      </c>
      <c r="CP247" s="57">
        <v>101</v>
      </c>
      <c r="CQ247" s="57">
        <v>144</v>
      </c>
      <c r="CR247" s="57">
        <v>140</v>
      </c>
      <c r="CS247" s="57">
        <v>491</v>
      </c>
      <c r="CT247" s="57"/>
      <c r="CU247" s="57" t="s">
        <v>2098</v>
      </c>
      <c r="CV247" s="57">
        <v>22</v>
      </c>
      <c r="CW247" s="57">
        <v>0</v>
      </c>
      <c r="CX247" s="57">
        <v>0</v>
      </c>
      <c r="CY247" s="57">
        <v>0</v>
      </c>
      <c r="CZ247" s="57">
        <v>0</v>
      </c>
      <c r="DA247" s="57">
        <v>22</v>
      </c>
      <c r="FF247" s="70" t="s">
        <v>1828</v>
      </c>
      <c r="FG247" s="70" t="s">
        <v>2098</v>
      </c>
      <c r="FH247" s="70">
        <v>316</v>
      </c>
      <c r="FI247" s="70">
        <v>497</v>
      </c>
      <c r="FJ247" s="70">
        <v>537</v>
      </c>
      <c r="FK247" s="70">
        <v>604</v>
      </c>
      <c r="FL247" s="70">
        <v>766</v>
      </c>
      <c r="FM247" s="70">
        <v>2720</v>
      </c>
      <c r="FN247" s="70"/>
      <c r="FO247" s="70" t="s">
        <v>2098</v>
      </c>
      <c r="FP247" s="70">
        <v>24</v>
      </c>
      <c r="FQ247" s="70">
        <v>10</v>
      </c>
      <c r="FR247" s="70">
        <v>4</v>
      </c>
      <c r="FS247" s="70">
        <v>2</v>
      </c>
      <c r="FT247" s="70">
        <v>2</v>
      </c>
      <c r="FU247" s="70">
        <v>42</v>
      </c>
    </row>
    <row r="248" spans="2:177">
      <c r="B248" s="64" t="s">
        <v>882</v>
      </c>
      <c r="C248" s="64" t="s">
        <v>25</v>
      </c>
      <c r="D248" s="64">
        <v>619</v>
      </c>
      <c r="E248" s="64">
        <v>556</v>
      </c>
      <c r="F248" s="64">
        <v>565</v>
      </c>
      <c r="G248" s="64">
        <v>590</v>
      </c>
      <c r="H248" s="64">
        <v>402</v>
      </c>
      <c r="I248" s="64">
        <v>2732</v>
      </c>
      <c r="K248" s="64" t="s">
        <v>25</v>
      </c>
      <c r="L248" s="64">
        <v>79</v>
      </c>
      <c r="M248" s="64">
        <v>10</v>
      </c>
      <c r="N248" s="64">
        <v>1</v>
      </c>
      <c r="O248" s="64">
        <v>0</v>
      </c>
      <c r="P248" s="64">
        <v>1</v>
      </c>
      <c r="Q248" s="64">
        <v>91</v>
      </c>
      <c r="AK248" s="66" t="s">
        <v>1084</v>
      </c>
      <c r="AL248" s="66" t="s">
        <v>2098</v>
      </c>
      <c r="AM248" s="66">
        <v>206</v>
      </c>
      <c r="AN248" s="66">
        <v>329</v>
      </c>
      <c r="AO248" s="66">
        <v>620</v>
      </c>
      <c r="AP248" s="66">
        <v>869</v>
      </c>
      <c r="AQ248" s="66">
        <v>614</v>
      </c>
      <c r="AR248" s="66">
        <v>2638</v>
      </c>
      <c r="AS248" s="66"/>
      <c r="AT248" s="66" t="s">
        <v>2098</v>
      </c>
      <c r="AU248" s="66">
        <v>31</v>
      </c>
      <c r="AV248" s="66">
        <v>1</v>
      </c>
      <c r="AW248" s="66">
        <v>0</v>
      </c>
      <c r="AX248" s="66">
        <v>0</v>
      </c>
      <c r="AY248" s="66">
        <v>0</v>
      </c>
      <c r="AZ248" s="66">
        <v>32</v>
      </c>
      <c r="BB248" s="69" t="s">
        <v>1369</v>
      </c>
      <c r="BC248" s="69" t="s">
        <v>2032</v>
      </c>
      <c r="BD248" s="69">
        <v>147</v>
      </c>
      <c r="BE248" s="69">
        <v>160</v>
      </c>
      <c r="BF248" s="69">
        <v>299</v>
      </c>
      <c r="BG248" s="69">
        <v>515</v>
      </c>
      <c r="BH248" s="69">
        <v>420</v>
      </c>
      <c r="BI248" s="69">
        <v>1541</v>
      </c>
      <c r="BJ248" s="69"/>
      <c r="BK248" s="69" t="s">
        <v>2032</v>
      </c>
      <c r="BL248" s="69">
        <v>46</v>
      </c>
      <c r="BM248" s="69">
        <v>0</v>
      </c>
      <c r="BN248" s="69">
        <v>0</v>
      </c>
      <c r="BO248" s="69">
        <v>0</v>
      </c>
      <c r="BP248" s="69">
        <v>0</v>
      </c>
      <c r="BQ248" s="69">
        <v>46</v>
      </c>
      <c r="BS248" s="21"/>
      <c r="CL248" s="57" t="s">
        <v>573</v>
      </c>
      <c r="CM248" s="57" t="s">
        <v>2098</v>
      </c>
      <c r="CN248" s="57">
        <v>14</v>
      </c>
      <c r="CO248" s="57">
        <v>23</v>
      </c>
      <c r="CP248" s="57">
        <v>52</v>
      </c>
      <c r="CQ248" s="57">
        <v>117</v>
      </c>
      <c r="CR248" s="57">
        <v>114</v>
      </c>
      <c r="CS248" s="57">
        <v>320</v>
      </c>
      <c r="CT248" s="57"/>
      <c r="CU248" s="57" t="s">
        <v>2098</v>
      </c>
      <c r="CV248" s="57">
        <v>4</v>
      </c>
      <c r="CW248" s="57">
        <v>0</v>
      </c>
      <c r="CX248" s="57">
        <v>0</v>
      </c>
      <c r="CY248" s="57">
        <v>0</v>
      </c>
      <c r="CZ248" s="57">
        <v>0</v>
      </c>
      <c r="DA248" s="57">
        <v>4</v>
      </c>
      <c r="FF248" s="70" t="s">
        <v>1829</v>
      </c>
      <c r="FG248" s="70" t="s">
        <v>2098</v>
      </c>
      <c r="FH248" s="70">
        <v>2287</v>
      </c>
      <c r="FI248" s="70">
        <v>1023</v>
      </c>
      <c r="FJ248" s="70">
        <v>796</v>
      </c>
      <c r="FK248" s="70">
        <v>639</v>
      </c>
      <c r="FL248" s="70">
        <v>718</v>
      </c>
      <c r="FM248" s="70">
        <v>5463</v>
      </c>
      <c r="FN248" s="70"/>
      <c r="FO248" s="70" t="s">
        <v>2098</v>
      </c>
      <c r="FP248" s="70">
        <v>340</v>
      </c>
      <c r="FQ248" s="70">
        <v>0</v>
      </c>
      <c r="FR248" s="70">
        <v>0</v>
      </c>
      <c r="FS248" s="70">
        <v>0</v>
      </c>
      <c r="FT248" s="70">
        <v>0</v>
      </c>
      <c r="FU248" s="70">
        <v>340</v>
      </c>
    </row>
    <row r="249" spans="2:177">
      <c r="B249" s="64" t="s">
        <v>889</v>
      </c>
      <c r="C249" s="64" t="s">
        <v>25</v>
      </c>
      <c r="D249" s="64">
        <v>207</v>
      </c>
      <c r="E249" s="64">
        <v>252</v>
      </c>
      <c r="F249" s="64">
        <v>321</v>
      </c>
      <c r="G249" s="64">
        <v>351</v>
      </c>
      <c r="H249" s="64">
        <v>280</v>
      </c>
      <c r="I249" s="64">
        <v>1411</v>
      </c>
      <c r="K249" s="64" t="s">
        <v>25</v>
      </c>
      <c r="L249" s="64">
        <v>28</v>
      </c>
      <c r="M249" s="64">
        <v>2</v>
      </c>
      <c r="N249" s="64">
        <v>1</v>
      </c>
      <c r="O249" s="64">
        <v>0</v>
      </c>
      <c r="P249" s="64">
        <v>0</v>
      </c>
      <c r="Q249" s="64">
        <v>31</v>
      </c>
      <c r="AK249" s="66" t="s">
        <v>1087</v>
      </c>
      <c r="AL249" s="66" t="s">
        <v>2098</v>
      </c>
      <c r="AM249" s="66">
        <v>542</v>
      </c>
      <c r="AN249" s="66">
        <v>658</v>
      </c>
      <c r="AO249" s="66">
        <v>834</v>
      </c>
      <c r="AP249" s="66">
        <v>762</v>
      </c>
      <c r="AQ249" s="66">
        <v>524</v>
      </c>
      <c r="AR249" s="66">
        <v>3320</v>
      </c>
      <c r="AS249" s="66"/>
      <c r="AT249" s="66" t="s">
        <v>2098</v>
      </c>
      <c r="AU249" s="66">
        <v>50</v>
      </c>
      <c r="AV249" s="66">
        <v>1</v>
      </c>
      <c r="AW249" s="66">
        <v>3</v>
      </c>
      <c r="AX249" s="66">
        <v>1</v>
      </c>
      <c r="AY249" s="66">
        <v>1</v>
      </c>
      <c r="AZ249" s="66">
        <v>56</v>
      </c>
      <c r="BB249" s="69" t="s">
        <v>1373</v>
      </c>
      <c r="BC249" s="69" t="s">
        <v>2032</v>
      </c>
      <c r="BD249" s="69">
        <v>45</v>
      </c>
      <c r="BE249" s="69">
        <v>61</v>
      </c>
      <c r="BF249" s="69">
        <v>109</v>
      </c>
      <c r="BG249" s="69">
        <v>183</v>
      </c>
      <c r="BH249" s="69">
        <v>219</v>
      </c>
      <c r="BI249" s="69">
        <v>617</v>
      </c>
      <c r="BJ249" s="69"/>
      <c r="BK249" s="69" t="s">
        <v>2032</v>
      </c>
      <c r="BL249" s="69">
        <v>12</v>
      </c>
      <c r="BM249" s="69">
        <v>0</v>
      </c>
      <c r="BN249" s="69">
        <v>0</v>
      </c>
      <c r="BO249" s="69">
        <v>0</v>
      </c>
      <c r="BP249" s="69">
        <v>0</v>
      </c>
      <c r="BQ249" s="69">
        <v>12</v>
      </c>
      <c r="BS249" s="21"/>
      <c r="CL249" s="57" t="s">
        <v>1965</v>
      </c>
      <c r="CM249" s="57" t="s">
        <v>2098</v>
      </c>
      <c r="CN249" s="57">
        <v>95</v>
      </c>
      <c r="CO249" s="57">
        <v>88</v>
      </c>
      <c r="CP249" s="57">
        <v>211</v>
      </c>
      <c r="CQ249" s="57">
        <v>302</v>
      </c>
      <c r="CR249" s="57">
        <v>283</v>
      </c>
      <c r="CS249" s="57">
        <v>979</v>
      </c>
      <c r="CT249" s="57"/>
      <c r="CU249" s="57" t="s">
        <v>2098</v>
      </c>
      <c r="CV249" s="57">
        <v>30</v>
      </c>
      <c r="CW249" s="57">
        <v>0</v>
      </c>
      <c r="CX249" s="57">
        <v>0</v>
      </c>
      <c r="CY249" s="57">
        <v>0</v>
      </c>
      <c r="CZ249" s="57">
        <v>0</v>
      </c>
      <c r="DA249" s="57">
        <v>30</v>
      </c>
      <c r="FF249" s="70" t="s">
        <v>1831</v>
      </c>
      <c r="FG249" s="70" t="s">
        <v>2098</v>
      </c>
      <c r="FH249" s="70">
        <v>902</v>
      </c>
      <c r="FI249" s="70">
        <v>1075</v>
      </c>
      <c r="FJ249" s="70">
        <v>702</v>
      </c>
      <c r="FK249" s="70">
        <v>576</v>
      </c>
      <c r="FL249" s="70">
        <v>589</v>
      </c>
      <c r="FM249" s="70">
        <v>3844</v>
      </c>
      <c r="FN249" s="70"/>
      <c r="FO249" s="70" t="s">
        <v>2098</v>
      </c>
      <c r="FP249" s="70">
        <v>136</v>
      </c>
      <c r="FQ249" s="70">
        <v>0</v>
      </c>
      <c r="FR249" s="70">
        <v>0</v>
      </c>
      <c r="FS249" s="70">
        <v>0</v>
      </c>
      <c r="FT249" s="70">
        <v>0</v>
      </c>
      <c r="FU249" s="70">
        <v>136</v>
      </c>
    </row>
    <row r="250" spans="2:177">
      <c r="B250" s="64" t="s">
        <v>893</v>
      </c>
      <c r="C250" s="64" t="s">
        <v>25</v>
      </c>
      <c r="D250" s="64">
        <v>330</v>
      </c>
      <c r="E250" s="64">
        <v>397</v>
      </c>
      <c r="F250" s="64">
        <v>430</v>
      </c>
      <c r="G250" s="64">
        <v>483</v>
      </c>
      <c r="H250" s="64">
        <v>341</v>
      </c>
      <c r="I250" s="64">
        <v>1981</v>
      </c>
      <c r="K250" s="64" t="s">
        <v>25</v>
      </c>
      <c r="L250" s="64">
        <v>34</v>
      </c>
      <c r="M250" s="64">
        <v>3</v>
      </c>
      <c r="N250" s="64">
        <v>2</v>
      </c>
      <c r="O250" s="64">
        <v>0</v>
      </c>
      <c r="P250" s="64">
        <v>0</v>
      </c>
      <c r="Q250" s="64">
        <v>39</v>
      </c>
      <c r="AK250" s="66" t="s">
        <v>1090</v>
      </c>
      <c r="AL250" s="66" t="s">
        <v>2098</v>
      </c>
      <c r="AM250" s="66">
        <v>818</v>
      </c>
      <c r="AN250" s="66">
        <v>807</v>
      </c>
      <c r="AO250" s="66">
        <v>959</v>
      </c>
      <c r="AP250" s="66">
        <v>921</v>
      </c>
      <c r="AQ250" s="66">
        <v>571</v>
      </c>
      <c r="AR250" s="66">
        <v>4076</v>
      </c>
      <c r="AS250" s="66"/>
      <c r="AT250" s="66" t="s">
        <v>2098</v>
      </c>
      <c r="AU250" s="66">
        <v>52</v>
      </c>
      <c r="AV250" s="66">
        <v>4</v>
      </c>
      <c r="AW250" s="66">
        <v>0</v>
      </c>
      <c r="AX250" s="66">
        <v>1</v>
      </c>
      <c r="AY250" s="66">
        <v>0</v>
      </c>
      <c r="AZ250" s="66">
        <v>57</v>
      </c>
      <c r="BB250" s="69" t="s">
        <v>41</v>
      </c>
      <c r="BC250" s="69" t="s">
        <v>2032</v>
      </c>
      <c r="BD250" s="69">
        <v>454</v>
      </c>
      <c r="BE250" s="69">
        <v>530</v>
      </c>
      <c r="BF250" s="69">
        <v>987</v>
      </c>
      <c r="BG250" s="69">
        <v>1335</v>
      </c>
      <c r="BH250" s="69">
        <v>1232</v>
      </c>
      <c r="BI250" s="69">
        <v>4538</v>
      </c>
      <c r="BJ250" s="69"/>
      <c r="BK250" s="69" t="s">
        <v>2032</v>
      </c>
      <c r="BL250" s="69">
        <v>62</v>
      </c>
      <c r="BM250" s="69">
        <v>0</v>
      </c>
      <c r="BN250" s="69">
        <v>0</v>
      </c>
      <c r="BO250" s="69">
        <v>0</v>
      </c>
      <c r="BP250" s="69">
        <v>0</v>
      </c>
      <c r="BQ250" s="69">
        <v>62</v>
      </c>
      <c r="BS250" s="21"/>
      <c r="CL250" s="57" t="s">
        <v>486</v>
      </c>
      <c r="CM250" s="57" t="s">
        <v>2098</v>
      </c>
      <c r="CN250" s="57">
        <v>47</v>
      </c>
      <c r="CO250" s="57">
        <v>34</v>
      </c>
      <c r="CP250" s="57">
        <v>60</v>
      </c>
      <c r="CQ250" s="57">
        <v>79</v>
      </c>
      <c r="CR250" s="57">
        <v>99</v>
      </c>
      <c r="CS250" s="57">
        <v>319</v>
      </c>
      <c r="CT250" s="57"/>
      <c r="CU250" s="57" t="s">
        <v>2098</v>
      </c>
      <c r="CV250" s="57">
        <v>15</v>
      </c>
      <c r="CW250" s="57">
        <v>0</v>
      </c>
      <c r="CX250" s="57">
        <v>0</v>
      </c>
      <c r="CY250" s="57">
        <v>0</v>
      </c>
      <c r="CZ250" s="57">
        <v>0</v>
      </c>
      <c r="DA250" s="57">
        <v>15</v>
      </c>
      <c r="FE250" s="16" t="s">
        <v>2022</v>
      </c>
      <c r="FF250" s="70" t="s">
        <v>1833</v>
      </c>
      <c r="FG250" s="70" t="s">
        <v>2098</v>
      </c>
      <c r="FH250" s="70">
        <v>357</v>
      </c>
      <c r="FI250" s="70">
        <v>317</v>
      </c>
      <c r="FJ250" s="70">
        <v>455</v>
      </c>
      <c r="FK250" s="70">
        <v>479</v>
      </c>
      <c r="FL250" s="70">
        <v>596</v>
      </c>
      <c r="FM250" s="70">
        <v>2204</v>
      </c>
      <c r="FN250" s="70"/>
      <c r="FO250" s="70" t="s">
        <v>2098</v>
      </c>
      <c r="FP250" s="70">
        <v>50</v>
      </c>
      <c r="FQ250" s="70">
        <v>0</v>
      </c>
      <c r="FR250" s="70">
        <v>0</v>
      </c>
      <c r="FS250" s="70">
        <v>0</v>
      </c>
      <c r="FT250" s="70">
        <v>0</v>
      </c>
      <c r="FU250" s="70">
        <v>50</v>
      </c>
    </row>
    <row r="251" spans="2:177">
      <c r="B251" s="64" t="s">
        <v>897</v>
      </c>
      <c r="C251" s="64" t="s">
        <v>25</v>
      </c>
      <c r="D251" s="64">
        <v>127</v>
      </c>
      <c r="E251" s="64">
        <v>216</v>
      </c>
      <c r="F251" s="64">
        <v>292</v>
      </c>
      <c r="G251" s="64">
        <v>352</v>
      </c>
      <c r="H251" s="64">
        <v>278</v>
      </c>
      <c r="I251" s="64">
        <v>1265</v>
      </c>
      <c r="K251" s="64" t="s">
        <v>25</v>
      </c>
      <c r="L251" s="64">
        <v>9</v>
      </c>
      <c r="M251" s="64">
        <v>7</v>
      </c>
      <c r="N251" s="64">
        <v>1</v>
      </c>
      <c r="O251" s="64">
        <v>1</v>
      </c>
      <c r="P251" s="64">
        <v>3</v>
      </c>
      <c r="Q251" s="64">
        <v>21</v>
      </c>
      <c r="AK251" s="66" t="s">
        <v>1093</v>
      </c>
      <c r="AL251" s="66" t="s">
        <v>2098</v>
      </c>
      <c r="AM251" s="66">
        <v>260</v>
      </c>
      <c r="AN251" s="66">
        <v>277</v>
      </c>
      <c r="AO251" s="66">
        <v>358</v>
      </c>
      <c r="AP251" s="66">
        <v>402</v>
      </c>
      <c r="AQ251" s="66">
        <v>282</v>
      </c>
      <c r="AR251" s="66">
        <v>1579</v>
      </c>
      <c r="AS251" s="66"/>
      <c r="AT251" s="66" t="s">
        <v>2098</v>
      </c>
      <c r="AU251" s="66">
        <v>26</v>
      </c>
      <c r="AV251" s="66">
        <v>4</v>
      </c>
      <c r="AW251" s="66">
        <v>0</v>
      </c>
      <c r="AX251" s="66">
        <v>0</v>
      </c>
      <c r="AY251" s="66">
        <v>0</v>
      </c>
      <c r="AZ251" s="66">
        <v>30</v>
      </c>
      <c r="BB251" s="69" t="s">
        <v>1380</v>
      </c>
      <c r="BC251" s="69" t="s">
        <v>2032</v>
      </c>
      <c r="BD251" s="69">
        <v>361</v>
      </c>
      <c r="BE251" s="69">
        <v>378</v>
      </c>
      <c r="BF251" s="69">
        <v>693</v>
      </c>
      <c r="BG251" s="69">
        <v>915</v>
      </c>
      <c r="BH251" s="69">
        <v>828</v>
      </c>
      <c r="BI251" s="69">
        <v>3175</v>
      </c>
      <c r="BJ251" s="69"/>
      <c r="BK251" s="69" t="s">
        <v>2032</v>
      </c>
      <c r="BL251" s="69">
        <v>40</v>
      </c>
      <c r="BM251" s="69">
        <v>0</v>
      </c>
      <c r="BN251" s="69">
        <v>0</v>
      </c>
      <c r="BO251" s="69">
        <v>0</v>
      </c>
      <c r="BP251" s="69">
        <v>0</v>
      </c>
      <c r="BQ251" s="69">
        <v>40</v>
      </c>
      <c r="BS251" s="21"/>
      <c r="CL251" s="57" t="s">
        <v>534</v>
      </c>
      <c r="CM251" s="57" t="s">
        <v>2098</v>
      </c>
      <c r="CN251" s="57">
        <v>281</v>
      </c>
      <c r="CO251" s="57">
        <v>107</v>
      </c>
      <c r="CP251" s="57">
        <v>148</v>
      </c>
      <c r="CQ251" s="57">
        <v>212</v>
      </c>
      <c r="CR251" s="57">
        <v>264</v>
      </c>
      <c r="CS251" s="57">
        <v>1012</v>
      </c>
      <c r="CT251" s="57"/>
      <c r="CU251" s="57" t="s">
        <v>2098</v>
      </c>
      <c r="CV251" s="57">
        <v>93</v>
      </c>
      <c r="CW251" s="57">
        <v>0</v>
      </c>
      <c r="CX251" s="57">
        <v>0</v>
      </c>
      <c r="CY251" s="57">
        <v>0</v>
      </c>
      <c r="CZ251" s="57">
        <v>0</v>
      </c>
      <c r="DA251" s="57">
        <v>93</v>
      </c>
      <c r="FE251" s="16" t="s">
        <v>2024</v>
      </c>
      <c r="FF251" s="70" t="s">
        <v>1834</v>
      </c>
      <c r="FG251" s="70" t="s">
        <v>2098</v>
      </c>
      <c r="FH251" s="70">
        <v>296</v>
      </c>
      <c r="FI251" s="70">
        <v>264</v>
      </c>
      <c r="FJ251" s="70">
        <v>266</v>
      </c>
      <c r="FK251" s="70">
        <v>302</v>
      </c>
      <c r="FL251" s="70">
        <v>362</v>
      </c>
      <c r="FM251" s="70">
        <v>1490</v>
      </c>
      <c r="FN251" s="70"/>
      <c r="FO251" s="70" t="s">
        <v>2098</v>
      </c>
      <c r="FP251" s="70">
        <v>69</v>
      </c>
      <c r="FQ251" s="70">
        <v>4</v>
      </c>
      <c r="FR251" s="70">
        <v>1</v>
      </c>
      <c r="FS251" s="70">
        <v>0</v>
      </c>
      <c r="FT251" s="70">
        <v>4</v>
      </c>
      <c r="FU251" s="70">
        <v>78</v>
      </c>
    </row>
    <row r="252" spans="2:177">
      <c r="B252" s="64" t="s">
        <v>902</v>
      </c>
      <c r="C252" s="64" t="s">
        <v>25</v>
      </c>
      <c r="D252" s="64">
        <v>117</v>
      </c>
      <c r="E252" s="64">
        <v>214</v>
      </c>
      <c r="F252" s="64">
        <v>314</v>
      </c>
      <c r="G252" s="64">
        <v>354</v>
      </c>
      <c r="H252" s="64">
        <v>297</v>
      </c>
      <c r="I252" s="64">
        <v>1296</v>
      </c>
      <c r="K252" s="64" t="s">
        <v>25</v>
      </c>
      <c r="L252" s="64">
        <v>15</v>
      </c>
      <c r="M252" s="64">
        <v>0</v>
      </c>
      <c r="N252" s="64">
        <v>1</v>
      </c>
      <c r="O252" s="64">
        <v>0</v>
      </c>
      <c r="P252" s="64">
        <v>0</v>
      </c>
      <c r="Q252" s="64">
        <v>16</v>
      </c>
      <c r="AK252" s="66" t="s">
        <v>1098</v>
      </c>
      <c r="AL252" s="66" t="s">
        <v>2098</v>
      </c>
      <c r="AM252" s="66">
        <v>327</v>
      </c>
      <c r="AN252" s="66">
        <v>274</v>
      </c>
      <c r="AO252" s="66">
        <v>473</v>
      </c>
      <c r="AP252" s="66">
        <v>734</v>
      </c>
      <c r="AQ252" s="66">
        <v>620</v>
      </c>
      <c r="AR252" s="66">
        <v>2428</v>
      </c>
      <c r="AS252" s="66"/>
      <c r="AT252" s="66" t="s">
        <v>2098</v>
      </c>
      <c r="AU252" s="66">
        <v>38</v>
      </c>
      <c r="AV252" s="66">
        <v>0</v>
      </c>
      <c r="AW252" s="66">
        <v>0</v>
      </c>
      <c r="AX252" s="66">
        <v>0</v>
      </c>
      <c r="AY252" s="66">
        <v>0</v>
      </c>
      <c r="AZ252" s="66">
        <v>38</v>
      </c>
      <c r="BB252" s="69" t="s">
        <v>1383</v>
      </c>
      <c r="BC252" s="69" t="s">
        <v>2032</v>
      </c>
      <c r="BD252" s="69">
        <v>276</v>
      </c>
      <c r="BE252" s="69">
        <v>359</v>
      </c>
      <c r="BF252" s="69">
        <v>574</v>
      </c>
      <c r="BG252" s="69">
        <v>855</v>
      </c>
      <c r="BH252" s="69">
        <v>699</v>
      </c>
      <c r="BI252" s="69">
        <v>2763</v>
      </c>
      <c r="BJ252" s="69"/>
      <c r="BK252" s="69" t="s">
        <v>2032</v>
      </c>
      <c r="BL252" s="69">
        <v>36</v>
      </c>
      <c r="BM252" s="69">
        <v>2</v>
      </c>
      <c r="BN252" s="69">
        <v>0</v>
      </c>
      <c r="BO252" s="69">
        <v>0</v>
      </c>
      <c r="BP252" s="69">
        <v>0</v>
      </c>
      <c r="BQ252" s="69">
        <v>38</v>
      </c>
      <c r="BS252" s="21"/>
      <c r="CL252" s="57" t="s">
        <v>367</v>
      </c>
      <c r="CM252" s="57" t="s">
        <v>2098</v>
      </c>
      <c r="CN252" s="57">
        <v>70</v>
      </c>
      <c r="CO252" s="57">
        <v>114</v>
      </c>
      <c r="CP252" s="57">
        <v>222</v>
      </c>
      <c r="CQ252" s="57">
        <v>205</v>
      </c>
      <c r="CR252" s="57">
        <v>212</v>
      </c>
      <c r="CS252" s="57">
        <v>823</v>
      </c>
      <c r="CT252" s="57"/>
      <c r="CU252" s="57" t="s">
        <v>2098</v>
      </c>
      <c r="CV252" s="57">
        <v>8</v>
      </c>
      <c r="CW252" s="57">
        <v>0</v>
      </c>
      <c r="CX252" s="57">
        <v>0</v>
      </c>
      <c r="CY252" s="57">
        <v>0</v>
      </c>
      <c r="CZ252" s="57">
        <v>0</v>
      </c>
      <c r="DA252" s="57">
        <v>8</v>
      </c>
      <c r="FF252" s="70" t="s">
        <v>598</v>
      </c>
      <c r="FG252" s="70" t="s">
        <v>2098</v>
      </c>
      <c r="FH252" s="70">
        <v>321</v>
      </c>
      <c r="FI252" s="70">
        <v>432</v>
      </c>
      <c r="FJ252" s="70">
        <v>406</v>
      </c>
      <c r="FK252" s="70">
        <v>406</v>
      </c>
      <c r="FL252" s="70">
        <v>423</v>
      </c>
      <c r="FM252" s="70">
        <v>1988</v>
      </c>
      <c r="FN252" s="70"/>
      <c r="FO252" s="70" t="s">
        <v>2098</v>
      </c>
      <c r="FP252" s="70">
        <v>104</v>
      </c>
      <c r="FQ252" s="70">
        <v>10</v>
      </c>
      <c r="FR252" s="70">
        <v>0</v>
      </c>
      <c r="FS252" s="70">
        <v>0</v>
      </c>
      <c r="FT252" s="70">
        <v>0</v>
      </c>
      <c r="FU252" s="70">
        <v>114</v>
      </c>
    </row>
    <row r="253" spans="2:177">
      <c r="B253" s="64" t="s">
        <v>907</v>
      </c>
      <c r="C253" s="64" t="s">
        <v>25</v>
      </c>
      <c r="D253" s="64">
        <v>262</v>
      </c>
      <c r="E253" s="64">
        <v>381</v>
      </c>
      <c r="F253" s="64">
        <v>462</v>
      </c>
      <c r="G253" s="64">
        <v>526</v>
      </c>
      <c r="H253" s="64">
        <v>408</v>
      </c>
      <c r="I253" s="64">
        <v>2039</v>
      </c>
      <c r="K253" s="64" t="s">
        <v>25</v>
      </c>
      <c r="L253" s="64">
        <v>53</v>
      </c>
      <c r="M253" s="64">
        <v>7</v>
      </c>
      <c r="N253" s="64">
        <v>0</v>
      </c>
      <c r="O253" s="64">
        <v>1</v>
      </c>
      <c r="P253" s="64">
        <v>2</v>
      </c>
      <c r="Q253" s="64">
        <v>63</v>
      </c>
      <c r="AK253" s="66" t="s">
        <v>1101</v>
      </c>
      <c r="AL253" s="66" t="s">
        <v>2098</v>
      </c>
      <c r="AM253" s="66">
        <v>131</v>
      </c>
      <c r="AN253" s="66">
        <v>242</v>
      </c>
      <c r="AO253" s="66">
        <v>341</v>
      </c>
      <c r="AP253" s="66">
        <v>487</v>
      </c>
      <c r="AQ253" s="66">
        <v>427</v>
      </c>
      <c r="AR253" s="66">
        <v>1628</v>
      </c>
      <c r="AS253" s="66"/>
      <c r="AT253" s="66" t="s">
        <v>2098</v>
      </c>
      <c r="AU253" s="66">
        <v>58</v>
      </c>
      <c r="AV253" s="66">
        <v>2</v>
      </c>
      <c r="AW253" s="66">
        <v>2</v>
      </c>
      <c r="AX253" s="66">
        <v>1</v>
      </c>
      <c r="AY253" s="66">
        <v>1</v>
      </c>
      <c r="AZ253" s="66">
        <v>64</v>
      </c>
      <c r="BB253" s="69" t="s">
        <v>1386</v>
      </c>
      <c r="BC253" s="69" t="s">
        <v>2032</v>
      </c>
      <c r="BD253" s="69">
        <v>58</v>
      </c>
      <c r="BE253" s="69">
        <v>94</v>
      </c>
      <c r="BF253" s="69">
        <v>165</v>
      </c>
      <c r="BG253" s="69">
        <v>308</v>
      </c>
      <c r="BH253" s="69">
        <v>282</v>
      </c>
      <c r="BI253" s="69">
        <v>907</v>
      </c>
      <c r="BJ253" s="69"/>
      <c r="BK253" s="69" t="s">
        <v>2032</v>
      </c>
      <c r="BL253" s="69">
        <v>19</v>
      </c>
      <c r="BM253" s="69">
        <v>0</v>
      </c>
      <c r="BN253" s="69">
        <v>0</v>
      </c>
      <c r="BO253" s="69">
        <v>0</v>
      </c>
      <c r="BP253" s="69">
        <v>0</v>
      </c>
      <c r="BQ253" s="69">
        <v>19</v>
      </c>
      <c r="BS253" s="21"/>
      <c r="CL253" s="57" t="s">
        <v>506</v>
      </c>
      <c r="CM253" s="57" t="s">
        <v>2098</v>
      </c>
      <c r="CN253" s="57">
        <v>618</v>
      </c>
      <c r="CO253" s="57">
        <v>77</v>
      </c>
      <c r="CP253" s="57">
        <v>160</v>
      </c>
      <c r="CQ253" s="57">
        <v>213</v>
      </c>
      <c r="CR253" s="57">
        <v>424</v>
      </c>
      <c r="CS253" s="57">
        <v>1492</v>
      </c>
      <c r="CT253" s="57"/>
      <c r="CU253" s="57" t="s">
        <v>2098</v>
      </c>
      <c r="CV253" s="57">
        <v>132</v>
      </c>
      <c r="CW253" s="57">
        <v>0</v>
      </c>
      <c r="CX253" s="57">
        <v>0</v>
      </c>
      <c r="CY253" s="57">
        <v>0</v>
      </c>
      <c r="CZ253" s="57">
        <v>0</v>
      </c>
      <c r="DA253" s="57">
        <v>132</v>
      </c>
      <c r="FF253" s="70" t="s">
        <v>1837</v>
      </c>
      <c r="FG253" s="70" t="s">
        <v>2098</v>
      </c>
      <c r="FH253" s="70">
        <v>150</v>
      </c>
      <c r="FI253" s="70">
        <v>285</v>
      </c>
      <c r="FJ253" s="70">
        <v>334</v>
      </c>
      <c r="FK253" s="70">
        <v>372</v>
      </c>
      <c r="FL253" s="70">
        <v>450</v>
      </c>
      <c r="FM253" s="70">
        <v>1591</v>
      </c>
      <c r="FN253" s="70"/>
      <c r="FO253" s="70" t="s">
        <v>2098</v>
      </c>
      <c r="FP253" s="70">
        <v>16</v>
      </c>
      <c r="FQ253" s="70">
        <v>4</v>
      </c>
      <c r="FR253" s="70">
        <v>1</v>
      </c>
      <c r="FS253" s="70">
        <v>2</v>
      </c>
      <c r="FT253" s="70">
        <v>3</v>
      </c>
      <c r="FU253" s="70">
        <v>26</v>
      </c>
    </row>
    <row r="254" spans="2:177">
      <c r="B254" s="64" t="s">
        <v>911</v>
      </c>
      <c r="C254" s="64" t="s">
        <v>25</v>
      </c>
      <c r="D254" s="64">
        <v>161</v>
      </c>
      <c r="E254" s="64">
        <v>184</v>
      </c>
      <c r="F254" s="64">
        <v>240</v>
      </c>
      <c r="G254" s="64">
        <v>343</v>
      </c>
      <c r="H254" s="64">
        <v>311</v>
      </c>
      <c r="I254" s="64">
        <v>1239</v>
      </c>
      <c r="K254" s="64" t="s">
        <v>25</v>
      </c>
      <c r="L254" s="64">
        <v>13</v>
      </c>
      <c r="M254" s="64">
        <v>1</v>
      </c>
      <c r="N254" s="64">
        <v>1</v>
      </c>
      <c r="O254" s="64">
        <v>2</v>
      </c>
      <c r="P254" s="64">
        <v>1</v>
      </c>
      <c r="Q254" s="64">
        <v>18</v>
      </c>
      <c r="AK254" s="66" t="s">
        <v>1104</v>
      </c>
      <c r="AL254" s="66" t="s">
        <v>2098</v>
      </c>
      <c r="AM254" s="66">
        <v>1403</v>
      </c>
      <c r="AN254" s="66">
        <v>986</v>
      </c>
      <c r="AO254" s="66">
        <v>1284</v>
      </c>
      <c r="AP254" s="66">
        <v>1366</v>
      </c>
      <c r="AQ254" s="66">
        <v>1058</v>
      </c>
      <c r="AR254" s="66">
        <v>6097</v>
      </c>
      <c r="AS254" s="66"/>
      <c r="AT254" s="66" t="s">
        <v>2098</v>
      </c>
      <c r="AU254" s="66">
        <v>90</v>
      </c>
      <c r="AV254" s="66">
        <v>0</v>
      </c>
      <c r="AW254" s="66">
        <v>0</v>
      </c>
      <c r="AX254" s="66">
        <v>0</v>
      </c>
      <c r="AY254" s="66">
        <v>0</v>
      </c>
      <c r="AZ254" s="66">
        <v>90</v>
      </c>
      <c r="BB254" s="69" t="s">
        <v>1389</v>
      </c>
      <c r="BC254" s="69" t="s">
        <v>2032</v>
      </c>
      <c r="BD254" s="69">
        <v>56</v>
      </c>
      <c r="BE254" s="69">
        <v>62</v>
      </c>
      <c r="BF254" s="69">
        <v>150</v>
      </c>
      <c r="BG254" s="69">
        <v>243</v>
      </c>
      <c r="BH254" s="69">
        <v>207</v>
      </c>
      <c r="BI254" s="69">
        <v>718</v>
      </c>
      <c r="BJ254" s="69"/>
      <c r="BK254" s="69" t="s">
        <v>2032</v>
      </c>
      <c r="BL254" s="69">
        <v>18</v>
      </c>
      <c r="BM254" s="69">
        <v>0</v>
      </c>
      <c r="BN254" s="69">
        <v>0</v>
      </c>
      <c r="BO254" s="69">
        <v>0</v>
      </c>
      <c r="BP254" s="69">
        <v>0</v>
      </c>
      <c r="BQ254" s="69">
        <v>18</v>
      </c>
      <c r="BS254" s="21"/>
      <c r="CL254" s="57" t="s">
        <v>368</v>
      </c>
      <c r="CM254" s="57" t="s">
        <v>2098</v>
      </c>
      <c r="CN254" s="57">
        <v>877</v>
      </c>
      <c r="CO254" s="57">
        <v>877</v>
      </c>
      <c r="CP254" s="57">
        <v>982</v>
      </c>
      <c r="CQ254" s="57">
        <v>941</v>
      </c>
      <c r="CR254" s="57">
        <v>772</v>
      </c>
      <c r="CS254" s="57">
        <v>4449</v>
      </c>
      <c r="CT254" s="57"/>
      <c r="CU254" s="57" t="s">
        <v>2098</v>
      </c>
      <c r="CV254" s="57">
        <v>158</v>
      </c>
      <c r="CW254" s="57">
        <v>0</v>
      </c>
      <c r="CX254" s="57">
        <v>0</v>
      </c>
      <c r="CY254" s="57">
        <v>0</v>
      </c>
      <c r="CZ254" s="57">
        <v>0</v>
      </c>
      <c r="DA254" s="57">
        <v>158</v>
      </c>
      <c r="FF254" s="70" t="s">
        <v>1838</v>
      </c>
      <c r="FG254" s="70" t="s">
        <v>2098</v>
      </c>
      <c r="FH254" s="70">
        <v>318</v>
      </c>
      <c r="FI254" s="70">
        <v>517</v>
      </c>
      <c r="FJ254" s="70">
        <v>652</v>
      </c>
      <c r="FK254" s="70">
        <v>719</v>
      </c>
      <c r="FL254" s="70">
        <v>815</v>
      </c>
      <c r="FM254" s="70">
        <v>3021</v>
      </c>
      <c r="FN254" s="70"/>
      <c r="FO254" s="70" t="s">
        <v>2098</v>
      </c>
      <c r="FP254" s="70">
        <v>33</v>
      </c>
      <c r="FQ254" s="70">
        <v>8</v>
      </c>
      <c r="FR254" s="70">
        <v>3</v>
      </c>
      <c r="FS254" s="70">
        <v>7</v>
      </c>
      <c r="FT254" s="70">
        <v>4</v>
      </c>
      <c r="FU254" s="70">
        <v>55</v>
      </c>
    </row>
    <row r="255" spans="2:177">
      <c r="B255" s="64" t="s">
        <v>915</v>
      </c>
      <c r="C255" s="64" t="s">
        <v>25</v>
      </c>
      <c r="D255" s="64">
        <v>69</v>
      </c>
      <c r="E255" s="64">
        <v>153</v>
      </c>
      <c r="F255" s="64">
        <v>196</v>
      </c>
      <c r="G255" s="64">
        <v>271</v>
      </c>
      <c r="H255" s="64">
        <v>203</v>
      </c>
      <c r="I255" s="64">
        <v>892</v>
      </c>
      <c r="K255" s="64" t="s">
        <v>25</v>
      </c>
      <c r="L255" s="64">
        <v>4</v>
      </c>
      <c r="M255" s="64">
        <v>0</v>
      </c>
      <c r="N255" s="64">
        <v>0</v>
      </c>
      <c r="O255" s="64">
        <v>0</v>
      </c>
      <c r="P255" s="64">
        <v>0</v>
      </c>
      <c r="Q255" s="64">
        <v>4</v>
      </c>
      <c r="AK255" s="66" t="s">
        <v>1110</v>
      </c>
      <c r="AL255" s="66" t="s">
        <v>2098</v>
      </c>
      <c r="AM255" s="66">
        <v>323</v>
      </c>
      <c r="AN255" s="66">
        <v>343</v>
      </c>
      <c r="AO255" s="66">
        <v>411</v>
      </c>
      <c r="AP255" s="66">
        <v>404</v>
      </c>
      <c r="AQ255" s="66">
        <v>319</v>
      </c>
      <c r="AR255" s="66">
        <v>1800</v>
      </c>
      <c r="AS255" s="66"/>
      <c r="AT255" s="66" t="s">
        <v>2098</v>
      </c>
      <c r="AU255" s="66">
        <v>18</v>
      </c>
      <c r="AV255" s="66">
        <v>1</v>
      </c>
      <c r="AW255" s="66">
        <v>1</v>
      </c>
      <c r="AX255" s="66">
        <v>2</v>
      </c>
      <c r="AY255" s="66">
        <v>0</v>
      </c>
      <c r="AZ255" s="66">
        <v>22</v>
      </c>
      <c r="BB255" s="69" t="s">
        <v>1392</v>
      </c>
      <c r="BC255" s="69" t="s">
        <v>2032</v>
      </c>
      <c r="BD255" s="69">
        <v>200</v>
      </c>
      <c r="BE255" s="69">
        <v>101</v>
      </c>
      <c r="BF255" s="69">
        <v>116</v>
      </c>
      <c r="BG255" s="69">
        <v>156</v>
      </c>
      <c r="BH255" s="69">
        <v>209</v>
      </c>
      <c r="BI255" s="69">
        <v>782</v>
      </c>
      <c r="BJ255" s="69"/>
      <c r="BK255" s="69" t="s">
        <v>2032</v>
      </c>
      <c r="BL255" s="69">
        <v>57</v>
      </c>
      <c r="BM255" s="69">
        <v>0</v>
      </c>
      <c r="BN255" s="69">
        <v>0</v>
      </c>
      <c r="BO255" s="69">
        <v>0</v>
      </c>
      <c r="BP255" s="69">
        <v>0</v>
      </c>
      <c r="BQ255" s="69">
        <v>57</v>
      </c>
      <c r="BS255" s="21"/>
      <c r="CL255" s="57" t="s">
        <v>544</v>
      </c>
      <c r="CM255" s="57" t="s">
        <v>2098</v>
      </c>
      <c r="CN255" s="57">
        <v>25</v>
      </c>
      <c r="CO255" s="57">
        <v>61</v>
      </c>
      <c r="CP255" s="57">
        <v>121</v>
      </c>
      <c r="CQ255" s="57">
        <v>192</v>
      </c>
      <c r="CR255" s="57">
        <v>186</v>
      </c>
      <c r="CS255" s="57">
        <v>585</v>
      </c>
      <c r="CT255" s="57"/>
      <c r="CU255" s="57" t="s">
        <v>2098</v>
      </c>
      <c r="CV255" s="57">
        <v>7</v>
      </c>
      <c r="CW255" s="57">
        <v>0</v>
      </c>
      <c r="CX255" s="57">
        <v>0</v>
      </c>
      <c r="CY255" s="57">
        <v>0</v>
      </c>
      <c r="CZ255" s="57">
        <v>0</v>
      </c>
      <c r="DA255" s="57">
        <v>7</v>
      </c>
      <c r="FF255" s="70" t="s">
        <v>1840</v>
      </c>
      <c r="FG255" s="70" t="s">
        <v>2098</v>
      </c>
      <c r="FH255" s="70">
        <v>194</v>
      </c>
      <c r="FI255" s="70">
        <v>348</v>
      </c>
      <c r="FJ255" s="70">
        <v>336</v>
      </c>
      <c r="FK255" s="70">
        <v>442</v>
      </c>
      <c r="FL255" s="70">
        <v>619</v>
      </c>
      <c r="FM255" s="70">
        <v>1939</v>
      </c>
      <c r="FN255" s="70"/>
      <c r="FO255" s="70" t="s">
        <v>2098</v>
      </c>
      <c r="FP255" s="70">
        <v>29</v>
      </c>
      <c r="FQ255" s="70">
        <v>17</v>
      </c>
      <c r="FR255" s="70">
        <v>5</v>
      </c>
      <c r="FS255" s="70">
        <v>3</v>
      </c>
      <c r="FT255" s="70">
        <v>0</v>
      </c>
      <c r="FU255" s="70">
        <v>54</v>
      </c>
    </row>
    <row r="256" spans="2:177">
      <c r="B256" s="64" t="s">
        <v>407</v>
      </c>
      <c r="C256" s="64" t="s">
        <v>25</v>
      </c>
      <c r="D256" s="64">
        <v>7</v>
      </c>
      <c r="E256" s="64">
        <v>16</v>
      </c>
      <c r="F256" s="64">
        <v>22</v>
      </c>
      <c r="G256" s="64">
        <v>32</v>
      </c>
      <c r="H256" s="64">
        <v>42</v>
      </c>
      <c r="I256" s="64">
        <v>119</v>
      </c>
      <c r="K256" s="64" t="s">
        <v>25</v>
      </c>
      <c r="L256" s="64">
        <v>0</v>
      </c>
      <c r="M256" s="64">
        <v>0</v>
      </c>
      <c r="N256" s="64">
        <v>0</v>
      </c>
      <c r="O256" s="64">
        <v>0</v>
      </c>
      <c r="P256" s="64">
        <v>0</v>
      </c>
      <c r="Q256" s="64">
        <v>0</v>
      </c>
      <c r="AK256" s="66" t="s">
        <v>1114</v>
      </c>
      <c r="AL256" s="66" t="s">
        <v>2098</v>
      </c>
      <c r="AM256" s="66">
        <v>369</v>
      </c>
      <c r="AN256" s="66">
        <v>461</v>
      </c>
      <c r="AO256" s="66">
        <v>590</v>
      </c>
      <c r="AP256" s="66">
        <v>720</v>
      </c>
      <c r="AQ256" s="66">
        <v>542</v>
      </c>
      <c r="AR256" s="66">
        <v>2682</v>
      </c>
      <c r="AS256" s="66"/>
      <c r="AT256" s="66" t="s">
        <v>2098</v>
      </c>
      <c r="AU256" s="66">
        <v>40</v>
      </c>
      <c r="AV256" s="66">
        <v>1</v>
      </c>
      <c r="AW256" s="66">
        <v>0</v>
      </c>
      <c r="AX256" s="66">
        <v>0</v>
      </c>
      <c r="AY256" s="66">
        <v>0</v>
      </c>
      <c r="AZ256" s="66">
        <v>41</v>
      </c>
      <c r="BS256" s="21"/>
      <c r="CL256" s="57" t="s">
        <v>369</v>
      </c>
      <c r="CM256" s="57" t="s">
        <v>2098</v>
      </c>
      <c r="CN256" s="57">
        <v>140</v>
      </c>
      <c r="CO256" s="57">
        <v>119</v>
      </c>
      <c r="CP256" s="57">
        <v>242</v>
      </c>
      <c r="CQ256" s="57">
        <v>390</v>
      </c>
      <c r="CR256" s="57">
        <v>364</v>
      </c>
      <c r="CS256" s="57">
        <v>1255</v>
      </c>
      <c r="CT256" s="57"/>
      <c r="CU256" s="57" t="s">
        <v>2098</v>
      </c>
      <c r="CV256" s="57">
        <v>20</v>
      </c>
      <c r="CW256" s="57">
        <v>0</v>
      </c>
      <c r="CX256" s="57">
        <v>0</v>
      </c>
      <c r="CY256" s="57">
        <v>0</v>
      </c>
      <c r="CZ256" s="57">
        <v>0</v>
      </c>
      <c r="DA256" s="57">
        <v>20</v>
      </c>
      <c r="FF256" s="70" t="s">
        <v>1841</v>
      </c>
      <c r="FG256" s="70" t="s">
        <v>2098</v>
      </c>
      <c r="FH256" s="70">
        <v>259</v>
      </c>
      <c r="FI256" s="70">
        <v>328</v>
      </c>
      <c r="FJ256" s="70">
        <v>320</v>
      </c>
      <c r="FK256" s="70">
        <v>376</v>
      </c>
      <c r="FL256" s="70">
        <v>530</v>
      </c>
      <c r="FM256" s="70">
        <v>1813</v>
      </c>
      <c r="FN256" s="70"/>
      <c r="FO256" s="70" t="s">
        <v>2098</v>
      </c>
      <c r="FP256" s="70">
        <v>46</v>
      </c>
      <c r="FQ256" s="70">
        <v>12</v>
      </c>
      <c r="FR256" s="70">
        <v>4</v>
      </c>
      <c r="FS256" s="70">
        <v>1</v>
      </c>
      <c r="FT256" s="70">
        <v>5</v>
      </c>
      <c r="FU256" s="70">
        <v>68</v>
      </c>
    </row>
    <row r="257" spans="2:177">
      <c r="B257" s="64" t="s">
        <v>922</v>
      </c>
      <c r="C257" s="64" t="s">
        <v>25</v>
      </c>
      <c r="D257" s="64">
        <v>33</v>
      </c>
      <c r="E257" s="64">
        <v>103</v>
      </c>
      <c r="F257" s="64">
        <v>184</v>
      </c>
      <c r="G257" s="64">
        <v>201</v>
      </c>
      <c r="H257" s="64">
        <v>191</v>
      </c>
      <c r="I257" s="64">
        <v>712</v>
      </c>
      <c r="K257" s="64" t="s">
        <v>25</v>
      </c>
      <c r="L257" s="64">
        <v>3</v>
      </c>
      <c r="M257" s="64">
        <v>0</v>
      </c>
      <c r="N257" s="64">
        <v>0</v>
      </c>
      <c r="O257" s="64">
        <v>0</v>
      </c>
      <c r="P257" s="64">
        <v>0</v>
      </c>
      <c r="Q257" s="64">
        <v>3</v>
      </c>
      <c r="AK257" s="66" t="s">
        <v>1117</v>
      </c>
      <c r="AL257" s="66" t="s">
        <v>2098</v>
      </c>
      <c r="AM257" s="66">
        <v>324</v>
      </c>
      <c r="AN257" s="66">
        <v>570</v>
      </c>
      <c r="AO257" s="66">
        <v>802</v>
      </c>
      <c r="AP257" s="66">
        <v>840</v>
      </c>
      <c r="AQ257" s="66">
        <v>676</v>
      </c>
      <c r="AR257" s="66">
        <v>3212</v>
      </c>
      <c r="AS257" s="66"/>
      <c r="AT257" s="66" t="s">
        <v>2098</v>
      </c>
      <c r="AU257" s="66">
        <v>63</v>
      </c>
      <c r="AV257" s="66">
        <v>6</v>
      </c>
      <c r="AW257" s="66">
        <v>1</v>
      </c>
      <c r="AX257" s="66">
        <v>0</v>
      </c>
      <c r="AY257" s="66">
        <v>0</v>
      </c>
      <c r="AZ257" s="66">
        <v>70</v>
      </c>
      <c r="BB257" s="69" t="s">
        <v>1152</v>
      </c>
      <c r="BC257" s="69" t="s">
        <v>708</v>
      </c>
      <c r="BD257" s="69">
        <v>225</v>
      </c>
      <c r="BE257" s="69">
        <v>222</v>
      </c>
      <c r="BF257" s="69">
        <v>448</v>
      </c>
      <c r="BG257" s="69">
        <v>616</v>
      </c>
      <c r="BH257" s="69">
        <v>565</v>
      </c>
      <c r="BI257" s="69">
        <v>2076</v>
      </c>
      <c r="BJ257" s="69"/>
      <c r="BK257" s="69" t="s">
        <v>708</v>
      </c>
      <c r="BL257" s="69">
        <v>23</v>
      </c>
      <c r="BM257" s="69">
        <v>0</v>
      </c>
      <c r="BN257" s="69">
        <v>0</v>
      </c>
      <c r="BO257" s="69">
        <v>0</v>
      </c>
      <c r="BP257" s="69">
        <v>0</v>
      </c>
      <c r="BQ257" s="69">
        <v>23</v>
      </c>
      <c r="BT257" s="21"/>
      <c r="CL257" s="57" t="s">
        <v>540</v>
      </c>
      <c r="CM257" s="57" t="s">
        <v>2098</v>
      </c>
      <c r="CN257" s="57">
        <v>114</v>
      </c>
      <c r="CO257" s="57">
        <v>144</v>
      </c>
      <c r="CP257" s="57">
        <v>337</v>
      </c>
      <c r="CQ257" s="57">
        <v>440</v>
      </c>
      <c r="CR257" s="57">
        <v>369</v>
      </c>
      <c r="CS257" s="57">
        <v>1404</v>
      </c>
      <c r="CT257" s="57"/>
      <c r="CU257" s="57" t="s">
        <v>2098</v>
      </c>
      <c r="CV257" s="57">
        <v>30</v>
      </c>
      <c r="CW257" s="57">
        <v>0</v>
      </c>
      <c r="CX257" s="57">
        <v>0</v>
      </c>
      <c r="CY257" s="57">
        <v>0</v>
      </c>
      <c r="CZ257" s="57">
        <v>0</v>
      </c>
      <c r="DA257" s="57">
        <v>30</v>
      </c>
      <c r="FF257" s="70" t="s">
        <v>2183</v>
      </c>
      <c r="FG257" s="70" t="s">
        <v>2098</v>
      </c>
      <c r="FH257" s="70">
        <v>90</v>
      </c>
      <c r="FI257" s="70">
        <v>157</v>
      </c>
      <c r="FJ257" s="70">
        <v>181</v>
      </c>
      <c r="FK257" s="70">
        <v>225</v>
      </c>
      <c r="FL257" s="70">
        <v>309</v>
      </c>
      <c r="FM257" s="70">
        <v>962</v>
      </c>
      <c r="FN257" s="70"/>
      <c r="FO257" s="70" t="s">
        <v>2098</v>
      </c>
      <c r="FP257" s="70">
        <v>12</v>
      </c>
      <c r="FQ257" s="70">
        <v>2</v>
      </c>
      <c r="FR257" s="70">
        <v>0</v>
      </c>
      <c r="FS257" s="70">
        <v>1</v>
      </c>
      <c r="FT257" s="70">
        <v>0</v>
      </c>
      <c r="FU257" s="70">
        <v>15</v>
      </c>
    </row>
    <row r="258" spans="2:177">
      <c r="B258" s="64" t="s">
        <v>925</v>
      </c>
      <c r="C258" s="64" t="s">
        <v>25</v>
      </c>
      <c r="D258" s="64">
        <v>150</v>
      </c>
      <c r="E258" s="64">
        <v>81</v>
      </c>
      <c r="F258" s="64">
        <v>153</v>
      </c>
      <c r="G258" s="64">
        <v>240</v>
      </c>
      <c r="H258" s="64">
        <v>278</v>
      </c>
      <c r="I258" s="64">
        <v>902</v>
      </c>
      <c r="K258" s="64" t="s">
        <v>25</v>
      </c>
      <c r="L258" s="64">
        <v>18</v>
      </c>
      <c r="M258" s="64">
        <v>0</v>
      </c>
      <c r="N258" s="64">
        <v>0</v>
      </c>
      <c r="O258" s="64">
        <v>0</v>
      </c>
      <c r="P258" s="64">
        <v>0</v>
      </c>
      <c r="Q258" s="64">
        <v>18</v>
      </c>
      <c r="AK258" s="66" t="s">
        <v>1120</v>
      </c>
      <c r="AL258" s="66" t="s">
        <v>2098</v>
      </c>
      <c r="AM258" s="66">
        <v>370</v>
      </c>
      <c r="AN258" s="66">
        <v>281</v>
      </c>
      <c r="AO258" s="66">
        <v>426</v>
      </c>
      <c r="AP258" s="66">
        <v>557</v>
      </c>
      <c r="AQ258" s="66">
        <v>432</v>
      </c>
      <c r="AR258" s="66">
        <v>2066</v>
      </c>
      <c r="AS258" s="66"/>
      <c r="AT258" s="66" t="s">
        <v>2098</v>
      </c>
      <c r="AU258" s="66">
        <v>66</v>
      </c>
      <c r="AV258" s="66">
        <v>1</v>
      </c>
      <c r="AW258" s="66">
        <v>0</v>
      </c>
      <c r="AX258" s="66">
        <v>0</v>
      </c>
      <c r="AY258" s="66">
        <v>0</v>
      </c>
      <c r="AZ258" s="66">
        <v>67</v>
      </c>
      <c r="BB258" s="69" t="s">
        <v>1155</v>
      </c>
      <c r="BC258" s="69" t="s">
        <v>708</v>
      </c>
      <c r="BD258" s="69">
        <v>427</v>
      </c>
      <c r="BE258" s="69">
        <v>238</v>
      </c>
      <c r="BF258" s="69">
        <v>452</v>
      </c>
      <c r="BG258" s="69">
        <v>458</v>
      </c>
      <c r="BH258" s="69">
        <v>437</v>
      </c>
      <c r="BI258" s="69">
        <v>2012</v>
      </c>
      <c r="BJ258" s="69"/>
      <c r="BK258" s="69" t="s">
        <v>708</v>
      </c>
      <c r="BL258" s="69">
        <v>82</v>
      </c>
      <c r="BM258" s="69">
        <v>0</v>
      </c>
      <c r="BN258" s="69">
        <v>0</v>
      </c>
      <c r="BO258" s="69">
        <v>0</v>
      </c>
      <c r="BP258" s="69">
        <v>0</v>
      </c>
      <c r="BQ258" s="69">
        <v>82</v>
      </c>
      <c r="BT258" s="21"/>
      <c r="CL258" s="57" t="s">
        <v>549</v>
      </c>
      <c r="CM258" s="57" t="s">
        <v>2098</v>
      </c>
      <c r="CN258" s="57">
        <v>89</v>
      </c>
      <c r="CO258" s="57">
        <v>60</v>
      </c>
      <c r="CP258" s="57">
        <v>71</v>
      </c>
      <c r="CQ258" s="57">
        <v>85</v>
      </c>
      <c r="CR258" s="57">
        <v>75</v>
      </c>
      <c r="CS258" s="57">
        <v>380</v>
      </c>
      <c r="CT258" s="57"/>
      <c r="CU258" s="57" t="s">
        <v>2098</v>
      </c>
      <c r="CV258" s="57">
        <v>21</v>
      </c>
      <c r="CW258" s="57">
        <v>0</v>
      </c>
      <c r="CX258" s="57">
        <v>0</v>
      </c>
      <c r="CY258" s="57">
        <v>0</v>
      </c>
      <c r="CZ258" s="57">
        <v>0</v>
      </c>
      <c r="DA258" s="57">
        <v>21</v>
      </c>
      <c r="FF258" s="70" t="s">
        <v>2184</v>
      </c>
      <c r="FG258" s="70" t="s">
        <v>2098</v>
      </c>
      <c r="FH258" s="70">
        <v>193</v>
      </c>
      <c r="FI258" s="70">
        <v>264</v>
      </c>
      <c r="FJ258" s="70">
        <v>268</v>
      </c>
      <c r="FK258" s="70">
        <v>367</v>
      </c>
      <c r="FL258" s="70">
        <v>508</v>
      </c>
      <c r="FM258" s="70">
        <v>1600</v>
      </c>
      <c r="FN258" s="70"/>
      <c r="FO258" s="70" t="s">
        <v>2098</v>
      </c>
      <c r="FP258" s="70">
        <v>39</v>
      </c>
      <c r="FQ258" s="70">
        <v>9</v>
      </c>
      <c r="FR258" s="70">
        <v>3</v>
      </c>
      <c r="FS258" s="70">
        <v>2</v>
      </c>
      <c r="FT258" s="70">
        <v>2</v>
      </c>
      <c r="FU258" s="70">
        <v>55</v>
      </c>
    </row>
    <row r="259" spans="2:177">
      <c r="B259" s="64" t="s">
        <v>71</v>
      </c>
      <c r="C259" s="64" t="s">
        <v>25</v>
      </c>
      <c r="D259" s="64">
        <v>164</v>
      </c>
      <c r="E259" s="64">
        <v>258</v>
      </c>
      <c r="F259" s="64">
        <v>426</v>
      </c>
      <c r="G259" s="64">
        <v>522</v>
      </c>
      <c r="H259" s="64">
        <v>359</v>
      </c>
      <c r="I259" s="64">
        <v>1729</v>
      </c>
      <c r="K259" s="64" t="s">
        <v>25</v>
      </c>
      <c r="L259" s="64">
        <v>29</v>
      </c>
      <c r="M259" s="64">
        <v>0</v>
      </c>
      <c r="N259" s="64">
        <v>0</v>
      </c>
      <c r="O259" s="64">
        <v>1</v>
      </c>
      <c r="P259" s="64">
        <v>0</v>
      </c>
      <c r="Q259" s="64">
        <v>30</v>
      </c>
      <c r="AK259" s="66" t="s">
        <v>1123</v>
      </c>
      <c r="AL259" s="66" t="s">
        <v>2098</v>
      </c>
      <c r="AM259" s="66">
        <v>413</v>
      </c>
      <c r="AN259" s="66">
        <v>471</v>
      </c>
      <c r="AO259" s="66">
        <v>638</v>
      </c>
      <c r="AP259" s="66">
        <v>828</v>
      </c>
      <c r="AQ259" s="66">
        <v>673</v>
      </c>
      <c r="AR259" s="66">
        <v>3023</v>
      </c>
      <c r="AS259" s="66"/>
      <c r="AT259" s="66" t="s">
        <v>2098</v>
      </c>
      <c r="AU259" s="66">
        <v>30</v>
      </c>
      <c r="AV259" s="66">
        <v>11</v>
      </c>
      <c r="AW259" s="66">
        <v>3</v>
      </c>
      <c r="AX259" s="66">
        <v>0</v>
      </c>
      <c r="AY259" s="66">
        <v>1</v>
      </c>
      <c r="AZ259" s="66">
        <v>45</v>
      </c>
      <c r="BB259" s="69" t="s">
        <v>1159</v>
      </c>
      <c r="BC259" s="69" t="s">
        <v>25</v>
      </c>
      <c r="BD259" s="69">
        <v>170</v>
      </c>
      <c r="BE259" s="69">
        <v>227</v>
      </c>
      <c r="BF259" s="69">
        <v>497</v>
      </c>
      <c r="BG259" s="69">
        <v>625</v>
      </c>
      <c r="BH259" s="69">
        <v>484</v>
      </c>
      <c r="BI259" s="69">
        <v>2003</v>
      </c>
      <c r="BJ259" s="69"/>
      <c r="BK259" s="69" t="s">
        <v>25</v>
      </c>
      <c r="BL259" s="69">
        <v>15</v>
      </c>
      <c r="BM259" s="69">
        <v>0</v>
      </c>
      <c r="BN259" s="69">
        <v>0</v>
      </c>
      <c r="BO259" s="69">
        <v>0</v>
      </c>
      <c r="BP259" s="69">
        <v>0</v>
      </c>
      <c r="BQ259" s="69">
        <v>15</v>
      </c>
      <c r="BT259" s="21"/>
      <c r="CL259" s="57" t="s">
        <v>1553</v>
      </c>
      <c r="CM259" s="57" t="s">
        <v>2098</v>
      </c>
      <c r="CN259" s="57">
        <v>315</v>
      </c>
      <c r="CO259" s="57">
        <v>348</v>
      </c>
      <c r="CP259" s="57">
        <v>686</v>
      </c>
      <c r="CQ259" s="57">
        <v>1064</v>
      </c>
      <c r="CR259" s="57">
        <v>993</v>
      </c>
      <c r="CS259" s="57">
        <v>3406</v>
      </c>
      <c r="CT259" s="57"/>
      <c r="CU259" s="57" t="s">
        <v>2098</v>
      </c>
      <c r="CV259" s="57">
        <v>48</v>
      </c>
      <c r="CW259" s="57">
        <v>0</v>
      </c>
      <c r="CX259" s="57">
        <v>0</v>
      </c>
      <c r="CY259" s="57">
        <v>0</v>
      </c>
      <c r="CZ259" s="57">
        <v>0</v>
      </c>
      <c r="DA259" s="57">
        <v>48</v>
      </c>
      <c r="FF259" s="70" t="s">
        <v>1850</v>
      </c>
      <c r="FG259" s="70" t="s">
        <v>2098</v>
      </c>
      <c r="FH259" s="70">
        <v>359</v>
      </c>
      <c r="FI259" s="70">
        <v>430</v>
      </c>
      <c r="FJ259" s="70">
        <v>440</v>
      </c>
      <c r="FK259" s="70">
        <v>518</v>
      </c>
      <c r="FL259" s="70">
        <v>645</v>
      </c>
      <c r="FM259" s="70">
        <v>2392</v>
      </c>
      <c r="FN259" s="70"/>
      <c r="FO259" s="70" t="s">
        <v>2098</v>
      </c>
      <c r="FP259" s="70">
        <v>49</v>
      </c>
      <c r="FQ259" s="70">
        <v>7</v>
      </c>
      <c r="FR259" s="70">
        <v>4</v>
      </c>
      <c r="FS259" s="70">
        <v>3</v>
      </c>
      <c r="FT259" s="70">
        <v>3</v>
      </c>
      <c r="FU259" s="70">
        <v>66</v>
      </c>
    </row>
    <row r="260" spans="2:177">
      <c r="B260" s="64" t="s">
        <v>933</v>
      </c>
      <c r="C260" s="64" t="s">
        <v>25</v>
      </c>
      <c r="D260" s="64">
        <v>184</v>
      </c>
      <c r="E260" s="64">
        <v>334</v>
      </c>
      <c r="F260" s="64">
        <v>442</v>
      </c>
      <c r="G260" s="64">
        <v>534</v>
      </c>
      <c r="H260" s="64">
        <v>381</v>
      </c>
      <c r="I260" s="64">
        <v>1875</v>
      </c>
      <c r="K260" s="64" t="s">
        <v>25</v>
      </c>
      <c r="L260" s="64">
        <v>24</v>
      </c>
      <c r="M260" s="64">
        <v>3</v>
      </c>
      <c r="N260" s="64">
        <v>1</v>
      </c>
      <c r="O260" s="64">
        <v>1</v>
      </c>
      <c r="P260" s="64">
        <v>0</v>
      </c>
      <c r="Q260" s="64">
        <v>29</v>
      </c>
      <c r="AK260" s="66" t="s">
        <v>1126</v>
      </c>
      <c r="AL260" s="66" t="s">
        <v>2098</v>
      </c>
      <c r="AM260" s="66">
        <v>964</v>
      </c>
      <c r="AN260" s="66">
        <v>510</v>
      </c>
      <c r="AO260" s="66">
        <v>625</v>
      </c>
      <c r="AP260" s="66">
        <v>684</v>
      </c>
      <c r="AQ260" s="66">
        <v>535</v>
      </c>
      <c r="AR260" s="66">
        <v>3318</v>
      </c>
      <c r="AS260" s="66"/>
      <c r="AT260" s="66" t="s">
        <v>2098</v>
      </c>
      <c r="AU260" s="66">
        <v>74</v>
      </c>
      <c r="AV260" s="66">
        <v>0</v>
      </c>
      <c r="AW260" s="66">
        <v>0</v>
      </c>
      <c r="AX260" s="66">
        <v>0</v>
      </c>
      <c r="AY260" s="66">
        <v>0</v>
      </c>
      <c r="AZ260" s="66">
        <v>74</v>
      </c>
      <c r="BB260" s="69" t="s">
        <v>1162</v>
      </c>
      <c r="BC260" s="69" t="s">
        <v>25</v>
      </c>
      <c r="BD260" s="69">
        <v>120</v>
      </c>
      <c r="BE260" s="69">
        <v>160</v>
      </c>
      <c r="BF260" s="69">
        <v>334</v>
      </c>
      <c r="BG260" s="69">
        <v>448</v>
      </c>
      <c r="BH260" s="69">
        <v>345</v>
      </c>
      <c r="BI260" s="69">
        <v>1407</v>
      </c>
      <c r="BJ260" s="69"/>
      <c r="BK260" s="69" t="s">
        <v>25</v>
      </c>
      <c r="BL260" s="69">
        <v>22</v>
      </c>
      <c r="BM260" s="69">
        <v>0</v>
      </c>
      <c r="BN260" s="69">
        <v>0</v>
      </c>
      <c r="BO260" s="69">
        <v>0</v>
      </c>
      <c r="BP260" s="69">
        <v>0</v>
      </c>
      <c r="BQ260" s="69">
        <v>22</v>
      </c>
      <c r="BT260" s="21"/>
      <c r="CL260" s="57" t="s">
        <v>555</v>
      </c>
      <c r="CM260" s="57" t="s">
        <v>2098</v>
      </c>
      <c r="CN260" s="57">
        <v>378</v>
      </c>
      <c r="CO260" s="57">
        <v>437</v>
      </c>
      <c r="CP260" s="57">
        <v>727</v>
      </c>
      <c r="CQ260" s="57">
        <v>1150</v>
      </c>
      <c r="CR260" s="57">
        <v>1097</v>
      </c>
      <c r="CS260" s="57">
        <v>3789</v>
      </c>
      <c r="CT260" s="57"/>
      <c r="CU260" s="57" t="s">
        <v>2098</v>
      </c>
      <c r="CV260" s="57">
        <v>76</v>
      </c>
      <c r="CW260" s="57">
        <v>0</v>
      </c>
      <c r="CX260" s="57">
        <v>0</v>
      </c>
      <c r="CY260" s="57">
        <v>0</v>
      </c>
      <c r="CZ260" s="57">
        <v>0</v>
      </c>
      <c r="DA260" s="57">
        <v>76</v>
      </c>
      <c r="FF260" s="70" t="s">
        <v>1851</v>
      </c>
      <c r="FG260" s="70" t="s">
        <v>2098</v>
      </c>
      <c r="FH260" s="70">
        <v>345</v>
      </c>
      <c r="FI260" s="70">
        <v>427</v>
      </c>
      <c r="FJ260" s="70">
        <v>428</v>
      </c>
      <c r="FK260" s="70">
        <v>421</v>
      </c>
      <c r="FL260" s="70">
        <v>493</v>
      </c>
      <c r="FM260" s="70">
        <v>2114</v>
      </c>
      <c r="FN260" s="70"/>
      <c r="FO260" s="70" t="s">
        <v>2098</v>
      </c>
      <c r="FP260" s="70">
        <v>52</v>
      </c>
      <c r="FQ260" s="70">
        <v>18</v>
      </c>
      <c r="FR260" s="70">
        <v>6</v>
      </c>
      <c r="FS260" s="70">
        <v>3</v>
      </c>
      <c r="FT260" s="70">
        <v>5</v>
      </c>
      <c r="FU260" s="70">
        <v>84</v>
      </c>
    </row>
    <row r="261" spans="2:177">
      <c r="B261" s="64" t="s">
        <v>145</v>
      </c>
      <c r="C261" s="64" t="s">
        <v>25</v>
      </c>
      <c r="D261" s="64">
        <v>101</v>
      </c>
      <c r="E261" s="64">
        <v>236</v>
      </c>
      <c r="F261" s="64">
        <v>394</v>
      </c>
      <c r="G261" s="64">
        <v>485</v>
      </c>
      <c r="H261" s="64">
        <v>348</v>
      </c>
      <c r="I261" s="64">
        <v>1564</v>
      </c>
      <c r="K261" s="64" t="s">
        <v>25</v>
      </c>
      <c r="L261" s="64">
        <v>26</v>
      </c>
      <c r="M261" s="64">
        <v>3</v>
      </c>
      <c r="N261" s="64">
        <v>0</v>
      </c>
      <c r="O261" s="64">
        <v>2</v>
      </c>
      <c r="P261" s="64">
        <v>0</v>
      </c>
      <c r="Q261" s="64">
        <v>31</v>
      </c>
      <c r="AK261" s="66" t="s">
        <v>1131</v>
      </c>
      <c r="AL261" s="66" t="s">
        <v>2098</v>
      </c>
      <c r="AM261" s="66">
        <v>316</v>
      </c>
      <c r="AN261" s="66">
        <v>421</v>
      </c>
      <c r="AO261" s="66">
        <v>634</v>
      </c>
      <c r="AP261" s="66">
        <v>764</v>
      </c>
      <c r="AQ261" s="66">
        <v>643</v>
      </c>
      <c r="AR261" s="66">
        <v>2778</v>
      </c>
      <c r="AS261" s="66"/>
      <c r="AT261" s="66" t="s">
        <v>2098</v>
      </c>
      <c r="AU261" s="66">
        <v>27</v>
      </c>
      <c r="AV261" s="66">
        <v>6</v>
      </c>
      <c r="AW261" s="66">
        <v>4</v>
      </c>
      <c r="AX261" s="66">
        <v>1</v>
      </c>
      <c r="AY261" s="66">
        <v>2</v>
      </c>
      <c r="AZ261" s="66">
        <v>40</v>
      </c>
      <c r="BB261" s="69" t="s">
        <v>1165</v>
      </c>
      <c r="BC261" s="69" t="s">
        <v>25</v>
      </c>
      <c r="BD261" s="69">
        <v>341</v>
      </c>
      <c r="BE261" s="69">
        <v>276</v>
      </c>
      <c r="BF261" s="69">
        <v>305</v>
      </c>
      <c r="BG261" s="69">
        <v>367</v>
      </c>
      <c r="BH261" s="69">
        <v>264</v>
      </c>
      <c r="BI261" s="69">
        <v>1553</v>
      </c>
      <c r="BJ261" s="69"/>
      <c r="BK261" s="69" t="s">
        <v>25</v>
      </c>
      <c r="BL261" s="69">
        <v>53</v>
      </c>
      <c r="BM261" s="69">
        <v>0</v>
      </c>
      <c r="BN261" s="69">
        <v>0</v>
      </c>
      <c r="BO261" s="69">
        <v>0</v>
      </c>
      <c r="BP261" s="69">
        <v>0</v>
      </c>
      <c r="BQ261" s="69">
        <v>53</v>
      </c>
      <c r="BT261" s="21"/>
      <c r="CL261" s="57" t="s">
        <v>551</v>
      </c>
      <c r="CM261" s="57" t="s">
        <v>2098</v>
      </c>
      <c r="CN261" s="57">
        <v>171</v>
      </c>
      <c r="CO261" s="57">
        <v>77</v>
      </c>
      <c r="CP261" s="57">
        <v>140</v>
      </c>
      <c r="CQ261" s="57">
        <v>161</v>
      </c>
      <c r="CR261" s="57">
        <v>152</v>
      </c>
      <c r="CS261" s="57">
        <v>701</v>
      </c>
      <c r="CT261" s="57"/>
      <c r="CU261" s="57" t="s">
        <v>2098</v>
      </c>
      <c r="CV261" s="57">
        <v>74</v>
      </c>
      <c r="CW261" s="57">
        <v>0</v>
      </c>
      <c r="CX261" s="57">
        <v>0</v>
      </c>
      <c r="CY261" s="57">
        <v>0</v>
      </c>
      <c r="CZ261" s="57">
        <v>0</v>
      </c>
      <c r="DA261" s="57">
        <v>74</v>
      </c>
      <c r="FF261" s="70" t="s">
        <v>1852</v>
      </c>
      <c r="FG261" s="70" t="s">
        <v>2098</v>
      </c>
      <c r="FH261" s="70">
        <v>186</v>
      </c>
      <c r="FI261" s="70">
        <v>300</v>
      </c>
      <c r="FJ261" s="70">
        <v>363</v>
      </c>
      <c r="FK261" s="70">
        <v>439</v>
      </c>
      <c r="FL261" s="70">
        <v>701</v>
      </c>
      <c r="FM261" s="70">
        <v>1989</v>
      </c>
      <c r="FN261" s="70"/>
      <c r="FO261" s="70" t="s">
        <v>2098</v>
      </c>
      <c r="FP261" s="70">
        <v>28</v>
      </c>
      <c r="FQ261" s="70">
        <v>6</v>
      </c>
      <c r="FR261" s="70">
        <v>7</v>
      </c>
      <c r="FS261" s="70">
        <v>1</v>
      </c>
      <c r="FT261" s="70">
        <v>1</v>
      </c>
      <c r="FU261" s="70">
        <v>43</v>
      </c>
    </row>
    <row r="262" spans="2:177">
      <c r="B262" s="16"/>
      <c r="C262" s="16"/>
      <c r="D262" s="16"/>
      <c r="E262" s="16"/>
      <c r="F262" s="16"/>
      <c r="G262" s="16"/>
      <c r="H262" s="16"/>
      <c r="I262" s="16"/>
      <c r="J262" s="16"/>
      <c r="K262" s="16"/>
      <c r="L262" s="16"/>
      <c r="M262" s="16"/>
      <c r="N262" s="16"/>
      <c r="O262" s="16"/>
      <c r="P262" s="16"/>
      <c r="Q262" s="16"/>
      <c r="AK262" s="66" t="s">
        <v>1134</v>
      </c>
      <c r="AL262" s="66" t="s">
        <v>2098</v>
      </c>
      <c r="AM262" s="66">
        <v>550</v>
      </c>
      <c r="AN262" s="66">
        <v>293</v>
      </c>
      <c r="AO262" s="66">
        <v>351</v>
      </c>
      <c r="AP262" s="66">
        <v>488</v>
      </c>
      <c r="AQ262" s="66">
        <v>469</v>
      </c>
      <c r="AR262" s="66">
        <v>2151</v>
      </c>
      <c r="AS262" s="66"/>
      <c r="AT262" s="66" t="s">
        <v>2098</v>
      </c>
      <c r="AU262" s="66">
        <v>119</v>
      </c>
      <c r="AV262" s="66">
        <v>1</v>
      </c>
      <c r="AW262" s="66">
        <v>0</v>
      </c>
      <c r="AX262" s="66">
        <v>0</v>
      </c>
      <c r="AY262" s="66">
        <v>0</v>
      </c>
      <c r="AZ262" s="66">
        <v>120</v>
      </c>
      <c r="BB262" s="69" t="s">
        <v>1168</v>
      </c>
      <c r="BC262" s="69" t="s">
        <v>25</v>
      </c>
      <c r="BD262" s="69">
        <v>328</v>
      </c>
      <c r="BE262" s="69">
        <v>232</v>
      </c>
      <c r="BF262" s="69">
        <v>336</v>
      </c>
      <c r="BG262" s="69">
        <v>324</v>
      </c>
      <c r="BH262" s="69">
        <v>281</v>
      </c>
      <c r="BI262" s="69">
        <v>1501</v>
      </c>
      <c r="BJ262" s="69"/>
      <c r="BK262" s="69" t="s">
        <v>25</v>
      </c>
      <c r="BL262" s="69">
        <v>20</v>
      </c>
      <c r="BM262" s="69">
        <v>0</v>
      </c>
      <c r="BN262" s="69">
        <v>0</v>
      </c>
      <c r="BO262" s="69">
        <v>0</v>
      </c>
      <c r="BP262" s="69">
        <v>0</v>
      </c>
      <c r="BQ262" s="69">
        <v>20</v>
      </c>
      <c r="BT262" s="21"/>
      <c r="CL262" s="57" t="s">
        <v>557</v>
      </c>
      <c r="CM262" s="57" t="s">
        <v>2098</v>
      </c>
      <c r="CN262" s="57">
        <v>211</v>
      </c>
      <c r="CO262" s="57">
        <v>278</v>
      </c>
      <c r="CP262" s="57">
        <v>483</v>
      </c>
      <c r="CQ262" s="57">
        <v>790</v>
      </c>
      <c r="CR262" s="57">
        <v>718</v>
      </c>
      <c r="CS262" s="57">
        <v>2480</v>
      </c>
      <c r="CT262" s="57"/>
      <c r="CU262" s="57" t="s">
        <v>2098</v>
      </c>
      <c r="CV262" s="57">
        <v>25</v>
      </c>
      <c r="CW262" s="57">
        <v>0</v>
      </c>
      <c r="CX262" s="57">
        <v>0</v>
      </c>
      <c r="CY262" s="57">
        <v>0</v>
      </c>
      <c r="CZ262" s="57">
        <v>0</v>
      </c>
      <c r="DA262" s="57">
        <v>25</v>
      </c>
      <c r="FF262" s="70" t="s">
        <v>1853</v>
      </c>
      <c r="FG262" s="70" t="s">
        <v>2098</v>
      </c>
      <c r="FH262" s="70">
        <v>203</v>
      </c>
      <c r="FI262" s="70">
        <v>381</v>
      </c>
      <c r="FJ262" s="70">
        <v>432</v>
      </c>
      <c r="FK262" s="70">
        <v>494</v>
      </c>
      <c r="FL262" s="70">
        <v>691</v>
      </c>
      <c r="FM262" s="70">
        <v>2201</v>
      </c>
      <c r="FN262" s="70"/>
      <c r="FO262" s="70" t="s">
        <v>2098</v>
      </c>
      <c r="FP262" s="70">
        <v>21</v>
      </c>
      <c r="FQ262" s="70">
        <v>5</v>
      </c>
      <c r="FR262" s="70">
        <v>5</v>
      </c>
      <c r="FS262" s="70">
        <v>2</v>
      </c>
      <c r="FT262" s="70">
        <v>4</v>
      </c>
      <c r="FU262" s="70">
        <v>37</v>
      </c>
    </row>
    <row r="263" spans="2:177">
      <c r="B263" s="64" t="s">
        <v>709</v>
      </c>
      <c r="C263" s="64" t="s">
        <v>2098</v>
      </c>
      <c r="D263" s="64">
        <v>99</v>
      </c>
      <c r="E263" s="64">
        <v>141</v>
      </c>
      <c r="F263" s="64">
        <v>284</v>
      </c>
      <c r="G263" s="64">
        <v>336</v>
      </c>
      <c r="H263" s="64">
        <v>329</v>
      </c>
      <c r="I263" s="64">
        <v>1189</v>
      </c>
      <c r="K263" s="64" t="s">
        <v>2098</v>
      </c>
      <c r="L263" s="64">
        <v>3</v>
      </c>
      <c r="M263" s="64">
        <v>0</v>
      </c>
      <c r="N263" s="64">
        <v>0</v>
      </c>
      <c r="O263" s="64">
        <v>0</v>
      </c>
      <c r="P263" s="64">
        <v>0</v>
      </c>
      <c r="Q263" s="64">
        <v>3</v>
      </c>
      <c r="AK263" s="66" t="s">
        <v>1137</v>
      </c>
      <c r="AL263" s="66" t="s">
        <v>2098</v>
      </c>
      <c r="AM263" s="66">
        <v>375</v>
      </c>
      <c r="AN263" s="66">
        <v>318</v>
      </c>
      <c r="AO263" s="66">
        <v>391</v>
      </c>
      <c r="AP263" s="66">
        <v>469</v>
      </c>
      <c r="AQ263" s="66">
        <v>472</v>
      </c>
      <c r="AR263" s="66">
        <v>2025</v>
      </c>
      <c r="AS263" s="66"/>
      <c r="AT263" s="66" t="s">
        <v>2098</v>
      </c>
      <c r="AU263" s="66">
        <v>93</v>
      </c>
      <c r="AV263" s="66">
        <v>0</v>
      </c>
      <c r="AW263" s="66">
        <v>0</v>
      </c>
      <c r="AX263" s="66">
        <v>0</v>
      </c>
      <c r="AY263" s="66">
        <v>0</v>
      </c>
      <c r="AZ263" s="66">
        <v>93</v>
      </c>
      <c r="BB263" s="69" t="s">
        <v>1172</v>
      </c>
      <c r="BC263" s="69" t="s">
        <v>25</v>
      </c>
      <c r="BD263" s="69">
        <v>389</v>
      </c>
      <c r="BE263" s="69">
        <v>312</v>
      </c>
      <c r="BF263" s="69">
        <v>464</v>
      </c>
      <c r="BG263" s="69">
        <v>493</v>
      </c>
      <c r="BH263" s="69">
        <v>408</v>
      </c>
      <c r="BI263" s="69">
        <v>2066</v>
      </c>
      <c r="BJ263" s="69"/>
      <c r="BK263" s="69" t="s">
        <v>25</v>
      </c>
      <c r="BL263" s="69">
        <v>46</v>
      </c>
      <c r="BM263" s="69">
        <v>0</v>
      </c>
      <c r="BN263" s="69">
        <v>0</v>
      </c>
      <c r="BO263" s="69">
        <v>0</v>
      </c>
      <c r="BP263" s="69">
        <v>0</v>
      </c>
      <c r="BQ263" s="69">
        <v>46</v>
      </c>
      <c r="BT263" s="21"/>
      <c r="CL263" s="57" t="s">
        <v>353</v>
      </c>
      <c r="CM263" s="57" t="s">
        <v>2098</v>
      </c>
      <c r="CN263" s="57">
        <v>351</v>
      </c>
      <c r="CO263" s="57">
        <v>328</v>
      </c>
      <c r="CP263" s="57">
        <v>440</v>
      </c>
      <c r="CQ263" s="57">
        <v>597</v>
      </c>
      <c r="CR263" s="57">
        <v>519</v>
      </c>
      <c r="CS263" s="57">
        <v>2235</v>
      </c>
      <c r="CT263" s="57"/>
      <c r="CU263" s="57" t="s">
        <v>2098</v>
      </c>
      <c r="CV263" s="57">
        <v>50</v>
      </c>
      <c r="CW263" s="57">
        <v>0</v>
      </c>
      <c r="CX263" s="57">
        <v>0</v>
      </c>
      <c r="CY263" s="57">
        <v>0</v>
      </c>
      <c r="CZ263" s="57">
        <v>0</v>
      </c>
      <c r="DA263" s="57">
        <v>50</v>
      </c>
      <c r="FF263" s="70" t="s">
        <v>1854</v>
      </c>
      <c r="FG263" s="70" t="s">
        <v>2098</v>
      </c>
      <c r="FH263" s="70">
        <v>254</v>
      </c>
      <c r="FI263" s="70">
        <v>245</v>
      </c>
      <c r="FJ263" s="70">
        <v>318</v>
      </c>
      <c r="FK263" s="70">
        <v>398</v>
      </c>
      <c r="FL263" s="70">
        <v>485</v>
      </c>
      <c r="FM263" s="70">
        <v>1700</v>
      </c>
      <c r="FN263" s="70"/>
      <c r="FO263" s="70" t="s">
        <v>2098</v>
      </c>
      <c r="FP263" s="70">
        <v>26</v>
      </c>
      <c r="FQ263" s="70">
        <v>7</v>
      </c>
      <c r="FR263" s="70">
        <v>6</v>
      </c>
      <c r="FS263" s="70">
        <v>1</v>
      </c>
      <c r="FT263" s="70">
        <v>3</v>
      </c>
      <c r="FU263" s="70">
        <v>43</v>
      </c>
    </row>
    <row r="264" spans="2:177">
      <c r="B264" s="64" t="s">
        <v>717</v>
      </c>
      <c r="C264" s="64" t="s">
        <v>2098</v>
      </c>
      <c r="D264" s="64">
        <v>116</v>
      </c>
      <c r="E264" s="64">
        <v>375</v>
      </c>
      <c r="F264" s="64">
        <v>487</v>
      </c>
      <c r="G264" s="64">
        <v>589</v>
      </c>
      <c r="H264" s="64">
        <v>453</v>
      </c>
      <c r="I264" s="64">
        <v>2020</v>
      </c>
      <c r="K264" s="64" t="s">
        <v>2098</v>
      </c>
      <c r="L264" s="64">
        <v>2</v>
      </c>
      <c r="M264" s="64">
        <v>1</v>
      </c>
      <c r="N264" s="64">
        <v>0</v>
      </c>
      <c r="O264" s="64">
        <v>0</v>
      </c>
      <c r="P264" s="64">
        <v>1</v>
      </c>
      <c r="Q264" s="64">
        <v>4</v>
      </c>
      <c r="AK264" s="66" t="s">
        <v>1140</v>
      </c>
      <c r="AL264" s="66" t="s">
        <v>2098</v>
      </c>
      <c r="AM264" s="66">
        <v>494</v>
      </c>
      <c r="AN264" s="66">
        <v>326</v>
      </c>
      <c r="AO264" s="66">
        <v>458</v>
      </c>
      <c r="AP264" s="66">
        <v>494</v>
      </c>
      <c r="AQ264" s="66">
        <v>530</v>
      </c>
      <c r="AR264" s="66">
        <v>2302</v>
      </c>
      <c r="AS264" s="66"/>
      <c r="AT264" s="66" t="s">
        <v>2098</v>
      </c>
      <c r="AU264" s="66">
        <v>142</v>
      </c>
      <c r="AV264" s="66">
        <v>2</v>
      </c>
      <c r="AW264" s="66">
        <v>0</v>
      </c>
      <c r="AX264" s="66">
        <v>0</v>
      </c>
      <c r="AY264" s="66">
        <v>1</v>
      </c>
      <c r="AZ264" s="66">
        <v>145</v>
      </c>
      <c r="BB264" s="69" t="s">
        <v>1174</v>
      </c>
      <c r="BC264" s="69" t="s">
        <v>25</v>
      </c>
      <c r="BD264" s="69">
        <v>398</v>
      </c>
      <c r="BE264" s="69">
        <v>326</v>
      </c>
      <c r="BF264" s="69">
        <v>456</v>
      </c>
      <c r="BG264" s="69">
        <v>540</v>
      </c>
      <c r="BH264" s="69">
        <v>519</v>
      </c>
      <c r="BI264" s="69">
        <v>2239</v>
      </c>
      <c r="BJ264" s="69"/>
      <c r="BK264" s="69" t="s">
        <v>25</v>
      </c>
      <c r="BL264" s="69">
        <v>21</v>
      </c>
      <c r="BM264" s="69">
        <v>0</v>
      </c>
      <c r="BN264" s="69">
        <v>0</v>
      </c>
      <c r="BO264" s="69">
        <v>0</v>
      </c>
      <c r="BP264" s="69">
        <v>0</v>
      </c>
      <c r="BQ264" s="69">
        <v>21</v>
      </c>
      <c r="BT264" s="21"/>
      <c r="CL264" s="57" t="s">
        <v>354</v>
      </c>
      <c r="CM264" s="57" t="s">
        <v>2098</v>
      </c>
      <c r="CN264" s="57">
        <v>327</v>
      </c>
      <c r="CO264" s="57">
        <v>221</v>
      </c>
      <c r="CP264" s="57">
        <v>343</v>
      </c>
      <c r="CQ264" s="57">
        <v>483</v>
      </c>
      <c r="CR264" s="57">
        <v>440</v>
      </c>
      <c r="CS264" s="57">
        <v>1814</v>
      </c>
      <c r="CT264" s="57"/>
      <c r="CU264" s="57" t="s">
        <v>2098</v>
      </c>
      <c r="CV264" s="57">
        <v>60</v>
      </c>
      <c r="CW264" s="57">
        <v>0</v>
      </c>
      <c r="CX264" s="57">
        <v>0</v>
      </c>
      <c r="CY264" s="57">
        <v>0</v>
      </c>
      <c r="CZ264" s="57">
        <v>0</v>
      </c>
      <c r="DA264" s="57">
        <v>60</v>
      </c>
      <c r="FF264" s="70" t="s">
        <v>1857</v>
      </c>
      <c r="FG264" s="70" t="s">
        <v>2098</v>
      </c>
      <c r="FH264" s="70">
        <v>169</v>
      </c>
      <c r="FI264" s="70">
        <v>276</v>
      </c>
      <c r="FJ264" s="70">
        <v>330</v>
      </c>
      <c r="FK264" s="70">
        <v>409</v>
      </c>
      <c r="FL264" s="70">
        <v>487</v>
      </c>
      <c r="FM264" s="70">
        <v>1671</v>
      </c>
      <c r="FN264" s="70"/>
      <c r="FO264" s="70" t="s">
        <v>2098</v>
      </c>
      <c r="FP264" s="70">
        <v>8</v>
      </c>
      <c r="FQ264" s="70">
        <v>2</v>
      </c>
      <c r="FR264" s="70">
        <v>2</v>
      </c>
      <c r="FS264" s="70">
        <v>0</v>
      </c>
      <c r="FT264" s="70">
        <v>0</v>
      </c>
      <c r="FU264" s="70">
        <v>12</v>
      </c>
    </row>
    <row r="265" spans="2:177">
      <c r="B265" s="64" t="s">
        <v>721</v>
      </c>
      <c r="C265" s="64" t="s">
        <v>2098</v>
      </c>
      <c r="D265" s="64">
        <v>915</v>
      </c>
      <c r="E265" s="64">
        <v>838</v>
      </c>
      <c r="F265" s="64">
        <v>874</v>
      </c>
      <c r="G265" s="64">
        <v>911</v>
      </c>
      <c r="H265" s="64">
        <v>615</v>
      </c>
      <c r="I265" s="64">
        <v>4153</v>
      </c>
      <c r="K265" s="64" t="s">
        <v>2098</v>
      </c>
      <c r="L265" s="64">
        <v>137</v>
      </c>
      <c r="M265" s="64">
        <v>6</v>
      </c>
      <c r="N265" s="64">
        <v>0</v>
      </c>
      <c r="O265" s="64">
        <v>0</v>
      </c>
      <c r="P265" s="64">
        <v>1</v>
      </c>
      <c r="Q265" s="64">
        <v>144</v>
      </c>
      <c r="AK265" s="66" t="s">
        <v>1143</v>
      </c>
      <c r="AL265" s="66" t="s">
        <v>2098</v>
      </c>
      <c r="AM265" s="66">
        <v>1125</v>
      </c>
      <c r="AN265" s="66">
        <v>875</v>
      </c>
      <c r="AO265" s="66">
        <v>912</v>
      </c>
      <c r="AP265" s="66">
        <v>938</v>
      </c>
      <c r="AQ265" s="66">
        <v>744</v>
      </c>
      <c r="AR265" s="66">
        <v>4594</v>
      </c>
      <c r="AS265" s="66"/>
      <c r="AT265" s="66" t="s">
        <v>2098</v>
      </c>
      <c r="AU265" s="66">
        <v>184</v>
      </c>
      <c r="AV265" s="66">
        <v>2</v>
      </c>
      <c r="AW265" s="66">
        <v>7</v>
      </c>
      <c r="AX265" s="66">
        <v>0</v>
      </c>
      <c r="AY265" s="66">
        <v>0</v>
      </c>
      <c r="AZ265" s="66">
        <v>193</v>
      </c>
      <c r="BB265" s="69" t="s">
        <v>1177</v>
      </c>
      <c r="BC265" s="69" t="s">
        <v>25</v>
      </c>
      <c r="BD265" s="69">
        <v>178</v>
      </c>
      <c r="BE265" s="69">
        <v>233</v>
      </c>
      <c r="BF265" s="69">
        <v>362</v>
      </c>
      <c r="BG265" s="69">
        <v>561</v>
      </c>
      <c r="BH265" s="69">
        <v>462</v>
      </c>
      <c r="BI265" s="69">
        <v>1796</v>
      </c>
      <c r="BJ265" s="69"/>
      <c r="BK265" s="69" t="s">
        <v>25</v>
      </c>
      <c r="BL265" s="69">
        <v>25</v>
      </c>
      <c r="BM265" s="69">
        <v>0</v>
      </c>
      <c r="BN265" s="69">
        <v>0</v>
      </c>
      <c r="BO265" s="69">
        <v>0</v>
      </c>
      <c r="BP265" s="69">
        <v>0</v>
      </c>
      <c r="BQ265" s="69">
        <v>25</v>
      </c>
      <c r="BT265" s="21"/>
      <c r="CL265" s="57" t="s">
        <v>355</v>
      </c>
      <c r="CM265" s="57" t="s">
        <v>2098</v>
      </c>
      <c r="CN265" s="57">
        <v>357</v>
      </c>
      <c r="CO265" s="57">
        <v>210</v>
      </c>
      <c r="CP265" s="57">
        <v>322</v>
      </c>
      <c r="CQ265" s="57">
        <v>462</v>
      </c>
      <c r="CR265" s="57">
        <v>434</v>
      </c>
      <c r="CS265" s="57">
        <v>1785</v>
      </c>
      <c r="CT265" s="57"/>
      <c r="CU265" s="57" t="s">
        <v>2098</v>
      </c>
      <c r="CV265" s="57">
        <v>90</v>
      </c>
      <c r="CW265" s="57">
        <v>0</v>
      </c>
      <c r="CX265" s="57">
        <v>0</v>
      </c>
      <c r="CY265" s="57">
        <v>0</v>
      </c>
      <c r="CZ265" s="57">
        <v>0</v>
      </c>
      <c r="DA265" s="57">
        <v>90</v>
      </c>
      <c r="FF265" s="70" t="s">
        <v>1859</v>
      </c>
      <c r="FG265" s="70" t="s">
        <v>2098</v>
      </c>
      <c r="FH265" s="70">
        <v>48</v>
      </c>
      <c r="FI265" s="70">
        <v>114</v>
      </c>
      <c r="FJ265" s="70">
        <v>167</v>
      </c>
      <c r="FK265" s="70">
        <v>174</v>
      </c>
      <c r="FL265" s="70">
        <v>276</v>
      </c>
      <c r="FM265" s="70">
        <v>779</v>
      </c>
      <c r="FN265" s="70"/>
      <c r="FO265" s="70" t="s">
        <v>2098</v>
      </c>
      <c r="FP265" s="70">
        <v>6</v>
      </c>
      <c r="FQ265" s="70">
        <v>0</v>
      </c>
      <c r="FR265" s="70">
        <v>0</v>
      </c>
      <c r="FS265" s="70">
        <v>2</v>
      </c>
      <c r="FT265" s="70">
        <v>0</v>
      </c>
      <c r="FU265" s="70">
        <v>8</v>
      </c>
    </row>
    <row r="266" spans="2:177">
      <c r="B266" s="64" t="s">
        <v>726</v>
      </c>
      <c r="C266" s="64" t="s">
        <v>2098</v>
      </c>
      <c r="D266" s="64">
        <v>576</v>
      </c>
      <c r="E266" s="64">
        <v>936</v>
      </c>
      <c r="F266" s="64">
        <v>1334</v>
      </c>
      <c r="G266" s="64">
        <v>1370</v>
      </c>
      <c r="H266" s="64">
        <v>798</v>
      </c>
      <c r="I266" s="64">
        <v>5014</v>
      </c>
      <c r="K266" s="64" t="s">
        <v>2098</v>
      </c>
      <c r="L266" s="64">
        <v>46</v>
      </c>
      <c r="M266" s="64">
        <v>4</v>
      </c>
      <c r="N266" s="64">
        <v>1</v>
      </c>
      <c r="O266" s="64">
        <v>0</v>
      </c>
      <c r="P266" s="64">
        <v>0</v>
      </c>
      <c r="Q266" s="64">
        <v>51</v>
      </c>
      <c r="AK266" s="66" t="s">
        <v>1146</v>
      </c>
      <c r="AL266" s="66" t="s">
        <v>2098</v>
      </c>
      <c r="AM266" s="66">
        <v>668</v>
      </c>
      <c r="AN266" s="66">
        <v>739</v>
      </c>
      <c r="AO266" s="66">
        <v>920</v>
      </c>
      <c r="AP266" s="66">
        <v>993</v>
      </c>
      <c r="AQ266" s="66">
        <v>703</v>
      </c>
      <c r="AR266" s="66">
        <v>4023</v>
      </c>
      <c r="AS266" s="66"/>
      <c r="AT266" s="66" t="s">
        <v>2098</v>
      </c>
      <c r="AU266" s="66">
        <v>46</v>
      </c>
      <c r="AV266" s="66">
        <v>3</v>
      </c>
      <c r="AW266" s="66">
        <v>0</v>
      </c>
      <c r="AX266" s="66">
        <v>0</v>
      </c>
      <c r="AY266" s="66">
        <v>0</v>
      </c>
      <c r="AZ266" s="66">
        <v>49</v>
      </c>
      <c r="BB266" s="69" t="s">
        <v>1180</v>
      </c>
      <c r="BC266" s="69" t="s">
        <v>25</v>
      </c>
      <c r="BD266" s="69">
        <v>232</v>
      </c>
      <c r="BE266" s="69">
        <v>123</v>
      </c>
      <c r="BF266" s="69">
        <v>149</v>
      </c>
      <c r="BG266" s="69">
        <v>238</v>
      </c>
      <c r="BH266" s="69">
        <v>208</v>
      </c>
      <c r="BI266" s="69">
        <v>950</v>
      </c>
      <c r="BJ266" s="69"/>
      <c r="BK266" s="69" t="s">
        <v>25</v>
      </c>
      <c r="BL266" s="69">
        <v>26</v>
      </c>
      <c r="BM266" s="69">
        <v>0</v>
      </c>
      <c r="BN266" s="69">
        <v>0</v>
      </c>
      <c r="BO266" s="69">
        <v>0</v>
      </c>
      <c r="BP266" s="69">
        <v>0</v>
      </c>
      <c r="BQ266" s="69">
        <v>26</v>
      </c>
      <c r="BT266" s="21"/>
      <c r="CL266" s="57" t="s">
        <v>358</v>
      </c>
      <c r="CM266" s="57" t="s">
        <v>2098</v>
      </c>
      <c r="CN266" s="57">
        <v>63</v>
      </c>
      <c r="CO266" s="57">
        <v>94</v>
      </c>
      <c r="CP266" s="57">
        <v>206</v>
      </c>
      <c r="CQ266" s="57">
        <v>294</v>
      </c>
      <c r="CR266" s="57">
        <v>284</v>
      </c>
      <c r="CS266" s="57">
        <v>941</v>
      </c>
      <c r="CT266" s="57"/>
      <c r="CU266" s="57" t="s">
        <v>2098</v>
      </c>
      <c r="CV266" s="57">
        <v>25</v>
      </c>
      <c r="CW266" s="57">
        <v>0</v>
      </c>
      <c r="CX266" s="57">
        <v>0</v>
      </c>
      <c r="CY266" s="57">
        <v>0</v>
      </c>
      <c r="CZ266" s="57">
        <v>0</v>
      </c>
      <c r="DA266" s="57">
        <v>25</v>
      </c>
      <c r="FF266" s="70" t="s">
        <v>1861</v>
      </c>
      <c r="FG266" s="70" t="s">
        <v>2098</v>
      </c>
      <c r="FH266" s="70">
        <v>216</v>
      </c>
      <c r="FI266" s="70">
        <v>203</v>
      </c>
      <c r="FJ266" s="70">
        <v>256</v>
      </c>
      <c r="FK266" s="70">
        <v>320</v>
      </c>
      <c r="FL266" s="70">
        <v>444</v>
      </c>
      <c r="FM266" s="70">
        <v>1439</v>
      </c>
      <c r="FN266" s="70"/>
      <c r="FO266" s="70" t="s">
        <v>2098</v>
      </c>
      <c r="FP266" s="70">
        <v>15</v>
      </c>
      <c r="FQ266" s="70">
        <v>5</v>
      </c>
      <c r="FR266" s="70">
        <v>3</v>
      </c>
      <c r="FS266" s="70">
        <v>3</v>
      </c>
      <c r="FT266" s="70">
        <v>4</v>
      </c>
      <c r="FU266" s="70">
        <v>30</v>
      </c>
    </row>
    <row r="267" spans="2:177">
      <c r="B267" s="64" t="s">
        <v>730</v>
      </c>
      <c r="C267" s="64" t="s">
        <v>2098</v>
      </c>
      <c r="D267" s="64">
        <v>739</v>
      </c>
      <c r="E267" s="64">
        <v>850</v>
      </c>
      <c r="F267" s="64">
        <v>1113</v>
      </c>
      <c r="G267" s="64">
        <v>1205</v>
      </c>
      <c r="H267" s="64">
        <v>724</v>
      </c>
      <c r="I267" s="64">
        <v>4631</v>
      </c>
      <c r="K267" s="64" t="s">
        <v>2098</v>
      </c>
      <c r="L267" s="64">
        <v>83</v>
      </c>
      <c r="M267" s="64">
        <v>6</v>
      </c>
      <c r="N267" s="64">
        <v>0</v>
      </c>
      <c r="O267" s="64">
        <v>0</v>
      </c>
      <c r="P267" s="64">
        <v>0</v>
      </c>
      <c r="Q267" s="64">
        <v>89</v>
      </c>
      <c r="AK267" s="66" t="s">
        <v>1149</v>
      </c>
      <c r="AL267" s="66" t="s">
        <v>2098</v>
      </c>
      <c r="AM267" s="66">
        <v>1008</v>
      </c>
      <c r="AN267" s="66">
        <v>915</v>
      </c>
      <c r="AO267" s="66">
        <v>909</v>
      </c>
      <c r="AP267" s="66">
        <v>941</v>
      </c>
      <c r="AQ267" s="66">
        <v>609</v>
      </c>
      <c r="AR267" s="66">
        <v>4382</v>
      </c>
      <c r="AS267" s="66"/>
      <c r="AT267" s="66" t="s">
        <v>2098</v>
      </c>
      <c r="AU267" s="66">
        <v>83</v>
      </c>
      <c r="AV267" s="66">
        <v>1</v>
      </c>
      <c r="AW267" s="66">
        <v>1</v>
      </c>
      <c r="AX267" s="66">
        <v>1</v>
      </c>
      <c r="AY267" s="66">
        <v>1</v>
      </c>
      <c r="AZ267" s="66">
        <v>87</v>
      </c>
      <c r="BB267" s="69" t="s">
        <v>1183</v>
      </c>
      <c r="BC267" s="69" t="s">
        <v>25</v>
      </c>
      <c r="BD267" s="69">
        <v>221</v>
      </c>
      <c r="BE267" s="69">
        <v>246</v>
      </c>
      <c r="BF267" s="69">
        <v>435</v>
      </c>
      <c r="BG267" s="69">
        <v>563</v>
      </c>
      <c r="BH267" s="69">
        <v>565</v>
      </c>
      <c r="BI267" s="69">
        <v>2030</v>
      </c>
      <c r="BJ267" s="69"/>
      <c r="BK267" s="69" t="s">
        <v>25</v>
      </c>
      <c r="BL267" s="69">
        <v>20</v>
      </c>
      <c r="BM267" s="69">
        <v>0</v>
      </c>
      <c r="BN267" s="69">
        <v>0</v>
      </c>
      <c r="BO267" s="69">
        <v>0</v>
      </c>
      <c r="BP267" s="69">
        <v>0</v>
      </c>
      <c r="BQ267" s="69">
        <v>20</v>
      </c>
      <c r="BS267" s="21"/>
      <c r="CL267" s="57" t="s">
        <v>357</v>
      </c>
      <c r="CM267" s="57" t="s">
        <v>2098</v>
      </c>
      <c r="CN267" s="57">
        <v>187</v>
      </c>
      <c r="CO267" s="57">
        <v>63</v>
      </c>
      <c r="CP267" s="57">
        <v>103</v>
      </c>
      <c r="CQ267" s="57">
        <v>124</v>
      </c>
      <c r="CR267" s="57">
        <v>163</v>
      </c>
      <c r="CS267" s="57">
        <v>640</v>
      </c>
      <c r="CT267" s="57"/>
      <c r="CU267" s="57" t="s">
        <v>2098</v>
      </c>
      <c r="CV267" s="57">
        <v>80</v>
      </c>
      <c r="CW267" s="57">
        <v>0</v>
      </c>
      <c r="CX267" s="57">
        <v>0</v>
      </c>
      <c r="CY267" s="57">
        <v>0</v>
      </c>
      <c r="CZ267" s="57">
        <v>0</v>
      </c>
      <c r="DA267" s="57">
        <v>80</v>
      </c>
      <c r="FF267" s="70" t="s">
        <v>1863</v>
      </c>
      <c r="FG267" s="70" t="s">
        <v>2098</v>
      </c>
      <c r="FH267" s="70">
        <v>128</v>
      </c>
      <c r="FI267" s="70">
        <v>162</v>
      </c>
      <c r="FJ267" s="70">
        <v>193</v>
      </c>
      <c r="FK267" s="70">
        <v>258</v>
      </c>
      <c r="FL267" s="70">
        <v>404</v>
      </c>
      <c r="FM267" s="70">
        <v>1145</v>
      </c>
      <c r="FN267" s="70"/>
      <c r="FO267" s="70" t="s">
        <v>2098</v>
      </c>
      <c r="FP267" s="70">
        <v>7</v>
      </c>
      <c r="FQ267" s="70">
        <v>0</v>
      </c>
      <c r="FR267" s="70">
        <v>0</v>
      </c>
      <c r="FS267" s="70">
        <v>0</v>
      </c>
      <c r="FT267" s="70">
        <v>0</v>
      </c>
      <c r="FU267" s="70">
        <v>7</v>
      </c>
    </row>
    <row r="268" spans="2:177">
      <c r="B268" s="64" t="s">
        <v>736</v>
      </c>
      <c r="C268" s="64" t="s">
        <v>2098</v>
      </c>
      <c r="D268" s="64">
        <v>234</v>
      </c>
      <c r="E268" s="64">
        <v>481</v>
      </c>
      <c r="F268" s="64">
        <v>719</v>
      </c>
      <c r="G268" s="64">
        <v>901</v>
      </c>
      <c r="H268" s="64">
        <v>575</v>
      </c>
      <c r="I268" s="64">
        <v>2910</v>
      </c>
      <c r="K268" s="64" t="s">
        <v>2098</v>
      </c>
      <c r="L268" s="64">
        <v>19</v>
      </c>
      <c r="M268" s="64">
        <v>2</v>
      </c>
      <c r="N268" s="64">
        <v>0</v>
      </c>
      <c r="O268" s="64">
        <v>1</v>
      </c>
      <c r="P268" s="64">
        <v>0</v>
      </c>
      <c r="Q268" s="64">
        <v>22</v>
      </c>
      <c r="AK268" s="66" t="s">
        <v>2113</v>
      </c>
      <c r="AL268" s="66" t="s">
        <v>2098</v>
      </c>
      <c r="AM268" s="66" t="s">
        <v>324</v>
      </c>
      <c r="AN268" s="66" t="s">
        <v>324</v>
      </c>
      <c r="AO268" s="66" t="s">
        <v>324</v>
      </c>
      <c r="AP268" s="66" t="s">
        <v>324</v>
      </c>
      <c r="AQ268" s="66" t="s">
        <v>324</v>
      </c>
      <c r="AR268" s="66" t="s">
        <v>324</v>
      </c>
      <c r="AS268" s="66"/>
      <c r="AT268" s="66" t="s">
        <v>2098</v>
      </c>
      <c r="AU268" s="66" t="s">
        <v>324</v>
      </c>
      <c r="AV268" s="66" t="s">
        <v>324</v>
      </c>
      <c r="AW268" s="66" t="s">
        <v>324</v>
      </c>
      <c r="AX268" s="66" t="s">
        <v>324</v>
      </c>
      <c r="AY268" s="66" t="s">
        <v>324</v>
      </c>
      <c r="AZ268" s="66" t="s">
        <v>324</v>
      </c>
      <c r="BB268" s="69" t="s">
        <v>1186</v>
      </c>
      <c r="BC268" s="69" t="s">
        <v>25</v>
      </c>
      <c r="BD268" s="69">
        <v>82</v>
      </c>
      <c r="BE268" s="69">
        <v>108</v>
      </c>
      <c r="BF268" s="69">
        <v>168</v>
      </c>
      <c r="BG268" s="69">
        <v>225</v>
      </c>
      <c r="BH268" s="69">
        <v>222</v>
      </c>
      <c r="BI268" s="69">
        <v>805</v>
      </c>
      <c r="BJ268" s="69"/>
      <c r="BK268" s="69" t="s">
        <v>25</v>
      </c>
      <c r="BL268" s="69">
        <v>17</v>
      </c>
      <c r="BM268" s="69">
        <v>0</v>
      </c>
      <c r="BN268" s="69">
        <v>0</v>
      </c>
      <c r="BO268" s="69">
        <v>0</v>
      </c>
      <c r="BP268" s="69">
        <v>0</v>
      </c>
      <c r="BQ268" s="69">
        <v>17</v>
      </c>
      <c r="BS268" s="21"/>
      <c r="CL268" s="57" t="s">
        <v>559</v>
      </c>
      <c r="CM268" s="57" t="s">
        <v>2098</v>
      </c>
      <c r="CN268" s="57">
        <v>77</v>
      </c>
      <c r="CO268" s="57">
        <v>37</v>
      </c>
      <c r="CP268" s="57">
        <v>85</v>
      </c>
      <c r="CQ268" s="57">
        <v>102</v>
      </c>
      <c r="CR268" s="57">
        <v>109</v>
      </c>
      <c r="CS268" s="57">
        <v>410</v>
      </c>
      <c r="CT268" s="57"/>
      <c r="CU268" s="57" t="s">
        <v>2098</v>
      </c>
      <c r="CV268" s="57">
        <v>39</v>
      </c>
      <c r="CW268" s="57">
        <v>0</v>
      </c>
      <c r="CX268" s="57">
        <v>0</v>
      </c>
      <c r="CY268" s="57">
        <v>0</v>
      </c>
      <c r="CZ268" s="57">
        <v>0</v>
      </c>
      <c r="DA268" s="57">
        <v>39</v>
      </c>
      <c r="FF268" s="70" t="s">
        <v>1865</v>
      </c>
      <c r="FG268" s="70" t="s">
        <v>2098</v>
      </c>
      <c r="FH268" s="70">
        <v>71</v>
      </c>
      <c r="FI268" s="70">
        <v>110</v>
      </c>
      <c r="FJ268" s="70">
        <v>148</v>
      </c>
      <c r="FK268" s="70">
        <v>183</v>
      </c>
      <c r="FL268" s="70">
        <v>307</v>
      </c>
      <c r="FM268" s="70">
        <v>819</v>
      </c>
      <c r="FN268" s="70"/>
      <c r="FO268" s="70" t="s">
        <v>2098</v>
      </c>
      <c r="FP268" s="70">
        <v>3</v>
      </c>
      <c r="FQ268" s="70">
        <v>2</v>
      </c>
      <c r="FR268" s="70">
        <v>1</v>
      </c>
      <c r="FS268" s="70">
        <v>0</v>
      </c>
      <c r="FT268" s="70">
        <v>0</v>
      </c>
      <c r="FU268" s="70">
        <v>6</v>
      </c>
    </row>
    <row r="269" spans="2:177">
      <c r="B269" s="64" t="s">
        <v>741</v>
      </c>
      <c r="C269" s="64" t="s">
        <v>2098</v>
      </c>
      <c r="D269" s="64">
        <v>275</v>
      </c>
      <c r="E269" s="64">
        <v>588</v>
      </c>
      <c r="F269" s="64">
        <v>1002</v>
      </c>
      <c r="G269" s="64">
        <v>1100</v>
      </c>
      <c r="H269" s="64">
        <v>637</v>
      </c>
      <c r="I269" s="64">
        <v>3602</v>
      </c>
      <c r="K269" s="64" t="s">
        <v>2098</v>
      </c>
      <c r="L269" s="64">
        <v>30</v>
      </c>
      <c r="M269" s="64">
        <v>1</v>
      </c>
      <c r="N269" s="64">
        <v>3</v>
      </c>
      <c r="O269" s="64">
        <v>1</v>
      </c>
      <c r="P269" s="64">
        <v>0</v>
      </c>
      <c r="Q269" s="64">
        <v>35</v>
      </c>
      <c r="BB269" s="69" t="s">
        <v>1189</v>
      </c>
      <c r="BC269" s="69" t="s">
        <v>25</v>
      </c>
      <c r="BD269" s="69">
        <v>23</v>
      </c>
      <c r="BE269" s="69">
        <v>38</v>
      </c>
      <c r="BF269" s="69">
        <v>83</v>
      </c>
      <c r="BG269" s="69">
        <v>101</v>
      </c>
      <c r="BH269" s="69">
        <v>152</v>
      </c>
      <c r="BI269" s="69">
        <v>397</v>
      </c>
      <c r="BJ269" s="69"/>
      <c r="BK269" s="69" t="s">
        <v>25</v>
      </c>
      <c r="BL269" s="69">
        <v>0</v>
      </c>
      <c r="BM269" s="69">
        <v>0</v>
      </c>
      <c r="BN269" s="69">
        <v>0</v>
      </c>
      <c r="BO269" s="69">
        <v>0</v>
      </c>
      <c r="BP269" s="69">
        <v>0</v>
      </c>
      <c r="BQ269" s="69">
        <v>0</v>
      </c>
      <c r="BS269" s="21"/>
      <c r="CL269" s="57" t="s">
        <v>561</v>
      </c>
      <c r="CM269" s="57" t="s">
        <v>2098</v>
      </c>
      <c r="CN269" s="57">
        <v>85</v>
      </c>
      <c r="CO269" s="57">
        <v>112</v>
      </c>
      <c r="CP269" s="57">
        <v>206</v>
      </c>
      <c r="CQ269" s="57">
        <v>302</v>
      </c>
      <c r="CR269" s="57">
        <v>297</v>
      </c>
      <c r="CS269" s="57">
        <v>1002</v>
      </c>
      <c r="CT269" s="57"/>
      <c r="CU269" s="57" t="s">
        <v>2098</v>
      </c>
      <c r="CV269" s="57">
        <v>12</v>
      </c>
      <c r="CW269" s="57">
        <v>0</v>
      </c>
      <c r="CX269" s="57">
        <v>0</v>
      </c>
      <c r="CY269" s="57">
        <v>0</v>
      </c>
      <c r="CZ269" s="57">
        <v>0</v>
      </c>
      <c r="DA269" s="57">
        <v>12</v>
      </c>
      <c r="FF269" s="70" t="s">
        <v>1867</v>
      </c>
      <c r="FG269" s="70" t="s">
        <v>2098</v>
      </c>
      <c r="FH269" s="70">
        <v>98</v>
      </c>
      <c r="FI269" s="70">
        <v>128</v>
      </c>
      <c r="FJ269" s="70">
        <v>133</v>
      </c>
      <c r="FK269" s="70">
        <v>186</v>
      </c>
      <c r="FL269" s="70">
        <v>288</v>
      </c>
      <c r="FM269" s="70">
        <v>833</v>
      </c>
      <c r="FN269" s="70"/>
      <c r="FO269" s="70" t="s">
        <v>2098</v>
      </c>
      <c r="FP269" s="70">
        <v>9</v>
      </c>
      <c r="FQ269" s="70">
        <v>3</v>
      </c>
      <c r="FR269" s="70">
        <v>1</v>
      </c>
      <c r="FS269" s="70">
        <v>0</v>
      </c>
      <c r="FT269" s="70">
        <v>0</v>
      </c>
      <c r="FU269" s="70">
        <v>13</v>
      </c>
    </row>
    <row r="270" spans="2:177">
      <c r="B270" s="64" t="s">
        <v>744</v>
      </c>
      <c r="C270" s="64" t="s">
        <v>2098</v>
      </c>
      <c r="D270" s="64">
        <v>683</v>
      </c>
      <c r="E270" s="64">
        <v>790</v>
      </c>
      <c r="F270" s="64">
        <v>1010</v>
      </c>
      <c r="G270" s="64">
        <v>1077</v>
      </c>
      <c r="H270" s="64">
        <v>651</v>
      </c>
      <c r="I270" s="64">
        <v>4211</v>
      </c>
      <c r="K270" s="64" t="s">
        <v>2098</v>
      </c>
      <c r="L270" s="64">
        <v>111</v>
      </c>
      <c r="M270" s="64">
        <v>3</v>
      </c>
      <c r="N270" s="64">
        <v>0</v>
      </c>
      <c r="O270" s="64">
        <v>1</v>
      </c>
      <c r="P270" s="64">
        <v>0</v>
      </c>
      <c r="Q270" s="64">
        <v>115</v>
      </c>
      <c r="AJ270" s="16" t="s">
        <v>2712</v>
      </c>
      <c r="AK270" s="66" t="s">
        <v>2712</v>
      </c>
      <c r="AL270" s="66" t="s">
        <v>2253</v>
      </c>
      <c r="AM270" s="66" t="s">
        <v>324</v>
      </c>
      <c r="AN270" s="66" t="s">
        <v>324</v>
      </c>
      <c r="AO270" s="66" t="s">
        <v>324</v>
      </c>
      <c r="AP270" s="66" t="s">
        <v>324</v>
      </c>
      <c r="AQ270" s="66" t="s">
        <v>324</v>
      </c>
      <c r="AR270" s="66" t="s">
        <v>324</v>
      </c>
      <c r="AS270" s="66"/>
      <c r="AT270" s="66" t="s">
        <v>2253</v>
      </c>
      <c r="AU270" s="66" t="s">
        <v>324</v>
      </c>
      <c r="AV270" s="66" t="s">
        <v>324</v>
      </c>
      <c r="AW270" s="66" t="s">
        <v>324</v>
      </c>
      <c r="AX270" s="66" t="s">
        <v>324</v>
      </c>
      <c r="AY270" s="66" t="s">
        <v>324</v>
      </c>
      <c r="AZ270" s="66" t="s">
        <v>324</v>
      </c>
      <c r="BB270" s="69" t="s">
        <v>1193</v>
      </c>
      <c r="BC270" s="69" t="s">
        <v>25</v>
      </c>
      <c r="BD270" s="69">
        <v>221</v>
      </c>
      <c r="BE270" s="69">
        <v>232</v>
      </c>
      <c r="BF270" s="69">
        <v>435</v>
      </c>
      <c r="BG270" s="69">
        <v>595</v>
      </c>
      <c r="BH270" s="69">
        <v>554</v>
      </c>
      <c r="BI270" s="69">
        <v>2037</v>
      </c>
      <c r="BJ270" s="69"/>
      <c r="BK270" s="69" t="s">
        <v>25</v>
      </c>
      <c r="BL270" s="69">
        <v>35</v>
      </c>
      <c r="BM270" s="69">
        <v>0</v>
      </c>
      <c r="BN270" s="69">
        <v>0</v>
      </c>
      <c r="BO270" s="69">
        <v>0</v>
      </c>
      <c r="BP270" s="69">
        <v>0</v>
      </c>
      <c r="BQ270" s="69">
        <v>35</v>
      </c>
      <c r="BS270" s="21"/>
      <c r="CL270" s="57" t="s">
        <v>360</v>
      </c>
      <c r="CM270" s="57" t="s">
        <v>2098</v>
      </c>
      <c r="CN270" s="57">
        <v>52</v>
      </c>
      <c r="CO270" s="57">
        <v>47</v>
      </c>
      <c r="CP270" s="57">
        <v>83</v>
      </c>
      <c r="CQ270" s="57">
        <v>156</v>
      </c>
      <c r="CR270" s="57">
        <v>177</v>
      </c>
      <c r="CS270" s="57">
        <v>515</v>
      </c>
      <c r="CT270" s="57"/>
      <c r="CU270" s="57" t="s">
        <v>2098</v>
      </c>
      <c r="CV270" s="57">
        <v>29</v>
      </c>
      <c r="CW270" s="57">
        <v>1</v>
      </c>
      <c r="CX270" s="57">
        <v>0</v>
      </c>
      <c r="CY270" s="57">
        <v>0</v>
      </c>
      <c r="CZ270" s="57">
        <v>0</v>
      </c>
      <c r="DA270" s="57">
        <v>30</v>
      </c>
      <c r="FF270" s="70" t="s">
        <v>1869</v>
      </c>
      <c r="FG270" s="70" t="s">
        <v>2098</v>
      </c>
      <c r="FH270" s="70">
        <v>259</v>
      </c>
      <c r="FI270" s="70">
        <v>306</v>
      </c>
      <c r="FJ270" s="70">
        <v>273</v>
      </c>
      <c r="FK270" s="70">
        <v>292</v>
      </c>
      <c r="FL270" s="70">
        <v>352</v>
      </c>
      <c r="FM270" s="70">
        <v>1482</v>
      </c>
      <c r="FN270" s="70"/>
      <c r="FO270" s="70" t="s">
        <v>2098</v>
      </c>
      <c r="FP270" s="70">
        <v>16</v>
      </c>
      <c r="FQ270" s="70">
        <v>12</v>
      </c>
      <c r="FR270" s="70">
        <v>3</v>
      </c>
      <c r="FS270" s="70">
        <v>2</v>
      </c>
      <c r="FT270" s="70">
        <v>0</v>
      </c>
      <c r="FU270" s="70">
        <v>33</v>
      </c>
    </row>
    <row r="271" spans="2:177">
      <c r="B271" s="64" t="s">
        <v>747</v>
      </c>
      <c r="C271" s="64" t="s">
        <v>2098</v>
      </c>
      <c r="D271" s="64">
        <v>246</v>
      </c>
      <c r="E271" s="64">
        <v>263</v>
      </c>
      <c r="F271" s="64">
        <v>413</v>
      </c>
      <c r="G271" s="64">
        <v>499</v>
      </c>
      <c r="H271" s="64">
        <v>359</v>
      </c>
      <c r="I271" s="64">
        <v>1780</v>
      </c>
      <c r="K271" s="64" t="s">
        <v>2098</v>
      </c>
      <c r="L271" s="64">
        <v>51</v>
      </c>
      <c r="M271" s="64">
        <v>7</v>
      </c>
      <c r="N271" s="64">
        <v>0</v>
      </c>
      <c r="O271" s="64">
        <v>0</v>
      </c>
      <c r="P271" s="64">
        <v>0</v>
      </c>
      <c r="Q271" s="64">
        <v>58</v>
      </c>
      <c r="AJ271" s="16" t="s">
        <v>2715</v>
      </c>
      <c r="AK271" s="66" t="s">
        <v>2715</v>
      </c>
      <c r="AL271" s="66" t="s">
        <v>2253</v>
      </c>
      <c r="AM271" s="66" t="s">
        <v>324</v>
      </c>
      <c r="AN271" s="66" t="s">
        <v>324</v>
      </c>
      <c r="AO271" s="66" t="s">
        <v>324</v>
      </c>
      <c r="AP271" s="66" t="s">
        <v>324</v>
      </c>
      <c r="AQ271" s="66" t="s">
        <v>324</v>
      </c>
      <c r="AR271" s="66" t="s">
        <v>324</v>
      </c>
      <c r="AS271" s="66"/>
      <c r="AT271" s="66" t="s">
        <v>2253</v>
      </c>
      <c r="AU271" s="66" t="s">
        <v>324</v>
      </c>
      <c r="AV271" s="66" t="s">
        <v>324</v>
      </c>
      <c r="AW271" s="66" t="s">
        <v>324</v>
      </c>
      <c r="AX271" s="66" t="s">
        <v>324</v>
      </c>
      <c r="AY271" s="66" t="s">
        <v>324</v>
      </c>
      <c r="AZ271" s="66" t="s">
        <v>324</v>
      </c>
      <c r="BB271" s="69" t="s">
        <v>1197</v>
      </c>
      <c r="BC271" s="69" t="s">
        <v>25</v>
      </c>
      <c r="BD271" s="69">
        <v>508</v>
      </c>
      <c r="BE271" s="69">
        <v>396</v>
      </c>
      <c r="BF271" s="69">
        <v>450</v>
      </c>
      <c r="BG271" s="69">
        <v>503</v>
      </c>
      <c r="BH271" s="69">
        <v>453</v>
      </c>
      <c r="BI271" s="69">
        <v>2310</v>
      </c>
      <c r="BJ271" s="69"/>
      <c r="BK271" s="69" t="s">
        <v>25</v>
      </c>
      <c r="BL271" s="69">
        <v>16</v>
      </c>
      <c r="BM271" s="69">
        <v>0</v>
      </c>
      <c r="BN271" s="69">
        <v>0</v>
      </c>
      <c r="BO271" s="69">
        <v>0</v>
      </c>
      <c r="BP271" s="69">
        <v>0</v>
      </c>
      <c r="BQ271" s="69">
        <v>16</v>
      </c>
      <c r="BS271" s="21"/>
      <c r="CL271" s="57" t="s">
        <v>492</v>
      </c>
      <c r="CM271" s="57" t="s">
        <v>2098</v>
      </c>
      <c r="CN271" s="57">
        <v>41</v>
      </c>
      <c r="CO271" s="57">
        <v>33</v>
      </c>
      <c r="CP271" s="57">
        <v>48</v>
      </c>
      <c r="CQ271" s="57">
        <v>60</v>
      </c>
      <c r="CR271" s="57">
        <v>71</v>
      </c>
      <c r="CS271" s="57">
        <v>253</v>
      </c>
      <c r="CT271" s="57"/>
      <c r="CU271" s="57" t="s">
        <v>2098</v>
      </c>
      <c r="CV271" s="57">
        <v>17</v>
      </c>
      <c r="CW271" s="57">
        <v>0</v>
      </c>
      <c r="CX271" s="57">
        <v>0</v>
      </c>
      <c r="CY271" s="57">
        <v>0</v>
      </c>
      <c r="CZ271" s="57">
        <v>0</v>
      </c>
      <c r="DA271" s="57">
        <v>17</v>
      </c>
      <c r="FF271" s="70" t="s">
        <v>594</v>
      </c>
      <c r="FG271" s="70" t="s">
        <v>2098</v>
      </c>
      <c r="FH271" s="70">
        <v>49</v>
      </c>
      <c r="FI271" s="70">
        <v>79</v>
      </c>
      <c r="FJ271" s="70">
        <v>96</v>
      </c>
      <c r="FK271" s="70">
        <v>153</v>
      </c>
      <c r="FL271" s="70">
        <v>202</v>
      </c>
      <c r="FM271" s="70">
        <v>579</v>
      </c>
      <c r="FN271" s="70"/>
      <c r="FO271" s="70" t="s">
        <v>2098</v>
      </c>
      <c r="FP271" s="70">
        <v>3</v>
      </c>
      <c r="FQ271" s="70">
        <v>0</v>
      </c>
      <c r="FR271" s="70">
        <v>0</v>
      </c>
      <c r="FS271" s="70">
        <v>0</v>
      </c>
      <c r="FT271" s="70">
        <v>0</v>
      </c>
      <c r="FU271" s="70">
        <v>3</v>
      </c>
    </row>
    <row r="272" spans="2:177">
      <c r="B272" s="64" t="s">
        <v>749</v>
      </c>
      <c r="C272" s="64" t="s">
        <v>2098</v>
      </c>
      <c r="D272" s="64">
        <v>91</v>
      </c>
      <c r="E272" s="64">
        <v>145</v>
      </c>
      <c r="F272" s="64">
        <v>320</v>
      </c>
      <c r="G272" s="64">
        <v>469</v>
      </c>
      <c r="H272" s="64">
        <v>364</v>
      </c>
      <c r="I272" s="64">
        <v>1389</v>
      </c>
      <c r="K272" s="64" t="s">
        <v>2098</v>
      </c>
      <c r="L272" s="64">
        <v>8</v>
      </c>
      <c r="M272" s="64">
        <v>1</v>
      </c>
      <c r="N272" s="64">
        <v>0</v>
      </c>
      <c r="O272" s="64">
        <v>0</v>
      </c>
      <c r="P272" s="64">
        <v>0</v>
      </c>
      <c r="Q272" s="64">
        <v>9</v>
      </c>
      <c r="AJ272" s="16" t="s">
        <v>2718</v>
      </c>
      <c r="AK272" s="66" t="s">
        <v>2718</v>
      </c>
      <c r="AL272" s="66" t="s">
        <v>2253</v>
      </c>
      <c r="AM272" s="66" t="s">
        <v>324</v>
      </c>
      <c r="AN272" s="66" t="s">
        <v>324</v>
      </c>
      <c r="AO272" s="66" t="s">
        <v>324</v>
      </c>
      <c r="AP272" s="66" t="s">
        <v>324</v>
      </c>
      <c r="AQ272" s="66" t="s">
        <v>324</v>
      </c>
      <c r="AR272" s="66" t="s">
        <v>324</v>
      </c>
      <c r="AS272" s="66"/>
      <c r="AT272" s="66" t="s">
        <v>2253</v>
      </c>
      <c r="AU272" s="66" t="s">
        <v>324</v>
      </c>
      <c r="AV272" s="66" t="s">
        <v>324</v>
      </c>
      <c r="AW272" s="66" t="s">
        <v>324</v>
      </c>
      <c r="AX272" s="66" t="s">
        <v>324</v>
      </c>
      <c r="AY272" s="66" t="s">
        <v>324</v>
      </c>
      <c r="AZ272" s="66" t="s">
        <v>324</v>
      </c>
      <c r="BB272" s="69" t="s">
        <v>1201</v>
      </c>
      <c r="BC272" s="69" t="s">
        <v>25</v>
      </c>
      <c r="BD272" s="69">
        <v>1523</v>
      </c>
      <c r="BE272" s="69">
        <v>660</v>
      </c>
      <c r="BF272" s="69">
        <v>927</v>
      </c>
      <c r="BG272" s="69">
        <v>1112</v>
      </c>
      <c r="BH272" s="69">
        <v>842</v>
      </c>
      <c r="BI272" s="69">
        <v>5064</v>
      </c>
      <c r="BJ272" s="69"/>
      <c r="BK272" s="69" t="s">
        <v>25</v>
      </c>
      <c r="BL272" s="69">
        <v>253</v>
      </c>
      <c r="BM272" s="69">
        <v>0</v>
      </c>
      <c r="BN272" s="69">
        <v>0</v>
      </c>
      <c r="BO272" s="69">
        <v>0</v>
      </c>
      <c r="BP272" s="69">
        <v>0</v>
      </c>
      <c r="BQ272" s="69">
        <v>253</v>
      </c>
      <c r="BS272" s="21"/>
      <c r="CL272" s="57" t="s">
        <v>356</v>
      </c>
      <c r="CM272" s="57" t="s">
        <v>2098</v>
      </c>
      <c r="CN272" s="57">
        <v>113</v>
      </c>
      <c r="CO272" s="57">
        <v>64</v>
      </c>
      <c r="CP272" s="57">
        <v>97</v>
      </c>
      <c r="CQ272" s="57">
        <v>176</v>
      </c>
      <c r="CR272" s="57">
        <v>167</v>
      </c>
      <c r="CS272" s="57">
        <v>617</v>
      </c>
      <c r="CT272" s="57"/>
      <c r="CU272" s="57" t="s">
        <v>2098</v>
      </c>
      <c r="CV272" s="57">
        <v>26</v>
      </c>
      <c r="CW272" s="57">
        <v>0</v>
      </c>
      <c r="CX272" s="57">
        <v>0</v>
      </c>
      <c r="CY272" s="57">
        <v>0</v>
      </c>
      <c r="CZ272" s="57">
        <v>0</v>
      </c>
      <c r="DA272" s="57">
        <v>26</v>
      </c>
      <c r="FF272" s="70" t="s">
        <v>1871</v>
      </c>
      <c r="FG272" s="70" t="s">
        <v>2098</v>
      </c>
      <c r="FH272" s="70">
        <v>104</v>
      </c>
      <c r="FI272" s="70">
        <v>147</v>
      </c>
      <c r="FJ272" s="70">
        <v>166</v>
      </c>
      <c r="FK272" s="70">
        <v>286</v>
      </c>
      <c r="FL272" s="70">
        <v>350</v>
      </c>
      <c r="FM272" s="70">
        <v>1053</v>
      </c>
      <c r="FN272" s="70"/>
      <c r="FO272" s="70" t="s">
        <v>2098</v>
      </c>
      <c r="FP272" s="70">
        <v>13</v>
      </c>
      <c r="FQ272" s="70">
        <v>1</v>
      </c>
      <c r="FR272" s="70">
        <v>2</v>
      </c>
      <c r="FS272" s="70">
        <v>1</v>
      </c>
      <c r="FT272" s="70">
        <v>0</v>
      </c>
      <c r="FU272" s="70">
        <v>17</v>
      </c>
    </row>
    <row r="273" spans="2:177">
      <c r="B273" s="64" t="s">
        <v>752</v>
      </c>
      <c r="C273" s="64" t="s">
        <v>2098</v>
      </c>
      <c r="D273" s="64">
        <v>75</v>
      </c>
      <c r="E273" s="64">
        <v>168</v>
      </c>
      <c r="F273" s="64">
        <v>287</v>
      </c>
      <c r="G273" s="64">
        <v>470</v>
      </c>
      <c r="H273" s="64">
        <v>403</v>
      </c>
      <c r="I273" s="64">
        <v>1403</v>
      </c>
      <c r="K273" s="64" t="s">
        <v>2098</v>
      </c>
      <c r="L273" s="64">
        <v>8</v>
      </c>
      <c r="M273" s="64">
        <v>0</v>
      </c>
      <c r="N273" s="64">
        <v>0</v>
      </c>
      <c r="O273" s="64">
        <v>0</v>
      </c>
      <c r="P273" s="64">
        <v>0</v>
      </c>
      <c r="Q273" s="64">
        <v>8</v>
      </c>
      <c r="AJ273" s="16" t="s">
        <v>2721</v>
      </c>
      <c r="AK273" s="66" t="s">
        <v>2721</v>
      </c>
      <c r="AL273" s="66" t="s">
        <v>2253</v>
      </c>
      <c r="AM273" s="66" t="s">
        <v>324</v>
      </c>
      <c r="AN273" s="66" t="s">
        <v>324</v>
      </c>
      <c r="AO273" s="66" t="s">
        <v>324</v>
      </c>
      <c r="AP273" s="66" t="s">
        <v>324</v>
      </c>
      <c r="AQ273" s="66" t="s">
        <v>324</v>
      </c>
      <c r="AR273" s="66" t="s">
        <v>324</v>
      </c>
      <c r="AS273" s="66"/>
      <c r="AT273" s="66" t="s">
        <v>2253</v>
      </c>
      <c r="AU273" s="66" t="s">
        <v>324</v>
      </c>
      <c r="AV273" s="66" t="s">
        <v>324</v>
      </c>
      <c r="AW273" s="66" t="s">
        <v>324</v>
      </c>
      <c r="AX273" s="66" t="s">
        <v>324</v>
      </c>
      <c r="AY273" s="66" t="s">
        <v>324</v>
      </c>
      <c r="AZ273" s="66" t="s">
        <v>324</v>
      </c>
      <c r="BB273" s="69" t="s">
        <v>1204</v>
      </c>
      <c r="BC273" s="69" t="s">
        <v>25</v>
      </c>
      <c r="BD273" s="69">
        <v>39</v>
      </c>
      <c r="BE273" s="69">
        <v>48</v>
      </c>
      <c r="BF273" s="69">
        <v>112</v>
      </c>
      <c r="BG273" s="69">
        <v>160</v>
      </c>
      <c r="BH273" s="69">
        <v>209</v>
      </c>
      <c r="BI273" s="69">
        <v>568</v>
      </c>
      <c r="BJ273" s="69"/>
      <c r="BK273" s="69" t="s">
        <v>25</v>
      </c>
      <c r="BL273" s="69">
        <v>11</v>
      </c>
      <c r="BM273" s="69">
        <v>0</v>
      </c>
      <c r="BN273" s="69">
        <v>0</v>
      </c>
      <c r="BO273" s="69">
        <v>0</v>
      </c>
      <c r="BP273" s="69">
        <v>0</v>
      </c>
      <c r="BQ273" s="69">
        <v>11</v>
      </c>
      <c r="BS273" s="21"/>
      <c r="CL273" s="57" t="s">
        <v>361</v>
      </c>
      <c r="CM273" s="57" t="s">
        <v>2098</v>
      </c>
      <c r="CN273" s="57">
        <v>103</v>
      </c>
      <c r="CO273" s="57">
        <v>37</v>
      </c>
      <c r="CP273" s="57">
        <v>116</v>
      </c>
      <c r="CQ273" s="57">
        <v>107</v>
      </c>
      <c r="CR273" s="57">
        <v>111</v>
      </c>
      <c r="CS273" s="57">
        <v>474</v>
      </c>
      <c r="CT273" s="57"/>
      <c r="CU273" s="57" t="s">
        <v>2098</v>
      </c>
      <c r="CV273" s="57">
        <v>24</v>
      </c>
      <c r="CW273" s="57">
        <v>0</v>
      </c>
      <c r="CX273" s="57">
        <v>0</v>
      </c>
      <c r="CY273" s="57">
        <v>0</v>
      </c>
      <c r="CZ273" s="57">
        <v>0</v>
      </c>
      <c r="DA273" s="57">
        <v>24</v>
      </c>
      <c r="FF273" s="70" t="s">
        <v>1875</v>
      </c>
      <c r="FG273" s="70" t="s">
        <v>2098</v>
      </c>
      <c r="FH273" s="70">
        <v>164</v>
      </c>
      <c r="FI273" s="70">
        <v>238</v>
      </c>
      <c r="FJ273" s="70">
        <v>248</v>
      </c>
      <c r="FK273" s="70">
        <v>358</v>
      </c>
      <c r="FL273" s="70">
        <v>520</v>
      </c>
      <c r="FM273" s="70">
        <v>1528</v>
      </c>
      <c r="FN273" s="70"/>
      <c r="FO273" s="70" t="s">
        <v>2098</v>
      </c>
      <c r="FP273" s="70">
        <v>26</v>
      </c>
      <c r="FQ273" s="70">
        <v>10</v>
      </c>
      <c r="FR273" s="70">
        <v>4</v>
      </c>
      <c r="FS273" s="70">
        <v>0</v>
      </c>
      <c r="FT273" s="70">
        <v>3</v>
      </c>
      <c r="FU273" s="70">
        <v>43</v>
      </c>
    </row>
    <row r="274" spans="2:177">
      <c r="B274" s="64" t="s">
        <v>755</v>
      </c>
      <c r="C274" s="64" t="s">
        <v>2098</v>
      </c>
      <c r="D274" s="64">
        <v>107</v>
      </c>
      <c r="E274" s="64">
        <v>229</v>
      </c>
      <c r="F274" s="64">
        <v>384</v>
      </c>
      <c r="G274" s="64">
        <v>534</v>
      </c>
      <c r="H274" s="64">
        <v>374</v>
      </c>
      <c r="I274" s="64">
        <v>1628</v>
      </c>
      <c r="K274" s="64" t="s">
        <v>2098</v>
      </c>
      <c r="L274" s="64">
        <v>19</v>
      </c>
      <c r="M274" s="64">
        <v>2</v>
      </c>
      <c r="N274" s="64">
        <v>4</v>
      </c>
      <c r="O274" s="64">
        <v>0</v>
      </c>
      <c r="P274" s="64">
        <v>0</v>
      </c>
      <c r="Q274" s="64">
        <v>25</v>
      </c>
      <c r="AJ274" s="16" t="s">
        <v>2724</v>
      </c>
      <c r="AK274" s="66" t="s">
        <v>2724</v>
      </c>
      <c r="AL274" s="66" t="s">
        <v>2253</v>
      </c>
      <c r="AM274" s="66" t="s">
        <v>324</v>
      </c>
      <c r="AN274" s="66" t="s">
        <v>324</v>
      </c>
      <c r="AO274" s="66" t="s">
        <v>324</v>
      </c>
      <c r="AP274" s="66" t="s">
        <v>324</v>
      </c>
      <c r="AQ274" s="66" t="s">
        <v>324</v>
      </c>
      <c r="AR274" s="66" t="s">
        <v>324</v>
      </c>
      <c r="AS274" s="66"/>
      <c r="AT274" s="66" t="s">
        <v>2253</v>
      </c>
      <c r="AU274" s="66" t="s">
        <v>324</v>
      </c>
      <c r="AV274" s="66" t="s">
        <v>324</v>
      </c>
      <c r="AW274" s="66" t="s">
        <v>324</v>
      </c>
      <c r="AX274" s="66" t="s">
        <v>324</v>
      </c>
      <c r="AY274" s="66" t="s">
        <v>324</v>
      </c>
      <c r="AZ274" s="66" t="s">
        <v>324</v>
      </c>
      <c r="BB274" s="69" t="s">
        <v>1207</v>
      </c>
      <c r="BC274" s="69" t="s">
        <v>25</v>
      </c>
      <c r="BD274" s="69">
        <v>480</v>
      </c>
      <c r="BE274" s="69">
        <v>411</v>
      </c>
      <c r="BF274" s="69">
        <v>680</v>
      </c>
      <c r="BG274" s="69">
        <v>873</v>
      </c>
      <c r="BH274" s="69">
        <v>803</v>
      </c>
      <c r="BI274" s="69">
        <v>3247</v>
      </c>
      <c r="BJ274" s="69"/>
      <c r="BK274" s="69" t="s">
        <v>25</v>
      </c>
      <c r="BL274" s="69">
        <v>44</v>
      </c>
      <c r="BM274" s="69">
        <v>0</v>
      </c>
      <c r="BN274" s="69">
        <v>0</v>
      </c>
      <c r="BO274" s="69">
        <v>0</v>
      </c>
      <c r="BP274" s="69">
        <v>0</v>
      </c>
      <c r="BQ274" s="69">
        <v>44</v>
      </c>
      <c r="BS274" s="21"/>
      <c r="CL274" s="57" t="s">
        <v>359</v>
      </c>
      <c r="CM274" s="57" t="s">
        <v>2098</v>
      </c>
      <c r="CN274" s="57">
        <v>76</v>
      </c>
      <c r="CO274" s="57">
        <v>59</v>
      </c>
      <c r="CP274" s="57">
        <v>115</v>
      </c>
      <c r="CQ274" s="57">
        <v>160</v>
      </c>
      <c r="CR274" s="57">
        <v>147</v>
      </c>
      <c r="CS274" s="57">
        <v>557</v>
      </c>
      <c r="CT274" s="57"/>
      <c r="CU274" s="57" t="s">
        <v>2098</v>
      </c>
      <c r="CV274" s="57">
        <v>18</v>
      </c>
      <c r="CW274" s="57">
        <v>0</v>
      </c>
      <c r="CX274" s="57">
        <v>0</v>
      </c>
      <c r="CY274" s="57">
        <v>0</v>
      </c>
      <c r="CZ274" s="57">
        <v>0</v>
      </c>
      <c r="DA274" s="57">
        <v>18</v>
      </c>
    </row>
    <row r="275" spans="2:177">
      <c r="B275" s="64" t="s">
        <v>759</v>
      </c>
      <c r="C275" s="64" t="s">
        <v>2098</v>
      </c>
      <c r="D275" s="64">
        <v>114</v>
      </c>
      <c r="E275" s="64">
        <v>272</v>
      </c>
      <c r="F275" s="64">
        <v>518</v>
      </c>
      <c r="G275" s="64">
        <v>673</v>
      </c>
      <c r="H275" s="64">
        <v>478</v>
      </c>
      <c r="I275" s="64">
        <v>2055</v>
      </c>
      <c r="K275" s="64" t="s">
        <v>2098</v>
      </c>
      <c r="L275" s="64">
        <v>14</v>
      </c>
      <c r="M275" s="64">
        <v>0</v>
      </c>
      <c r="N275" s="64">
        <v>0</v>
      </c>
      <c r="O275" s="64">
        <v>0</v>
      </c>
      <c r="P275" s="64">
        <v>0</v>
      </c>
      <c r="Q275" s="64">
        <v>14</v>
      </c>
      <c r="AJ275" s="16" t="s">
        <v>2727</v>
      </c>
      <c r="AK275" s="66" t="s">
        <v>2727</v>
      </c>
      <c r="AL275" s="66" t="s">
        <v>2253</v>
      </c>
      <c r="AM275" s="66" t="s">
        <v>324</v>
      </c>
      <c r="AN275" s="66" t="s">
        <v>324</v>
      </c>
      <c r="AO275" s="66" t="s">
        <v>324</v>
      </c>
      <c r="AP275" s="66" t="s">
        <v>324</v>
      </c>
      <c r="AQ275" s="66" t="s">
        <v>324</v>
      </c>
      <c r="AR275" s="66" t="s">
        <v>324</v>
      </c>
      <c r="AS275" s="66"/>
      <c r="AT275" s="66" t="s">
        <v>2253</v>
      </c>
      <c r="AU275" s="66" t="s">
        <v>324</v>
      </c>
      <c r="AV275" s="66" t="s">
        <v>324</v>
      </c>
      <c r="AW275" s="66" t="s">
        <v>324</v>
      </c>
      <c r="AX275" s="66" t="s">
        <v>324</v>
      </c>
      <c r="AY275" s="66" t="s">
        <v>324</v>
      </c>
      <c r="AZ275" s="66" t="s">
        <v>324</v>
      </c>
      <c r="BB275" s="69" t="s">
        <v>1210</v>
      </c>
      <c r="BC275" s="69" t="s">
        <v>25</v>
      </c>
      <c r="BD275" s="69">
        <v>123</v>
      </c>
      <c r="BE275" s="69">
        <v>92</v>
      </c>
      <c r="BF275" s="69">
        <v>165</v>
      </c>
      <c r="BG275" s="69">
        <v>263</v>
      </c>
      <c r="BH275" s="69">
        <v>232</v>
      </c>
      <c r="BI275" s="69">
        <v>875</v>
      </c>
      <c r="BJ275" s="69"/>
      <c r="BK275" s="69" t="s">
        <v>25</v>
      </c>
      <c r="BL275" s="69">
        <v>46</v>
      </c>
      <c r="BM275" s="69">
        <v>0</v>
      </c>
      <c r="BN275" s="69">
        <v>0</v>
      </c>
      <c r="BO275" s="69">
        <v>0</v>
      </c>
      <c r="BP275" s="69">
        <v>0</v>
      </c>
      <c r="BQ275" s="69">
        <v>46</v>
      </c>
      <c r="BS275" s="21"/>
      <c r="CL275" s="57" t="s">
        <v>553</v>
      </c>
      <c r="CM275" s="57" t="s">
        <v>2098</v>
      </c>
      <c r="CN275" s="57">
        <v>1172</v>
      </c>
      <c r="CO275" s="57">
        <v>812</v>
      </c>
      <c r="CP275" s="57">
        <v>736</v>
      </c>
      <c r="CQ275" s="57">
        <v>837</v>
      </c>
      <c r="CR275" s="57">
        <v>649</v>
      </c>
      <c r="CS275" s="57">
        <v>4206</v>
      </c>
      <c r="CT275" s="57"/>
      <c r="CU275" s="57" t="s">
        <v>2098</v>
      </c>
      <c r="CV275" s="57">
        <v>256</v>
      </c>
      <c r="CW275" s="57">
        <v>0</v>
      </c>
      <c r="CX275" s="57">
        <v>0</v>
      </c>
      <c r="CY275" s="57">
        <v>0</v>
      </c>
      <c r="CZ275" s="57">
        <v>0</v>
      </c>
      <c r="DA275" s="57">
        <v>256</v>
      </c>
      <c r="FE275" s="16">
        <v>640</v>
      </c>
      <c r="FF275" s="70" t="s">
        <v>1790</v>
      </c>
      <c r="FG275" s="70" t="s">
        <v>2253</v>
      </c>
      <c r="FH275" s="70">
        <v>2705</v>
      </c>
      <c r="FI275" s="70">
        <v>1401</v>
      </c>
      <c r="FJ275" s="70">
        <v>914</v>
      </c>
      <c r="FK275" s="70">
        <v>792</v>
      </c>
      <c r="FL275" s="70">
        <v>953</v>
      </c>
      <c r="FM275" s="70">
        <v>6765</v>
      </c>
      <c r="FN275" s="70"/>
      <c r="FO275" s="70" t="s">
        <v>2253</v>
      </c>
      <c r="FP275" s="70">
        <v>613</v>
      </c>
      <c r="FQ275" s="70">
        <v>85</v>
      </c>
      <c r="FR275" s="70">
        <v>22</v>
      </c>
      <c r="FS275" s="70">
        <v>0</v>
      </c>
      <c r="FT275" s="70">
        <v>0</v>
      </c>
      <c r="FU275" s="70">
        <v>720</v>
      </c>
    </row>
    <row r="276" spans="2:177">
      <c r="B276" s="64" t="s">
        <v>762</v>
      </c>
      <c r="C276" s="64" t="s">
        <v>2098</v>
      </c>
      <c r="D276" s="64">
        <v>92</v>
      </c>
      <c r="E276" s="64">
        <v>249</v>
      </c>
      <c r="F276" s="64">
        <v>474</v>
      </c>
      <c r="G276" s="64">
        <v>639</v>
      </c>
      <c r="H276" s="64">
        <v>484</v>
      </c>
      <c r="I276" s="64">
        <v>1938</v>
      </c>
      <c r="K276" s="64" t="s">
        <v>2098</v>
      </c>
      <c r="L276" s="64">
        <v>16</v>
      </c>
      <c r="M276" s="64">
        <v>1</v>
      </c>
      <c r="N276" s="64">
        <v>1</v>
      </c>
      <c r="O276" s="64">
        <v>1</v>
      </c>
      <c r="P276" s="64">
        <v>0</v>
      </c>
      <c r="Q276" s="64">
        <v>19</v>
      </c>
      <c r="AJ276" s="16" t="s">
        <v>2730</v>
      </c>
      <c r="AK276" s="66" t="s">
        <v>2730</v>
      </c>
      <c r="AL276" s="66" t="s">
        <v>2253</v>
      </c>
      <c r="AM276" s="66" t="s">
        <v>324</v>
      </c>
      <c r="AN276" s="66" t="s">
        <v>324</v>
      </c>
      <c r="AO276" s="66" t="s">
        <v>324</v>
      </c>
      <c r="AP276" s="66" t="s">
        <v>324</v>
      </c>
      <c r="AQ276" s="66" t="s">
        <v>324</v>
      </c>
      <c r="AR276" s="66" t="s">
        <v>324</v>
      </c>
      <c r="AS276" s="66"/>
      <c r="AT276" s="66" t="s">
        <v>2253</v>
      </c>
      <c r="AU276" s="66" t="s">
        <v>324</v>
      </c>
      <c r="AV276" s="66" t="s">
        <v>324</v>
      </c>
      <c r="AW276" s="66" t="s">
        <v>324</v>
      </c>
      <c r="AX276" s="66" t="s">
        <v>324</v>
      </c>
      <c r="AY276" s="66" t="s">
        <v>324</v>
      </c>
      <c r="AZ276" s="66" t="s">
        <v>324</v>
      </c>
      <c r="BB276" s="69" t="s">
        <v>1215</v>
      </c>
      <c r="BC276" s="69" t="s">
        <v>25</v>
      </c>
      <c r="BD276" s="69">
        <v>597</v>
      </c>
      <c r="BE276" s="69">
        <v>387</v>
      </c>
      <c r="BF276" s="69">
        <v>506</v>
      </c>
      <c r="BG276" s="69">
        <v>601</v>
      </c>
      <c r="BH276" s="69">
        <v>460</v>
      </c>
      <c r="BI276" s="69">
        <v>2551</v>
      </c>
      <c r="BJ276" s="69"/>
      <c r="BK276" s="69" t="s">
        <v>25</v>
      </c>
      <c r="BL276" s="69">
        <v>120</v>
      </c>
      <c r="BM276" s="69">
        <v>0</v>
      </c>
      <c r="BN276" s="69">
        <v>0</v>
      </c>
      <c r="BO276" s="69">
        <v>0</v>
      </c>
      <c r="BP276" s="69">
        <v>0</v>
      </c>
      <c r="BQ276" s="69">
        <v>120</v>
      </c>
      <c r="BS276" s="21"/>
      <c r="CL276" s="57" t="s">
        <v>497</v>
      </c>
      <c r="CM276" s="57" t="s">
        <v>2098</v>
      </c>
      <c r="CN276" s="57">
        <v>57</v>
      </c>
      <c r="CO276" s="57">
        <v>92</v>
      </c>
      <c r="CP276" s="57">
        <v>208</v>
      </c>
      <c r="CQ276" s="57">
        <v>306</v>
      </c>
      <c r="CR276" s="57">
        <v>292</v>
      </c>
      <c r="CS276" s="57">
        <v>955</v>
      </c>
      <c r="CT276" s="57"/>
      <c r="CU276" s="57" t="s">
        <v>2098</v>
      </c>
      <c r="CV276" s="57">
        <v>17</v>
      </c>
      <c r="CW276" s="57">
        <v>0</v>
      </c>
      <c r="CX276" s="57">
        <v>0</v>
      </c>
      <c r="CY276" s="57">
        <v>0</v>
      </c>
      <c r="CZ276" s="57">
        <v>0</v>
      </c>
      <c r="DA276" s="57">
        <v>17</v>
      </c>
      <c r="FE276" s="16">
        <v>15</v>
      </c>
      <c r="FF276" s="70" t="s">
        <v>1793</v>
      </c>
      <c r="FG276" s="70" t="s">
        <v>2253</v>
      </c>
      <c r="FH276" s="70">
        <v>235</v>
      </c>
      <c r="FI276" s="70">
        <v>272</v>
      </c>
      <c r="FJ276" s="70">
        <v>293</v>
      </c>
      <c r="FK276" s="70">
        <v>334</v>
      </c>
      <c r="FL276" s="70">
        <v>456</v>
      </c>
      <c r="FM276" s="70">
        <v>1590</v>
      </c>
      <c r="FN276" s="70"/>
      <c r="FO276" s="70" t="s">
        <v>2253</v>
      </c>
      <c r="FP276" s="70">
        <v>17</v>
      </c>
      <c r="FQ276" s="70">
        <v>5</v>
      </c>
      <c r="FR276" s="70">
        <v>3</v>
      </c>
      <c r="FS276" s="70">
        <v>1</v>
      </c>
      <c r="FT276" s="70">
        <v>2</v>
      </c>
      <c r="FU276" s="70">
        <v>28</v>
      </c>
    </row>
    <row r="277" spans="2:177">
      <c r="B277" s="64" t="s">
        <v>765</v>
      </c>
      <c r="C277" s="64" t="s">
        <v>2098</v>
      </c>
      <c r="D277" s="64">
        <v>425</v>
      </c>
      <c r="E277" s="64">
        <v>440</v>
      </c>
      <c r="F277" s="64">
        <v>689</v>
      </c>
      <c r="G277" s="64">
        <v>743</v>
      </c>
      <c r="H277" s="64">
        <v>521</v>
      </c>
      <c r="I277" s="64">
        <v>2818</v>
      </c>
      <c r="K277" s="64" t="s">
        <v>2098</v>
      </c>
      <c r="L277" s="64">
        <v>28</v>
      </c>
      <c r="M277" s="64">
        <v>0</v>
      </c>
      <c r="N277" s="64">
        <v>0</v>
      </c>
      <c r="O277" s="64">
        <v>0</v>
      </c>
      <c r="P277" s="64">
        <v>0</v>
      </c>
      <c r="Q277" s="64">
        <v>28</v>
      </c>
      <c r="AI277" s="16" t="s">
        <v>2112</v>
      </c>
      <c r="AJ277" s="16" t="s">
        <v>2112</v>
      </c>
      <c r="AK277" s="66" t="s">
        <v>2112</v>
      </c>
      <c r="AL277" s="66" t="s">
        <v>2253</v>
      </c>
      <c r="AM277" s="66">
        <v>252</v>
      </c>
      <c r="AN277" s="66">
        <v>394</v>
      </c>
      <c r="AO277" s="66">
        <v>574</v>
      </c>
      <c r="AP277" s="66">
        <v>649</v>
      </c>
      <c r="AQ277" s="66">
        <v>465</v>
      </c>
      <c r="AR277" s="66">
        <v>2334</v>
      </c>
      <c r="AS277" s="66"/>
      <c r="AT277" s="66" t="s">
        <v>2253</v>
      </c>
      <c r="AU277" s="66">
        <v>43</v>
      </c>
      <c r="AV277" s="66">
        <v>6</v>
      </c>
      <c r="AW277" s="66">
        <v>3</v>
      </c>
      <c r="AX277" s="66">
        <v>1</v>
      </c>
      <c r="AY277" s="66">
        <v>0</v>
      </c>
      <c r="AZ277" s="66">
        <v>53</v>
      </c>
      <c r="BB277" s="69" t="s">
        <v>1218</v>
      </c>
      <c r="BC277" s="69" t="s">
        <v>25</v>
      </c>
      <c r="BD277" s="69">
        <v>165</v>
      </c>
      <c r="BE277" s="69">
        <v>73</v>
      </c>
      <c r="BF277" s="69">
        <v>126</v>
      </c>
      <c r="BG277" s="69">
        <v>211</v>
      </c>
      <c r="BH277" s="69">
        <v>206</v>
      </c>
      <c r="BI277" s="69">
        <v>781</v>
      </c>
      <c r="BJ277" s="69"/>
      <c r="BK277" s="69" t="s">
        <v>25</v>
      </c>
      <c r="BL277" s="69">
        <v>33</v>
      </c>
      <c r="BM277" s="69">
        <v>0</v>
      </c>
      <c r="BN277" s="69">
        <v>0</v>
      </c>
      <c r="BO277" s="69">
        <v>0</v>
      </c>
      <c r="BP277" s="69">
        <v>0</v>
      </c>
      <c r="BQ277" s="69">
        <v>33</v>
      </c>
      <c r="BS277" s="21"/>
      <c r="CL277" s="57" t="s">
        <v>525</v>
      </c>
      <c r="CM277" s="57" t="s">
        <v>2098</v>
      </c>
      <c r="CN277" s="57">
        <v>62</v>
      </c>
      <c r="CO277" s="57">
        <v>32</v>
      </c>
      <c r="CP277" s="57">
        <v>56</v>
      </c>
      <c r="CQ277" s="57">
        <v>97</v>
      </c>
      <c r="CR277" s="57">
        <v>92</v>
      </c>
      <c r="CS277" s="57">
        <v>339</v>
      </c>
      <c r="CT277" s="57"/>
      <c r="CU277" s="57" t="s">
        <v>2098</v>
      </c>
      <c r="CV277" s="57">
        <v>20</v>
      </c>
      <c r="CW277" s="57">
        <v>0</v>
      </c>
      <c r="CX277" s="57">
        <v>0</v>
      </c>
      <c r="CY277" s="57">
        <v>0</v>
      </c>
      <c r="CZ277" s="57">
        <v>0</v>
      </c>
      <c r="DA277" s="57">
        <v>20</v>
      </c>
      <c r="FE277" s="16">
        <v>60</v>
      </c>
      <c r="FF277" s="70" t="s">
        <v>1795</v>
      </c>
      <c r="FG277" s="70" t="s">
        <v>2253</v>
      </c>
      <c r="FH277" s="70">
        <v>624</v>
      </c>
      <c r="FI277" s="70">
        <v>586</v>
      </c>
      <c r="FJ277" s="70">
        <v>781</v>
      </c>
      <c r="FK277" s="70">
        <v>763</v>
      </c>
      <c r="FL277" s="70">
        <v>834</v>
      </c>
      <c r="FM277" s="70">
        <v>3588</v>
      </c>
      <c r="FN277" s="70"/>
      <c r="FO277" s="70" t="s">
        <v>2253</v>
      </c>
      <c r="FP277" s="70">
        <v>60</v>
      </c>
      <c r="FQ277" s="70">
        <v>0</v>
      </c>
      <c r="FR277" s="70">
        <v>0</v>
      </c>
      <c r="FS277" s="70">
        <v>0</v>
      </c>
      <c r="FT277" s="70">
        <v>0</v>
      </c>
      <c r="FU277" s="70">
        <v>60</v>
      </c>
    </row>
    <row r="278" spans="2:177">
      <c r="B278" s="64" t="s">
        <v>773</v>
      </c>
      <c r="C278" s="64" t="s">
        <v>2098</v>
      </c>
      <c r="D278" s="64">
        <v>279</v>
      </c>
      <c r="E278" s="64">
        <v>415</v>
      </c>
      <c r="F278" s="64">
        <v>597</v>
      </c>
      <c r="G278" s="64">
        <v>661</v>
      </c>
      <c r="H278" s="64">
        <v>504</v>
      </c>
      <c r="I278" s="64">
        <v>2456</v>
      </c>
      <c r="K278" s="64" t="s">
        <v>2098</v>
      </c>
      <c r="L278" s="64">
        <v>19</v>
      </c>
      <c r="M278" s="64">
        <v>0</v>
      </c>
      <c r="N278" s="64">
        <v>0</v>
      </c>
      <c r="O278" s="64">
        <v>0</v>
      </c>
      <c r="P278" s="64">
        <v>0</v>
      </c>
      <c r="Q278" s="64">
        <v>19</v>
      </c>
      <c r="AI278" s="16" t="s">
        <v>1050</v>
      </c>
      <c r="AJ278" s="16" t="s">
        <v>1050</v>
      </c>
      <c r="AK278" s="66" t="s">
        <v>1050</v>
      </c>
      <c r="AL278" s="66" t="s">
        <v>2253</v>
      </c>
      <c r="AM278" s="66">
        <v>178</v>
      </c>
      <c r="AN278" s="66">
        <v>280</v>
      </c>
      <c r="AO278" s="66">
        <v>436</v>
      </c>
      <c r="AP278" s="66">
        <v>533</v>
      </c>
      <c r="AQ278" s="66">
        <v>375</v>
      </c>
      <c r="AR278" s="66">
        <v>1802</v>
      </c>
      <c r="AS278" s="66"/>
      <c r="AT278" s="66" t="s">
        <v>2253</v>
      </c>
      <c r="AU278" s="66">
        <v>17</v>
      </c>
      <c r="AV278" s="66">
        <v>5</v>
      </c>
      <c r="AW278" s="66">
        <v>0</v>
      </c>
      <c r="AX278" s="66">
        <v>0</v>
      </c>
      <c r="AY278" s="66">
        <v>0</v>
      </c>
      <c r="AZ278" s="66">
        <v>22</v>
      </c>
      <c r="BB278" s="69" t="s">
        <v>1221</v>
      </c>
      <c r="BC278" s="69" t="s">
        <v>25</v>
      </c>
      <c r="BD278" s="69">
        <v>97</v>
      </c>
      <c r="BE278" s="69">
        <v>53</v>
      </c>
      <c r="BF278" s="69">
        <v>111</v>
      </c>
      <c r="BG278" s="69">
        <v>177</v>
      </c>
      <c r="BH278" s="69">
        <v>152</v>
      </c>
      <c r="BI278" s="69">
        <v>590</v>
      </c>
      <c r="BJ278" s="69"/>
      <c r="BK278" s="69" t="s">
        <v>25</v>
      </c>
      <c r="BL278" s="69">
        <v>21</v>
      </c>
      <c r="BM278" s="69">
        <v>0</v>
      </c>
      <c r="BN278" s="69">
        <v>0</v>
      </c>
      <c r="BO278" s="69">
        <v>0</v>
      </c>
      <c r="BP278" s="69">
        <v>0</v>
      </c>
      <c r="BQ278" s="69">
        <v>21</v>
      </c>
      <c r="BS278" s="21"/>
      <c r="CL278" s="57" t="s">
        <v>546</v>
      </c>
      <c r="CM278" s="57" t="s">
        <v>2098</v>
      </c>
      <c r="CN278" s="57">
        <v>120</v>
      </c>
      <c r="CO278" s="57">
        <v>158</v>
      </c>
      <c r="CP278" s="57">
        <v>304</v>
      </c>
      <c r="CQ278" s="57">
        <v>386</v>
      </c>
      <c r="CR278" s="57">
        <v>367</v>
      </c>
      <c r="CS278" s="57">
        <v>1335</v>
      </c>
      <c r="CT278" s="57"/>
      <c r="CU278" s="57" t="s">
        <v>2098</v>
      </c>
      <c r="CV278" s="57">
        <v>32</v>
      </c>
      <c r="CW278" s="57">
        <v>1</v>
      </c>
      <c r="CX278" s="57">
        <v>0</v>
      </c>
      <c r="CY278" s="57">
        <v>0</v>
      </c>
      <c r="CZ278" s="57">
        <v>0</v>
      </c>
      <c r="DA278" s="57">
        <v>33</v>
      </c>
      <c r="FE278" s="16">
        <v>25</v>
      </c>
      <c r="FF278" s="70" t="s">
        <v>1797</v>
      </c>
      <c r="FG278" s="70" t="s">
        <v>2253</v>
      </c>
      <c r="FH278" s="70">
        <v>208</v>
      </c>
      <c r="FI278" s="70">
        <v>325</v>
      </c>
      <c r="FJ278" s="70">
        <v>378</v>
      </c>
      <c r="FK278" s="70">
        <v>436</v>
      </c>
      <c r="FL278" s="70">
        <v>590</v>
      </c>
      <c r="FM278" s="70">
        <v>1937</v>
      </c>
      <c r="FN278" s="70"/>
      <c r="FO278" s="70" t="s">
        <v>2253</v>
      </c>
      <c r="FP278" s="70">
        <v>19</v>
      </c>
      <c r="FQ278" s="70">
        <v>14</v>
      </c>
      <c r="FR278" s="70">
        <v>12</v>
      </c>
      <c r="FS278" s="70">
        <v>8</v>
      </c>
      <c r="FT278" s="70">
        <v>13</v>
      </c>
      <c r="FU278" s="70">
        <v>66</v>
      </c>
    </row>
    <row r="279" spans="2:177">
      <c r="B279" s="64" t="s">
        <v>776</v>
      </c>
      <c r="C279" s="64" t="s">
        <v>2098</v>
      </c>
      <c r="D279" s="64">
        <v>214</v>
      </c>
      <c r="E279" s="64">
        <v>287</v>
      </c>
      <c r="F279" s="64">
        <v>426</v>
      </c>
      <c r="G279" s="64">
        <v>529</v>
      </c>
      <c r="H279" s="64">
        <v>388</v>
      </c>
      <c r="I279" s="64">
        <v>1844</v>
      </c>
      <c r="K279" s="64" t="s">
        <v>2098</v>
      </c>
      <c r="L279" s="64">
        <v>20</v>
      </c>
      <c r="M279" s="64">
        <v>0</v>
      </c>
      <c r="N279" s="64">
        <v>0</v>
      </c>
      <c r="O279" s="64">
        <v>0</v>
      </c>
      <c r="P279" s="64">
        <v>0</v>
      </c>
      <c r="Q279" s="64">
        <v>20</v>
      </c>
      <c r="AI279" s="16" t="s">
        <v>1053</v>
      </c>
      <c r="AJ279" s="16" t="s">
        <v>1053</v>
      </c>
      <c r="AK279" s="66" t="s">
        <v>1053</v>
      </c>
      <c r="AL279" s="66" t="s">
        <v>2253</v>
      </c>
      <c r="AM279" s="66">
        <v>837</v>
      </c>
      <c r="AN279" s="66">
        <v>445</v>
      </c>
      <c r="AO279" s="66">
        <v>519</v>
      </c>
      <c r="AP279" s="66">
        <v>552</v>
      </c>
      <c r="AQ279" s="66">
        <v>488</v>
      </c>
      <c r="AR279" s="66">
        <v>2841</v>
      </c>
      <c r="AS279" s="66"/>
      <c r="AT279" s="66" t="s">
        <v>2253</v>
      </c>
      <c r="AU279" s="66">
        <v>77</v>
      </c>
      <c r="AV279" s="66">
        <v>4</v>
      </c>
      <c r="AW279" s="66">
        <v>0</v>
      </c>
      <c r="AX279" s="66">
        <v>1</v>
      </c>
      <c r="AY279" s="66">
        <v>0</v>
      </c>
      <c r="AZ279" s="66">
        <v>82</v>
      </c>
      <c r="BB279" s="69" t="s">
        <v>1225</v>
      </c>
      <c r="BC279" s="69" t="s">
        <v>25</v>
      </c>
      <c r="BD279" s="69">
        <v>70</v>
      </c>
      <c r="BE279" s="69">
        <v>58</v>
      </c>
      <c r="BF279" s="69">
        <v>102</v>
      </c>
      <c r="BG279" s="69">
        <v>158</v>
      </c>
      <c r="BH279" s="69">
        <v>162</v>
      </c>
      <c r="BI279" s="69">
        <v>550</v>
      </c>
      <c r="BJ279" s="69"/>
      <c r="BK279" s="69" t="s">
        <v>25</v>
      </c>
      <c r="BL279" s="69">
        <v>19</v>
      </c>
      <c r="BM279" s="69">
        <v>0</v>
      </c>
      <c r="BN279" s="69">
        <v>0</v>
      </c>
      <c r="BO279" s="69">
        <v>0</v>
      </c>
      <c r="BP279" s="69">
        <v>0</v>
      </c>
      <c r="BQ279" s="69">
        <v>19</v>
      </c>
      <c r="BS279" s="21"/>
      <c r="CL279" s="57" t="s">
        <v>527</v>
      </c>
      <c r="CM279" s="57" t="s">
        <v>2098</v>
      </c>
      <c r="CN279" s="57">
        <v>91</v>
      </c>
      <c r="CO279" s="57">
        <v>137</v>
      </c>
      <c r="CP279" s="57">
        <v>256</v>
      </c>
      <c r="CQ279" s="57">
        <v>399</v>
      </c>
      <c r="CR279" s="57">
        <v>342</v>
      </c>
      <c r="CS279" s="57">
        <v>1225</v>
      </c>
      <c r="CT279" s="57"/>
      <c r="CU279" s="57" t="s">
        <v>2098</v>
      </c>
      <c r="CV279" s="57">
        <v>17</v>
      </c>
      <c r="CW279" s="57">
        <v>0</v>
      </c>
      <c r="CX279" s="57">
        <v>0</v>
      </c>
      <c r="CY279" s="57">
        <v>0</v>
      </c>
      <c r="CZ279" s="57">
        <v>0</v>
      </c>
      <c r="DA279" s="57">
        <v>17</v>
      </c>
      <c r="FE279" s="16">
        <v>5</v>
      </c>
      <c r="FF279" s="70" t="s">
        <v>1799</v>
      </c>
      <c r="FG279" s="70" t="s">
        <v>2253</v>
      </c>
      <c r="FH279" s="70">
        <v>56</v>
      </c>
      <c r="FI279" s="70">
        <v>96</v>
      </c>
      <c r="FJ279" s="70">
        <v>125</v>
      </c>
      <c r="FK279" s="70">
        <v>164</v>
      </c>
      <c r="FL279" s="70">
        <v>211</v>
      </c>
      <c r="FM279" s="70">
        <v>652</v>
      </c>
      <c r="FN279" s="70"/>
      <c r="FO279" s="70" t="s">
        <v>2253</v>
      </c>
      <c r="FP279" s="70">
        <v>4</v>
      </c>
      <c r="FQ279" s="70">
        <v>7</v>
      </c>
      <c r="FR279" s="70">
        <v>3</v>
      </c>
      <c r="FS279" s="70">
        <v>4</v>
      </c>
      <c r="FT279" s="70">
        <v>4</v>
      </c>
      <c r="FU279" s="70">
        <v>22</v>
      </c>
    </row>
    <row r="280" spans="2:177">
      <c r="B280" s="64" t="s">
        <v>781</v>
      </c>
      <c r="C280" s="64" t="s">
        <v>2098</v>
      </c>
      <c r="D280" s="64">
        <v>286</v>
      </c>
      <c r="E280" s="64">
        <v>321</v>
      </c>
      <c r="F280" s="64">
        <v>477</v>
      </c>
      <c r="G280" s="64">
        <v>567</v>
      </c>
      <c r="H280" s="64">
        <v>488</v>
      </c>
      <c r="I280" s="64">
        <v>2139</v>
      </c>
      <c r="K280" s="64" t="s">
        <v>2098</v>
      </c>
      <c r="L280" s="64">
        <v>21</v>
      </c>
      <c r="M280" s="64">
        <v>0</v>
      </c>
      <c r="N280" s="64">
        <v>0</v>
      </c>
      <c r="O280" s="64">
        <v>0</v>
      </c>
      <c r="P280" s="64">
        <v>0</v>
      </c>
      <c r="Q280" s="64">
        <v>21</v>
      </c>
      <c r="AI280" s="16" t="s">
        <v>1057</v>
      </c>
      <c r="AJ280" s="16" t="s">
        <v>1057</v>
      </c>
      <c r="AK280" s="66" t="s">
        <v>1057</v>
      </c>
      <c r="AL280" s="66" t="s">
        <v>2253</v>
      </c>
      <c r="AM280" s="66">
        <v>620</v>
      </c>
      <c r="AN280" s="66">
        <v>711</v>
      </c>
      <c r="AO280" s="66">
        <v>913</v>
      </c>
      <c r="AP280" s="66">
        <v>1021</v>
      </c>
      <c r="AQ280" s="66">
        <v>725</v>
      </c>
      <c r="AR280" s="66">
        <v>3990</v>
      </c>
      <c r="AS280" s="66"/>
      <c r="AT280" s="66" t="s">
        <v>2253</v>
      </c>
      <c r="AU280" s="66">
        <v>99</v>
      </c>
      <c r="AV280" s="66">
        <v>3</v>
      </c>
      <c r="AW280" s="66">
        <v>2</v>
      </c>
      <c r="AX280" s="66">
        <v>3</v>
      </c>
      <c r="AY280" s="66">
        <v>1</v>
      </c>
      <c r="AZ280" s="66">
        <v>108</v>
      </c>
      <c r="BB280" s="69" t="s">
        <v>1229</v>
      </c>
      <c r="BC280" s="69" t="s">
        <v>25</v>
      </c>
      <c r="BD280" s="69">
        <v>48</v>
      </c>
      <c r="BE280" s="69">
        <v>39</v>
      </c>
      <c r="BF280" s="69">
        <v>76</v>
      </c>
      <c r="BG280" s="69">
        <v>159</v>
      </c>
      <c r="BH280" s="69">
        <v>177</v>
      </c>
      <c r="BI280" s="69">
        <v>499</v>
      </c>
      <c r="BJ280" s="69"/>
      <c r="BK280" s="69" t="s">
        <v>25</v>
      </c>
      <c r="BL280" s="69">
        <v>19</v>
      </c>
      <c r="BM280" s="69">
        <v>0</v>
      </c>
      <c r="BN280" s="69">
        <v>0</v>
      </c>
      <c r="BO280" s="69">
        <v>0</v>
      </c>
      <c r="BP280" s="69">
        <v>0</v>
      </c>
      <c r="BQ280" s="69">
        <v>19</v>
      </c>
      <c r="BS280" s="21"/>
      <c r="CL280" s="57" t="s">
        <v>529</v>
      </c>
      <c r="CM280" s="57" t="s">
        <v>2098</v>
      </c>
      <c r="CN280" s="57">
        <v>816</v>
      </c>
      <c r="CO280" s="57">
        <v>496</v>
      </c>
      <c r="CP280" s="57">
        <v>521</v>
      </c>
      <c r="CQ280" s="57">
        <v>611</v>
      </c>
      <c r="CR280" s="57">
        <v>519</v>
      </c>
      <c r="CS280" s="57">
        <v>2963</v>
      </c>
      <c r="CT280" s="57"/>
      <c r="CU280" s="57" t="s">
        <v>2098</v>
      </c>
      <c r="CV280" s="57">
        <v>273</v>
      </c>
      <c r="CW280" s="57">
        <v>3</v>
      </c>
      <c r="CX280" s="57">
        <v>0</v>
      </c>
      <c r="CY280" s="57">
        <v>0</v>
      </c>
      <c r="CZ280" s="57">
        <v>0</v>
      </c>
      <c r="DA280" s="57">
        <v>276</v>
      </c>
      <c r="FE280" s="16">
        <v>25</v>
      </c>
      <c r="FF280" s="70" t="s">
        <v>2198</v>
      </c>
      <c r="FG280" s="70" t="s">
        <v>2253</v>
      </c>
      <c r="FH280" s="70">
        <v>482</v>
      </c>
      <c r="FI280" s="70">
        <v>451</v>
      </c>
      <c r="FJ280" s="70">
        <v>478</v>
      </c>
      <c r="FK280" s="70">
        <v>536</v>
      </c>
      <c r="FL280" s="70">
        <v>650</v>
      </c>
      <c r="FM280" s="70">
        <v>2597</v>
      </c>
      <c r="FN280" s="70"/>
      <c r="FO280" s="70" t="s">
        <v>2253</v>
      </c>
      <c r="FP280" s="70">
        <v>39</v>
      </c>
      <c r="FQ280" s="70">
        <v>17</v>
      </c>
      <c r="FR280" s="70">
        <v>6</v>
      </c>
      <c r="FS280" s="70">
        <v>9</v>
      </c>
      <c r="FT280" s="70">
        <v>10</v>
      </c>
      <c r="FU280" s="70">
        <v>81</v>
      </c>
    </row>
    <row r="281" spans="2:177">
      <c r="B281" s="64" t="s">
        <v>787</v>
      </c>
      <c r="C281" s="64" t="s">
        <v>2098</v>
      </c>
      <c r="D281" s="64">
        <v>255</v>
      </c>
      <c r="E281" s="64">
        <v>310</v>
      </c>
      <c r="F281" s="64">
        <v>367</v>
      </c>
      <c r="G281" s="64">
        <v>401</v>
      </c>
      <c r="H281" s="64">
        <v>324</v>
      </c>
      <c r="I281" s="64">
        <v>1657</v>
      </c>
      <c r="K281" s="64" t="s">
        <v>2098</v>
      </c>
      <c r="L281" s="64">
        <v>50</v>
      </c>
      <c r="M281" s="64">
        <v>7</v>
      </c>
      <c r="N281" s="64">
        <v>2</v>
      </c>
      <c r="O281" s="64">
        <v>2</v>
      </c>
      <c r="P281" s="64">
        <v>1</v>
      </c>
      <c r="Q281" s="64">
        <v>62</v>
      </c>
      <c r="AI281" s="16" t="s">
        <v>1061</v>
      </c>
      <c r="AJ281" s="16" t="s">
        <v>1061</v>
      </c>
      <c r="AK281" s="66" t="s">
        <v>1061</v>
      </c>
      <c r="AL281" s="66" t="s">
        <v>2253</v>
      </c>
      <c r="AM281" s="66">
        <v>515</v>
      </c>
      <c r="AN281" s="66">
        <v>544</v>
      </c>
      <c r="AO281" s="66">
        <v>699</v>
      </c>
      <c r="AP281" s="66">
        <v>783</v>
      </c>
      <c r="AQ281" s="66">
        <v>648</v>
      </c>
      <c r="AR281" s="66">
        <v>3189</v>
      </c>
      <c r="AS281" s="66"/>
      <c r="AT281" s="66" t="s">
        <v>2253</v>
      </c>
      <c r="AU281" s="66">
        <v>42</v>
      </c>
      <c r="AV281" s="66">
        <v>3</v>
      </c>
      <c r="AW281" s="66">
        <v>1</v>
      </c>
      <c r="AX281" s="66">
        <v>0</v>
      </c>
      <c r="AY281" s="66">
        <v>0</v>
      </c>
      <c r="AZ281" s="66">
        <v>46</v>
      </c>
      <c r="BB281" s="69" t="s">
        <v>1233</v>
      </c>
      <c r="BC281" s="69" t="s">
        <v>25</v>
      </c>
      <c r="BD281" s="69">
        <v>434</v>
      </c>
      <c r="BE281" s="69">
        <v>353</v>
      </c>
      <c r="BF281" s="69">
        <v>378</v>
      </c>
      <c r="BG281" s="69">
        <v>420</v>
      </c>
      <c r="BH281" s="69">
        <v>390</v>
      </c>
      <c r="BI281" s="69">
        <v>1975</v>
      </c>
      <c r="BJ281" s="69"/>
      <c r="BK281" s="69" t="s">
        <v>25</v>
      </c>
      <c r="BL281" s="69">
        <v>20</v>
      </c>
      <c r="BM281" s="69">
        <v>0</v>
      </c>
      <c r="BN281" s="69">
        <v>0</v>
      </c>
      <c r="BO281" s="69">
        <v>0</v>
      </c>
      <c r="BP281" s="69">
        <v>0</v>
      </c>
      <c r="BQ281" s="69">
        <v>20</v>
      </c>
      <c r="BS281" s="21"/>
      <c r="FE281" s="16">
        <v>20</v>
      </c>
      <c r="FF281" s="70" t="s">
        <v>1800</v>
      </c>
      <c r="FG281" s="70" t="s">
        <v>2253</v>
      </c>
      <c r="FH281" s="70">
        <v>85</v>
      </c>
      <c r="FI281" s="70">
        <v>112</v>
      </c>
      <c r="FJ281" s="70">
        <v>175</v>
      </c>
      <c r="FK281" s="70">
        <v>254</v>
      </c>
      <c r="FL281" s="70">
        <v>339</v>
      </c>
      <c r="FM281" s="70">
        <v>965</v>
      </c>
      <c r="FN281" s="70"/>
      <c r="FO281" s="70" t="s">
        <v>2253</v>
      </c>
      <c r="FP281" s="70">
        <v>15</v>
      </c>
      <c r="FQ281" s="70">
        <v>1</v>
      </c>
      <c r="FR281" s="70">
        <v>2</v>
      </c>
      <c r="FS281" s="70">
        <v>4</v>
      </c>
      <c r="FT281" s="70">
        <v>5</v>
      </c>
      <c r="FU281" s="70">
        <v>27</v>
      </c>
    </row>
    <row r="282" spans="2:177">
      <c r="B282" s="64" t="s">
        <v>795</v>
      </c>
      <c r="C282" s="64" t="s">
        <v>2098</v>
      </c>
      <c r="D282" s="64">
        <v>169</v>
      </c>
      <c r="E282" s="64">
        <v>197</v>
      </c>
      <c r="F282" s="64">
        <v>209</v>
      </c>
      <c r="G282" s="64">
        <v>282</v>
      </c>
      <c r="H282" s="64">
        <v>304</v>
      </c>
      <c r="I282" s="64">
        <v>1161</v>
      </c>
      <c r="K282" s="64" t="s">
        <v>2098</v>
      </c>
      <c r="L282" s="64">
        <v>32</v>
      </c>
      <c r="M282" s="64">
        <v>0</v>
      </c>
      <c r="N282" s="64">
        <v>0</v>
      </c>
      <c r="O282" s="64">
        <v>0</v>
      </c>
      <c r="P282" s="64">
        <v>0</v>
      </c>
      <c r="Q282" s="64">
        <v>32</v>
      </c>
      <c r="AI282" s="16" t="s">
        <v>1064</v>
      </c>
      <c r="AJ282" s="16" t="s">
        <v>1064</v>
      </c>
      <c r="AK282" s="66" t="s">
        <v>1064</v>
      </c>
      <c r="AL282" s="66" t="s">
        <v>2253</v>
      </c>
      <c r="AM282" s="66">
        <v>664</v>
      </c>
      <c r="AN282" s="66">
        <v>873</v>
      </c>
      <c r="AO282" s="66">
        <v>1187</v>
      </c>
      <c r="AP282" s="66">
        <v>1322</v>
      </c>
      <c r="AQ282" s="66">
        <v>981</v>
      </c>
      <c r="AR282" s="66">
        <v>5027</v>
      </c>
      <c r="AS282" s="66"/>
      <c r="AT282" s="66" t="s">
        <v>2253</v>
      </c>
      <c r="AU282" s="66">
        <v>59</v>
      </c>
      <c r="AV282" s="66">
        <v>4</v>
      </c>
      <c r="AW282" s="66">
        <v>1</v>
      </c>
      <c r="AX282" s="66">
        <v>1</v>
      </c>
      <c r="AY282" s="66">
        <v>0</v>
      </c>
      <c r="AZ282" s="66">
        <v>65</v>
      </c>
      <c r="BB282" s="69" t="s">
        <v>1237</v>
      </c>
      <c r="BC282" s="69" t="s">
        <v>25</v>
      </c>
      <c r="BD282" s="69">
        <v>169</v>
      </c>
      <c r="BE282" s="69">
        <v>162</v>
      </c>
      <c r="BF282" s="69">
        <v>301</v>
      </c>
      <c r="BG282" s="69">
        <v>381</v>
      </c>
      <c r="BH282" s="69">
        <v>277</v>
      </c>
      <c r="BI282" s="69">
        <v>1290</v>
      </c>
      <c r="BJ282" s="69"/>
      <c r="BK282" s="69" t="s">
        <v>25</v>
      </c>
      <c r="BL282" s="69">
        <v>13</v>
      </c>
      <c r="BM282" s="69">
        <v>0</v>
      </c>
      <c r="BN282" s="69">
        <v>0</v>
      </c>
      <c r="BO282" s="69">
        <v>0</v>
      </c>
      <c r="BP282" s="69">
        <v>0</v>
      </c>
      <c r="BQ282" s="69">
        <v>13</v>
      </c>
      <c r="BS282" s="21"/>
      <c r="CL282" s="57" t="s">
        <v>474</v>
      </c>
      <c r="CM282" s="57" t="s">
        <v>2253</v>
      </c>
      <c r="CN282" s="57">
        <v>102</v>
      </c>
      <c r="CO282" s="57">
        <v>54</v>
      </c>
      <c r="CP282" s="57">
        <v>143</v>
      </c>
      <c r="CQ282" s="57">
        <v>197</v>
      </c>
      <c r="CR282" s="57">
        <v>209</v>
      </c>
      <c r="CS282" s="57">
        <v>705</v>
      </c>
      <c r="CT282" s="57"/>
      <c r="CU282" s="57" t="s">
        <v>2253</v>
      </c>
      <c r="CV282" s="57">
        <v>37</v>
      </c>
      <c r="CW282" s="57">
        <v>0</v>
      </c>
      <c r="CX282" s="57">
        <v>0</v>
      </c>
      <c r="CY282" s="57">
        <v>0</v>
      </c>
      <c r="CZ282" s="57">
        <v>0</v>
      </c>
      <c r="DA282" s="57">
        <v>37</v>
      </c>
      <c r="FE282" s="16">
        <v>105</v>
      </c>
      <c r="FF282" s="70" t="s">
        <v>1803</v>
      </c>
      <c r="FG282" s="70" t="s">
        <v>2253</v>
      </c>
      <c r="FH282" s="70">
        <v>529</v>
      </c>
      <c r="FI282" s="70">
        <v>462</v>
      </c>
      <c r="FJ282" s="70">
        <v>452</v>
      </c>
      <c r="FK282" s="70">
        <v>454</v>
      </c>
      <c r="FL282" s="70">
        <v>578</v>
      </c>
      <c r="FM282" s="70">
        <v>2475</v>
      </c>
      <c r="FN282" s="70"/>
      <c r="FO282" s="70" t="s">
        <v>2253</v>
      </c>
      <c r="FP282" s="70">
        <v>147</v>
      </c>
      <c r="FQ282" s="70">
        <v>50</v>
      </c>
      <c r="FR282" s="70">
        <v>13</v>
      </c>
      <c r="FS282" s="70">
        <v>16</v>
      </c>
      <c r="FT282" s="70">
        <v>1</v>
      </c>
      <c r="FU282" s="70">
        <v>227</v>
      </c>
    </row>
    <row r="283" spans="2:177">
      <c r="B283" s="64" t="s">
        <v>801</v>
      </c>
      <c r="C283" s="64" t="s">
        <v>2098</v>
      </c>
      <c r="D283" s="64">
        <v>14</v>
      </c>
      <c r="E283" s="64">
        <v>56</v>
      </c>
      <c r="F283" s="64">
        <v>77</v>
      </c>
      <c r="G283" s="64">
        <v>117</v>
      </c>
      <c r="H283" s="64">
        <v>128</v>
      </c>
      <c r="I283" s="64">
        <v>392</v>
      </c>
      <c r="K283" s="64" t="s">
        <v>2098</v>
      </c>
      <c r="L283" s="64">
        <v>2</v>
      </c>
      <c r="M283" s="64">
        <v>0</v>
      </c>
      <c r="N283" s="64">
        <v>0</v>
      </c>
      <c r="O283" s="64">
        <v>0</v>
      </c>
      <c r="P283" s="64">
        <v>0</v>
      </c>
      <c r="Q283" s="64">
        <v>2</v>
      </c>
      <c r="AI283" s="16" t="s">
        <v>1077</v>
      </c>
      <c r="AJ283" s="16" t="s">
        <v>1077</v>
      </c>
      <c r="AK283" s="66" t="s">
        <v>1077</v>
      </c>
      <c r="AL283" s="66" t="s">
        <v>2253</v>
      </c>
      <c r="AM283" s="66">
        <v>173</v>
      </c>
      <c r="AN283" s="66">
        <v>220</v>
      </c>
      <c r="AO283" s="66">
        <v>316</v>
      </c>
      <c r="AP283" s="66">
        <v>417</v>
      </c>
      <c r="AQ283" s="66">
        <v>332</v>
      </c>
      <c r="AR283" s="66">
        <v>1458</v>
      </c>
      <c r="AS283" s="66"/>
      <c r="AT283" s="66" t="s">
        <v>2253</v>
      </c>
      <c r="AU283" s="66">
        <v>26</v>
      </c>
      <c r="AV283" s="66">
        <v>0</v>
      </c>
      <c r="AW283" s="66">
        <v>0</v>
      </c>
      <c r="AX283" s="66">
        <v>0</v>
      </c>
      <c r="AY283" s="66">
        <v>0</v>
      </c>
      <c r="AZ283" s="66">
        <v>26</v>
      </c>
      <c r="BB283" s="69" t="s">
        <v>1241</v>
      </c>
      <c r="BC283" s="69" t="s">
        <v>25</v>
      </c>
      <c r="BD283" s="69">
        <v>91</v>
      </c>
      <c r="BE283" s="69">
        <v>112</v>
      </c>
      <c r="BF283" s="69">
        <v>180</v>
      </c>
      <c r="BG283" s="69">
        <v>226</v>
      </c>
      <c r="BH283" s="69">
        <v>187</v>
      </c>
      <c r="BI283" s="69">
        <v>796</v>
      </c>
      <c r="BJ283" s="69"/>
      <c r="BK283" s="69" t="s">
        <v>25</v>
      </c>
      <c r="BL283" s="69">
        <v>13</v>
      </c>
      <c r="BM283" s="69">
        <v>0</v>
      </c>
      <c r="BN283" s="69">
        <v>0</v>
      </c>
      <c r="BO283" s="69">
        <v>0</v>
      </c>
      <c r="BP283" s="69">
        <v>0</v>
      </c>
      <c r="BQ283" s="69">
        <v>13</v>
      </c>
      <c r="BS283" s="21"/>
      <c r="CL283" s="57" t="s">
        <v>476</v>
      </c>
      <c r="CM283" s="57" t="s">
        <v>2253</v>
      </c>
      <c r="CN283" s="57">
        <v>178</v>
      </c>
      <c r="CO283" s="57">
        <v>93</v>
      </c>
      <c r="CP283" s="57">
        <v>189</v>
      </c>
      <c r="CQ283" s="57">
        <v>264</v>
      </c>
      <c r="CR283" s="57">
        <v>272</v>
      </c>
      <c r="CS283" s="57">
        <v>996</v>
      </c>
      <c r="CT283" s="57"/>
      <c r="CU283" s="57" t="s">
        <v>2253</v>
      </c>
      <c r="CV283" s="57">
        <v>61</v>
      </c>
      <c r="CW283" s="57">
        <v>0</v>
      </c>
      <c r="CX283" s="57">
        <v>0</v>
      </c>
      <c r="CY283" s="57">
        <v>0</v>
      </c>
      <c r="CZ283" s="57">
        <v>0</v>
      </c>
      <c r="DA283" s="57">
        <v>61</v>
      </c>
      <c r="FE283" s="16">
        <v>35</v>
      </c>
      <c r="FF283" s="70" t="s">
        <v>1806</v>
      </c>
      <c r="FG283" s="70" t="s">
        <v>2253</v>
      </c>
      <c r="FH283" s="70">
        <v>121</v>
      </c>
      <c r="FI283" s="70">
        <v>198</v>
      </c>
      <c r="FJ283" s="70">
        <v>198</v>
      </c>
      <c r="FK283" s="70">
        <v>267</v>
      </c>
      <c r="FL283" s="70">
        <v>366</v>
      </c>
      <c r="FM283" s="70">
        <v>1150</v>
      </c>
      <c r="FN283" s="70"/>
      <c r="FO283" s="70" t="s">
        <v>2253</v>
      </c>
      <c r="FP283" s="70">
        <v>29</v>
      </c>
      <c r="FQ283" s="70">
        <v>11</v>
      </c>
      <c r="FR283" s="70">
        <v>10</v>
      </c>
      <c r="FS283" s="70">
        <v>7</v>
      </c>
      <c r="FT283" s="70">
        <v>7</v>
      </c>
      <c r="FU283" s="70">
        <v>64</v>
      </c>
    </row>
    <row r="284" spans="2:177">
      <c r="B284" s="64" t="s">
        <v>805</v>
      </c>
      <c r="C284" s="64" t="s">
        <v>2098</v>
      </c>
      <c r="D284" s="64">
        <v>67</v>
      </c>
      <c r="E284" s="64">
        <v>144</v>
      </c>
      <c r="F284" s="64">
        <v>297</v>
      </c>
      <c r="G284" s="64">
        <v>409</v>
      </c>
      <c r="H284" s="64">
        <v>257</v>
      </c>
      <c r="I284" s="64">
        <v>1174</v>
      </c>
      <c r="K284" s="64" t="s">
        <v>2098</v>
      </c>
      <c r="L284" s="64">
        <v>16</v>
      </c>
      <c r="M284" s="64">
        <v>1</v>
      </c>
      <c r="N284" s="64">
        <v>0</v>
      </c>
      <c r="O284" s="64">
        <v>1</v>
      </c>
      <c r="P284" s="64">
        <v>1</v>
      </c>
      <c r="Q284" s="64">
        <v>19</v>
      </c>
      <c r="AI284" s="16" t="s">
        <v>1080</v>
      </c>
      <c r="AJ284" s="16" t="s">
        <v>1080</v>
      </c>
      <c r="AK284" s="66" t="s">
        <v>1080</v>
      </c>
      <c r="AL284" s="66" t="s">
        <v>2253</v>
      </c>
      <c r="AM284" s="66">
        <v>426</v>
      </c>
      <c r="AN284" s="66">
        <v>440</v>
      </c>
      <c r="AO284" s="66">
        <v>592</v>
      </c>
      <c r="AP284" s="66">
        <v>710</v>
      </c>
      <c r="AQ284" s="66">
        <v>503</v>
      </c>
      <c r="AR284" s="66">
        <v>2671</v>
      </c>
      <c r="AS284" s="66"/>
      <c r="AT284" s="66" t="s">
        <v>2253</v>
      </c>
      <c r="AU284" s="66">
        <v>39</v>
      </c>
      <c r="AV284" s="66">
        <v>5</v>
      </c>
      <c r="AW284" s="66">
        <v>1</v>
      </c>
      <c r="AX284" s="66">
        <v>1</v>
      </c>
      <c r="AY284" s="66">
        <v>2</v>
      </c>
      <c r="AZ284" s="66">
        <v>48</v>
      </c>
      <c r="BB284" s="69" t="s">
        <v>330</v>
      </c>
      <c r="BC284" s="69" t="s">
        <v>25</v>
      </c>
      <c r="BD284" s="69">
        <v>97</v>
      </c>
      <c r="BE284" s="69">
        <v>121</v>
      </c>
      <c r="BF284" s="69">
        <v>186</v>
      </c>
      <c r="BG284" s="69">
        <v>250</v>
      </c>
      <c r="BH284" s="69">
        <v>230</v>
      </c>
      <c r="BI284" s="69">
        <v>884</v>
      </c>
      <c r="BJ284" s="69"/>
      <c r="BK284" s="69" t="s">
        <v>25</v>
      </c>
      <c r="BL284" s="69">
        <v>13</v>
      </c>
      <c r="BM284" s="69">
        <v>0</v>
      </c>
      <c r="BN284" s="69">
        <v>0</v>
      </c>
      <c r="BO284" s="69">
        <v>0</v>
      </c>
      <c r="BP284" s="69">
        <v>0</v>
      </c>
      <c r="BQ284" s="69">
        <v>13</v>
      </c>
      <c r="BS284" s="21"/>
      <c r="CL284" s="57" t="s">
        <v>479</v>
      </c>
      <c r="CM284" s="57" t="s">
        <v>2253</v>
      </c>
      <c r="CN284" s="57">
        <v>38</v>
      </c>
      <c r="CO284" s="57">
        <v>54</v>
      </c>
      <c r="CP284" s="57">
        <v>110</v>
      </c>
      <c r="CQ284" s="57">
        <v>160</v>
      </c>
      <c r="CR284" s="57">
        <v>162</v>
      </c>
      <c r="CS284" s="57">
        <v>524</v>
      </c>
      <c r="CT284" s="57"/>
      <c r="CU284" s="57" t="s">
        <v>2253</v>
      </c>
      <c r="CV284" s="57">
        <v>7</v>
      </c>
      <c r="CW284" s="57">
        <v>0</v>
      </c>
      <c r="CX284" s="57">
        <v>0</v>
      </c>
      <c r="CY284" s="57">
        <v>0</v>
      </c>
      <c r="CZ284" s="57">
        <v>0</v>
      </c>
      <c r="DA284" s="57">
        <v>7</v>
      </c>
      <c r="FE284" s="16">
        <v>55</v>
      </c>
      <c r="FF284" s="70" t="s">
        <v>1807</v>
      </c>
      <c r="FG284" s="70" t="s">
        <v>2253</v>
      </c>
      <c r="FH284" s="70">
        <v>312</v>
      </c>
      <c r="FI284" s="70">
        <v>301</v>
      </c>
      <c r="FJ284" s="70">
        <v>290</v>
      </c>
      <c r="FK284" s="70">
        <v>320</v>
      </c>
      <c r="FL284" s="70">
        <v>458</v>
      </c>
      <c r="FM284" s="70">
        <v>1681</v>
      </c>
      <c r="FN284" s="70"/>
      <c r="FO284" s="70" t="s">
        <v>2253</v>
      </c>
      <c r="FP284" s="70">
        <v>53</v>
      </c>
      <c r="FQ284" s="70">
        <v>13</v>
      </c>
      <c r="FR284" s="70">
        <v>4</v>
      </c>
      <c r="FS284" s="70">
        <v>0</v>
      </c>
      <c r="FT284" s="70">
        <v>0</v>
      </c>
      <c r="FU284" s="70">
        <v>70</v>
      </c>
    </row>
    <row r="285" spans="2:177">
      <c r="B285" s="64" t="s">
        <v>812</v>
      </c>
      <c r="C285" s="64" t="s">
        <v>2098</v>
      </c>
      <c r="D285" s="64">
        <v>102</v>
      </c>
      <c r="E285" s="64">
        <v>235</v>
      </c>
      <c r="F285" s="64">
        <v>383</v>
      </c>
      <c r="G285" s="64">
        <v>494</v>
      </c>
      <c r="H285" s="64">
        <v>368</v>
      </c>
      <c r="I285" s="64">
        <v>1582</v>
      </c>
      <c r="K285" s="64" t="s">
        <v>2098</v>
      </c>
      <c r="L285" s="64">
        <v>18</v>
      </c>
      <c r="M285" s="64">
        <v>5</v>
      </c>
      <c r="N285" s="64">
        <v>2</v>
      </c>
      <c r="O285" s="64">
        <v>1</v>
      </c>
      <c r="P285" s="64">
        <v>2</v>
      </c>
      <c r="Q285" s="64">
        <v>28</v>
      </c>
      <c r="AI285" s="463" t="s">
        <v>1084</v>
      </c>
      <c r="AJ285" s="463" t="s">
        <v>1084</v>
      </c>
      <c r="AK285" s="66" t="s">
        <v>1084</v>
      </c>
      <c r="AL285" s="66" t="s">
        <v>2253</v>
      </c>
      <c r="AM285" s="66">
        <v>108</v>
      </c>
      <c r="AN285" s="66">
        <v>236</v>
      </c>
      <c r="AO285" s="66">
        <v>522</v>
      </c>
      <c r="AP285" s="66">
        <v>716</v>
      </c>
      <c r="AQ285" s="66">
        <v>568</v>
      </c>
      <c r="AR285" s="66">
        <v>2150</v>
      </c>
      <c r="AS285" s="66"/>
      <c r="AT285" s="66" t="s">
        <v>2253</v>
      </c>
      <c r="AU285" s="66">
        <v>28</v>
      </c>
      <c r="AV285" s="66">
        <v>2</v>
      </c>
      <c r="AW285" s="66">
        <v>7</v>
      </c>
      <c r="AX285" s="66">
        <v>4</v>
      </c>
      <c r="AY285" s="66">
        <v>1</v>
      </c>
      <c r="AZ285" s="66">
        <v>42</v>
      </c>
      <c r="BB285" s="69" t="s">
        <v>1250</v>
      </c>
      <c r="BC285" s="69" t="s">
        <v>25</v>
      </c>
      <c r="BD285" s="69">
        <v>408</v>
      </c>
      <c r="BE285" s="69">
        <v>524</v>
      </c>
      <c r="BF285" s="69">
        <v>840</v>
      </c>
      <c r="BG285" s="69">
        <v>1051</v>
      </c>
      <c r="BH285" s="69">
        <v>834</v>
      </c>
      <c r="BI285" s="69">
        <v>3657</v>
      </c>
      <c r="BJ285" s="69"/>
      <c r="BK285" s="69" t="s">
        <v>25</v>
      </c>
      <c r="BL285" s="69">
        <v>24</v>
      </c>
      <c r="BM285" s="69">
        <v>0</v>
      </c>
      <c r="BN285" s="69">
        <v>0</v>
      </c>
      <c r="BO285" s="69">
        <v>0</v>
      </c>
      <c r="BP285" s="69">
        <v>0</v>
      </c>
      <c r="BQ285" s="69">
        <v>24</v>
      </c>
      <c r="BS285" s="21"/>
      <c r="CL285" s="57" t="s">
        <v>482</v>
      </c>
      <c r="CM285" s="57" t="s">
        <v>2253</v>
      </c>
      <c r="CN285" s="57">
        <v>100</v>
      </c>
      <c r="CO285" s="57">
        <v>73</v>
      </c>
      <c r="CP285" s="57">
        <v>158</v>
      </c>
      <c r="CQ285" s="57">
        <v>254</v>
      </c>
      <c r="CR285" s="57">
        <v>241</v>
      </c>
      <c r="CS285" s="57">
        <v>826</v>
      </c>
      <c r="CT285" s="57"/>
      <c r="CU285" s="57" t="s">
        <v>2253</v>
      </c>
      <c r="CV285" s="57">
        <v>21</v>
      </c>
      <c r="CW285" s="57">
        <v>0</v>
      </c>
      <c r="CX285" s="57">
        <v>0</v>
      </c>
      <c r="CY285" s="57">
        <v>0</v>
      </c>
      <c r="CZ285" s="57">
        <v>0</v>
      </c>
      <c r="DA285" s="57">
        <v>21</v>
      </c>
      <c r="FE285" s="16">
        <v>60</v>
      </c>
      <c r="FF285" s="70" t="s">
        <v>1808</v>
      </c>
      <c r="FG285" s="70" t="s">
        <v>2253</v>
      </c>
      <c r="FH285" s="70">
        <v>258</v>
      </c>
      <c r="FI285" s="70">
        <v>351</v>
      </c>
      <c r="FJ285" s="70">
        <v>348</v>
      </c>
      <c r="FK285" s="70">
        <v>365</v>
      </c>
      <c r="FL285" s="70">
        <v>540</v>
      </c>
      <c r="FM285" s="70">
        <v>1862</v>
      </c>
      <c r="FN285" s="70"/>
      <c r="FO285" s="70" t="s">
        <v>2253</v>
      </c>
      <c r="FP285" s="70">
        <v>49</v>
      </c>
      <c r="FQ285" s="70">
        <v>22</v>
      </c>
      <c r="FR285" s="70">
        <v>8</v>
      </c>
      <c r="FS285" s="70">
        <v>1</v>
      </c>
      <c r="FT285" s="70">
        <v>9</v>
      </c>
      <c r="FU285" s="70">
        <v>89</v>
      </c>
    </row>
    <row r="286" spans="2:177">
      <c r="B286" s="64" t="s">
        <v>815</v>
      </c>
      <c r="C286" s="64" t="s">
        <v>2098</v>
      </c>
      <c r="D286" s="64">
        <v>71</v>
      </c>
      <c r="E286" s="64">
        <v>161</v>
      </c>
      <c r="F286" s="64">
        <v>343</v>
      </c>
      <c r="G286" s="64">
        <v>467</v>
      </c>
      <c r="H286" s="64">
        <v>372</v>
      </c>
      <c r="I286" s="64">
        <v>1414</v>
      </c>
      <c r="K286" s="64" t="s">
        <v>2098</v>
      </c>
      <c r="L286" s="64">
        <v>10</v>
      </c>
      <c r="M286" s="64">
        <v>4</v>
      </c>
      <c r="N286" s="64">
        <v>5</v>
      </c>
      <c r="O286" s="64">
        <v>0</v>
      </c>
      <c r="P286" s="64">
        <v>1</v>
      </c>
      <c r="Q286" s="64">
        <v>20</v>
      </c>
      <c r="AI286" s="463" t="s">
        <v>1087</v>
      </c>
      <c r="AJ286" s="463" t="s">
        <v>1087</v>
      </c>
      <c r="AK286" s="66" t="s">
        <v>1087</v>
      </c>
      <c r="AL286" s="66" t="s">
        <v>2253</v>
      </c>
      <c r="AM286" s="66">
        <v>494</v>
      </c>
      <c r="AN286" s="66">
        <v>537</v>
      </c>
      <c r="AO286" s="66">
        <v>743</v>
      </c>
      <c r="AP286" s="66">
        <v>686</v>
      </c>
      <c r="AQ286" s="66">
        <v>480</v>
      </c>
      <c r="AR286" s="66">
        <v>2940</v>
      </c>
      <c r="AS286" s="66"/>
      <c r="AT286" s="66" t="s">
        <v>2253</v>
      </c>
      <c r="AU286" s="66">
        <v>48</v>
      </c>
      <c r="AV286" s="66">
        <v>2</v>
      </c>
      <c r="AW286" s="66">
        <v>1</v>
      </c>
      <c r="AX286" s="66">
        <v>1</v>
      </c>
      <c r="AY286" s="66">
        <v>0</v>
      </c>
      <c r="AZ286" s="66">
        <v>52</v>
      </c>
      <c r="BB286" s="69" t="s">
        <v>426</v>
      </c>
      <c r="BC286" s="69" t="s">
        <v>25</v>
      </c>
      <c r="BD286" s="69">
        <v>35</v>
      </c>
      <c r="BE286" s="69">
        <v>60</v>
      </c>
      <c r="BF286" s="69">
        <v>109</v>
      </c>
      <c r="BG286" s="69">
        <v>183</v>
      </c>
      <c r="BH286" s="69">
        <v>158</v>
      </c>
      <c r="BI286" s="69">
        <v>545</v>
      </c>
      <c r="BJ286" s="69"/>
      <c r="BK286" s="69" t="s">
        <v>25</v>
      </c>
      <c r="BL286" s="69">
        <v>2</v>
      </c>
      <c r="BM286" s="69">
        <v>0</v>
      </c>
      <c r="BN286" s="69">
        <v>0</v>
      </c>
      <c r="BO286" s="69">
        <v>0</v>
      </c>
      <c r="BP286" s="69">
        <v>0</v>
      </c>
      <c r="BQ286" s="69">
        <v>2</v>
      </c>
      <c r="BS286" s="21"/>
      <c r="CL286" s="57" t="s">
        <v>484</v>
      </c>
      <c r="CM286" s="57" t="s">
        <v>2253</v>
      </c>
      <c r="CN286" s="57">
        <v>884</v>
      </c>
      <c r="CO286" s="57">
        <v>345</v>
      </c>
      <c r="CP286" s="57">
        <v>502</v>
      </c>
      <c r="CQ286" s="57">
        <v>599</v>
      </c>
      <c r="CR286" s="57">
        <v>497</v>
      </c>
      <c r="CS286" s="57">
        <v>2827</v>
      </c>
      <c r="CT286" s="57"/>
      <c r="CU286" s="57" t="s">
        <v>2253</v>
      </c>
      <c r="CV286" s="57">
        <v>176</v>
      </c>
      <c r="CW286" s="57">
        <v>0</v>
      </c>
      <c r="CX286" s="57">
        <v>0</v>
      </c>
      <c r="CY286" s="57">
        <v>0</v>
      </c>
      <c r="CZ286" s="57">
        <v>0</v>
      </c>
      <c r="DA286" s="57">
        <v>176</v>
      </c>
      <c r="FE286" s="16">
        <v>50</v>
      </c>
      <c r="FF286" s="70" t="s">
        <v>1809</v>
      </c>
      <c r="FG286" s="70" t="s">
        <v>2253</v>
      </c>
      <c r="FH286" s="70">
        <v>182</v>
      </c>
      <c r="FI286" s="70">
        <v>302</v>
      </c>
      <c r="FJ286" s="70">
        <v>311</v>
      </c>
      <c r="FK286" s="70">
        <v>352</v>
      </c>
      <c r="FL286" s="70">
        <v>445</v>
      </c>
      <c r="FM286" s="70">
        <v>1592</v>
      </c>
      <c r="FN286" s="70"/>
      <c r="FO286" s="70" t="s">
        <v>2253</v>
      </c>
      <c r="FP286" s="70">
        <v>39</v>
      </c>
      <c r="FQ286" s="70">
        <v>13</v>
      </c>
      <c r="FR286" s="70">
        <v>6</v>
      </c>
      <c r="FS286" s="70">
        <v>3</v>
      </c>
      <c r="FT286" s="70">
        <v>9</v>
      </c>
      <c r="FU286" s="70">
        <v>70</v>
      </c>
    </row>
    <row r="287" spans="2:177">
      <c r="B287" s="64" t="s">
        <v>818</v>
      </c>
      <c r="C287" s="64" t="s">
        <v>2098</v>
      </c>
      <c r="D287" s="64">
        <v>245</v>
      </c>
      <c r="E287" s="64">
        <v>340</v>
      </c>
      <c r="F287" s="64">
        <v>524</v>
      </c>
      <c r="G287" s="64">
        <v>686</v>
      </c>
      <c r="H287" s="64">
        <v>514</v>
      </c>
      <c r="I287" s="64">
        <v>2309</v>
      </c>
      <c r="K287" s="64" t="s">
        <v>2098</v>
      </c>
      <c r="L287" s="64">
        <v>24</v>
      </c>
      <c r="M287" s="64">
        <v>0</v>
      </c>
      <c r="N287" s="64">
        <v>0</v>
      </c>
      <c r="O287" s="64">
        <v>0</v>
      </c>
      <c r="P287" s="64">
        <v>1</v>
      </c>
      <c r="Q287" s="64">
        <v>25</v>
      </c>
      <c r="AI287" s="463" t="s">
        <v>1090</v>
      </c>
      <c r="AJ287" s="463" t="s">
        <v>1090</v>
      </c>
      <c r="AK287" s="66" t="s">
        <v>1090</v>
      </c>
      <c r="AL287" s="66" t="s">
        <v>2253</v>
      </c>
      <c r="AM287" s="66">
        <v>608</v>
      </c>
      <c r="AN287" s="66">
        <v>618</v>
      </c>
      <c r="AO287" s="66">
        <v>754</v>
      </c>
      <c r="AP287" s="66">
        <v>859</v>
      </c>
      <c r="AQ287" s="66">
        <v>524</v>
      </c>
      <c r="AR287" s="66">
        <v>3363</v>
      </c>
      <c r="AS287" s="66"/>
      <c r="AT287" s="66" t="s">
        <v>2253</v>
      </c>
      <c r="AU287" s="66">
        <v>42</v>
      </c>
      <c r="AV287" s="66">
        <v>5</v>
      </c>
      <c r="AW287" s="66">
        <v>2</v>
      </c>
      <c r="AX287" s="66">
        <v>1</v>
      </c>
      <c r="AY287" s="66">
        <v>0</v>
      </c>
      <c r="AZ287" s="66">
        <v>50</v>
      </c>
      <c r="BB287" s="69" t="s">
        <v>1258</v>
      </c>
      <c r="BC287" s="69" t="s">
        <v>25</v>
      </c>
      <c r="BD287" s="69">
        <v>167</v>
      </c>
      <c r="BE287" s="69">
        <v>237</v>
      </c>
      <c r="BF287" s="69">
        <v>323</v>
      </c>
      <c r="BG287" s="69">
        <v>409</v>
      </c>
      <c r="BH287" s="69">
        <v>332</v>
      </c>
      <c r="BI287" s="69">
        <v>1468</v>
      </c>
      <c r="BJ287" s="69"/>
      <c r="BK287" s="69" t="s">
        <v>25</v>
      </c>
      <c r="BL287" s="69">
        <v>24</v>
      </c>
      <c r="BM287" s="69">
        <v>2</v>
      </c>
      <c r="BN287" s="69">
        <v>0</v>
      </c>
      <c r="BO287" s="69">
        <v>0</v>
      </c>
      <c r="BP287" s="69">
        <v>0</v>
      </c>
      <c r="BQ287" s="69">
        <v>26</v>
      </c>
      <c r="BS287" s="21"/>
      <c r="CL287" s="57" t="s">
        <v>511</v>
      </c>
      <c r="CM287" s="57" t="s">
        <v>2253</v>
      </c>
      <c r="CN287" s="57">
        <v>138</v>
      </c>
      <c r="CO287" s="57">
        <v>108</v>
      </c>
      <c r="CP287" s="57">
        <v>154</v>
      </c>
      <c r="CQ287" s="57">
        <v>192</v>
      </c>
      <c r="CR287" s="57">
        <v>175</v>
      </c>
      <c r="CS287" s="57">
        <v>767</v>
      </c>
      <c r="CT287" s="57"/>
      <c r="CU287" s="57" t="s">
        <v>2253</v>
      </c>
      <c r="CV287" s="57">
        <v>17</v>
      </c>
      <c r="CW287" s="57">
        <v>0</v>
      </c>
      <c r="CX287" s="57">
        <v>0</v>
      </c>
      <c r="CY287" s="57">
        <v>0</v>
      </c>
      <c r="CZ287" s="57">
        <v>0</v>
      </c>
      <c r="DA287" s="57">
        <v>17</v>
      </c>
      <c r="FE287" s="16">
        <v>40</v>
      </c>
      <c r="FF287" s="70" t="s">
        <v>1811</v>
      </c>
      <c r="FG287" s="70" t="s">
        <v>2253</v>
      </c>
      <c r="FH287" s="70">
        <v>374</v>
      </c>
      <c r="FI287" s="70">
        <v>435</v>
      </c>
      <c r="FJ287" s="70">
        <v>492</v>
      </c>
      <c r="FK287" s="70">
        <v>498</v>
      </c>
      <c r="FL287" s="70">
        <v>537</v>
      </c>
      <c r="FM287" s="70">
        <v>2336</v>
      </c>
      <c r="FN287" s="70"/>
      <c r="FO287" s="70" t="s">
        <v>2253</v>
      </c>
      <c r="FP287" s="70">
        <v>61</v>
      </c>
      <c r="FQ287" s="70">
        <v>9</v>
      </c>
      <c r="FR287" s="70">
        <v>6</v>
      </c>
      <c r="FS287" s="70">
        <v>0</v>
      </c>
      <c r="FT287" s="70">
        <v>0</v>
      </c>
      <c r="FU287" s="70">
        <v>76</v>
      </c>
    </row>
    <row r="288" spans="2:177">
      <c r="B288" s="64" t="s">
        <v>822</v>
      </c>
      <c r="C288" s="64" t="s">
        <v>2098</v>
      </c>
      <c r="D288" s="64">
        <v>426</v>
      </c>
      <c r="E288" s="64">
        <v>500</v>
      </c>
      <c r="F288" s="64">
        <v>513</v>
      </c>
      <c r="G288" s="64">
        <v>560</v>
      </c>
      <c r="H288" s="64">
        <v>373</v>
      </c>
      <c r="I288" s="64">
        <v>2372</v>
      </c>
      <c r="K288" s="64" t="s">
        <v>2098</v>
      </c>
      <c r="L288" s="64">
        <v>34</v>
      </c>
      <c r="M288" s="64">
        <v>2</v>
      </c>
      <c r="N288" s="64">
        <v>2</v>
      </c>
      <c r="O288" s="64">
        <v>0</v>
      </c>
      <c r="P288" s="64">
        <v>0</v>
      </c>
      <c r="Q288" s="64">
        <v>38</v>
      </c>
      <c r="AI288" s="463" t="s">
        <v>1071</v>
      </c>
      <c r="AJ288" s="463" t="s">
        <v>2738</v>
      </c>
      <c r="AK288" s="66" t="s">
        <v>2738</v>
      </c>
      <c r="AL288" s="66" t="s">
        <v>2253</v>
      </c>
      <c r="AM288" s="66" t="s">
        <v>324</v>
      </c>
      <c r="AN288" s="66" t="s">
        <v>324</v>
      </c>
      <c r="AO288" s="66" t="s">
        <v>324</v>
      </c>
      <c r="AP288" s="66" t="s">
        <v>324</v>
      </c>
      <c r="AQ288" s="66" t="s">
        <v>324</v>
      </c>
      <c r="AR288" s="66" t="s">
        <v>324</v>
      </c>
      <c r="AS288" s="66"/>
      <c r="AT288" s="66" t="s">
        <v>2253</v>
      </c>
      <c r="AU288" s="66" t="s">
        <v>324</v>
      </c>
      <c r="AV288" s="66" t="s">
        <v>324</v>
      </c>
      <c r="AW288" s="66" t="s">
        <v>324</v>
      </c>
      <c r="AX288" s="66" t="s">
        <v>324</v>
      </c>
      <c r="AY288" s="66" t="s">
        <v>324</v>
      </c>
      <c r="AZ288" s="66" t="s">
        <v>324</v>
      </c>
      <c r="BB288" s="69" t="s">
        <v>428</v>
      </c>
      <c r="BC288" s="69" t="s">
        <v>25</v>
      </c>
      <c r="BD288" s="69">
        <v>696</v>
      </c>
      <c r="BE288" s="69">
        <v>444</v>
      </c>
      <c r="BF288" s="69">
        <v>495</v>
      </c>
      <c r="BG288" s="69">
        <v>464</v>
      </c>
      <c r="BH288" s="69">
        <v>341</v>
      </c>
      <c r="BI288" s="69">
        <v>2440</v>
      </c>
      <c r="BJ288" s="69"/>
      <c r="BK288" s="69" t="s">
        <v>25</v>
      </c>
      <c r="BL288" s="69">
        <v>128</v>
      </c>
      <c r="BM288" s="69">
        <v>0</v>
      </c>
      <c r="BN288" s="69">
        <v>0</v>
      </c>
      <c r="BO288" s="69">
        <v>0</v>
      </c>
      <c r="BP288" s="69">
        <v>0</v>
      </c>
      <c r="BQ288" s="69">
        <v>128</v>
      </c>
      <c r="BS288" s="21"/>
      <c r="CL288" s="57" t="s">
        <v>531</v>
      </c>
      <c r="CM288" s="57" t="s">
        <v>2253</v>
      </c>
      <c r="CN288" s="57">
        <v>42</v>
      </c>
      <c r="CO288" s="57">
        <v>32</v>
      </c>
      <c r="CP288" s="57">
        <v>65</v>
      </c>
      <c r="CQ288" s="57">
        <v>84</v>
      </c>
      <c r="CR288" s="57">
        <v>102</v>
      </c>
      <c r="CS288" s="57">
        <v>325</v>
      </c>
      <c r="CT288" s="57"/>
      <c r="CU288" s="57" t="s">
        <v>2253</v>
      </c>
      <c r="CV288" s="57">
        <v>21</v>
      </c>
      <c r="CW288" s="57">
        <v>0</v>
      </c>
      <c r="CX288" s="57">
        <v>0</v>
      </c>
      <c r="CY288" s="57">
        <v>0</v>
      </c>
      <c r="CZ288" s="57">
        <v>0</v>
      </c>
      <c r="DA288" s="57">
        <v>21</v>
      </c>
      <c r="FE288" s="16">
        <v>400</v>
      </c>
      <c r="FF288" s="70" t="s">
        <v>1813</v>
      </c>
      <c r="FG288" s="70" t="s">
        <v>2253</v>
      </c>
      <c r="FH288" s="70">
        <v>1889</v>
      </c>
      <c r="FI288" s="70">
        <v>1471</v>
      </c>
      <c r="FJ288" s="70">
        <v>888</v>
      </c>
      <c r="FK288" s="70">
        <v>769</v>
      </c>
      <c r="FL288" s="70">
        <v>885</v>
      </c>
      <c r="FM288" s="70">
        <v>5902</v>
      </c>
      <c r="FN288" s="70"/>
      <c r="FO288" s="70" t="s">
        <v>2253</v>
      </c>
      <c r="FP288" s="70">
        <v>443</v>
      </c>
      <c r="FQ288" s="70">
        <v>102</v>
      </c>
      <c r="FR288" s="70">
        <v>0</v>
      </c>
      <c r="FS288" s="70">
        <v>0</v>
      </c>
      <c r="FT288" s="70">
        <v>0</v>
      </c>
      <c r="FU288" s="70">
        <v>545</v>
      </c>
    </row>
    <row r="289" spans="2:177">
      <c r="B289" s="64" t="s">
        <v>826</v>
      </c>
      <c r="C289" s="64" t="s">
        <v>2098</v>
      </c>
      <c r="D289" s="64">
        <v>162</v>
      </c>
      <c r="E289" s="64">
        <v>230</v>
      </c>
      <c r="F289" s="64">
        <v>251</v>
      </c>
      <c r="G289" s="64">
        <v>312</v>
      </c>
      <c r="H289" s="64">
        <v>236</v>
      </c>
      <c r="I289" s="64">
        <v>1191</v>
      </c>
      <c r="K289" s="64" t="s">
        <v>2098</v>
      </c>
      <c r="L289" s="64">
        <v>20</v>
      </c>
      <c r="M289" s="64">
        <v>6</v>
      </c>
      <c r="N289" s="64">
        <v>2</v>
      </c>
      <c r="O289" s="64">
        <v>2</v>
      </c>
      <c r="P289" s="64">
        <v>1</v>
      </c>
      <c r="Q289" s="64">
        <v>31</v>
      </c>
      <c r="AI289" s="463"/>
      <c r="AJ289" s="463" t="s">
        <v>2740</v>
      </c>
      <c r="AK289" s="66" t="s">
        <v>2740</v>
      </c>
      <c r="AL289" s="66" t="s">
        <v>2253</v>
      </c>
      <c r="AM289" s="66" t="s">
        <v>324</v>
      </c>
      <c r="AN289" s="66" t="s">
        <v>324</v>
      </c>
      <c r="AO289" s="66" t="s">
        <v>324</v>
      </c>
      <c r="AP289" s="66" t="s">
        <v>324</v>
      </c>
      <c r="AQ289" s="66" t="s">
        <v>324</v>
      </c>
      <c r="AR289" s="66" t="s">
        <v>324</v>
      </c>
      <c r="AS289" s="66"/>
      <c r="AT289" s="66" t="s">
        <v>2253</v>
      </c>
      <c r="AU289" s="66" t="s">
        <v>324</v>
      </c>
      <c r="AV289" s="66" t="s">
        <v>324</v>
      </c>
      <c r="AW289" s="66" t="s">
        <v>324</v>
      </c>
      <c r="AX289" s="66" t="s">
        <v>324</v>
      </c>
      <c r="AY289" s="66" t="s">
        <v>324</v>
      </c>
      <c r="AZ289" s="66" t="s">
        <v>324</v>
      </c>
      <c r="BB289" s="69" t="s">
        <v>1264</v>
      </c>
      <c r="BC289" s="69" t="s">
        <v>25</v>
      </c>
      <c r="BD289" s="69">
        <v>81</v>
      </c>
      <c r="BE289" s="69">
        <v>108</v>
      </c>
      <c r="BF289" s="69">
        <v>240</v>
      </c>
      <c r="BG289" s="69">
        <v>281</v>
      </c>
      <c r="BH289" s="69">
        <v>216</v>
      </c>
      <c r="BI289" s="69">
        <v>926</v>
      </c>
      <c r="BJ289" s="69"/>
      <c r="BK289" s="69" t="s">
        <v>25</v>
      </c>
      <c r="BL289" s="69">
        <v>5</v>
      </c>
      <c r="BM289" s="69">
        <v>0</v>
      </c>
      <c r="BN289" s="69">
        <v>0</v>
      </c>
      <c r="BO289" s="69">
        <v>0</v>
      </c>
      <c r="BP289" s="69">
        <v>0</v>
      </c>
      <c r="BQ289" s="69">
        <v>5</v>
      </c>
      <c r="BS289" s="21"/>
      <c r="CL289" s="57" t="s">
        <v>513</v>
      </c>
      <c r="CM289" s="57" t="s">
        <v>2253</v>
      </c>
      <c r="CN289" s="57">
        <v>102</v>
      </c>
      <c r="CO289" s="57">
        <v>78</v>
      </c>
      <c r="CP289" s="57">
        <v>154</v>
      </c>
      <c r="CQ289" s="57">
        <v>215</v>
      </c>
      <c r="CR289" s="57">
        <v>224</v>
      </c>
      <c r="CS289" s="57">
        <v>773</v>
      </c>
      <c r="CT289" s="57"/>
      <c r="CU289" s="57" t="s">
        <v>2253</v>
      </c>
      <c r="CV289" s="57">
        <v>17</v>
      </c>
      <c r="CW289" s="57">
        <v>0</v>
      </c>
      <c r="CX289" s="57">
        <v>0</v>
      </c>
      <c r="CY289" s="57">
        <v>0</v>
      </c>
      <c r="CZ289" s="57">
        <v>0</v>
      </c>
      <c r="DA289" s="57">
        <v>17</v>
      </c>
      <c r="FE289" s="16">
        <v>45</v>
      </c>
      <c r="FF289" s="70" t="s">
        <v>1816</v>
      </c>
      <c r="FG289" s="70" t="s">
        <v>2253</v>
      </c>
      <c r="FH289" s="70">
        <v>257</v>
      </c>
      <c r="FI289" s="70">
        <v>467</v>
      </c>
      <c r="FJ289" s="70">
        <v>569</v>
      </c>
      <c r="FK289" s="70">
        <v>563</v>
      </c>
      <c r="FL289" s="70">
        <v>635</v>
      </c>
      <c r="FM289" s="70">
        <v>2491</v>
      </c>
      <c r="FN289" s="70"/>
      <c r="FO289" s="70" t="s">
        <v>2253</v>
      </c>
      <c r="FP289" s="70">
        <v>41</v>
      </c>
      <c r="FQ289" s="70">
        <v>5</v>
      </c>
      <c r="FR289" s="70">
        <v>0</v>
      </c>
      <c r="FS289" s="70">
        <v>0</v>
      </c>
      <c r="FT289" s="70">
        <v>0</v>
      </c>
      <c r="FU289" s="70">
        <v>46</v>
      </c>
    </row>
    <row r="290" spans="2:177">
      <c r="B290" s="64" t="s">
        <v>830</v>
      </c>
      <c r="C290" s="64" t="s">
        <v>2098</v>
      </c>
      <c r="D290" s="64">
        <v>469</v>
      </c>
      <c r="E290" s="64">
        <v>562</v>
      </c>
      <c r="F290" s="64">
        <v>823</v>
      </c>
      <c r="G290" s="64">
        <v>941</v>
      </c>
      <c r="H290" s="64">
        <v>740</v>
      </c>
      <c r="I290" s="64">
        <v>3535</v>
      </c>
      <c r="K290" s="64" t="s">
        <v>2098</v>
      </c>
      <c r="L290" s="64">
        <v>35</v>
      </c>
      <c r="M290" s="64">
        <v>6</v>
      </c>
      <c r="N290" s="64">
        <v>0</v>
      </c>
      <c r="O290" s="64">
        <v>2</v>
      </c>
      <c r="P290" s="64">
        <v>1</v>
      </c>
      <c r="Q290" s="64">
        <v>44</v>
      </c>
      <c r="AI290" s="463" t="s">
        <v>1047</v>
      </c>
      <c r="AJ290" s="463" t="s">
        <v>2743</v>
      </c>
      <c r="AK290" s="66" t="s">
        <v>2743</v>
      </c>
      <c r="AL290" s="66" t="s">
        <v>2253</v>
      </c>
      <c r="AM290" s="66" t="s">
        <v>324</v>
      </c>
      <c r="AN290" s="66" t="s">
        <v>324</v>
      </c>
      <c r="AO290" s="66" t="s">
        <v>324</v>
      </c>
      <c r="AP290" s="66" t="s">
        <v>324</v>
      </c>
      <c r="AQ290" s="66" t="s">
        <v>324</v>
      </c>
      <c r="AR290" s="66" t="s">
        <v>324</v>
      </c>
      <c r="AS290" s="66"/>
      <c r="AT290" s="66" t="s">
        <v>2253</v>
      </c>
      <c r="AU290" s="66" t="s">
        <v>324</v>
      </c>
      <c r="AV290" s="66" t="s">
        <v>324</v>
      </c>
      <c r="AW290" s="66" t="s">
        <v>324</v>
      </c>
      <c r="AX290" s="66" t="s">
        <v>324</v>
      </c>
      <c r="AY290" s="66" t="s">
        <v>324</v>
      </c>
      <c r="AZ290" s="66" t="s">
        <v>324</v>
      </c>
      <c r="BB290" s="69" t="s">
        <v>1268</v>
      </c>
      <c r="BC290" s="69" t="s">
        <v>25</v>
      </c>
      <c r="BD290" s="69">
        <v>108</v>
      </c>
      <c r="BE290" s="69">
        <v>83</v>
      </c>
      <c r="BF290" s="69">
        <v>172</v>
      </c>
      <c r="BG290" s="69">
        <v>248</v>
      </c>
      <c r="BH290" s="69">
        <v>204</v>
      </c>
      <c r="BI290" s="69">
        <v>815</v>
      </c>
      <c r="BJ290" s="69"/>
      <c r="BK290" s="69" t="s">
        <v>25</v>
      </c>
      <c r="BL290" s="69">
        <v>36</v>
      </c>
      <c r="BM290" s="69">
        <v>0</v>
      </c>
      <c r="BN290" s="69">
        <v>0</v>
      </c>
      <c r="BO290" s="69">
        <v>0</v>
      </c>
      <c r="BP290" s="69">
        <v>0</v>
      </c>
      <c r="BQ290" s="69">
        <v>36</v>
      </c>
      <c r="BS290" s="21"/>
      <c r="CL290" s="57" t="s">
        <v>515</v>
      </c>
      <c r="CM290" s="57" t="s">
        <v>2253</v>
      </c>
      <c r="CN290" s="57">
        <v>178</v>
      </c>
      <c r="CO290" s="57">
        <v>278</v>
      </c>
      <c r="CP290" s="57">
        <v>414</v>
      </c>
      <c r="CQ290" s="57">
        <v>536</v>
      </c>
      <c r="CR290" s="57">
        <v>535</v>
      </c>
      <c r="CS290" s="57">
        <v>1941</v>
      </c>
      <c r="CT290" s="57"/>
      <c r="CU290" s="57" t="s">
        <v>2253</v>
      </c>
      <c r="CV290" s="57">
        <v>13</v>
      </c>
      <c r="CW290" s="57">
        <v>0</v>
      </c>
      <c r="CX290" s="57">
        <v>0</v>
      </c>
      <c r="CY290" s="57">
        <v>0</v>
      </c>
      <c r="CZ290" s="57">
        <v>0</v>
      </c>
      <c r="DA290" s="57">
        <v>13</v>
      </c>
      <c r="FE290" s="16">
        <v>20</v>
      </c>
      <c r="FF290" s="70" t="s">
        <v>1818</v>
      </c>
      <c r="FG290" s="70" t="s">
        <v>2253</v>
      </c>
      <c r="FH290" s="70">
        <v>141</v>
      </c>
      <c r="FI290" s="70">
        <v>329</v>
      </c>
      <c r="FJ290" s="70">
        <v>487</v>
      </c>
      <c r="FK290" s="70">
        <v>562</v>
      </c>
      <c r="FL290" s="70">
        <v>598</v>
      </c>
      <c r="FM290" s="70">
        <v>2117</v>
      </c>
      <c r="FN290" s="70"/>
      <c r="FO290" s="70" t="s">
        <v>2253</v>
      </c>
      <c r="FP290" s="70">
        <v>21</v>
      </c>
      <c r="FQ290" s="70">
        <v>1</v>
      </c>
      <c r="FR290" s="70">
        <v>0</v>
      </c>
      <c r="FS290" s="70">
        <v>0</v>
      </c>
      <c r="FT290" s="70">
        <v>0</v>
      </c>
      <c r="FU290" s="70">
        <v>22</v>
      </c>
    </row>
    <row r="291" spans="2:177">
      <c r="B291" s="64" t="s">
        <v>836</v>
      </c>
      <c r="C291" s="64" t="s">
        <v>2098</v>
      </c>
      <c r="D291" s="64">
        <v>302</v>
      </c>
      <c r="E291" s="64">
        <v>271</v>
      </c>
      <c r="F291" s="64">
        <v>378</v>
      </c>
      <c r="G291" s="64">
        <v>447</v>
      </c>
      <c r="H291" s="64">
        <v>360</v>
      </c>
      <c r="I291" s="64">
        <v>1758</v>
      </c>
      <c r="K291" s="64" t="s">
        <v>2098</v>
      </c>
      <c r="L291" s="64">
        <v>48</v>
      </c>
      <c r="M291" s="64">
        <v>8</v>
      </c>
      <c r="N291" s="64">
        <v>2</v>
      </c>
      <c r="O291" s="64">
        <v>0</v>
      </c>
      <c r="P291" s="64">
        <v>0</v>
      </c>
      <c r="Q291" s="64">
        <v>58</v>
      </c>
      <c r="AI291" s="463" t="s">
        <v>1047</v>
      </c>
      <c r="AJ291" s="463" t="s">
        <v>2746</v>
      </c>
      <c r="AK291" s="66" t="s">
        <v>2746</v>
      </c>
      <c r="AL291" s="66" t="s">
        <v>2253</v>
      </c>
      <c r="AM291" s="66" t="s">
        <v>324</v>
      </c>
      <c r="AN291" s="66" t="s">
        <v>324</v>
      </c>
      <c r="AO291" s="66" t="s">
        <v>324</v>
      </c>
      <c r="AP291" s="66" t="s">
        <v>324</v>
      </c>
      <c r="AQ291" s="66" t="s">
        <v>324</v>
      </c>
      <c r="AR291" s="66" t="s">
        <v>324</v>
      </c>
      <c r="AS291" s="66"/>
      <c r="AT291" s="66" t="s">
        <v>2253</v>
      </c>
      <c r="AU291" s="66" t="s">
        <v>324</v>
      </c>
      <c r="AV291" s="66" t="s">
        <v>324</v>
      </c>
      <c r="AW291" s="66" t="s">
        <v>324</v>
      </c>
      <c r="AX291" s="66" t="s">
        <v>324</v>
      </c>
      <c r="AY291" s="66" t="s">
        <v>324</v>
      </c>
      <c r="AZ291" s="66" t="s">
        <v>324</v>
      </c>
      <c r="BB291" s="69" t="s">
        <v>1272</v>
      </c>
      <c r="BC291" s="69" t="s">
        <v>25</v>
      </c>
      <c r="BD291" s="69">
        <v>400</v>
      </c>
      <c r="BE291" s="69">
        <v>480</v>
      </c>
      <c r="BF291" s="69">
        <v>764</v>
      </c>
      <c r="BG291" s="69">
        <v>688</v>
      </c>
      <c r="BH291" s="69">
        <v>575</v>
      </c>
      <c r="BI291" s="69">
        <v>2907</v>
      </c>
      <c r="BJ291" s="69"/>
      <c r="BK291" s="69" t="s">
        <v>25</v>
      </c>
      <c r="BL291" s="69">
        <v>41</v>
      </c>
      <c r="BM291" s="69">
        <v>0</v>
      </c>
      <c r="BN291" s="69">
        <v>0</v>
      </c>
      <c r="BO291" s="69">
        <v>0</v>
      </c>
      <c r="BP291" s="69">
        <v>0</v>
      </c>
      <c r="BQ291" s="69">
        <v>41</v>
      </c>
      <c r="BS291" s="21"/>
      <c r="CL291" s="57" t="s">
        <v>507</v>
      </c>
      <c r="CM291" s="57" t="s">
        <v>2253</v>
      </c>
      <c r="CN291" s="57">
        <v>203</v>
      </c>
      <c r="CO291" s="57">
        <v>107</v>
      </c>
      <c r="CP291" s="57">
        <v>140</v>
      </c>
      <c r="CQ291" s="57">
        <v>201</v>
      </c>
      <c r="CR291" s="57">
        <v>381</v>
      </c>
      <c r="CS291" s="57">
        <v>1032</v>
      </c>
      <c r="CT291" s="57"/>
      <c r="CU291" s="57" t="s">
        <v>2253</v>
      </c>
      <c r="CV291" s="57">
        <v>55</v>
      </c>
      <c r="CW291" s="57">
        <v>0</v>
      </c>
      <c r="CX291" s="57">
        <v>0</v>
      </c>
      <c r="CY291" s="57">
        <v>0</v>
      </c>
      <c r="CZ291" s="57">
        <v>0</v>
      </c>
      <c r="DA291" s="57">
        <v>55</v>
      </c>
      <c r="FE291" s="16">
        <v>60</v>
      </c>
      <c r="FF291" s="70" t="s">
        <v>1820</v>
      </c>
      <c r="FG291" s="70" t="s">
        <v>2253</v>
      </c>
      <c r="FH291" s="70">
        <v>343</v>
      </c>
      <c r="FI291" s="70">
        <v>435</v>
      </c>
      <c r="FJ291" s="70">
        <v>631</v>
      </c>
      <c r="FK291" s="70">
        <v>658</v>
      </c>
      <c r="FL291" s="70">
        <v>671</v>
      </c>
      <c r="FM291" s="70">
        <v>2738</v>
      </c>
      <c r="FN291" s="70"/>
      <c r="FO291" s="70" t="s">
        <v>2253</v>
      </c>
      <c r="FP291" s="70">
        <v>65</v>
      </c>
      <c r="FQ291" s="70">
        <v>0</v>
      </c>
      <c r="FR291" s="70">
        <v>0</v>
      </c>
      <c r="FS291" s="70">
        <v>0</v>
      </c>
      <c r="FT291" s="70">
        <v>0</v>
      </c>
      <c r="FU291" s="70">
        <v>65</v>
      </c>
    </row>
    <row r="292" spans="2:177">
      <c r="B292" s="64" t="s">
        <v>839</v>
      </c>
      <c r="C292" s="64" t="s">
        <v>2098</v>
      </c>
      <c r="D292" s="64">
        <v>139</v>
      </c>
      <c r="E292" s="64">
        <v>196</v>
      </c>
      <c r="F292" s="64">
        <v>340</v>
      </c>
      <c r="G292" s="64">
        <v>414</v>
      </c>
      <c r="H292" s="64">
        <v>359</v>
      </c>
      <c r="I292" s="64">
        <v>1448</v>
      </c>
      <c r="K292" s="64" t="s">
        <v>2098</v>
      </c>
      <c r="L292" s="64">
        <v>24</v>
      </c>
      <c r="M292" s="64">
        <v>5</v>
      </c>
      <c r="N292" s="64">
        <v>1</v>
      </c>
      <c r="O292" s="64">
        <v>0</v>
      </c>
      <c r="P292" s="64">
        <v>0</v>
      </c>
      <c r="Q292" s="64">
        <v>30</v>
      </c>
      <c r="AI292" s="463" t="s">
        <v>1123</v>
      </c>
      <c r="AJ292" s="463" t="s">
        <v>2749</v>
      </c>
      <c r="AK292" s="66" t="s">
        <v>2749</v>
      </c>
      <c r="AL292" s="66" t="s">
        <v>2253</v>
      </c>
      <c r="AM292" s="66" t="s">
        <v>324</v>
      </c>
      <c r="AN292" s="66" t="s">
        <v>324</v>
      </c>
      <c r="AO292" s="66" t="s">
        <v>324</v>
      </c>
      <c r="AP292" s="66" t="s">
        <v>324</v>
      </c>
      <c r="AQ292" s="66" t="s">
        <v>324</v>
      </c>
      <c r="AR292" s="66" t="s">
        <v>324</v>
      </c>
      <c r="AS292" s="66"/>
      <c r="AT292" s="66" t="s">
        <v>2253</v>
      </c>
      <c r="AU292" s="66" t="s">
        <v>324</v>
      </c>
      <c r="AV292" s="66" t="s">
        <v>324</v>
      </c>
      <c r="AW292" s="66" t="s">
        <v>324</v>
      </c>
      <c r="AX292" s="66" t="s">
        <v>324</v>
      </c>
      <c r="AY292" s="66" t="s">
        <v>324</v>
      </c>
      <c r="AZ292" s="66" t="s">
        <v>324</v>
      </c>
      <c r="BB292" s="69" t="s">
        <v>429</v>
      </c>
      <c r="BC292" s="69" t="s">
        <v>25</v>
      </c>
      <c r="BD292" s="69">
        <v>195</v>
      </c>
      <c r="BE292" s="69">
        <v>176</v>
      </c>
      <c r="BF292" s="69">
        <v>260</v>
      </c>
      <c r="BG292" s="69">
        <v>299</v>
      </c>
      <c r="BH292" s="69">
        <v>223</v>
      </c>
      <c r="BI292" s="69">
        <v>1153</v>
      </c>
      <c r="BJ292" s="69"/>
      <c r="BK292" s="69" t="s">
        <v>25</v>
      </c>
      <c r="BL292" s="69">
        <v>47</v>
      </c>
      <c r="BM292" s="69">
        <v>0</v>
      </c>
      <c r="BN292" s="69">
        <v>0</v>
      </c>
      <c r="BO292" s="69">
        <v>0</v>
      </c>
      <c r="BP292" s="69">
        <v>0</v>
      </c>
      <c r="BQ292" s="69">
        <v>47</v>
      </c>
      <c r="BS292" s="21"/>
      <c r="CL292" s="57" t="s">
        <v>519</v>
      </c>
      <c r="CM292" s="57" t="s">
        <v>2253</v>
      </c>
      <c r="CN292" s="57">
        <v>143</v>
      </c>
      <c r="CO292" s="57">
        <v>93</v>
      </c>
      <c r="CP292" s="57">
        <v>189</v>
      </c>
      <c r="CQ292" s="57">
        <v>226</v>
      </c>
      <c r="CR292" s="57">
        <v>212</v>
      </c>
      <c r="CS292" s="57">
        <v>863</v>
      </c>
      <c r="CT292" s="57"/>
      <c r="CU292" s="57" t="s">
        <v>2253</v>
      </c>
      <c r="CV292" s="57">
        <v>13</v>
      </c>
      <c r="CW292" s="57">
        <v>0</v>
      </c>
      <c r="CX292" s="57">
        <v>0</v>
      </c>
      <c r="CY292" s="57">
        <v>0</v>
      </c>
      <c r="CZ292" s="57">
        <v>0</v>
      </c>
      <c r="DA292" s="57">
        <v>13</v>
      </c>
      <c r="FE292" s="16">
        <v>60</v>
      </c>
      <c r="FF292" s="70" t="s">
        <v>1822</v>
      </c>
      <c r="FG292" s="70" t="s">
        <v>2253</v>
      </c>
      <c r="FH292" s="70">
        <v>369</v>
      </c>
      <c r="FI292" s="70">
        <v>530</v>
      </c>
      <c r="FJ292" s="70">
        <v>730</v>
      </c>
      <c r="FK292" s="70">
        <v>759</v>
      </c>
      <c r="FL292" s="70">
        <v>809</v>
      </c>
      <c r="FM292" s="70">
        <v>3197</v>
      </c>
      <c r="FN292" s="70"/>
      <c r="FO292" s="70" t="s">
        <v>2253</v>
      </c>
      <c r="FP292" s="70">
        <v>48</v>
      </c>
      <c r="FQ292" s="70">
        <v>0</v>
      </c>
      <c r="FR292" s="70">
        <v>0</v>
      </c>
      <c r="FS292" s="70">
        <v>0</v>
      </c>
      <c r="FT292" s="70">
        <v>0</v>
      </c>
      <c r="FU292" s="70">
        <v>48</v>
      </c>
    </row>
    <row r="293" spans="2:177">
      <c r="B293" s="64" t="s">
        <v>845</v>
      </c>
      <c r="C293" s="64" t="s">
        <v>2098</v>
      </c>
      <c r="D293" s="64">
        <v>333</v>
      </c>
      <c r="E293" s="64">
        <v>532</v>
      </c>
      <c r="F293" s="64">
        <v>925</v>
      </c>
      <c r="G293" s="64">
        <v>1160</v>
      </c>
      <c r="H293" s="64">
        <v>871</v>
      </c>
      <c r="I293" s="64">
        <v>3821</v>
      </c>
      <c r="K293" s="64" t="s">
        <v>2098</v>
      </c>
      <c r="L293" s="64">
        <v>11</v>
      </c>
      <c r="M293" s="64">
        <v>0</v>
      </c>
      <c r="N293" s="64">
        <v>0</v>
      </c>
      <c r="O293" s="64">
        <v>0</v>
      </c>
      <c r="P293" s="64">
        <v>0</v>
      </c>
      <c r="Q293" s="64">
        <v>11</v>
      </c>
      <c r="AI293" s="463" t="s">
        <v>1131</v>
      </c>
      <c r="AJ293" s="463" t="s">
        <v>2752</v>
      </c>
      <c r="AK293" s="66" t="s">
        <v>2752</v>
      </c>
      <c r="AL293" s="66" t="s">
        <v>2253</v>
      </c>
      <c r="AM293" s="66" t="s">
        <v>324</v>
      </c>
      <c r="AN293" s="66" t="s">
        <v>324</v>
      </c>
      <c r="AO293" s="66" t="s">
        <v>324</v>
      </c>
      <c r="AP293" s="66" t="s">
        <v>324</v>
      </c>
      <c r="AQ293" s="66" t="s">
        <v>324</v>
      </c>
      <c r="AR293" s="66" t="s">
        <v>324</v>
      </c>
      <c r="AS293" s="66"/>
      <c r="AT293" s="66" t="s">
        <v>2253</v>
      </c>
      <c r="AU293" s="66" t="s">
        <v>324</v>
      </c>
      <c r="AV293" s="66" t="s">
        <v>324</v>
      </c>
      <c r="AW293" s="66" t="s">
        <v>324</v>
      </c>
      <c r="AX293" s="66" t="s">
        <v>324</v>
      </c>
      <c r="AY293" s="66" t="s">
        <v>324</v>
      </c>
      <c r="AZ293" s="66" t="s">
        <v>324</v>
      </c>
      <c r="BB293" s="69" t="s">
        <v>1279</v>
      </c>
      <c r="BC293" s="69" t="s">
        <v>25</v>
      </c>
      <c r="BD293" s="69">
        <v>101</v>
      </c>
      <c r="BE293" s="69">
        <v>92</v>
      </c>
      <c r="BF293" s="69">
        <v>146</v>
      </c>
      <c r="BG293" s="69">
        <v>234</v>
      </c>
      <c r="BH293" s="69">
        <v>189</v>
      </c>
      <c r="BI293" s="69">
        <v>762</v>
      </c>
      <c r="BJ293" s="69"/>
      <c r="BK293" s="69" t="s">
        <v>25</v>
      </c>
      <c r="BL293" s="69">
        <v>22</v>
      </c>
      <c r="BM293" s="69">
        <v>0</v>
      </c>
      <c r="BN293" s="69">
        <v>0</v>
      </c>
      <c r="BO293" s="69">
        <v>0</v>
      </c>
      <c r="BP293" s="69">
        <v>0</v>
      </c>
      <c r="BQ293" s="69">
        <v>22</v>
      </c>
      <c r="BS293" s="21"/>
      <c r="CL293" s="57" t="s">
        <v>522</v>
      </c>
      <c r="CM293" s="57" t="s">
        <v>2253</v>
      </c>
      <c r="CN293" s="57">
        <v>223</v>
      </c>
      <c r="CO293" s="57">
        <v>98</v>
      </c>
      <c r="CP293" s="57">
        <v>161</v>
      </c>
      <c r="CQ293" s="57">
        <v>226</v>
      </c>
      <c r="CR293" s="57">
        <v>214</v>
      </c>
      <c r="CS293" s="57">
        <v>922</v>
      </c>
      <c r="CT293" s="57"/>
      <c r="CU293" s="57" t="s">
        <v>2253</v>
      </c>
      <c r="CV293" s="57">
        <v>49</v>
      </c>
      <c r="CW293" s="57">
        <v>0</v>
      </c>
      <c r="CX293" s="57">
        <v>0</v>
      </c>
      <c r="CY293" s="57">
        <v>0</v>
      </c>
      <c r="CZ293" s="57">
        <v>0</v>
      </c>
      <c r="DA293" s="57">
        <v>49</v>
      </c>
      <c r="FE293" s="16">
        <v>40</v>
      </c>
      <c r="FF293" s="70" t="s">
        <v>2007</v>
      </c>
      <c r="FG293" s="70" t="s">
        <v>2253</v>
      </c>
      <c r="FH293" s="70">
        <v>54</v>
      </c>
      <c r="FI293" s="70">
        <v>216</v>
      </c>
      <c r="FJ293" s="70">
        <v>242</v>
      </c>
      <c r="FK293" s="70">
        <v>285</v>
      </c>
      <c r="FL293" s="70">
        <v>277</v>
      </c>
      <c r="FM293" s="70">
        <v>1074</v>
      </c>
      <c r="FN293" s="70"/>
      <c r="FO293" s="70" t="s">
        <v>2253</v>
      </c>
      <c r="FP293" s="70">
        <v>10</v>
      </c>
      <c r="FQ293" s="70">
        <v>8</v>
      </c>
      <c r="FR293" s="70">
        <v>2</v>
      </c>
      <c r="FS293" s="70">
        <v>2</v>
      </c>
      <c r="FT293" s="70">
        <v>1</v>
      </c>
      <c r="FU293" s="70">
        <v>23</v>
      </c>
    </row>
    <row r="294" spans="2:177">
      <c r="B294" s="64" t="s">
        <v>849</v>
      </c>
      <c r="C294" s="64" t="s">
        <v>2098</v>
      </c>
      <c r="D294" s="64">
        <v>237</v>
      </c>
      <c r="E294" s="64">
        <v>404</v>
      </c>
      <c r="F294" s="64">
        <v>806</v>
      </c>
      <c r="G294" s="64">
        <v>1091</v>
      </c>
      <c r="H294" s="64">
        <v>890</v>
      </c>
      <c r="I294" s="64">
        <v>3428</v>
      </c>
      <c r="K294" s="64" t="s">
        <v>2098</v>
      </c>
      <c r="L294" s="64">
        <v>19</v>
      </c>
      <c r="M294" s="64">
        <v>5</v>
      </c>
      <c r="N294" s="64">
        <v>0</v>
      </c>
      <c r="O294" s="64">
        <v>1</v>
      </c>
      <c r="P294" s="64">
        <v>1</v>
      </c>
      <c r="Q294" s="64">
        <v>26</v>
      </c>
      <c r="AI294" s="463" t="s">
        <v>1093</v>
      </c>
      <c r="AJ294" s="463" t="s">
        <v>1093</v>
      </c>
      <c r="AK294" s="66" t="s">
        <v>1093</v>
      </c>
      <c r="AL294" s="66" t="s">
        <v>2253</v>
      </c>
      <c r="AM294" s="66">
        <v>119</v>
      </c>
      <c r="AN294" s="66">
        <v>197</v>
      </c>
      <c r="AO294" s="66">
        <v>244</v>
      </c>
      <c r="AP294" s="66">
        <v>297</v>
      </c>
      <c r="AQ294" s="66">
        <v>212</v>
      </c>
      <c r="AR294" s="66">
        <v>1069</v>
      </c>
      <c r="AS294" s="66"/>
      <c r="AT294" s="66" t="s">
        <v>2253</v>
      </c>
      <c r="AU294" s="66">
        <v>23</v>
      </c>
      <c r="AV294" s="66">
        <v>5</v>
      </c>
      <c r="AW294" s="66">
        <v>0</v>
      </c>
      <c r="AX294" s="66">
        <v>0</v>
      </c>
      <c r="AY294" s="66">
        <v>0</v>
      </c>
      <c r="AZ294" s="66">
        <v>28</v>
      </c>
      <c r="BB294" s="69" t="s">
        <v>430</v>
      </c>
      <c r="BC294" s="69" t="s">
        <v>25</v>
      </c>
      <c r="BD294" s="69">
        <v>202</v>
      </c>
      <c r="BE294" s="69">
        <v>212</v>
      </c>
      <c r="BF294" s="69">
        <v>493</v>
      </c>
      <c r="BG294" s="69">
        <v>658</v>
      </c>
      <c r="BH294" s="69">
        <v>517</v>
      </c>
      <c r="BI294" s="69">
        <v>2082</v>
      </c>
      <c r="BJ294" s="69"/>
      <c r="BK294" s="69" t="s">
        <v>25</v>
      </c>
      <c r="BL294" s="69">
        <v>32</v>
      </c>
      <c r="BM294" s="69">
        <v>0</v>
      </c>
      <c r="BN294" s="69">
        <v>0</v>
      </c>
      <c r="BO294" s="69">
        <v>0</v>
      </c>
      <c r="BP294" s="69">
        <v>0</v>
      </c>
      <c r="BQ294" s="69">
        <v>32</v>
      </c>
      <c r="BS294" s="21"/>
      <c r="CL294" s="57" t="s">
        <v>565</v>
      </c>
      <c r="CM294" s="57" t="s">
        <v>2253</v>
      </c>
      <c r="CN294" s="57">
        <v>92</v>
      </c>
      <c r="CO294" s="57">
        <v>73</v>
      </c>
      <c r="CP294" s="57">
        <v>114</v>
      </c>
      <c r="CQ294" s="57">
        <v>194</v>
      </c>
      <c r="CR294" s="57">
        <v>190</v>
      </c>
      <c r="CS294" s="57">
        <v>663</v>
      </c>
      <c r="CT294" s="57"/>
      <c r="CU294" s="57" t="s">
        <v>2253</v>
      </c>
      <c r="CV294" s="57">
        <v>30</v>
      </c>
      <c r="CW294" s="57">
        <v>0</v>
      </c>
      <c r="CX294" s="57">
        <v>0</v>
      </c>
      <c r="CY294" s="57">
        <v>0</v>
      </c>
      <c r="CZ294" s="57">
        <v>0</v>
      </c>
      <c r="DA294" s="57">
        <v>30</v>
      </c>
      <c r="FE294" s="16">
        <v>25</v>
      </c>
      <c r="FF294" s="70" t="s">
        <v>2203</v>
      </c>
      <c r="FG294" s="70" t="s">
        <v>2253</v>
      </c>
      <c r="FH294" s="70">
        <v>67</v>
      </c>
      <c r="FI294" s="70">
        <v>191</v>
      </c>
      <c r="FJ294" s="70">
        <v>226</v>
      </c>
      <c r="FK294" s="70">
        <v>298</v>
      </c>
      <c r="FL294" s="70">
        <v>335</v>
      </c>
      <c r="FM294" s="70">
        <v>1117</v>
      </c>
      <c r="FN294" s="70"/>
      <c r="FO294" s="70" t="s">
        <v>2253</v>
      </c>
      <c r="FP294" s="70">
        <v>14</v>
      </c>
      <c r="FQ294" s="70">
        <v>4</v>
      </c>
      <c r="FR294" s="70">
        <v>3</v>
      </c>
      <c r="FS294" s="70">
        <v>1</v>
      </c>
      <c r="FT294" s="70">
        <v>2</v>
      </c>
      <c r="FU294" s="70">
        <v>24</v>
      </c>
    </row>
    <row r="295" spans="2:177">
      <c r="B295" s="64" t="s">
        <v>852</v>
      </c>
      <c r="C295" s="64" t="s">
        <v>2098</v>
      </c>
      <c r="D295" s="64">
        <v>275</v>
      </c>
      <c r="E295" s="64">
        <v>492</v>
      </c>
      <c r="F295" s="64">
        <v>931</v>
      </c>
      <c r="G295" s="64">
        <v>1210</v>
      </c>
      <c r="H295" s="64">
        <v>1067</v>
      </c>
      <c r="I295" s="64">
        <v>3975</v>
      </c>
      <c r="K295" s="64" t="s">
        <v>2098</v>
      </c>
      <c r="L295" s="64">
        <v>20</v>
      </c>
      <c r="M295" s="64">
        <v>4</v>
      </c>
      <c r="N295" s="64">
        <v>1</v>
      </c>
      <c r="O295" s="64">
        <v>2</v>
      </c>
      <c r="P295" s="64">
        <v>0</v>
      </c>
      <c r="Q295" s="64">
        <v>27</v>
      </c>
      <c r="AI295" s="463" t="s">
        <v>1114</v>
      </c>
      <c r="AJ295" s="463" t="s">
        <v>2756</v>
      </c>
      <c r="AK295" s="66" t="s">
        <v>2756</v>
      </c>
      <c r="AL295" s="66" t="s">
        <v>2253</v>
      </c>
      <c r="AM295" s="66" t="s">
        <v>324</v>
      </c>
      <c r="AN295" s="66" t="s">
        <v>324</v>
      </c>
      <c r="AO295" s="66" t="s">
        <v>324</v>
      </c>
      <c r="AP295" s="66" t="s">
        <v>324</v>
      </c>
      <c r="AQ295" s="66" t="s">
        <v>324</v>
      </c>
      <c r="AR295" s="66" t="s">
        <v>324</v>
      </c>
      <c r="AS295" s="66"/>
      <c r="AT295" s="66" t="s">
        <v>2253</v>
      </c>
      <c r="AU295" s="66" t="s">
        <v>324</v>
      </c>
      <c r="AV295" s="66" t="s">
        <v>324</v>
      </c>
      <c r="AW295" s="66" t="s">
        <v>324</v>
      </c>
      <c r="AX295" s="66" t="s">
        <v>324</v>
      </c>
      <c r="AY295" s="66" t="s">
        <v>324</v>
      </c>
      <c r="AZ295" s="66" t="s">
        <v>324</v>
      </c>
      <c r="BB295" s="69" t="s">
        <v>1285</v>
      </c>
      <c r="BC295" s="69" t="s">
        <v>25</v>
      </c>
      <c r="BD295" s="69">
        <v>335</v>
      </c>
      <c r="BE295" s="69">
        <v>385</v>
      </c>
      <c r="BF295" s="69">
        <v>606</v>
      </c>
      <c r="BG295" s="69">
        <v>709</v>
      </c>
      <c r="BH295" s="69">
        <v>591</v>
      </c>
      <c r="BI295" s="69">
        <v>2626</v>
      </c>
      <c r="BJ295" s="69"/>
      <c r="BK295" s="69" t="s">
        <v>25</v>
      </c>
      <c r="BL295" s="69">
        <v>43</v>
      </c>
      <c r="BM295" s="69">
        <v>0</v>
      </c>
      <c r="BN295" s="69">
        <v>0</v>
      </c>
      <c r="BO295" s="69">
        <v>0</v>
      </c>
      <c r="BP295" s="69">
        <v>0</v>
      </c>
      <c r="BQ295" s="69">
        <v>43</v>
      </c>
      <c r="BS295" s="21"/>
      <c r="CL295" s="57" t="s">
        <v>569</v>
      </c>
      <c r="CM295" s="57" t="s">
        <v>2253</v>
      </c>
      <c r="CN295" s="57">
        <v>35</v>
      </c>
      <c r="CO295" s="57">
        <v>47</v>
      </c>
      <c r="CP295" s="57">
        <v>97</v>
      </c>
      <c r="CQ295" s="57">
        <v>135</v>
      </c>
      <c r="CR295" s="57">
        <v>148</v>
      </c>
      <c r="CS295" s="57">
        <v>462</v>
      </c>
      <c r="CT295" s="57"/>
      <c r="CU295" s="57" t="s">
        <v>2253</v>
      </c>
      <c r="CV295" s="57">
        <v>1</v>
      </c>
      <c r="CW295" s="57">
        <v>0</v>
      </c>
      <c r="CX295" s="57">
        <v>0</v>
      </c>
      <c r="CY295" s="57">
        <v>0</v>
      </c>
      <c r="CZ295" s="57">
        <v>0</v>
      </c>
      <c r="DA295" s="57">
        <v>1</v>
      </c>
      <c r="FE295" s="16">
        <v>50</v>
      </c>
      <c r="FF295" s="70" t="s">
        <v>1825</v>
      </c>
      <c r="FG295" s="70" t="s">
        <v>2253</v>
      </c>
      <c r="FH295" s="70">
        <v>298</v>
      </c>
      <c r="FI295" s="70">
        <v>401</v>
      </c>
      <c r="FJ295" s="70">
        <v>472</v>
      </c>
      <c r="FK295" s="70">
        <v>541</v>
      </c>
      <c r="FL295" s="70">
        <v>636</v>
      </c>
      <c r="FM295" s="70">
        <v>2348</v>
      </c>
      <c r="FN295" s="70"/>
      <c r="FO295" s="70" t="s">
        <v>2253</v>
      </c>
      <c r="FP295" s="70">
        <v>66</v>
      </c>
      <c r="FQ295" s="70">
        <v>23</v>
      </c>
      <c r="FR295" s="70">
        <v>10</v>
      </c>
      <c r="FS295" s="70">
        <v>9</v>
      </c>
      <c r="FT295" s="70">
        <v>11</v>
      </c>
      <c r="FU295" s="70">
        <v>119</v>
      </c>
    </row>
    <row r="296" spans="2:177">
      <c r="B296" s="64" t="s">
        <v>855</v>
      </c>
      <c r="C296" s="64" t="s">
        <v>2098</v>
      </c>
      <c r="D296" s="64">
        <v>601</v>
      </c>
      <c r="E296" s="64">
        <v>445</v>
      </c>
      <c r="F296" s="64">
        <v>795</v>
      </c>
      <c r="G296" s="64">
        <v>1085</v>
      </c>
      <c r="H296" s="64">
        <v>905</v>
      </c>
      <c r="I296" s="64">
        <v>3831</v>
      </c>
      <c r="K296" s="64" t="s">
        <v>2098</v>
      </c>
      <c r="L296" s="64">
        <v>24</v>
      </c>
      <c r="M296" s="64">
        <v>0</v>
      </c>
      <c r="N296" s="64">
        <v>0</v>
      </c>
      <c r="O296" s="64">
        <v>0</v>
      </c>
      <c r="P296" s="64">
        <v>0</v>
      </c>
      <c r="Q296" s="64">
        <v>24</v>
      </c>
      <c r="AI296" s="463" t="s">
        <v>1114</v>
      </c>
      <c r="AJ296" s="463" t="s">
        <v>2759</v>
      </c>
      <c r="AK296" s="66" t="s">
        <v>2759</v>
      </c>
      <c r="AL296" s="66" t="s">
        <v>2253</v>
      </c>
      <c r="AM296" s="66" t="s">
        <v>324</v>
      </c>
      <c r="AN296" s="66" t="s">
        <v>324</v>
      </c>
      <c r="AO296" s="66" t="s">
        <v>324</v>
      </c>
      <c r="AP296" s="66" t="s">
        <v>324</v>
      </c>
      <c r="AQ296" s="66" t="s">
        <v>324</v>
      </c>
      <c r="AR296" s="66" t="s">
        <v>324</v>
      </c>
      <c r="AS296" s="66"/>
      <c r="AT296" s="66" t="s">
        <v>2253</v>
      </c>
      <c r="AU296" s="66" t="s">
        <v>324</v>
      </c>
      <c r="AV296" s="66" t="s">
        <v>324</v>
      </c>
      <c r="AW296" s="66" t="s">
        <v>324</v>
      </c>
      <c r="AX296" s="66" t="s">
        <v>324</v>
      </c>
      <c r="AY296" s="66" t="s">
        <v>324</v>
      </c>
      <c r="AZ296" s="66" t="s">
        <v>324</v>
      </c>
      <c r="BB296" s="69" t="s">
        <v>1289</v>
      </c>
      <c r="BC296" s="69" t="s">
        <v>25</v>
      </c>
      <c r="BD296" s="69">
        <v>126</v>
      </c>
      <c r="BE296" s="69">
        <v>146</v>
      </c>
      <c r="BF296" s="69">
        <v>293</v>
      </c>
      <c r="BG296" s="69">
        <v>390</v>
      </c>
      <c r="BH296" s="69">
        <v>336</v>
      </c>
      <c r="BI296" s="69">
        <v>1291</v>
      </c>
      <c r="BJ296" s="69"/>
      <c r="BK296" s="69" t="s">
        <v>25</v>
      </c>
      <c r="BL296" s="69">
        <v>32</v>
      </c>
      <c r="BM296" s="69">
        <v>0</v>
      </c>
      <c r="BN296" s="69">
        <v>0</v>
      </c>
      <c r="BO296" s="69">
        <v>0</v>
      </c>
      <c r="BP296" s="69">
        <v>0</v>
      </c>
      <c r="BQ296" s="69">
        <v>32</v>
      </c>
      <c r="BS296" s="21"/>
      <c r="CL296" s="57" t="s">
        <v>571</v>
      </c>
      <c r="CM296" s="57" t="s">
        <v>2253</v>
      </c>
      <c r="CN296" s="57">
        <v>85</v>
      </c>
      <c r="CO296" s="57">
        <v>55</v>
      </c>
      <c r="CP296" s="57">
        <v>77</v>
      </c>
      <c r="CQ296" s="57">
        <v>136</v>
      </c>
      <c r="CR296" s="57">
        <v>132</v>
      </c>
      <c r="CS296" s="57">
        <v>485</v>
      </c>
      <c r="CT296" s="57"/>
      <c r="CU296" s="57" t="s">
        <v>2253</v>
      </c>
      <c r="CV296" s="57">
        <v>26</v>
      </c>
      <c r="CW296" s="57">
        <v>0</v>
      </c>
      <c r="CX296" s="57">
        <v>0</v>
      </c>
      <c r="CY296" s="57">
        <v>0</v>
      </c>
      <c r="CZ296" s="57">
        <v>0</v>
      </c>
      <c r="DA296" s="57">
        <v>26</v>
      </c>
      <c r="FE296" s="16">
        <v>80</v>
      </c>
      <c r="FF296" s="70" t="s">
        <v>1827</v>
      </c>
      <c r="FG296" s="70" t="s">
        <v>2253</v>
      </c>
      <c r="FH296" s="70">
        <v>450</v>
      </c>
      <c r="FI296" s="70">
        <v>538</v>
      </c>
      <c r="FJ296" s="70">
        <v>533</v>
      </c>
      <c r="FK296" s="70">
        <v>638</v>
      </c>
      <c r="FL296" s="70">
        <v>678</v>
      </c>
      <c r="FM296" s="70">
        <v>2837</v>
      </c>
      <c r="FN296" s="70"/>
      <c r="FO296" s="70" t="s">
        <v>2253</v>
      </c>
      <c r="FP296" s="70">
        <v>83</v>
      </c>
      <c r="FQ296" s="70">
        <v>17</v>
      </c>
      <c r="FR296" s="70">
        <v>6</v>
      </c>
      <c r="FS296" s="70">
        <v>5</v>
      </c>
      <c r="FT296" s="70">
        <v>7</v>
      </c>
      <c r="FU296" s="70">
        <v>118</v>
      </c>
    </row>
    <row r="297" spans="2:177">
      <c r="B297" s="64" t="s">
        <v>858</v>
      </c>
      <c r="C297" s="64" t="s">
        <v>2098</v>
      </c>
      <c r="D297" s="64">
        <v>13</v>
      </c>
      <c r="E297" s="64">
        <v>35</v>
      </c>
      <c r="F297" s="64">
        <v>75</v>
      </c>
      <c r="G297" s="64">
        <v>136</v>
      </c>
      <c r="H297" s="64">
        <v>143</v>
      </c>
      <c r="I297" s="64">
        <v>402</v>
      </c>
      <c r="K297" s="64" t="s">
        <v>2098</v>
      </c>
      <c r="L297" s="64">
        <v>2</v>
      </c>
      <c r="M297" s="64">
        <v>0</v>
      </c>
      <c r="N297" s="64">
        <v>0</v>
      </c>
      <c r="O297" s="64">
        <v>0</v>
      </c>
      <c r="P297" s="64">
        <v>0</v>
      </c>
      <c r="Q297" s="64">
        <v>2</v>
      </c>
      <c r="AI297" s="463" t="s">
        <v>1098</v>
      </c>
      <c r="AJ297" s="463" t="s">
        <v>1098</v>
      </c>
      <c r="AK297" s="66" t="s">
        <v>1098</v>
      </c>
      <c r="AL297" s="66" t="s">
        <v>2253</v>
      </c>
      <c r="AM297" s="66">
        <v>400</v>
      </c>
      <c r="AN297" s="66">
        <v>299</v>
      </c>
      <c r="AO297" s="66">
        <v>555</v>
      </c>
      <c r="AP297" s="66">
        <v>763</v>
      </c>
      <c r="AQ297" s="66">
        <v>666</v>
      </c>
      <c r="AR297" s="66">
        <v>2683</v>
      </c>
      <c r="AS297" s="66"/>
      <c r="AT297" s="66" t="s">
        <v>2253</v>
      </c>
      <c r="AU297" s="66">
        <v>38</v>
      </c>
      <c r="AV297" s="66">
        <v>0</v>
      </c>
      <c r="AW297" s="66">
        <v>0</v>
      </c>
      <c r="AX297" s="66">
        <v>0</v>
      </c>
      <c r="AY297" s="66">
        <v>0</v>
      </c>
      <c r="AZ297" s="66">
        <v>38</v>
      </c>
      <c r="BB297" s="69" t="s">
        <v>1292</v>
      </c>
      <c r="BC297" s="69" t="s">
        <v>25</v>
      </c>
      <c r="BD297" s="69">
        <v>457</v>
      </c>
      <c r="BE297" s="69">
        <v>58</v>
      </c>
      <c r="BF297" s="69">
        <v>143</v>
      </c>
      <c r="BG297" s="69">
        <v>174</v>
      </c>
      <c r="BH297" s="69">
        <v>313</v>
      </c>
      <c r="BI297" s="69">
        <v>1145</v>
      </c>
      <c r="BJ297" s="69"/>
      <c r="BK297" s="69" t="s">
        <v>25</v>
      </c>
      <c r="BL297" s="69">
        <v>160</v>
      </c>
      <c r="BM297" s="69">
        <v>0</v>
      </c>
      <c r="BN297" s="69">
        <v>0</v>
      </c>
      <c r="BO297" s="69">
        <v>0</v>
      </c>
      <c r="BP297" s="69">
        <v>0</v>
      </c>
      <c r="BQ297" s="69">
        <v>160</v>
      </c>
      <c r="BS297" s="21"/>
      <c r="CL297" s="57" t="s">
        <v>573</v>
      </c>
      <c r="CM297" s="57" t="s">
        <v>2253</v>
      </c>
      <c r="CN297" s="57">
        <v>24</v>
      </c>
      <c r="CO297" s="57">
        <v>29</v>
      </c>
      <c r="CP297" s="57">
        <v>83</v>
      </c>
      <c r="CQ297" s="57">
        <v>106</v>
      </c>
      <c r="CR297" s="57">
        <v>123</v>
      </c>
      <c r="CS297" s="57">
        <v>365</v>
      </c>
      <c r="CT297" s="57"/>
      <c r="CU297" s="57" t="s">
        <v>2253</v>
      </c>
      <c r="CV297" s="57">
        <v>9</v>
      </c>
      <c r="CW297" s="57">
        <v>0</v>
      </c>
      <c r="CX297" s="57">
        <v>0</v>
      </c>
      <c r="CY297" s="57">
        <v>0</v>
      </c>
      <c r="CZ297" s="57">
        <v>0</v>
      </c>
      <c r="DA297" s="57">
        <v>9</v>
      </c>
      <c r="FE297" s="16">
        <v>30</v>
      </c>
      <c r="FF297" s="70" t="s">
        <v>1828</v>
      </c>
      <c r="FG297" s="70" t="s">
        <v>2253</v>
      </c>
      <c r="FH297" s="70">
        <v>307</v>
      </c>
      <c r="FI297" s="70">
        <v>479</v>
      </c>
      <c r="FJ297" s="70">
        <v>501</v>
      </c>
      <c r="FK297" s="70">
        <v>613</v>
      </c>
      <c r="FL297" s="70">
        <v>630</v>
      </c>
      <c r="FM297" s="70">
        <v>2530</v>
      </c>
      <c r="FN297" s="70"/>
      <c r="FO297" s="70" t="s">
        <v>2253</v>
      </c>
      <c r="FP297" s="70">
        <v>35</v>
      </c>
      <c r="FQ297" s="70">
        <v>6</v>
      </c>
      <c r="FR297" s="70">
        <v>5</v>
      </c>
      <c r="FS297" s="70">
        <v>2</v>
      </c>
      <c r="FT297" s="70">
        <v>6</v>
      </c>
      <c r="FU297" s="70">
        <v>54</v>
      </c>
    </row>
    <row r="298" spans="2:177">
      <c r="B298" s="64" t="s">
        <v>861</v>
      </c>
      <c r="C298" s="64" t="s">
        <v>2098</v>
      </c>
      <c r="D298" s="64">
        <v>53</v>
      </c>
      <c r="E298" s="64">
        <v>126</v>
      </c>
      <c r="F298" s="64">
        <v>203</v>
      </c>
      <c r="G298" s="64">
        <v>346</v>
      </c>
      <c r="H298" s="64">
        <v>266</v>
      </c>
      <c r="I298" s="64">
        <v>994</v>
      </c>
      <c r="K298" s="64" t="s">
        <v>2098</v>
      </c>
      <c r="L298" s="64">
        <v>8</v>
      </c>
      <c r="M298" s="64">
        <v>1</v>
      </c>
      <c r="N298" s="64">
        <v>0</v>
      </c>
      <c r="O298" s="64">
        <v>1</v>
      </c>
      <c r="P298" s="64">
        <v>0</v>
      </c>
      <c r="Q298" s="64">
        <v>10</v>
      </c>
      <c r="AI298" s="463" t="s">
        <v>2113</v>
      </c>
      <c r="AJ298" s="463" t="s">
        <v>2762</v>
      </c>
      <c r="AK298" s="66" t="s">
        <v>2762</v>
      </c>
      <c r="AL298" s="66" t="s">
        <v>2253</v>
      </c>
      <c r="AM298" s="66" t="s">
        <v>324</v>
      </c>
      <c r="AN298" s="66" t="s">
        <v>324</v>
      </c>
      <c r="AO298" s="66" t="s">
        <v>324</v>
      </c>
      <c r="AP298" s="66" t="s">
        <v>324</v>
      </c>
      <c r="AQ298" s="66" t="s">
        <v>324</v>
      </c>
      <c r="AR298" s="66" t="s">
        <v>324</v>
      </c>
      <c r="AS298" s="66"/>
      <c r="AT298" s="66" t="s">
        <v>2253</v>
      </c>
      <c r="AU298" s="66" t="s">
        <v>324</v>
      </c>
      <c r="AV298" s="66" t="s">
        <v>324</v>
      </c>
      <c r="AW298" s="66" t="s">
        <v>324</v>
      </c>
      <c r="AX298" s="66" t="s">
        <v>324</v>
      </c>
      <c r="AY298" s="66" t="s">
        <v>324</v>
      </c>
      <c r="AZ298" s="66" t="s">
        <v>324</v>
      </c>
      <c r="BB298" s="69" t="s">
        <v>439</v>
      </c>
      <c r="BC298" s="69" t="s">
        <v>25</v>
      </c>
      <c r="BD298" s="69">
        <v>72</v>
      </c>
      <c r="BE298" s="69">
        <v>30</v>
      </c>
      <c r="BF298" s="69">
        <v>48</v>
      </c>
      <c r="BG298" s="69">
        <v>63</v>
      </c>
      <c r="BH298" s="69">
        <v>131</v>
      </c>
      <c r="BI298" s="69">
        <v>344</v>
      </c>
      <c r="BJ298" s="69"/>
      <c r="BK298" s="69" t="s">
        <v>25</v>
      </c>
      <c r="BL298" s="69">
        <v>41</v>
      </c>
      <c r="BM298" s="69">
        <v>0</v>
      </c>
      <c r="BN298" s="69">
        <v>0</v>
      </c>
      <c r="BO298" s="69">
        <v>0</v>
      </c>
      <c r="BP298" s="69">
        <v>0</v>
      </c>
      <c r="BQ298" s="69">
        <v>41</v>
      </c>
      <c r="BS298" s="21"/>
      <c r="CL298" s="57" t="s">
        <v>486</v>
      </c>
      <c r="CM298" s="57" t="s">
        <v>2253</v>
      </c>
      <c r="CN298" s="57">
        <v>46</v>
      </c>
      <c r="CO298" s="57">
        <v>37</v>
      </c>
      <c r="CP298" s="57">
        <v>51</v>
      </c>
      <c r="CQ298" s="57">
        <v>74</v>
      </c>
      <c r="CR298" s="57">
        <v>99</v>
      </c>
      <c r="CS298" s="57">
        <v>307</v>
      </c>
      <c r="CT298" s="57"/>
      <c r="CU298" s="57" t="s">
        <v>2253</v>
      </c>
      <c r="CV298" s="57">
        <v>15</v>
      </c>
      <c r="CW298" s="57">
        <v>0</v>
      </c>
      <c r="CX298" s="57">
        <v>0</v>
      </c>
      <c r="CY298" s="57">
        <v>0</v>
      </c>
      <c r="CZ298" s="57">
        <v>0</v>
      </c>
      <c r="DA298" s="57">
        <v>15</v>
      </c>
      <c r="FE298" s="16">
        <v>40</v>
      </c>
      <c r="FF298" s="70" t="s">
        <v>2208</v>
      </c>
      <c r="FG298" s="70" t="s">
        <v>2253</v>
      </c>
      <c r="FH298" s="70">
        <v>128</v>
      </c>
      <c r="FI298" s="70">
        <v>169</v>
      </c>
      <c r="FJ298" s="70">
        <v>200</v>
      </c>
      <c r="FK298" s="70">
        <v>215</v>
      </c>
      <c r="FL298" s="70">
        <v>246</v>
      </c>
      <c r="FM298" s="70">
        <v>958</v>
      </c>
      <c r="FN298" s="70"/>
      <c r="FO298" s="70" t="s">
        <v>2253</v>
      </c>
      <c r="FP298" s="70">
        <v>20</v>
      </c>
      <c r="FQ298" s="70">
        <v>8</v>
      </c>
      <c r="FR298" s="70">
        <v>4</v>
      </c>
      <c r="FS298" s="70">
        <v>2</v>
      </c>
      <c r="FT298" s="70">
        <v>0</v>
      </c>
      <c r="FU298" s="70">
        <v>34</v>
      </c>
    </row>
    <row r="299" spans="2:177">
      <c r="B299" s="64" t="s">
        <v>864</v>
      </c>
      <c r="C299" s="64" t="s">
        <v>2098</v>
      </c>
      <c r="D299" s="64">
        <v>6</v>
      </c>
      <c r="E299" s="64">
        <v>23</v>
      </c>
      <c r="F299" s="64">
        <v>31</v>
      </c>
      <c r="G299" s="64">
        <v>49</v>
      </c>
      <c r="H299" s="64">
        <v>52</v>
      </c>
      <c r="I299" s="64">
        <v>161</v>
      </c>
      <c r="K299" s="64" t="s">
        <v>2098</v>
      </c>
      <c r="L299" s="64">
        <v>2</v>
      </c>
      <c r="M299" s="64">
        <v>0</v>
      </c>
      <c r="N299" s="64">
        <v>0</v>
      </c>
      <c r="O299" s="64">
        <v>0</v>
      </c>
      <c r="P299" s="64">
        <v>0</v>
      </c>
      <c r="Q299" s="64">
        <v>2</v>
      </c>
      <c r="AI299" s="463" t="s">
        <v>1101</v>
      </c>
      <c r="AJ299" s="463" t="s">
        <v>1101</v>
      </c>
      <c r="AK299" s="66" t="s">
        <v>1101</v>
      </c>
      <c r="AL299" s="66" t="s">
        <v>2253</v>
      </c>
      <c r="AM299" s="66">
        <v>199</v>
      </c>
      <c r="AN299" s="66">
        <v>290</v>
      </c>
      <c r="AO299" s="66">
        <v>358</v>
      </c>
      <c r="AP299" s="66">
        <v>445</v>
      </c>
      <c r="AQ299" s="66">
        <v>446</v>
      </c>
      <c r="AR299" s="66">
        <v>1738</v>
      </c>
      <c r="AS299" s="66"/>
      <c r="AT299" s="66" t="s">
        <v>2253</v>
      </c>
      <c r="AU299" s="66">
        <v>53</v>
      </c>
      <c r="AV299" s="66">
        <v>0</v>
      </c>
      <c r="AW299" s="66">
        <v>2</v>
      </c>
      <c r="AX299" s="66">
        <v>0</v>
      </c>
      <c r="AY299" s="66">
        <v>0</v>
      </c>
      <c r="AZ299" s="66">
        <v>55</v>
      </c>
      <c r="BB299" s="69" t="s">
        <v>1300</v>
      </c>
      <c r="BC299" s="69" t="s">
        <v>25</v>
      </c>
      <c r="BD299" s="69">
        <v>876</v>
      </c>
      <c r="BE299" s="69">
        <v>704</v>
      </c>
      <c r="BF299" s="69">
        <v>958</v>
      </c>
      <c r="BG299" s="69">
        <v>936</v>
      </c>
      <c r="BH299" s="69">
        <v>745</v>
      </c>
      <c r="BI299" s="69">
        <v>4219</v>
      </c>
      <c r="BJ299" s="69"/>
      <c r="BK299" s="69" t="s">
        <v>25</v>
      </c>
      <c r="BL299" s="69">
        <v>214</v>
      </c>
      <c r="BM299" s="69">
        <v>0</v>
      </c>
      <c r="BN299" s="69">
        <v>0</v>
      </c>
      <c r="BO299" s="69">
        <v>0</v>
      </c>
      <c r="BP299" s="69">
        <v>0</v>
      </c>
      <c r="BQ299" s="69">
        <v>214</v>
      </c>
      <c r="BS299" s="21"/>
      <c r="CL299" s="57" t="s">
        <v>534</v>
      </c>
      <c r="CM299" s="57" t="s">
        <v>2253</v>
      </c>
      <c r="CN299" s="57">
        <v>237</v>
      </c>
      <c r="CO299" s="57">
        <v>93</v>
      </c>
      <c r="CP299" s="57">
        <v>149</v>
      </c>
      <c r="CQ299" s="57">
        <v>244</v>
      </c>
      <c r="CR299" s="57">
        <v>288</v>
      </c>
      <c r="CS299" s="57">
        <v>1011</v>
      </c>
      <c r="CT299" s="57"/>
      <c r="CU299" s="57" t="s">
        <v>2253</v>
      </c>
      <c r="CV299" s="57">
        <v>61</v>
      </c>
      <c r="CW299" s="57">
        <v>1</v>
      </c>
      <c r="CX299" s="57">
        <v>0</v>
      </c>
      <c r="CY299" s="57">
        <v>0</v>
      </c>
      <c r="CZ299" s="57">
        <v>0</v>
      </c>
      <c r="DA299" s="57">
        <v>62</v>
      </c>
      <c r="FE299" s="16">
        <v>410</v>
      </c>
      <c r="FF299" s="70" t="s">
        <v>1829</v>
      </c>
      <c r="FG299" s="70" t="s">
        <v>2253</v>
      </c>
      <c r="FH299" s="70">
        <v>2046</v>
      </c>
      <c r="FI299" s="70">
        <v>972</v>
      </c>
      <c r="FJ299" s="70">
        <v>772</v>
      </c>
      <c r="FK299" s="70">
        <v>686</v>
      </c>
      <c r="FL299" s="70">
        <v>726</v>
      </c>
      <c r="FM299" s="70">
        <v>5202</v>
      </c>
      <c r="FN299" s="70"/>
      <c r="FO299" s="70" t="s">
        <v>2253</v>
      </c>
      <c r="FP299" s="70">
        <v>390</v>
      </c>
      <c r="FQ299" s="70">
        <v>0</v>
      </c>
      <c r="FR299" s="70">
        <v>0</v>
      </c>
      <c r="FS299" s="70">
        <v>0</v>
      </c>
      <c r="FT299" s="70">
        <v>0</v>
      </c>
      <c r="FU299" s="70">
        <v>390</v>
      </c>
    </row>
    <row r="300" spans="2:177">
      <c r="B300" s="64" t="s">
        <v>869</v>
      </c>
      <c r="C300" s="64" t="s">
        <v>2098</v>
      </c>
      <c r="D300" s="64">
        <v>478</v>
      </c>
      <c r="E300" s="64">
        <v>462</v>
      </c>
      <c r="F300" s="64">
        <v>526</v>
      </c>
      <c r="G300" s="64">
        <v>565</v>
      </c>
      <c r="H300" s="64">
        <v>377</v>
      </c>
      <c r="I300" s="64">
        <v>2408</v>
      </c>
      <c r="K300" s="64" t="s">
        <v>2098</v>
      </c>
      <c r="L300" s="64">
        <v>91</v>
      </c>
      <c r="M300" s="64">
        <v>0</v>
      </c>
      <c r="N300" s="64">
        <v>0</v>
      </c>
      <c r="O300" s="64">
        <v>0</v>
      </c>
      <c r="P300" s="64">
        <v>0</v>
      </c>
      <c r="Q300" s="64">
        <v>91</v>
      </c>
      <c r="AI300" s="463" t="s">
        <v>1104</v>
      </c>
      <c r="AJ300" s="463" t="s">
        <v>1104</v>
      </c>
      <c r="AK300" s="66" t="s">
        <v>1104</v>
      </c>
      <c r="AL300" s="66" t="s">
        <v>2253</v>
      </c>
      <c r="AM300" s="66">
        <v>1086</v>
      </c>
      <c r="AN300" s="66">
        <v>762</v>
      </c>
      <c r="AO300" s="66">
        <v>1047</v>
      </c>
      <c r="AP300" s="66">
        <v>1246</v>
      </c>
      <c r="AQ300" s="66">
        <v>983</v>
      </c>
      <c r="AR300" s="66">
        <v>5124</v>
      </c>
      <c r="AS300" s="66"/>
      <c r="AT300" s="66" t="s">
        <v>2253</v>
      </c>
      <c r="AU300" s="66">
        <v>75</v>
      </c>
      <c r="AV300" s="66">
        <v>0</v>
      </c>
      <c r="AW300" s="66">
        <v>0</v>
      </c>
      <c r="AX300" s="66">
        <v>0</v>
      </c>
      <c r="AY300" s="66">
        <v>0</v>
      </c>
      <c r="AZ300" s="66">
        <v>75</v>
      </c>
      <c r="BB300" s="69" t="s">
        <v>1303</v>
      </c>
      <c r="BC300" s="69" t="s">
        <v>25</v>
      </c>
      <c r="BD300" s="69">
        <v>242</v>
      </c>
      <c r="BE300" s="69">
        <v>189</v>
      </c>
      <c r="BF300" s="69">
        <v>433</v>
      </c>
      <c r="BG300" s="69">
        <v>495</v>
      </c>
      <c r="BH300" s="69">
        <v>472</v>
      </c>
      <c r="BI300" s="69">
        <v>1831</v>
      </c>
      <c r="BJ300" s="69"/>
      <c r="BK300" s="69" t="s">
        <v>25</v>
      </c>
      <c r="BL300" s="69">
        <v>56</v>
      </c>
      <c r="BM300" s="69">
        <v>0</v>
      </c>
      <c r="BN300" s="69">
        <v>0</v>
      </c>
      <c r="BO300" s="69">
        <v>0</v>
      </c>
      <c r="BP300" s="69">
        <v>0</v>
      </c>
      <c r="BQ300" s="69">
        <v>56</v>
      </c>
      <c r="BT300" s="21"/>
      <c r="CL300" s="57" t="s">
        <v>367</v>
      </c>
      <c r="CM300" s="57" t="s">
        <v>2253</v>
      </c>
      <c r="CN300" s="57">
        <v>63</v>
      </c>
      <c r="CO300" s="57">
        <v>104</v>
      </c>
      <c r="CP300" s="57">
        <v>186</v>
      </c>
      <c r="CQ300" s="57">
        <v>218</v>
      </c>
      <c r="CR300" s="57">
        <v>219</v>
      </c>
      <c r="CS300" s="57">
        <v>790</v>
      </c>
      <c r="CT300" s="57"/>
      <c r="CU300" s="57" t="s">
        <v>2253</v>
      </c>
      <c r="CV300" s="57">
        <v>4</v>
      </c>
      <c r="CW300" s="57">
        <v>0</v>
      </c>
      <c r="CX300" s="57">
        <v>0</v>
      </c>
      <c r="CY300" s="57">
        <v>0</v>
      </c>
      <c r="CZ300" s="57">
        <v>0</v>
      </c>
      <c r="DA300" s="57">
        <v>4</v>
      </c>
      <c r="FE300" s="16">
        <v>130</v>
      </c>
      <c r="FF300" s="70" t="s">
        <v>1831</v>
      </c>
      <c r="FG300" s="70" t="s">
        <v>2253</v>
      </c>
      <c r="FH300" s="70">
        <v>1029</v>
      </c>
      <c r="FI300" s="70">
        <v>1076</v>
      </c>
      <c r="FJ300" s="70">
        <v>690</v>
      </c>
      <c r="FK300" s="70">
        <v>560</v>
      </c>
      <c r="FL300" s="70">
        <v>557</v>
      </c>
      <c r="FM300" s="70">
        <v>3912</v>
      </c>
      <c r="FN300" s="70"/>
      <c r="FO300" s="70" t="s">
        <v>2253</v>
      </c>
      <c r="FP300" s="70">
        <v>135</v>
      </c>
      <c r="FQ300" s="70">
        <v>0</v>
      </c>
      <c r="FR300" s="70">
        <v>0</v>
      </c>
      <c r="FS300" s="70">
        <v>0</v>
      </c>
      <c r="FT300" s="70">
        <v>0</v>
      </c>
      <c r="FU300" s="70">
        <v>135</v>
      </c>
    </row>
    <row r="301" spans="2:177">
      <c r="B301" s="64" t="s">
        <v>874</v>
      </c>
      <c r="C301" s="64" t="s">
        <v>2098</v>
      </c>
      <c r="D301" s="64">
        <v>321</v>
      </c>
      <c r="E301" s="64">
        <v>437</v>
      </c>
      <c r="F301" s="64">
        <v>410</v>
      </c>
      <c r="G301" s="64">
        <v>423</v>
      </c>
      <c r="H301" s="64">
        <v>300</v>
      </c>
      <c r="I301" s="64">
        <v>1891</v>
      </c>
      <c r="K301" s="64" t="s">
        <v>2098</v>
      </c>
      <c r="L301" s="64">
        <v>50</v>
      </c>
      <c r="M301" s="64">
        <v>4</v>
      </c>
      <c r="N301" s="64">
        <v>2</v>
      </c>
      <c r="O301" s="64">
        <v>0</v>
      </c>
      <c r="P301" s="64">
        <v>0</v>
      </c>
      <c r="Q301" s="64">
        <v>56</v>
      </c>
      <c r="AI301" s="463" t="s">
        <v>1110</v>
      </c>
      <c r="AJ301" s="463" t="s">
        <v>1110</v>
      </c>
      <c r="AK301" s="66" t="s">
        <v>1110</v>
      </c>
      <c r="AL301" s="66" t="s">
        <v>2253</v>
      </c>
      <c r="AM301" s="66">
        <v>280</v>
      </c>
      <c r="AN301" s="66">
        <v>392</v>
      </c>
      <c r="AO301" s="66">
        <v>512</v>
      </c>
      <c r="AP301" s="66">
        <v>564</v>
      </c>
      <c r="AQ301" s="66">
        <v>359</v>
      </c>
      <c r="AR301" s="66">
        <v>2107</v>
      </c>
      <c r="AS301" s="66"/>
      <c r="AT301" s="66" t="s">
        <v>2253</v>
      </c>
      <c r="AU301" s="66">
        <v>19</v>
      </c>
      <c r="AV301" s="66">
        <v>3</v>
      </c>
      <c r="AW301" s="66">
        <v>0</v>
      </c>
      <c r="AX301" s="66">
        <v>1</v>
      </c>
      <c r="AY301" s="66">
        <v>0</v>
      </c>
      <c r="AZ301" s="66">
        <v>23</v>
      </c>
      <c r="BB301" s="69" t="s">
        <v>1306</v>
      </c>
      <c r="BC301" s="69" t="s">
        <v>25</v>
      </c>
      <c r="BD301" s="69">
        <v>167</v>
      </c>
      <c r="BE301" s="69">
        <v>280</v>
      </c>
      <c r="BF301" s="69">
        <v>524</v>
      </c>
      <c r="BG301" s="69">
        <v>778</v>
      </c>
      <c r="BH301" s="69">
        <v>667</v>
      </c>
      <c r="BI301" s="69">
        <v>2416</v>
      </c>
      <c r="BJ301" s="69"/>
      <c r="BK301" s="69" t="s">
        <v>25</v>
      </c>
      <c r="BL301" s="69">
        <v>20</v>
      </c>
      <c r="BM301" s="69">
        <v>0</v>
      </c>
      <c r="BN301" s="69">
        <v>0</v>
      </c>
      <c r="BO301" s="69">
        <v>0</v>
      </c>
      <c r="BP301" s="69">
        <v>0</v>
      </c>
      <c r="BQ301" s="69">
        <v>20</v>
      </c>
      <c r="BT301" s="21"/>
      <c r="CL301" s="57" t="s">
        <v>506</v>
      </c>
      <c r="CM301" s="57" t="s">
        <v>2253</v>
      </c>
      <c r="CN301" s="57">
        <v>482</v>
      </c>
      <c r="CO301" s="57">
        <v>94</v>
      </c>
      <c r="CP301" s="57">
        <v>169</v>
      </c>
      <c r="CQ301" s="57">
        <v>238</v>
      </c>
      <c r="CR301" s="57">
        <v>477</v>
      </c>
      <c r="CS301" s="57">
        <v>1460</v>
      </c>
      <c r="CT301" s="57"/>
      <c r="CU301" s="57" t="s">
        <v>2253</v>
      </c>
      <c r="CV301" s="57">
        <v>155</v>
      </c>
      <c r="CW301" s="57">
        <v>0</v>
      </c>
      <c r="CX301" s="57">
        <v>0</v>
      </c>
      <c r="CY301" s="57">
        <v>0</v>
      </c>
      <c r="CZ301" s="57">
        <v>0</v>
      </c>
      <c r="DA301" s="57">
        <v>155</v>
      </c>
      <c r="FE301" s="16">
        <v>55</v>
      </c>
      <c r="FF301" s="70" t="s">
        <v>1833</v>
      </c>
      <c r="FG301" s="70" t="s">
        <v>2253</v>
      </c>
      <c r="FH301" s="70">
        <v>295</v>
      </c>
      <c r="FI301" s="70">
        <v>317</v>
      </c>
      <c r="FJ301" s="70">
        <v>538</v>
      </c>
      <c r="FK301" s="70">
        <v>591</v>
      </c>
      <c r="FL301" s="70">
        <v>586</v>
      </c>
      <c r="FM301" s="70">
        <v>2327</v>
      </c>
      <c r="FN301" s="70"/>
      <c r="FO301" s="70" t="s">
        <v>2253</v>
      </c>
      <c r="FP301" s="70">
        <v>50</v>
      </c>
      <c r="FQ301" s="70">
        <v>0</v>
      </c>
      <c r="FR301" s="70">
        <v>0</v>
      </c>
      <c r="FS301" s="70">
        <v>0</v>
      </c>
      <c r="FT301" s="70">
        <v>0</v>
      </c>
      <c r="FU301" s="70">
        <v>50</v>
      </c>
    </row>
    <row r="302" spans="2:177">
      <c r="B302" s="64" t="s">
        <v>878</v>
      </c>
      <c r="C302" s="64" t="s">
        <v>2098</v>
      </c>
      <c r="D302" s="64">
        <v>862</v>
      </c>
      <c r="E302" s="64">
        <v>798</v>
      </c>
      <c r="F302" s="64">
        <v>785</v>
      </c>
      <c r="G302" s="64">
        <v>757</v>
      </c>
      <c r="H302" s="64">
        <v>509</v>
      </c>
      <c r="I302" s="64">
        <v>3711</v>
      </c>
      <c r="K302" s="64" t="s">
        <v>2098</v>
      </c>
      <c r="L302" s="64">
        <v>78</v>
      </c>
      <c r="M302" s="64">
        <v>12</v>
      </c>
      <c r="N302" s="64">
        <v>1</v>
      </c>
      <c r="O302" s="64">
        <v>0</v>
      </c>
      <c r="P302" s="64">
        <v>0</v>
      </c>
      <c r="Q302" s="64">
        <v>91</v>
      </c>
      <c r="AI302" s="463" t="s">
        <v>1117</v>
      </c>
      <c r="AJ302" s="463" t="s">
        <v>1117</v>
      </c>
      <c r="AK302" s="66" t="s">
        <v>1117</v>
      </c>
      <c r="AL302" s="66" t="s">
        <v>2253</v>
      </c>
      <c r="AM302" s="66">
        <v>482</v>
      </c>
      <c r="AN302" s="66">
        <v>593</v>
      </c>
      <c r="AO302" s="66">
        <v>766</v>
      </c>
      <c r="AP302" s="66">
        <v>816</v>
      </c>
      <c r="AQ302" s="66">
        <v>652</v>
      </c>
      <c r="AR302" s="66">
        <v>3309</v>
      </c>
      <c r="AS302" s="66"/>
      <c r="AT302" s="66" t="s">
        <v>2253</v>
      </c>
      <c r="AU302" s="66">
        <v>58</v>
      </c>
      <c r="AV302" s="66">
        <v>0</v>
      </c>
      <c r="AW302" s="66">
        <v>0</v>
      </c>
      <c r="AX302" s="66">
        <v>0</v>
      </c>
      <c r="AY302" s="66">
        <v>0</v>
      </c>
      <c r="AZ302" s="66">
        <v>58</v>
      </c>
      <c r="BB302" s="69" t="s">
        <v>1309</v>
      </c>
      <c r="BC302" s="69" t="s">
        <v>25</v>
      </c>
      <c r="BD302" s="69">
        <v>156</v>
      </c>
      <c r="BE302" s="69">
        <v>135</v>
      </c>
      <c r="BF302" s="69">
        <v>289</v>
      </c>
      <c r="BG302" s="69">
        <v>412</v>
      </c>
      <c r="BH302" s="69">
        <v>387</v>
      </c>
      <c r="BI302" s="69">
        <v>1379</v>
      </c>
      <c r="BJ302" s="69"/>
      <c r="BK302" s="69" t="s">
        <v>25</v>
      </c>
      <c r="BL302" s="69">
        <v>19</v>
      </c>
      <c r="BM302" s="69">
        <v>0</v>
      </c>
      <c r="BN302" s="69">
        <v>0</v>
      </c>
      <c r="BO302" s="69">
        <v>0</v>
      </c>
      <c r="BP302" s="69">
        <v>0</v>
      </c>
      <c r="BQ302" s="69">
        <v>19</v>
      </c>
      <c r="BT302" s="21"/>
      <c r="CL302" s="57" t="s">
        <v>368</v>
      </c>
      <c r="CM302" s="57" t="s">
        <v>2253</v>
      </c>
      <c r="CN302" s="57">
        <v>769</v>
      </c>
      <c r="CO302" s="57">
        <v>655</v>
      </c>
      <c r="CP302" s="57">
        <v>845</v>
      </c>
      <c r="CQ302" s="57">
        <v>883</v>
      </c>
      <c r="CR302" s="57">
        <v>808</v>
      </c>
      <c r="CS302" s="57">
        <v>3960</v>
      </c>
      <c r="CT302" s="57"/>
      <c r="CU302" s="57" t="s">
        <v>2253</v>
      </c>
      <c r="CV302" s="57">
        <v>189</v>
      </c>
      <c r="CW302" s="57">
        <v>0</v>
      </c>
      <c r="CX302" s="57">
        <v>0</v>
      </c>
      <c r="CY302" s="57">
        <v>0</v>
      </c>
      <c r="CZ302" s="57">
        <v>0</v>
      </c>
      <c r="DA302" s="57">
        <v>189</v>
      </c>
      <c r="FE302" s="16">
        <v>80</v>
      </c>
      <c r="FF302" s="70" t="s">
        <v>1834</v>
      </c>
      <c r="FG302" s="70" t="s">
        <v>2253</v>
      </c>
      <c r="FH302" s="70">
        <v>306</v>
      </c>
      <c r="FI302" s="70">
        <v>306</v>
      </c>
      <c r="FJ302" s="70">
        <v>274</v>
      </c>
      <c r="FK302" s="70">
        <v>298</v>
      </c>
      <c r="FL302" s="70">
        <v>324</v>
      </c>
      <c r="FM302" s="70">
        <v>1508</v>
      </c>
      <c r="FN302" s="70"/>
      <c r="FO302" s="70" t="s">
        <v>2253</v>
      </c>
      <c r="FP302" s="70">
        <v>87</v>
      </c>
      <c r="FQ302" s="70">
        <v>3</v>
      </c>
      <c r="FR302" s="70">
        <v>0</v>
      </c>
      <c r="FS302" s="70">
        <v>0</v>
      </c>
      <c r="FT302" s="70">
        <v>0</v>
      </c>
      <c r="FU302" s="70">
        <v>90</v>
      </c>
    </row>
    <row r="303" spans="2:177">
      <c r="B303" s="64" t="s">
        <v>882</v>
      </c>
      <c r="C303" s="64" t="s">
        <v>2098</v>
      </c>
      <c r="D303" s="64">
        <v>642</v>
      </c>
      <c r="E303" s="64">
        <v>552</v>
      </c>
      <c r="F303" s="64">
        <v>613</v>
      </c>
      <c r="G303" s="64">
        <v>664</v>
      </c>
      <c r="H303" s="64">
        <v>449</v>
      </c>
      <c r="I303" s="64">
        <v>2920</v>
      </c>
      <c r="K303" s="64" t="s">
        <v>2098</v>
      </c>
      <c r="L303" s="64">
        <v>106</v>
      </c>
      <c r="M303" s="64">
        <v>14</v>
      </c>
      <c r="N303" s="64">
        <v>5</v>
      </c>
      <c r="O303" s="64">
        <v>2</v>
      </c>
      <c r="P303" s="64">
        <v>0</v>
      </c>
      <c r="Q303" s="64">
        <v>127</v>
      </c>
      <c r="AI303" s="463" t="s">
        <v>1074</v>
      </c>
      <c r="AJ303" s="463" t="s">
        <v>1936</v>
      </c>
      <c r="AK303" s="66" t="s">
        <v>1936</v>
      </c>
      <c r="AL303" s="66" t="s">
        <v>2253</v>
      </c>
      <c r="AM303" s="66" t="s">
        <v>324</v>
      </c>
      <c r="AN303" s="66" t="s">
        <v>324</v>
      </c>
      <c r="AO303" s="66" t="s">
        <v>324</v>
      </c>
      <c r="AP303" s="66" t="s">
        <v>324</v>
      </c>
      <c r="AQ303" s="66" t="s">
        <v>324</v>
      </c>
      <c r="AR303" s="66" t="s">
        <v>324</v>
      </c>
      <c r="AS303" s="66"/>
      <c r="AT303" s="66" t="s">
        <v>2253</v>
      </c>
      <c r="AU303" s="66" t="s">
        <v>324</v>
      </c>
      <c r="AV303" s="66" t="s">
        <v>324</v>
      </c>
      <c r="AW303" s="66" t="s">
        <v>324</v>
      </c>
      <c r="AX303" s="66" t="s">
        <v>324</v>
      </c>
      <c r="AY303" s="66" t="s">
        <v>324</v>
      </c>
      <c r="AZ303" s="66" t="s">
        <v>324</v>
      </c>
      <c r="BB303" s="69" t="s">
        <v>1312</v>
      </c>
      <c r="BC303" s="69" t="s">
        <v>25</v>
      </c>
      <c r="BD303" s="69">
        <v>148</v>
      </c>
      <c r="BE303" s="69">
        <v>208</v>
      </c>
      <c r="BF303" s="69">
        <v>409</v>
      </c>
      <c r="BG303" s="69">
        <v>556</v>
      </c>
      <c r="BH303" s="69">
        <v>449</v>
      </c>
      <c r="BI303" s="69">
        <v>1770</v>
      </c>
      <c r="BJ303" s="69"/>
      <c r="BK303" s="69" t="s">
        <v>25</v>
      </c>
      <c r="BL303" s="69">
        <v>18</v>
      </c>
      <c r="BM303" s="69">
        <v>0</v>
      </c>
      <c r="BN303" s="69">
        <v>0</v>
      </c>
      <c r="BO303" s="69">
        <v>0</v>
      </c>
      <c r="BP303" s="69">
        <v>0</v>
      </c>
      <c r="BQ303" s="69">
        <v>18</v>
      </c>
      <c r="BT303" s="21"/>
      <c r="CL303" s="57" t="s">
        <v>369</v>
      </c>
      <c r="CM303" s="57" t="s">
        <v>2253</v>
      </c>
      <c r="CN303" s="57">
        <v>166</v>
      </c>
      <c r="CO303" s="57">
        <v>132</v>
      </c>
      <c r="CP303" s="57">
        <v>258</v>
      </c>
      <c r="CQ303" s="57">
        <v>392</v>
      </c>
      <c r="CR303" s="57">
        <v>384</v>
      </c>
      <c r="CS303" s="57">
        <v>1332</v>
      </c>
      <c r="CT303" s="57"/>
      <c r="CU303" s="57" t="s">
        <v>2253</v>
      </c>
      <c r="CV303" s="57">
        <v>22</v>
      </c>
      <c r="CW303" s="57">
        <v>0</v>
      </c>
      <c r="CX303" s="57">
        <v>0</v>
      </c>
      <c r="CY303" s="57">
        <v>0</v>
      </c>
      <c r="CZ303" s="57">
        <v>0</v>
      </c>
      <c r="DA303" s="57">
        <v>22</v>
      </c>
      <c r="FE303" s="16">
        <v>60</v>
      </c>
      <c r="FF303" s="70" t="s">
        <v>598</v>
      </c>
      <c r="FG303" s="70" t="s">
        <v>2253</v>
      </c>
      <c r="FH303" s="70">
        <v>432</v>
      </c>
      <c r="FI303" s="70">
        <v>641</v>
      </c>
      <c r="FJ303" s="70">
        <v>558</v>
      </c>
      <c r="FK303" s="70">
        <v>529</v>
      </c>
      <c r="FL303" s="70">
        <v>527</v>
      </c>
      <c r="FM303" s="70">
        <v>2687</v>
      </c>
      <c r="FN303" s="70"/>
      <c r="FO303" s="70" t="s">
        <v>2253</v>
      </c>
      <c r="FP303" s="70">
        <v>63</v>
      </c>
      <c r="FQ303" s="70">
        <v>0</v>
      </c>
      <c r="FR303" s="70">
        <v>0</v>
      </c>
      <c r="FS303" s="70">
        <v>0</v>
      </c>
      <c r="FT303" s="70">
        <v>0</v>
      </c>
      <c r="FU303" s="70">
        <v>63</v>
      </c>
    </row>
    <row r="304" spans="2:177">
      <c r="B304" s="64" t="s">
        <v>889</v>
      </c>
      <c r="C304" s="64" t="s">
        <v>2098</v>
      </c>
      <c r="D304" s="64">
        <v>156</v>
      </c>
      <c r="E304" s="64">
        <v>244</v>
      </c>
      <c r="F304" s="64">
        <v>320</v>
      </c>
      <c r="G304" s="64">
        <v>343</v>
      </c>
      <c r="H304" s="64">
        <v>287</v>
      </c>
      <c r="I304" s="64">
        <v>1350</v>
      </c>
      <c r="K304" s="64" t="s">
        <v>2098</v>
      </c>
      <c r="L304" s="64">
        <v>20</v>
      </c>
      <c r="M304" s="64">
        <v>5</v>
      </c>
      <c r="N304" s="64">
        <v>3</v>
      </c>
      <c r="O304" s="64">
        <v>1</v>
      </c>
      <c r="P304" s="64">
        <v>1</v>
      </c>
      <c r="Q304" s="64">
        <v>30</v>
      </c>
      <c r="AI304" s="463" t="s">
        <v>1120</v>
      </c>
      <c r="AJ304" s="463" t="s">
        <v>1120</v>
      </c>
      <c r="AK304" s="66" t="s">
        <v>1120</v>
      </c>
      <c r="AL304" s="66" t="s">
        <v>2253</v>
      </c>
      <c r="AM304" s="66">
        <v>313</v>
      </c>
      <c r="AN304" s="66">
        <v>244</v>
      </c>
      <c r="AO304" s="66">
        <v>395</v>
      </c>
      <c r="AP304" s="66">
        <v>562</v>
      </c>
      <c r="AQ304" s="66">
        <v>500</v>
      </c>
      <c r="AR304" s="66">
        <v>2014</v>
      </c>
      <c r="AS304" s="66"/>
      <c r="AT304" s="66" t="s">
        <v>2253</v>
      </c>
      <c r="AU304" s="66">
        <v>54</v>
      </c>
      <c r="AV304" s="66">
        <v>2</v>
      </c>
      <c r="AW304" s="66">
        <v>0</v>
      </c>
      <c r="AX304" s="66">
        <v>0</v>
      </c>
      <c r="AY304" s="66">
        <v>0</v>
      </c>
      <c r="AZ304" s="66">
        <v>56</v>
      </c>
      <c r="BB304" s="69" t="s">
        <v>1315</v>
      </c>
      <c r="BC304" s="69" t="s">
        <v>25</v>
      </c>
      <c r="BD304" s="69">
        <v>1508</v>
      </c>
      <c r="BE304" s="69">
        <v>842</v>
      </c>
      <c r="BF304" s="69">
        <v>965</v>
      </c>
      <c r="BG304" s="69">
        <v>1020</v>
      </c>
      <c r="BH304" s="69">
        <v>757</v>
      </c>
      <c r="BI304" s="69">
        <v>5092</v>
      </c>
      <c r="BJ304" s="69"/>
      <c r="BK304" s="69" t="s">
        <v>25</v>
      </c>
      <c r="BL304" s="69">
        <v>417</v>
      </c>
      <c r="BM304" s="69">
        <v>4</v>
      </c>
      <c r="BN304" s="69">
        <v>0</v>
      </c>
      <c r="BO304" s="69">
        <v>0</v>
      </c>
      <c r="BP304" s="69">
        <v>0</v>
      </c>
      <c r="BQ304" s="69">
        <v>421</v>
      </c>
      <c r="BT304" s="21"/>
      <c r="CL304" s="57" t="s">
        <v>540</v>
      </c>
      <c r="CM304" s="57" t="s">
        <v>2253</v>
      </c>
      <c r="CN304" s="57">
        <v>121</v>
      </c>
      <c r="CO304" s="57">
        <v>149</v>
      </c>
      <c r="CP304" s="57">
        <v>282</v>
      </c>
      <c r="CQ304" s="57">
        <v>387</v>
      </c>
      <c r="CR304" s="57">
        <v>374</v>
      </c>
      <c r="CS304" s="57">
        <v>1313</v>
      </c>
      <c r="CT304" s="57"/>
      <c r="CU304" s="57" t="s">
        <v>2253</v>
      </c>
      <c r="CV304" s="57">
        <v>30</v>
      </c>
      <c r="CW304" s="57">
        <v>0</v>
      </c>
      <c r="CX304" s="57">
        <v>0</v>
      </c>
      <c r="CY304" s="57">
        <v>0</v>
      </c>
      <c r="CZ304" s="57">
        <v>0</v>
      </c>
      <c r="DA304" s="57">
        <v>30</v>
      </c>
      <c r="FE304" s="16">
        <v>40</v>
      </c>
      <c r="FF304" s="70" t="s">
        <v>1838</v>
      </c>
      <c r="FG304" s="70" t="s">
        <v>2253</v>
      </c>
      <c r="FH304" s="70">
        <v>398</v>
      </c>
      <c r="FI304" s="70">
        <v>613</v>
      </c>
      <c r="FJ304" s="70">
        <v>670</v>
      </c>
      <c r="FK304" s="70">
        <v>593</v>
      </c>
      <c r="FL304" s="70">
        <v>741</v>
      </c>
      <c r="FM304" s="70">
        <v>3015</v>
      </c>
      <c r="FN304" s="70"/>
      <c r="FO304" s="70" t="s">
        <v>2253</v>
      </c>
      <c r="FP304" s="70">
        <v>55</v>
      </c>
      <c r="FQ304" s="70">
        <v>10</v>
      </c>
      <c r="FR304" s="70">
        <v>0</v>
      </c>
      <c r="FS304" s="70">
        <v>0</v>
      </c>
      <c r="FT304" s="70">
        <v>0</v>
      </c>
      <c r="FU304" s="70">
        <v>65</v>
      </c>
    </row>
    <row r="305" spans="2:177">
      <c r="B305" s="64" t="s">
        <v>893</v>
      </c>
      <c r="C305" s="64" t="s">
        <v>2098</v>
      </c>
      <c r="D305" s="64">
        <v>399</v>
      </c>
      <c r="E305" s="64">
        <v>432</v>
      </c>
      <c r="F305" s="64">
        <v>467</v>
      </c>
      <c r="G305" s="64">
        <v>513</v>
      </c>
      <c r="H305" s="64">
        <v>358</v>
      </c>
      <c r="I305" s="64">
        <v>2169</v>
      </c>
      <c r="K305" s="64" t="s">
        <v>2098</v>
      </c>
      <c r="L305" s="64">
        <v>84</v>
      </c>
      <c r="M305" s="64">
        <v>15</v>
      </c>
      <c r="N305" s="64">
        <v>2</v>
      </c>
      <c r="O305" s="64">
        <v>1</v>
      </c>
      <c r="P305" s="64">
        <v>0</v>
      </c>
      <c r="Q305" s="64">
        <v>102</v>
      </c>
      <c r="AI305" s="463" t="s">
        <v>1126</v>
      </c>
      <c r="AJ305" s="463" t="s">
        <v>1126</v>
      </c>
      <c r="AK305" s="66" t="s">
        <v>1126</v>
      </c>
      <c r="AL305" s="66" t="s">
        <v>2253</v>
      </c>
      <c r="AM305" s="66">
        <v>822</v>
      </c>
      <c r="AN305" s="66">
        <v>413</v>
      </c>
      <c r="AO305" s="66">
        <v>501</v>
      </c>
      <c r="AP305" s="66">
        <v>599</v>
      </c>
      <c r="AQ305" s="66">
        <v>516</v>
      </c>
      <c r="AR305" s="66">
        <v>2851</v>
      </c>
      <c r="AS305" s="66"/>
      <c r="AT305" s="66" t="s">
        <v>2253</v>
      </c>
      <c r="AU305" s="66">
        <v>80</v>
      </c>
      <c r="AV305" s="66">
        <v>0</v>
      </c>
      <c r="AW305" s="66">
        <v>0</v>
      </c>
      <c r="AX305" s="66">
        <v>0</v>
      </c>
      <c r="AY305" s="66">
        <v>0</v>
      </c>
      <c r="AZ305" s="66">
        <v>80</v>
      </c>
      <c r="BB305" s="69" t="s">
        <v>1956</v>
      </c>
      <c r="BC305" s="69" t="s">
        <v>25</v>
      </c>
      <c r="BD305" s="69">
        <v>131</v>
      </c>
      <c r="BE305" s="69">
        <v>135</v>
      </c>
      <c r="BF305" s="69">
        <v>231</v>
      </c>
      <c r="BG305" s="69">
        <v>321</v>
      </c>
      <c r="BH305" s="69">
        <v>270</v>
      </c>
      <c r="BI305" s="69">
        <v>1088</v>
      </c>
      <c r="BJ305" s="69"/>
      <c r="BK305" s="69" t="s">
        <v>25</v>
      </c>
      <c r="BL305" s="69">
        <v>31</v>
      </c>
      <c r="BM305" s="69">
        <v>2</v>
      </c>
      <c r="BN305" s="69">
        <v>2</v>
      </c>
      <c r="BO305" s="69">
        <v>0</v>
      </c>
      <c r="BP305" s="69">
        <v>0</v>
      </c>
      <c r="BQ305" s="69">
        <v>35</v>
      </c>
      <c r="BT305" s="21"/>
      <c r="CL305" s="57" t="s">
        <v>549</v>
      </c>
      <c r="CM305" s="57" t="s">
        <v>2253</v>
      </c>
      <c r="CN305" s="57">
        <v>105</v>
      </c>
      <c r="CO305" s="57">
        <v>60</v>
      </c>
      <c r="CP305" s="57">
        <v>91</v>
      </c>
      <c r="CQ305" s="57">
        <v>111</v>
      </c>
      <c r="CR305" s="57">
        <v>93</v>
      </c>
      <c r="CS305" s="57">
        <v>460</v>
      </c>
      <c r="CT305" s="57"/>
      <c r="CU305" s="57" t="s">
        <v>2253</v>
      </c>
      <c r="CV305" s="57">
        <v>25</v>
      </c>
      <c r="CW305" s="57">
        <v>0</v>
      </c>
      <c r="CX305" s="57">
        <v>0</v>
      </c>
      <c r="CY305" s="57">
        <v>0</v>
      </c>
      <c r="CZ305" s="57">
        <v>0</v>
      </c>
      <c r="DA305" s="57">
        <v>25</v>
      </c>
      <c r="FE305" s="16">
        <v>35</v>
      </c>
      <c r="FF305" s="70" t="s">
        <v>1840</v>
      </c>
      <c r="FG305" s="70" t="s">
        <v>2253</v>
      </c>
      <c r="FH305" s="70">
        <v>253</v>
      </c>
      <c r="FI305" s="70">
        <v>397</v>
      </c>
      <c r="FJ305" s="70">
        <v>382</v>
      </c>
      <c r="FK305" s="70">
        <v>444</v>
      </c>
      <c r="FL305" s="70">
        <v>602</v>
      </c>
      <c r="FM305" s="70">
        <v>2078</v>
      </c>
      <c r="FN305" s="70"/>
      <c r="FO305" s="70" t="s">
        <v>2253</v>
      </c>
      <c r="FP305" s="70">
        <v>44</v>
      </c>
      <c r="FQ305" s="70">
        <v>15</v>
      </c>
      <c r="FR305" s="70">
        <v>1</v>
      </c>
      <c r="FS305" s="70">
        <v>0</v>
      </c>
      <c r="FT305" s="70">
        <v>0</v>
      </c>
      <c r="FU305" s="70">
        <v>60</v>
      </c>
    </row>
    <row r="306" spans="2:177">
      <c r="B306" s="64" t="s">
        <v>897</v>
      </c>
      <c r="C306" s="64" t="s">
        <v>2098</v>
      </c>
      <c r="D306" s="64">
        <v>119</v>
      </c>
      <c r="E306" s="64">
        <v>214</v>
      </c>
      <c r="F306" s="64">
        <v>303</v>
      </c>
      <c r="G306" s="64">
        <v>383</v>
      </c>
      <c r="H306" s="64">
        <v>275</v>
      </c>
      <c r="I306" s="64">
        <v>1294</v>
      </c>
      <c r="K306" s="64" t="s">
        <v>2098</v>
      </c>
      <c r="L306" s="64">
        <v>15</v>
      </c>
      <c r="M306" s="64">
        <v>3</v>
      </c>
      <c r="N306" s="64">
        <v>6</v>
      </c>
      <c r="O306" s="64">
        <v>0</v>
      </c>
      <c r="P306" s="64">
        <v>1</v>
      </c>
      <c r="Q306" s="64">
        <v>25</v>
      </c>
      <c r="AI306" s="463" t="s">
        <v>1134</v>
      </c>
      <c r="AJ306" s="463" t="s">
        <v>1134</v>
      </c>
      <c r="AK306" s="66" t="s">
        <v>1134</v>
      </c>
      <c r="AL306" s="66" t="s">
        <v>2253</v>
      </c>
      <c r="AM306" s="66">
        <v>439</v>
      </c>
      <c r="AN306" s="66">
        <v>248</v>
      </c>
      <c r="AO306" s="66">
        <v>414</v>
      </c>
      <c r="AP306" s="66">
        <v>525</v>
      </c>
      <c r="AQ306" s="66">
        <v>520</v>
      </c>
      <c r="AR306" s="66">
        <v>2146</v>
      </c>
      <c r="AS306" s="66"/>
      <c r="AT306" s="66" t="s">
        <v>2253</v>
      </c>
      <c r="AU306" s="66">
        <v>107</v>
      </c>
      <c r="AV306" s="66">
        <v>0</v>
      </c>
      <c r="AW306" s="66">
        <v>1</v>
      </c>
      <c r="AX306" s="66">
        <v>0</v>
      </c>
      <c r="AY306" s="66">
        <v>0</v>
      </c>
      <c r="AZ306" s="66">
        <v>108</v>
      </c>
      <c r="BB306" s="69" t="s">
        <v>1322</v>
      </c>
      <c r="BC306" s="69" t="s">
        <v>25</v>
      </c>
      <c r="BD306" s="69">
        <v>125</v>
      </c>
      <c r="BE306" s="69">
        <v>80</v>
      </c>
      <c r="BF306" s="69">
        <v>135</v>
      </c>
      <c r="BG306" s="69">
        <v>148</v>
      </c>
      <c r="BH306" s="69">
        <v>133</v>
      </c>
      <c r="BI306" s="69">
        <v>621</v>
      </c>
      <c r="BJ306" s="69"/>
      <c r="BK306" s="69" t="s">
        <v>25</v>
      </c>
      <c r="BL306" s="69">
        <v>34</v>
      </c>
      <c r="BM306" s="69">
        <v>0</v>
      </c>
      <c r="BN306" s="69">
        <v>0</v>
      </c>
      <c r="BO306" s="69">
        <v>0</v>
      </c>
      <c r="BP306" s="69">
        <v>0</v>
      </c>
      <c r="BQ306" s="69">
        <v>34</v>
      </c>
      <c r="BT306" s="21"/>
      <c r="CL306" s="57" t="s">
        <v>1553</v>
      </c>
      <c r="CM306" s="57" t="s">
        <v>2253</v>
      </c>
      <c r="CN306" s="57">
        <v>247</v>
      </c>
      <c r="CO306" s="57">
        <v>292</v>
      </c>
      <c r="CP306" s="57">
        <v>611</v>
      </c>
      <c r="CQ306" s="57">
        <v>955</v>
      </c>
      <c r="CR306" s="57">
        <v>947</v>
      </c>
      <c r="CS306" s="57">
        <v>3052</v>
      </c>
      <c r="CT306" s="57"/>
      <c r="CU306" s="57" t="s">
        <v>2253</v>
      </c>
      <c r="CV306" s="57">
        <v>34</v>
      </c>
      <c r="CW306" s="57">
        <v>1</v>
      </c>
      <c r="CX306" s="57">
        <v>0</v>
      </c>
      <c r="CY306" s="57">
        <v>0</v>
      </c>
      <c r="CZ306" s="57">
        <v>0</v>
      </c>
      <c r="DA306" s="57">
        <v>35</v>
      </c>
      <c r="FE306" s="16">
        <v>50</v>
      </c>
      <c r="FF306" s="70" t="s">
        <v>1841</v>
      </c>
      <c r="FG306" s="70" t="s">
        <v>2253</v>
      </c>
      <c r="FH306" s="70">
        <v>286</v>
      </c>
      <c r="FI306" s="70">
        <v>354</v>
      </c>
      <c r="FJ306" s="70">
        <v>365</v>
      </c>
      <c r="FK306" s="70">
        <v>386</v>
      </c>
      <c r="FL306" s="70">
        <v>546</v>
      </c>
      <c r="FM306" s="70">
        <v>1937</v>
      </c>
      <c r="FN306" s="70"/>
      <c r="FO306" s="70" t="s">
        <v>2253</v>
      </c>
      <c r="FP306" s="70">
        <v>64</v>
      </c>
      <c r="FQ306" s="70">
        <v>6</v>
      </c>
      <c r="FR306" s="70">
        <v>0</v>
      </c>
      <c r="FS306" s="70">
        <v>0</v>
      </c>
      <c r="FT306" s="70">
        <v>0</v>
      </c>
      <c r="FU306" s="70">
        <v>70</v>
      </c>
    </row>
    <row r="307" spans="2:177">
      <c r="B307" s="64" t="s">
        <v>902</v>
      </c>
      <c r="C307" s="64" t="s">
        <v>2098</v>
      </c>
      <c r="D307" s="64">
        <v>104</v>
      </c>
      <c r="E307" s="64">
        <v>173</v>
      </c>
      <c r="F307" s="64">
        <v>269</v>
      </c>
      <c r="G307" s="64">
        <v>329</v>
      </c>
      <c r="H307" s="64">
        <v>272</v>
      </c>
      <c r="I307" s="64">
        <v>1147</v>
      </c>
      <c r="K307" s="64" t="s">
        <v>2098</v>
      </c>
      <c r="L307" s="64">
        <v>24</v>
      </c>
      <c r="M307" s="64">
        <v>4</v>
      </c>
      <c r="N307" s="64">
        <v>3</v>
      </c>
      <c r="O307" s="64">
        <v>0</v>
      </c>
      <c r="P307" s="64">
        <v>1</v>
      </c>
      <c r="Q307" s="64">
        <v>32</v>
      </c>
      <c r="AI307" s="463" t="s">
        <v>1137</v>
      </c>
      <c r="AJ307" s="463" t="s">
        <v>1137</v>
      </c>
      <c r="AK307" s="66" t="s">
        <v>1137</v>
      </c>
      <c r="AL307" s="66" t="s">
        <v>2253</v>
      </c>
      <c r="AM307" s="66">
        <v>343</v>
      </c>
      <c r="AN307" s="66">
        <v>262</v>
      </c>
      <c r="AO307" s="66">
        <v>402</v>
      </c>
      <c r="AP307" s="66">
        <v>572</v>
      </c>
      <c r="AQ307" s="66">
        <v>514</v>
      </c>
      <c r="AR307" s="66">
        <v>2093</v>
      </c>
      <c r="AS307" s="66"/>
      <c r="AT307" s="66" t="s">
        <v>2253</v>
      </c>
      <c r="AU307" s="66">
        <v>78</v>
      </c>
      <c r="AV307" s="66">
        <v>0</v>
      </c>
      <c r="AW307" s="66">
        <v>0</v>
      </c>
      <c r="AX307" s="66">
        <v>0</v>
      </c>
      <c r="AY307" s="66">
        <v>0</v>
      </c>
      <c r="AZ307" s="66">
        <v>78</v>
      </c>
      <c r="BB307" s="69" t="s">
        <v>1327</v>
      </c>
      <c r="BC307" s="69" t="s">
        <v>25</v>
      </c>
      <c r="BD307" s="69">
        <v>87</v>
      </c>
      <c r="BE307" s="69">
        <v>56</v>
      </c>
      <c r="BF307" s="69">
        <v>93</v>
      </c>
      <c r="BG307" s="69">
        <v>88</v>
      </c>
      <c r="BH307" s="69">
        <v>92</v>
      </c>
      <c r="BI307" s="69">
        <v>416</v>
      </c>
      <c r="BJ307" s="69"/>
      <c r="BK307" s="69" t="s">
        <v>25</v>
      </c>
      <c r="BL307" s="69">
        <v>29</v>
      </c>
      <c r="BM307" s="69">
        <v>0</v>
      </c>
      <c r="BN307" s="69">
        <v>0</v>
      </c>
      <c r="BO307" s="69">
        <v>0</v>
      </c>
      <c r="BP307" s="69">
        <v>0</v>
      </c>
      <c r="BQ307" s="69">
        <v>29</v>
      </c>
      <c r="BT307" s="21"/>
      <c r="CL307" s="57" t="s">
        <v>555</v>
      </c>
      <c r="CM307" s="57" t="s">
        <v>2253</v>
      </c>
      <c r="CN307" s="57">
        <v>359</v>
      </c>
      <c r="CO307" s="57">
        <v>408</v>
      </c>
      <c r="CP307" s="57">
        <v>731</v>
      </c>
      <c r="CQ307" s="57">
        <v>1134</v>
      </c>
      <c r="CR307" s="57">
        <v>1075</v>
      </c>
      <c r="CS307" s="57">
        <v>3707</v>
      </c>
      <c r="CT307" s="57"/>
      <c r="CU307" s="57" t="s">
        <v>2253</v>
      </c>
      <c r="CV307" s="57">
        <v>81</v>
      </c>
      <c r="CW307" s="57">
        <v>0</v>
      </c>
      <c r="CX307" s="57">
        <v>0</v>
      </c>
      <c r="CY307" s="57">
        <v>0</v>
      </c>
      <c r="CZ307" s="57">
        <v>0</v>
      </c>
      <c r="DA307" s="57">
        <v>81</v>
      </c>
      <c r="FE307" s="16">
        <v>25</v>
      </c>
      <c r="FF307" s="70" t="s">
        <v>2216</v>
      </c>
      <c r="FG307" s="70" t="s">
        <v>2253</v>
      </c>
      <c r="FH307" s="70">
        <v>86</v>
      </c>
      <c r="FI307" s="70">
        <v>122</v>
      </c>
      <c r="FJ307" s="70">
        <v>138</v>
      </c>
      <c r="FK307" s="70">
        <v>147</v>
      </c>
      <c r="FL307" s="70">
        <v>187</v>
      </c>
      <c r="FM307" s="70">
        <v>680</v>
      </c>
      <c r="FN307" s="70"/>
      <c r="FO307" s="70" t="s">
        <v>2253</v>
      </c>
      <c r="FP307" s="70">
        <v>12</v>
      </c>
      <c r="FQ307" s="70">
        <v>3</v>
      </c>
      <c r="FR307" s="70">
        <v>5</v>
      </c>
      <c r="FS307" s="70">
        <v>3</v>
      </c>
      <c r="FT307" s="70">
        <v>5</v>
      </c>
      <c r="FU307" s="70">
        <v>28</v>
      </c>
    </row>
    <row r="308" spans="2:177">
      <c r="B308" s="64" t="s">
        <v>907</v>
      </c>
      <c r="C308" s="64" t="s">
        <v>2098</v>
      </c>
      <c r="D308" s="64">
        <v>244</v>
      </c>
      <c r="E308" s="64">
        <v>357</v>
      </c>
      <c r="F308" s="64">
        <v>434</v>
      </c>
      <c r="G308" s="64">
        <v>478</v>
      </c>
      <c r="H308" s="64">
        <v>370</v>
      </c>
      <c r="I308" s="64">
        <v>1883</v>
      </c>
      <c r="K308" s="64" t="s">
        <v>2098</v>
      </c>
      <c r="L308" s="64">
        <v>49</v>
      </c>
      <c r="M308" s="64">
        <v>7</v>
      </c>
      <c r="N308" s="64">
        <v>2</v>
      </c>
      <c r="O308" s="64">
        <v>1</v>
      </c>
      <c r="P308" s="64">
        <v>0</v>
      </c>
      <c r="Q308" s="64">
        <v>59</v>
      </c>
      <c r="AI308" s="463" t="s">
        <v>1140</v>
      </c>
      <c r="AJ308" s="463" t="s">
        <v>1140</v>
      </c>
      <c r="AK308" s="66" t="s">
        <v>1140</v>
      </c>
      <c r="AL308" s="66" t="s">
        <v>2253</v>
      </c>
      <c r="AM308" s="66">
        <v>409</v>
      </c>
      <c r="AN308" s="66">
        <v>325</v>
      </c>
      <c r="AO308" s="66">
        <v>469</v>
      </c>
      <c r="AP308" s="66">
        <v>661</v>
      </c>
      <c r="AQ308" s="66">
        <v>614</v>
      </c>
      <c r="AR308" s="66">
        <v>2478</v>
      </c>
      <c r="AS308" s="66"/>
      <c r="AT308" s="66" t="s">
        <v>2253</v>
      </c>
      <c r="AU308" s="66">
        <v>124</v>
      </c>
      <c r="AV308" s="66">
        <v>2</v>
      </c>
      <c r="AW308" s="66">
        <v>0</v>
      </c>
      <c r="AX308" s="66">
        <v>1</v>
      </c>
      <c r="AY308" s="66">
        <v>1</v>
      </c>
      <c r="AZ308" s="66">
        <v>128</v>
      </c>
      <c r="BB308" s="69" t="s">
        <v>1333</v>
      </c>
      <c r="BC308" s="69" t="s">
        <v>25</v>
      </c>
      <c r="BD308" s="69">
        <v>75</v>
      </c>
      <c r="BE308" s="69">
        <v>64</v>
      </c>
      <c r="BF308" s="69">
        <v>129</v>
      </c>
      <c r="BG308" s="69">
        <v>205</v>
      </c>
      <c r="BH308" s="69">
        <v>210</v>
      </c>
      <c r="BI308" s="69">
        <v>683</v>
      </c>
      <c r="BJ308" s="69"/>
      <c r="BK308" s="69" t="s">
        <v>25</v>
      </c>
      <c r="BL308" s="69">
        <v>27</v>
      </c>
      <c r="BM308" s="69">
        <v>0</v>
      </c>
      <c r="BN308" s="69">
        <v>0</v>
      </c>
      <c r="BO308" s="69">
        <v>0</v>
      </c>
      <c r="BP308" s="69">
        <v>0</v>
      </c>
      <c r="BQ308" s="69">
        <v>27</v>
      </c>
      <c r="BT308" s="21"/>
      <c r="CL308" s="57" t="s">
        <v>551</v>
      </c>
      <c r="CM308" s="57" t="s">
        <v>2253</v>
      </c>
      <c r="CN308" s="57">
        <v>239</v>
      </c>
      <c r="CO308" s="57">
        <v>105</v>
      </c>
      <c r="CP308" s="57">
        <v>154</v>
      </c>
      <c r="CQ308" s="57">
        <v>198</v>
      </c>
      <c r="CR308" s="57">
        <v>162</v>
      </c>
      <c r="CS308" s="57">
        <v>858</v>
      </c>
      <c r="CT308" s="57"/>
      <c r="CU308" s="57" t="s">
        <v>2253</v>
      </c>
      <c r="CV308" s="57">
        <v>54</v>
      </c>
      <c r="CW308" s="57">
        <v>0</v>
      </c>
      <c r="CX308" s="57">
        <v>0</v>
      </c>
      <c r="CY308" s="57">
        <v>0</v>
      </c>
      <c r="CZ308" s="57">
        <v>0</v>
      </c>
      <c r="DA308" s="57">
        <v>54</v>
      </c>
      <c r="FE308" s="16">
        <v>20</v>
      </c>
      <c r="FF308" s="70" t="s">
        <v>2183</v>
      </c>
      <c r="FG308" s="70" t="s">
        <v>2253</v>
      </c>
      <c r="FH308" s="70">
        <v>104</v>
      </c>
      <c r="FI308" s="70">
        <v>179</v>
      </c>
      <c r="FJ308" s="70">
        <v>224</v>
      </c>
      <c r="FK308" s="70">
        <v>249</v>
      </c>
      <c r="FL308" s="70">
        <v>298</v>
      </c>
      <c r="FM308" s="70">
        <v>1054</v>
      </c>
      <c r="FN308" s="70"/>
      <c r="FO308" s="70" t="s">
        <v>2253</v>
      </c>
      <c r="FP308" s="70">
        <v>8</v>
      </c>
      <c r="FQ308" s="70">
        <v>4</v>
      </c>
      <c r="FR308" s="70">
        <v>0</v>
      </c>
      <c r="FS308" s="70">
        <v>3</v>
      </c>
      <c r="FT308" s="70">
        <v>2</v>
      </c>
      <c r="FU308" s="70">
        <v>17</v>
      </c>
    </row>
    <row r="309" spans="2:177">
      <c r="B309" s="64" t="s">
        <v>911</v>
      </c>
      <c r="C309" s="64" t="s">
        <v>2098</v>
      </c>
      <c r="D309" s="64">
        <v>233</v>
      </c>
      <c r="E309" s="64">
        <v>251</v>
      </c>
      <c r="F309" s="64">
        <v>288</v>
      </c>
      <c r="G309" s="64">
        <v>362</v>
      </c>
      <c r="H309" s="64">
        <v>316</v>
      </c>
      <c r="I309" s="64">
        <v>1450</v>
      </c>
      <c r="K309" s="64" t="s">
        <v>2098</v>
      </c>
      <c r="L309" s="64">
        <v>14</v>
      </c>
      <c r="M309" s="64">
        <v>5</v>
      </c>
      <c r="N309" s="64">
        <v>0</v>
      </c>
      <c r="O309" s="64">
        <v>1</v>
      </c>
      <c r="P309" s="64">
        <v>1</v>
      </c>
      <c r="Q309" s="64">
        <v>21</v>
      </c>
      <c r="AI309" s="463" t="s">
        <v>1143</v>
      </c>
      <c r="AJ309" s="463" t="s">
        <v>1143</v>
      </c>
      <c r="AK309" s="66" t="s">
        <v>1143</v>
      </c>
      <c r="AL309" s="66" t="s">
        <v>2253</v>
      </c>
      <c r="AM309" s="66">
        <v>1007</v>
      </c>
      <c r="AN309" s="66">
        <v>787</v>
      </c>
      <c r="AO309" s="66">
        <v>928</v>
      </c>
      <c r="AP309" s="66">
        <v>927</v>
      </c>
      <c r="AQ309" s="66">
        <v>776</v>
      </c>
      <c r="AR309" s="66">
        <v>4425</v>
      </c>
      <c r="AS309" s="66"/>
      <c r="AT309" s="66" t="s">
        <v>2253</v>
      </c>
      <c r="AU309" s="66">
        <v>171</v>
      </c>
      <c r="AV309" s="66">
        <v>3</v>
      </c>
      <c r="AW309" s="66">
        <v>2</v>
      </c>
      <c r="AX309" s="66">
        <v>0</v>
      </c>
      <c r="AY309" s="66">
        <v>0</v>
      </c>
      <c r="AZ309" s="66">
        <v>176</v>
      </c>
      <c r="BB309" s="69" t="s">
        <v>1337</v>
      </c>
      <c r="BC309" s="69" t="s">
        <v>25</v>
      </c>
      <c r="BD309" s="69">
        <v>35</v>
      </c>
      <c r="BE309" s="69">
        <v>85</v>
      </c>
      <c r="BF309" s="69">
        <v>175</v>
      </c>
      <c r="BG309" s="69">
        <v>229</v>
      </c>
      <c r="BH309" s="69">
        <v>224</v>
      </c>
      <c r="BI309" s="69">
        <v>748</v>
      </c>
      <c r="BJ309" s="69"/>
      <c r="BK309" s="69" t="s">
        <v>25</v>
      </c>
      <c r="BL309" s="69">
        <v>12</v>
      </c>
      <c r="BM309" s="69">
        <v>0</v>
      </c>
      <c r="BN309" s="69">
        <v>0</v>
      </c>
      <c r="BO309" s="69">
        <v>0</v>
      </c>
      <c r="BP309" s="69">
        <v>0</v>
      </c>
      <c r="BQ309" s="69">
        <v>12</v>
      </c>
      <c r="BT309" s="21"/>
      <c r="CL309" s="57" t="s">
        <v>557</v>
      </c>
      <c r="CM309" s="57" t="s">
        <v>2253</v>
      </c>
      <c r="CN309" s="57">
        <v>202</v>
      </c>
      <c r="CO309" s="57">
        <v>249</v>
      </c>
      <c r="CP309" s="57">
        <v>467</v>
      </c>
      <c r="CQ309" s="57">
        <v>668</v>
      </c>
      <c r="CR309" s="57">
        <v>669</v>
      </c>
      <c r="CS309" s="57">
        <v>2255</v>
      </c>
      <c r="CT309" s="57"/>
      <c r="CU309" s="57" t="s">
        <v>2253</v>
      </c>
      <c r="CV309" s="57">
        <v>23</v>
      </c>
      <c r="CW309" s="57">
        <v>0</v>
      </c>
      <c r="CX309" s="57">
        <v>0</v>
      </c>
      <c r="CY309" s="57">
        <v>0</v>
      </c>
      <c r="CZ309" s="57">
        <v>0</v>
      </c>
      <c r="DA309" s="57">
        <v>23</v>
      </c>
      <c r="FE309" s="16">
        <v>45</v>
      </c>
      <c r="FF309" s="70" t="s">
        <v>2184</v>
      </c>
      <c r="FG309" s="70" t="s">
        <v>2253</v>
      </c>
      <c r="FH309" s="70">
        <v>237</v>
      </c>
      <c r="FI309" s="70">
        <v>313</v>
      </c>
      <c r="FJ309" s="70">
        <v>348</v>
      </c>
      <c r="FK309" s="70">
        <v>407</v>
      </c>
      <c r="FL309" s="70">
        <v>517</v>
      </c>
      <c r="FM309" s="70">
        <v>1822</v>
      </c>
      <c r="FN309" s="70"/>
      <c r="FO309" s="70" t="s">
        <v>2253</v>
      </c>
      <c r="FP309" s="70">
        <v>48</v>
      </c>
      <c r="FQ309" s="70">
        <v>17</v>
      </c>
      <c r="FR309" s="70">
        <v>0</v>
      </c>
      <c r="FS309" s="70">
        <v>0</v>
      </c>
      <c r="FT309" s="70">
        <v>0</v>
      </c>
      <c r="FU309" s="70">
        <v>65</v>
      </c>
    </row>
    <row r="310" spans="2:177">
      <c r="B310" s="64" t="s">
        <v>915</v>
      </c>
      <c r="C310" s="64" t="s">
        <v>2098</v>
      </c>
      <c r="D310" s="64">
        <v>49</v>
      </c>
      <c r="E310" s="64">
        <v>139</v>
      </c>
      <c r="F310" s="64">
        <v>225</v>
      </c>
      <c r="G310" s="64">
        <v>285</v>
      </c>
      <c r="H310" s="64">
        <v>236</v>
      </c>
      <c r="I310" s="64">
        <v>934</v>
      </c>
      <c r="K310" s="64" t="s">
        <v>2098</v>
      </c>
      <c r="L310" s="64">
        <v>5</v>
      </c>
      <c r="M310" s="64">
        <v>2</v>
      </c>
      <c r="N310" s="64">
        <v>0</v>
      </c>
      <c r="O310" s="64">
        <v>0</v>
      </c>
      <c r="P310" s="64">
        <v>0</v>
      </c>
      <c r="Q310" s="64">
        <v>7</v>
      </c>
      <c r="AI310" s="463" t="s">
        <v>1074</v>
      </c>
      <c r="AJ310" s="463" t="s">
        <v>1937</v>
      </c>
      <c r="AK310" s="66" t="s">
        <v>1937</v>
      </c>
      <c r="AL310" s="66" t="s">
        <v>2253</v>
      </c>
      <c r="AM310" s="66" t="s">
        <v>324</v>
      </c>
      <c r="AN310" s="66" t="s">
        <v>324</v>
      </c>
      <c r="AO310" s="66" t="s">
        <v>324</v>
      </c>
      <c r="AP310" s="66" t="s">
        <v>324</v>
      </c>
      <c r="AQ310" s="66" t="s">
        <v>324</v>
      </c>
      <c r="AR310" s="66" t="s">
        <v>324</v>
      </c>
      <c r="AS310" s="66"/>
      <c r="AT310" s="66" t="s">
        <v>2253</v>
      </c>
      <c r="AU310" s="66" t="s">
        <v>324</v>
      </c>
      <c r="AV310" s="66" t="s">
        <v>324</v>
      </c>
      <c r="AW310" s="66" t="s">
        <v>324</v>
      </c>
      <c r="AX310" s="66" t="s">
        <v>324</v>
      </c>
      <c r="AY310" s="66" t="s">
        <v>324</v>
      </c>
      <c r="AZ310" s="66" t="s">
        <v>324</v>
      </c>
      <c r="BB310" s="69" t="s">
        <v>1341</v>
      </c>
      <c r="BC310" s="69" t="s">
        <v>25</v>
      </c>
      <c r="BD310" s="69">
        <v>18</v>
      </c>
      <c r="BE310" s="69">
        <v>50</v>
      </c>
      <c r="BF310" s="69">
        <v>111</v>
      </c>
      <c r="BG310" s="69">
        <v>149</v>
      </c>
      <c r="BH310" s="69">
        <v>131</v>
      </c>
      <c r="BI310" s="69">
        <v>459</v>
      </c>
      <c r="BJ310" s="69"/>
      <c r="BK310" s="69" t="s">
        <v>25</v>
      </c>
      <c r="BL310" s="69">
        <v>4</v>
      </c>
      <c r="BM310" s="69">
        <v>0</v>
      </c>
      <c r="BN310" s="69">
        <v>0</v>
      </c>
      <c r="BO310" s="69">
        <v>0</v>
      </c>
      <c r="BP310" s="69">
        <v>0</v>
      </c>
      <c r="BQ310" s="69">
        <v>4</v>
      </c>
      <c r="BT310" s="21"/>
      <c r="CL310" s="57" t="s">
        <v>353</v>
      </c>
      <c r="CM310" s="57" t="s">
        <v>2253</v>
      </c>
      <c r="CN310" s="57">
        <v>472</v>
      </c>
      <c r="CO310" s="57">
        <v>295</v>
      </c>
      <c r="CP310" s="57">
        <v>451</v>
      </c>
      <c r="CQ310" s="57">
        <v>614</v>
      </c>
      <c r="CR310" s="57">
        <v>555</v>
      </c>
      <c r="CS310" s="57">
        <v>2387</v>
      </c>
      <c r="CT310" s="57"/>
      <c r="CU310" s="57" t="s">
        <v>2253</v>
      </c>
      <c r="CV310" s="57">
        <v>53</v>
      </c>
      <c r="CW310" s="57">
        <v>0</v>
      </c>
      <c r="CX310" s="57">
        <v>0</v>
      </c>
      <c r="CY310" s="57">
        <v>0</v>
      </c>
      <c r="CZ310" s="57">
        <v>0</v>
      </c>
      <c r="DA310" s="57">
        <v>53</v>
      </c>
      <c r="FE310" s="16">
        <v>40</v>
      </c>
      <c r="FF310" s="70" t="s">
        <v>1850</v>
      </c>
      <c r="FG310" s="70" t="s">
        <v>2253</v>
      </c>
      <c r="FH310" s="70">
        <v>374</v>
      </c>
      <c r="FI310" s="70">
        <v>420</v>
      </c>
      <c r="FJ310" s="70">
        <v>426</v>
      </c>
      <c r="FK310" s="70">
        <v>483</v>
      </c>
      <c r="FL310" s="70">
        <v>530</v>
      </c>
      <c r="FM310" s="70">
        <v>2233</v>
      </c>
      <c r="FN310" s="70"/>
      <c r="FO310" s="70" t="s">
        <v>2253</v>
      </c>
      <c r="FP310" s="70">
        <v>47</v>
      </c>
      <c r="FQ310" s="70">
        <v>18</v>
      </c>
      <c r="FR310" s="70">
        <v>7</v>
      </c>
      <c r="FS310" s="70">
        <v>7</v>
      </c>
      <c r="FT310" s="70">
        <v>2</v>
      </c>
      <c r="FU310" s="70">
        <v>81</v>
      </c>
    </row>
    <row r="311" spans="2:177">
      <c r="B311" s="64" t="s">
        <v>918</v>
      </c>
      <c r="C311" s="64" t="s">
        <v>2098</v>
      </c>
      <c r="D311" s="64">
        <v>6</v>
      </c>
      <c r="E311" s="64">
        <v>12</v>
      </c>
      <c r="F311" s="64">
        <v>22</v>
      </c>
      <c r="G311" s="64">
        <v>38</v>
      </c>
      <c r="H311" s="64">
        <v>60</v>
      </c>
      <c r="I311" s="64">
        <v>138</v>
      </c>
      <c r="K311" s="64" t="s">
        <v>2098</v>
      </c>
      <c r="L311" s="64">
        <v>0</v>
      </c>
      <c r="M311" s="64">
        <v>0</v>
      </c>
      <c r="N311" s="64">
        <v>0</v>
      </c>
      <c r="O311" s="64">
        <v>0</v>
      </c>
      <c r="P311" s="64">
        <v>0</v>
      </c>
      <c r="Q311" s="64">
        <v>0</v>
      </c>
      <c r="AI311" s="463" t="s">
        <v>1146</v>
      </c>
      <c r="AJ311" s="463" t="s">
        <v>1146</v>
      </c>
      <c r="AK311" s="66" t="s">
        <v>1146</v>
      </c>
      <c r="AL311" s="66" t="s">
        <v>2253</v>
      </c>
      <c r="AM311" s="66">
        <v>365</v>
      </c>
      <c r="AN311" s="66">
        <v>521</v>
      </c>
      <c r="AO311" s="66">
        <v>719</v>
      </c>
      <c r="AP311" s="66">
        <v>780</v>
      </c>
      <c r="AQ311" s="66">
        <v>613</v>
      </c>
      <c r="AR311" s="66">
        <v>2998</v>
      </c>
      <c r="AS311" s="66"/>
      <c r="AT311" s="66" t="s">
        <v>2253</v>
      </c>
      <c r="AU311" s="66">
        <v>34</v>
      </c>
      <c r="AV311" s="66">
        <v>5</v>
      </c>
      <c r="AW311" s="66">
        <v>0</v>
      </c>
      <c r="AX311" s="66">
        <v>2</v>
      </c>
      <c r="AY311" s="66">
        <v>0</v>
      </c>
      <c r="AZ311" s="66">
        <v>41</v>
      </c>
      <c r="BB311" s="69" t="s">
        <v>1347</v>
      </c>
      <c r="BC311" s="69" t="s">
        <v>25</v>
      </c>
      <c r="BD311" s="69">
        <v>526</v>
      </c>
      <c r="BE311" s="69">
        <v>540</v>
      </c>
      <c r="BF311" s="69">
        <v>941</v>
      </c>
      <c r="BG311" s="69">
        <v>1288</v>
      </c>
      <c r="BH311" s="69">
        <v>1059</v>
      </c>
      <c r="BI311" s="69">
        <v>4354</v>
      </c>
      <c r="BJ311" s="69"/>
      <c r="BK311" s="69" t="s">
        <v>25</v>
      </c>
      <c r="BL311" s="69">
        <v>82</v>
      </c>
      <c r="BM311" s="69">
        <v>0</v>
      </c>
      <c r="BN311" s="69">
        <v>0</v>
      </c>
      <c r="BO311" s="69">
        <v>0</v>
      </c>
      <c r="BP311" s="69">
        <v>0</v>
      </c>
      <c r="BQ311" s="69">
        <v>82</v>
      </c>
      <c r="BT311" s="21"/>
      <c r="CL311" s="57" t="s">
        <v>354</v>
      </c>
      <c r="CM311" s="57" t="s">
        <v>2253</v>
      </c>
      <c r="CN311" s="57">
        <v>282</v>
      </c>
      <c r="CO311" s="57">
        <v>161</v>
      </c>
      <c r="CP311" s="57">
        <v>298</v>
      </c>
      <c r="CQ311" s="57">
        <v>395</v>
      </c>
      <c r="CR311" s="57">
        <v>380</v>
      </c>
      <c r="CS311" s="57">
        <v>1516</v>
      </c>
      <c r="CT311" s="57"/>
      <c r="CU311" s="57" t="s">
        <v>2253</v>
      </c>
      <c r="CV311" s="57">
        <v>56</v>
      </c>
      <c r="CW311" s="57">
        <v>0</v>
      </c>
      <c r="CX311" s="57">
        <v>0</v>
      </c>
      <c r="CY311" s="57">
        <v>0</v>
      </c>
      <c r="CZ311" s="57">
        <v>0</v>
      </c>
      <c r="DA311" s="57">
        <v>56</v>
      </c>
      <c r="FE311" s="16">
        <v>50</v>
      </c>
      <c r="FF311" s="70" t="s">
        <v>1851</v>
      </c>
      <c r="FG311" s="70" t="s">
        <v>2253</v>
      </c>
      <c r="FH311" s="70">
        <v>402</v>
      </c>
      <c r="FI311" s="70">
        <v>483</v>
      </c>
      <c r="FJ311" s="70">
        <v>421</v>
      </c>
      <c r="FK311" s="70">
        <v>379</v>
      </c>
      <c r="FL311" s="70">
        <v>416</v>
      </c>
      <c r="FM311" s="70">
        <v>2101</v>
      </c>
      <c r="FN311" s="70"/>
      <c r="FO311" s="70" t="s">
        <v>2253</v>
      </c>
      <c r="FP311" s="70">
        <v>70</v>
      </c>
      <c r="FQ311" s="70">
        <v>0</v>
      </c>
      <c r="FR311" s="70">
        <v>0</v>
      </c>
      <c r="FS311" s="70">
        <v>0</v>
      </c>
      <c r="FT311" s="70">
        <v>0</v>
      </c>
      <c r="FU311" s="70">
        <v>70</v>
      </c>
    </row>
    <row r="312" spans="2:177">
      <c r="B312" s="64" t="s">
        <v>922</v>
      </c>
      <c r="C312" s="64" t="s">
        <v>2098</v>
      </c>
      <c r="D312" s="64">
        <v>108</v>
      </c>
      <c r="E312" s="64">
        <v>179</v>
      </c>
      <c r="F312" s="64">
        <v>282</v>
      </c>
      <c r="G312" s="64">
        <v>307</v>
      </c>
      <c r="H312" s="64">
        <v>256</v>
      </c>
      <c r="I312" s="64">
        <v>1132</v>
      </c>
      <c r="K312" s="64" t="s">
        <v>2098</v>
      </c>
      <c r="L312" s="64">
        <v>11</v>
      </c>
      <c r="M312" s="64">
        <v>0</v>
      </c>
      <c r="N312" s="64">
        <v>0</v>
      </c>
      <c r="O312" s="64">
        <v>0</v>
      </c>
      <c r="P312" s="64">
        <v>0</v>
      </c>
      <c r="Q312" s="64">
        <v>11</v>
      </c>
      <c r="AI312" s="463" t="s">
        <v>1067</v>
      </c>
      <c r="AJ312" s="463" t="s">
        <v>1933</v>
      </c>
      <c r="AK312" s="66" t="s">
        <v>1933</v>
      </c>
      <c r="AL312" s="66" t="s">
        <v>2253</v>
      </c>
      <c r="AM312" s="66" t="s">
        <v>324</v>
      </c>
      <c r="AN312" s="66" t="s">
        <v>324</v>
      </c>
      <c r="AO312" s="66" t="s">
        <v>324</v>
      </c>
      <c r="AP312" s="66" t="s">
        <v>324</v>
      </c>
      <c r="AQ312" s="66" t="s">
        <v>324</v>
      </c>
      <c r="AR312" s="66" t="s">
        <v>324</v>
      </c>
      <c r="AS312" s="66"/>
      <c r="AT312" s="66" t="s">
        <v>2253</v>
      </c>
      <c r="AU312" s="66" t="s">
        <v>324</v>
      </c>
      <c r="AV312" s="66" t="s">
        <v>324</v>
      </c>
      <c r="AW312" s="66" t="s">
        <v>324</v>
      </c>
      <c r="AX312" s="66" t="s">
        <v>324</v>
      </c>
      <c r="AY312" s="66" t="s">
        <v>324</v>
      </c>
      <c r="AZ312" s="66" t="s">
        <v>324</v>
      </c>
      <c r="BB312" s="69" t="s">
        <v>1351</v>
      </c>
      <c r="BC312" s="69" t="s">
        <v>25</v>
      </c>
      <c r="BD312" s="69">
        <v>191</v>
      </c>
      <c r="BE312" s="69">
        <v>100</v>
      </c>
      <c r="BF312" s="69">
        <v>203</v>
      </c>
      <c r="BG312" s="69">
        <v>318</v>
      </c>
      <c r="BH312" s="69">
        <v>263</v>
      </c>
      <c r="BI312" s="69">
        <v>1075</v>
      </c>
      <c r="BJ312" s="69"/>
      <c r="BK312" s="69" t="s">
        <v>25</v>
      </c>
      <c r="BL312" s="69">
        <v>36</v>
      </c>
      <c r="BM312" s="69">
        <v>0</v>
      </c>
      <c r="BN312" s="69">
        <v>0</v>
      </c>
      <c r="BO312" s="69">
        <v>0</v>
      </c>
      <c r="BP312" s="69">
        <v>0</v>
      </c>
      <c r="BQ312" s="69">
        <v>36</v>
      </c>
      <c r="BT312" s="21"/>
      <c r="CL312" s="57" t="s">
        <v>355</v>
      </c>
      <c r="CM312" s="57" t="s">
        <v>2253</v>
      </c>
      <c r="CN312" s="57">
        <v>257</v>
      </c>
      <c r="CO312" s="57">
        <v>153</v>
      </c>
      <c r="CP312" s="57">
        <v>285</v>
      </c>
      <c r="CQ312" s="57">
        <v>379</v>
      </c>
      <c r="CR312" s="57">
        <v>357</v>
      </c>
      <c r="CS312" s="57">
        <v>1431</v>
      </c>
      <c r="CT312" s="57"/>
      <c r="CU312" s="57" t="s">
        <v>2253</v>
      </c>
      <c r="CV312" s="57">
        <v>83</v>
      </c>
      <c r="CW312" s="57">
        <v>0</v>
      </c>
      <c r="CX312" s="57">
        <v>0</v>
      </c>
      <c r="CY312" s="57">
        <v>0</v>
      </c>
      <c r="CZ312" s="57">
        <v>0</v>
      </c>
      <c r="DA312" s="57">
        <v>83</v>
      </c>
      <c r="FE312" s="16">
        <v>25</v>
      </c>
      <c r="FF312" s="70" t="s">
        <v>1852</v>
      </c>
      <c r="FG312" s="70" t="s">
        <v>2253</v>
      </c>
      <c r="FH312" s="70">
        <v>205</v>
      </c>
      <c r="FI312" s="70">
        <v>301</v>
      </c>
      <c r="FJ312" s="70">
        <v>371</v>
      </c>
      <c r="FK312" s="70">
        <v>438</v>
      </c>
      <c r="FL312" s="70">
        <v>561</v>
      </c>
      <c r="FM312" s="70">
        <v>1876</v>
      </c>
      <c r="FN312" s="70"/>
      <c r="FO312" s="70" t="s">
        <v>2253</v>
      </c>
      <c r="FP312" s="70">
        <v>38</v>
      </c>
      <c r="FQ312" s="70">
        <v>16</v>
      </c>
      <c r="FR312" s="70">
        <v>2</v>
      </c>
      <c r="FS312" s="70">
        <v>4</v>
      </c>
      <c r="FT312" s="70">
        <v>7</v>
      </c>
      <c r="FU312" s="70">
        <v>67</v>
      </c>
    </row>
    <row r="313" spans="2:177">
      <c r="B313" s="64" t="s">
        <v>925</v>
      </c>
      <c r="C313" s="64" t="s">
        <v>2098</v>
      </c>
      <c r="D313" s="64">
        <v>112</v>
      </c>
      <c r="E313" s="64">
        <v>91</v>
      </c>
      <c r="F313" s="64">
        <v>161</v>
      </c>
      <c r="G313" s="64">
        <v>231</v>
      </c>
      <c r="H313" s="64">
        <v>267</v>
      </c>
      <c r="I313" s="64">
        <v>862</v>
      </c>
      <c r="K313" s="64" t="s">
        <v>2098</v>
      </c>
      <c r="L313" s="64">
        <v>21</v>
      </c>
      <c r="M313" s="64">
        <v>0</v>
      </c>
      <c r="N313" s="64">
        <v>0</v>
      </c>
      <c r="O313" s="64">
        <v>0</v>
      </c>
      <c r="P313" s="64">
        <v>0</v>
      </c>
      <c r="Q313" s="64">
        <v>21</v>
      </c>
      <c r="AI313" s="463" t="s">
        <v>1067</v>
      </c>
      <c r="AJ313" s="463" t="s">
        <v>1934</v>
      </c>
      <c r="AK313" s="66" t="s">
        <v>1934</v>
      </c>
      <c r="AL313" s="66" t="s">
        <v>2253</v>
      </c>
      <c r="AM313" s="66" t="s">
        <v>324</v>
      </c>
      <c r="AN313" s="66" t="s">
        <v>324</v>
      </c>
      <c r="AO313" s="66" t="s">
        <v>324</v>
      </c>
      <c r="AP313" s="66" t="s">
        <v>324</v>
      </c>
      <c r="AQ313" s="66" t="s">
        <v>324</v>
      </c>
      <c r="AR313" s="66" t="s">
        <v>324</v>
      </c>
      <c r="AS313" s="66"/>
      <c r="AT313" s="66" t="s">
        <v>2253</v>
      </c>
      <c r="AU313" s="66" t="s">
        <v>324</v>
      </c>
      <c r="AV313" s="66" t="s">
        <v>324</v>
      </c>
      <c r="AW313" s="66" t="s">
        <v>324</v>
      </c>
      <c r="AX313" s="66" t="s">
        <v>324</v>
      </c>
      <c r="AY313" s="66" t="s">
        <v>324</v>
      </c>
      <c r="AZ313" s="66" t="s">
        <v>324</v>
      </c>
      <c r="BB313" s="69" t="s">
        <v>1356</v>
      </c>
      <c r="BC313" s="69" t="s">
        <v>25</v>
      </c>
      <c r="BD313" s="69">
        <v>543</v>
      </c>
      <c r="BE313" s="69">
        <v>408</v>
      </c>
      <c r="BF313" s="69">
        <v>631</v>
      </c>
      <c r="BG313" s="69">
        <v>740</v>
      </c>
      <c r="BH313" s="69">
        <v>598</v>
      </c>
      <c r="BI313" s="69">
        <v>2920</v>
      </c>
      <c r="BJ313" s="69"/>
      <c r="BK313" s="69" t="s">
        <v>25</v>
      </c>
      <c r="BL313" s="69">
        <v>53</v>
      </c>
      <c r="BM313" s="69">
        <v>0</v>
      </c>
      <c r="BN313" s="69">
        <v>0</v>
      </c>
      <c r="BO313" s="69">
        <v>0</v>
      </c>
      <c r="BP313" s="69">
        <v>0</v>
      </c>
      <c r="BQ313" s="69">
        <v>53</v>
      </c>
      <c r="BT313" s="21"/>
      <c r="CL313" s="57" t="s">
        <v>358</v>
      </c>
      <c r="CM313" s="57" t="s">
        <v>2253</v>
      </c>
      <c r="CN313" s="57">
        <v>81</v>
      </c>
      <c r="CO313" s="57">
        <v>82</v>
      </c>
      <c r="CP313" s="57">
        <v>191</v>
      </c>
      <c r="CQ313" s="57">
        <v>314</v>
      </c>
      <c r="CR313" s="57">
        <v>270</v>
      </c>
      <c r="CS313" s="57">
        <v>938</v>
      </c>
      <c r="CT313" s="57"/>
      <c r="CU313" s="57" t="s">
        <v>2253</v>
      </c>
      <c r="CV313" s="57">
        <v>23</v>
      </c>
      <c r="CW313" s="57">
        <v>0</v>
      </c>
      <c r="CX313" s="57">
        <v>0</v>
      </c>
      <c r="CY313" s="57">
        <v>0</v>
      </c>
      <c r="CZ313" s="57">
        <v>0</v>
      </c>
      <c r="DA313" s="57">
        <v>23</v>
      </c>
      <c r="FE313" s="16">
        <v>20</v>
      </c>
      <c r="FF313" s="70" t="s">
        <v>1853</v>
      </c>
      <c r="FG313" s="70" t="s">
        <v>2253</v>
      </c>
      <c r="FH313" s="70">
        <v>147</v>
      </c>
      <c r="FI313" s="70">
        <v>275</v>
      </c>
      <c r="FJ313" s="70">
        <v>352</v>
      </c>
      <c r="FK313" s="70">
        <v>453</v>
      </c>
      <c r="FL313" s="70">
        <v>588</v>
      </c>
      <c r="FM313" s="70">
        <v>1815</v>
      </c>
      <c r="FN313" s="70"/>
      <c r="FO313" s="70" t="s">
        <v>2253</v>
      </c>
      <c r="FP313" s="70">
        <v>19</v>
      </c>
      <c r="FQ313" s="70">
        <v>7</v>
      </c>
      <c r="FR313" s="70">
        <v>6</v>
      </c>
      <c r="FS313" s="70">
        <v>3</v>
      </c>
      <c r="FT313" s="70">
        <v>8</v>
      </c>
      <c r="FU313" s="70">
        <v>43</v>
      </c>
    </row>
    <row r="314" spans="2:177">
      <c r="B314" s="64" t="s">
        <v>71</v>
      </c>
      <c r="C314" s="64" t="s">
        <v>2098</v>
      </c>
      <c r="D314" s="64">
        <v>160</v>
      </c>
      <c r="E314" s="64">
        <v>244</v>
      </c>
      <c r="F314" s="64">
        <v>392</v>
      </c>
      <c r="G314" s="64">
        <v>465</v>
      </c>
      <c r="H314" s="64">
        <v>332</v>
      </c>
      <c r="I314" s="64">
        <v>1593</v>
      </c>
      <c r="K314" s="64" t="s">
        <v>2098</v>
      </c>
      <c r="L314" s="64">
        <v>21</v>
      </c>
      <c r="M314" s="64">
        <v>2</v>
      </c>
      <c r="N314" s="64">
        <v>0</v>
      </c>
      <c r="O314" s="64">
        <v>0</v>
      </c>
      <c r="P314" s="64">
        <v>0</v>
      </c>
      <c r="Q314" s="64">
        <v>23</v>
      </c>
      <c r="AI314" s="463" t="s">
        <v>1149</v>
      </c>
      <c r="AJ314" s="463" t="s">
        <v>1149</v>
      </c>
      <c r="AK314" s="66" t="s">
        <v>1149</v>
      </c>
      <c r="AL314" s="66" t="s">
        <v>2253</v>
      </c>
      <c r="AM314" s="66">
        <v>627</v>
      </c>
      <c r="AN314" s="66">
        <v>677</v>
      </c>
      <c r="AO314" s="66">
        <v>813</v>
      </c>
      <c r="AP314" s="66">
        <v>831</v>
      </c>
      <c r="AQ314" s="66">
        <v>568</v>
      </c>
      <c r="AR314" s="66">
        <v>3516</v>
      </c>
      <c r="AS314" s="66"/>
      <c r="AT314" s="66" t="s">
        <v>2253</v>
      </c>
      <c r="AU314" s="66">
        <v>80</v>
      </c>
      <c r="AV314" s="66">
        <v>6</v>
      </c>
      <c r="AW314" s="66">
        <v>4</v>
      </c>
      <c r="AX314" s="66">
        <v>0</v>
      </c>
      <c r="AY314" s="66">
        <v>0</v>
      </c>
      <c r="AZ314" s="66">
        <v>90</v>
      </c>
      <c r="BB314" s="69" t="s">
        <v>1359</v>
      </c>
      <c r="BC314" s="69" t="s">
        <v>25</v>
      </c>
      <c r="BD314" s="69">
        <v>310</v>
      </c>
      <c r="BE314" s="69">
        <v>256</v>
      </c>
      <c r="BF314" s="69">
        <v>397</v>
      </c>
      <c r="BG314" s="69">
        <v>534</v>
      </c>
      <c r="BH314" s="69">
        <v>400</v>
      </c>
      <c r="BI314" s="69">
        <v>1897</v>
      </c>
      <c r="BJ314" s="69"/>
      <c r="BK314" s="69" t="s">
        <v>25</v>
      </c>
      <c r="BL314" s="69">
        <v>47</v>
      </c>
      <c r="BM314" s="69">
        <v>0</v>
      </c>
      <c r="BN314" s="69">
        <v>0</v>
      </c>
      <c r="BO314" s="69">
        <v>0</v>
      </c>
      <c r="BP314" s="69">
        <v>0</v>
      </c>
      <c r="BQ314" s="69">
        <v>47</v>
      </c>
      <c r="BT314" s="21"/>
      <c r="CL314" s="57" t="s">
        <v>357</v>
      </c>
      <c r="CM314" s="57" t="s">
        <v>2253</v>
      </c>
      <c r="CN314" s="57">
        <v>100</v>
      </c>
      <c r="CO314" s="57">
        <v>74</v>
      </c>
      <c r="CP314" s="57">
        <v>96</v>
      </c>
      <c r="CQ314" s="57">
        <v>136</v>
      </c>
      <c r="CR314" s="57">
        <v>135</v>
      </c>
      <c r="CS314" s="57">
        <v>541</v>
      </c>
      <c r="CT314" s="57"/>
      <c r="CU314" s="57" t="s">
        <v>2253</v>
      </c>
      <c r="CV314" s="57">
        <v>40</v>
      </c>
      <c r="CW314" s="57">
        <v>0</v>
      </c>
      <c r="CX314" s="57">
        <v>0</v>
      </c>
      <c r="CY314" s="57">
        <v>0</v>
      </c>
      <c r="CZ314" s="57">
        <v>0</v>
      </c>
      <c r="DA314" s="57">
        <v>40</v>
      </c>
      <c r="FE314" s="16">
        <v>20</v>
      </c>
      <c r="FF314" s="70" t="s">
        <v>1854</v>
      </c>
      <c r="FG314" s="70" t="s">
        <v>2253</v>
      </c>
      <c r="FH314" s="70">
        <v>269</v>
      </c>
      <c r="FI314" s="70">
        <v>256</v>
      </c>
      <c r="FJ314" s="70">
        <v>342</v>
      </c>
      <c r="FK314" s="70">
        <v>357</v>
      </c>
      <c r="FL314" s="70">
        <v>425</v>
      </c>
      <c r="FM314" s="70">
        <v>1649</v>
      </c>
      <c r="FN314" s="70"/>
      <c r="FO314" s="70" t="s">
        <v>2253</v>
      </c>
      <c r="FP314" s="70">
        <v>24</v>
      </c>
      <c r="FQ314" s="70">
        <v>11</v>
      </c>
      <c r="FR314" s="70">
        <v>7</v>
      </c>
      <c r="FS314" s="70">
        <v>3</v>
      </c>
      <c r="FT314" s="70">
        <v>6</v>
      </c>
      <c r="FU314" s="70">
        <v>51</v>
      </c>
    </row>
    <row r="315" spans="2:177">
      <c r="B315" s="64" t="s">
        <v>933</v>
      </c>
      <c r="C315" s="64" t="s">
        <v>2098</v>
      </c>
      <c r="D315" s="64">
        <v>227</v>
      </c>
      <c r="E315" s="64">
        <v>331</v>
      </c>
      <c r="F315" s="64">
        <v>456</v>
      </c>
      <c r="G315" s="64">
        <v>507</v>
      </c>
      <c r="H315" s="64">
        <v>344</v>
      </c>
      <c r="I315" s="64">
        <v>1865</v>
      </c>
      <c r="K315" s="64" t="s">
        <v>2098</v>
      </c>
      <c r="L315" s="64">
        <v>29</v>
      </c>
      <c r="M315" s="64">
        <v>4</v>
      </c>
      <c r="N315" s="64">
        <v>1</v>
      </c>
      <c r="O315" s="64">
        <v>0</v>
      </c>
      <c r="P315" s="64">
        <v>0</v>
      </c>
      <c r="Q315" s="64">
        <v>34</v>
      </c>
      <c r="BB315" s="69" t="s">
        <v>1363</v>
      </c>
      <c r="BC315" s="69" t="s">
        <v>25</v>
      </c>
      <c r="BD315" s="69">
        <v>153</v>
      </c>
      <c r="BE315" s="69">
        <v>158</v>
      </c>
      <c r="BF315" s="69">
        <v>294</v>
      </c>
      <c r="BG315" s="69">
        <v>470</v>
      </c>
      <c r="BH315" s="69">
        <v>451</v>
      </c>
      <c r="BI315" s="69">
        <v>1526</v>
      </c>
      <c r="BJ315" s="69"/>
      <c r="BK315" s="69" t="s">
        <v>25</v>
      </c>
      <c r="BL315" s="69">
        <v>26</v>
      </c>
      <c r="BM315" s="69">
        <v>0</v>
      </c>
      <c r="BN315" s="69">
        <v>0</v>
      </c>
      <c r="BO315" s="69">
        <v>0</v>
      </c>
      <c r="BP315" s="69">
        <v>0</v>
      </c>
      <c r="BQ315" s="69">
        <v>26</v>
      </c>
      <c r="BT315" s="21"/>
      <c r="CL315" s="57" t="s">
        <v>559</v>
      </c>
      <c r="CM315" s="57" t="s">
        <v>2253</v>
      </c>
      <c r="CN315" s="57">
        <v>64</v>
      </c>
      <c r="CO315" s="57">
        <v>42</v>
      </c>
      <c r="CP315" s="57">
        <v>74</v>
      </c>
      <c r="CQ315" s="57">
        <v>104</v>
      </c>
      <c r="CR315" s="57">
        <v>114</v>
      </c>
      <c r="CS315" s="57">
        <v>398</v>
      </c>
      <c r="CT315" s="57"/>
      <c r="CU315" s="57" t="s">
        <v>2253</v>
      </c>
      <c r="CV315" s="57">
        <v>35</v>
      </c>
      <c r="CW315" s="57">
        <v>0</v>
      </c>
      <c r="CX315" s="57">
        <v>0</v>
      </c>
      <c r="CY315" s="57">
        <v>0</v>
      </c>
      <c r="CZ315" s="57">
        <v>0</v>
      </c>
      <c r="DA315" s="57">
        <v>35</v>
      </c>
      <c r="FE315" s="16">
        <v>10</v>
      </c>
      <c r="FF315" s="70" t="s">
        <v>1857</v>
      </c>
      <c r="FG315" s="70" t="s">
        <v>2253</v>
      </c>
      <c r="FH315" s="70">
        <v>152</v>
      </c>
      <c r="FI315" s="70">
        <v>232</v>
      </c>
      <c r="FJ315" s="70">
        <v>278</v>
      </c>
      <c r="FK315" s="70">
        <v>375</v>
      </c>
      <c r="FL315" s="70">
        <v>449</v>
      </c>
      <c r="FM315" s="70">
        <v>1486</v>
      </c>
      <c r="FN315" s="70"/>
      <c r="FO315" s="70" t="s">
        <v>2253</v>
      </c>
      <c r="FP315" s="70">
        <v>10</v>
      </c>
      <c r="FQ315" s="70">
        <v>2</v>
      </c>
      <c r="FR315" s="70">
        <v>1</v>
      </c>
      <c r="FS315" s="70">
        <v>1</v>
      </c>
      <c r="FT315" s="70">
        <v>3</v>
      </c>
      <c r="FU315" s="70">
        <v>17</v>
      </c>
    </row>
    <row r="316" spans="2:177">
      <c r="B316" s="64" t="s">
        <v>145</v>
      </c>
      <c r="C316" s="64" t="s">
        <v>2098</v>
      </c>
      <c r="D316" s="64">
        <v>121</v>
      </c>
      <c r="E316" s="64">
        <v>225</v>
      </c>
      <c r="F316" s="64">
        <v>361</v>
      </c>
      <c r="G316" s="64">
        <v>433</v>
      </c>
      <c r="H316" s="64">
        <v>350</v>
      </c>
      <c r="I316" s="64">
        <v>1490</v>
      </c>
      <c r="K316" s="64" t="s">
        <v>2098</v>
      </c>
      <c r="L316" s="64">
        <v>31</v>
      </c>
      <c r="M316" s="64">
        <v>0</v>
      </c>
      <c r="N316" s="64">
        <v>0</v>
      </c>
      <c r="O316" s="64">
        <v>0</v>
      </c>
      <c r="P316" s="64">
        <v>0</v>
      </c>
      <c r="Q316" s="64">
        <v>31</v>
      </c>
      <c r="BB316" s="69" t="s">
        <v>1366</v>
      </c>
      <c r="BC316" s="69" t="s">
        <v>25</v>
      </c>
      <c r="BD316" s="69">
        <v>313</v>
      </c>
      <c r="BE316" s="69">
        <v>252</v>
      </c>
      <c r="BF316" s="69">
        <v>257</v>
      </c>
      <c r="BG316" s="69">
        <v>295</v>
      </c>
      <c r="BH316" s="69">
        <v>273</v>
      </c>
      <c r="BI316" s="69">
        <v>1390</v>
      </c>
      <c r="BJ316" s="69"/>
      <c r="BK316" s="69" t="s">
        <v>25</v>
      </c>
      <c r="BL316" s="69">
        <v>42</v>
      </c>
      <c r="BM316" s="69">
        <v>0</v>
      </c>
      <c r="BN316" s="69">
        <v>0</v>
      </c>
      <c r="BO316" s="69">
        <v>0</v>
      </c>
      <c r="BP316" s="69">
        <v>0</v>
      </c>
      <c r="BQ316" s="69">
        <v>42</v>
      </c>
      <c r="BT316" s="21"/>
      <c r="CL316" s="57" t="s">
        <v>561</v>
      </c>
      <c r="CM316" s="57" t="s">
        <v>2253</v>
      </c>
      <c r="CN316" s="57">
        <v>99</v>
      </c>
      <c r="CO316" s="57">
        <v>115</v>
      </c>
      <c r="CP316" s="57">
        <v>247</v>
      </c>
      <c r="CQ316" s="57">
        <v>364</v>
      </c>
      <c r="CR316" s="57">
        <v>389</v>
      </c>
      <c r="CS316" s="57">
        <v>1214</v>
      </c>
      <c r="CT316" s="57"/>
      <c r="CU316" s="57" t="s">
        <v>2253</v>
      </c>
      <c r="CV316" s="57">
        <v>10</v>
      </c>
      <c r="CW316" s="57">
        <v>0</v>
      </c>
      <c r="CX316" s="57">
        <v>0</v>
      </c>
      <c r="CY316" s="57">
        <v>0</v>
      </c>
      <c r="CZ316" s="57">
        <v>0</v>
      </c>
      <c r="DA316" s="57">
        <v>10</v>
      </c>
      <c r="FE316" s="16">
        <v>15</v>
      </c>
      <c r="FF316" s="70" t="s">
        <v>1859</v>
      </c>
      <c r="FG316" s="70" t="s">
        <v>2253</v>
      </c>
      <c r="FH316" s="70">
        <v>67</v>
      </c>
      <c r="FI316" s="70">
        <v>105</v>
      </c>
      <c r="FJ316" s="70">
        <v>139</v>
      </c>
      <c r="FK316" s="70">
        <v>186</v>
      </c>
      <c r="FL316" s="70">
        <v>242</v>
      </c>
      <c r="FM316" s="70">
        <v>739</v>
      </c>
      <c r="FN316" s="70"/>
      <c r="FO316" s="70" t="s">
        <v>2253</v>
      </c>
      <c r="FP316" s="70">
        <v>8</v>
      </c>
      <c r="FQ316" s="70">
        <v>1</v>
      </c>
      <c r="FR316" s="70">
        <v>1</v>
      </c>
      <c r="FS316" s="70">
        <v>2</v>
      </c>
      <c r="FT316" s="70">
        <v>3</v>
      </c>
      <c r="FU316" s="70">
        <v>15</v>
      </c>
    </row>
    <row r="317" spans="2:177">
      <c r="B317" s="16"/>
      <c r="C317" s="16"/>
      <c r="D317" s="16"/>
      <c r="E317" s="16"/>
      <c r="F317" s="16"/>
      <c r="G317" s="16"/>
      <c r="H317" s="16"/>
      <c r="I317" s="16"/>
      <c r="J317" s="16"/>
      <c r="K317" s="16"/>
      <c r="L317" s="16"/>
      <c r="M317" s="16"/>
      <c r="N317" s="16"/>
      <c r="O317" s="16"/>
      <c r="P317" s="16"/>
      <c r="Q317" s="16"/>
      <c r="BB317" s="69" t="s">
        <v>1369</v>
      </c>
      <c r="BC317" s="69" t="s">
        <v>25</v>
      </c>
      <c r="BD317" s="69">
        <v>174</v>
      </c>
      <c r="BE317" s="69">
        <v>187</v>
      </c>
      <c r="BF317" s="69">
        <v>325</v>
      </c>
      <c r="BG317" s="69">
        <v>556</v>
      </c>
      <c r="BH317" s="69">
        <v>484</v>
      </c>
      <c r="BI317" s="69">
        <v>1726</v>
      </c>
      <c r="BJ317" s="69"/>
      <c r="BK317" s="69" t="s">
        <v>25</v>
      </c>
      <c r="BL317" s="69">
        <v>45</v>
      </c>
      <c r="BM317" s="69">
        <v>0</v>
      </c>
      <c r="BN317" s="69">
        <v>0</v>
      </c>
      <c r="BO317" s="69">
        <v>0</v>
      </c>
      <c r="BP317" s="69">
        <v>0</v>
      </c>
      <c r="BQ317" s="69">
        <v>45</v>
      </c>
      <c r="BT317" s="21"/>
      <c r="CL317" s="57" t="s">
        <v>360</v>
      </c>
      <c r="CM317" s="57" t="s">
        <v>2253</v>
      </c>
      <c r="CN317" s="57">
        <v>87</v>
      </c>
      <c r="CO317" s="57">
        <v>64</v>
      </c>
      <c r="CP317" s="57">
        <v>129</v>
      </c>
      <c r="CQ317" s="57">
        <v>175</v>
      </c>
      <c r="CR317" s="57">
        <v>202</v>
      </c>
      <c r="CS317" s="57">
        <v>657</v>
      </c>
      <c r="CT317" s="57"/>
      <c r="CU317" s="57" t="s">
        <v>2253</v>
      </c>
      <c r="CV317" s="57">
        <v>21</v>
      </c>
      <c r="CW317" s="57">
        <v>0</v>
      </c>
      <c r="CX317" s="57">
        <v>0</v>
      </c>
      <c r="CY317" s="57">
        <v>0</v>
      </c>
      <c r="CZ317" s="57">
        <v>0</v>
      </c>
      <c r="DA317" s="57">
        <v>21</v>
      </c>
      <c r="FE317" s="16">
        <v>10</v>
      </c>
      <c r="FF317" s="70" t="s">
        <v>1861</v>
      </c>
      <c r="FG317" s="70" t="s">
        <v>2253</v>
      </c>
      <c r="FH317" s="70">
        <v>218</v>
      </c>
      <c r="FI317" s="70">
        <v>178</v>
      </c>
      <c r="FJ317" s="70">
        <v>244</v>
      </c>
      <c r="FK317" s="70">
        <v>302</v>
      </c>
      <c r="FL317" s="70">
        <v>417</v>
      </c>
      <c r="FM317" s="70">
        <v>1359</v>
      </c>
      <c r="FN317" s="70"/>
      <c r="FO317" s="70" t="s">
        <v>2253</v>
      </c>
      <c r="FP317" s="70">
        <v>12</v>
      </c>
      <c r="FQ317" s="70">
        <v>1</v>
      </c>
      <c r="FR317" s="70">
        <v>5</v>
      </c>
      <c r="FS317" s="70">
        <v>3</v>
      </c>
      <c r="FT317" s="70">
        <v>3</v>
      </c>
      <c r="FU317" s="70">
        <v>24</v>
      </c>
    </row>
    <row r="318" spans="2:177">
      <c r="B318" s="64" t="s">
        <v>709</v>
      </c>
      <c r="C318" s="64" t="s">
        <v>2253</v>
      </c>
      <c r="D318" s="64">
        <v>81</v>
      </c>
      <c r="E318" s="64">
        <v>151</v>
      </c>
      <c r="F318" s="64">
        <v>309</v>
      </c>
      <c r="G318" s="64">
        <v>390</v>
      </c>
      <c r="H318" s="64">
        <v>323</v>
      </c>
      <c r="I318" s="64">
        <v>1254</v>
      </c>
      <c r="K318" s="64" t="s">
        <v>2253</v>
      </c>
      <c r="L318" s="64">
        <v>2</v>
      </c>
      <c r="M318" s="64">
        <v>0</v>
      </c>
      <c r="N318" s="64">
        <v>0</v>
      </c>
      <c r="O318" s="64">
        <v>0</v>
      </c>
      <c r="P318" s="64">
        <v>0</v>
      </c>
      <c r="Q318" s="64">
        <v>2</v>
      </c>
      <c r="BB318" s="69" t="s">
        <v>1373</v>
      </c>
      <c r="BC318" s="69" t="s">
        <v>25</v>
      </c>
      <c r="BD318" s="69">
        <v>41</v>
      </c>
      <c r="BE318" s="69">
        <v>66</v>
      </c>
      <c r="BF318" s="69">
        <v>142</v>
      </c>
      <c r="BG318" s="69">
        <v>218</v>
      </c>
      <c r="BH318" s="69">
        <v>239</v>
      </c>
      <c r="BI318" s="69">
        <v>706</v>
      </c>
      <c r="BJ318" s="69"/>
      <c r="BK318" s="69" t="s">
        <v>25</v>
      </c>
      <c r="BL318" s="69">
        <v>10</v>
      </c>
      <c r="BM318" s="69">
        <v>0</v>
      </c>
      <c r="BN318" s="69">
        <v>0</v>
      </c>
      <c r="BO318" s="69">
        <v>0</v>
      </c>
      <c r="BP318" s="69">
        <v>0</v>
      </c>
      <c r="BQ318" s="69">
        <v>10</v>
      </c>
      <c r="BT318" s="21"/>
      <c r="CL318" s="57" t="s">
        <v>492</v>
      </c>
      <c r="CM318" s="57" t="s">
        <v>2253</v>
      </c>
      <c r="CN318" s="57">
        <v>51</v>
      </c>
      <c r="CO318" s="57">
        <v>27</v>
      </c>
      <c r="CP318" s="57">
        <v>56</v>
      </c>
      <c r="CQ318" s="57">
        <v>69</v>
      </c>
      <c r="CR318" s="57">
        <v>76</v>
      </c>
      <c r="CS318" s="57">
        <v>279</v>
      </c>
      <c r="CT318" s="57"/>
      <c r="CU318" s="57" t="s">
        <v>2253</v>
      </c>
      <c r="CV318" s="57">
        <v>24</v>
      </c>
      <c r="CW318" s="57">
        <v>0</v>
      </c>
      <c r="CX318" s="57">
        <v>0</v>
      </c>
      <c r="CY318" s="57">
        <v>0</v>
      </c>
      <c r="CZ318" s="57">
        <v>0</v>
      </c>
      <c r="DA318" s="57">
        <v>24</v>
      </c>
      <c r="FE318" s="16">
        <v>20</v>
      </c>
      <c r="FF318" s="70" t="s">
        <v>1863</v>
      </c>
      <c r="FG318" s="70" t="s">
        <v>2253</v>
      </c>
      <c r="FH318" s="70">
        <v>112</v>
      </c>
      <c r="FI318" s="70">
        <v>168</v>
      </c>
      <c r="FJ318" s="70">
        <v>213</v>
      </c>
      <c r="FK318" s="70">
        <v>245</v>
      </c>
      <c r="FL318" s="70">
        <v>362</v>
      </c>
      <c r="FM318" s="70">
        <v>1100</v>
      </c>
      <c r="FN318" s="70"/>
      <c r="FO318" s="70" t="s">
        <v>2253</v>
      </c>
      <c r="FP318" s="70">
        <v>5</v>
      </c>
      <c r="FQ318" s="70">
        <v>6</v>
      </c>
      <c r="FR318" s="70">
        <v>3</v>
      </c>
      <c r="FS318" s="70">
        <v>5</v>
      </c>
      <c r="FT318" s="70">
        <v>7</v>
      </c>
      <c r="FU318" s="70">
        <v>26</v>
      </c>
    </row>
    <row r="319" spans="2:177">
      <c r="B319" s="64" t="s">
        <v>717</v>
      </c>
      <c r="C319" s="64" t="s">
        <v>2253</v>
      </c>
      <c r="D319" s="64">
        <v>100</v>
      </c>
      <c r="E319" s="64">
        <v>292</v>
      </c>
      <c r="F319" s="64">
        <v>443</v>
      </c>
      <c r="G319" s="64">
        <v>564</v>
      </c>
      <c r="H319" s="64">
        <v>450</v>
      </c>
      <c r="I319" s="64">
        <v>1849</v>
      </c>
      <c r="K319" s="64" t="s">
        <v>2253</v>
      </c>
      <c r="L319" s="64">
        <v>1</v>
      </c>
      <c r="M319" s="64">
        <v>3</v>
      </c>
      <c r="N319" s="64">
        <v>0</v>
      </c>
      <c r="O319" s="64">
        <v>0</v>
      </c>
      <c r="P319" s="64">
        <v>0</v>
      </c>
      <c r="Q319" s="64">
        <v>4</v>
      </c>
      <c r="BB319" s="69" t="s">
        <v>41</v>
      </c>
      <c r="BC319" s="69" t="s">
        <v>25</v>
      </c>
      <c r="BD319" s="69">
        <v>368</v>
      </c>
      <c r="BE319" s="69">
        <v>409</v>
      </c>
      <c r="BF319" s="69">
        <v>861</v>
      </c>
      <c r="BG319" s="69">
        <v>1260</v>
      </c>
      <c r="BH319" s="69">
        <v>1160</v>
      </c>
      <c r="BI319" s="69">
        <v>4058</v>
      </c>
      <c r="BJ319" s="69"/>
      <c r="BK319" s="69" t="s">
        <v>25</v>
      </c>
      <c r="BL319" s="69">
        <v>58</v>
      </c>
      <c r="BM319" s="69">
        <v>0</v>
      </c>
      <c r="BN319" s="69">
        <v>0</v>
      </c>
      <c r="BO319" s="69">
        <v>0</v>
      </c>
      <c r="BP319" s="69">
        <v>0</v>
      </c>
      <c r="BQ319" s="69">
        <v>58</v>
      </c>
      <c r="BT319" s="21"/>
      <c r="CL319" s="57" t="s">
        <v>356</v>
      </c>
      <c r="CM319" s="57" t="s">
        <v>2253</v>
      </c>
      <c r="CN319" s="57">
        <v>104</v>
      </c>
      <c r="CO319" s="57">
        <v>65</v>
      </c>
      <c r="CP319" s="57">
        <v>119</v>
      </c>
      <c r="CQ319" s="57">
        <v>174</v>
      </c>
      <c r="CR319" s="57">
        <v>175</v>
      </c>
      <c r="CS319" s="57">
        <v>637</v>
      </c>
      <c r="CT319" s="57"/>
      <c r="CU319" s="57" t="s">
        <v>2253</v>
      </c>
      <c r="CV319" s="57">
        <v>17</v>
      </c>
      <c r="CW319" s="57">
        <v>0</v>
      </c>
      <c r="CX319" s="57">
        <v>0</v>
      </c>
      <c r="CY319" s="57">
        <v>0</v>
      </c>
      <c r="CZ319" s="57">
        <v>0</v>
      </c>
      <c r="DA319" s="57">
        <v>17</v>
      </c>
      <c r="FE319" s="16">
        <v>15</v>
      </c>
      <c r="FF319" s="70" t="s">
        <v>1865</v>
      </c>
      <c r="FG319" s="70" t="s">
        <v>2253</v>
      </c>
      <c r="FH319" s="70">
        <v>67</v>
      </c>
      <c r="FI319" s="70">
        <v>96</v>
      </c>
      <c r="FJ319" s="70">
        <v>150</v>
      </c>
      <c r="FK319" s="70">
        <v>210</v>
      </c>
      <c r="FL319" s="70">
        <v>274</v>
      </c>
      <c r="FM319" s="70">
        <v>797</v>
      </c>
      <c r="FN319" s="70"/>
      <c r="FO319" s="70" t="s">
        <v>2253</v>
      </c>
      <c r="FP319" s="70">
        <v>7</v>
      </c>
      <c r="FQ319" s="70">
        <v>1</v>
      </c>
      <c r="FR319" s="70">
        <v>2</v>
      </c>
      <c r="FS319" s="70">
        <v>1</v>
      </c>
      <c r="FT319" s="70">
        <v>1</v>
      </c>
      <c r="FU319" s="70">
        <v>12</v>
      </c>
    </row>
    <row r="320" spans="2:177">
      <c r="B320" s="64" t="s">
        <v>721</v>
      </c>
      <c r="C320" s="64" t="s">
        <v>2253</v>
      </c>
      <c r="D320" s="64">
        <v>1018</v>
      </c>
      <c r="E320" s="64">
        <v>758</v>
      </c>
      <c r="F320" s="64">
        <v>904</v>
      </c>
      <c r="G320" s="64">
        <v>852</v>
      </c>
      <c r="H320" s="64">
        <v>513</v>
      </c>
      <c r="I320" s="64">
        <v>4045</v>
      </c>
      <c r="K320" s="64" t="s">
        <v>2253</v>
      </c>
      <c r="L320" s="64">
        <v>127</v>
      </c>
      <c r="M320" s="64">
        <v>2</v>
      </c>
      <c r="N320" s="64">
        <v>1</v>
      </c>
      <c r="O320" s="64">
        <v>1</v>
      </c>
      <c r="P320" s="64">
        <v>0</v>
      </c>
      <c r="Q320" s="64">
        <v>131</v>
      </c>
      <c r="BB320" s="69" t="s">
        <v>1380</v>
      </c>
      <c r="BC320" s="69" t="s">
        <v>25</v>
      </c>
      <c r="BD320" s="69">
        <v>429</v>
      </c>
      <c r="BE320" s="69">
        <v>355</v>
      </c>
      <c r="BF320" s="69">
        <v>666</v>
      </c>
      <c r="BG320" s="69">
        <v>920</v>
      </c>
      <c r="BH320" s="69">
        <v>867</v>
      </c>
      <c r="BI320" s="69">
        <v>3237</v>
      </c>
      <c r="BJ320" s="69"/>
      <c r="BK320" s="69" t="s">
        <v>25</v>
      </c>
      <c r="BL320" s="69">
        <v>39</v>
      </c>
      <c r="BM320" s="69">
        <v>0</v>
      </c>
      <c r="BN320" s="69">
        <v>0</v>
      </c>
      <c r="BO320" s="69">
        <v>0</v>
      </c>
      <c r="BP320" s="69">
        <v>0</v>
      </c>
      <c r="BQ320" s="69">
        <v>39</v>
      </c>
      <c r="BT320" s="21"/>
      <c r="CL320" s="57" t="s">
        <v>361</v>
      </c>
      <c r="CM320" s="57" t="s">
        <v>2253</v>
      </c>
      <c r="CN320" s="57">
        <v>123</v>
      </c>
      <c r="CO320" s="57">
        <v>61</v>
      </c>
      <c r="CP320" s="57">
        <v>104</v>
      </c>
      <c r="CQ320" s="57">
        <v>120</v>
      </c>
      <c r="CR320" s="57">
        <v>136</v>
      </c>
      <c r="CS320" s="57">
        <v>544</v>
      </c>
      <c r="CT320" s="57"/>
      <c r="CU320" s="57" t="s">
        <v>2253</v>
      </c>
      <c r="CV320" s="57">
        <v>24</v>
      </c>
      <c r="CW320" s="57">
        <v>0</v>
      </c>
      <c r="CX320" s="57">
        <v>0</v>
      </c>
      <c r="CY320" s="57">
        <v>0</v>
      </c>
      <c r="CZ320" s="57">
        <v>0</v>
      </c>
      <c r="DA320" s="57">
        <v>24</v>
      </c>
      <c r="FE320" s="16">
        <v>15</v>
      </c>
      <c r="FF320" s="70" t="s">
        <v>1867</v>
      </c>
      <c r="FG320" s="70" t="s">
        <v>2253</v>
      </c>
      <c r="FH320" s="70">
        <v>82</v>
      </c>
      <c r="FI320" s="70">
        <v>124</v>
      </c>
      <c r="FJ320" s="70">
        <v>134</v>
      </c>
      <c r="FK320" s="70">
        <v>174</v>
      </c>
      <c r="FL320" s="70">
        <v>243</v>
      </c>
      <c r="FM320" s="70">
        <v>757</v>
      </c>
      <c r="FN320" s="70"/>
      <c r="FO320" s="70" t="s">
        <v>2253</v>
      </c>
      <c r="FP320" s="70">
        <v>16</v>
      </c>
      <c r="FQ320" s="70">
        <v>5</v>
      </c>
      <c r="FR320" s="70">
        <v>3</v>
      </c>
      <c r="FS320" s="70">
        <v>1</v>
      </c>
      <c r="FT320" s="70">
        <v>1</v>
      </c>
      <c r="FU320" s="70">
        <v>26</v>
      </c>
    </row>
    <row r="321" spans="2:177">
      <c r="B321" s="64" t="s">
        <v>726</v>
      </c>
      <c r="C321" s="64" t="s">
        <v>2253</v>
      </c>
      <c r="D321" s="64">
        <v>711</v>
      </c>
      <c r="E321" s="64">
        <v>934</v>
      </c>
      <c r="F321" s="64">
        <v>1352</v>
      </c>
      <c r="G321" s="64">
        <v>1343</v>
      </c>
      <c r="H321" s="64">
        <v>817</v>
      </c>
      <c r="I321" s="64">
        <v>5157</v>
      </c>
      <c r="K321" s="64" t="s">
        <v>2253</v>
      </c>
      <c r="L321" s="64">
        <v>37</v>
      </c>
      <c r="M321" s="64">
        <v>5</v>
      </c>
      <c r="N321" s="64">
        <v>0</v>
      </c>
      <c r="O321" s="64">
        <v>0</v>
      </c>
      <c r="P321" s="64">
        <v>0</v>
      </c>
      <c r="Q321" s="64">
        <v>42</v>
      </c>
      <c r="BB321" s="69" t="s">
        <v>1383</v>
      </c>
      <c r="BC321" s="69" t="s">
        <v>25</v>
      </c>
      <c r="BD321" s="69">
        <v>330</v>
      </c>
      <c r="BE321" s="69">
        <v>379</v>
      </c>
      <c r="BF321" s="69">
        <v>622</v>
      </c>
      <c r="BG321" s="69">
        <v>890</v>
      </c>
      <c r="BH321" s="69">
        <v>785</v>
      </c>
      <c r="BI321" s="69">
        <v>3006</v>
      </c>
      <c r="BJ321" s="69"/>
      <c r="BK321" s="69" t="s">
        <v>25</v>
      </c>
      <c r="BL321" s="69">
        <v>39</v>
      </c>
      <c r="BM321" s="69">
        <v>0</v>
      </c>
      <c r="BN321" s="69">
        <v>0</v>
      </c>
      <c r="BO321" s="69">
        <v>0</v>
      </c>
      <c r="BP321" s="69">
        <v>0</v>
      </c>
      <c r="BQ321" s="69">
        <v>39</v>
      </c>
      <c r="BT321" s="21"/>
      <c r="CL321" s="57" t="s">
        <v>359</v>
      </c>
      <c r="CM321" s="57" t="s">
        <v>2253</v>
      </c>
      <c r="CN321" s="57">
        <v>52</v>
      </c>
      <c r="CO321" s="57">
        <v>46</v>
      </c>
      <c r="CP321" s="57">
        <v>75</v>
      </c>
      <c r="CQ321" s="57">
        <v>142</v>
      </c>
      <c r="CR321" s="57">
        <v>176</v>
      </c>
      <c r="CS321" s="57">
        <v>491</v>
      </c>
      <c r="CT321" s="57"/>
      <c r="CU321" s="57" t="s">
        <v>2253</v>
      </c>
      <c r="CV321" s="57">
        <v>18</v>
      </c>
      <c r="CW321" s="57">
        <v>0</v>
      </c>
      <c r="CX321" s="57">
        <v>0</v>
      </c>
      <c r="CY321" s="57">
        <v>0</v>
      </c>
      <c r="CZ321" s="57">
        <v>0</v>
      </c>
      <c r="DA321" s="57">
        <v>18</v>
      </c>
      <c r="FE321" s="16">
        <v>20</v>
      </c>
      <c r="FF321" s="70" t="s">
        <v>1869</v>
      </c>
      <c r="FG321" s="70" t="s">
        <v>2253</v>
      </c>
      <c r="FH321" s="70">
        <v>267</v>
      </c>
      <c r="FI321" s="70">
        <v>286</v>
      </c>
      <c r="FJ321" s="70">
        <v>312</v>
      </c>
      <c r="FK321" s="70">
        <v>267</v>
      </c>
      <c r="FL321" s="70">
        <v>375</v>
      </c>
      <c r="FM321" s="70">
        <v>1507</v>
      </c>
      <c r="FN321" s="70"/>
      <c r="FO321" s="70" t="s">
        <v>2253</v>
      </c>
      <c r="FP321" s="70">
        <v>34</v>
      </c>
      <c r="FQ321" s="70">
        <v>16</v>
      </c>
      <c r="FR321" s="70">
        <v>8</v>
      </c>
      <c r="FS321" s="70">
        <v>4</v>
      </c>
      <c r="FT321" s="70">
        <v>1</v>
      </c>
      <c r="FU321" s="70">
        <v>63</v>
      </c>
    </row>
    <row r="322" spans="2:177">
      <c r="B322" s="64" t="s">
        <v>730</v>
      </c>
      <c r="C322" s="64" t="s">
        <v>2253</v>
      </c>
      <c r="D322" s="64">
        <v>934</v>
      </c>
      <c r="E322" s="64">
        <v>973</v>
      </c>
      <c r="F322" s="64">
        <v>1184</v>
      </c>
      <c r="G322" s="64">
        <v>1160</v>
      </c>
      <c r="H322" s="64">
        <v>818</v>
      </c>
      <c r="I322" s="64">
        <v>5069</v>
      </c>
      <c r="K322" s="64" t="s">
        <v>2253</v>
      </c>
      <c r="L322" s="64">
        <v>72</v>
      </c>
      <c r="M322" s="64">
        <v>3</v>
      </c>
      <c r="N322" s="64">
        <v>0</v>
      </c>
      <c r="O322" s="64">
        <v>0</v>
      </c>
      <c r="P322" s="64">
        <v>1</v>
      </c>
      <c r="Q322" s="64">
        <v>76</v>
      </c>
      <c r="BB322" s="69" t="s">
        <v>1386</v>
      </c>
      <c r="BC322" s="69" t="s">
        <v>25</v>
      </c>
      <c r="BD322" s="69">
        <v>115</v>
      </c>
      <c r="BE322" s="69">
        <v>96</v>
      </c>
      <c r="BF322" s="69">
        <v>238</v>
      </c>
      <c r="BG322" s="69">
        <v>361</v>
      </c>
      <c r="BH322" s="69">
        <v>372</v>
      </c>
      <c r="BI322" s="69">
        <v>1182</v>
      </c>
      <c r="BJ322" s="69"/>
      <c r="BK322" s="69" t="s">
        <v>25</v>
      </c>
      <c r="BL322" s="69">
        <v>23</v>
      </c>
      <c r="BM322" s="69">
        <v>0</v>
      </c>
      <c r="BN322" s="69">
        <v>0</v>
      </c>
      <c r="BO322" s="69">
        <v>0</v>
      </c>
      <c r="BP322" s="69">
        <v>0</v>
      </c>
      <c r="BQ322" s="69">
        <v>23</v>
      </c>
      <c r="BT322" s="21"/>
      <c r="CL322" s="57" t="s">
        <v>553</v>
      </c>
      <c r="CM322" s="57" t="s">
        <v>2253</v>
      </c>
      <c r="CN322" s="57">
        <v>1473</v>
      </c>
      <c r="CO322" s="57">
        <v>859</v>
      </c>
      <c r="CP322" s="57">
        <v>886</v>
      </c>
      <c r="CQ322" s="57">
        <v>939</v>
      </c>
      <c r="CR322" s="57">
        <v>690</v>
      </c>
      <c r="CS322" s="57">
        <v>4847</v>
      </c>
      <c r="CT322" s="57"/>
      <c r="CU322" s="57" t="s">
        <v>2253</v>
      </c>
      <c r="CV322" s="57">
        <v>211</v>
      </c>
      <c r="CW322" s="57">
        <v>0</v>
      </c>
      <c r="CX322" s="57">
        <v>0</v>
      </c>
      <c r="CY322" s="57">
        <v>0</v>
      </c>
      <c r="CZ322" s="57">
        <v>0</v>
      </c>
      <c r="DA322" s="57">
        <v>211</v>
      </c>
      <c r="FE322" s="16">
        <v>10</v>
      </c>
      <c r="FF322" s="70" t="s">
        <v>594</v>
      </c>
      <c r="FG322" s="70" t="s">
        <v>2253</v>
      </c>
      <c r="FH322" s="70">
        <v>50</v>
      </c>
      <c r="FI322" s="70">
        <v>75</v>
      </c>
      <c r="FJ322" s="70">
        <v>120</v>
      </c>
      <c r="FK322" s="70">
        <v>149</v>
      </c>
      <c r="FL322" s="70">
        <v>206</v>
      </c>
      <c r="FM322" s="70">
        <v>600</v>
      </c>
      <c r="FN322" s="70"/>
      <c r="FO322" s="70" t="s">
        <v>2253</v>
      </c>
      <c r="FP322" s="70">
        <v>3</v>
      </c>
      <c r="FQ322" s="70">
        <v>1</v>
      </c>
      <c r="FR322" s="70">
        <v>0</v>
      </c>
      <c r="FS322" s="70">
        <v>0</v>
      </c>
      <c r="FT322" s="70">
        <v>1</v>
      </c>
      <c r="FU322" s="70">
        <v>5</v>
      </c>
    </row>
    <row r="323" spans="2:177">
      <c r="B323" s="64" t="s">
        <v>736</v>
      </c>
      <c r="C323" s="64" t="s">
        <v>2253</v>
      </c>
      <c r="D323" s="64">
        <v>247</v>
      </c>
      <c r="E323" s="64">
        <v>488</v>
      </c>
      <c r="F323" s="64">
        <v>767</v>
      </c>
      <c r="G323" s="64">
        <v>911</v>
      </c>
      <c r="H323" s="64">
        <v>573</v>
      </c>
      <c r="I323" s="64">
        <v>2986</v>
      </c>
      <c r="K323" s="64" t="s">
        <v>2253</v>
      </c>
      <c r="L323" s="64">
        <v>21</v>
      </c>
      <c r="M323" s="64">
        <v>0</v>
      </c>
      <c r="N323" s="64">
        <v>0</v>
      </c>
      <c r="O323" s="64">
        <v>0</v>
      </c>
      <c r="P323" s="64">
        <v>0</v>
      </c>
      <c r="Q323" s="64">
        <v>21</v>
      </c>
      <c r="BB323" s="69" t="s">
        <v>1389</v>
      </c>
      <c r="BC323" s="69" t="s">
        <v>25</v>
      </c>
      <c r="BD323" s="69">
        <v>51</v>
      </c>
      <c r="BE323" s="69">
        <v>51</v>
      </c>
      <c r="BF323" s="69">
        <v>110</v>
      </c>
      <c r="BG323" s="69">
        <v>188</v>
      </c>
      <c r="BH323" s="69">
        <v>201</v>
      </c>
      <c r="BI323" s="69">
        <v>601</v>
      </c>
      <c r="BJ323" s="69"/>
      <c r="BK323" s="69" t="s">
        <v>25</v>
      </c>
      <c r="BL323" s="69">
        <v>12</v>
      </c>
      <c r="BM323" s="69">
        <v>0</v>
      </c>
      <c r="BN323" s="69">
        <v>0</v>
      </c>
      <c r="BO323" s="69">
        <v>0</v>
      </c>
      <c r="BP323" s="69">
        <v>0</v>
      </c>
      <c r="BQ323" s="69">
        <v>12</v>
      </c>
      <c r="BT323" s="21"/>
      <c r="CL323" s="57" t="s">
        <v>497</v>
      </c>
      <c r="CM323" s="57" t="s">
        <v>2253</v>
      </c>
      <c r="CN323" s="57">
        <v>119</v>
      </c>
      <c r="CO323" s="57">
        <v>99</v>
      </c>
      <c r="CP323" s="57">
        <v>225</v>
      </c>
      <c r="CQ323" s="57">
        <v>358</v>
      </c>
      <c r="CR323" s="57">
        <v>317</v>
      </c>
      <c r="CS323" s="57">
        <v>1118</v>
      </c>
      <c r="CT323" s="57"/>
      <c r="CU323" s="57" t="s">
        <v>2253</v>
      </c>
      <c r="CV323" s="57">
        <v>24</v>
      </c>
      <c r="CW323" s="57">
        <v>0</v>
      </c>
      <c r="CX323" s="57">
        <v>0</v>
      </c>
      <c r="CY323" s="57">
        <v>0</v>
      </c>
      <c r="CZ323" s="57">
        <v>0</v>
      </c>
      <c r="DA323" s="57">
        <v>24</v>
      </c>
      <c r="FE323" s="16">
        <v>15</v>
      </c>
      <c r="FF323" s="70" t="s">
        <v>1871</v>
      </c>
      <c r="FG323" s="70" t="s">
        <v>2253</v>
      </c>
      <c r="FH323" s="70">
        <v>165</v>
      </c>
      <c r="FI323" s="70">
        <v>200</v>
      </c>
      <c r="FJ323" s="70">
        <v>223</v>
      </c>
      <c r="FK323" s="70">
        <v>230</v>
      </c>
      <c r="FL323" s="70">
        <v>338</v>
      </c>
      <c r="FM323" s="70">
        <v>1156</v>
      </c>
      <c r="FN323" s="70"/>
      <c r="FO323" s="70" t="s">
        <v>2253</v>
      </c>
      <c r="FP323" s="70">
        <v>18</v>
      </c>
      <c r="FQ323" s="70">
        <v>8</v>
      </c>
      <c r="FR323" s="70">
        <v>1</v>
      </c>
      <c r="FS323" s="70">
        <v>4</v>
      </c>
      <c r="FT323" s="70">
        <v>0</v>
      </c>
      <c r="FU323" s="70">
        <v>31</v>
      </c>
    </row>
    <row r="324" spans="2:177">
      <c r="B324" s="64" t="s">
        <v>741</v>
      </c>
      <c r="C324" s="64" t="s">
        <v>2253</v>
      </c>
      <c r="D324" s="64">
        <v>476</v>
      </c>
      <c r="E324" s="64">
        <v>633</v>
      </c>
      <c r="F324" s="64">
        <v>965</v>
      </c>
      <c r="G324" s="64">
        <v>972</v>
      </c>
      <c r="H324" s="64">
        <v>706</v>
      </c>
      <c r="I324" s="64">
        <v>3752</v>
      </c>
      <c r="K324" s="64" t="s">
        <v>2253</v>
      </c>
      <c r="L324" s="64">
        <v>32</v>
      </c>
      <c r="M324" s="64">
        <v>0</v>
      </c>
      <c r="N324" s="64">
        <v>0</v>
      </c>
      <c r="O324" s="64">
        <v>0</v>
      </c>
      <c r="P324" s="64">
        <v>0</v>
      </c>
      <c r="Q324" s="64">
        <v>32</v>
      </c>
      <c r="BB324" s="69" t="s">
        <v>1392</v>
      </c>
      <c r="BC324" s="69" t="s">
        <v>25</v>
      </c>
      <c r="BD324" s="69">
        <v>174</v>
      </c>
      <c r="BE324" s="69">
        <v>82</v>
      </c>
      <c r="BF324" s="69">
        <v>115</v>
      </c>
      <c r="BG324" s="69">
        <v>196</v>
      </c>
      <c r="BH324" s="69">
        <v>195</v>
      </c>
      <c r="BI324" s="69">
        <v>762</v>
      </c>
      <c r="BJ324" s="69"/>
      <c r="BK324" s="69" t="s">
        <v>25</v>
      </c>
      <c r="BL324" s="69">
        <v>49</v>
      </c>
      <c r="BM324" s="69">
        <v>0</v>
      </c>
      <c r="BN324" s="69">
        <v>0</v>
      </c>
      <c r="BO324" s="69">
        <v>0</v>
      </c>
      <c r="BP324" s="69">
        <v>0</v>
      </c>
      <c r="BQ324" s="69">
        <v>49</v>
      </c>
      <c r="BT324" s="21"/>
      <c r="CL324" s="57" t="s">
        <v>525</v>
      </c>
      <c r="CM324" s="57" t="s">
        <v>2253</v>
      </c>
      <c r="CN324" s="57">
        <v>96</v>
      </c>
      <c r="CO324" s="57">
        <v>40</v>
      </c>
      <c r="CP324" s="57">
        <v>79</v>
      </c>
      <c r="CQ324" s="57">
        <v>106</v>
      </c>
      <c r="CR324" s="57">
        <v>109</v>
      </c>
      <c r="CS324" s="57">
        <v>430</v>
      </c>
      <c r="CT324" s="57"/>
      <c r="CU324" s="57" t="s">
        <v>2253</v>
      </c>
      <c r="CV324" s="57">
        <v>26</v>
      </c>
      <c r="CW324" s="57">
        <v>0</v>
      </c>
      <c r="CX324" s="57">
        <v>0</v>
      </c>
      <c r="CY324" s="57">
        <v>0</v>
      </c>
      <c r="CZ324" s="57">
        <v>0</v>
      </c>
      <c r="DA324" s="57">
        <v>26</v>
      </c>
      <c r="FE324" s="16">
        <v>10</v>
      </c>
      <c r="FF324" s="70" t="s">
        <v>2220</v>
      </c>
      <c r="FG324" s="70" t="s">
        <v>2253</v>
      </c>
      <c r="FH324" s="70">
        <v>72</v>
      </c>
      <c r="FI324" s="70">
        <v>70</v>
      </c>
      <c r="FJ324" s="70">
        <v>112</v>
      </c>
      <c r="FK324" s="70">
        <v>126</v>
      </c>
      <c r="FL324" s="70">
        <v>207</v>
      </c>
      <c r="FM324" s="70">
        <v>587</v>
      </c>
      <c r="FN324" s="70"/>
      <c r="FO324" s="70" t="s">
        <v>2253</v>
      </c>
      <c r="FP324" s="70">
        <v>5</v>
      </c>
      <c r="FQ324" s="70">
        <v>0</v>
      </c>
      <c r="FR324" s="70">
        <v>1</v>
      </c>
      <c r="FS324" s="70">
        <v>2</v>
      </c>
      <c r="FT324" s="70">
        <v>0</v>
      </c>
      <c r="FU324" s="70">
        <v>8</v>
      </c>
    </row>
    <row r="325" spans="2:177">
      <c r="B325" s="64" t="s">
        <v>744</v>
      </c>
      <c r="C325" s="64" t="s">
        <v>2253</v>
      </c>
      <c r="D325" s="64">
        <v>756</v>
      </c>
      <c r="E325" s="64">
        <v>863</v>
      </c>
      <c r="F325" s="64">
        <v>953</v>
      </c>
      <c r="G325" s="64">
        <v>999</v>
      </c>
      <c r="H325" s="64">
        <v>678</v>
      </c>
      <c r="I325" s="64">
        <v>4249</v>
      </c>
      <c r="K325" s="64" t="s">
        <v>2253</v>
      </c>
      <c r="L325" s="64">
        <v>102</v>
      </c>
      <c r="M325" s="64">
        <v>0</v>
      </c>
      <c r="N325" s="64">
        <v>0</v>
      </c>
      <c r="O325" s="64">
        <v>0</v>
      </c>
      <c r="P325" s="64">
        <v>0</v>
      </c>
      <c r="Q325" s="64">
        <v>102</v>
      </c>
      <c r="CL325" s="57" t="s">
        <v>546</v>
      </c>
      <c r="CM325" s="57" t="s">
        <v>2253</v>
      </c>
      <c r="CN325" s="57">
        <v>122</v>
      </c>
      <c r="CO325" s="57">
        <v>179</v>
      </c>
      <c r="CP325" s="57">
        <v>303</v>
      </c>
      <c r="CQ325" s="57">
        <v>369</v>
      </c>
      <c r="CR325" s="57">
        <v>367</v>
      </c>
      <c r="CS325" s="57">
        <v>1340</v>
      </c>
      <c r="CT325" s="57"/>
      <c r="CU325" s="57" t="s">
        <v>2253</v>
      </c>
      <c r="CV325" s="57">
        <v>30</v>
      </c>
      <c r="CW325" s="57">
        <v>0</v>
      </c>
      <c r="CX325" s="57">
        <v>0</v>
      </c>
      <c r="CY325" s="57">
        <v>0</v>
      </c>
      <c r="CZ325" s="57">
        <v>0</v>
      </c>
      <c r="DA325" s="57">
        <v>30</v>
      </c>
      <c r="FE325" s="16">
        <v>25</v>
      </c>
      <c r="FF325" s="70" t="s">
        <v>1875</v>
      </c>
      <c r="FG325" s="70" t="s">
        <v>2253</v>
      </c>
      <c r="FH325" s="70">
        <v>167</v>
      </c>
      <c r="FI325" s="70">
        <v>285</v>
      </c>
      <c r="FJ325" s="70">
        <v>316</v>
      </c>
      <c r="FK325" s="70">
        <v>377</v>
      </c>
      <c r="FL325" s="70">
        <v>474</v>
      </c>
      <c r="FM325" s="70">
        <v>1619</v>
      </c>
      <c r="FN325" s="70"/>
      <c r="FO325" s="70" t="s">
        <v>2253</v>
      </c>
      <c r="FP325" s="70">
        <v>26</v>
      </c>
      <c r="FQ325" s="70">
        <v>21</v>
      </c>
      <c r="FR325" s="70">
        <v>8</v>
      </c>
      <c r="FS325" s="70">
        <v>2</v>
      </c>
      <c r="FT325" s="70">
        <v>5</v>
      </c>
      <c r="FU325" s="70">
        <v>62</v>
      </c>
    </row>
    <row r="326" spans="2:177">
      <c r="B326" s="64" t="s">
        <v>747</v>
      </c>
      <c r="C326" s="64" t="s">
        <v>2253</v>
      </c>
      <c r="D326" s="64">
        <v>322</v>
      </c>
      <c r="E326" s="64">
        <v>269</v>
      </c>
      <c r="F326" s="64">
        <v>432</v>
      </c>
      <c r="G326" s="64">
        <v>508</v>
      </c>
      <c r="H326" s="64">
        <v>364</v>
      </c>
      <c r="I326" s="64">
        <v>1895</v>
      </c>
      <c r="K326" s="64" t="s">
        <v>2253</v>
      </c>
      <c r="L326" s="64">
        <v>54</v>
      </c>
      <c r="M326" s="64">
        <v>4</v>
      </c>
      <c r="N326" s="64">
        <v>0</v>
      </c>
      <c r="O326" s="64">
        <v>1</v>
      </c>
      <c r="P326" s="64">
        <v>0</v>
      </c>
      <c r="Q326" s="64">
        <v>59</v>
      </c>
      <c r="BB326" s="69" t="s">
        <v>1152</v>
      </c>
      <c r="BC326" s="69" t="s">
        <v>2098</v>
      </c>
      <c r="BD326" s="69">
        <v>200</v>
      </c>
      <c r="BE326" s="69">
        <v>226</v>
      </c>
      <c r="BF326" s="69">
        <v>402</v>
      </c>
      <c r="BG326" s="69">
        <v>570</v>
      </c>
      <c r="BH326" s="69">
        <v>564</v>
      </c>
      <c r="BI326" s="69">
        <v>1962</v>
      </c>
      <c r="BJ326" s="69"/>
      <c r="BK326" s="69" t="s">
        <v>2098</v>
      </c>
      <c r="BL326" s="69">
        <v>25</v>
      </c>
      <c r="BM326" s="69">
        <v>0</v>
      </c>
      <c r="BN326" s="69">
        <v>0</v>
      </c>
      <c r="BO326" s="69">
        <v>0</v>
      </c>
      <c r="BP326" s="69">
        <v>0</v>
      </c>
      <c r="BQ326" s="69">
        <v>25</v>
      </c>
    </row>
    <row r="327" spans="2:177">
      <c r="B327" s="64" t="s">
        <v>749</v>
      </c>
      <c r="C327" s="64" t="s">
        <v>2253</v>
      </c>
      <c r="D327" s="64">
        <v>63</v>
      </c>
      <c r="E327" s="64">
        <v>173</v>
      </c>
      <c r="F327" s="64">
        <v>334</v>
      </c>
      <c r="G327" s="64">
        <v>456</v>
      </c>
      <c r="H327" s="64">
        <v>340</v>
      </c>
      <c r="I327" s="64">
        <v>1366</v>
      </c>
      <c r="K327" s="64" t="s">
        <v>2253</v>
      </c>
      <c r="L327" s="64">
        <v>6</v>
      </c>
      <c r="M327" s="64">
        <v>2</v>
      </c>
      <c r="N327" s="64">
        <v>0</v>
      </c>
      <c r="O327" s="64">
        <v>0</v>
      </c>
      <c r="P327" s="64">
        <v>0</v>
      </c>
      <c r="Q327" s="64">
        <v>8</v>
      </c>
      <c r="BB327" s="69" t="s">
        <v>1155</v>
      </c>
      <c r="BC327" s="69" t="s">
        <v>2098</v>
      </c>
      <c r="BD327" s="69">
        <v>419</v>
      </c>
      <c r="BE327" s="69">
        <v>254</v>
      </c>
      <c r="BF327" s="69">
        <v>387</v>
      </c>
      <c r="BG327" s="69">
        <v>478</v>
      </c>
      <c r="BH327" s="69">
        <v>416</v>
      </c>
      <c r="BI327" s="69">
        <v>1954</v>
      </c>
      <c r="BJ327" s="69"/>
      <c r="BK327" s="69" t="s">
        <v>2098</v>
      </c>
      <c r="BL327" s="69">
        <v>82</v>
      </c>
      <c r="BM327" s="69">
        <v>0</v>
      </c>
      <c r="BN327" s="69">
        <v>0</v>
      </c>
      <c r="BO327" s="69">
        <v>0</v>
      </c>
      <c r="BP327" s="69">
        <v>0</v>
      </c>
      <c r="BQ327" s="69">
        <v>82</v>
      </c>
    </row>
    <row r="328" spans="2:177">
      <c r="B328" s="64" t="s">
        <v>752</v>
      </c>
      <c r="C328" s="64" t="s">
        <v>2253</v>
      </c>
      <c r="D328" s="64">
        <v>66</v>
      </c>
      <c r="E328" s="64">
        <v>157</v>
      </c>
      <c r="F328" s="64">
        <v>312</v>
      </c>
      <c r="G328" s="64">
        <v>488</v>
      </c>
      <c r="H328" s="64">
        <v>342</v>
      </c>
      <c r="I328" s="64">
        <v>1365</v>
      </c>
      <c r="K328" s="64" t="s">
        <v>2253</v>
      </c>
      <c r="L328" s="64">
        <v>3</v>
      </c>
      <c r="M328" s="64">
        <v>2</v>
      </c>
      <c r="N328" s="64">
        <v>2</v>
      </c>
      <c r="O328" s="64">
        <v>0</v>
      </c>
      <c r="P328" s="64">
        <v>0</v>
      </c>
      <c r="Q328" s="64">
        <v>7</v>
      </c>
      <c r="BB328" s="69" t="s">
        <v>1159</v>
      </c>
      <c r="BC328" s="69" t="s">
        <v>2098</v>
      </c>
      <c r="BD328" s="69">
        <v>196</v>
      </c>
      <c r="BE328" s="69">
        <v>274</v>
      </c>
      <c r="BF328" s="69">
        <v>444</v>
      </c>
      <c r="BG328" s="69">
        <v>635</v>
      </c>
      <c r="BH328" s="69">
        <v>556</v>
      </c>
      <c r="BI328" s="69">
        <v>2105</v>
      </c>
      <c r="BJ328" s="69"/>
      <c r="BK328" s="69" t="s">
        <v>2098</v>
      </c>
      <c r="BL328" s="69">
        <v>15</v>
      </c>
      <c r="BM328" s="69">
        <v>0</v>
      </c>
      <c r="BN328" s="69">
        <v>0</v>
      </c>
      <c r="BO328" s="69">
        <v>0</v>
      </c>
      <c r="BP328" s="69">
        <v>0</v>
      </c>
      <c r="BQ328" s="69">
        <v>15</v>
      </c>
    </row>
    <row r="329" spans="2:177">
      <c r="B329" s="64" t="s">
        <v>755</v>
      </c>
      <c r="C329" s="64" t="s">
        <v>2253</v>
      </c>
      <c r="D329" s="64">
        <v>416</v>
      </c>
      <c r="E329" s="64">
        <v>382</v>
      </c>
      <c r="F329" s="64">
        <v>527</v>
      </c>
      <c r="G329" s="64">
        <v>552</v>
      </c>
      <c r="H329" s="64">
        <v>419</v>
      </c>
      <c r="I329" s="64">
        <v>2296</v>
      </c>
      <c r="K329" s="64" t="s">
        <v>2253</v>
      </c>
      <c r="L329" s="64">
        <v>22</v>
      </c>
      <c r="M329" s="64">
        <v>1</v>
      </c>
      <c r="N329" s="64">
        <v>1</v>
      </c>
      <c r="O329" s="64">
        <v>0</v>
      </c>
      <c r="P329" s="64">
        <v>0</v>
      </c>
      <c r="Q329" s="64">
        <v>24</v>
      </c>
      <c r="BB329" s="69" t="s">
        <v>1162</v>
      </c>
      <c r="BC329" s="69" t="s">
        <v>2098</v>
      </c>
      <c r="BD329" s="69">
        <v>142</v>
      </c>
      <c r="BE329" s="69">
        <v>175</v>
      </c>
      <c r="BF329" s="69">
        <v>323</v>
      </c>
      <c r="BG329" s="69">
        <v>460</v>
      </c>
      <c r="BH329" s="69">
        <v>368</v>
      </c>
      <c r="BI329" s="69">
        <v>1468</v>
      </c>
      <c r="BJ329" s="69"/>
      <c r="BK329" s="69" t="s">
        <v>2098</v>
      </c>
      <c r="BL329" s="69">
        <v>22</v>
      </c>
      <c r="BM329" s="69">
        <v>0</v>
      </c>
      <c r="BN329" s="69">
        <v>0</v>
      </c>
      <c r="BO329" s="69">
        <v>0</v>
      </c>
      <c r="BP329" s="69">
        <v>0</v>
      </c>
      <c r="BQ329" s="69">
        <v>22</v>
      </c>
    </row>
    <row r="330" spans="2:177">
      <c r="B330" s="64" t="s">
        <v>759</v>
      </c>
      <c r="C330" s="64" t="s">
        <v>2253</v>
      </c>
      <c r="D330" s="64">
        <v>154</v>
      </c>
      <c r="E330" s="64">
        <v>280</v>
      </c>
      <c r="F330" s="64">
        <v>554</v>
      </c>
      <c r="G330" s="64">
        <v>671</v>
      </c>
      <c r="H330" s="64">
        <v>433</v>
      </c>
      <c r="I330" s="64">
        <v>2092</v>
      </c>
      <c r="K330" s="64" t="s">
        <v>2253</v>
      </c>
      <c r="L330" s="64">
        <v>20</v>
      </c>
      <c r="M330" s="64">
        <v>1</v>
      </c>
      <c r="N330" s="64">
        <v>0</v>
      </c>
      <c r="O330" s="64">
        <v>0</v>
      </c>
      <c r="P330" s="64">
        <v>0</v>
      </c>
      <c r="Q330" s="64">
        <v>21</v>
      </c>
      <c r="BB330" s="69" t="s">
        <v>1165</v>
      </c>
      <c r="BC330" s="69" t="s">
        <v>2098</v>
      </c>
      <c r="BD330" s="69">
        <v>351</v>
      </c>
      <c r="BE330" s="69">
        <v>239</v>
      </c>
      <c r="BF330" s="69">
        <v>340</v>
      </c>
      <c r="BG330" s="69">
        <v>374</v>
      </c>
      <c r="BH330" s="69">
        <v>283</v>
      </c>
      <c r="BI330" s="69">
        <v>1587</v>
      </c>
      <c r="BJ330" s="69"/>
      <c r="BK330" s="69" t="s">
        <v>2098</v>
      </c>
      <c r="BL330" s="69">
        <v>52</v>
      </c>
      <c r="BM330" s="69">
        <v>0</v>
      </c>
      <c r="BN330" s="69">
        <v>0</v>
      </c>
      <c r="BO330" s="69">
        <v>0</v>
      </c>
      <c r="BP330" s="69">
        <v>0</v>
      </c>
      <c r="BQ330" s="69">
        <v>52</v>
      </c>
    </row>
    <row r="331" spans="2:177">
      <c r="B331" s="64" t="s">
        <v>762</v>
      </c>
      <c r="C331" s="64" t="s">
        <v>2253</v>
      </c>
      <c r="D331" s="64">
        <v>286</v>
      </c>
      <c r="E331" s="64">
        <v>386</v>
      </c>
      <c r="F331" s="64">
        <v>570</v>
      </c>
      <c r="G331" s="64">
        <v>712</v>
      </c>
      <c r="H331" s="64">
        <v>500</v>
      </c>
      <c r="I331" s="64">
        <v>2454</v>
      </c>
      <c r="K331" s="64" t="s">
        <v>2253</v>
      </c>
      <c r="L331" s="64">
        <v>20</v>
      </c>
      <c r="M331" s="64">
        <v>1</v>
      </c>
      <c r="N331" s="64">
        <v>0</v>
      </c>
      <c r="O331" s="64">
        <v>0</v>
      </c>
      <c r="P331" s="64">
        <v>0</v>
      </c>
      <c r="Q331" s="64">
        <v>21</v>
      </c>
      <c r="BB331" s="69" t="s">
        <v>1168</v>
      </c>
      <c r="BC331" s="69" t="s">
        <v>2098</v>
      </c>
      <c r="BD331" s="69">
        <v>273</v>
      </c>
      <c r="BE331" s="69">
        <v>227</v>
      </c>
      <c r="BF331" s="69">
        <v>323</v>
      </c>
      <c r="BG331" s="69">
        <v>330</v>
      </c>
      <c r="BH331" s="69">
        <v>282</v>
      </c>
      <c r="BI331" s="69">
        <v>1435</v>
      </c>
      <c r="BJ331" s="69"/>
      <c r="BK331" s="69" t="s">
        <v>2098</v>
      </c>
      <c r="BL331" s="69">
        <v>21</v>
      </c>
      <c r="BM331" s="69">
        <v>0</v>
      </c>
      <c r="BN331" s="69">
        <v>0</v>
      </c>
      <c r="BO331" s="69">
        <v>0</v>
      </c>
      <c r="BP331" s="69">
        <v>0</v>
      </c>
      <c r="BQ331" s="69">
        <v>21</v>
      </c>
    </row>
    <row r="332" spans="2:177">
      <c r="B332" s="64" t="s">
        <v>765</v>
      </c>
      <c r="C332" s="64" t="s">
        <v>2253</v>
      </c>
      <c r="D332" s="64">
        <v>322</v>
      </c>
      <c r="E332" s="64">
        <v>422</v>
      </c>
      <c r="F332" s="64">
        <v>559</v>
      </c>
      <c r="G332" s="64">
        <v>672</v>
      </c>
      <c r="H332" s="64">
        <v>518</v>
      </c>
      <c r="I332" s="64">
        <v>2493</v>
      </c>
      <c r="K332" s="64" t="s">
        <v>2253</v>
      </c>
      <c r="L332" s="64">
        <v>24</v>
      </c>
      <c r="M332" s="64">
        <v>0</v>
      </c>
      <c r="N332" s="64">
        <v>0</v>
      </c>
      <c r="O332" s="64">
        <v>0</v>
      </c>
      <c r="P332" s="64">
        <v>0</v>
      </c>
      <c r="Q332" s="64">
        <v>24</v>
      </c>
      <c r="BB332" s="69" t="s">
        <v>1172</v>
      </c>
      <c r="BC332" s="69" t="s">
        <v>2098</v>
      </c>
      <c r="BD332" s="69">
        <v>431</v>
      </c>
      <c r="BE332" s="69">
        <v>335</v>
      </c>
      <c r="BF332" s="69">
        <v>436</v>
      </c>
      <c r="BG332" s="69">
        <v>497</v>
      </c>
      <c r="BH332" s="69">
        <v>426</v>
      </c>
      <c r="BI332" s="69">
        <v>2125</v>
      </c>
      <c r="BJ332" s="69"/>
      <c r="BK332" s="69" t="s">
        <v>2098</v>
      </c>
      <c r="BL332" s="69">
        <v>53</v>
      </c>
      <c r="BM332" s="69">
        <v>0</v>
      </c>
      <c r="BN332" s="69">
        <v>0</v>
      </c>
      <c r="BO332" s="69">
        <v>0</v>
      </c>
      <c r="BP332" s="69">
        <v>0</v>
      </c>
      <c r="BQ332" s="69">
        <v>53</v>
      </c>
    </row>
    <row r="333" spans="2:177">
      <c r="B333" s="64" t="s">
        <v>773</v>
      </c>
      <c r="C333" s="64" t="s">
        <v>2253</v>
      </c>
      <c r="D333" s="64">
        <v>253</v>
      </c>
      <c r="E333" s="64">
        <v>376</v>
      </c>
      <c r="F333" s="64">
        <v>545</v>
      </c>
      <c r="G333" s="64">
        <v>663</v>
      </c>
      <c r="H333" s="64">
        <v>529</v>
      </c>
      <c r="I333" s="64">
        <v>2366</v>
      </c>
      <c r="K333" s="64" t="s">
        <v>2253</v>
      </c>
      <c r="L333" s="64">
        <v>14</v>
      </c>
      <c r="M333" s="64">
        <v>0</v>
      </c>
      <c r="N333" s="64">
        <v>0</v>
      </c>
      <c r="O333" s="64">
        <v>0</v>
      </c>
      <c r="P333" s="64">
        <v>0</v>
      </c>
      <c r="Q333" s="64">
        <v>14</v>
      </c>
      <c r="BB333" s="69" t="s">
        <v>1174</v>
      </c>
      <c r="BC333" s="69" t="s">
        <v>2098</v>
      </c>
      <c r="BD333" s="69">
        <v>449</v>
      </c>
      <c r="BE333" s="69">
        <v>331</v>
      </c>
      <c r="BF333" s="69">
        <v>496</v>
      </c>
      <c r="BG333" s="69">
        <v>540</v>
      </c>
      <c r="BH333" s="69">
        <v>587</v>
      </c>
      <c r="BI333" s="69">
        <v>2403</v>
      </c>
      <c r="BJ333" s="69"/>
      <c r="BK333" s="69" t="s">
        <v>2098</v>
      </c>
      <c r="BL333" s="69">
        <v>24</v>
      </c>
      <c r="BM333" s="69">
        <v>0</v>
      </c>
      <c r="BN333" s="69">
        <v>0</v>
      </c>
      <c r="BO333" s="69">
        <v>0</v>
      </c>
      <c r="BP333" s="69">
        <v>0</v>
      </c>
      <c r="BQ333" s="69">
        <v>24</v>
      </c>
    </row>
    <row r="334" spans="2:177">
      <c r="B334" s="64" t="s">
        <v>776</v>
      </c>
      <c r="C334" s="64" t="s">
        <v>2253</v>
      </c>
      <c r="D334" s="64">
        <v>236</v>
      </c>
      <c r="E334" s="64">
        <v>237</v>
      </c>
      <c r="F334" s="64">
        <v>459</v>
      </c>
      <c r="G334" s="64">
        <v>488</v>
      </c>
      <c r="H334" s="64">
        <v>421</v>
      </c>
      <c r="I334" s="64">
        <v>1841</v>
      </c>
      <c r="K334" s="64" t="s">
        <v>2253</v>
      </c>
      <c r="L334" s="64">
        <v>25</v>
      </c>
      <c r="M334" s="64">
        <v>0</v>
      </c>
      <c r="N334" s="64">
        <v>0</v>
      </c>
      <c r="O334" s="64">
        <v>0</v>
      </c>
      <c r="P334" s="64">
        <v>0</v>
      </c>
      <c r="Q334" s="64">
        <v>25</v>
      </c>
      <c r="BB334" s="69" t="s">
        <v>1177</v>
      </c>
      <c r="BC334" s="69" t="s">
        <v>2098</v>
      </c>
      <c r="BD334" s="69">
        <v>212</v>
      </c>
      <c r="BE334" s="69">
        <v>213</v>
      </c>
      <c r="BF334" s="69">
        <v>366</v>
      </c>
      <c r="BG334" s="69">
        <v>504</v>
      </c>
      <c r="BH334" s="69">
        <v>483</v>
      </c>
      <c r="BI334" s="69">
        <v>1778</v>
      </c>
      <c r="BJ334" s="69"/>
      <c r="BK334" s="69" t="s">
        <v>2098</v>
      </c>
      <c r="BL334" s="69">
        <v>25</v>
      </c>
      <c r="BM334" s="69">
        <v>0</v>
      </c>
      <c r="BN334" s="69">
        <v>0</v>
      </c>
      <c r="BO334" s="69">
        <v>0</v>
      </c>
      <c r="BP334" s="69">
        <v>0</v>
      </c>
      <c r="BQ334" s="69">
        <v>25</v>
      </c>
    </row>
    <row r="335" spans="2:177">
      <c r="B335" s="64" t="s">
        <v>781</v>
      </c>
      <c r="C335" s="64" t="s">
        <v>2253</v>
      </c>
      <c r="D335" s="64">
        <v>179</v>
      </c>
      <c r="E335" s="64">
        <v>257</v>
      </c>
      <c r="F335" s="64">
        <v>394</v>
      </c>
      <c r="G335" s="64">
        <v>485</v>
      </c>
      <c r="H335" s="64">
        <v>393</v>
      </c>
      <c r="I335" s="64">
        <v>1708</v>
      </c>
      <c r="K335" s="64" t="s">
        <v>2253</v>
      </c>
      <c r="L335" s="64">
        <v>18</v>
      </c>
      <c r="M335" s="64">
        <v>0</v>
      </c>
      <c r="N335" s="64">
        <v>0</v>
      </c>
      <c r="O335" s="64">
        <v>0</v>
      </c>
      <c r="P335" s="64">
        <v>0</v>
      </c>
      <c r="Q335" s="64">
        <v>18</v>
      </c>
      <c r="BB335" s="69" t="s">
        <v>1180</v>
      </c>
      <c r="BC335" s="69" t="s">
        <v>2098</v>
      </c>
      <c r="BD335" s="69">
        <v>196</v>
      </c>
      <c r="BE335" s="69">
        <v>119</v>
      </c>
      <c r="BF335" s="69">
        <v>171</v>
      </c>
      <c r="BG335" s="69">
        <v>212</v>
      </c>
      <c r="BH335" s="69">
        <v>254</v>
      </c>
      <c r="BI335" s="69">
        <v>952</v>
      </c>
      <c r="BJ335" s="69"/>
      <c r="BK335" s="69" t="s">
        <v>2098</v>
      </c>
      <c r="BL335" s="69">
        <v>28</v>
      </c>
      <c r="BM335" s="69">
        <v>0</v>
      </c>
      <c r="BN335" s="69">
        <v>0</v>
      </c>
      <c r="BO335" s="69">
        <v>0</v>
      </c>
      <c r="BP335" s="69">
        <v>0</v>
      </c>
      <c r="BQ335" s="69">
        <v>28</v>
      </c>
    </row>
    <row r="336" spans="2:177">
      <c r="B336" s="64" t="s">
        <v>787</v>
      </c>
      <c r="C336" s="64" t="s">
        <v>2253</v>
      </c>
      <c r="D336" s="64">
        <v>389</v>
      </c>
      <c r="E336" s="64">
        <v>374</v>
      </c>
      <c r="F336" s="64">
        <v>366</v>
      </c>
      <c r="G336" s="64">
        <v>412</v>
      </c>
      <c r="H336" s="64">
        <v>278</v>
      </c>
      <c r="I336" s="64">
        <v>1819</v>
      </c>
      <c r="K336" s="64" t="s">
        <v>2253</v>
      </c>
      <c r="L336" s="64">
        <v>41</v>
      </c>
      <c r="M336" s="64">
        <v>10</v>
      </c>
      <c r="N336" s="64">
        <v>2</v>
      </c>
      <c r="O336" s="64">
        <v>0</v>
      </c>
      <c r="P336" s="64">
        <v>1</v>
      </c>
      <c r="Q336" s="64">
        <v>54</v>
      </c>
      <c r="BB336" s="69" t="s">
        <v>1183</v>
      </c>
      <c r="BC336" s="69" t="s">
        <v>2098</v>
      </c>
      <c r="BD336" s="69">
        <v>223</v>
      </c>
      <c r="BE336" s="69">
        <v>239</v>
      </c>
      <c r="BF336" s="69">
        <v>385</v>
      </c>
      <c r="BG336" s="69">
        <v>542</v>
      </c>
      <c r="BH336" s="69">
        <v>580</v>
      </c>
      <c r="BI336" s="69">
        <v>1969</v>
      </c>
      <c r="BJ336" s="69"/>
      <c r="BK336" s="69" t="s">
        <v>2098</v>
      </c>
      <c r="BL336" s="69">
        <v>22</v>
      </c>
      <c r="BM336" s="69">
        <v>0</v>
      </c>
      <c r="BN336" s="69">
        <v>0</v>
      </c>
      <c r="BO336" s="69">
        <v>0</v>
      </c>
      <c r="BP336" s="69">
        <v>0</v>
      </c>
      <c r="BQ336" s="69">
        <v>22</v>
      </c>
    </row>
    <row r="337" spans="2:69">
      <c r="B337" s="64" t="s">
        <v>2107</v>
      </c>
      <c r="C337" s="64" t="s">
        <v>2253</v>
      </c>
      <c r="D337" s="64">
        <v>49</v>
      </c>
      <c r="E337" s="64">
        <v>97</v>
      </c>
      <c r="F337" s="64">
        <v>109</v>
      </c>
      <c r="G337" s="64">
        <v>145</v>
      </c>
      <c r="H337" s="64">
        <v>157</v>
      </c>
      <c r="I337" s="64">
        <v>557</v>
      </c>
      <c r="K337" s="64" t="s">
        <v>2253</v>
      </c>
      <c r="L337" s="64">
        <v>3</v>
      </c>
      <c r="M337" s="64">
        <v>5</v>
      </c>
      <c r="N337" s="64">
        <v>0</v>
      </c>
      <c r="O337" s="64">
        <v>2</v>
      </c>
      <c r="P337" s="64">
        <v>1</v>
      </c>
      <c r="Q337" s="64">
        <v>11</v>
      </c>
      <c r="BB337" s="69" t="s">
        <v>1186</v>
      </c>
      <c r="BC337" s="69" t="s">
        <v>2098</v>
      </c>
      <c r="BD337" s="69">
        <v>103</v>
      </c>
      <c r="BE337" s="69">
        <v>82</v>
      </c>
      <c r="BF337" s="69">
        <v>157</v>
      </c>
      <c r="BG337" s="69">
        <v>231</v>
      </c>
      <c r="BH337" s="69">
        <v>243</v>
      </c>
      <c r="BI337" s="69">
        <v>816</v>
      </c>
      <c r="BJ337" s="69"/>
      <c r="BK337" s="69" t="s">
        <v>2098</v>
      </c>
      <c r="BL337" s="69">
        <v>16</v>
      </c>
      <c r="BM337" s="69">
        <v>0</v>
      </c>
      <c r="BN337" s="69">
        <v>0</v>
      </c>
      <c r="BO337" s="69">
        <v>0</v>
      </c>
      <c r="BP337" s="69">
        <v>0</v>
      </c>
      <c r="BQ337" s="69">
        <v>16</v>
      </c>
    </row>
    <row r="338" spans="2:69">
      <c r="B338" s="64" t="s">
        <v>795</v>
      </c>
      <c r="C338" s="64" t="s">
        <v>2253</v>
      </c>
      <c r="D338" s="64">
        <v>129</v>
      </c>
      <c r="E338" s="64">
        <v>156</v>
      </c>
      <c r="F338" s="64">
        <v>183</v>
      </c>
      <c r="G338" s="64">
        <v>239</v>
      </c>
      <c r="H338" s="64">
        <v>250</v>
      </c>
      <c r="I338" s="64">
        <v>957</v>
      </c>
      <c r="K338" s="64" t="s">
        <v>2253</v>
      </c>
      <c r="L338" s="64">
        <v>26</v>
      </c>
      <c r="M338" s="64">
        <v>0</v>
      </c>
      <c r="N338" s="64">
        <v>0</v>
      </c>
      <c r="O338" s="64">
        <v>0</v>
      </c>
      <c r="P338" s="64">
        <v>0</v>
      </c>
      <c r="Q338" s="64">
        <v>26</v>
      </c>
      <c r="BB338" s="69" t="s">
        <v>1189</v>
      </c>
      <c r="BC338" s="69" t="s">
        <v>2098</v>
      </c>
      <c r="BD338" s="69">
        <v>32</v>
      </c>
      <c r="BE338" s="69">
        <v>38</v>
      </c>
      <c r="BF338" s="69">
        <v>70</v>
      </c>
      <c r="BG338" s="69">
        <v>120</v>
      </c>
      <c r="BH338" s="69">
        <v>213</v>
      </c>
      <c r="BI338" s="69">
        <v>473</v>
      </c>
      <c r="BJ338" s="69"/>
      <c r="BK338" s="69" t="s">
        <v>2098</v>
      </c>
      <c r="BL338" s="69">
        <v>1</v>
      </c>
      <c r="BM338" s="69">
        <v>0</v>
      </c>
      <c r="BN338" s="69">
        <v>0</v>
      </c>
      <c r="BO338" s="69">
        <v>0</v>
      </c>
      <c r="BP338" s="69">
        <v>0</v>
      </c>
      <c r="BQ338" s="69">
        <v>1</v>
      </c>
    </row>
    <row r="339" spans="2:69">
      <c r="B339" s="64" t="s">
        <v>801</v>
      </c>
      <c r="C339" s="64" t="s">
        <v>2253</v>
      </c>
      <c r="D339" s="64">
        <v>19</v>
      </c>
      <c r="E339" s="64">
        <v>42</v>
      </c>
      <c r="F339" s="64">
        <v>84</v>
      </c>
      <c r="G339" s="64">
        <v>103</v>
      </c>
      <c r="H339" s="64">
        <v>120</v>
      </c>
      <c r="I339" s="64">
        <v>368</v>
      </c>
      <c r="K339" s="64" t="s">
        <v>2253</v>
      </c>
      <c r="L339" s="64">
        <v>4</v>
      </c>
      <c r="M339" s="64">
        <v>0</v>
      </c>
      <c r="N339" s="64">
        <v>0</v>
      </c>
      <c r="O339" s="64">
        <v>1</v>
      </c>
      <c r="P339" s="64">
        <v>0</v>
      </c>
      <c r="Q339" s="64">
        <v>5</v>
      </c>
      <c r="BB339" s="69" t="s">
        <v>1193</v>
      </c>
      <c r="BC339" s="69" t="s">
        <v>2098</v>
      </c>
      <c r="BD339" s="69">
        <v>114</v>
      </c>
      <c r="BE339" s="69">
        <v>200</v>
      </c>
      <c r="BF339" s="69">
        <v>384</v>
      </c>
      <c r="BG339" s="69">
        <v>569</v>
      </c>
      <c r="BH339" s="69">
        <v>508</v>
      </c>
      <c r="BI339" s="69">
        <v>1775</v>
      </c>
      <c r="BJ339" s="69"/>
      <c r="BK339" s="69" t="s">
        <v>2098</v>
      </c>
      <c r="BL339" s="69">
        <v>26</v>
      </c>
      <c r="BM339" s="69">
        <v>2</v>
      </c>
      <c r="BN339" s="69">
        <v>0</v>
      </c>
      <c r="BO339" s="69">
        <v>0</v>
      </c>
      <c r="BP339" s="69">
        <v>0</v>
      </c>
      <c r="BQ339" s="69">
        <v>28</v>
      </c>
    </row>
    <row r="340" spans="2:69">
      <c r="B340" s="64" t="s">
        <v>805</v>
      </c>
      <c r="C340" s="64" t="s">
        <v>2253</v>
      </c>
      <c r="D340" s="64">
        <v>200</v>
      </c>
      <c r="E340" s="64">
        <v>242</v>
      </c>
      <c r="F340" s="64">
        <v>347</v>
      </c>
      <c r="G340" s="64">
        <v>397</v>
      </c>
      <c r="H340" s="64">
        <v>303</v>
      </c>
      <c r="I340" s="64">
        <v>1489</v>
      </c>
      <c r="K340" s="64" t="s">
        <v>2253</v>
      </c>
      <c r="L340" s="64">
        <v>14</v>
      </c>
      <c r="M340" s="64">
        <v>2</v>
      </c>
      <c r="N340" s="64">
        <v>0</v>
      </c>
      <c r="O340" s="64">
        <v>0</v>
      </c>
      <c r="P340" s="64">
        <v>0</v>
      </c>
      <c r="Q340" s="64">
        <v>16</v>
      </c>
      <c r="BB340" s="69" t="s">
        <v>1197</v>
      </c>
      <c r="BC340" s="69" t="s">
        <v>2098</v>
      </c>
      <c r="BD340" s="69">
        <v>153</v>
      </c>
      <c r="BE340" s="69">
        <v>222</v>
      </c>
      <c r="BF340" s="69">
        <v>396</v>
      </c>
      <c r="BG340" s="69">
        <v>496</v>
      </c>
      <c r="BH340" s="69">
        <v>443</v>
      </c>
      <c r="BI340" s="69">
        <v>1710</v>
      </c>
      <c r="BJ340" s="69"/>
      <c r="BK340" s="69" t="s">
        <v>2098</v>
      </c>
      <c r="BL340" s="69">
        <v>13</v>
      </c>
      <c r="BM340" s="69">
        <v>0</v>
      </c>
      <c r="BN340" s="69">
        <v>0</v>
      </c>
      <c r="BO340" s="69">
        <v>0</v>
      </c>
      <c r="BP340" s="69">
        <v>0</v>
      </c>
      <c r="BQ340" s="69">
        <v>13</v>
      </c>
    </row>
    <row r="341" spans="2:69">
      <c r="B341" s="64" t="s">
        <v>812</v>
      </c>
      <c r="C341" s="64" t="s">
        <v>2253</v>
      </c>
      <c r="D341" s="64">
        <v>195</v>
      </c>
      <c r="E341" s="64">
        <v>349</v>
      </c>
      <c r="F341" s="64">
        <v>501</v>
      </c>
      <c r="G341" s="64">
        <v>478</v>
      </c>
      <c r="H341" s="64">
        <v>367</v>
      </c>
      <c r="I341" s="64">
        <v>1890</v>
      </c>
      <c r="K341" s="64" t="s">
        <v>2253</v>
      </c>
      <c r="L341" s="64">
        <v>17</v>
      </c>
      <c r="M341" s="64">
        <v>1</v>
      </c>
      <c r="N341" s="64">
        <v>0</v>
      </c>
      <c r="O341" s="64">
        <v>0</v>
      </c>
      <c r="P341" s="64">
        <v>0</v>
      </c>
      <c r="Q341" s="64">
        <v>18</v>
      </c>
      <c r="BB341" s="69" t="s">
        <v>1201</v>
      </c>
      <c r="BC341" s="69" t="s">
        <v>2098</v>
      </c>
      <c r="BD341" s="69">
        <v>1535</v>
      </c>
      <c r="BE341" s="69">
        <v>702</v>
      </c>
      <c r="BF341" s="69">
        <v>966</v>
      </c>
      <c r="BG341" s="69">
        <v>1128</v>
      </c>
      <c r="BH341" s="69">
        <v>907</v>
      </c>
      <c r="BI341" s="69">
        <v>5238</v>
      </c>
      <c r="BJ341" s="69"/>
      <c r="BK341" s="69" t="s">
        <v>2098</v>
      </c>
      <c r="BL341" s="69">
        <v>226</v>
      </c>
      <c r="BM341" s="69">
        <v>0</v>
      </c>
      <c r="BN341" s="69">
        <v>0</v>
      </c>
      <c r="BO341" s="69">
        <v>0</v>
      </c>
      <c r="BP341" s="69">
        <v>0</v>
      </c>
      <c r="BQ341" s="69">
        <v>226</v>
      </c>
    </row>
    <row r="342" spans="2:69">
      <c r="B342" s="64" t="s">
        <v>815</v>
      </c>
      <c r="C342" s="64" t="s">
        <v>2253</v>
      </c>
      <c r="D342" s="64">
        <v>108</v>
      </c>
      <c r="E342" s="64">
        <v>224</v>
      </c>
      <c r="F342" s="64">
        <v>379</v>
      </c>
      <c r="G342" s="64">
        <v>483</v>
      </c>
      <c r="H342" s="64">
        <v>351</v>
      </c>
      <c r="I342" s="64">
        <v>1545</v>
      </c>
      <c r="K342" s="64" t="s">
        <v>2253</v>
      </c>
      <c r="L342" s="64">
        <v>13</v>
      </c>
      <c r="M342" s="64">
        <v>1</v>
      </c>
      <c r="N342" s="64">
        <v>1</v>
      </c>
      <c r="O342" s="64">
        <v>0</v>
      </c>
      <c r="P342" s="64">
        <v>1</v>
      </c>
      <c r="Q342" s="64">
        <v>16</v>
      </c>
      <c r="BB342" s="69" t="s">
        <v>1204</v>
      </c>
      <c r="BC342" s="69" t="s">
        <v>2098</v>
      </c>
      <c r="BD342" s="69">
        <v>75</v>
      </c>
      <c r="BE342" s="69">
        <v>64</v>
      </c>
      <c r="BF342" s="69">
        <v>136</v>
      </c>
      <c r="BG342" s="69">
        <v>206</v>
      </c>
      <c r="BH342" s="69">
        <v>263</v>
      </c>
      <c r="BI342" s="69">
        <v>744</v>
      </c>
      <c r="BJ342" s="69"/>
      <c r="BK342" s="69" t="s">
        <v>2098</v>
      </c>
      <c r="BL342" s="69">
        <v>12</v>
      </c>
      <c r="BM342" s="69">
        <v>0</v>
      </c>
      <c r="BN342" s="69">
        <v>0</v>
      </c>
      <c r="BO342" s="69">
        <v>0</v>
      </c>
      <c r="BP342" s="69">
        <v>0</v>
      </c>
      <c r="BQ342" s="69">
        <v>12</v>
      </c>
    </row>
    <row r="343" spans="2:69">
      <c r="B343" s="64" t="s">
        <v>818</v>
      </c>
      <c r="C343" s="64" t="s">
        <v>2253</v>
      </c>
      <c r="D343" s="64">
        <v>274</v>
      </c>
      <c r="E343" s="64">
        <v>389</v>
      </c>
      <c r="F343" s="64">
        <v>556</v>
      </c>
      <c r="G343" s="64">
        <v>738</v>
      </c>
      <c r="H343" s="64">
        <v>516</v>
      </c>
      <c r="I343" s="64">
        <v>2473</v>
      </c>
      <c r="K343" s="64" t="s">
        <v>2253</v>
      </c>
      <c r="L343" s="64">
        <v>13</v>
      </c>
      <c r="M343" s="64">
        <v>2</v>
      </c>
      <c r="N343" s="64">
        <v>1</v>
      </c>
      <c r="O343" s="64">
        <v>1</v>
      </c>
      <c r="P343" s="64">
        <v>0</v>
      </c>
      <c r="Q343" s="64">
        <v>17</v>
      </c>
      <c r="BB343" s="69" t="s">
        <v>1207</v>
      </c>
      <c r="BC343" s="69" t="s">
        <v>2098</v>
      </c>
      <c r="BD343" s="69">
        <v>526</v>
      </c>
      <c r="BE343" s="69">
        <v>438</v>
      </c>
      <c r="BF343" s="69">
        <v>661</v>
      </c>
      <c r="BG343" s="69">
        <v>779</v>
      </c>
      <c r="BH343" s="69">
        <v>826</v>
      </c>
      <c r="BI343" s="69">
        <v>3230</v>
      </c>
      <c r="BJ343" s="69"/>
      <c r="BK343" s="69" t="s">
        <v>2098</v>
      </c>
      <c r="BL343" s="69">
        <v>50</v>
      </c>
      <c r="BM343" s="69">
        <v>0</v>
      </c>
      <c r="BN343" s="69">
        <v>0</v>
      </c>
      <c r="BO343" s="69">
        <v>0</v>
      </c>
      <c r="BP343" s="69">
        <v>0</v>
      </c>
      <c r="BQ343" s="69">
        <v>50</v>
      </c>
    </row>
    <row r="344" spans="2:69">
      <c r="B344" s="64" t="s">
        <v>822</v>
      </c>
      <c r="C344" s="64" t="s">
        <v>2253</v>
      </c>
      <c r="D344" s="64">
        <v>500</v>
      </c>
      <c r="E344" s="64">
        <v>543</v>
      </c>
      <c r="F344" s="64">
        <v>596</v>
      </c>
      <c r="G344" s="64">
        <v>595</v>
      </c>
      <c r="H344" s="64">
        <v>393</v>
      </c>
      <c r="I344" s="64">
        <v>2627</v>
      </c>
      <c r="K344" s="64" t="s">
        <v>2253</v>
      </c>
      <c r="L344" s="64">
        <v>34</v>
      </c>
      <c r="M344" s="64">
        <v>2</v>
      </c>
      <c r="N344" s="64">
        <v>0</v>
      </c>
      <c r="O344" s="64">
        <v>0</v>
      </c>
      <c r="P344" s="64">
        <v>1</v>
      </c>
      <c r="Q344" s="64">
        <v>37</v>
      </c>
      <c r="BB344" s="69" t="s">
        <v>1210</v>
      </c>
      <c r="BC344" s="69" t="s">
        <v>2098</v>
      </c>
      <c r="BD344" s="69">
        <v>189</v>
      </c>
      <c r="BE344" s="69">
        <v>102</v>
      </c>
      <c r="BF344" s="69">
        <v>162</v>
      </c>
      <c r="BG344" s="69">
        <v>275</v>
      </c>
      <c r="BH344" s="69">
        <v>240</v>
      </c>
      <c r="BI344" s="69">
        <v>968</v>
      </c>
      <c r="BJ344" s="69"/>
      <c r="BK344" s="69" t="s">
        <v>2098</v>
      </c>
      <c r="BL344" s="69">
        <v>45</v>
      </c>
      <c r="BM344" s="69">
        <v>0</v>
      </c>
      <c r="BN344" s="69">
        <v>0</v>
      </c>
      <c r="BO344" s="69">
        <v>0</v>
      </c>
      <c r="BP344" s="69">
        <v>0</v>
      </c>
      <c r="BQ344" s="69">
        <v>45</v>
      </c>
    </row>
    <row r="345" spans="2:69">
      <c r="B345" s="64" t="s">
        <v>826</v>
      </c>
      <c r="C345" s="64" t="s">
        <v>2253</v>
      </c>
      <c r="D345" s="64">
        <v>172</v>
      </c>
      <c r="E345" s="64">
        <v>243</v>
      </c>
      <c r="F345" s="64">
        <v>273</v>
      </c>
      <c r="G345" s="64">
        <v>260</v>
      </c>
      <c r="H345" s="64">
        <v>181</v>
      </c>
      <c r="I345" s="64">
        <v>1129</v>
      </c>
      <c r="K345" s="64" t="s">
        <v>2253</v>
      </c>
      <c r="L345" s="64">
        <v>20</v>
      </c>
      <c r="M345" s="64">
        <v>6</v>
      </c>
      <c r="N345" s="64">
        <v>1</v>
      </c>
      <c r="O345" s="64">
        <v>0</v>
      </c>
      <c r="P345" s="64">
        <v>1</v>
      </c>
      <c r="Q345" s="64">
        <v>28</v>
      </c>
      <c r="BB345" s="69" t="s">
        <v>1215</v>
      </c>
      <c r="BC345" s="69" t="s">
        <v>2098</v>
      </c>
      <c r="BD345" s="69">
        <v>610</v>
      </c>
      <c r="BE345" s="69">
        <v>369</v>
      </c>
      <c r="BF345" s="69">
        <v>540</v>
      </c>
      <c r="BG345" s="69">
        <v>634</v>
      </c>
      <c r="BH345" s="69">
        <v>513</v>
      </c>
      <c r="BI345" s="69">
        <v>2666</v>
      </c>
      <c r="BJ345" s="69"/>
      <c r="BK345" s="69" t="s">
        <v>2098</v>
      </c>
      <c r="BL345" s="69">
        <v>124</v>
      </c>
      <c r="BM345" s="69">
        <v>0</v>
      </c>
      <c r="BN345" s="69">
        <v>0</v>
      </c>
      <c r="BO345" s="69">
        <v>0</v>
      </c>
      <c r="BP345" s="69">
        <v>0</v>
      </c>
      <c r="BQ345" s="69">
        <v>124</v>
      </c>
    </row>
    <row r="346" spans="2:69">
      <c r="B346" s="64" t="s">
        <v>830</v>
      </c>
      <c r="C346" s="64" t="s">
        <v>2253</v>
      </c>
      <c r="D346" s="64">
        <v>505</v>
      </c>
      <c r="E346" s="64">
        <v>592</v>
      </c>
      <c r="F346" s="64">
        <v>793</v>
      </c>
      <c r="G346" s="64">
        <v>964</v>
      </c>
      <c r="H346" s="64">
        <v>746</v>
      </c>
      <c r="I346" s="64">
        <v>3600</v>
      </c>
      <c r="K346" s="64" t="s">
        <v>2253</v>
      </c>
      <c r="L346" s="64">
        <v>36</v>
      </c>
      <c r="M346" s="64">
        <v>5</v>
      </c>
      <c r="N346" s="64">
        <v>1</v>
      </c>
      <c r="O346" s="64">
        <v>1</v>
      </c>
      <c r="P346" s="64">
        <v>0</v>
      </c>
      <c r="Q346" s="64">
        <v>43</v>
      </c>
      <c r="BB346" s="69" t="s">
        <v>1218</v>
      </c>
      <c r="BC346" s="69" t="s">
        <v>2098</v>
      </c>
      <c r="BD346" s="69">
        <v>167</v>
      </c>
      <c r="BE346" s="69">
        <v>83</v>
      </c>
      <c r="BF346" s="69">
        <v>169</v>
      </c>
      <c r="BG346" s="69">
        <v>207</v>
      </c>
      <c r="BH346" s="69">
        <v>216</v>
      </c>
      <c r="BI346" s="69">
        <v>842</v>
      </c>
      <c r="BJ346" s="69"/>
      <c r="BK346" s="69" t="s">
        <v>2098</v>
      </c>
      <c r="BL346" s="69">
        <v>36</v>
      </c>
      <c r="BM346" s="69">
        <v>0</v>
      </c>
      <c r="BN346" s="69">
        <v>0</v>
      </c>
      <c r="BO346" s="69">
        <v>0</v>
      </c>
      <c r="BP346" s="69">
        <v>0</v>
      </c>
      <c r="BQ346" s="69">
        <v>36</v>
      </c>
    </row>
    <row r="347" spans="2:69">
      <c r="B347" s="64" t="s">
        <v>836</v>
      </c>
      <c r="C347" s="64" t="s">
        <v>2253</v>
      </c>
      <c r="D347" s="64">
        <v>271</v>
      </c>
      <c r="E347" s="64">
        <v>360</v>
      </c>
      <c r="F347" s="64">
        <v>493</v>
      </c>
      <c r="G347" s="64">
        <v>604</v>
      </c>
      <c r="H347" s="64">
        <v>549</v>
      </c>
      <c r="I347" s="64">
        <v>2277</v>
      </c>
      <c r="K347" s="64" t="s">
        <v>2253</v>
      </c>
      <c r="L347" s="64">
        <v>48</v>
      </c>
      <c r="M347" s="64">
        <v>6</v>
      </c>
      <c r="N347" s="64">
        <v>2</v>
      </c>
      <c r="O347" s="64">
        <v>2</v>
      </c>
      <c r="P347" s="64">
        <v>1</v>
      </c>
      <c r="Q347" s="64">
        <v>59</v>
      </c>
      <c r="BB347" s="69" t="s">
        <v>1221</v>
      </c>
      <c r="BC347" s="69" t="s">
        <v>2098</v>
      </c>
      <c r="BD347" s="69">
        <v>120</v>
      </c>
      <c r="BE347" s="69">
        <v>87</v>
      </c>
      <c r="BF347" s="69">
        <v>110</v>
      </c>
      <c r="BG347" s="69">
        <v>183</v>
      </c>
      <c r="BH347" s="69">
        <v>191</v>
      </c>
      <c r="BI347" s="69">
        <v>691</v>
      </c>
      <c r="BJ347" s="69"/>
      <c r="BK347" s="69" t="s">
        <v>2098</v>
      </c>
      <c r="BL347" s="69">
        <v>16</v>
      </c>
      <c r="BM347" s="69">
        <v>0</v>
      </c>
      <c r="BN347" s="69">
        <v>0</v>
      </c>
      <c r="BO347" s="69">
        <v>0</v>
      </c>
      <c r="BP347" s="69">
        <v>0</v>
      </c>
      <c r="BQ347" s="69">
        <v>16</v>
      </c>
    </row>
    <row r="348" spans="2:69">
      <c r="B348" s="64" t="s">
        <v>839</v>
      </c>
      <c r="C348" s="64" t="s">
        <v>2253</v>
      </c>
      <c r="D348" s="64">
        <v>130</v>
      </c>
      <c r="E348" s="64">
        <v>194</v>
      </c>
      <c r="F348" s="64">
        <v>298</v>
      </c>
      <c r="G348" s="64">
        <v>387</v>
      </c>
      <c r="H348" s="64">
        <v>319</v>
      </c>
      <c r="I348" s="64">
        <v>1328</v>
      </c>
      <c r="K348" s="64" t="s">
        <v>2253</v>
      </c>
      <c r="L348" s="64">
        <v>20</v>
      </c>
      <c r="M348" s="64">
        <v>3</v>
      </c>
      <c r="N348" s="64">
        <v>0</v>
      </c>
      <c r="O348" s="64">
        <v>1</v>
      </c>
      <c r="P348" s="64">
        <v>0</v>
      </c>
      <c r="Q348" s="64">
        <v>24</v>
      </c>
      <c r="BB348" s="69" t="s">
        <v>1225</v>
      </c>
      <c r="BC348" s="69" t="s">
        <v>2098</v>
      </c>
      <c r="BD348" s="69">
        <v>104</v>
      </c>
      <c r="BE348" s="69">
        <v>70</v>
      </c>
      <c r="BF348" s="69">
        <v>140</v>
      </c>
      <c r="BG348" s="69">
        <v>166</v>
      </c>
      <c r="BH348" s="69">
        <v>197</v>
      </c>
      <c r="BI348" s="69">
        <v>677</v>
      </c>
      <c r="BJ348" s="69"/>
      <c r="BK348" s="69" t="s">
        <v>2098</v>
      </c>
      <c r="BL348" s="69">
        <v>22</v>
      </c>
      <c r="BM348" s="69">
        <v>0</v>
      </c>
      <c r="BN348" s="69">
        <v>0</v>
      </c>
      <c r="BO348" s="69">
        <v>0</v>
      </c>
      <c r="BP348" s="69">
        <v>0</v>
      </c>
      <c r="BQ348" s="69">
        <v>22</v>
      </c>
    </row>
    <row r="349" spans="2:69">
      <c r="B349" s="64" t="s">
        <v>849</v>
      </c>
      <c r="C349" s="64" t="s">
        <v>2253</v>
      </c>
      <c r="D349" s="64">
        <v>328</v>
      </c>
      <c r="E349" s="64">
        <v>584</v>
      </c>
      <c r="F349" s="64">
        <v>881</v>
      </c>
      <c r="G349" s="64">
        <v>1255</v>
      </c>
      <c r="H349" s="64">
        <v>902</v>
      </c>
      <c r="I349" s="64">
        <v>3950</v>
      </c>
      <c r="K349" s="64" t="s">
        <v>2253</v>
      </c>
      <c r="L349" s="64">
        <v>21</v>
      </c>
      <c r="M349" s="64">
        <v>2</v>
      </c>
      <c r="N349" s="64">
        <v>0</v>
      </c>
      <c r="O349" s="64">
        <v>0</v>
      </c>
      <c r="P349" s="64">
        <v>0</v>
      </c>
      <c r="Q349" s="64">
        <v>23</v>
      </c>
      <c r="BB349" s="69" t="s">
        <v>1229</v>
      </c>
      <c r="BC349" s="69" t="s">
        <v>2098</v>
      </c>
      <c r="BD349" s="69">
        <v>61</v>
      </c>
      <c r="BE349" s="69">
        <v>57</v>
      </c>
      <c r="BF349" s="69">
        <v>133</v>
      </c>
      <c r="BG349" s="69">
        <v>167</v>
      </c>
      <c r="BH349" s="69">
        <v>181</v>
      </c>
      <c r="BI349" s="69">
        <v>599</v>
      </c>
      <c r="BJ349" s="69"/>
      <c r="BK349" s="69" t="s">
        <v>2098</v>
      </c>
      <c r="BL349" s="69">
        <v>21</v>
      </c>
      <c r="BM349" s="69">
        <v>0</v>
      </c>
      <c r="BN349" s="69">
        <v>0</v>
      </c>
      <c r="BO349" s="69">
        <v>0</v>
      </c>
      <c r="BP349" s="69">
        <v>0</v>
      </c>
      <c r="BQ349" s="69">
        <v>21</v>
      </c>
    </row>
    <row r="350" spans="2:69">
      <c r="B350" s="64" t="s">
        <v>852</v>
      </c>
      <c r="C350" s="64" t="s">
        <v>2253</v>
      </c>
      <c r="D350" s="64">
        <v>319</v>
      </c>
      <c r="E350" s="64">
        <v>528</v>
      </c>
      <c r="F350" s="64">
        <v>879</v>
      </c>
      <c r="G350" s="64">
        <v>1348</v>
      </c>
      <c r="H350" s="64">
        <v>1102</v>
      </c>
      <c r="I350" s="64">
        <v>4176</v>
      </c>
      <c r="K350" s="64" t="s">
        <v>2253</v>
      </c>
      <c r="L350" s="64">
        <v>27</v>
      </c>
      <c r="M350" s="64">
        <v>1</v>
      </c>
      <c r="N350" s="64">
        <v>2</v>
      </c>
      <c r="O350" s="64">
        <v>0</v>
      </c>
      <c r="P350" s="64">
        <v>1</v>
      </c>
      <c r="Q350" s="64">
        <v>31</v>
      </c>
      <c r="BB350" s="69" t="s">
        <v>1233</v>
      </c>
      <c r="BC350" s="69" t="s">
        <v>2098</v>
      </c>
      <c r="BD350" s="69">
        <v>447</v>
      </c>
      <c r="BE350" s="69">
        <v>326</v>
      </c>
      <c r="BF350" s="69">
        <v>403</v>
      </c>
      <c r="BG350" s="69">
        <v>430</v>
      </c>
      <c r="BH350" s="69">
        <v>350</v>
      </c>
      <c r="BI350" s="69">
        <v>1956</v>
      </c>
      <c r="BJ350" s="69"/>
      <c r="BK350" s="69" t="s">
        <v>2098</v>
      </c>
      <c r="BL350" s="69">
        <v>26</v>
      </c>
      <c r="BM350" s="69">
        <v>0</v>
      </c>
      <c r="BN350" s="69">
        <v>0</v>
      </c>
      <c r="BO350" s="69">
        <v>0</v>
      </c>
      <c r="BP350" s="69">
        <v>0</v>
      </c>
      <c r="BQ350" s="69">
        <v>26</v>
      </c>
    </row>
    <row r="351" spans="2:69">
      <c r="B351" s="64" t="s">
        <v>855</v>
      </c>
      <c r="C351" s="64" t="s">
        <v>2253</v>
      </c>
      <c r="D351" s="64">
        <v>630</v>
      </c>
      <c r="E351" s="64">
        <v>537</v>
      </c>
      <c r="F351" s="64">
        <v>825</v>
      </c>
      <c r="G351" s="64">
        <v>1116</v>
      </c>
      <c r="H351" s="64">
        <v>896</v>
      </c>
      <c r="I351" s="64">
        <v>4004</v>
      </c>
      <c r="K351" s="64" t="s">
        <v>2253</v>
      </c>
      <c r="L351" s="64">
        <v>24</v>
      </c>
      <c r="M351" s="64">
        <v>0</v>
      </c>
      <c r="N351" s="64">
        <v>0</v>
      </c>
      <c r="O351" s="64">
        <v>0</v>
      </c>
      <c r="P351" s="64">
        <v>0</v>
      </c>
      <c r="Q351" s="64">
        <v>24</v>
      </c>
      <c r="BB351" s="69" t="s">
        <v>1237</v>
      </c>
      <c r="BC351" s="69" t="s">
        <v>2098</v>
      </c>
      <c r="BD351" s="69">
        <v>168</v>
      </c>
      <c r="BE351" s="69">
        <v>145</v>
      </c>
      <c r="BF351" s="69">
        <v>241</v>
      </c>
      <c r="BG351" s="69">
        <v>344</v>
      </c>
      <c r="BH351" s="69">
        <v>291</v>
      </c>
      <c r="BI351" s="69">
        <v>1189</v>
      </c>
      <c r="BJ351" s="69"/>
      <c r="BK351" s="69" t="s">
        <v>2098</v>
      </c>
      <c r="BL351" s="69">
        <v>17</v>
      </c>
      <c r="BM351" s="69">
        <v>0</v>
      </c>
      <c r="BN351" s="69">
        <v>0</v>
      </c>
      <c r="BO351" s="69">
        <v>0</v>
      </c>
      <c r="BP351" s="69">
        <v>0</v>
      </c>
      <c r="BQ351" s="69">
        <v>17</v>
      </c>
    </row>
    <row r="352" spans="2:69">
      <c r="B352" s="64" t="s">
        <v>861</v>
      </c>
      <c r="C352" s="64" t="s">
        <v>2253</v>
      </c>
      <c r="D352" s="64">
        <v>91</v>
      </c>
      <c r="E352" s="64">
        <v>174</v>
      </c>
      <c r="F352" s="64">
        <v>253</v>
      </c>
      <c r="G352" s="64">
        <v>368</v>
      </c>
      <c r="H352" s="64">
        <v>378</v>
      </c>
      <c r="I352" s="64">
        <v>1264</v>
      </c>
      <c r="K352" s="64" t="s">
        <v>2253</v>
      </c>
      <c r="L352" s="64">
        <v>9</v>
      </c>
      <c r="M352" s="64">
        <v>2</v>
      </c>
      <c r="N352" s="64">
        <v>0</v>
      </c>
      <c r="O352" s="64">
        <v>0</v>
      </c>
      <c r="P352" s="64">
        <v>0</v>
      </c>
      <c r="Q352" s="64">
        <v>11</v>
      </c>
      <c r="BB352" s="69" t="s">
        <v>1241</v>
      </c>
      <c r="BC352" s="69" t="s">
        <v>2098</v>
      </c>
      <c r="BD352" s="69">
        <v>93</v>
      </c>
      <c r="BE352" s="69">
        <v>103</v>
      </c>
      <c r="BF352" s="69">
        <v>186</v>
      </c>
      <c r="BG352" s="69">
        <v>224</v>
      </c>
      <c r="BH352" s="69">
        <v>210</v>
      </c>
      <c r="BI352" s="69">
        <v>816</v>
      </c>
      <c r="BJ352" s="69"/>
      <c r="BK352" s="69" t="s">
        <v>2098</v>
      </c>
      <c r="BL352" s="69">
        <v>14</v>
      </c>
      <c r="BM352" s="69">
        <v>0</v>
      </c>
      <c r="BN352" s="69">
        <v>0</v>
      </c>
      <c r="BO352" s="69">
        <v>0</v>
      </c>
      <c r="BP352" s="69">
        <v>0</v>
      </c>
      <c r="BQ352" s="69">
        <v>14</v>
      </c>
    </row>
    <row r="353" spans="2:69">
      <c r="B353" s="64" t="s">
        <v>864</v>
      </c>
      <c r="C353" s="64" t="s">
        <v>2253</v>
      </c>
      <c r="D353" s="64">
        <v>20</v>
      </c>
      <c r="E353" s="64">
        <v>31</v>
      </c>
      <c r="F353" s="64">
        <v>34</v>
      </c>
      <c r="G353" s="64">
        <v>62</v>
      </c>
      <c r="H353" s="64">
        <v>57</v>
      </c>
      <c r="I353" s="64">
        <v>204</v>
      </c>
      <c r="K353" s="64" t="s">
        <v>2253</v>
      </c>
      <c r="L353" s="64">
        <v>2</v>
      </c>
      <c r="M353" s="64">
        <v>1</v>
      </c>
      <c r="N353" s="64">
        <v>0</v>
      </c>
      <c r="O353" s="64">
        <v>1</v>
      </c>
      <c r="P353" s="64">
        <v>0</v>
      </c>
      <c r="Q353" s="64">
        <v>4</v>
      </c>
      <c r="BB353" s="69" t="s">
        <v>330</v>
      </c>
      <c r="BC353" s="69" t="s">
        <v>2098</v>
      </c>
      <c r="BD353" s="69">
        <v>102</v>
      </c>
      <c r="BE353" s="69">
        <v>116</v>
      </c>
      <c r="BF353" s="69">
        <v>177</v>
      </c>
      <c r="BG353" s="69">
        <v>240</v>
      </c>
      <c r="BH353" s="69">
        <v>209</v>
      </c>
      <c r="BI353" s="69">
        <v>844</v>
      </c>
      <c r="BJ353" s="69"/>
      <c r="BK353" s="69" t="s">
        <v>2098</v>
      </c>
      <c r="BL353" s="69">
        <v>18</v>
      </c>
      <c r="BM353" s="69">
        <v>0</v>
      </c>
      <c r="BN353" s="69">
        <v>0</v>
      </c>
      <c r="BO353" s="69">
        <v>0</v>
      </c>
      <c r="BP353" s="69">
        <v>0</v>
      </c>
      <c r="BQ353" s="69">
        <v>18</v>
      </c>
    </row>
    <row r="354" spans="2:69">
      <c r="B354" s="64" t="s">
        <v>869</v>
      </c>
      <c r="C354" s="64" t="s">
        <v>2253</v>
      </c>
      <c r="D354" s="64">
        <v>507</v>
      </c>
      <c r="E354" s="64">
        <v>492</v>
      </c>
      <c r="F354" s="64">
        <v>504</v>
      </c>
      <c r="G354" s="64">
        <v>527</v>
      </c>
      <c r="H354" s="64">
        <v>375</v>
      </c>
      <c r="I354" s="64">
        <v>2405</v>
      </c>
      <c r="K354" s="64" t="s">
        <v>2253</v>
      </c>
      <c r="L354" s="64">
        <v>98</v>
      </c>
      <c r="M354" s="64">
        <v>0</v>
      </c>
      <c r="N354" s="64">
        <v>0</v>
      </c>
      <c r="O354" s="64">
        <v>0</v>
      </c>
      <c r="P354" s="64">
        <v>0</v>
      </c>
      <c r="Q354" s="64">
        <v>98</v>
      </c>
      <c r="BB354" s="69" t="s">
        <v>1250</v>
      </c>
      <c r="BC354" s="69" t="s">
        <v>2098</v>
      </c>
      <c r="BD354" s="69">
        <v>382</v>
      </c>
      <c r="BE354" s="69">
        <v>539</v>
      </c>
      <c r="BF354" s="69">
        <v>834</v>
      </c>
      <c r="BG354" s="69">
        <v>1028</v>
      </c>
      <c r="BH354" s="69">
        <v>774</v>
      </c>
      <c r="BI354" s="69">
        <v>3557</v>
      </c>
      <c r="BJ354" s="69"/>
      <c r="BK354" s="69" t="s">
        <v>2098</v>
      </c>
      <c r="BL354" s="69">
        <v>24</v>
      </c>
      <c r="BM354" s="69">
        <v>0</v>
      </c>
      <c r="BN354" s="69">
        <v>0</v>
      </c>
      <c r="BO354" s="69">
        <v>0</v>
      </c>
      <c r="BP354" s="69">
        <v>0</v>
      </c>
      <c r="BQ354" s="69">
        <v>24</v>
      </c>
    </row>
    <row r="355" spans="2:69">
      <c r="B355" s="64" t="s">
        <v>874</v>
      </c>
      <c r="C355" s="64" t="s">
        <v>2253</v>
      </c>
      <c r="D355" s="64">
        <v>309</v>
      </c>
      <c r="E355" s="64">
        <v>434</v>
      </c>
      <c r="F355" s="64">
        <v>501</v>
      </c>
      <c r="G355" s="64">
        <v>459</v>
      </c>
      <c r="H355" s="64">
        <v>325</v>
      </c>
      <c r="I355" s="64">
        <v>2028</v>
      </c>
      <c r="K355" s="64" t="s">
        <v>2253</v>
      </c>
      <c r="L355" s="64">
        <v>40</v>
      </c>
      <c r="M355" s="64">
        <v>7</v>
      </c>
      <c r="N355" s="64">
        <v>1</v>
      </c>
      <c r="O355" s="64">
        <v>0</v>
      </c>
      <c r="P355" s="64">
        <v>0</v>
      </c>
      <c r="Q355" s="64">
        <v>48</v>
      </c>
      <c r="BB355" s="69" t="s">
        <v>426</v>
      </c>
      <c r="BC355" s="69" t="s">
        <v>2098</v>
      </c>
      <c r="BD355" s="69">
        <v>38</v>
      </c>
      <c r="BE355" s="69">
        <v>59</v>
      </c>
      <c r="BF355" s="69">
        <v>123</v>
      </c>
      <c r="BG355" s="69">
        <v>182</v>
      </c>
      <c r="BH355" s="69">
        <v>186</v>
      </c>
      <c r="BI355" s="69">
        <v>588</v>
      </c>
      <c r="BJ355" s="69"/>
      <c r="BK355" s="69" t="s">
        <v>2098</v>
      </c>
      <c r="BL355" s="69">
        <v>3</v>
      </c>
      <c r="BM355" s="69">
        <v>1</v>
      </c>
      <c r="BN355" s="69">
        <v>0</v>
      </c>
      <c r="BO355" s="69">
        <v>0</v>
      </c>
      <c r="BP355" s="69">
        <v>0</v>
      </c>
      <c r="BQ355" s="69">
        <v>4</v>
      </c>
    </row>
    <row r="356" spans="2:69">
      <c r="B356" s="64" t="s">
        <v>878</v>
      </c>
      <c r="C356" s="64" t="s">
        <v>2253</v>
      </c>
      <c r="D356" s="64">
        <v>882</v>
      </c>
      <c r="E356" s="64">
        <v>795</v>
      </c>
      <c r="F356" s="64">
        <v>806</v>
      </c>
      <c r="G356" s="64">
        <v>797</v>
      </c>
      <c r="H356" s="64">
        <v>485</v>
      </c>
      <c r="I356" s="64">
        <v>3765</v>
      </c>
      <c r="K356" s="64" t="s">
        <v>2253</v>
      </c>
      <c r="L356" s="64">
        <v>78</v>
      </c>
      <c r="M356" s="64">
        <v>7</v>
      </c>
      <c r="N356" s="64">
        <v>0</v>
      </c>
      <c r="O356" s="64">
        <v>0</v>
      </c>
      <c r="P356" s="64">
        <v>0</v>
      </c>
      <c r="Q356" s="64">
        <v>85</v>
      </c>
      <c r="BB356" s="69" t="s">
        <v>1258</v>
      </c>
      <c r="BC356" s="69" t="s">
        <v>2098</v>
      </c>
      <c r="BD356" s="69">
        <v>378</v>
      </c>
      <c r="BE356" s="69">
        <v>417</v>
      </c>
      <c r="BF356" s="69">
        <v>529</v>
      </c>
      <c r="BG356" s="69">
        <v>646</v>
      </c>
      <c r="BH356" s="69">
        <v>494</v>
      </c>
      <c r="BI356" s="69">
        <v>2464</v>
      </c>
      <c r="BJ356" s="69"/>
      <c r="BK356" s="69" t="s">
        <v>2098</v>
      </c>
      <c r="BL356" s="69">
        <v>47</v>
      </c>
      <c r="BM356" s="69">
        <v>0</v>
      </c>
      <c r="BN356" s="69">
        <v>0</v>
      </c>
      <c r="BO356" s="69">
        <v>0</v>
      </c>
      <c r="BP356" s="69">
        <v>0</v>
      </c>
      <c r="BQ356" s="69">
        <v>47</v>
      </c>
    </row>
    <row r="357" spans="2:69">
      <c r="B357" s="64" t="s">
        <v>882</v>
      </c>
      <c r="C357" s="64" t="s">
        <v>2253</v>
      </c>
      <c r="D357" s="64">
        <v>884</v>
      </c>
      <c r="E357" s="64">
        <v>649</v>
      </c>
      <c r="F357" s="64">
        <v>580</v>
      </c>
      <c r="G357" s="64">
        <v>614</v>
      </c>
      <c r="H357" s="64">
        <v>411</v>
      </c>
      <c r="I357" s="64">
        <v>3138</v>
      </c>
      <c r="K357" s="64" t="s">
        <v>2253</v>
      </c>
      <c r="L357" s="64">
        <v>114</v>
      </c>
      <c r="M357" s="64">
        <v>10</v>
      </c>
      <c r="N357" s="64">
        <v>2</v>
      </c>
      <c r="O357" s="64">
        <v>0</v>
      </c>
      <c r="P357" s="64">
        <v>0</v>
      </c>
      <c r="Q357" s="64">
        <v>126</v>
      </c>
      <c r="BB357" s="69" t="s">
        <v>428</v>
      </c>
      <c r="BC357" s="69" t="s">
        <v>2098</v>
      </c>
      <c r="BD357" s="69">
        <v>609</v>
      </c>
      <c r="BE357" s="69">
        <v>372</v>
      </c>
      <c r="BF357" s="69">
        <v>510</v>
      </c>
      <c r="BG357" s="69">
        <v>472</v>
      </c>
      <c r="BH357" s="69">
        <v>412</v>
      </c>
      <c r="BI357" s="69">
        <v>2375</v>
      </c>
      <c r="BJ357" s="69"/>
      <c r="BK357" s="69" t="s">
        <v>2098</v>
      </c>
      <c r="BL357" s="69">
        <v>123</v>
      </c>
      <c r="BM357" s="69">
        <v>0</v>
      </c>
      <c r="BN357" s="69">
        <v>0</v>
      </c>
      <c r="BO357" s="69">
        <v>0</v>
      </c>
      <c r="BP357" s="69">
        <v>0</v>
      </c>
      <c r="BQ357" s="69">
        <v>123</v>
      </c>
    </row>
    <row r="358" spans="2:69">
      <c r="B358" s="64" t="s">
        <v>889</v>
      </c>
      <c r="C358" s="64" t="s">
        <v>2253</v>
      </c>
      <c r="D358" s="64">
        <v>373</v>
      </c>
      <c r="E358" s="64">
        <v>344</v>
      </c>
      <c r="F358" s="64">
        <v>332</v>
      </c>
      <c r="G358" s="64">
        <v>387</v>
      </c>
      <c r="H358" s="64">
        <v>300</v>
      </c>
      <c r="I358" s="64">
        <v>1736</v>
      </c>
      <c r="K358" s="64" t="s">
        <v>2253</v>
      </c>
      <c r="L358" s="64">
        <v>21</v>
      </c>
      <c r="M358" s="64">
        <v>4</v>
      </c>
      <c r="N358" s="64">
        <v>1</v>
      </c>
      <c r="O358" s="64">
        <v>0</v>
      </c>
      <c r="P358" s="64">
        <v>1</v>
      </c>
      <c r="Q358" s="64">
        <v>27</v>
      </c>
      <c r="BB358" s="69" t="s">
        <v>1264</v>
      </c>
      <c r="BC358" s="69" t="s">
        <v>2098</v>
      </c>
      <c r="BD358" s="69">
        <v>74</v>
      </c>
      <c r="BE358" s="69">
        <v>138</v>
      </c>
      <c r="BF358" s="69">
        <v>243</v>
      </c>
      <c r="BG358" s="69">
        <v>341</v>
      </c>
      <c r="BH358" s="69">
        <v>270</v>
      </c>
      <c r="BI358" s="69">
        <v>1066</v>
      </c>
      <c r="BJ358" s="69"/>
      <c r="BK358" s="69" t="s">
        <v>2098</v>
      </c>
      <c r="BL358" s="69">
        <v>12</v>
      </c>
      <c r="BM358" s="69">
        <v>0</v>
      </c>
      <c r="BN358" s="69">
        <v>0</v>
      </c>
      <c r="BO358" s="69">
        <v>0</v>
      </c>
      <c r="BP358" s="69">
        <v>0</v>
      </c>
      <c r="BQ358" s="69">
        <v>12</v>
      </c>
    </row>
    <row r="359" spans="2:69">
      <c r="B359" s="64" t="s">
        <v>893</v>
      </c>
      <c r="C359" s="64" t="s">
        <v>2253</v>
      </c>
      <c r="D359" s="64">
        <v>711</v>
      </c>
      <c r="E359" s="64">
        <v>531</v>
      </c>
      <c r="F359" s="64">
        <v>544</v>
      </c>
      <c r="G359" s="64">
        <v>497</v>
      </c>
      <c r="H359" s="64">
        <v>370</v>
      </c>
      <c r="I359" s="64">
        <v>2653</v>
      </c>
      <c r="K359" s="64" t="s">
        <v>2253</v>
      </c>
      <c r="L359" s="64">
        <v>85</v>
      </c>
      <c r="M359" s="64">
        <v>16</v>
      </c>
      <c r="N359" s="64">
        <v>6</v>
      </c>
      <c r="O359" s="64">
        <v>0</v>
      </c>
      <c r="P359" s="64">
        <v>2</v>
      </c>
      <c r="Q359" s="64">
        <v>109</v>
      </c>
      <c r="BB359" s="69" t="s">
        <v>1268</v>
      </c>
      <c r="BC359" s="69" t="s">
        <v>2098</v>
      </c>
      <c r="BD359" s="69">
        <v>133</v>
      </c>
      <c r="BE359" s="69">
        <v>110</v>
      </c>
      <c r="BF359" s="69">
        <v>228</v>
      </c>
      <c r="BG359" s="69">
        <v>266</v>
      </c>
      <c r="BH359" s="69">
        <v>258</v>
      </c>
      <c r="BI359" s="69">
        <v>995</v>
      </c>
      <c r="BJ359" s="69"/>
      <c r="BK359" s="69" t="s">
        <v>2098</v>
      </c>
      <c r="BL359" s="69">
        <v>41</v>
      </c>
      <c r="BM359" s="69">
        <v>0</v>
      </c>
      <c r="BN359" s="69">
        <v>0</v>
      </c>
      <c r="BO359" s="69">
        <v>0</v>
      </c>
      <c r="BP359" s="69">
        <v>0</v>
      </c>
      <c r="BQ359" s="69">
        <v>41</v>
      </c>
    </row>
    <row r="360" spans="2:69">
      <c r="B360" s="64" t="s">
        <v>897</v>
      </c>
      <c r="C360" s="64" t="s">
        <v>2253</v>
      </c>
      <c r="D360" s="64">
        <v>214</v>
      </c>
      <c r="E360" s="64">
        <v>286</v>
      </c>
      <c r="F360" s="64">
        <v>346</v>
      </c>
      <c r="G360" s="64">
        <v>354</v>
      </c>
      <c r="H360" s="64">
        <v>291</v>
      </c>
      <c r="I360" s="64">
        <v>1491</v>
      </c>
      <c r="K360" s="64" t="s">
        <v>2253</v>
      </c>
      <c r="L360" s="64">
        <v>13</v>
      </c>
      <c r="M360" s="64">
        <v>3</v>
      </c>
      <c r="N360" s="64">
        <v>1</v>
      </c>
      <c r="O360" s="64">
        <v>2</v>
      </c>
      <c r="P360" s="64">
        <v>0</v>
      </c>
      <c r="Q360" s="64">
        <v>19</v>
      </c>
      <c r="BB360" s="69" t="s">
        <v>1272</v>
      </c>
      <c r="BC360" s="69" t="s">
        <v>2098</v>
      </c>
      <c r="BD360" s="69">
        <v>348</v>
      </c>
      <c r="BE360" s="69">
        <v>394</v>
      </c>
      <c r="BF360" s="69">
        <v>644</v>
      </c>
      <c r="BG360" s="69">
        <v>772</v>
      </c>
      <c r="BH360" s="69">
        <v>566</v>
      </c>
      <c r="BI360" s="69">
        <v>2724</v>
      </c>
      <c r="BJ360" s="69"/>
      <c r="BK360" s="69" t="s">
        <v>2098</v>
      </c>
      <c r="BL360" s="69">
        <v>48</v>
      </c>
      <c r="BM360" s="69">
        <v>0</v>
      </c>
      <c r="BN360" s="69">
        <v>0</v>
      </c>
      <c r="BO360" s="69">
        <v>0</v>
      </c>
      <c r="BP360" s="69">
        <v>0</v>
      </c>
      <c r="BQ360" s="69">
        <v>48</v>
      </c>
    </row>
    <row r="361" spans="2:69">
      <c r="B361" s="64" t="s">
        <v>902</v>
      </c>
      <c r="C361" s="64" t="s">
        <v>2253</v>
      </c>
      <c r="D361" s="64">
        <v>180</v>
      </c>
      <c r="E361" s="64">
        <v>244</v>
      </c>
      <c r="F361" s="64">
        <v>315</v>
      </c>
      <c r="G361" s="64">
        <v>341</v>
      </c>
      <c r="H361" s="64">
        <v>285</v>
      </c>
      <c r="I361" s="64">
        <v>1365</v>
      </c>
      <c r="K361" s="64" t="s">
        <v>2253</v>
      </c>
      <c r="L361" s="64">
        <v>17</v>
      </c>
      <c r="M361" s="64">
        <v>10</v>
      </c>
      <c r="N361" s="64">
        <v>3</v>
      </c>
      <c r="O361" s="64">
        <v>0</v>
      </c>
      <c r="P361" s="64">
        <v>1</v>
      </c>
      <c r="Q361" s="64">
        <v>31</v>
      </c>
      <c r="BB361" s="69" t="s">
        <v>429</v>
      </c>
      <c r="BC361" s="69" t="s">
        <v>2098</v>
      </c>
      <c r="BD361" s="69">
        <v>306</v>
      </c>
      <c r="BE361" s="69">
        <v>240</v>
      </c>
      <c r="BF361" s="69">
        <v>381</v>
      </c>
      <c r="BG361" s="69">
        <v>451</v>
      </c>
      <c r="BH361" s="69">
        <v>371</v>
      </c>
      <c r="BI361" s="69">
        <v>1749</v>
      </c>
      <c r="BJ361" s="69"/>
      <c r="BK361" s="69" t="s">
        <v>2098</v>
      </c>
      <c r="BL361" s="69">
        <v>68</v>
      </c>
      <c r="BM361" s="69">
        <v>0</v>
      </c>
      <c r="BN361" s="69">
        <v>0</v>
      </c>
      <c r="BO361" s="69">
        <v>0</v>
      </c>
      <c r="BP361" s="69">
        <v>0</v>
      </c>
      <c r="BQ361" s="69">
        <v>68</v>
      </c>
    </row>
    <row r="362" spans="2:69">
      <c r="B362" s="64" t="s">
        <v>907</v>
      </c>
      <c r="C362" s="64" t="s">
        <v>2253</v>
      </c>
      <c r="D362" s="64">
        <v>334</v>
      </c>
      <c r="E362" s="64">
        <v>434</v>
      </c>
      <c r="F362" s="64">
        <v>514</v>
      </c>
      <c r="G362" s="64">
        <v>597</v>
      </c>
      <c r="H362" s="64">
        <v>442</v>
      </c>
      <c r="I362" s="64">
        <v>2321</v>
      </c>
      <c r="K362" s="64" t="s">
        <v>2253</v>
      </c>
      <c r="L362" s="64">
        <v>47</v>
      </c>
      <c r="M362" s="64">
        <v>7</v>
      </c>
      <c r="N362" s="64">
        <v>3</v>
      </c>
      <c r="O362" s="64">
        <v>0</v>
      </c>
      <c r="P362" s="64">
        <v>0</v>
      </c>
      <c r="Q362" s="64">
        <v>57</v>
      </c>
      <c r="BB362" s="69" t="s">
        <v>1279</v>
      </c>
      <c r="BC362" s="69" t="s">
        <v>2098</v>
      </c>
      <c r="BD362" s="69">
        <v>182</v>
      </c>
      <c r="BE362" s="69">
        <v>170</v>
      </c>
      <c r="BF362" s="69">
        <v>270</v>
      </c>
      <c r="BG362" s="69">
        <v>405</v>
      </c>
      <c r="BH362" s="69">
        <v>327</v>
      </c>
      <c r="BI362" s="69">
        <v>1354</v>
      </c>
      <c r="BJ362" s="69"/>
      <c r="BK362" s="69" t="s">
        <v>2098</v>
      </c>
      <c r="BL362" s="69">
        <v>42</v>
      </c>
      <c r="BM362" s="69">
        <v>0</v>
      </c>
      <c r="BN362" s="69">
        <v>0</v>
      </c>
      <c r="BO362" s="69">
        <v>0</v>
      </c>
      <c r="BP362" s="69">
        <v>0</v>
      </c>
      <c r="BQ362" s="69">
        <v>42</v>
      </c>
    </row>
    <row r="363" spans="2:69">
      <c r="B363" s="64" t="s">
        <v>911</v>
      </c>
      <c r="C363" s="64" t="s">
        <v>2253</v>
      </c>
      <c r="D363" s="64">
        <v>183</v>
      </c>
      <c r="E363" s="64">
        <v>221</v>
      </c>
      <c r="F363" s="64">
        <v>273</v>
      </c>
      <c r="G363" s="64">
        <v>316</v>
      </c>
      <c r="H363" s="64">
        <v>289</v>
      </c>
      <c r="I363" s="64">
        <v>1282</v>
      </c>
      <c r="K363" s="64" t="s">
        <v>2253</v>
      </c>
      <c r="L363" s="64">
        <v>20</v>
      </c>
      <c r="M363" s="64">
        <v>1</v>
      </c>
      <c r="N363" s="64">
        <v>0</v>
      </c>
      <c r="O363" s="64">
        <v>0</v>
      </c>
      <c r="P363" s="64">
        <v>0</v>
      </c>
      <c r="Q363" s="64">
        <v>21</v>
      </c>
      <c r="BB363" s="69" t="s">
        <v>430</v>
      </c>
      <c r="BC363" s="69" t="s">
        <v>2098</v>
      </c>
      <c r="BD363" s="69">
        <v>162</v>
      </c>
      <c r="BE363" s="69">
        <v>215</v>
      </c>
      <c r="BF363" s="69">
        <v>386</v>
      </c>
      <c r="BG363" s="69">
        <v>585</v>
      </c>
      <c r="BH363" s="69">
        <v>475</v>
      </c>
      <c r="BI363" s="69">
        <v>1823</v>
      </c>
      <c r="BJ363" s="69"/>
      <c r="BK363" s="69" t="s">
        <v>2098</v>
      </c>
      <c r="BL363" s="69">
        <v>21</v>
      </c>
      <c r="BM363" s="69">
        <v>0</v>
      </c>
      <c r="BN363" s="69">
        <v>0</v>
      </c>
      <c r="BO363" s="69">
        <v>0</v>
      </c>
      <c r="BP363" s="69">
        <v>0</v>
      </c>
      <c r="BQ363" s="69">
        <v>21</v>
      </c>
    </row>
    <row r="364" spans="2:69">
      <c r="B364" s="64" t="s">
        <v>915</v>
      </c>
      <c r="C364" s="64" t="s">
        <v>2253</v>
      </c>
      <c r="D364" s="64">
        <v>23</v>
      </c>
      <c r="E364" s="64">
        <v>67</v>
      </c>
      <c r="F364" s="64">
        <v>83</v>
      </c>
      <c r="G364" s="64">
        <v>114</v>
      </c>
      <c r="H364" s="64">
        <v>120</v>
      </c>
      <c r="I364" s="64">
        <v>407</v>
      </c>
      <c r="K364" s="64" t="s">
        <v>2253</v>
      </c>
      <c r="L364" s="64">
        <v>6</v>
      </c>
      <c r="M364" s="64">
        <v>4</v>
      </c>
      <c r="N364" s="64">
        <v>0</v>
      </c>
      <c r="O364" s="64">
        <v>1</v>
      </c>
      <c r="P364" s="64">
        <v>1</v>
      </c>
      <c r="Q364" s="64">
        <v>12</v>
      </c>
      <c r="BB364" s="69" t="s">
        <v>1285</v>
      </c>
      <c r="BC364" s="69" t="s">
        <v>2098</v>
      </c>
      <c r="BD364" s="69">
        <v>337</v>
      </c>
      <c r="BE364" s="69">
        <v>340</v>
      </c>
      <c r="BF364" s="69">
        <v>500</v>
      </c>
      <c r="BG364" s="69">
        <v>649</v>
      </c>
      <c r="BH364" s="69">
        <v>593</v>
      </c>
      <c r="BI364" s="69">
        <v>2419</v>
      </c>
      <c r="BJ364" s="69"/>
      <c r="BK364" s="69" t="s">
        <v>2098</v>
      </c>
      <c r="BL364" s="69">
        <v>33</v>
      </c>
      <c r="BM364" s="69">
        <v>0</v>
      </c>
      <c r="BN364" s="69">
        <v>0</v>
      </c>
      <c r="BO364" s="69">
        <v>0</v>
      </c>
      <c r="BP364" s="69">
        <v>0</v>
      </c>
      <c r="BQ364" s="69">
        <v>33</v>
      </c>
    </row>
    <row r="365" spans="2:69">
      <c r="B365" s="64" t="s">
        <v>922</v>
      </c>
      <c r="C365" s="64" t="s">
        <v>2253</v>
      </c>
      <c r="D365" s="64">
        <v>98</v>
      </c>
      <c r="E365" s="64">
        <v>202</v>
      </c>
      <c r="F365" s="64">
        <v>341</v>
      </c>
      <c r="G365" s="64">
        <v>422</v>
      </c>
      <c r="H365" s="64">
        <v>320</v>
      </c>
      <c r="I365" s="64">
        <v>1383</v>
      </c>
      <c r="K365" s="64" t="s">
        <v>2253</v>
      </c>
      <c r="L365" s="64">
        <v>11</v>
      </c>
      <c r="M365" s="64">
        <v>0</v>
      </c>
      <c r="N365" s="64">
        <v>0</v>
      </c>
      <c r="O365" s="64">
        <v>0</v>
      </c>
      <c r="P365" s="64">
        <v>0</v>
      </c>
      <c r="Q365" s="64">
        <v>11</v>
      </c>
      <c r="BB365" s="69" t="s">
        <v>1289</v>
      </c>
      <c r="BC365" s="69" t="s">
        <v>2098</v>
      </c>
      <c r="BD365" s="69">
        <v>162</v>
      </c>
      <c r="BE365" s="69">
        <v>162</v>
      </c>
      <c r="BF365" s="69">
        <v>278</v>
      </c>
      <c r="BG365" s="69">
        <v>368</v>
      </c>
      <c r="BH365" s="69">
        <v>288</v>
      </c>
      <c r="BI365" s="69">
        <v>1258</v>
      </c>
      <c r="BJ365" s="69"/>
      <c r="BK365" s="69" t="s">
        <v>2098</v>
      </c>
      <c r="BL365" s="69">
        <v>35</v>
      </c>
      <c r="BM365" s="69">
        <v>0</v>
      </c>
      <c r="BN365" s="69">
        <v>0</v>
      </c>
      <c r="BO365" s="69">
        <v>0</v>
      </c>
      <c r="BP365" s="69">
        <v>0</v>
      </c>
      <c r="BQ365" s="69">
        <v>35</v>
      </c>
    </row>
    <row r="366" spans="2:69">
      <c r="B366" s="64" t="s">
        <v>925</v>
      </c>
      <c r="C366" s="64" t="s">
        <v>2253</v>
      </c>
      <c r="D366" s="64">
        <v>173</v>
      </c>
      <c r="E366" s="64">
        <v>89</v>
      </c>
      <c r="F366" s="64">
        <v>157</v>
      </c>
      <c r="G366" s="64">
        <v>246</v>
      </c>
      <c r="H366" s="64">
        <v>332</v>
      </c>
      <c r="I366" s="64">
        <v>997</v>
      </c>
      <c r="K366" s="64" t="s">
        <v>2253</v>
      </c>
      <c r="L366" s="64">
        <v>21</v>
      </c>
      <c r="M366" s="64">
        <v>0</v>
      </c>
      <c r="N366" s="64">
        <v>0</v>
      </c>
      <c r="O366" s="64">
        <v>0</v>
      </c>
      <c r="P366" s="64">
        <v>0</v>
      </c>
      <c r="Q366" s="64">
        <v>21</v>
      </c>
      <c r="BB366" s="69" t="s">
        <v>1292</v>
      </c>
      <c r="BC366" s="69" t="s">
        <v>2098</v>
      </c>
      <c r="BD366" s="69">
        <v>409</v>
      </c>
      <c r="BE366" s="69">
        <v>78</v>
      </c>
      <c r="BF366" s="69">
        <v>141</v>
      </c>
      <c r="BG366" s="69">
        <v>175</v>
      </c>
      <c r="BH366" s="69">
        <v>319</v>
      </c>
      <c r="BI366" s="69">
        <v>1122</v>
      </c>
      <c r="BJ366" s="69"/>
      <c r="BK366" s="69" t="s">
        <v>2098</v>
      </c>
      <c r="BL366" s="69">
        <v>177</v>
      </c>
      <c r="BM366" s="69">
        <v>0</v>
      </c>
      <c r="BN366" s="69">
        <v>0</v>
      </c>
      <c r="BO366" s="69">
        <v>0</v>
      </c>
      <c r="BP366" s="69">
        <v>0</v>
      </c>
      <c r="BQ366" s="69">
        <v>177</v>
      </c>
    </row>
    <row r="367" spans="2:69">
      <c r="B367" s="64" t="s">
        <v>71</v>
      </c>
      <c r="C367" s="64" t="s">
        <v>2253</v>
      </c>
      <c r="D367" s="64">
        <v>124</v>
      </c>
      <c r="E367" s="64">
        <v>267</v>
      </c>
      <c r="F367" s="64">
        <v>413</v>
      </c>
      <c r="G367" s="64">
        <v>541</v>
      </c>
      <c r="H367" s="64">
        <v>353</v>
      </c>
      <c r="I367" s="64">
        <v>1698</v>
      </c>
      <c r="K367" s="64" t="s">
        <v>2253</v>
      </c>
      <c r="L367" s="64">
        <v>19</v>
      </c>
      <c r="M367" s="64">
        <v>2</v>
      </c>
      <c r="N367" s="64">
        <v>2</v>
      </c>
      <c r="O367" s="64">
        <v>0</v>
      </c>
      <c r="P367" s="64">
        <v>0</v>
      </c>
      <c r="Q367" s="64">
        <v>23</v>
      </c>
      <c r="BB367" s="69" t="s">
        <v>439</v>
      </c>
      <c r="BC367" s="69" t="s">
        <v>2098</v>
      </c>
      <c r="BD367" s="69">
        <v>67</v>
      </c>
      <c r="BE367" s="69">
        <v>35</v>
      </c>
      <c r="BF367" s="69">
        <v>51</v>
      </c>
      <c r="BG367" s="69">
        <v>76</v>
      </c>
      <c r="BH367" s="69">
        <v>180</v>
      </c>
      <c r="BI367" s="69">
        <v>409</v>
      </c>
      <c r="BJ367" s="69"/>
      <c r="BK367" s="69" t="s">
        <v>2098</v>
      </c>
      <c r="BL367" s="69">
        <v>30</v>
      </c>
      <c r="BM367" s="69">
        <v>0</v>
      </c>
      <c r="BN367" s="69">
        <v>0</v>
      </c>
      <c r="BO367" s="69">
        <v>0</v>
      </c>
      <c r="BP367" s="69">
        <v>0</v>
      </c>
      <c r="BQ367" s="69">
        <v>30</v>
      </c>
    </row>
    <row r="368" spans="2:69">
      <c r="B368" s="64" t="s">
        <v>933</v>
      </c>
      <c r="C368" s="64" t="s">
        <v>2253</v>
      </c>
      <c r="D368" s="64">
        <v>202</v>
      </c>
      <c r="E368" s="64">
        <v>386</v>
      </c>
      <c r="F368" s="64">
        <v>564</v>
      </c>
      <c r="G368" s="64">
        <v>570</v>
      </c>
      <c r="H368" s="64">
        <v>407</v>
      </c>
      <c r="I368" s="64">
        <v>2129</v>
      </c>
      <c r="K368" s="64" t="s">
        <v>2253</v>
      </c>
      <c r="L368" s="64">
        <v>24</v>
      </c>
      <c r="M368" s="64">
        <v>3</v>
      </c>
      <c r="N368" s="64">
        <v>1</v>
      </c>
      <c r="O368" s="64">
        <v>0</v>
      </c>
      <c r="P368" s="64">
        <v>1</v>
      </c>
      <c r="Q368" s="64">
        <v>29</v>
      </c>
      <c r="BB368" s="69" t="s">
        <v>1300</v>
      </c>
      <c r="BC368" s="69" t="s">
        <v>2098</v>
      </c>
      <c r="BD368" s="69">
        <v>900</v>
      </c>
      <c r="BE368" s="69">
        <v>734</v>
      </c>
      <c r="BF368" s="69">
        <v>915</v>
      </c>
      <c r="BG368" s="69">
        <v>916</v>
      </c>
      <c r="BH368" s="69">
        <v>735</v>
      </c>
      <c r="BI368" s="69">
        <v>4200</v>
      </c>
      <c r="BJ368" s="69"/>
      <c r="BK368" s="69" t="s">
        <v>2098</v>
      </c>
      <c r="BL368" s="69">
        <v>245</v>
      </c>
      <c r="BM368" s="69">
        <v>0</v>
      </c>
      <c r="BN368" s="69">
        <v>0</v>
      </c>
      <c r="BO368" s="69">
        <v>0</v>
      </c>
      <c r="BP368" s="69">
        <v>0</v>
      </c>
      <c r="BQ368" s="69">
        <v>245</v>
      </c>
    </row>
    <row r="369" spans="2:69">
      <c r="B369" s="64" t="s">
        <v>145</v>
      </c>
      <c r="C369" s="64" t="s">
        <v>2253</v>
      </c>
      <c r="D369" s="64">
        <v>130</v>
      </c>
      <c r="E369" s="64">
        <v>271</v>
      </c>
      <c r="F369" s="64">
        <v>459</v>
      </c>
      <c r="G369" s="64">
        <v>548</v>
      </c>
      <c r="H369" s="64">
        <v>426</v>
      </c>
      <c r="I369" s="64">
        <v>1834</v>
      </c>
      <c r="K369" s="64" t="s">
        <v>2253</v>
      </c>
      <c r="L369" s="64">
        <v>26</v>
      </c>
      <c r="M369" s="64">
        <v>2</v>
      </c>
      <c r="N369" s="64">
        <v>0</v>
      </c>
      <c r="O369" s="64">
        <v>0</v>
      </c>
      <c r="P369" s="64">
        <v>1</v>
      </c>
      <c r="Q369" s="64">
        <v>29</v>
      </c>
      <c r="BB369" s="69" t="s">
        <v>1303</v>
      </c>
      <c r="BC369" s="69" t="s">
        <v>2098</v>
      </c>
      <c r="BD369" s="69">
        <v>307</v>
      </c>
      <c r="BE369" s="69">
        <v>233</v>
      </c>
      <c r="BF369" s="69">
        <v>414</v>
      </c>
      <c r="BG369" s="69">
        <v>586</v>
      </c>
      <c r="BH369" s="69">
        <v>518</v>
      </c>
      <c r="BI369" s="69">
        <v>2058</v>
      </c>
      <c r="BJ369" s="69"/>
      <c r="BK369" s="69" t="s">
        <v>2098</v>
      </c>
      <c r="BL369" s="69">
        <v>60</v>
      </c>
      <c r="BM369" s="69">
        <v>0</v>
      </c>
      <c r="BN369" s="69">
        <v>0</v>
      </c>
      <c r="BO369" s="69">
        <v>0</v>
      </c>
      <c r="BP369" s="69">
        <v>0</v>
      </c>
      <c r="BQ369" s="69">
        <v>60</v>
      </c>
    </row>
    <row r="370" spans="2:69">
      <c r="BB370" s="69" t="s">
        <v>1306</v>
      </c>
      <c r="BC370" s="69" t="s">
        <v>2098</v>
      </c>
      <c r="BD370" s="69">
        <v>104</v>
      </c>
      <c r="BE370" s="69">
        <v>224</v>
      </c>
      <c r="BF370" s="69">
        <v>439</v>
      </c>
      <c r="BG370" s="69">
        <v>642</v>
      </c>
      <c r="BH370" s="69">
        <v>652</v>
      </c>
      <c r="BI370" s="69">
        <v>2061</v>
      </c>
      <c r="BJ370" s="69"/>
      <c r="BK370" s="69" t="s">
        <v>2098</v>
      </c>
      <c r="BL370" s="69">
        <v>15</v>
      </c>
      <c r="BM370" s="69">
        <v>0</v>
      </c>
      <c r="BN370" s="69">
        <v>0</v>
      </c>
      <c r="BO370" s="69">
        <v>0</v>
      </c>
      <c r="BP370" s="69">
        <v>0</v>
      </c>
      <c r="BQ370" s="69">
        <v>15</v>
      </c>
    </row>
    <row r="371" spans="2:69">
      <c r="BB371" s="69" t="s">
        <v>1309</v>
      </c>
      <c r="BC371" s="69" t="s">
        <v>2098</v>
      </c>
      <c r="BD371" s="69">
        <v>191</v>
      </c>
      <c r="BE371" s="69">
        <v>137</v>
      </c>
      <c r="BF371" s="69">
        <v>320</v>
      </c>
      <c r="BG371" s="69">
        <v>420</v>
      </c>
      <c r="BH371" s="69">
        <v>405</v>
      </c>
      <c r="BI371" s="69">
        <v>1473</v>
      </c>
      <c r="BJ371" s="69"/>
      <c r="BK371" s="69" t="s">
        <v>2098</v>
      </c>
      <c r="BL371" s="69">
        <v>27</v>
      </c>
      <c r="BM371" s="69">
        <v>0</v>
      </c>
      <c r="BN371" s="69">
        <v>0</v>
      </c>
      <c r="BO371" s="69">
        <v>0</v>
      </c>
      <c r="BP371" s="69">
        <v>0</v>
      </c>
      <c r="BQ371" s="69">
        <v>27</v>
      </c>
    </row>
    <row r="372" spans="2:69">
      <c r="BB372" s="69" t="s">
        <v>1312</v>
      </c>
      <c r="BC372" s="69" t="s">
        <v>2098</v>
      </c>
      <c r="BD372" s="69">
        <v>121</v>
      </c>
      <c r="BE372" s="69">
        <v>189</v>
      </c>
      <c r="BF372" s="69">
        <v>411</v>
      </c>
      <c r="BG372" s="69">
        <v>519</v>
      </c>
      <c r="BH372" s="69">
        <v>445</v>
      </c>
      <c r="BI372" s="69">
        <v>1685</v>
      </c>
      <c r="BJ372" s="69"/>
      <c r="BK372" s="69" t="s">
        <v>2098</v>
      </c>
      <c r="BL372" s="69">
        <v>18</v>
      </c>
      <c r="BM372" s="69">
        <v>0</v>
      </c>
      <c r="BN372" s="69">
        <v>0</v>
      </c>
      <c r="BO372" s="69">
        <v>0</v>
      </c>
      <c r="BP372" s="69">
        <v>0</v>
      </c>
      <c r="BQ372" s="69">
        <v>18</v>
      </c>
    </row>
    <row r="373" spans="2:69">
      <c r="BB373" s="69" t="s">
        <v>1315</v>
      </c>
      <c r="BC373" s="69" t="s">
        <v>2098</v>
      </c>
      <c r="BD373" s="69">
        <v>1827</v>
      </c>
      <c r="BE373" s="69">
        <v>983</v>
      </c>
      <c r="BF373" s="69">
        <v>1002</v>
      </c>
      <c r="BG373" s="69">
        <v>1012</v>
      </c>
      <c r="BH373" s="69">
        <v>757</v>
      </c>
      <c r="BI373" s="69">
        <v>5581</v>
      </c>
      <c r="BJ373" s="69"/>
      <c r="BK373" s="69" t="s">
        <v>2098</v>
      </c>
      <c r="BL373" s="69">
        <v>375</v>
      </c>
      <c r="BM373" s="69">
        <v>5</v>
      </c>
      <c r="BN373" s="69">
        <v>0</v>
      </c>
      <c r="BO373" s="69">
        <v>0</v>
      </c>
      <c r="BP373" s="69">
        <v>0</v>
      </c>
      <c r="BQ373" s="69">
        <v>380</v>
      </c>
    </row>
    <row r="374" spans="2:69">
      <c r="BB374" s="69" t="s">
        <v>1956</v>
      </c>
      <c r="BC374" s="69" t="s">
        <v>2098</v>
      </c>
      <c r="BD374" s="69">
        <v>185</v>
      </c>
      <c r="BE374" s="69">
        <v>236</v>
      </c>
      <c r="BF374" s="69">
        <v>345</v>
      </c>
      <c r="BG374" s="69">
        <v>456</v>
      </c>
      <c r="BH374" s="69">
        <v>354</v>
      </c>
      <c r="BI374" s="69">
        <v>1576</v>
      </c>
      <c r="BJ374" s="69"/>
      <c r="BK374" s="69" t="s">
        <v>2098</v>
      </c>
      <c r="BL374" s="69">
        <v>38</v>
      </c>
      <c r="BM374" s="69">
        <v>0</v>
      </c>
      <c r="BN374" s="69">
        <v>0</v>
      </c>
      <c r="BO374" s="69">
        <v>0</v>
      </c>
      <c r="BP374" s="69">
        <v>0</v>
      </c>
      <c r="BQ374" s="69">
        <v>38</v>
      </c>
    </row>
    <row r="375" spans="2:69">
      <c r="BB375" s="69" t="s">
        <v>1322</v>
      </c>
      <c r="BC375" s="69" t="s">
        <v>2098</v>
      </c>
      <c r="BD375" s="69">
        <v>113</v>
      </c>
      <c r="BE375" s="69">
        <v>83</v>
      </c>
      <c r="BF375" s="69">
        <v>116</v>
      </c>
      <c r="BG375" s="69">
        <v>141</v>
      </c>
      <c r="BH375" s="69">
        <v>166</v>
      </c>
      <c r="BI375" s="69">
        <v>619</v>
      </c>
      <c r="BJ375" s="69"/>
      <c r="BK375" s="69" t="s">
        <v>2098</v>
      </c>
      <c r="BL375" s="69">
        <v>32</v>
      </c>
      <c r="BM375" s="69">
        <v>0</v>
      </c>
      <c r="BN375" s="69">
        <v>0</v>
      </c>
      <c r="BO375" s="69">
        <v>0</v>
      </c>
      <c r="BP375" s="69">
        <v>0</v>
      </c>
      <c r="BQ375" s="69">
        <v>32</v>
      </c>
    </row>
    <row r="376" spans="2:69">
      <c r="BB376" s="69" t="s">
        <v>1327</v>
      </c>
      <c r="BC376" s="69" t="s">
        <v>2098</v>
      </c>
      <c r="BD376" s="69">
        <v>77</v>
      </c>
      <c r="BE376" s="69">
        <v>60</v>
      </c>
      <c r="BF376" s="69">
        <v>79</v>
      </c>
      <c r="BG376" s="69">
        <v>99</v>
      </c>
      <c r="BH376" s="69">
        <v>87</v>
      </c>
      <c r="BI376" s="69">
        <v>402</v>
      </c>
      <c r="BJ376" s="69"/>
      <c r="BK376" s="69" t="s">
        <v>2098</v>
      </c>
      <c r="BL376" s="69">
        <v>27</v>
      </c>
      <c r="BM376" s="69">
        <v>0</v>
      </c>
      <c r="BN376" s="69">
        <v>0</v>
      </c>
      <c r="BO376" s="69">
        <v>0</v>
      </c>
      <c r="BP376" s="69">
        <v>0</v>
      </c>
      <c r="BQ376" s="69">
        <v>27</v>
      </c>
    </row>
    <row r="377" spans="2:69">
      <c r="BB377" s="69" t="s">
        <v>1333</v>
      </c>
      <c r="BC377" s="69" t="s">
        <v>2098</v>
      </c>
      <c r="BD377" s="69">
        <v>89</v>
      </c>
      <c r="BE377" s="69">
        <v>60</v>
      </c>
      <c r="BF377" s="69">
        <v>171</v>
      </c>
      <c r="BG377" s="69">
        <v>238</v>
      </c>
      <c r="BH377" s="69">
        <v>237</v>
      </c>
      <c r="BI377" s="69">
        <v>795</v>
      </c>
      <c r="BJ377" s="69"/>
      <c r="BK377" s="69" t="s">
        <v>2098</v>
      </c>
      <c r="BL377" s="69">
        <v>30</v>
      </c>
      <c r="BM377" s="69">
        <v>0</v>
      </c>
      <c r="BN377" s="69">
        <v>0</v>
      </c>
      <c r="BO377" s="69">
        <v>0</v>
      </c>
      <c r="BP377" s="69">
        <v>0</v>
      </c>
      <c r="BQ377" s="69">
        <v>30</v>
      </c>
    </row>
    <row r="378" spans="2:69">
      <c r="BB378" s="69" t="s">
        <v>1337</v>
      </c>
      <c r="BC378" s="69" t="s">
        <v>2098</v>
      </c>
      <c r="BD378" s="69">
        <v>59</v>
      </c>
      <c r="BE378" s="69">
        <v>74</v>
      </c>
      <c r="BF378" s="69">
        <v>231</v>
      </c>
      <c r="BG378" s="69">
        <v>392</v>
      </c>
      <c r="BH378" s="69">
        <v>334</v>
      </c>
      <c r="BI378" s="69">
        <v>1090</v>
      </c>
      <c r="BJ378" s="69"/>
      <c r="BK378" s="69" t="s">
        <v>2098</v>
      </c>
      <c r="BL378" s="69">
        <v>15</v>
      </c>
      <c r="BM378" s="69">
        <v>0</v>
      </c>
      <c r="BN378" s="69">
        <v>0</v>
      </c>
      <c r="BO378" s="69">
        <v>0</v>
      </c>
      <c r="BP378" s="69">
        <v>0</v>
      </c>
      <c r="BQ378" s="69">
        <v>15</v>
      </c>
    </row>
    <row r="379" spans="2:69">
      <c r="BB379" s="69" t="s">
        <v>1341</v>
      </c>
      <c r="BC379" s="69" t="s">
        <v>2098</v>
      </c>
      <c r="BD379" s="69">
        <v>24</v>
      </c>
      <c r="BE379" s="69">
        <v>53</v>
      </c>
      <c r="BF379" s="69">
        <v>107</v>
      </c>
      <c r="BG379" s="69">
        <v>217</v>
      </c>
      <c r="BH379" s="69">
        <v>143</v>
      </c>
      <c r="BI379" s="69">
        <v>544</v>
      </c>
      <c r="BJ379" s="69"/>
      <c r="BK379" s="69" t="s">
        <v>2098</v>
      </c>
      <c r="BL379" s="69">
        <v>3</v>
      </c>
      <c r="BM379" s="69">
        <v>0</v>
      </c>
      <c r="BN379" s="69">
        <v>1</v>
      </c>
      <c r="BO379" s="69">
        <v>0</v>
      </c>
      <c r="BP379" s="69">
        <v>0</v>
      </c>
      <c r="BQ379" s="69">
        <v>4</v>
      </c>
    </row>
    <row r="380" spans="2:69">
      <c r="BB380" s="69" t="s">
        <v>2064</v>
      </c>
      <c r="BC380" s="69" t="s">
        <v>2098</v>
      </c>
      <c r="BD380" s="69">
        <v>37</v>
      </c>
      <c r="BE380" s="69">
        <v>23</v>
      </c>
      <c r="BF380" s="69">
        <v>29</v>
      </c>
      <c r="BG380" s="69">
        <v>32</v>
      </c>
      <c r="BH380" s="69">
        <v>42</v>
      </c>
      <c r="BI380" s="69">
        <v>163</v>
      </c>
      <c r="BJ380" s="69"/>
      <c r="BK380" s="69" t="s">
        <v>2098</v>
      </c>
      <c r="BL380" s="69">
        <v>9</v>
      </c>
      <c r="BM380" s="69">
        <v>0</v>
      </c>
      <c r="BN380" s="69">
        <v>0</v>
      </c>
      <c r="BO380" s="69">
        <v>0</v>
      </c>
      <c r="BP380" s="69">
        <v>0</v>
      </c>
      <c r="BQ380" s="69">
        <v>9</v>
      </c>
    </row>
    <row r="381" spans="2:69">
      <c r="BB381" s="69" t="s">
        <v>1347</v>
      </c>
      <c r="BC381" s="69" t="s">
        <v>2098</v>
      </c>
      <c r="BD381" s="69">
        <v>819</v>
      </c>
      <c r="BE381" s="69">
        <v>692</v>
      </c>
      <c r="BF381" s="69">
        <v>1100</v>
      </c>
      <c r="BG381" s="69">
        <v>1487</v>
      </c>
      <c r="BH381" s="69">
        <v>1210</v>
      </c>
      <c r="BI381" s="69">
        <v>5308</v>
      </c>
      <c r="BJ381" s="69"/>
      <c r="BK381" s="69" t="s">
        <v>2098</v>
      </c>
      <c r="BL381" s="69">
        <v>84</v>
      </c>
      <c r="BM381" s="69">
        <v>0</v>
      </c>
      <c r="BN381" s="69">
        <v>0</v>
      </c>
      <c r="BO381" s="69">
        <v>0</v>
      </c>
      <c r="BP381" s="69">
        <v>0</v>
      </c>
      <c r="BQ381" s="69">
        <v>84</v>
      </c>
    </row>
    <row r="382" spans="2:69">
      <c r="BB382" s="69" t="s">
        <v>1351</v>
      </c>
      <c r="BC382" s="69" t="s">
        <v>2098</v>
      </c>
      <c r="BD382" s="69">
        <v>165</v>
      </c>
      <c r="BE382" s="69">
        <v>121</v>
      </c>
      <c r="BF382" s="69">
        <v>228</v>
      </c>
      <c r="BG382" s="69">
        <v>286</v>
      </c>
      <c r="BH382" s="69">
        <v>296</v>
      </c>
      <c r="BI382" s="69">
        <v>1096</v>
      </c>
      <c r="BJ382" s="69"/>
      <c r="BK382" s="69" t="s">
        <v>2098</v>
      </c>
      <c r="BL382" s="69">
        <v>33</v>
      </c>
      <c r="BM382" s="69">
        <v>0</v>
      </c>
      <c r="BN382" s="69">
        <v>0</v>
      </c>
      <c r="BO382" s="69">
        <v>0</v>
      </c>
      <c r="BP382" s="69">
        <v>0</v>
      </c>
      <c r="BQ382" s="69">
        <v>33</v>
      </c>
    </row>
    <row r="383" spans="2:69">
      <c r="BB383" s="69" t="s">
        <v>1356</v>
      </c>
      <c r="BC383" s="69" t="s">
        <v>2098</v>
      </c>
      <c r="BD383" s="69">
        <v>438</v>
      </c>
      <c r="BE383" s="69">
        <v>335</v>
      </c>
      <c r="BF383" s="69">
        <v>552</v>
      </c>
      <c r="BG383" s="69">
        <v>739</v>
      </c>
      <c r="BH383" s="69">
        <v>630</v>
      </c>
      <c r="BI383" s="69">
        <v>2694</v>
      </c>
      <c r="BJ383" s="69"/>
      <c r="BK383" s="69" t="s">
        <v>2098</v>
      </c>
      <c r="BL383" s="69">
        <v>45</v>
      </c>
      <c r="BM383" s="69">
        <v>0</v>
      </c>
      <c r="BN383" s="69">
        <v>0</v>
      </c>
      <c r="BO383" s="69">
        <v>0</v>
      </c>
      <c r="BP383" s="69">
        <v>0</v>
      </c>
      <c r="BQ383" s="69">
        <v>45</v>
      </c>
    </row>
    <row r="384" spans="2:69">
      <c r="BB384" s="69" t="s">
        <v>1359</v>
      </c>
      <c r="BC384" s="69" t="s">
        <v>2098</v>
      </c>
      <c r="BD384" s="69">
        <v>351</v>
      </c>
      <c r="BE384" s="69">
        <v>264</v>
      </c>
      <c r="BF384" s="69">
        <v>426</v>
      </c>
      <c r="BG384" s="69">
        <v>472</v>
      </c>
      <c r="BH384" s="69">
        <v>419</v>
      </c>
      <c r="BI384" s="69">
        <v>1932</v>
      </c>
      <c r="BJ384" s="69"/>
      <c r="BK384" s="69" t="s">
        <v>2098</v>
      </c>
      <c r="BL384" s="69">
        <v>45</v>
      </c>
      <c r="BM384" s="69">
        <v>0</v>
      </c>
      <c r="BN384" s="69">
        <v>0</v>
      </c>
      <c r="BO384" s="69">
        <v>0</v>
      </c>
      <c r="BP384" s="69">
        <v>0</v>
      </c>
      <c r="BQ384" s="69">
        <v>45</v>
      </c>
    </row>
    <row r="385" spans="54:69">
      <c r="BB385" s="69" t="s">
        <v>1363</v>
      </c>
      <c r="BC385" s="69" t="s">
        <v>2098</v>
      </c>
      <c r="BD385" s="69">
        <v>176</v>
      </c>
      <c r="BE385" s="69">
        <v>194</v>
      </c>
      <c r="BF385" s="69">
        <v>340</v>
      </c>
      <c r="BG385" s="69">
        <v>415</v>
      </c>
      <c r="BH385" s="69">
        <v>443</v>
      </c>
      <c r="BI385" s="69">
        <v>1568</v>
      </c>
      <c r="BJ385" s="69"/>
      <c r="BK385" s="69" t="s">
        <v>2098</v>
      </c>
      <c r="BL385" s="69">
        <v>27</v>
      </c>
      <c r="BM385" s="69">
        <v>0</v>
      </c>
      <c r="BN385" s="69">
        <v>0</v>
      </c>
      <c r="BO385" s="69">
        <v>0</v>
      </c>
      <c r="BP385" s="69">
        <v>0</v>
      </c>
      <c r="BQ385" s="69">
        <v>27</v>
      </c>
    </row>
    <row r="386" spans="54:69">
      <c r="BB386" s="69" t="s">
        <v>1366</v>
      </c>
      <c r="BC386" s="69" t="s">
        <v>2098</v>
      </c>
      <c r="BD386" s="69">
        <v>319</v>
      </c>
      <c r="BE386" s="69">
        <v>230</v>
      </c>
      <c r="BF386" s="69">
        <v>282</v>
      </c>
      <c r="BG386" s="69">
        <v>408</v>
      </c>
      <c r="BH386" s="69">
        <v>404</v>
      </c>
      <c r="BI386" s="69">
        <v>1643</v>
      </c>
      <c r="BJ386" s="69"/>
      <c r="BK386" s="69" t="s">
        <v>2098</v>
      </c>
      <c r="BL386" s="69">
        <v>34</v>
      </c>
      <c r="BM386" s="69">
        <v>0</v>
      </c>
      <c r="BN386" s="69">
        <v>0</v>
      </c>
      <c r="BO386" s="69">
        <v>0</v>
      </c>
      <c r="BP386" s="69">
        <v>0</v>
      </c>
      <c r="BQ386" s="69">
        <v>34</v>
      </c>
    </row>
    <row r="387" spans="54:69">
      <c r="BB387" s="69" t="s">
        <v>1369</v>
      </c>
      <c r="BC387" s="69" t="s">
        <v>2098</v>
      </c>
      <c r="BD387" s="69">
        <v>196</v>
      </c>
      <c r="BE387" s="69">
        <v>205</v>
      </c>
      <c r="BF387" s="69">
        <v>394</v>
      </c>
      <c r="BG387" s="69">
        <v>576</v>
      </c>
      <c r="BH387" s="69">
        <v>504</v>
      </c>
      <c r="BI387" s="69">
        <v>1875</v>
      </c>
      <c r="BJ387" s="69"/>
      <c r="BK387" s="69" t="s">
        <v>2098</v>
      </c>
      <c r="BL387" s="69">
        <v>45</v>
      </c>
      <c r="BM387" s="69">
        <v>0</v>
      </c>
      <c r="BN387" s="69">
        <v>0</v>
      </c>
      <c r="BO387" s="69">
        <v>0</v>
      </c>
      <c r="BP387" s="69">
        <v>0</v>
      </c>
      <c r="BQ387" s="69">
        <v>45</v>
      </c>
    </row>
    <row r="388" spans="54:69">
      <c r="BB388" s="69" t="s">
        <v>1373</v>
      </c>
      <c r="BC388" s="69" t="s">
        <v>2098</v>
      </c>
      <c r="BD388" s="69">
        <v>40</v>
      </c>
      <c r="BE388" s="69">
        <v>62</v>
      </c>
      <c r="BF388" s="69">
        <v>130</v>
      </c>
      <c r="BG388" s="69">
        <v>189</v>
      </c>
      <c r="BH388" s="69">
        <v>216</v>
      </c>
      <c r="BI388" s="69">
        <v>637</v>
      </c>
      <c r="BJ388" s="69"/>
      <c r="BK388" s="69" t="s">
        <v>2098</v>
      </c>
      <c r="BL388" s="69">
        <v>10</v>
      </c>
      <c r="BM388" s="69">
        <v>0</v>
      </c>
      <c r="BN388" s="69">
        <v>0</v>
      </c>
      <c r="BO388" s="69">
        <v>0</v>
      </c>
      <c r="BP388" s="69">
        <v>0</v>
      </c>
      <c r="BQ388" s="69">
        <v>10</v>
      </c>
    </row>
    <row r="389" spans="54:69">
      <c r="BB389" s="69" t="s">
        <v>41</v>
      </c>
      <c r="BC389" s="69" t="s">
        <v>2098</v>
      </c>
      <c r="BD389" s="69">
        <v>400</v>
      </c>
      <c r="BE389" s="69">
        <v>468</v>
      </c>
      <c r="BF389" s="69">
        <v>985</v>
      </c>
      <c r="BG389" s="69">
        <v>1337</v>
      </c>
      <c r="BH389" s="69">
        <v>1203</v>
      </c>
      <c r="BI389" s="69">
        <v>4393</v>
      </c>
      <c r="BJ389" s="69"/>
      <c r="BK389" s="69" t="s">
        <v>2098</v>
      </c>
      <c r="BL389" s="69">
        <v>73</v>
      </c>
      <c r="BM389" s="69">
        <v>0</v>
      </c>
      <c r="BN389" s="69">
        <v>0</v>
      </c>
      <c r="BO389" s="69">
        <v>0</v>
      </c>
      <c r="BP389" s="69">
        <v>0</v>
      </c>
      <c r="BQ389" s="69">
        <v>73</v>
      </c>
    </row>
    <row r="390" spans="54:69">
      <c r="BB390" s="69" t="s">
        <v>1380</v>
      </c>
      <c r="BC390" s="69" t="s">
        <v>2098</v>
      </c>
      <c r="BD390" s="69">
        <v>385</v>
      </c>
      <c r="BE390" s="69">
        <v>369</v>
      </c>
      <c r="BF390" s="69">
        <v>728</v>
      </c>
      <c r="BG390" s="69">
        <v>1010</v>
      </c>
      <c r="BH390" s="69">
        <v>939</v>
      </c>
      <c r="BI390" s="69">
        <v>3431</v>
      </c>
      <c r="BJ390" s="69"/>
      <c r="BK390" s="69" t="s">
        <v>2098</v>
      </c>
      <c r="BL390" s="69">
        <v>40</v>
      </c>
      <c r="BM390" s="69">
        <v>0</v>
      </c>
      <c r="BN390" s="69">
        <v>0</v>
      </c>
      <c r="BO390" s="69">
        <v>0</v>
      </c>
      <c r="BP390" s="69">
        <v>0</v>
      </c>
      <c r="BQ390" s="69">
        <v>40</v>
      </c>
    </row>
    <row r="391" spans="54:69">
      <c r="BB391" s="69" t="s">
        <v>1383</v>
      </c>
      <c r="BC391" s="69" t="s">
        <v>2098</v>
      </c>
      <c r="BD391" s="69">
        <v>422</v>
      </c>
      <c r="BE391" s="69">
        <v>399</v>
      </c>
      <c r="BF391" s="69">
        <v>668</v>
      </c>
      <c r="BG391" s="69">
        <v>983</v>
      </c>
      <c r="BH391" s="69">
        <v>892</v>
      </c>
      <c r="BI391" s="69">
        <v>3364</v>
      </c>
      <c r="BJ391" s="69"/>
      <c r="BK391" s="69" t="s">
        <v>2098</v>
      </c>
      <c r="BL391" s="69">
        <v>47</v>
      </c>
      <c r="BM391" s="69">
        <v>2</v>
      </c>
      <c r="BN391" s="69">
        <v>0</v>
      </c>
      <c r="BO391" s="69">
        <v>0</v>
      </c>
      <c r="BP391" s="69">
        <v>0</v>
      </c>
      <c r="BQ391" s="69">
        <v>49</v>
      </c>
    </row>
    <row r="392" spans="54:69">
      <c r="BB392" s="69" t="s">
        <v>1386</v>
      </c>
      <c r="BC392" s="69" t="s">
        <v>2098</v>
      </c>
      <c r="BD392" s="69">
        <v>84</v>
      </c>
      <c r="BE392" s="69">
        <v>99</v>
      </c>
      <c r="BF392" s="69">
        <v>253</v>
      </c>
      <c r="BG392" s="69">
        <v>401</v>
      </c>
      <c r="BH392" s="69">
        <v>403</v>
      </c>
      <c r="BI392" s="69">
        <v>1240</v>
      </c>
      <c r="BJ392" s="69"/>
      <c r="BK392" s="69" t="s">
        <v>2098</v>
      </c>
      <c r="BL392" s="69">
        <v>16</v>
      </c>
      <c r="BM392" s="69">
        <v>0</v>
      </c>
      <c r="BN392" s="69">
        <v>0</v>
      </c>
      <c r="BO392" s="69">
        <v>0</v>
      </c>
      <c r="BP392" s="69">
        <v>0</v>
      </c>
      <c r="BQ392" s="69">
        <v>16</v>
      </c>
    </row>
    <row r="393" spans="54:69">
      <c r="BB393" s="69" t="s">
        <v>1389</v>
      </c>
      <c r="BC393" s="69" t="s">
        <v>2098</v>
      </c>
      <c r="BD393" s="69">
        <v>33</v>
      </c>
      <c r="BE393" s="69">
        <v>41</v>
      </c>
      <c r="BF393" s="69">
        <v>84</v>
      </c>
      <c r="BG393" s="69">
        <v>181</v>
      </c>
      <c r="BH393" s="69">
        <v>189</v>
      </c>
      <c r="BI393" s="69">
        <v>528</v>
      </c>
      <c r="BJ393" s="69"/>
      <c r="BK393" s="69" t="s">
        <v>2098</v>
      </c>
      <c r="BL393" s="69">
        <v>12</v>
      </c>
      <c r="BM393" s="69">
        <v>0</v>
      </c>
      <c r="BN393" s="69">
        <v>0</v>
      </c>
      <c r="BO393" s="69">
        <v>0</v>
      </c>
      <c r="BP393" s="69">
        <v>0</v>
      </c>
      <c r="BQ393" s="69">
        <v>12</v>
      </c>
    </row>
    <row r="394" spans="54:69">
      <c r="BB394" s="69" t="s">
        <v>1392</v>
      </c>
      <c r="BC394" s="69" t="s">
        <v>2098</v>
      </c>
      <c r="BD394" s="69">
        <v>247</v>
      </c>
      <c r="BE394" s="69">
        <v>110</v>
      </c>
      <c r="BF394" s="69">
        <v>170</v>
      </c>
      <c r="BG394" s="69">
        <v>241</v>
      </c>
      <c r="BH394" s="69">
        <v>231</v>
      </c>
      <c r="BI394" s="69">
        <v>999</v>
      </c>
      <c r="BJ394" s="69"/>
      <c r="BK394" s="69" t="s">
        <v>2098</v>
      </c>
      <c r="BL394" s="69">
        <v>46</v>
      </c>
      <c r="BM394" s="69">
        <v>0</v>
      </c>
      <c r="BN394" s="69">
        <v>0</v>
      </c>
      <c r="BO394" s="69">
        <v>0</v>
      </c>
      <c r="BP394" s="69">
        <v>0</v>
      </c>
      <c r="BQ394" s="69">
        <v>46</v>
      </c>
    </row>
    <row r="396" spans="54:69">
      <c r="BB396" s="69" t="s">
        <v>1152</v>
      </c>
      <c r="BC396" s="69" t="s">
        <v>2253</v>
      </c>
      <c r="BD396" s="69">
        <v>130</v>
      </c>
      <c r="BE396" s="69">
        <v>181</v>
      </c>
      <c r="BF396" s="69">
        <v>318</v>
      </c>
      <c r="BG396" s="69">
        <v>516</v>
      </c>
      <c r="BH396" s="69">
        <v>492</v>
      </c>
      <c r="BI396" s="69">
        <v>1637</v>
      </c>
      <c r="BJ396" s="69"/>
      <c r="BK396" s="69" t="s">
        <v>2253</v>
      </c>
      <c r="BL396" s="69">
        <v>22</v>
      </c>
      <c r="BM396" s="69">
        <v>0</v>
      </c>
      <c r="BN396" s="69">
        <v>0</v>
      </c>
      <c r="BO396" s="69">
        <v>0</v>
      </c>
      <c r="BP396" s="69">
        <v>0</v>
      </c>
      <c r="BQ396" s="69">
        <v>22</v>
      </c>
    </row>
    <row r="397" spans="54:69">
      <c r="BB397" s="69" t="s">
        <v>1155</v>
      </c>
      <c r="BC397" s="69" t="s">
        <v>2253</v>
      </c>
      <c r="BD397" s="69">
        <v>353</v>
      </c>
      <c r="BE397" s="69">
        <v>196</v>
      </c>
      <c r="BF397" s="69">
        <v>323</v>
      </c>
      <c r="BG397" s="69">
        <v>427</v>
      </c>
      <c r="BH397" s="69">
        <v>362</v>
      </c>
      <c r="BI397" s="69">
        <v>1661</v>
      </c>
      <c r="BJ397" s="69"/>
      <c r="BK397" s="69" t="s">
        <v>2253</v>
      </c>
      <c r="BL397" s="69">
        <v>80</v>
      </c>
      <c r="BM397" s="69">
        <v>0</v>
      </c>
      <c r="BN397" s="69">
        <v>0</v>
      </c>
      <c r="BO397" s="69">
        <v>0</v>
      </c>
      <c r="BP397" s="69">
        <v>0</v>
      </c>
      <c r="BQ397" s="69">
        <v>80</v>
      </c>
    </row>
    <row r="398" spans="54:69">
      <c r="BB398" s="69" t="s">
        <v>1165</v>
      </c>
      <c r="BC398" s="69" t="s">
        <v>2253</v>
      </c>
      <c r="BD398" s="69">
        <v>258</v>
      </c>
      <c r="BE398" s="69">
        <v>161</v>
      </c>
      <c r="BF398" s="69">
        <v>266</v>
      </c>
      <c r="BG398" s="69">
        <v>294</v>
      </c>
      <c r="BH398" s="69">
        <v>260</v>
      </c>
      <c r="BI398" s="69">
        <v>1239</v>
      </c>
      <c r="BJ398" s="69"/>
      <c r="BK398" s="69" t="s">
        <v>2253</v>
      </c>
      <c r="BL398" s="69">
        <v>49</v>
      </c>
      <c r="BM398" s="69">
        <v>0</v>
      </c>
      <c r="BN398" s="69">
        <v>0</v>
      </c>
      <c r="BO398" s="69">
        <v>0</v>
      </c>
      <c r="BP398" s="69">
        <v>0</v>
      </c>
      <c r="BQ398" s="69">
        <v>49</v>
      </c>
    </row>
    <row r="399" spans="54:69">
      <c r="BB399" s="69" t="s">
        <v>1168</v>
      </c>
      <c r="BC399" s="69" t="s">
        <v>2253</v>
      </c>
      <c r="BD399" s="69">
        <v>294</v>
      </c>
      <c r="BE399" s="69">
        <v>210</v>
      </c>
      <c r="BF399" s="69">
        <v>265</v>
      </c>
      <c r="BG399" s="69">
        <v>359</v>
      </c>
      <c r="BH399" s="69">
        <v>267</v>
      </c>
      <c r="BI399" s="69">
        <v>1395</v>
      </c>
      <c r="BJ399" s="69"/>
      <c r="BK399" s="69" t="s">
        <v>2253</v>
      </c>
      <c r="BL399" s="69">
        <v>19</v>
      </c>
      <c r="BM399" s="69">
        <v>0</v>
      </c>
      <c r="BN399" s="69">
        <v>0</v>
      </c>
      <c r="BO399" s="69">
        <v>0</v>
      </c>
      <c r="BP399" s="69">
        <v>0</v>
      </c>
      <c r="BQ399" s="69">
        <v>19</v>
      </c>
    </row>
    <row r="400" spans="54:69">
      <c r="BB400" s="69" t="s">
        <v>1172</v>
      </c>
      <c r="BC400" s="69" t="s">
        <v>2253</v>
      </c>
      <c r="BD400" s="69">
        <v>323</v>
      </c>
      <c r="BE400" s="69">
        <v>268</v>
      </c>
      <c r="BF400" s="69">
        <v>380</v>
      </c>
      <c r="BG400" s="69">
        <v>463</v>
      </c>
      <c r="BH400" s="69">
        <v>424</v>
      </c>
      <c r="BI400" s="69">
        <v>1858</v>
      </c>
      <c r="BJ400" s="69"/>
      <c r="BK400" s="69" t="s">
        <v>2253</v>
      </c>
      <c r="BL400" s="69">
        <v>46</v>
      </c>
      <c r="BM400" s="69">
        <v>0</v>
      </c>
      <c r="BN400" s="69">
        <v>0</v>
      </c>
      <c r="BO400" s="69">
        <v>0</v>
      </c>
      <c r="BP400" s="69">
        <v>0</v>
      </c>
      <c r="BQ400" s="69">
        <v>46</v>
      </c>
    </row>
    <row r="401" spans="54:69">
      <c r="BB401" s="69" t="s">
        <v>1174</v>
      </c>
      <c r="BC401" s="69" t="s">
        <v>2253</v>
      </c>
      <c r="BD401" s="69">
        <v>331</v>
      </c>
      <c r="BE401" s="69">
        <v>250</v>
      </c>
      <c r="BF401" s="69">
        <v>332</v>
      </c>
      <c r="BG401" s="69">
        <v>486</v>
      </c>
      <c r="BH401" s="69">
        <v>458</v>
      </c>
      <c r="BI401" s="69">
        <v>1857</v>
      </c>
      <c r="BJ401" s="69"/>
      <c r="BK401" s="69" t="s">
        <v>2253</v>
      </c>
      <c r="BL401" s="69">
        <v>22</v>
      </c>
      <c r="BM401" s="69">
        <v>0</v>
      </c>
      <c r="BN401" s="69">
        <v>0</v>
      </c>
      <c r="BO401" s="69">
        <v>0</v>
      </c>
      <c r="BP401" s="69">
        <v>0</v>
      </c>
      <c r="BQ401" s="69">
        <v>22</v>
      </c>
    </row>
    <row r="402" spans="54:69">
      <c r="BB402" s="69" t="s">
        <v>1177</v>
      </c>
      <c r="BC402" s="69" t="s">
        <v>2253</v>
      </c>
      <c r="BD402" s="69">
        <v>136</v>
      </c>
      <c r="BE402" s="69">
        <v>145</v>
      </c>
      <c r="BF402" s="69">
        <v>321</v>
      </c>
      <c r="BG402" s="69">
        <v>455</v>
      </c>
      <c r="BH402" s="69">
        <v>399</v>
      </c>
      <c r="BI402" s="69">
        <v>1456</v>
      </c>
      <c r="BJ402" s="69"/>
      <c r="BK402" s="69" t="s">
        <v>2253</v>
      </c>
      <c r="BL402" s="69">
        <v>20</v>
      </c>
      <c r="BM402" s="69">
        <v>3</v>
      </c>
      <c r="BN402" s="69">
        <v>0</v>
      </c>
      <c r="BO402" s="69">
        <v>0</v>
      </c>
      <c r="BP402" s="69">
        <v>0</v>
      </c>
      <c r="BQ402" s="69">
        <v>23</v>
      </c>
    </row>
    <row r="403" spans="54:69">
      <c r="BB403" s="69" t="s">
        <v>1180</v>
      </c>
      <c r="BC403" s="69" t="s">
        <v>2253</v>
      </c>
      <c r="BD403" s="69">
        <v>177</v>
      </c>
      <c r="BE403" s="69">
        <v>103</v>
      </c>
      <c r="BF403" s="69">
        <v>131</v>
      </c>
      <c r="BG403" s="69">
        <v>206</v>
      </c>
      <c r="BH403" s="69">
        <v>205</v>
      </c>
      <c r="BI403" s="69">
        <v>822</v>
      </c>
      <c r="BJ403" s="69"/>
      <c r="BK403" s="69" t="s">
        <v>2253</v>
      </c>
      <c r="BL403" s="69">
        <v>26</v>
      </c>
      <c r="BM403" s="69">
        <v>0</v>
      </c>
      <c r="BN403" s="69">
        <v>0</v>
      </c>
      <c r="BO403" s="69">
        <v>0</v>
      </c>
      <c r="BP403" s="69">
        <v>0</v>
      </c>
      <c r="BQ403" s="69">
        <v>26</v>
      </c>
    </row>
    <row r="404" spans="54:69">
      <c r="BB404" s="69" t="s">
        <v>1183</v>
      </c>
      <c r="BC404" s="69" t="s">
        <v>2253</v>
      </c>
      <c r="BD404" s="69">
        <v>181</v>
      </c>
      <c r="BE404" s="69">
        <v>201</v>
      </c>
      <c r="BF404" s="69">
        <v>329</v>
      </c>
      <c r="BG404" s="69">
        <v>513</v>
      </c>
      <c r="BH404" s="69">
        <v>521</v>
      </c>
      <c r="BI404" s="69">
        <v>1745</v>
      </c>
      <c r="BJ404" s="69"/>
      <c r="BK404" s="69" t="s">
        <v>2253</v>
      </c>
      <c r="BL404" s="69">
        <v>21</v>
      </c>
      <c r="BM404" s="69">
        <v>0</v>
      </c>
      <c r="BN404" s="69">
        <v>0</v>
      </c>
      <c r="BO404" s="69">
        <v>0</v>
      </c>
      <c r="BP404" s="69">
        <v>0</v>
      </c>
      <c r="BQ404" s="69">
        <v>21</v>
      </c>
    </row>
    <row r="405" spans="54:69">
      <c r="BB405" s="69" t="s">
        <v>1186</v>
      </c>
      <c r="BC405" s="69" t="s">
        <v>2253</v>
      </c>
      <c r="BD405" s="69">
        <v>160</v>
      </c>
      <c r="BE405" s="69">
        <v>106</v>
      </c>
      <c r="BF405" s="69">
        <v>159</v>
      </c>
      <c r="BG405" s="69">
        <v>224</v>
      </c>
      <c r="BH405" s="69">
        <v>231</v>
      </c>
      <c r="BI405" s="69">
        <v>880</v>
      </c>
      <c r="BJ405" s="69"/>
      <c r="BK405" s="69" t="s">
        <v>2253</v>
      </c>
      <c r="BL405" s="69">
        <v>16</v>
      </c>
      <c r="BM405" s="69">
        <v>0</v>
      </c>
      <c r="BN405" s="69">
        <v>0</v>
      </c>
      <c r="BO405" s="69">
        <v>0</v>
      </c>
      <c r="BP405" s="69">
        <v>0</v>
      </c>
      <c r="BQ405" s="69">
        <v>16</v>
      </c>
    </row>
    <row r="406" spans="54:69">
      <c r="BB406" s="69" t="s">
        <v>1189</v>
      </c>
      <c r="BC406" s="69" t="s">
        <v>2253</v>
      </c>
      <c r="BD406" s="69">
        <v>25</v>
      </c>
      <c r="BE406" s="69">
        <v>42</v>
      </c>
      <c r="BF406" s="69">
        <v>72</v>
      </c>
      <c r="BG406" s="69">
        <v>130</v>
      </c>
      <c r="BH406" s="69">
        <v>168</v>
      </c>
      <c r="BI406" s="69">
        <v>437</v>
      </c>
      <c r="BJ406" s="69"/>
      <c r="BK406" s="69" t="s">
        <v>2253</v>
      </c>
      <c r="BL406" s="69">
        <v>0</v>
      </c>
      <c r="BM406" s="69">
        <v>0</v>
      </c>
      <c r="BN406" s="69">
        <v>0</v>
      </c>
      <c r="BO406" s="69">
        <v>0</v>
      </c>
      <c r="BP406" s="69">
        <v>0</v>
      </c>
      <c r="BQ406" s="69">
        <v>0</v>
      </c>
    </row>
    <row r="407" spans="54:69">
      <c r="BB407" s="69" t="s">
        <v>1193</v>
      </c>
      <c r="BC407" s="69" t="s">
        <v>2253</v>
      </c>
      <c r="BD407" s="69">
        <v>214</v>
      </c>
      <c r="BE407" s="69">
        <v>233</v>
      </c>
      <c r="BF407" s="69">
        <v>397</v>
      </c>
      <c r="BG407" s="69">
        <v>473</v>
      </c>
      <c r="BH407" s="69">
        <v>468</v>
      </c>
      <c r="BI407" s="69">
        <v>1785</v>
      </c>
      <c r="BJ407" s="69"/>
      <c r="BK407" s="69" t="s">
        <v>2253</v>
      </c>
      <c r="BL407" s="69">
        <v>29</v>
      </c>
      <c r="BM407" s="69">
        <v>1</v>
      </c>
      <c r="BN407" s="69">
        <v>0</v>
      </c>
      <c r="BO407" s="69">
        <v>0</v>
      </c>
      <c r="BP407" s="69">
        <v>0</v>
      </c>
      <c r="BQ407" s="69">
        <v>30</v>
      </c>
    </row>
    <row r="408" spans="54:69">
      <c r="BB408" s="69" t="s">
        <v>1197</v>
      </c>
      <c r="BC408" s="69" t="s">
        <v>2253</v>
      </c>
      <c r="BD408" s="69">
        <v>221</v>
      </c>
      <c r="BE408" s="69">
        <v>231</v>
      </c>
      <c r="BF408" s="69">
        <v>356</v>
      </c>
      <c r="BG408" s="69">
        <v>473</v>
      </c>
      <c r="BH408" s="69">
        <v>421</v>
      </c>
      <c r="BI408" s="69">
        <v>1702</v>
      </c>
      <c r="BJ408" s="69"/>
      <c r="BK408" s="69" t="s">
        <v>2253</v>
      </c>
      <c r="BL408" s="69">
        <v>10</v>
      </c>
      <c r="BM408" s="69">
        <v>0</v>
      </c>
      <c r="BN408" s="69">
        <v>0</v>
      </c>
      <c r="BO408" s="69">
        <v>0</v>
      </c>
      <c r="BP408" s="69">
        <v>0</v>
      </c>
      <c r="BQ408" s="69">
        <v>10</v>
      </c>
    </row>
    <row r="409" spans="54:69">
      <c r="BB409" s="69" t="s">
        <v>1201</v>
      </c>
      <c r="BC409" s="69" t="s">
        <v>2253</v>
      </c>
      <c r="BD409" s="69">
        <v>1030</v>
      </c>
      <c r="BE409" s="69">
        <v>548</v>
      </c>
      <c r="BF409" s="69">
        <v>872</v>
      </c>
      <c r="BG409" s="69">
        <v>1052</v>
      </c>
      <c r="BH409" s="69">
        <v>880</v>
      </c>
      <c r="BI409" s="69">
        <v>4382</v>
      </c>
      <c r="BJ409" s="69"/>
      <c r="BK409" s="69" t="s">
        <v>2253</v>
      </c>
      <c r="BL409" s="69">
        <v>202</v>
      </c>
      <c r="BM409" s="69">
        <v>0</v>
      </c>
      <c r="BN409" s="69">
        <v>0</v>
      </c>
      <c r="BO409" s="69">
        <v>0</v>
      </c>
      <c r="BP409" s="69">
        <v>0</v>
      </c>
      <c r="BQ409" s="69">
        <v>202</v>
      </c>
    </row>
    <row r="410" spans="54:69">
      <c r="BB410" s="69" t="s">
        <v>1204</v>
      </c>
      <c r="BC410" s="69" t="s">
        <v>2253</v>
      </c>
      <c r="BD410" s="69">
        <v>55</v>
      </c>
      <c r="BE410" s="69">
        <v>46</v>
      </c>
      <c r="BF410" s="69">
        <v>110</v>
      </c>
      <c r="BG410" s="69">
        <v>166</v>
      </c>
      <c r="BH410" s="69">
        <v>212</v>
      </c>
      <c r="BI410" s="69">
        <v>589</v>
      </c>
      <c r="BJ410" s="69"/>
      <c r="BK410" s="69" t="s">
        <v>2253</v>
      </c>
      <c r="BL410" s="69">
        <v>15</v>
      </c>
      <c r="BM410" s="69">
        <v>0</v>
      </c>
      <c r="BN410" s="69">
        <v>0</v>
      </c>
      <c r="BO410" s="69">
        <v>0</v>
      </c>
      <c r="BP410" s="69">
        <v>0</v>
      </c>
      <c r="BQ410" s="69">
        <v>15</v>
      </c>
    </row>
    <row r="411" spans="54:69">
      <c r="BB411" s="69" t="s">
        <v>1207</v>
      </c>
      <c r="BC411" s="69" t="s">
        <v>2253</v>
      </c>
      <c r="BD411" s="69">
        <v>470</v>
      </c>
      <c r="BE411" s="69">
        <v>344</v>
      </c>
      <c r="BF411" s="69">
        <v>535</v>
      </c>
      <c r="BG411" s="69">
        <v>781</v>
      </c>
      <c r="BH411" s="69">
        <v>746</v>
      </c>
      <c r="BI411" s="69">
        <v>2876</v>
      </c>
      <c r="BJ411" s="69"/>
      <c r="BK411" s="69" t="s">
        <v>2253</v>
      </c>
      <c r="BL411" s="69">
        <v>50</v>
      </c>
      <c r="BM411" s="69">
        <v>0</v>
      </c>
      <c r="BN411" s="69">
        <v>0</v>
      </c>
      <c r="BO411" s="69">
        <v>0</v>
      </c>
      <c r="BP411" s="69">
        <v>0</v>
      </c>
      <c r="BQ411" s="69">
        <v>50</v>
      </c>
    </row>
    <row r="412" spans="54:69">
      <c r="BB412" s="69" t="s">
        <v>1210</v>
      </c>
      <c r="BC412" s="69" t="s">
        <v>2253</v>
      </c>
      <c r="BD412" s="69">
        <v>168</v>
      </c>
      <c r="BE412" s="69">
        <v>72</v>
      </c>
      <c r="BF412" s="69">
        <v>178</v>
      </c>
      <c r="BG412" s="69">
        <v>271</v>
      </c>
      <c r="BH412" s="69">
        <v>222</v>
      </c>
      <c r="BI412" s="69">
        <v>911</v>
      </c>
      <c r="BJ412" s="69"/>
      <c r="BK412" s="69" t="s">
        <v>2253</v>
      </c>
      <c r="BL412" s="69">
        <v>46</v>
      </c>
      <c r="BM412" s="69">
        <v>0</v>
      </c>
      <c r="BN412" s="69">
        <v>0</v>
      </c>
      <c r="BO412" s="69">
        <v>0</v>
      </c>
      <c r="BP412" s="69">
        <v>0</v>
      </c>
      <c r="BQ412" s="69">
        <v>46</v>
      </c>
    </row>
    <row r="413" spans="54:69">
      <c r="BB413" s="69" t="s">
        <v>1215</v>
      </c>
      <c r="BC413" s="69" t="s">
        <v>2253</v>
      </c>
      <c r="BD413" s="69">
        <v>415</v>
      </c>
      <c r="BE413" s="69">
        <v>278</v>
      </c>
      <c r="BF413" s="69">
        <v>456</v>
      </c>
      <c r="BG413" s="69">
        <v>566</v>
      </c>
      <c r="BH413" s="69">
        <v>481</v>
      </c>
      <c r="BI413" s="69">
        <v>2196</v>
      </c>
      <c r="BJ413" s="69"/>
      <c r="BK413" s="69" t="s">
        <v>2253</v>
      </c>
      <c r="BL413" s="69">
        <v>110</v>
      </c>
      <c r="BM413" s="69">
        <v>0</v>
      </c>
      <c r="BN413" s="69">
        <v>0</v>
      </c>
      <c r="BO413" s="69">
        <v>0</v>
      </c>
      <c r="BP413" s="69">
        <v>0</v>
      </c>
      <c r="BQ413" s="69">
        <v>110</v>
      </c>
    </row>
    <row r="414" spans="54:69">
      <c r="BB414" s="69" t="s">
        <v>1218</v>
      </c>
      <c r="BC414" s="69" t="s">
        <v>2253</v>
      </c>
      <c r="BD414" s="69">
        <v>146</v>
      </c>
      <c r="BE414" s="69">
        <v>76</v>
      </c>
      <c r="BF414" s="69">
        <v>154</v>
      </c>
      <c r="BG414" s="69">
        <v>193</v>
      </c>
      <c r="BH414" s="69">
        <v>226</v>
      </c>
      <c r="BI414" s="69">
        <v>795</v>
      </c>
      <c r="BJ414" s="69"/>
      <c r="BK414" s="69" t="s">
        <v>2253</v>
      </c>
      <c r="BL414" s="69">
        <v>33</v>
      </c>
      <c r="BM414" s="69">
        <v>0</v>
      </c>
      <c r="BN414" s="69">
        <v>0</v>
      </c>
      <c r="BO414" s="69">
        <v>0</v>
      </c>
      <c r="BP414" s="69">
        <v>0</v>
      </c>
      <c r="BQ414" s="69">
        <v>33</v>
      </c>
    </row>
    <row r="415" spans="54:69">
      <c r="BB415" s="69" t="s">
        <v>1221</v>
      </c>
      <c r="BC415" s="69" t="s">
        <v>2253</v>
      </c>
      <c r="BD415" s="69">
        <v>53</v>
      </c>
      <c r="BE415" s="69">
        <v>42</v>
      </c>
      <c r="BF415" s="69">
        <v>104</v>
      </c>
      <c r="BG415" s="69">
        <v>176</v>
      </c>
      <c r="BH415" s="69">
        <v>163</v>
      </c>
      <c r="BI415" s="69">
        <v>538</v>
      </c>
      <c r="BJ415" s="69"/>
      <c r="BK415" s="69" t="s">
        <v>2253</v>
      </c>
      <c r="BL415" s="69">
        <v>14</v>
      </c>
      <c r="BM415" s="69">
        <v>0</v>
      </c>
      <c r="BN415" s="69">
        <v>0</v>
      </c>
      <c r="BO415" s="69">
        <v>0</v>
      </c>
      <c r="BP415" s="69">
        <v>0</v>
      </c>
      <c r="BQ415" s="69">
        <v>14</v>
      </c>
    </row>
    <row r="416" spans="54:69">
      <c r="BB416" s="69" t="s">
        <v>1225</v>
      </c>
      <c r="BC416" s="69" t="s">
        <v>2253</v>
      </c>
      <c r="BD416" s="69">
        <v>64</v>
      </c>
      <c r="BE416" s="69">
        <v>41</v>
      </c>
      <c r="BF416" s="69">
        <v>105</v>
      </c>
      <c r="BG416" s="69">
        <v>144</v>
      </c>
      <c r="BH416" s="69">
        <v>147</v>
      </c>
      <c r="BI416" s="69">
        <v>501</v>
      </c>
      <c r="BJ416" s="69"/>
      <c r="BK416" s="69" t="s">
        <v>2253</v>
      </c>
      <c r="BL416" s="69">
        <v>22</v>
      </c>
      <c r="BM416" s="69">
        <v>0</v>
      </c>
      <c r="BN416" s="69">
        <v>0</v>
      </c>
      <c r="BO416" s="69">
        <v>0</v>
      </c>
      <c r="BP416" s="69">
        <v>0</v>
      </c>
      <c r="BQ416" s="69">
        <v>22</v>
      </c>
    </row>
    <row r="417" spans="54:69">
      <c r="BB417" s="69" t="s">
        <v>1229</v>
      </c>
      <c r="BC417" s="69" t="s">
        <v>2253</v>
      </c>
      <c r="BD417" s="69">
        <v>46</v>
      </c>
      <c r="BE417" s="69">
        <v>39</v>
      </c>
      <c r="BF417" s="69">
        <v>83</v>
      </c>
      <c r="BG417" s="69">
        <v>146</v>
      </c>
      <c r="BH417" s="69">
        <v>174</v>
      </c>
      <c r="BI417" s="69">
        <v>488</v>
      </c>
      <c r="BJ417" s="69"/>
      <c r="BK417" s="69" t="s">
        <v>2253</v>
      </c>
      <c r="BL417" s="69">
        <v>15</v>
      </c>
      <c r="BM417" s="69">
        <v>0</v>
      </c>
      <c r="BN417" s="69">
        <v>0</v>
      </c>
      <c r="BO417" s="69">
        <v>0</v>
      </c>
      <c r="BP417" s="69">
        <v>0</v>
      </c>
      <c r="BQ417" s="69">
        <v>15</v>
      </c>
    </row>
    <row r="418" spans="54:69">
      <c r="BB418" s="69" t="s">
        <v>1233</v>
      </c>
      <c r="BC418" s="69" t="s">
        <v>2253</v>
      </c>
      <c r="BD418" s="69">
        <v>447</v>
      </c>
      <c r="BE418" s="69">
        <v>366</v>
      </c>
      <c r="BF418" s="69">
        <v>412</v>
      </c>
      <c r="BG418" s="69">
        <v>379</v>
      </c>
      <c r="BH418" s="69">
        <v>353</v>
      </c>
      <c r="BI418" s="69">
        <v>1957</v>
      </c>
      <c r="BJ418" s="69"/>
      <c r="BK418" s="69" t="s">
        <v>2253</v>
      </c>
      <c r="BL418" s="69">
        <v>24</v>
      </c>
      <c r="BM418" s="69">
        <v>0</v>
      </c>
      <c r="BN418" s="69">
        <v>0</v>
      </c>
      <c r="BO418" s="69">
        <v>0</v>
      </c>
      <c r="BP418" s="69">
        <v>0</v>
      </c>
      <c r="BQ418" s="69">
        <v>24</v>
      </c>
    </row>
    <row r="419" spans="54:69">
      <c r="BB419" s="69" t="s">
        <v>1237</v>
      </c>
      <c r="BC419" s="69" t="s">
        <v>2253</v>
      </c>
      <c r="BD419" s="69">
        <v>95</v>
      </c>
      <c r="BE419" s="69">
        <v>110</v>
      </c>
      <c r="BF419" s="69">
        <v>196</v>
      </c>
      <c r="BG419" s="69">
        <v>291</v>
      </c>
      <c r="BH419" s="69">
        <v>245</v>
      </c>
      <c r="BI419" s="69">
        <v>937</v>
      </c>
      <c r="BJ419" s="69"/>
      <c r="BK419" s="69" t="s">
        <v>2253</v>
      </c>
      <c r="BL419" s="69">
        <v>14</v>
      </c>
      <c r="BM419" s="69">
        <v>0</v>
      </c>
      <c r="BN419" s="69">
        <v>0</v>
      </c>
      <c r="BO419" s="69">
        <v>0</v>
      </c>
      <c r="BP419" s="69">
        <v>0</v>
      </c>
      <c r="BQ419" s="69">
        <v>14</v>
      </c>
    </row>
    <row r="420" spans="54:69">
      <c r="BB420" s="69" t="s">
        <v>1241</v>
      </c>
      <c r="BC420" s="69" t="s">
        <v>2253</v>
      </c>
      <c r="BD420" s="69">
        <v>60</v>
      </c>
      <c r="BE420" s="69">
        <v>91</v>
      </c>
      <c r="BF420" s="69">
        <v>144</v>
      </c>
      <c r="BG420" s="69">
        <v>195</v>
      </c>
      <c r="BH420" s="69">
        <v>194</v>
      </c>
      <c r="BI420" s="69">
        <v>684</v>
      </c>
      <c r="BJ420" s="69"/>
      <c r="BK420" s="69" t="s">
        <v>2253</v>
      </c>
      <c r="BL420" s="69">
        <v>14</v>
      </c>
      <c r="BM420" s="69">
        <v>0</v>
      </c>
      <c r="BN420" s="69">
        <v>0</v>
      </c>
      <c r="BO420" s="69">
        <v>0</v>
      </c>
      <c r="BP420" s="69">
        <v>0</v>
      </c>
      <c r="BQ420" s="69">
        <v>14</v>
      </c>
    </row>
    <row r="421" spans="54:69">
      <c r="BB421" s="69" t="s">
        <v>330</v>
      </c>
      <c r="BC421" s="69" t="s">
        <v>2253</v>
      </c>
      <c r="BD421" s="69">
        <v>104</v>
      </c>
      <c r="BE421" s="69">
        <v>112</v>
      </c>
      <c r="BF421" s="69">
        <v>235</v>
      </c>
      <c r="BG421" s="69">
        <v>252</v>
      </c>
      <c r="BH421" s="69">
        <v>229</v>
      </c>
      <c r="BI421" s="69">
        <v>932</v>
      </c>
      <c r="BJ421" s="69"/>
      <c r="BK421" s="69" t="s">
        <v>2253</v>
      </c>
      <c r="BL421" s="69">
        <v>15</v>
      </c>
      <c r="BM421" s="69">
        <v>0</v>
      </c>
      <c r="BN421" s="69">
        <v>0</v>
      </c>
      <c r="BO421" s="69">
        <v>0</v>
      </c>
      <c r="BP421" s="69">
        <v>0</v>
      </c>
      <c r="BQ421" s="69">
        <v>15</v>
      </c>
    </row>
    <row r="422" spans="54:69">
      <c r="BB422" s="69" t="s">
        <v>1250</v>
      </c>
      <c r="BC422" s="69" t="s">
        <v>2253</v>
      </c>
      <c r="BD422" s="69">
        <v>438</v>
      </c>
      <c r="BE422" s="69">
        <v>480</v>
      </c>
      <c r="BF422" s="69">
        <v>800</v>
      </c>
      <c r="BG422" s="69">
        <v>866</v>
      </c>
      <c r="BH422" s="69">
        <v>778</v>
      </c>
      <c r="BI422" s="69">
        <v>3362</v>
      </c>
      <c r="BJ422" s="69"/>
      <c r="BK422" s="69" t="s">
        <v>2253</v>
      </c>
      <c r="BL422" s="69">
        <v>21</v>
      </c>
      <c r="BM422" s="69">
        <v>0</v>
      </c>
      <c r="BN422" s="69">
        <v>0</v>
      </c>
      <c r="BO422" s="69">
        <v>0</v>
      </c>
      <c r="BP422" s="69">
        <v>0</v>
      </c>
      <c r="BQ422" s="69">
        <v>21</v>
      </c>
    </row>
    <row r="423" spans="54:69">
      <c r="BB423" s="69" t="s">
        <v>426</v>
      </c>
      <c r="BC423" s="69" t="s">
        <v>2253</v>
      </c>
      <c r="BD423" s="69">
        <v>78</v>
      </c>
      <c r="BE423" s="69">
        <v>111</v>
      </c>
      <c r="BF423" s="69">
        <v>167</v>
      </c>
      <c r="BG423" s="69">
        <v>266</v>
      </c>
      <c r="BH423" s="69">
        <v>200</v>
      </c>
      <c r="BI423" s="69">
        <v>822</v>
      </c>
      <c r="BJ423" s="69"/>
      <c r="BK423" s="69" t="s">
        <v>2253</v>
      </c>
      <c r="BL423" s="69">
        <v>10</v>
      </c>
      <c r="BM423" s="69">
        <v>0</v>
      </c>
      <c r="BN423" s="69">
        <v>4</v>
      </c>
      <c r="BO423" s="69">
        <v>0</v>
      </c>
      <c r="BP423" s="69">
        <v>0</v>
      </c>
      <c r="BQ423" s="69">
        <v>14</v>
      </c>
    </row>
    <row r="424" spans="54:69">
      <c r="BB424" s="69" t="s">
        <v>1258</v>
      </c>
      <c r="BC424" s="69" t="s">
        <v>2253</v>
      </c>
      <c r="BD424" s="69">
        <v>357</v>
      </c>
      <c r="BE424" s="69">
        <v>403</v>
      </c>
      <c r="BF424" s="69">
        <v>565</v>
      </c>
      <c r="BG424" s="69">
        <v>663</v>
      </c>
      <c r="BH424" s="69">
        <v>485</v>
      </c>
      <c r="BI424" s="69">
        <v>2473</v>
      </c>
      <c r="BJ424" s="69"/>
      <c r="BK424" s="69" t="s">
        <v>2253</v>
      </c>
      <c r="BL424" s="69">
        <v>53</v>
      </c>
      <c r="BM424" s="69">
        <v>0</v>
      </c>
      <c r="BN424" s="69">
        <v>0</v>
      </c>
      <c r="BO424" s="69">
        <v>0</v>
      </c>
      <c r="BP424" s="69">
        <v>0</v>
      </c>
      <c r="BQ424" s="69">
        <v>53</v>
      </c>
    </row>
    <row r="425" spans="54:69">
      <c r="BB425" s="69" t="s">
        <v>428</v>
      </c>
      <c r="BC425" s="69" t="s">
        <v>2253</v>
      </c>
      <c r="BD425" s="69">
        <v>433</v>
      </c>
      <c r="BE425" s="69">
        <v>311</v>
      </c>
      <c r="BF425" s="69">
        <v>494</v>
      </c>
      <c r="BG425" s="69">
        <v>577</v>
      </c>
      <c r="BH425" s="69">
        <v>481</v>
      </c>
      <c r="BI425" s="69">
        <v>2296</v>
      </c>
      <c r="BJ425" s="69"/>
      <c r="BK425" s="69" t="s">
        <v>2253</v>
      </c>
      <c r="BL425" s="69">
        <v>116</v>
      </c>
      <c r="BM425" s="69">
        <v>0</v>
      </c>
      <c r="BN425" s="69">
        <v>0</v>
      </c>
      <c r="BO425" s="69">
        <v>0</v>
      </c>
      <c r="BP425" s="69">
        <v>0</v>
      </c>
      <c r="BQ425" s="69">
        <v>116</v>
      </c>
    </row>
    <row r="426" spans="54:69">
      <c r="BB426" s="69" t="s">
        <v>1264</v>
      </c>
      <c r="BC426" s="69" t="s">
        <v>2253</v>
      </c>
      <c r="BD426" s="69">
        <v>46</v>
      </c>
      <c r="BE426" s="69">
        <v>79</v>
      </c>
      <c r="BF426" s="69">
        <v>198</v>
      </c>
      <c r="BG426" s="69">
        <v>307</v>
      </c>
      <c r="BH426" s="69">
        <v>254</v>
      </c>
      <c r="BI426" s="69">
        <v>884</v>
      </c>
      <c r="BJ426" s="69"/>
      <c r="BK426" s="69" t="s">
        <v>2253</v>
      </c>
      <c r="BL426" s="69">
        <v>12</v>
      </c>
      <c r="BM426" s="69">
        <v>0</v>
      </c>
      <c r="BN426" s="69">
        <v>0</v>
      </c>
      <c r="BO426" s="69">
        <v>0</v>
      </c>
      <c r="BP426" s="69">
        <v>0</v>
      </c>
      <c r="BQ426" s="69">
        <v>12</v>
      </c>
    </row>
    <row r="427" spans="54:69">
      <c r="BB427" s="69" t="s">
        <v>1268</v>
      </c>
      <c r="BC427" s="69" t="s">
        <v>2253</v>
      </c>
      <c r="BD427" s="69">
        <v>118</v>
      </c>
      <c r="BE427" s="69">
        <v>92</v>
      </c>
      <c r="BF427" s="69">
        <v>171</v>
      </c>
      <c r="BG427" s="69">
        <v>328</v>
      </c>
      <c r="BH427" s="69">
        <v>253</v>
      </c>
      <c r="BI427" s="69">
        <v>962</v>
      </c>
      <c r="BJ427" s="69"/>
      <c r="BK427" s="69" t="s">
        <v>2253</v>
      </c>
      <c r="BL427" s="69">
        <v>35</v>
      </c>
      <c r="BM427" s="69">
        <v>0</v>
      </c>
      <c r="BN427" s="69">
        <v>0</v>
      </c>
      <c r="BO427" s="69">
        <v>0</v>
      </c>
      <c r="BP427" s="69">
        <v>0</v>
      </c>
      <c r="BQ427" s="69">
        <v>35</v>
      </c>
    </row>
    <row r="428" spans="54:69">
      <c r="BB428" s="69" t="s">
        <v>1272</v>
      </c>
      <c r="BC428" s="69" t="s">
        <v>2253</v>
      </c>
      <c r="BD428" s="69">
        <v>246</v>
      </c>
      <c r="BE428" s="69">
        <v>345</v>
      </c>
      <c r="BF428" s="69">
        <v>554</v>
      </c>
      <c r="BG428" s="69">
        <v>700</v>
      </c>
      <c r="BH428" s="69">
        <v>466</v>
      </c>
      <c r="BI428" s="69">
        <v>2311</v>
      </c>
      <c r="BJ428" s="69"/>
      <c r="BK428" s="69" t="s">
        <v>2253</v>
      </c>
      <c r="BL428" s="69">
        <v>39</v>
      </c>
      <c r="BM428" s="69">
        <v>0</v>
      </c>
      <c r="BN428" s="69">
        <v>0</v>
      </c>
      <c r="BO428" s="69">
        <v>0</v>
      </c>
      <c r="BP428" s="69">
        <v>0</v>
      </c>
      <c r="BQ428" s="69">
        <v>39</v>
      </c>
    </row>
    <row r="429" spans="54:69">
      <c r="BB429" s="69" t="s">
        <v>429</v>
      </c>
      <c r="BC429" s="69" t="s">
        <v>2253</v>
      </c>
      <c r="BD429" s="69">
        <v>216</v>
      </c>
      <c r="BE429" s="69">
        <v>191</v>
      </c>
      <c r="BF429" s="69">
        <v>381</v>
      </c>
      <c r="BG429" s="69">
        <v>468</v>
      </c>
      <c r="BH429" s="69">
        <v>412</v>
      </c>
      <c r="BI429" s="69">
        <v>1668</v>
      </c>
      <c r="BJ429" s="69"/>
      <c r="BK429" s="69" t="s">
        <v>2253</v>
      </c>
      <c r="BL429" s="69">
        <v>67</v>
      </c>
      <c r="BM429" s="69">
        <v>0</v>
      </c>
      <c r="BN429" s="69">
        <v>0</v>
      </c>
      <c r="BO429" s="69">
        <v>0</v>
      </c>
      <c r="BP429" s="69">
        <v>0</v>
      </c>
      <c r="BQ429" s="69">
        <v>67</v>
      </c>
    </row>
    <row r="430" spans="54:69">
      <c r="BB430" s="69" t="s">
        <v>1279</v>
      </c>
      <c r="BC430" s="69" t="s">
        <v>2253</v>
      </c>
      <c r="BD430" s="69">
        <v>310</v>
      </c>
      <c r="BE430" s="69">
        <v>158</v>
      </c>
      <c r="BF430" s="69">
        <v>321</v>
      </c>
      <c r="BG430" s="69">
        <v>439</v>
      </c>
      <c r="BH430" s="69">
        <v>375</v>
      </c>
      <c r="BI430" s="69">
        <v>1603</v>
      </c>
      <c r="BJ430" s="69"/>
      <c r="BK430" s="69" t="s">
        <v>2253</v>
      </c>
      <c r="BL430" s="69">
        <v>54</v>
      </c>
      <c r="BM430" s="69">
        <v>0</v>
      </c>
      <c r="BN430" s="69">
        <v>0</v>
      </c>
      <c r="BO430" s="69">
        <v>0</v>
      </c>
      <c r="BP430" s="69">
        <v>0</v>
      </c>
      <c r="BQ430" s="69">
        <v>54</v>
      </c>
    </row>
    <row r="431" spans="54:69">
      <c r="BB431" s="69" t="s">
        <v>430</v>
      </c>
      <c r="BC431" s="69" t="s">
        <v>2253</v>
      </c>
      <c r="BD431" s="69">
        <v>127</v>
      </c>
      <c r="BE431" s="69">
        <v>142</v>
      </c>
      <c r="BF431" s="69">
        <v>359</v>
      </c>
      <c r="BG431" s="69">
        <v>497</v>
      </c>
      <c r="BH431" s="69">
        <v>399</v>
      </c>
      <c r="BI431" s="69">
        <v>1524</v>
      </c>
      <c r="BJ431" s="69"/>
      <c r="BK431" s="69" t="s">
        <v>2253</v>
      </c>
      <c r="BL431" s="69">
        <v>26</v>
      </c>
      <c r="BM431" s="69">
        <v>0</v>
      </c>
      <c r="BN431" s="69">
        <v>0</v>
      </c>
      <c r="BO431" s="69">
        <v>0</v>
      </c>
      <c r="BP431" s="69">
        <v>0</v>
      </c>
      <c r="BQ431" s="69">
        <v>26</v>
      </c>
    </row>
    <row r="432" spans="54:69">
      <c r="BB432" s="69" t="s">
        <v>1285</v>
      </c>
      <c r="BC432" s="69" t="s">
        <v>2253</v>
      </c>
      <c r="BD432" s="69">
        <v>185</v>
      </c>
      <c r="BE432" s="69">
        <v>197</v>
      </c>
      <c r="BF432" s="69">
        <v>391</v>
      </c>
      <c r="BG432" s="69">
        <v>512</v>
      </c>
      <c r="BH432" s="69">
        <v>457</v>
      </c>
      <c r="BI432" s="69">
        <v>1742</v>
      </c>
      <c r="BJ432" s="69"/>
      <c r="BK432" s="69" t="s">
        <v>2253</v>
      </c>
      <c r="BL432" s="69">
        <v>29</v>
      </c>
      <c r="BM432" s="69">
        <v>0</v>
      </c>
      <c r="BN432" s="69">
        <v>0</v>
      </c>
      <c r="BO432" s="69">
        <v>0</v>
      </c>
      <c r="BP432" s="69">
        <v>0</v>
      </c>
      <c r="BQ432" s="69">
        <v>29</v>
      </c>
    </row>
    <row r="433" spans="54:69">
      <c r="BB433" s="69" t="s">
        <v>1289</v>
      </c>
      <c r="BC433" s="69" t="s">
        <v>2253</v>
      </c>
      <c r="BD433" s="69">
        <v>108</v>
      </c>
      <c r="BE433" s="69">
        <v>128</v>
      </c>
      <c r="BF433" s="69">
        <v>268</v>
      </c>
      <c r="BG433" s="69">
        <v>357</v>
      </c>
      <c r="BH433" s="69">
        <v>309</v>
      </c>
      <c r="BI433" s="69">
        <v>1170</v>
      </c>
      <c r="BJ433" s="69"/>
      <c r="BK433" s="69" t="s">
        <v>2253</v>
      </c>
      <c r="BL433" s="69">
        <v>29</v>
      </c>
      <c r="BM433" s="69">
        <v>0</v>
      </c>
      <c r="BN433" s="69">
        <v>0</v>
      </c>
      <c r="BO433" s="69">
        <v>0</v>
      </c>
      <c r="BP433" s="69">
        <v>0</v>
      </c>
      <c r="BQ433" s="69">
        <v>29</v>
      </c>
    </row>
    <row r="434" spans="54:69">
      <c r="BB434" s="69" t="s">
        <v>1292</v>
      </c>
      <c r="BC434" s="69" t="s">
        <v>2253</v>
      </c>
      <c r="BD434" s="69">
        <v>527</v>
      </c>
      <c r="BE434" s="69">
        <v>70</v>
      </c>
      <c r="BF434" s="69">
        <v>149</v>
      </c>
      <c r="BG434" s="69">
        <v>186</v>
      </c>
      <c r="BH434" s="69">
        <v>360</v>
      </c>
      <c r="BI434" s="69">
        <v>1292</v>
      </c>
      <c r="BJ434" s="69"/>
      <c r="BK434" s="69" t="s">
        <v>2253</v>
      </c>
      <c r="BL434" s="69">
        <v>170</v>
      </c>
      <c r="BM434" s="69">
        <v>0</v>
      </c>
      <c r="BN434" s="69">
        <v>0</v>
      </c>
      <c r="BO434" s="69">
        <v>0</v>
      </c>
      <c r="BP434" s="69">
        <v>0</v>
      </c>
      <c r="BQ434" s="69">
        <v>170</v>
      </c>
    </row>
    <row r="435" spans="54:69">
      <c r="BB435" s="69" t="s">
        <v>439</v>
      </c>
      <c r="BC435" s="69" t="s">
        <v>2253</v>
      </c>
      <c r="BD435" s="69">
        <v>82</v>
      </c>
      <c r="BE435" s="69">
        <v>23</v>
      </c>
      <c r="BF435" s="69">
        <v>37</v>
      </c>
      <c r="BG435" s="69">
        <v>71</v>
      </c>
      <c r="BH435" s="69">
        <v>152</v>
      </c>
      <c r="BI435" s="69">
        <v>365</v>
      </c>
      <c r="BJ435" s="69"/>
      <c r="BK435" s="69" t="s">
        <v>2253</v>
      </c>
      <c r="BL435" s="69">
        <v>32</v>
      </c>
      <c r="BM435" s="69">
        <v>0</v>
      </c>
      <c r="BN435" s="69">
        <v>0</v>
      </c>
      <c r="BO435" s="69">
        <v>0</v>
      </c>
      <c r="BP435" s="69">
        <v>0</v>
      </c>
      <c r="BQ435" s="69">
        <v>32</v>
      </c>
    </row>
    <row r="436" spans="54:69">
      <c r="BB436" s="69" t="s">
        <v>1300</v>
      </c>
      <c r="BC436" s="69" t="s">
        <v>2253</v>
      </c>
      <c r="BD436" s="69">
        <v>694</v>
      </c>
      <c r="BE436" s="69">
        <v>605</v>
      </c>
      <c r="BF436" s="69">
        <v>892</v>
      </c>
      <c r="BG436" s="69">
        <v>889</v>
      </c>
      <c r="BH436" s="69">
        <v>775</v>
      </c>
      <c r="BI436" s="69">
        <v>3855</v>
      </c>
      <c r="BJ436" s="69"/>
      <c r="BK436" s="69" t="s">
        <v>2253</v>
      </c>
      <c r="BL436" s="69">
        <v>212</v>
      </c>
      <c r="BM436" s="69">
        <v>0</v>
      </c>
      <c r="BN436" s="69">
        <v>0</v>
      </c>
      <c r="BO436" s="69">
        <v>0</v>
      </c>
      <c r="BP436" s="69">
        <v>0</v>
      </c>
      <c r="BQ436" s="69">
        <v>212</v>
      </c>
    </row>
    <row r="437" spans="54:69">
      <c r="BB437" s="69" t="s">
        <v>1303</v>
      </c>
      <c r="BC437" s="69" t="s">
        <v>2253</v>
      </c>
      <c r="BD437" s="69">
        <v>343</v>
      </c>
      <c r="BE437" s="69">
        <v>217</v>
      </c>
      <c r="BF437" s="69">
        <v>357</v>
      </c>
      <c r="BG437" s="69">
        <v>509</v>
      </c>
      <c r="BH437" s="69">
        <v>497</v>
      </c>
      <c r="BI437" s="69">
        <v>1923</v>
      </c>
      <c r="BJ437" s="69"/>
      <c r="BK437" s="69" t="s">
        <v>2253</v>
      </c>
      <c r="BL437" s="69">
        <v>59</v>
      </c>
      <c r="BM437" s="69">
        <v>0</v>
      </c>
      <c r="BN437" s="69">
        <v>0</v>
      </c>
      <c r="BO437" s="69">
        <v>0</v>
      </c>
      <c r="BP437" s="69">
        <v>0</v>
      </c>
      <c r="BQ437" s="69">
        <v>59</v>
      </c>
    </row>
    <row r="438" spans="54:69">
      <c r="BB438" s="69" t="s">
        <v>1306</v>
      </c>
      <c r="BC438" s="69" t="s">
        <v>2253</v>
      </c>
      <c r="BD438" s="69">
        <v>94</v>
      </c>
      <c r="BE438" s="69">
        <v>195</v>
      </c>
      <c r="BF438" s="69">
        <v>370</v>
      </c>
      <c r="BG438" s="69">
        <v>641</v>
      </c>
      <c r="BH438" s="69">
        <v>566</v>
      </c>
      <c r="BI438" s="69">
        <v>1866</v>
      </c>
      <c r="BJ438" s="69"/>
      <c r="BK438" s="69" t="s">
        <v>2253</v>
      </c>
      <c r="BL438" s="69">
        <v>15</v>
      </c>
      <c r="BM438" s="69">
        <v>0</v>
      </c>
      <c r="BN438" s="69">
        <v>0</v>
      </c>
      <c r="BO438" s="69">
        <v>0</v>
      </c>
      <c r="BP438" s="69">
        <v>0</v>
      </c>
      <c r="BQ438" s="69">
        <v>15</v>
      </c>
    </row>
    <row r="439" spans="54:69">
      <c r="BB439" s="69" t="s">
        <v>1309</v>
      </c>
      <c r="BC439" s="69" t="s">
        <v>2253</v>
      </c>
      <c r="BD439" s="69">
        <v>202</v>
      </c>
      <c r="BE439" s="69">
        <v>172</v>
      </c>
      <c r="BF439" s="69">
        <v>332</v>
      </c>
      <c r="BG439" s="69">
        <v>463</v>
      </c>
      <c r="BH439" s="69">
        <v>468</v>
      </c>
      <c r="BI439" s="69">
        <v>1637</v>
      </c>
      <c r="BJ439" s="69"/>
      <c r="BK439" s="69" t="s">
        <v>2253</v>
      </c>
      <c r="BL439" s="69">
        <v>25</v>
      </c>
      <c r="BM439" s="69">
        <v>0</v>
      </c>
      <c r="BN439" s="69">
        <v>0</v>
      </c>
      <c r="BO439" s="69">
        <v>0</v>
      </c>
      <c r="BP439" s="69">
        <v>0</v>
      </c>
      <c r="BQ439" s="69">
        <v>25</v>
      </c>
    </row>
    <row r="440" spans="54:69">
      <c r="BB440" s="69" t="s">
        <v>1312</v>
      </c>
      <c r="BC440" s="69" t="s">
        <v>2253</v>
      </c>
      <c r="BD440" s="69">
        <v>165</v>
      </c>
      <c r="BE440" s="69">
        <v>195</v>
      </c>
      <c r="BF440" s="69">
        <v>360</v>
      </c>
      <c r="BG440" s="69">
        <v>506</v>
      </c>
      <c r="BH440" s="69">
        <v>452</v>
      </c>
      <c r="BI440" s="69">
        <v>1678</v>
      </c>
      <c r="BJ440" s="69"/>
      <c r="BK440" s="69" t="s">
        <v>2253</v>
      </c>
      <c r="BL440" s="69">
        <v>17</v>
      </c>
      <c r="BM440" s="69">
        <v>0</v>
      </c>
      <c r="BN440" s="69">
        <v>0</v>
      </c>
      <c r="BO440" s="69">
        <v>0</v>
      </c>
      <c r="BP440" s="69">
        <v>0</v>
      </c>
      <c r="BQ440" s="69">
        <v>17</v>
      </c>
    </row>
    <row r="441" spans="54:69">
      <c r="BB441" s="69" t="s">
        <v>1315</v>
      </c>
      <c r="BC441" s="69" t="s">
        <v>2253</v>
      </c>
      <c r="BD441" s="69">
        <v>1428</v>
      </c>
      <c r="BE441" s="69">
        <v>1069</v>
      </c>
      <c r="BF441" s="69">
        <v>1030</v>
      </c>
      <c r="BG441" s="69">
        <v>1018</v>
      </c>
      <c r="BH441" s="69">
        <v>712</v>
      </c>
      <c r="BI441" s="69">
        <v>5257</v>
      </c>
      <c r="BJ441" s="69"/>
      <c r="BK441" s="69" t="s">
        <v>2253</v>
      </c>
      <c r="BL441" s="69">
        <v>361</v>
      </c>
      <c r="BM441" s="69">
        <v>0</v>
      </c>
      <c r="BN441" s="69">
        <v>0</v>
      </c>
      <c r="BO441" s="69">
        <v>0</v>
      </c>
      <c r="BP441" s="69">
        <v>0</v>
      </c>
      <c r="BQ441" s="69">
        <v>361</v>
      </c>
    </row>
    <row r="442" spans="54:69">
      <c r="BB442" s="69" t="s">
        <v>1956</v>
      </c>
      <c r="BC442" s="69" t="s">
        <v>2253</v>
      </c>
      <c r="BD442" s="69">
        <v>168</v>
      </c>
      <c r="BE442" s="69">
        <v>162</v>
      </c>
      <c r="BF442" s="69">
        <v>289</v>
      </c>
      <c r="BG442" s="69">
        <v>370</v>
      </c>
      <c r="BH442" s="69">
        <v>363</v>
      </c>
      <c r="BI442" s="69">
        <v>1352</v>
      </c>
      <c r="BJ442" s="69"/>
      <c r="BK442" s="69" t="s">
        <v>2253</v>
      </c>
      <c r="BL442" s="69">
        <v>35</v>
      </c>
      <c r="BM442" s="69">
        <v>0</v>
      </c>
      <c r="BN442" s="69">
        <v>0</v>
      </c>
      <c r="BO442" s="69">
        <v>0</v>
      </c>
      <c r="BP442" s="69">
        <v>0</v>
      </c>
      <c r="BQ442" s="69">
        <v>35</v>
      </c>
    </row>
    <row r="443" spans="54:69">
      <c r="BB443" s="69" t="s">
        <v>1322</v>
      </c>
      <c r="BC443" s="69" t="s">
        <v>2253</v>
      </c>
      <c r="BD443" s="69">
        <v>144</v>
      </c>
      <c r="BE443" s="69">
        <v>100</v>
      </c>
      <c r="BF443" s="69">
        <v>154</v>
      </c>
      <c r="BG443" s="69">
        <v>159</v>
      </c>
      <c r="BH443" s="69">
        <v>156</v>
      </c>
      <c r="BI443" s="69">
        <v>713</v>
      </c>
      <c r="BJ443" s="69"/>
      <c r="BK443" s="69" t="s">
        <v>2253</v>
      </c>
      <c r="BL443" s="69">
        <v>38</v>
      </c>
      <c r="BM443" s="69">
        <v>0</v>
      </c>
      <c r="BN443" s="69">
        <v>0</v>
      </c>
      <c r="BO443" s="69">
        <v>0</v>
      </c>
      <c r="BP443" s="69">
        <v>0</v>
      </c>
      <c r="BQ443" s="69">
        <v>38</v>
      </c>
    </row>
    <row r="444" spans="54:69">
      <c r="BB444" s="69" t="s">
        <v>1327</v>
      </c>
      <c r="BC444" s="69" t="s">
        <v>2253</v>
      </c>
      <c r="BD444" s="69">
        <v>72</v>
      </c>
      <c r="BE444" s="69">
        <v>47</v>
      </c>
      <c r="BF444" s="69">
        <v>94</v>
      </c>
      <c r="BG444" s="69">
        <v>107</v>
      </c>
      <c r="BH444" s="69">
        <v>107</v>
      </c>
      <c r="BI444" s="69">
        <v>427</v>
      </c>
      <c r="BJ444" s="69"/>
      <c r="BK444" s="69" t="s">
        <v>2253</v>
      </c>
      <c r="BL444" s="69">
        <v>18</v>
      </c>
      <c r="BM444" s="69">
        <v>1</v>
      </c>
      <c r="BN444" s="69">
        <v>0</v>
      </c>
      <c r="BO444" s="69">
        <v>0</v>
      </c>
      <c r="BP444" s="69">
        <v>0</v>
      </c>
      <c r="BQ444" s="69">
        <v>19</v>
      </c>
    </row>
    <row r="445" spans="54:69">
      <c r="BB445" s="69" t="s">
        <v>1333</v>
      </c>
      <c r="BC445" s="69" t="s">
        <v>2253</v>
      </c>
      <c r="BD445" s="69">
        <v>125</v>
      </c>
      <c r="BE445" s="69">
        <v>74</v>
      </c>
      <c r="BF445" s="69">
        <v>155</v>
      </c>
      <c r="BG445" s="69">
        <v>217</v>
      </c>
      <c r="BH445" s="69">
        <v>209</v>
      </c>
      <c r="BI445" s="69">
        <v>780</v>
      </c>
      <c r="BJ445" s="69"/>
      <c r="BK445" s="69" t="s">
        <v>2253</v>
      </c>
      <c r="BL445" s="69">
        <v>30</v>
      </c>
      <c r="BM445" s="69">
        <v>0</v>
      </c>
      <c r="BN445" s="69">
        <v>0</v>
      </c>
      <c r="BO445" s="69">
        <v>0</v>
      </c>
      <c r="BP445" s="69">
        <v>0</v>
      </c>
      <c r="BQ445" s="69">
        <v>30</v>
      </c>
    </row>
    <row r="446" spans="54:69">
      <c r="BB446" s="69" t="s">
        <v>1337</v>
      </c>
      <c r="BC446" s="69" t="s">
        <v>2253</v>
      </c>
      <c r="BD446" s="69">
        <v>51</v>
      </c>
      <c r="BE446" s="69">
        <v>59</v>
      </c>
      <c r="BF446" s="69">
        <v>181</v>
      </c>
      <c r="BG446" s="69">
        <v>342</v>
      </c>
      <c r="BH446" s="69">
        <v>303</v>
      </c>
      <c r="BI446" s="69">
        <v>936</v>
      </c>
      <c r="BJ446" s="69"/>
      <c r="BK446" s="69" t="s">
        <v>2253</v>
      </c>
      <c r="BL446" s="69">
        <v>14</v>
      </c>
      <c r="BM446" s="69">
        <v>0</v>
      </c>
      <c r="BN446" s="69">
        <v>0</v>
      </c>
      <c r="BO446" s="69">
        <v>0</v>
      </c>
      <c r="BP446" s="69">
        <v>0</v>
      </c>
      <c r="BQ446" s="69">
        <v>14</v>
      </c>
    </row>
    <row r="447" spans="54:69">
      <c r="BB447" s="69" t="s">
        <v>1341</v>
      </c>
      <c r="BC447" s="69" t="s">
        <v>2253</v>
      </c>
      <c r="BD447" s="69">
        <v>34</v>
      </c>
      <c r="BE447" s="69">
        <v>42</v>
      </c>
      <c r="BF447" s="69">
        <v>129</v>
      </c>
      <c r="BG447" s="69">
        <v>171</v>
      </c>
      <c r="BH447" s="69">
        <v>154</v>
      </c>
      <c r="BI447" s="69">
        <v>530</v>
      </c>
      <c r="BJ447" s="69"/>
      <c r="BK447" s="69" t="s">
        <v>2253</v>
      </c>
      <c r="BL447" s="69">
        <v>7</v>
      </c>
      <c r="BM447" s="69">
        <v>0</v>
      </c>
      <c r="BN447" s="69">
        <v>0</v>
      </c>
      <c r="BO447" s="69">
        <v>0</v>
      </c>
      <c r="BP447" s="69">
        <v>0</v>
      </c>
      <c r="BQ447" s="69">
        <v>7</v>
      </c>
    </row>
    <row r="448" spans="54:69">
      <c r="BB448" s="69" t="s">
        <v>2115</v>
      </c>
      <c r="BC448" s="69" t="s">
        <v>2253</v>
      </c>
      <c r="BD448" s="69">
        <v>64</v>
      </c>
      <c r="BE448" s="69">
        <v>60</v>
      </c>
      <c r="BF448" s="69">
        <v>93</v>
      </c>
      <c r="BG448" s="69">
        <v>140</v>
      </c>
      <c r="BH448" s="69">
        <v>121</v>
      </c>
      <c r="BI448" s="69">
        <v>478</v>
      </c>
      <c r="BJ448" s="69"/>
      <c r="BK448" s="69" t="s">
        <v>2253</v>
      </c>
      <c r="BL448" s="69">
        <v>15</v>
      </c>
      <c r="BM448" s="69">
        <v>1</v>
      </c>
      <c r="BN448" s="69">
        <v>0</v>
      </c>
      <c r="BO448" s="69">
        <v>0</v>
      </c>
      <c r="BP448" s="69">
        <v>0</v>
      </c>
      <c r="BQ448" s="69">
        <v>16</v>
      </c>
    </row>
    <row r="449" spans="54:69">
      <c r="BB449" s="69" t="s">
        <v>2064</v>
      </c>
      <c r="BC449" s="69" t="s">
        <v>2253</v>
      </c>
      <c r="BD449" s="69">
        <v>87</v>
      </c>
      <c r="BE449" s="69">
        <v>67</v>
      </c>
      <c r="BF449" s="69">
        <v>82</v>
      </c>
      <c r="BG449" s="69">
        <v>128</v>
      </c>
      <c r="BH449" s="69">
        <v>108</v>
      </c>
      <c r="BI449" s="69">
        <v>472</v>
      </c>
      <c r="BJ449" s="69"/>
      <c r="BK449" s="69" t="s">
        <v>2253</v>
      </c>
      <c r="BL449" s="69">
        <v>22</v>
      </c>
      <c r="BM449" s="69">
        <v>0</v>
      </c>
      <c r="BN449" s="69">
        <v>0</v>
      </c>
      <c r="BO449" s="69">
        <v>0</v>
      </c>
      <c r="BP449" s="69">
        <v>0</v>
      </c>
      <c r="BQ449" s="69">
        <v>22</v>
      </c>
    </row>
    <row r="450" spans="54:69">
      <c r="BB450" s="69" t="s">
        <v>1347</v>
      </c>
      <c r="BC450" s="69" t="s">
        <v>2253</v>
      </c>
      <c r="BD450" s="69">
        <v>642</v>
      </c>
      <c r="BE450" s="69">
        <v>547</v>
      </c>
      <c r="BF450" s="69">
        <v>922</v>
      </c>
      <c r="BG450" s="69">
        <v>1308</v>
      </c>
      <c r="BH450" s="69">
        <v>1150</v>
      </c>
      <c r="BI450" s="69">
        <v>4569</v>
      </c>
      <c r="BJ450" s="69"/>
      <c r="BK450" s="69" t="s">
        <v>2253</v>
      </c>
      <c r="BL450" s="69">
        <v>25</v>
      </c>
      <c r="BM450" s="69">
        <v>0</v>
      </c>
      <c r="BN450" s="69">
        <v>0</v>
      </c>
      <c r="BO450" s="69">
        <v>0</v>
      </c>
      <c r="BP450" s="69">
        <v>0</v>
      </c>
      <c r="BQ450" s="69">
        <v>25</v>
      </c>
    </row>
    <row r="451" spans="54:69">
      <c r="BB451" s="69" t="s">
        <v>1351</v>
      </c>
      <c r="BC451" s="69" t="s">
        <v>2253</v>
      </c>
      <c r="BD451" s="69">
        <v>140</v>
      </c>
      <c r="BE451" s="69">
        <v>94</v>
      </c>
      <c r="BF451" s="69">
        <v>172</v>
      </c>
      <c r="BG451" s="69">
        <v>273</v>
      </c>
      <c r="BH451" s="69">
        <v>264</v>
      </c>
      <c r="BI451" s="69">
        <v>943</v>
      </c>
      <c r="BJ451" s="69"/>
      <c r="BK451" s="69" t="s">
        <v>2253</v>
      </c>
      <c r="BL451" s="69">
        <v>30</v>
      </c>
      <c r="BM451" s="69">
        <v>0</v>
      </c>
      <c r="BN451" s="69">
        <v>0</v>
      </c>
      <c r="BO451" s="69">
        <v>0</v>
      </c>
      <c r="BP451" s="69">
        <v>0</v>
      </c>
      <c r="BQ451" s="69">
        <v>30</v>
      </c>
    </row>
    <row r="452" spans="54:69">
      <c r="BB452" s="69" t="s">
        <v>1356</v>
      </c>
      <c r="BC452" s="69" t="s">
        <v>2253</v>
      </c>
      <c r="BD452" s="69">
        <v>334</v>
      </c>
      <c r="BE452" s="69">
        <v>321</v>
      </c>
      <c r="BF452" s="69">
        <v>470</v>
      </c>
      <c r="BG452" s="69">
        <v>620</v>
      </c>
      <c r="BH452" s="69">
        <v>558</v>
      </c>
      <c r="BI452" s="69">
        <v>2303</v>
      </c>
      <c r="BJ452" s="69"/>
      <c r="BK452" s="69" t="s">
        <v>2253</v>
      </c>
      <c r="BL452" s="69">
        <v>55</v>
      </c>
      <c r="BM452" s="69">
        <v>0</v>
      </c>
      <c r="BN452" s="69">
        <v>0</v>
      </c>
      <c r="BO452" s="69">
        <v>0</v>
      </c>
      <c r="BP452" s="69">
        <v>0</v>
      </c>
      <c r="BQ452" s="69">
        <v>55</v>
      </c>
    </row>
    <row r="453" spans="54:69">
      <c r="BB453" s="69" t="s">
        <v>1359</v>
      </c>
      <c r="BC453" s="69" t="s">
        <v>2253</v>
      </c>
      <c r="BD453" s="69">
        <v>305</v>
      </c>
      <c r="BE453" s="69">
        <v>248</v>
      </c>
      <c r="BF453" s="69">
        <v>358</v>
      </c>
      <c r="BG453" s="69">
        <v>445</v>
      </c>
      <c r="BH453" s="69">
        <v>404</v>
      </c>
      <c r="BI453" s="69">
        <v>1760</v>
      </c>
      <c r="BJ453" s="69"/>
      <c r="BK453" s="69" t="s">
        <v>2253</v>
      </c>
      <c r="BL453" s="69">
        <v>44</v>
      </c>
      <c r="BM453" s="69">
        <v>0</v>
      </c>
      <c r="BN453" s="69">
        <v>0</v>
      </c>
      <c r="BO453" s="69">
        <v>0</v>
      </c>
      <c r="BP453" s="69">
        <v>0</v>
      </c>
      <c r="BQ453" s="69">
        <v>44</v>
      </c>
    </row>
    <row r="454" spans="54:69">
      <c r="BB454" s="69" t="s">
        <v>1363</v>
      </c>
      <c r="BC454" s="69" t="s">
        <v>2253</v>
      </c>
      <c r="BD454" s="69">
        <v>184</v>
      </c>
      <c r="BE454" s="69">
        <v>183</v>
      </c>
      <c r="BF454" s="69">
        <v>322</v>
      </c>
      <c r="BG454" s="69">
        <v>450</v>
      </c>
      <c r="BH454" s="69">
        <v>453</v>
      </c>
      <c r="BI454" s="69">
        <v>1592</v>
      </c>
      <c r="BJ454" s="69"/>
      <c r="BK454" s="69" t="s">
        <v>2253</v>
      </c>
      <c r="BL454" s="69">
        <v>23</v>
      </c>
      <c r="BM454" s="69">
        <v>0</v>
      </c>
      <c r="BN454" s="69">
        <v>0</v>
      </c>
      <c r="BO454" s="69">
        <v>0</v>
      </c>
      <c r="BP454" s="69">
        <v>0</v>
      </c>
      <c r="BQ454" s="69">
        <v>23</v>
      </c>
    </row>
    <row r="455" spans="54:69">
      <c r="BB455" s="69" t="s">
        <v>1366</v>
      </c>
      <c r="BC455" s="69" t="s">
        <v>2253</v>
      </c>
      <c r="BD455" s="69">
        <v>284</v>
      </c>
      <c r="BE455" s="69">
        <v>182</v>
      </c>
      <c r="BF455" s="69">
        <v>284</v>
      </c>
      <c r="BG455" s="69">
        <v>333</v>
      </c>
      <c r="BH455" s="69">
        <v>321</v>
      </c>
      <c r="BI455" s="69">
        <v>1404</v>
      </c>
      <c r="BJ455" s="69"/>
      <c r="BK455" s="69" t="s">
        <v>2253</v>
      </c>
      <c r="BL455" s="69">
        <v>39</v>
      </c>
      <c r="BM455" s="69">
        <v>0</v>
      </c>
      <c r="BN455" s="69">
        <v>0</v>
      </c>
      <c r="BO455" s="69">
        <v>0</v>
      </c>
      <c r="BP455" s="69">
        <v>0</v>
      </c>
      <c r="BQ455" s="69">
        <v>39</v>
      </c>
    </row>
    <row r="456" spans="54:69">
      <c r="BB456" s="69" t="s">
        <v>1369</v>
      </c>
      <c r="BC456" s="69" t="s">
        <v>2253</v>
      </c>
      <c r="BD456" s="69">
        <v>150</v>
      </c>
      <c r="BE456" s="69">
        <v>153</v>
      </c>
      <c r="BF456" s="69">
        <v>306</v>
      </c>
      <c r="BG456" s="69">
        <v>477</v>
      </c>
      <c r="BH456" s="69">
        <v>477</v>
      </c>
      <c r="BI456" s="69">
        <v>1563</v>
      </c>
      <c r="BJ456" s="69"/>
      <c r="BK456" s="69" t="s">
        <v>2253</v>
      </c>
      <c r="BL456" s="69">
        <v>43</v>
      </c>
      <c r="BM456" s="69">
        <v>0</v>
      </c>
      <c r="BN456" s="69">
        <v>0</v>
      </c>
      <c r="BO456" s="69">
        <v>0</v>
      </c>
      <c r="BP456" s="69">
        <v>0</v>
      </c>
      <c r="BQ456" s="69">
        <v>43</v>
      </c>
    </row>
    <row r="457" spans="54:69">
      <c r="BB457" s="69" t="s">
        <v>1373</v>
      </c>
      <c r="BC457" s="69" t="s">
        <v>2253</v>
      </c>
      <c r="BD457" s="69">
        <v>23</v>
      </c>
      <c r="BE457" s="69">
        <v>49</v>
      </c>
      <c r="BF457" s="69">
        <v>96</v>
      </c>
      <c r="BG457" s="69">
        <v>178</v>
      </c>
      <c r="BH457" s="69">
        <v>193</v>
      </c>
      <c r="BI457" s="69">
        <v>539</v>
      </c>
      <c r="BJ457" s="69"/>
      <c r="BK457" s="69" t="s">
        <v>2253</v>
      </c>
      <c r="BL457" s="69">
        <v>4</v>
      </c>
      <c r="BM457" s="69">
        <v>0</v>
      </c>
      <c r="BN457" s="69">
        <v>0</v>
      </c>
      <c r="BO457" s="69">
        <v>0</v>
      </c>
      <c r="BP457" s="69">
        <v>0</v>
      </c>
      <c r="BQ457" s="69">
        <v>4</v>
      </c>
    </row>
    <row r="458" spans="54:69">
      <c r="BB458" s="69" t="s">
        <v>41</v>
      </c>
      <c r="BC458" s="69" t="s">
        <v>2253</v>
      </c>
      <c r="BD458" s="69">
        <v>342</v>
      </c>
      <c r="BE458" s="69">
        <v>375</v>
      </c>
      <c r="BF458" s="69">
        <v>775</v>
      </c>
      <c r="BG458" s="69">
        <v>1182</v>
      </c>
      <c r="BH458" s="69">
        <v>1125</v>
      </c>
      <c r="BI458" s="69">
        <v>3799</v>
      </c>
      <c r="BJ458" s="69"/>
      <c r="BK458" s="69" t="s">
        <v>2253</v>
      </c>
      <c r="BL458" s="69">
        <v>60</v>
      </c>
      <c r="BM458" s="69">
        <v>0</v>
      </c>
      <c r="BN458" s="69">
        <v>0</v>
      </c>
      <c r="BO458" s="69">
        <v>0</v>
      </c>
      <c r="BP458" s="69">
        <v>0</v>
      </c>
      <c r="BQ458" s="69">
        <v>60</v>
      </c>
    </row>
    <row r="459" spans="54:69">
      <c r="BB459" s="69" t="s">
        <v>1380</v>
      </c>
      <c r="BC459" s="69" t="s">
        <v>2253</v>
      </c>
      <c r="BD459" s="69">
        <v>323</v>
      </c>
      <c r="BE459" s="69">
        <v>340</v>
      </c>
      <c r="BF459" s="69">
        <v>643</v>
      </c>
      <c r="BG459" s="69">
        <v>888</v>
      </c>
      <c r="BH459" s="69">
        <v>817</v>
      </c>
      <c r="BI459" s="69">
        <v>3011</v>
      </c>
      <c r="BJ459" s="69"/>
      <c r="BK459" s="69" t="s">
        <v>2253</v>
      </c>
      <c r="BL459" s="69">
        <v>37</v>
      </c>
      <c r="BM459" s="69">
        <v>0</v>
      </c>
      <c r="BN459" s="69">
        <v>0</v>
      </c>
      <c r="BO459" s="69">
        <v>0</v>
      </c>
      <c r="BP459" s="69">
        <v>0</v>
      </c>
      <c r="BQ459" s="69">
        <v>37</v>
      </c>
    </row>
    <row r="460" spans="54:69">
      <c r="BB460" s="69" t="s">
        <v>1383</v>
      </c>
      <c r="BC460" s="69" t="s">
        <v>2253</v>
      </c>
      <c r="BD460" s="69">
        <v>236</v>
      </c>
      <c r="BE460" s="69">
        <v>252</v>
      </c>
      <c r="BF460" s="69">
        <v>488</v>
      </c>
      <c r="BG460" s="69">
        <v>699</v>
      </c>
      <c r="BH460" s="69">
        <v>681</v>
      </c>
      <c r="BI460" s="69">
        <v>2356</v>
      </c>
      <c r="BJ460" s="69"/>
      <c r="BK460" s="69" t="s">
        <v>2253</v>
      </c>
      <c r="BL460" s="69">
        <v>37</v>
      </c>
      <c r="BM460" s="69">
        <v>1</v>
      </c>
      <c r="BN460" s="69">
        <v>0</v>
      </c>
      <c r="BO460" s="69">
        <v>0</v>
      </c>
      <c r="BP460" s="69">
        <v>0</v>
      </c>
      <c r="BQ460" s="69">
        <v>38</v>
      </c>
    </row>
    <row r="461" spans="54:69">
      <c r="BB461" s="69" t="s">
        <v>1386</v>
      </c>
      <c r="BC461" s="69" t="s">
        <v>2253</v>
      </c>
      <c r="BD461" s="69">
        <v>62</v>
      </c>
      <c r="BE461" s="69">
        <v>72</v>
      </c>
      <c r="BF461" s="69">
        <v>207</v>
      </c>
      <c r="BG461" s="69">
        <v>318</v>
      </c>
      <c r="BH461" s="69">
        <v>297</v>
      </c>
      <c r="BI461" s="69">
        <v>956</v>
      </c>
      <c r="BJ461" s="69"/>
      <c r="BK461" s="69" t="s">
        <v>2253</v>
      </c>
      <c r="BL461" s="69">
        <v>20</v>
      </c>
      <c r="BM461" s="69">
        <v>0</v>
      </c>
      <c r="BN461" s="69">
        <v>0</v>
      </c>
      <c r="BO461" s="69">
        <v>0</v>
      </c>
      <c r="BP461" s="69">
        <v>0</v>
      </c>
      <c r="BQ461" s="69">
        <v>20</v>
      </c>
    </row>
    <row r="462" spans="54:69">
      <c r="BB462" s="69" t="s">
        <v>1389</v>
      </c>
      <c r="BC462" s="69" t="s">
        <v>2253</v>
      </c>
      <c r="BD462" s="69">
        <v>91</v>
      </c>
      <c r="BE462" s="69">
        <v>83</v>
      </c>
      <c r="BF462" s="69">
        <v>165</v>
      </c>
      <c r="BG462" s="69">
        <v>283</v>
      </c>
      <c r="BH462" s="69">
        <v>284</v>
      </c>
      <c r="BI462" s="69">
        <v>906</v>
      </c>
      <c r="BJ462" s="69"/>
      <c r="BK462" s="69" t="s">
        <v>2253</v>
      </c>
      <c r="BL462" s="69">
        <v>19</v>
      </c>
      <c r="BM462" s="69">
        <v>0</v>
      </c>
      <c r="BN462" s="69">
        <v>0</v>
      </c>
      <c r="BO462" s="69">
        <v>0</v>
      </c>
      <c r="BP462" s="69">
        <v>0</v>
      </c>
      <c r="BQ462" s="69">
        <v>19</v>
      </c>
    </row>
    <row r="463" spans="54:69">
      <c r="BB463" s="69" t="s">
        <v>1392</v>
      </c>
      <c r="BC463" s="69" t="s">
        <v>2253</v>
      </c>
      <c r="BD463" s="69">
        <v>233</v>
      </c>
      <c r="BE463" s="69">
        <v>100</v>
      </c>
      <c r="BF463" s="69">
        <v>135</v>
      </c>
      <c r="BG463" s="69">
        <v>178</v>
      </c>
      <c r="BH463" s="69">
        <v>237</v>
      </c>
      <c r="BI463" s="69">
        <v>883</v>
      </c>
      <c r="BJ463" s="69"/>
      <c r="BK463" s="69" t="s">
        <v>2253</v>
      </c>
      <c r="BL463" s="69">
        <v>40</v>
      </c>
      <c r="BM463" s="69">
        <v>0</v>
      </c>
      <c r="BN463" s="69">
        <v>0</v>
      </c>
      <c r="BO463" s="69">
        <v>0</v>
      </c>
      <c r="BP463" s="69">
        <v>0</v>
      </c>
      <c r="BQ463" s="69">
        <v>40</v>
      </c>
    </row>
  </sheetData>
  <phoneticPr fontId="3"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
  <dimension ref="A1:AE115"/>
  <sheetViews>
    <sheetView workbookViewId="0">
      <selection activeCell="K89" sqref="K89"/>
    </sheetView>
  </sheetViews>
  <sheetFormatPr defaultColWidth="0" defaultRowHeight="13.8" zeroHeight="1"/>
  <cols>
    <col min="1" max="1" width="10.19921875" style="2" customWidth="1"/>
    <col min="2" max="2" width="9" style="4" customWidth="1"/>
    <col min="3" max="3" width="12.69921875" style="4" customWidth="1"/>
    <col min="4" max="4" width="9" style="4" customWidth="1"/>
    <col min="5" max="5" width="7.69921875" style="4" customWidth="1"/>
    <col min="6" max="7" width="7.69921875" style="15" customWidth="1"/>
    <col min="8" max="8" width="9.5" style="15" customWidth="1"/>
    <col min="9" max="15" width="7.69921875" style="15" customWidth="1"/>
    <col min="16" max="18" width="7.69921875" style="4" customWidth="1"/>
    <col min="19" max="19" width="15" style="15" customWidth="1"/>
    <col min="20" max="20" width="10.19921875" style="4" customWidth="1"/>
    <col min="21" max="21" width="7.69921875" style="4" customWidth="1"/>
    <col min="22" max="31" width="9" style="4" customWidth="1"/>
    <col min="32" max="16384" width="9" style="2" hidden="1"/>
  </cols>
  <sheetData>
    <row r="1" spans="2:19" s="4" customFormat="1" ht="18">
      <c r="B1" s="106" t="s">
        <v>1879</v>
      </c>
      <c r="F1" s="15"/>
      <c r="G1" s="15"/>
      <c r="H1" s="15"/>
      <c r="I1" s="15"/>
      <c r="J1" s="15"/>
      <c r="K1" s="15"/>
      <c r="L1" s="15"/>
      <c r="M1" s="15"/>
      <c r="N1" s="15"/>
      <c r="O1" s="15"/>
      <c r="S1" s="15"/>
    </row>
    <row r="2" spans="2:19" s="4" customFormat="1" ht="13.5" customHeight="1">
      <c r="F2" s="15"/>
      <c r="G2" s="15"/>
      <c r="H2" s="15"/>
      <c r="I2" s="15"/>
      <c r="J2" s="15"/>
      <c r="K2" s="15"/>
      <c r="L2" s="15"/>
      <c r="M2" s="15"/>
      <c r="N2" s="15"/>
      <c r="O2" s="15"/>
      <c r="S2" s="15"/>
    </row>
    <row r="3" spans="2:19" s="4" customFormat="1" ht="13.5" customHeight="1">
      <c r="B3" s="97" t="str">
        <f>主頁!B30</f>
        <v>核心科目</v>
      </c>
      <c r="C3" s="96"/>
      <c r="D3" s="99" t="s">
        <v>1880</v>
      </c>
      <c r="F3" s="97" t="str">
        <f>主頁!B37</f>
        <v>選修科目</v>
      </c>
      <c r="G3" s="96"/>
      <c r="H3" s="99" t="s">
        <v>1880</v>
      </c>
      <c r="I3" s="15"/>
      <c r="J3" s="15"/>
      <c r="K3" s="15"/>
      <c r="L3" s="15"/>
      <c r="M3" s="15"/>
      <c r="N3" s="15"/>
      <c r="O3" s="15"/>
      <c r="S3" s="15"/>
    </row>
    <row r="4" spans="2:19" s="4" customFormat="1" ht="13.5" customHeight="1">
      <c r="B4" s="98" t="str">
        <f>主頁!B31</f>
        <v>中國語文</v>
      </c>
      <c r="C4" s="100" t="str">
        <f>IF(主頁!C31=0,"",主頁!C31)</f>
        <v/>
      </c>
      <c r="D4" s="100" t="str">
        <f>IF(計分版!K15=TRUE,"是","")</f>
        <v/>
      </c>
      <c r="F4" s="98" t="str">
        <f>主頁!B38</f>
        <v/>
      </c>
      <c r="G4" s="100" t="str">
        <f>IF(主頁!C38=0,"",主頁!C38)</f>
        <v/>
      </c>
      <c r="H4" s="100" t="str">
        <f>IF(計分版!P15=TRUE,"是","")</f>
        <v/>
      </c>
      <c r="I4" s="15"/>
      <c r="J4" s="15"/>
      <c r="K4" s="15"/>
      <c r="L4" s="15"/>
      <c r="M4" s="15"/>
      <c r="N4" s="15"/>
      <c r="O4" s="15"/>
      <c r="S4" s="15"/>
    </row>
    <row r="5" spans="2:19" s="4" customFormat="1" ht="13.5" customHeight="1">
      <c r="B5" s="101" t="str">
        <f>主頁!B32</f>
        <v>英國語文</v>
      </c>
      <c r="C5" s="102" t="str">
        <f>IF(主頁!C32=0,"",主頁!C32)</f>
        <v/>
      </c>
      <c r="D5" s="102" t="str">
        <f>IF(計分版!L15=TRUE,"是","")</f>
        <v/>
      </c>
      <c r="F5" s="101" t="str">
        <f>主頁!B39</f>
        <v/>
      </c>
      <c r="G5" s="102" t="str">
        <f>IF(主頁!C39=0,"",主頁!C39)</f>
        <v/>
      </c>
      <c r="H5" s="102" t="str">
        <f>IF(計分版!Q15=TRUE,"是","")</f>
        <v/>
      </c>
      <c r="I5" s="15"/>
      <c r="J5" s="15"/>
      <c r="K5" s="15"/>
      <c r="L5" s="15"/>
      <c r="M5" s="15"/>
      <c r="N5" s="15"/>
      <c r="O5" s="15"/>
      <c r="S5" s="15"/>
    </row>
    <row r="6" spans="2:19" s="4" customFormat="1" ht="13.5" customHeight="1">
      <c r="B6" s="98" t="str">
        <f>主頁!B33</f>
        <v>數學</v>
      </c>
      <c r="C6" s="100" t="str">
        <f>IF(主頁!C33=0,"",主頁!C33)</f>
        <v/>
      </c>
      <c r="D6" s="100" t="str">
        <f>IF(計分版!M15=TRUE,"是","")</f>
        <v/>
      </c>
      <c r="F6" s="98" t="str">
        <f>主頁!B40</f>
        <v/>
      </c>
      <c r="G6" s="100" t="str">
        <f>IF(主頁!C40=0,"",主頁!C40)</f>
        <v/>
      </c>
      <c r="H6" s="100" t="str">
        <f>IF(計分版!R15=TRUE,"是","")</f>
        <v/>
      </c>
      <c r="I6" s="15"/>
      <c r="J6" s="15"/>
      <c r="K6" s="15"/>
      <c r="L6" s="15"/>
      <c r="M6" s="15"/>
      <c r="N6" s="15"/>
      <c r="O6" s="15"/>
      <c r="S6" s="15"/>
    </row>
    <row r="7" spans="2:19" s="4" customFormat="1" ht="13.5" customHeight="1">
      <c r="B7" s="101" t="str">
        <f>主頁!B34</f>
        <v>公社科 ##</v>
      </c>
      <c r="C7" s="102" t="str">
        <f>IF(主頁!C34=0,"",主頁!C34)</f>
        <v/>
      </c>
      <c r="D7" s="102" t="str">
        <f>IF(計分版!N15=TRUE,"是","")</f>
        <v/>
      </c>
      <c r="F7" s="101" t="str">
        <f>主頁!B41</f>
        <v/>
      </c>
      <c r="G7" s="102" t="str">
        <f>IF(主頁!C41=0,"",主頁!C41)</f>
        <v/>
      </c>
      <c r="H7" s="102" t="str">
        <f>IF(計分版!S15=TRUE,"是","")</f>
        <v/>
      </c>
      <c r="I7" s="15"/>
      <c r="J7" s="15"/>
      <c r="K7" s="15"/>
      <c r="L7" s="15"/>
      <c r="M7" s="15"/>
      <c r="N7" s="15"/>
      <c r="O7" s="15"/>
      <c r="S7" s="15"/>
    </row>
    <row r="8" spans="2:19" s="4" customFormat="1" ht="13.5" customHeight="1">
      <c r="B8" s="98" t="str">
        <f>主頁!B35</f>
        <v>M1/2</v>
      </c>
      <c r="C8" s="100" t="str">
        <f>IF(主頁!C35=0,"",主頁!C35)</f>
        <v/>
      </c>
      <c r="D8" s="100" t="str">
        <f>IF(計分版!O15=TRUE,"是","")</f>
        <v/>
      </c>
      <c r="F8" s="98" t="str">
        <f>主頁!B42</f>
        <v/>
      </c>
      <c r="G8" s="100" t="str">
        <f>IF(主頁!C42=0,"",主頁!C42)</f>
        <v/>
      </c>
      <c r="H8" s="100" t="str">
        <f>IF(計分版!T15=TRUE,"是","")</f>
        <v/>
      </c>
      <c r="I8" s="15"/>
      <c r="J8" s="15"/>
      <c r="K8" s="15"/>
      <c r="L8" s="15"/>
      <c r="M8" s="15"/>
      <c r="N8" s="15"/>
      <c r="O8" s="15"/>
      <c r="S8" s="15"/>
    </row>
    <row r="9" spans="2:19" s="4" customFormat="1" ht="13.5" customHeight="1">
      <c r="B9" s="23"/>
      <c r="C9" s="15"/>
      <c r="D9" s="15"/>
      <c r="F9" s="15"/>
      <c r="G9" s="15"/>
      <c r="H9" s="15"/>
      <c r="I9" s="15"/>
      <c r="J9" s="15"/>
      <c r="K9" s="15"/>
      <c r="L9" s="15"/>
      <c r="M9" s="15"/>
      <c r="N9" s="15"/>
      <c r="O9" s="15"/>
      <c r="S9" s="15"/>
    </row>
    <row r="10" spans="2:19" s="4" customFormat="1" ht="13.5" customHeight="1">
      <c r="B10" s="4" t="s">
        <v>1881</v>
      </c>
      <c r="F10" s="15"/>
      <c r="G10" s="15"/>
      <c r="H10" s="15"/>
      <c r="I10" s="15"/>
      <c r="J10" s="15"/>
      <c r="K10" s="15"/>
      <c r="L10" s="15"/>
      <c r="M10" s="15"/>
      <c r="N10" s="15"/>
      <c r="O10" s="15"/>
      <c r="S10" s="15"/>
    </row>
    <row r="11" spans="2:19" s="4" customFormat="1" ht="13.5" customHeight="1">
      <c r="F11" s="15"/>
      <c r="G11" s="15"/>
      <c r="H11" s="15"/>
      <c r="I11" s="15"/>
      <c r="J11" s="15"/>
      <c r="K11" s="15"/>
      <c r="L11" s="15"/>
      <c r="M11" s="15"/>
      <c r="N11" s="15"/>
      <c r="O11" s="15"/>
      <c r="S11" s="15"/>
    </row>
    <row r="12" spans="2:19" s="36" customFormat="1" ht="13.5" customHeight="1">
      <c r="B12" s="104" t="s">
        <v>1882</v>
      </c>
      <c r="C12" s="103"/>
      <c r="D12" s="103"/>
      <c r="E12" s="103" t="s">
        <v>103</v>
      </c>
      <c r="F12" s="103" t="s">
        <v>102</v>
      </c>
      <c r="G12" s="103" t="s">
        <v>100</v>
      </c>
      <c r="H12" s="103" t="s">
        <v>1883</v>
      </c>
      <c r="I12" s="553" t="s">
        <v>1884</v>
      </c>
      <c r="J12" s="553"/>
      <c r="K12" s="103" t="s">
        <v>1885</v>
      </c>
    </row>
    <row r="13" spans="2:19" s="4" customFormat="1" ht="13.5" customHeight="1">
      <c r="B13" s="4" t="s">
        <v>1193</v>
      </c>
      <c r="C13" s="4" t="str">
        <f>INDEX('Reference Score Calculation'!$E$143:$E$217,MATCH($B13,'Reference Score Calculation'!$B$143:$B$217,0))</f>
        <v>翻譯</v>
      </c>
      <c r="D13" s="15" t="str">
        <f>INDEX('Reference Score Calculation'!$F$143:$F$217,MATCH($B13,'Reference Score Calculation'!$B$143:$B$217,0))</f>
        <v>Best 5</v>
      </c>
      <c r="E13" s="107">
        <f>ROUND(INDEX('Reference Score Calculation'!H$111:H$222,MATCH('Retake 扣分'!$B13,'Reference Score Calculation'!$B$111:$B$222,0)),2)</f>
        <v>24.5</v>
      </c>
      <c r="F13" s="107">
        <f>ROUND(INDEX('Reference Score Calculation'!I$111:I$222,MATCH('Retake 扣分'!$B13,'Reference Score Calculation'!$B$111:$B$222,0)),2)</f>
        <v>23</v>
      </c>
      <c r="G13" s="107">
        <f>ROUND(INDEX('Reference Score Calculation'!J$111:J$222,MATCH('Retake 扣分'!$B13,'Reference Score Calculation'!$B$111:$B$222,0)),2)</f>
        <v>23</v>
      </c>
      <c r="H13" s="182">
        <f>ROUND(INDEX(計分版!$J$107:$J$280,MATCH('Retake 扣分'!B13,計分版!$B$107:$B$280,0)),2)</f>
        <v>0</v>
      </c>
      <c r="I13" s="554" t="str">
        <f>INDEX('Reference Score Calculation'!$AV$143:$AV$217,MATCH($B13,'Reference Score Calculation'!$B$143:$B$217,0))</f>
        <v>5%或更少(全Cert)</v>
      </c>
      <c r="J13" s="554"/>
      <c r="K13" s="15" t="s">
        <v>1886</v>
      </c>
      <c r="N13" s="29"/>
    </row>
    <row r="14" spans="2:19" s="4" customFormat="1" ht="13.5" customHeight="1">
      <c r="B14" s="4" t="s">
        <v>1201</v>
      </c>
      <c r="C14" s="4" t="str">
        <f>INDEX('Reference Score Calculation'!$E$143:$E$217,MATCH($B14,'Reference Score Calculation'!$B$143:$B$217,0))</f>
        <v>工商管理學士綜合課程</v>
      </c>
      <c r="D14" s="15" t="str">
        <f>INDEX('Reference Score Calculation'!$F$143:$F$217,MATCH($B14,'Reference Score Calculation'!$B$143:$B$217,0))</f>
        <v>Best 5</v>
      </c>
      <c r="E14" s="107">
        <f>ROUND(INDEX('Reference Score Calculation'!H$111:H$222,MATCH('Retake 扣分'!$B14,'Reference Score Calculation'!$B$111:$B$222,0)),2)</f>
        <v>26.5</v>
      </c>
      <c r="F14" s="107">
        <f>ROUND(INDEX('Reference Score Calculation'!I$111:I$222,MATCH('Retake 扣分'!$B14,'Reference Score Calculation'!$B$111:$B$222,0)),2)</f>
        <v>26</v>
      </c>
      <c r="G14" s="107">
        <f>ROUND(INDEX('Reference Score Calculation'!J$111:J$222,MATCH('Retake 扣分'!$B14,'Reference Score Calculation'!$B$111:$B$222,0)),2)</f>
        <v>24.5</v>
      </c>
      <c r="H14" s="182">
        <f>ROUND(INDEX(計分版!$J$107:$J$280,MATCH('Retake 扣分'!B14,計分版!$B$107:$B$280,0)),2)</f>
        <v>0</v>
      </c>
      <c r="I14" s="554" t="str">
        <f>INDEX('Reference Score Calculation'!$AV$143:$AV$217,MATCH($B14,'Reference Score Calculation'!$B$143:$B$217,0))</f>
        <v>5%或更少(全Cert)</v>
      </c>
      <c r="J14" s="554"/>
      <c r="K14" s="15" t="s">
        <v>1886</v>
      </c>
      <c r="N14" s="29"/>
    </row>
    <row r="15" spans="2:19" s="4" customFormat="1" ht="13.5" customHeight="1">
      <c r="B15" s="4" t="s">
        <v>1204</v>
      </c>
      <c r="C15" s="4" t="str">
        <f>INDEX('Reference Score Calculation'!$E$143:$E$217,MATCH($B15,'Reference Score Calculation'!$B$143:$B$217,0))</f>
        <v>環球商業學</v>
      </c>
      <c r="D15" s="15" t="str">
        <f>INDEX('Reference Score Calculation'!$F$143:$F$217,MATCH($B15,'Reference Score Calculation'!$B$143:$B$217,0))</f>
        <v>Best 5</v>
      </c>
      <c r="E15" s="107">
        <f>ROUND(INDEX('Reference Score Calculation'!H$111:H$222,MATCH('Retake 扣分'!$B15,'Reference Score Calculation'!$B$111:$B$222,0)),2)</f>
        <v>39.5</v>
      </c>
      <c r="F15" s="107">
        <f>ROUND(INDEX('Reference Score Calculation'!I$111:I$222,MATCH('Retake 扣分'!$B15,'Reference Score Calculation'!$B$111:$B$222,0)),2)</f>
        <v>35</v>
      </c>
      <c r="G15" s="107">
        <f>ROUND(INDEX('Reference Score Calculation'!J$111:J$222,MATCH('Retake 扣分'!$B15,'Reference Score Calculation'!$B$111:$B$222,0)),2)</f>
        <v>35</v>
      </c>
      <c r="H15" s="182">
        <f>ROUND(INDEX(計分版!$J$107:$J$280,MATCH('Retake 扣分'!B15,計分版!$B$107:$B$280,0)),2)</f>
        <v>0</v>
      </c>
      <c r="I15" s="554" t="str">
        <f>INDEX('Reference Score Calculation'!$AV$143:$AV$217,MATCH($B15,'Reference Score Calculation'!$B$143:$B$217,0))</f>
        <v>5%或更少(全Cert)</v>
      </c>
      <c r="J15" s="554"/>
      <c r="K15" s="15" t="s">
        <v>1886</v>
      </c>
      <c r="N15" s="29"/>
    </row>
    <row r="16" spans="2:19" s="4" customFormat="1" ht="13.5" customHeight="1">
      <c r="B16" s="4" t="s">
        <v>1207</v>
      </c>
      <c r="C16" s="4" t="str">
        <f>INDEX('Reference Score Calculation'!$E$143:$E$217,MATCH($B16,'Reference Score Calculation'!$B$143:$B$217,0))</f>
        <v>酒店旅遊及房地產</v>
      </c>
      <c r="D16" s="15" t="str">
        <f>INDEX('Reference Score Calculation'!$F$143:$F$217,MATCH($B16,'Reference Score Calculation'!$B$143:$B$217,0))</f>
        <v>Best 5</v>
      </c>
      <c r="E16" s="107">
        <f>ROUND(INDEX('Reference Score Calculation'!H$111:H$222,MATCH('Retake 扣分'!$B16,'Reference Score Calculation'!$B$111:$B$222,0)),2)</f>
        <v>23.5</v>
      </c>
      <c r="F16" s="107">
        <f>ROUND(INDEX('Reference Score Calculation'!I$111:I$222,MATCH('Retake 扣分'!$B16,'Reference Score Calculation'!$B$111:$B$222,0)),2)</f>
        <v>23</v>
      </c>
      <c r="G16" s="107">
        <f>ROUND(INDEX('Reference Score Calculation'!J$111:J$222,MATCH('Retake 扣分'!$B16,'Reference Score Calculation'!$B$111:$B$222,0)),2)</f>
        <v>22.5</v>
      </c>
      <c r="H16" s="182">
        <f>ROUND(INDEX(計分版!$J$107:$J$280,MATCH('Retake 扣分'!B16,計分版!$B$107:$B$280,0)),2)</f>
        <v>0</v>
      </c>
      <c r="I16" s="554" t="str">
        <f>INDEX('Reference Score Calculation'!$AV$143:$AV$217,MATCH($B16,'Reference Score Calculation'!$B$143:$B$217,0))</f>
        <v>5%或更少(全Cert)</v>
      </c>
      <c r="J16" s="554"/>
      <c r="K16" s="15" t="s">
        <v>1886</v>
      </c>
      <c r="N16" s="29"/>
    </row>
    <row r="17" spans="2:28" s="4" customFormat="1" ht="13.5" customHeight="1">
      <c r="B17" s="4" t="s">
        <v>1210</v>
      </c>
      <c r="C17" s="4" t="str">
        <f>INDEX('Reference Score Calculation'!$E$143:$E$217,MATCH($B17,'Reference Score Calculation'!$B$143:$B$217,0))</f>
        <v>保險、金融與精算學</v>
      </c>
      <c r="D17" s="15" t="str">
        <f>INDEX('Reference Score Calculation'!$F$143:$F$217,MATCH($B17,'Reference Score Calculation'!$B$143:$B$217,0))</f>
        <v>Best 5</v>
      </c>
      <c r="E17" s="107">
        <f>ROUND(INDEX('Reference Score Calculation'!H$111:H$222,MATCH('Retake 扣分'!$B17,'Reference Score Calculation'!$B$111:$B$222,0)),2)</f>
        <v>32.5</v>
      </c>
      <c r="F17" s="107">
        <f>ROUND(INDEX('Reference Score Calculation'!I$111:I$222,MATCH('Retake 扣分'!$B17,'Reference Score Calculation'!$B$111:$B$222,0)),2)</f>
        <v>32</v>
      </c>
      <c r="G17" s="107">
        <f>ROUND(INDEX('Reference Score Calculation'!J$111:J$222,MATCH('Retake 扣分'!$B17,'Reference Score Calculation'!$B$111:$B$222,0)),2)</f>
        <v>30.5</v>
      </c>
      <c r="H17" s="182">
        <f>ROUND(INDEX(計分版!$J$107:$J$280,MATCH('Retake 扣分'!B17,計分版!$B$107:$B$280,0)),2)</f>
        <v>0</v>
      </c>
      <c r="I17" s="554" t="str">
        <f>INDEX('Reference Score Calculation'!$AV$143:$AV$217,MATCH($B17,'Reference Score Calculation'!$B$143:$B$217,0))</f>
        <v>6%-10%(全Cert)</v>
      </c>
      <c r="J17" s="554"/>
      <c r="K17" s="15" t="s">
        <v>1886</v>
      </c>
      <c r="N17" s="29"/>
    </row>
    <row r="18" spans="2:28" s="4" customFormat="1" ht="13.5" customHeight="1">
      <c r="B18" s="4" t="s">
        <v>1215</v>
      </c>
      <c r="C18" s="4" t="str">
        <f>INDEX('Reference Score Calculation'!$E$143:$E$217,MATCH($B18,'Reference Score Calculation'!$B$143:$B$217,0))</f>
        <v>專業會計學</v>
      </c>
      <c r="D18" s="15" t="str">
        <f>INDEX('Reference Score Calculation'!$F$143:$F$217,MATCH($B18,'Reference Score Calculation'!$B$143:$B$217,0))</f>
        <v>Best 5</v>
      </c>
      <c r="E18" s="107">
        <f>ROUND(INDEX('Reference Score Calculation'!H$111:H$222,MATCH('Retake 扣分'!$B18,'Reference Score Calculation'!$B$111:$B$222,0)),2)</f>
        <v>26.5</v>
      </c>
      <c r="F18" s="107">
        <f>ROUND(INDEX('Reference Score Calculation'!I$111:I$222,MATCH('Retake 扣分'!$B18,'Reference Score Calculation'!$B$111:$B$222,0)),2)</f>
        <v>26</v>
      </c>
      <c r="G18" s="107">
        <f>ROUND(INDEX('Reference Score Calculation'!J$111:J$222,MATCH('Retake 扣分'!$B18,'Reference Score Calculation'!$B$111:$B$222,0)),2)</f>
        <v>24.5</v>
      </c>
      <c r="H18" s="182">
        <f>ROUND(INDEX(計分版!$J$107:$J$280,MATCH('Retake 扣分'!B18,計分版!$B$107:$B$280,0)),2)</f>
        <v>0</v>
      </c>
      <c r="I18" s="554" t="str">
        <f>INDEX('Reference Score Calculation'!$AV$143:$AV$217,MATCH($B18,'Reference Score Calculation'!$B$143:$B$217,0))</f>
        <v>5%或更少(全Cert)</v>
      </c>
      <c r="J18" s="554"/>
      <c r="K18" s="15" t="s">
        <v>1886</v>
      </c>
      <c r="N18" s="29"/>
    </row>
    <row r="19" spans="2:28" s="4" customFormat="1" ht="13.5" customHeight="1">
      <c r="B19" s="4" t="s">
        <v>1218</v>
      </c>
      <c r="C19" s="4" t="str">
        <f>INDEX('Reference Score Calculation'!$E$143:$E$217,MATCH($B19,'Reference Score Calculation'!$B$143:$B$217,0))</f>
        <v>計量金融學</v>
      </c>
      <c r="D19" s="15" t="str">
        <f>INDEX('Reference Score Calculation'!$F$143:$F$217,MATCH($B19,'Reference Score Calculation'!$B$143:$B$217,0))</f>
        <v>Best 5</v>
      </c>
      <c r="E19" s="107">
        <f>ROUND(INDEX('Reference Score Calculation'!H$111:H$222,MATCH('Retake 扣分'!$B19,'Reference Score Calculation'!$B$111:$B$222,0)),2)</f>
        <v>52.5</v>
      </c>
      <c r="F19" s="107">
        <f>ROUND(INDEX('Reference Score Calculation'!I$111:I$222,MATCH('Retake 扣分'!$B19,'Reference Score Calculation'!$B$111:$B$222,0)),2)</f>
        <v>51.75</v>
      </c>
      <c r="G19" s="107">
        <f>ROUND(INDEX('Reference Score Calculation'!J$111:J$222,MATCH('Retake 扣分'!$B19,'Reference Score Calculation'!$B$111:$B$222,0)),2)</f>
        <v>51</v>
      </c>
      <c r="H19" s="182">
        <f>ROUND(INDEX(計分版!$J$107:$J$280,MATCH('Retake 扣分'!B19,計分版!$B$107:$B$280,0)),2)</f>
        <v>0</v>
      </c>
      <c r="I19" s="554" t="str">
        <f>INDEX('Reference Score Calculation'!$AV$143:$AV$217,MATCH($B19,'Reference Score Calculation'!$B$143:$B$217,0))</f>
        <v>5%或更少(全Cert)</v>
      </c>
      <c r="J19" s="554"/>
      <c r="K19" s="15" t="s">
        <v>1886</v>
      </c>
      <c r="N19" s="29"/>
    </row>
    <row r="20" spans="2:28" s="4" customFormat="1" ht="13.5" customHeight="1">
      <c r="B20" s="4" t="s">
        <v>1225</v>
      </c>
      <c r="C20" s="4" t="str">
        <f>INDEX('Reference Score Calculation'!$E$143:$E$217,MATCH($B20,'Reference Score Calculation'!$B$143:$B$217,0))</f>
        <v>工商管理學士（工商管理學士綜合課程）及法律博士雙學位課程</v>
      </c>
      <c r="D20" s="15" t="str">
        <f>INDEX('Reference Score Calculation'!$F$143:$F$217,MATCH($B20,'Reference Score Calculation'!$B$143:$B$217,0))</f>
        <v>3C2X</v>
      </c>
      <c r="E20" s="107">
        <f>ROUND(INDEX('Reference Score Calculation'!H$111:H$222,MATCH('Retake 扣分'!$B20,'Reference Score Calculation'!$B$111:$B$222,0)),2)</f>
        <v>40.25</v>
      </c>
      <c r="F20" s="107">
        <f>ROUND(INDEX('Reference Score Calculation'!I$111:I$222,MATCH('Retake 扣分'!$B20,'Reference Score Calculation'!$B$111:$B$222,0)),2)</f>
        <v>39.5</v>
      </c>
      <c r="G20" s="107">
        <f>ROUND(INDEX('Reference Score Calculation'!J$111:J$222,MATCH('Retake 扣分'!$B20,'Reference Score Calculation'!$B$111:$B$222,0)),2)</f>
        <v>38</v>
      </c>
      <c r="H20" s="182">
        <f>ROUND(INDEX(計分版!$J$107:$J$280,MATCH('Retake 扣分'!B20,計分版!$B$107:$B$280,0)),2)</f>
        <v>0</v>
      </c>
      <c r="I20" s="554" t="str">
        <f>INDEX('Reference Score Calculation'!$AV$143:$AV$217,MATCH($B20,'Reference Score Calculation'!$B$143:$B$217,0))</f>
        <v>5%或更少(全Cert)</v>
      </c>
      <c r="J20" s="554"/>
      <c r="K20" s="15" t="s">
        <v>1886</v>
      </c>
      <c r="N20" s="29"/>
    </row>
    <row r="21" spans="2:28" s="4" customFormat="1" ht="13.5" customHeight="1">
      <c r="B21" s="4" t="s">
        <v>1233</v>
      </c>
      <c r="C21" s="4" t="str">
        <f>INDEX('Reference Score Calculation'!$E$143:$E$217,MATCH($B21,'Reference Score Calculation'!$B$143:$B$217,0))</f>
        <v>健康與體育運動科學</v>
      </c>
      <c r="D21" s="15" t="str">
        <f>INDEX('Reference Score Calculation'!$F$143:$F$217,MATCH($B21,'Reference Score Calculation'!$B$143:$B$217,0))</f>
        <v>Best 5</v>
      </c>
      <c r="E21" s="107">
        <f>ROUND(INDEX('Reference Score Calculation'!H$111:H$222,MATCH('Retake 扣分'!$B21,'Reference Score Calculation'!$B$111:$B$222,0)),2)</f>
        <v>30.5</v>
      </c>
      <c r="F21" s="107">
        <f>ROUND(INDEX('Reference Score Calculation'!I$111:I$222,MATCH('Retake 扣分'!$B21,'Reference Score Calculation'!$B$111:$B$222,0)),2)</f>
        <v>29</v>
      </c>
      <c r="G21" s="107">
        <f>ROUND(INDEX('Reference Score Calculation'!J$111:J$222,MATCH('Retake 扣分'!$B21,'Reference Score Calculation'!$B$111:$B$222,0)),2)</f>
        <v>27.5</v>
      </c>
      <c r="H21" s="182">
        <f>ROUND(INDEX(計分版!$J$107:$J$280,MATCH('Retake 扣分'!B21,計分版!$B$107:$B$280,0)),2)</f>
        <v>0</v>
      </c>
      <c r="I21" s="554" t="str">
        <f>INDEX('Reference Score Calculation'!$AV$143:$AV$217,MATCH($B21,'Reference Score Calculation'!$B$143:$B$217,0))</f>
        <v>5%或更少(全Cert)</v>
      </c>
      <c r="J21" s="554"/>
      <c r="K21" s="15" t="s">
        <v>1886</v>
      </c>
      <c r="N21" s="29"/>
    </row>
    <row r="22" spans="2:28" s="4" customFormat="1" ht="13.5" customHeight="1">
      <c r="B22" s="4" t="s">
        <v>1237</v>
      </c>
      <c r="C22" s="4" t="str">
        <f>INDEX('Reference Score Calculation'!$E$143:$E$217,MATCH($B22,'Reference Score Calculation'!$B$143:$B$217,0))</f>
        <v>文學士 (中國語文研究) 及教育學士 (中國語文教育)</v>
      </c>
      <c r="D22" s="15" t="str">
        <f>INDEX('Reference Score Calculation'!$F$143:$F$217,MATCH($B22,'Reference Score Calculation'!$B$143:$B$217,0))</f>
        <v>Best 5</v>
      </c>
      <c r="E22" s="107">
        <f>ROUND(INDEX('Reference Score Calculation'!H$111:H$222,MATCH('Retake 扣分'!$B22,'Reference Score Calculation'!$B$111:$B$222,0)),2)</f>
        <v>42</v>
      </c>
      <c r="F22" s="107">
        <f>ROUND(INDEX('Reference Score Calculation'!I$111:I$222,MATCH('Retake 扣分'!$B22,'Reference Score Calculation'!$B$111:$B$222,0)),2)</f>
        <v>40.5</v>
      </c>
      <c r="G22" s="107">
        <f>ROUND(INDEX('Reference Score Calculation'!J$111:J$222,MATCH('Retake 扣分'!$B22,'Reference Score Calculation'!$B$111:$B$222,0)),2)</f>
        <v>40.5</v>
      </c>
      <c r="H22" s="182">
        <f>ROUND(INDEX(計分版!$J$107:$J$280,MATCH('Retake 扣分'!B22,計分版!$B$107:$B$280,0)),2)</f>
        <v>0</v>
      </c>
      <c r="I22" s="554" t="str">
        <f>INDEX('Reference Score Calculation'!$AV$143:$AV$217,MATCH($B22,'Reference Score Calculation'!$B$143:$B$217,0))</f>
        <v>5%或更少(全Cert)</v>
      </c>
      <c r="J22" s="554"/>
      <c r="K22" s="15" t="s">
        <v>1886</v>
      </c>
      <c r="N22" s="29"/>
    </row>
    <row r="23" spans="2:28" s="4" customFormat="1" ht="13.5" customHeight="1">
      <c r="B23" s="4" t="s">
        <v>330</v>
      </c>
      <c r="C23" s="4" t="str">
        <f>INDEX('Reference Score Calculation'!$E$143:$E$217,MATCH($B23,'Reference Score Calculation'!$B$143:$B$217,0))</f>
        <v>教育學士(數學及數學教育)</v>
      </c>
      <c r="D23" s="15" t="str">
        <f>INDEX('Reference Score Calculation'!$F$143:$F$217,MATCH($B23,'Reference Score Calculation'!$B$143:$B$217,0))</f>
        <v>Best 5</v>
      </c>
      <c r="E23" s="107">
        <f>ROUND(INDEX('Reference Score Calculation'!H$111:H$222,MATCH('Retake 扣分'!$B23,'Reference Score Calculation'!$B$111:$B$222,0)),2)</f>
        <v>53</v>
      </c>
      <c r="F23" s="107">
        <f>ROUND(INDEX('Reference Score Calculation'!I$111:I$222,MATCH('Retake 扣分'!$B23,'Reference Score Calculation'!$B$111:$B$222,0)),2)</f>
        <v>50.75</v>
      </c>
      <c r="G23" s="107">
        <f>ROUND(INDEX('Reference Score Calculation'!J$111:J$222,MATCH('Retake 扣分'!$B23,'Reference Score Calculation'!$B$111:$B$222,0)),2)</f>
        <v>50.75</v>
      </c>
      <c r="H23" s="182">
        <f>ROUND(INDEX(計分版!$J$107:$J$280,MATCH('Retake 扣分'!B23,計分版!$B$107:$B$280,0)),2)</f>
        <v>0</v>
      </c>
      <c r="I23" s="554" t="str">
        <f>INDEX('Reference Score Calculation'!$AV$143:$AV$217,MATCH($B23,'Reference Score Calculation'!$B$143:$B$217,0))</f>
        <v>5%或更少(全Cert)</v>
      </c>
      <c r="J23" s="554"/>
      <c r="K23" s="15" t="s">
        <v>1886</v>
      </c>
      <c r="N23" s="29"/>
    </row>
    <row r="24" spans="2:28" s="4" customFormat="1" ht="13.5" customHeight="1">
      <c r="B24" s="4" t="s">
        <v>1272</v>
      </c>
      <c r="C24" s="4" t="str">
        <f>INDEX('Reference Score Calculation'!$E$143:$E$217,MATCH($B24,'Reference Score Calculation'!$B$143:$B$217,0))</f>
        <v>電子工程學</v>
      </c>
      <c r="D24" s="15" t="str">
        <f>INDEX('Reference Score Calculation'!$F$143:$F$217,MATCH($B24,'Reference Score Calculation'!$B$143:$B$217,0))</f>
        <v>Best 5</v>
      </c>
      <c r="E24" s="107">
        <f>ROUND(INDEX('Reference Score Calculation'!H$111:H$222,MATCH('Retake 扣分'!$B24,'Reference Score Calculation'!$B$111:$B$222,0)),2)</f>
        <v>30.5</v>
      </c>
      <c r="F24" s="107">
        <f>ROUND(INDEX('Reference Score Calculation'!I$111:I$222,MATCH('Retake 扣分'!$B24,'Reference Score Calculation'!$B$111:$B$222,0)),2)</f>
        <v>28.25</v>
      </c>
      <c r="G24" s="107">
        <f>ROUND(INDEX('Reference Score Calculation'!J$111:J$222,MATCH('Retake 扣分'!$B24,'Reference Score Calculation'!$B$111:$B$222,0)),2)</f>
        <v>27.5</v>
      </c>
      <c r="H24" s="182">
        <f>ROUND(INDEX(計分版!$J$107:$J$280,MATCH('Retake 扣分'!B24,計分版!$B$107:$B$280,0)),2)</f>
        <v>0</v>
      </c>
      <c r="I24" s="554" t="str">
        <f>INDEX('Reference Score Calculation'!$AV$143:$AV$217,MATCH($B24,'Reference Score Calculation'!$B$143:$B$217,0))</f>
        <v>5%或更少(全Cert)</v>
      </c>
      <c r="J24" s="554"/>
      <c r="K24" s="15" t="s">
        <v>1886</v>
      </c>
      <c r="N24" s="29"/>
    </row>
    <row r="25" spans="2:28" s="4" customFormat="1" ht="13.5" customHeight="1">
      <c r="B25" s="4" t="s">
        <v>1292</v>
      </c>
      <c r="C25" s="4" t="str">
        <f>INDEX('Reference Score Calculation'!$E$143:$E$217,MATCH($B25,'Reference Score Calculation'!$B$143:$B$217,0))</f>
        <v>內外全科醫學士課程</v>
      </c>
      <c r="D25" s="15" t="str">
        <f>INDEX('Reference Score Calculation'!$F$143:$F$217,MATCH($B25,'Reference Score Calculation'!$B$143:$B$217,0))</f>
        <v>3C3X</v>
      </c>
      <c r="E25" s="107">
        <f>ROUND(INDEX('Reference Score Calculation'!H$111:H$222,MATCH('Retake 扣分'!$B25,'Reference Score Calculation'!$B$111:$B$222,0)),2)</f>
        <v>38</v>
      </c>
      <c r="F25" s="107">
        <f>ROUND(INDEX('Reference Score Calculation'!I$111:I$222,MATCH('Retake 扣分'!$B25,'Reference Score Calculation'!$B$111:$B$222,0)),2)</f>
        <v>37</v>
      </c>
      <c r="G25" s="107">
        <f>ROUND(INDEX('Reference Score Calculation'!J$111:J$222,MATCH('Retake 扣分'!$B25,'Reference Score Calculation'!$B$111:$B$222,0)),2)</f>
        <v>36</v>
      </c>
      <c r="H25" s="182">
        <f>ROUND(INDEX(計分版!$J$107:$J$280,MATCH('Retake 扣分'!B25,計分版!$B$107:$B$280,0)),2)</f>
        <v>0</v>
      </c>
      <c r="I25" s="554" t="str">
        <f>INDEX('Reference Score Calculation'!$AV$143:$AV$217,MATCH($B25,'Reference Score Calculation'!$B$143:$B$217,0))</f>
        <v>6%-10%(全Cert)</v>
      </c>
      <c r="J25" s="554"/>
      <c r="K25" s="15" t="s">
        <v>1886</v>
      </c>
      <c r="N25" s="29"/>
    </row>
    <row r="26" spans="2:28" s="4" customFormat="1" ht="13.5" customHeight="1">
      <c r="B26" s="4" t="s">
        <v>439</v>
      </c>
      <c r="C26" s="4" t="str">
        <f>INDEX('Reference Score Calculation'!$E$143:$E$217,MATCH($B26,'Reference Score Calculation'!$B$143:$B$217,0))</f>
        <v>內外全科醫學士課程環球醫學領袖培訓專修組別</v>
      </c>
      <c r="D26" s="15" t="str">
        <f>INDEX('Reference Score Calculation'!$F$143:$F$217,MATCH($B26,'Reference Score Calculation'!$B$143:$B$217,0))</f>
        <v>3C3X</v>
      </c>
      <c r="E26" s="107">
        <f>ROUND(INDEX('Reference Score Calculation'!H$111:H$222,MATCH('Retake 扣分'!$B26,'Reference Score Calculation'!$B$111:$B$222,0)),2)</f>
        <v>41.5</v>
      </c>
      <c r="F26" s="107">
        <f>ROUND(INDEX('Reference Score Calculation'!I$111:I$222,MATCH('Retake 扣分'!$B26,'Reference Score Calculation'!$B$111:$B$222,0)),2)</f>
        <v>40.5</v>
      </c>
      <c r="G26" s="107">
        <f>ROUND(INDEX('Reference Score Calculation'!J$111:J$222,MATCH('Retake 扣分'!$B26,'Reference Score Calculation'!$B$111:$B$222,0)),2)</f>
        <v>40</v>
      </c>
      <c r="H26" s="182">
        <f>ROUND(INDEX(計分版!$J$107:$J$280,MATCH('Retake 扣分'!B26,計分版!$B$107:$B$280,0)),2)</f>
        <v>0</v>
      </c>
      <c r="I26" s="554" t="str">
        <f>INDEX('Reference Score Calculation'!$AV$143:$AV$217,MATCH($B26,'Reference Score Calculation'!$B$143:$B$217,0))</f>
        <v>6%-10%(全Cert)</v>
      </c>
      <c r="J26" s="554"/>
      <c r="K26" s="15" t="s">
        <v>1886</v>
      </c>
      <c r="N26" s="29"/>
    </row>
    <row r="27" spans="2:28" s="4" customFormat="1" ht="13.5" customHeight="1">
      <c r="B27" s="4" t="s">
        <v>1303</v>
      </c>
      <c r="C27" s="4" t="str">
        <f>INDEX('Reference Score Calculation'!$E$143:$E$217,MATCH($B27,'Reference Score Calculation'!$B$143:$B$217,0))</f>
        <v>藥劑學</v>
      </c>
      <c r="D27" s="15" t="str">
        <f>INDEX('Reference Score Calculation'!$F$143:$F$217,MATCH($B27,'Reference Score Calculation'!$B$143:$B$217,0))</f>
        <v>Best 5</v>
      </c>
      <c r="E27" s="107">
        <f>ROUND(INDEX('Reference Score Calculation'!H$111:H$222,MATCH('Retake 扣分'!$B27,'Reference Score Calculation'!$B$111:$B$222,0)),2)</f>
        <v>32</v>
      </c>
      <c r="F27" s="107">
        <f>ROUND(INDEX('Reference Score Calculation'!I$111:I$222,MATCH('Retake 扣分'!$B27,'Reference Score Calculation'!$B$111:$B$222,0)),2)</f>
        <v>30.5</v>
      </c>
      <c r="G27" s="107">
        <f>ROUND(INDEX('Reference Score Calculation'!J$111:J$222,MATCH('Retake 扣分'!$B27,'Reference Score Calculation'!$B$111:$B$222,0)),2)</f>
        <v>30.5</v>
      </c>
      <c r="H27" s="182">
        <f>ROUND(INDEX(計分版!$J$107:$J$280,MATCH('Retake 扣分'!B27,計分版!$B$107:$B$280,0)),2)</f>
        <v>0</v>
      </c>
      <c r="I27" s="554" t="str">
        <f>INDEX('Reference Score Calculation'!$AV$143:$AV$217,MATCH($B27,'Reference Score Calculation'!$B$143:$B$217,0))</f>
        <v>5%或更少(全Cert)</v>
      </c>
      <c r="J27" s="554"/>
      <c r="K27" s="15" t="s">
        <v>1886</v>
      </c>
      <c r="N27" s="29"/>
    </row>
    <row r="28" spans="2:28" s="4" customFormat="1" ht="13.5" customHeight="1">
      <c r="B28" s="4" t="s">
        <v>1366</v>
      </c>
      <c r="C28" s="4" t="str">
        <f>INDEX('Reference Score Calculation'!$E$143:$E$217,MATCH($B28,'Reference Score Calculation'!$B$143:$B$217,0))</f>
        <v>政治與行政學</v>
      </c>
      <c r="D28" s="15" t="str">
        <f>INDEX('Reference Score Calculation'!$F$143:$F$217,MATCH($B28,'Reference Score Calculation'!$B$143:$B$217,0))</f>
        <v>Best 5</v>
      </c>
      <c r="E28" s="107">
        <f>ROUND(INDEX('Reference Score Calculation'!H$111:H$222,MATCH('Retake 扣分'!$B28,'Reference Score Calculation'!$B$111:$B$222,0)),2)</f>
        <v>27.13</v>
      </c>
      <c r="F28" s="107">
        <f>ROUND(INDEX('Reference Score Calculation'!I$111:I$222,MATCH('Retake 扣分'!$B28,'Reference Score Calculation'!$B$111:$B$222,0)),2)</f>
        <v>26.38</v>
      </c>
      <c r="G28" s="107">
        <f>ROUND(INDEX('Reference Score Calculation'!J$111:J$222,MATCH('Retake 扣分'!$B28,'Reference Score Calculation'!$B$111:$B$222,0)),2)</f>
        <v>25.5</v>
      </c>
      <c r="H28" s="182">
        <f>ROUND(INDEX(計分版!$J$107:$J$280,MATCH('Retake 扣分'!B28,計分版!$B$107:$B$280,0)),2)</f>
        <v>0</v>
      </c>
      <c r="I28" s="554" t="str">
        <f>INDEX('Reference Score Calculation'!$AV$143:$AV$217,MATCH($B28,'Reference Score Calculation'!$B$143:$B$217,0))</f>
        <v>5%或更少(全Cert)</v>
      </c>
      <c r="J28" s="554"/>
      <c r="K28" s="15" t="s">
        <v>1887</v>
      </c>
      <c r="N28" s="29"/>
    </row>
    <row r="29" spans="2:28" s="4" customFormat="1" ht="13.5" customHeight="1">
      <c r="B29" s="4" t="s">
        <v>1392</v>
      </c>
      <c r="C29" s="4" t="str">
        <f>INDEX('Reference Score Calculation'!$E$143:$E$217,MATCH($B29,'Reference Score Calculation'!$B$143:$B$217,0))</f>
        <v>法學士</v>
      </c>
      <c r="D29" s="15" t="str">
        <f>INDEX('Reference Score Calculation'!$F$143:$F$217,MATCH($B29,'Reference Score Calculation'!$B$143:$B$217,0))</f>
        <v>3C2X</v>
      </c>
      <c r="E29" s="107">
        <f>ROUND(INDEX('Reference Score Calculation'!H$111:H$222,MATCH('Retake 扣分'!$B29,'Reference Score Calculation'!$B$111:$B$222,0)),2)</f>
        <v>34.5</v>
      </c>
      <c r="F29" s="107">
        <f>ROUND(INDEX('Reference Score Calculation'!I$111:I$222,MATCH('Retake 扣分'!$B29,'Reference Score Calculation'!$B$111:$B$222,0)),2)</f>
        <v>33</v>
      </c>
      <c r="G29" s="107">
        <f>ROUND(INDEX('Reference Score Calculation'!J$111:J$222,MATCH('Retake 扣分'!$B29,'Reference Score Calculation'!$B$111:$B$222,0)),2)</f>
        <v>33</v>
      </c>
      <c r="H29" s="182">
        <f>ROUND(INDEX(計分版!$J$107:$J$280,MATCH('Retake 扣分'!B29,計分版!$B$107:$B$280,0)),2)</f>
        <v>0</v>
      </c>
      <c r="I29" s="554" t="str">
        <f>INDEX('Reference Score Calculation'!$AV$143:$AV$217,MATCH($B29,'Reference Score Calculation'!$B$143:$B$217,0))</f>
        <v>5%或更少(全Cert)</v>
      </c>
      <c r="J29" s="554"/>
      <c r="K29" s="15" t="s">
        <v>1887</v>
      </c>
      <c r="N29" s="29"/>
    </row>
    <row r="30" spans="2:28" s="4" customFormat="1" ht="13.5" customHeight="1">
      <c r="F30" s="15"/>
      <c r="G30" s="15"/>
      <c r="H30" s="113"/>
      <c r="I30" s="15"/>
      <c r="J30" s="15"/>
      <c r="K30" s="15"/>
      <c r="L30" s="15"/>
      <c r="M30" s="15"/>
      <c r="N30" s="15"/>
      <c r="O30" s="15"/>
      <c r="S30" s="15"/>
    </row>
    <row r="31" spans="2:28" s="4" customFormat="1" ht="13.5" customHeight="1">
      <c r="F31" s="15"/>
      <c r="G31" s="15"/>
      <c r="H31" s="113"/>
      <c r="I31" s="15"/>
      <c r="J31" s="15"/>
      <c r="K31" s="15"/>
      <c r="L31" s="15"/>
      <c r="M31" s="15"/>
      <c r="N31" s="15"/>
      <c r="O31" s="15"/>
      <c r="S31" s="15"/>
    </row>
    <row r="32" spans="2:28" s="15" customFormat="1" ht="13.5" customHeight="1">
      <c r="B32" s="105" t="s">
        <v>1473</v>
      </c>
      <c r="C32" s="73"/>
      <c r="D32" s="73"/>
      <c r="E32" s="73" t="s">
        <v>103</v>
      </c>
      <c r="F32" s="73" t="s">
        <v>102</v>
      </c>
      <c r="G32" s="73" t="s">
        <v>100</v>
      </c>
      <c r="H32" s="114" t="s">
        <v>1883</v>
      </c>
      <c r="I32" s="73" t="s">
        <v>291</v>
      </c>
      <c r="J32" s="73" t="s">
        <v>292</v>
      </c>
      <c r="K32" s="73" t="s">
        <v>74</v>
      </c>
      <c r="L32" s="73" t="s">
        <v>293</v>
      </c>
      <c r="M32" s="73" t="s">
        <v>294</v>
      </c>
      <c r="N32" s="73" t="str">
        <f>計分版!P1</f>
        <v>請選擇第一選修科</v>
      </c>
      <c r="O32" s="73" t="str">
        <f>計分版!Q1</f>
        <v>請選擇第二選修科</v>
      </c>
      <c r="P32" s="73" t="str">
        <f>計分版!R1</f>
        <v>請選擇第三選修科</v>
      </c>
      <c r="Q32" s="73" t="str">
        <f>計分版!S1</f>
        <v>請選擇第四選修科</v>
      </c>
      <c r="R32" s="73" t="str">
        <f>計分版!T1</f>
        <v>請選擇語言科目</v>
      </c>
      <c r="S32" s="73" t="s">
        <v>1884</v>
      </c>
      <c r="T32" s="73" t="s">
        <v>1885</v>
      </c>
      <c r="U32" s="109"/>
      <c r="V32" s="109"/>
      <c r="W32" s="109"/>
      <c r="X32" s="109"/>
      <c r="Y32" s="109"/>
      <c r="Z32" s="109"/>
      <c r="AA32" s="109"/>
      <c r="AB32" s="109"/>
    </row>
    <row r="33" spans="2:20" s="4" customFormat="1" ht="14.4">
      <c r="B33" s="4" t="str">
        <f>'Reference Score Calculation'!B253</f>
        <v>JS6004</v>
      </c>
      <c r="C33" s="4" t="str">
        <f>'Reference Score Calculation'!E253</f>
        <v>建築學文學士</v>
      </c>
      <c r="D33" s="4" t="str">
        <f>'Reference Score Calculation'!F253</f>
        <v>Best 5</v>
      </c>
      <c r="E33" s="107">
        <f>'Reference Score Calculation'!H253</f>
        <v>31</v>
      </c>
      <c r="F33" s="107">
        <f>'Reference Score Calculation'!I253</f>
        <v>29</v>
      </c>
      <c r="G33" s="107">
        <f>'Reference Score Calculation'!J253</f>
        <v>28</v>
      </c>
      <c r="H33" s="182">
        <f>計分版!J276</f>
        <v>3.4999999999999999E-9</v>
      </c>
      <c r="I33" s="15">
        <f>ROUND(計分版!V276,2)</f>
        <v>0</v>
      </c>
      <c r="J33" s="15">
        <f>ROUND(計分版!W276,2)</f>
        <v>0</v>
      </c>
      <c r="K33" s="15">
        <f>ROUND(計分版!X276,2)</f>
        <v>0</v>
      </c>
      <c r="L33" s="15">
        <f>ROUND(計分版!Y276,2)</f>
        <v>0</v>
      </c>
      <c r="M33" s="15">
        <f>ROUND(計分版!Z276,2)</f>
        <v>0</v>
      </c>
      <c r="N33" s="15">
        <f>ROUND(計分版!AA276,2)</f>
        <v>0</v>
      </c>
      <c r="O33" s="15">
        <f>ROUND(計分版!AB276,2)</f>
        <v>0</v>
      </c>
      <c r="P33" s="15">
        <f>ROUND(計分版!AC276,2)</f>
        <v>0</v>
      </c>
      <c r="Q33" s="15">
        <f>ROUND(計分版!AD276,2)</f>
        <v>0</v>
      </c>
      <c r="R33" s="15">
        <f>ROUND(計分版!AE276,2)</f>
        <v>0</v>
      </c>
      <c r="S33" s="108" t="str">
        <f>'Reference Score Calculation'!AV253</f>
        <v>無</v>
      </c>
      <c r="T33" s="4" t="str">
        <f>'Reference Score Calculation'!AQ253</f>
        <v>Best results in 2 or more sittings of HKDSE</v>
      </c>
    </row>
    <row r="34" spans="2:20" s="4" customFormat="1" ht="14.4">
      <c r="B34" s="4" t="str">
        <f>'Reference Score Calculation'!B254</f>
        <v>JS6016</v>
      </c>
      <c r="C34" s="4" t="str">
        <f>'Reference Score Calculation'!E254</f>
        <v>理學士(測量學)</v>
      </c>
      <c r="D34" s="4" t="str">
        <f>'Reference Score Calculation'!F254</f>
        <v>Best 5</v>
      </c>
      <c r="E34" s="107">
        <f>'Reference Score Calculation'!H254</f>
        <v>31</v>
      </c>
      <c r="F34" s="107">
        <f>'Reference Score Calculation'!I254</f>
        <v>29</v>
      </c>
      <c r="G34" s="107">
        <f>'Reference Score Calculation'!J254</f>
        <v>29</v>
      </c>
      <c r="H34" s="182">
        <f>計分版!J277</f>
        <v>3.4999999999999999E-9</v>
      </c>
      <c r="I34" s="15">
        <f>ROUND(計分版!V277,2)</f>
        <v>0</v>
      </c>
      <c r="J34" s="15">
        <f>ROUND(計分版!W277,2)</f>
        <v>0</v>
      </c>
      <c r="K34" s="15">
        <f>ROUND(計分版!X277,2)</f>
        <v>0</v>
      </c>
      <c r="L34" s="15">
        <f>ROUND(計分版!Y277,2)</f>
        <v>0</v>
      </c>
      <c r="M34" s="15">
        <f>ROUND(計分版!Z277,2)</f>
        <v>0</v>
      </c>
      <c r="N34" s="15">
        <f>ROUND(計分版!AA277,2)</f>
        <v>0</v>
      </c>
      <c r="O34" s="15">
        <f>ROUND(計分版!AB277,2)</f>
        <v>0</v>
      </c>
      <c r="P34" s="15">
        <f>ROUND(計分版!AC277,2)</f>
        <v>0</v>
      </c>
      <c r="Q34" s="15">
        <f>ROUND(計分版!AD277,2)</f>
        <v>0</v>
      </c>
      <c r="R34" s="15">
        <f>ROUND(計分版!AE277,2)</f>
        <v>0</v>
      </c>
      <c r="S34" s="108" t="str">
        <f>'Reference Score Calculation'!AV254</f>
        <v>無</v>
      </c>
      <c r="T34" s="4" t="str">
        <f>'Reference Score Calculation'!AQ254</f>
        <v>Best results in year 2023 and 2024 Only</v>
      </c>
    </row>
    <row r="35" spans="2:20" s="4" customFormat="1" ht="14.4">
      <c r="B35" s="4" t="str">
        <f>'Reference Score Calculation'!B255</f>
        <v>JS6028</v>
      </c>
      <c r="C35" s="4" t="str">
        <f>'Reference Score Calculation'!E255</f>
        <v>園境學文學士</v>
      </c>
      <c r="D35" s="4" t="str">
        <f>'Reference Score Calculation'!F255</f>
        <v>Best 5</v>
      </c>
      <c r="E35" s="107">
        <f>'Reference Score Calculation'!H255</f>
        <v>33</v>
      </c>
      <c r="F35" s="107">
        <f>'Reference Score Calculation'!I255</f>
        <v>32</v>
      </c>
      <c r="G35" s="107">
        <f>'Reference Score Calculation'!J255</f>
        <v>30</v>
      </c>
      <c r="H35" s="182">
        <f>計分版!J278</f>
        <v>3.4999999999999999E-9</v>
      </c>
      <c r="I35" s="15">
        <f>ROUND(計分版!V278,2)</f>
        <v>0</v>
      </c>
      <c r="J35" s="15">
        <f>ROUND(計分版!W278,2)</f>
        <v>0</v>
      </c>
      <c r="K35" s="15">
        <f>ROUND(計分版!X278,2)</f>
        <v>0</v>
      </c>
      <c r="L35" s="15">
        <f>ROUND(計分版!Y278,2)</f>
        <v>0</v>
      </c>
      <c r="M35" s="15">
        <f>ROUND(計分版!Z278,2)</f>
        <v>0</v>
      </c>
      <c r="N35" s="15">
        <f>ROUND(計分版!AA278,2)</f>
        <v>0</v>
      </c>
      <c r="O35" s="15">
        <f>ROUND(計分版!AB278,2)</f>
        <v>0</v>
      </c>
      <c r="P35" s="15">
        <f>ROUND(計分版!AC278,2)</f>
        <v>0</v>
      </c>
      <c r="Q35" s="15">
        <f>ROUND(計分版!AD278,2)</f>
        <v>0</v>
      </c>
      <c r="R35" s="15">
        <f>ROUND(計分版!AE278,2)</f>
        <v>0</v>
      </c>
      <c r="S35" s="108" t="str">
        <f>'Reference Score Calculation'!AV255</f>
        <v>無</v>
      </c>
      <c r="T35" s="4" t="str">
        <f>'Reference Score Calculation'!AQ255</f>
        <v>Best results in 2 or more sittings of HKDSE</v>
      </c>
    </row>
    <row r="36" spans="2:20" s="4" customFormat="1" ht="14.4">
      <c r="B36" s="4" t="str">
        <f>'Reference Score Calculation'!B256</f>
        <v>JS6042</v>
      </c>
      <c r="C36" s="4" t="str">
        <f>'Reference Score Calculation'!E256</f>
        <v>文學士(城市研究)</v>
      </c>
      <c r="D36" s="4" t="str">
        <f>'Reference Score Calculation'!F256</f>
        <v>Best 5</v>
      </c>
      <c r="E36" s="107">
        <f>'Reference Score Calculation'!H256</f>
        <v>31</v>
      </c>
      <c r="F36" s="107">
        <f>'Reference Score Calculation'!I256</f>
        <v>28</v>
      </c>
      <c r="G36" s="107">
        <f>'Reference Score Calculation'!J256</f>
        <v>26</v>
      </c>
      <c r="H36" s="182">
        <f>計分版!J279</f>
        <v>3.4999999999999999E-9</v>
      </c>
      <c r="I36" s="15">
        <f>ROUND(計分版!V279,2)</f>
        <v>0</v>
      </c>
      <c r="J36" s="15">
        <f>ROUND(計分版!W279,2)</f>
        <v>0</v>
      </c>
      <c r="K36" s="15">
        <f>ROUND(計分版!X279,2)</f>
        <v>0</v>
      </c>
      <c r="L36" s="15">
        <f>ROUND(計分版!Y279,2)</f>
        <v>0</v>
      </c>
      <c r="M36" s="15">
        <f>ROUND(計分版!Z279,2)</f>
        <v>0</v>
      </c>
      <c r="N36" s="15">
        <f>ROUND(計分版!AA279,2)</f>
        <v>0</v>
      </c>
      <c r="O36" s="15">
        <f>ROUND(計分版!AB279,2)</f>
        <v>0</v>
      </c>
      <c r="P36" s="15">
        <f>ROUND(計分版!AC279,2)</f>
        <v>0</v>
      </c>
      <c r="Q36" s="15">
        <f>ROUND(計分版!AD279,2)</f>
        <v>0</v>
      </c>
      <c r="R36" s="15">
        <f>ROUND(計分版!AE279,2)</f>
        <v>0</v>
      </c>
      <c r="S36" s="108" t="str">
        <f>'Reference Score Calculation'!AV256</f>
        <v>無</v>
      </c>
      <c r="T36" s="4" t="str">
        <f>'Reference Score Calculation'!AQ256</f>
        <v>Best results in the latest 2 sittings of HKDSE, one of which should include the year of admission (i.e. 2024)</v>
      </c>
    </row>
    <row r="37" spans="2:20" s="4" customFormat="1" ht="14.4">
      <c r="B37" s="4" t="str">
        <f>'Reference Score Calculation'!B257</f>
        <v>JS6054</v>
      </c>
      <c r="C37" s="4" t="str">
        <f>'Reference Score Calculation'!E257</f>
        <v>文學士</v>
      </c>
      <c r="D37" s="4" t="str">
        <f>'Reference Score Calculation'!F257</f>
        <v>Best 5</v>
      </c>
      <c r="E37" s="107">
        <f>'Reference Score Calculation'!H257</f>
        <v>33</v>
      </c>
      <c r="F37" s="107">
        <f>'Reference Score Calculation'!I257</f>
        <v>31</v>
      </c>
      <c r="G37" s="107">
        <f>'Reference Score Calculation'!J257</f>
        <v>29</v>
      </c>
      <c r="H37" s="182">
        <f>計分版!J280</f>
        <v>3.2999999999999998E-9</v>
      </c>
      <c r="I37" s="15">
        <f>ROUND(計分版!V280,2)</f>
        <v>0</v>
      </c>
      <c r="J37" s="15">
        <f>ROUND(計分版!W280,2)</f>
        <v>0</v>
      </c>
      <c r="K37" s="15">
        <f>ROUND(計分版!X280,2)</f>
        <v>0</v>
      </c>
      <c r="L37" s="15">
        <f>ROUND(計分版!Y280,2)</f>
        <v>0</v>
      </c>
      <c r="M37" s="15">
        <f>ROUND(計分版!Z280,2)</f>
        <v>0</v>
      </c>
      <c r="N37" s="15">
        <f>ROUND(計分版!AA280,2)</f>
        <v>0</v>
      </c>
      <c r="O37" s="15">
        <f>ROUND(計分版!AB280,2)</f>
        <v>0</v>
      </c>
      <c r="P37" s="15">
        <f>ROUND(計分版!AC280,2)</f>
        <v>0</v>
      </c>
      <c r="Q37" s="15">
        <f>ROUND(計分版!AD280,2)</f>
        <v>0</v>
      </c>
      <c r="R37" s="15">
        <f>ROUND(計分版!AE280,2)</f>
        <v>0</v>
      </c>
      <c r="S37" s="108" t="str">
        <f>'Reference Score Calculation'!AV257</f>
        <v>無</v>
      </c>
      <c r="T37" s="4" t="str">
        <f>'Reference Score Calculation'!AQ257</f>
        <v>Best results in 2 or more sittings of HKDSE</v>
      </c>
    </row>
    <row r="38" spans="2:20" s="4" customFormat="1" ht="14.4">
      <c r="B38" s="4" t="str">
        <f>'Reference Score Calculation'!B258</f>
        <v>JS6274</v>
      </c>
      <c r="C38" s="4" t="str">
        <f>'Reference Score Calculation'!E258</f>
        <v>文學士（全球創意產業）</v>
      </c>
      <c r="D38" s="4" t="str">
        <f>'Reference Score Calculation'!F258</f>
        <v>25年新科目</v>
      </c>
      <c r="E38" s="107" t="str">
        <f>'Reference Score Calculation'!H258</f>
        <v>/</v>
      </c>
      <c r="F38" s="107" t="str">
        <f>'Reference Score Calculation'!I258</f>
        <v>/</v>
      </c>
      <c r="G38" s="107" t="str">
        <f>'Reference Score Calculation'!J258</f>
        <v>/</v>
      </c>
      <c r="H38" s="182">
        <f>計分版!J281</f>
        <v>3.4999999999999999E-9</v>
      </c>
      <c r="I38" s="15">
        <f>ROUND(計分版!V281,2)</f>
        <v>0</v>
      </c>
      <c r="J38" s="15">
        <f>ROUND(計分版!W281,2)</f>
        <v>0</v>
      </c>
      <c r="K38" s="15">
        <f>ROUND(計分版!X281,2)</f>
        <v>0</v>
      </c>
      <c r="L38" s="15">
        <f>ROUND(計分版!Y281,2)</f>
        <v>0</v>
      </c>
      <c r="M38" s="15">
        <f>ROUND(計分版!Z281,2)</f>
        <v>0</v>
      </c>
      <c r="N38" s="15">
        <f>ROUND(計分版!AA281,2)</f>
        <v>0</v>
      </c>
      <c r="O38" s="15">
        <f>ROUND(計分版!AB281,2)</f>
        <v>0</v>
      </c>
      <c r="P38" s="15">
        <f>ROUND(計分版!AC281,2)</f>
        <v>0</v>
      </c>
      <c r="Q38" s="15">
        <f>ROUND(計分版!AD281,2)</f>
        <v>0</v>
      </c>
      <c r="R38" s="15">
        <f>ROUND(計分版!AE281,2)</f>
        <v>0</v>
      </c>
      <c r="S38" s="108" t="str">
        <f>'Reference Score Calculation'!AV258</f>
        <v>無</v>
      </c>
      <c r="T38" s="4">
        <f>'Reference Score Calculation'!AQ258</f>
        <v>0</v>
      </c>
    </row>
    <row r="39" spans="2:20" s="4" customFormat="1" ht="14.4">
      <c r="B39" s="4" t="str">
        <f>'Reference Score Calculation'!B259</f>
        <v>JS6286</v>
      </c>
      <c r="C39" s="4" t="str">
        <f>'Reference Score Calculation'!E259</f>
        <v>文學士(人文及數碼科技)</v>
      </c>
      <c r="D39" s="4" t="str">
        <f>'Reference Score Calculation'!F259</f>
        <v>Best 5</v>
      </c>
      <c r="E39" s="107">
        <f>'Reference Score Calculation'!H259</f>
        <v>34</v>
      </c>
      <c r="F39" s="107">
        <f>'Reference Score Calculation'!I259</f>
        <v>32</v>
      </c>
      <c r="G39" s="107">
        <f>'Reference Score Calculation'!J259</f>
        <v>30</v>
      </c>
      <c r="H39" s="182">
        <f>計分版!J282</f>
        <v>3.2999999999999998E-9</v>
      </c>
      <c r="I39" s="15">
        <f>ROUND(計分版!V282,2)</f>
        <v>0</v>
      </c>
      <c r="J39" s="15">
        <f>ROUND(計分版!W282,2)</f>
        <v>0</v>
      </c>
      <c r="K39" s="15">
        <f>ROUND(計分版!X282,2)</f>
        <v>0</v>
      </c>
      <c r="L39" s="15">
        <f>ROUND(計分版!Y282,2)</f>
        <v>0</v>
      </c>
      <c r="M39" s="15">
        <f>ROUND(計分版!Z282,2)</f>
        <v>0</v>
      </c>
      <c r="N39" s="15">
        <f>ROUND(計分版!AA282,2)</f>
        <v>0</v>
      </c>
      <c r="O39" s="15">
        <f>ROUND(計分版!AB282,2)</f>
        <v>0</v>
      </c>
      <c r="P39" s="15">
        <f>ROUND(計分版!AC282,2)</f>
        <v>0</v>
      </c>
      <c r="Q39" s="15">
        <f>ROUND(計分版!AD282,2)</f>
        <v>0</v>
      </c>
      <c r="R39" s="15">
        <f>ROUND(計分版!AE282,2)</f>
        <v>0</v>
      </c>
      <c r="S39" s="108" t="str">
        <f>'Reference Score Calculation'!AV259</f>
        <v>無</v>
      </c>
      <c r="T39" s="4" t="str">
        <f>'Reference Score Calculation'!AQ259</f>
        <v>Best results in 2 or more sittings of HKDSE</v>
      </c>
    </row>
    <row r="40" spans="2:20" s="4" customFormat="1" ht="14.4">
      <c r="B40" s="4" t="str">
        <f>'Reference Score Calculation'!B260</f>
        <v>JS6298</v>
      </c>
      <c r="C40" s="4" t="str">
        <f>'Reference Score Calculation'!E260</f>
        <v>文學士及工學學士(人工智能及數據科學)</v>
      </c>
      <c r="D40" s="4" t="str">
        <f>'Reference Score Calculation'!F260</f>
        <v>25年新科目</v>
      </c>
      <c r="E40" s="107" t="str">
        <f>'Reference Score Calculation'!H260</f>
        <v>/</v>
      </c>
      <c r="F40" s="107" t="str">
        <f>'Reference Score Calculation'!I260</f>
        <v>/</v>
      </c>
      <c r="G40" s="107" t="str">
        <f>'Reference Score Calculation'!J260</f>
        <v>/</v>
      </c>
      <c r="H40" s="182">
        <f>計分版!J283</f>
        <v>4.0499999999999999E-9</v>
      </c>
      <c r="I40" s="15">
        <f>ROUND(計分版!V283,2)</f>
        <v>0</v>
      </c>
      <c r="J40" s="15">
        <f>ROUND(計分版!W283,2)</f>
        <v>0</v>
      </c>
      <c r="K40" s="15">
        <f>ROUND(計分版!X283,2)</f>
        <v>0</v>
      </c>
      <c r="L40" s="15">
        <f>ROUND(計分版!Y283,2)</f>
        <v>0</v>
      </c>
      <c r="M40" s="15">
        <f>ROUND(計分版!Z283,2)</f>
        <v>0</v>
      </c>
      <c r="N40" s="15">
        <f>ROUND(計分版!AA283,2)</f>
        <v>0</v>
      </c>
      <c r="O40" s="15">
        <f>ROUND(計分版!AB283,2)</f>
        <v>0</v>
      </c>
      <c r="P40" s="15">
        <f>ROUND(計分版!AC283,2)</f>
        <v>0</v>
      </c>
      <c r="Q40" s="15">
        <f>ROUND(計分版!AD283,2)</f>
        <v>0</v>
      </c>
      <c r="R40" s="15">
        <f>ROUND(計分版!AE283,2)</f>
        <v>0</v>
      </c>
      <c r="S40" s="108" t="str">
        <f>'Reference Score Calculation'!AV260</f>
        <v>無</v>
      </c>
      <c r="T40" s="4">
        <f>'Reference Score Calculation'!AQ260</f>
        <v>0</v>
      </c>
    </row>
    <row r="41" spans="2:20" s="4" customFormat="1" ht="14.4">
      <c r="B41" s="4" t="str">
        <f>'Reference Score Calculation'!B261</f>
        <v>JS6755</v>
      </c>
      <c r="C41" s="4" t="str">
        <f>'Reference Score Calculation'!E261</f>
        <v>工商管理學學士</v>
      </c>
      <c r="D41" s="4" t="str">
        <f>'Reference Score Calculation'!F261</f>
        <v>Best 5</v>
      </c>
      <c r="E41" s="107">
        <f>'Reference Score Calculation'!H261</f>
        <v>34</v>
      </c>
      <c r="F41" s="107">
        <f>'Reference Score Calculation'!I261</f>
        <v>33</v>
      </c>
      <c r="G41" s="107">
        <f>'Reference Score Calculation'!J261</f>
        <v>32</v>
      </c>
      <c r="H41" s="182">
        <f>計分版!J284</f>
        <v>3.2700000000000001E-9</v>
      </c>
      <c r="I41" s="15">
        <f>ROUND(計分版!V284,2)</f>
        <v>0</v>
      </c>
      <c r="J41" s="15">
        <f>ROUND(計分版!W284,2)</f>
        <v>0</v>
      </c>
      <c r="K41" s="15">
        <f>ROUND(計分版!X284,2)</f>
        <v>0</v>
      </c>
      <c r="L41" s="15">
        <f>ROUND(計分版!Y284,2)</f>
        <v>0</v>
      </c>
      <c r="M41" s="15">
        <f>ROUND(計分版!Z284,2)</f>
        <v>0</v>
      </c>
      <c r="N41" s="15">
        <f>ROUND(計分版!AA284,2)</f>
        <v>0</v>
      </c>
      <c r="O41" s="15">
        <f>ROUND(計分版!AB284,2)</f>
        <v>0</v>
      </c>
      <c r="P41" s="15">
        <f>ROUND(計分版!AC284,2)</f>
        <v>0</v>
      </c>
      <c r="Q41" s="15">
        <f>ROUND(計分版!AD284,2)</f>
        <v>0</v>
      </c>
      <c r="R41" s="15">
        <f>ROUND(計分版!AE284,2)</f>
        <v>0</v>
      </c>
      <c r="S41" s="108" t="str">
        <f>'Reference Score Calculation'!AV261</f>
        <v>無</v>
      </c>
      <c r="T41" s="4" t="str">
        <f>'Reference Score Calculation'!AQ261</f>
        <v>Best results in year 2022 and 2024 or, 2023 and 2024</v>
      </c>
    </row>
    <row r="42" spans="2:20" s="4" customFormat="1" ht="14.4">
      <c r="B42" s="4" t="str">
        <f>'Reference Score Calculation'!B262</f>
        <v>JS6767</v>
      </c>
      <c r="C42" s="4" t="str">
        <f>'Reference Score Calculation'!E262</f>
        <v>經濟學學士 / 經濟金融學學士</v>
      </c>
      <c r="D42" s="4" t="str">
        <f>'Reference Score Calculation'!F262</f>
        <v>Best 5</v>
      </c>
      <c r="E42" s="107">
        <f>'Reference Score Calculation'!H262</f>
        <v>38</v>
      </c>
      <c r="F42" s="107">
        <f>'Reference Score Calculation'!I262</f>
        <v>36</v>
      </c>
      <c r="G42" s="107">
        <f>'Reference Score Calculation'!J262</f>
        <v>35</v>
      </c>
      <c r="H42" s="182">
        <f>計分版!J285</f>
        <v>3.2700000000000001E-9</v>
      </c>
      <c r="I42" s="15">
        <f>ROUND(計分版!V285,2)</f>
        <v>0</v>
      </c>
      <c r="J42" s="15">
        <f>ROUND(計分版!W285,2)</f>
        <v>0</v>
      </c>
      <c r="K42" s="15">
        <f>ROUND(計分版!X285,2)</f>
        <v>0</v>
      </c>
      <c r="L42" s="15">
        <f>ROUND(計分版!Y285,2)</f>
        <v>0</v>
      </c>
      <c r="M42" s="15">
        <f>ROUND(計分版!Z285,2)</f>
        <v>0</v>
      </c>
      <c r="N42" s="15">
        <f>ROUND(計分版!AA285,2)</f>
        <v>0</v>
      </c>
      <c r="O42" s="15">
        <f>ROUND(計分版!AB285,2)</f>
        <v>0</v>
      </c>
      <c r="P42" s="15">
        <f>ROUND(計分版!AC285,2)</f>
        <v>0</v>
      </c>
      <c r="Q42" s="15">
        <f>ROUND(計分版!AD285,2)</f>
        <v>0</v>
      </c>
      <c r="R42" s="15">
        <f>ROUND(計分版!AE285,2)</f>
        <v>0</v>
      </c>
      <c r="S42" s="108" t="str">
        <f>'Reference Score Calculation'!AV262</f>
        <v>無</v>
      </c>
      <c r="T42" s="4" t="str">
        <f>'Reference Score Calculation'!AQ262</f>
        <v>Best results in year 2022 and 2024 or, 2023 and 2024</v>
      </c>
    </row>
    <row r="43" spans="2:20" s="4" customFormat="1" ht="14.4">
      <c r="B43" s="4" t="str">
        <f>'Reference Score Calculation'!B263</f>
        <v>JS6781</v>
      </c>
      <c r="C43" s="4" t="str">
        <f>'Reference Score Calculation'!E263</f>
        <v>工商管理學學士(會計及財務) / 工商管理學學士(會計數據分析)</v>
      </c>
      <c r="D43" s="4" t="str">
        <f>'Reference Score Calculation'!F263</f>
        <v>Best 5</v>
      </c>
      <c r="E43" s="107">
        <f>'Reference Score Calculation'!H263</f>
        <v>35</v>
      </c>
      <c r="F43" s="107">
        <f>'Reference Score Calculation'!I263</f>
        <v>34</v>
      </c>
      <c r="G43" s="107">
        <f>'Reference Score Calculation'!J263</f>
        <v>33</v>
      </c>
      <c r="H43" s="182">
        <f>計分版!J286</f>
        <v>3.2700000000000001E-9</v>
      </c>
      <c r="I43" s="15">
        <f>ROUND(計分版!V286,2)</f>
        <v>0</v>
      </c>
      <c r="J43" s="15">
        <f>ROUND(計分版!W286,2)</f>
        <v>0</v>
      </c>
      <c r="K43" s="15">
        <f>ROUND(計分版!X286,2)</f>
        <v>0</v>
      </c>
      <c r="L43" s="15">
        <f>ROUND(計分版!Y286,2)</f>
        <v>0</v>
      </c>
      <c r="M43" s="15">
        <f>ROUND(計分版!Z286,2)</f>
        <v>0</v>
      </c>
      <c r="N43" s="15">
        <f>ROUND(計分版!AA286,2)</f>
        <v>0</v>
      </c>
      <c r="O43" s="15">
        <f>ROUND(計分版!AB286,2)</f>
        <v>0</v>
      </c>
      <c r="P43" s="15">
        <f>ROUND(計分版!AC286,2)</f>
        <v>0</v>
      </c>
      <c r="Q43" s="15">
        <f>ROUND(計分版!AD286,2)</f>
        <v>0</v>
      </c>
      <c r="R43" s="15">
        <f>ROUND(計分版!AE286,2)</f>
        <v>0</v>
      </c>
      <c r="S43" s="108" t="str">
        <f>'Reference Score Calculation'!AV263</f>
        <v>無</v>
      </c>
      <c r="T43" s="4" t="str">
        <f>'Reference Score Calculation'!AQ263</f>
        <v>Best results in year 2022 and 2024 or, 2023 and 2024</v>
      </c>
    </row>
    <row r="44" spans="2:20" s="4" customFormat="1" ht="14.4">
      <c r="B44" s="4" t="str">
        <f>'Reference Score Calculation'!B264</f>
        <v>JS6860</v>
      </c>
      <c r="C44" s="4" t="str">
        <f>'Reference Score Calculation'!E264</f>
        <v>金融學學士(資產管理及私人銀行)</v>
      </c>
      <c r="D44" s="4" t="str">
        <f>'Reference Score Calculation'!F264</f>
        <v>Best 6</v>
      </c>
      <c r="E44" s="107">
        <f>'Reference Score Calculation'!H264</f>
        <v>48</v>
      </c>
      <c r="F44" s="107">
        <f>'Reference Score Calculation'!I264</f>
        <v>47</v>
      </c>
      <c r="G44" s="107">
        <f>'Reference Score Calculation'!J264</f>
        <v>47</v>
      </c>
      <c r="H44" s="182">
        <f>計分版!J287</f>
        <v>3.8500000000000006E-9</v>
      </c>
      <c r="I44" s="15">
        <f>ROUND(計分版!V287,2)</f>
        <v>0</v>
      </c>
      <c r="J44" s="15">
        <f>ROUND(計分版!W287,2)</f>
        <v>0</v>
      </c>
      <c r="K44" s="15">
        <f>ROUND(計分版!X287,2)</f>
        <v>0</v>
      </c>
      <c r="L44" s="15">
        <f>ROUND(計分版!Y287,2)</f>
        <v>0</v>
      </c>
      <c r="M44" s="15">
        <f>ROUND(計分版!Z287,2)</f>
        <v>0</v>
      </c>
      <c r="N44" s="15">
        <f>ROUND(計分版!AA287,2)</f>
        <v>0</v>
      </c>
      <c r="O44" s="15">
        <f>ROUND(計分版!AB287,2)</f>
        <v>0</v>
      </c>
      <c r="P44" s="15">
        <f>ROUND(計分版!AC287,2)</f>
        <v>0</v>
      </c>
      <c r="Q44" s="15">
        <f>ROUND(計分版!AD287,2)</f>
        <v>0</v>
      </c>
      <c r="R44" s="15">
        <f>ROUND(計分版!AE287,2)</f>
        <v>0</v>
      </c>
      <c r="S44" s="108" t="str">
        <f>'Reference Score Calculation'!AV264</f>
        <v>無</v>
      </c>
      <c r="T44" s="4" t="str">
        <f>'Reference Score Calculation'!AQ264</f>
        <v>Best results in year 2022 and 2024 or, 2023 and 2024</v>
      </c>
    </row>
    <row r="45" spans="2:20" s="4" customFormat="1" ht="14.4">
      <c r="B45" s="4" t="str">
        <f>'Reference Score Calculation'!B265</f>
        <v>JS6793</v>
      </c>
      <c r="C45" s="4" t="str">
        <f>'Reference Score Calculation'!E265</f>
        <v>工商管理學學士(商業分析)</v>
      </c>
      <c r="D45" s="4" t="str">
        <f>'Reference Score Calculation'!F265</f>
        <v>Best 5</v>
      </c>
      <c r="E45" s="107">
        <f>'Reference Score Calculation'!H265</f>
        <v>34</v>
      </c>
      <c r="F45" s="107">
        <f>'Reference Score Calculation'!I265</f>
        <v>32</v>
      </c>
      <c r="G45" s="107">
        <f>'Reference Score Calculation'!J265</f>
        <v>31</v>
      </c>
      <c r="H45" s="182">
        <f>計分版!J288</f>
        <v>3.2700000000000001E-9</v>
      </c>
      <c r="I45" s="15">
        <f>ROUND(計分版!V288,2)</f>
        <v>0</v>
      </c>
      <c r="J45" s="15">
        <f>ROUND(計分版!W288,2)</f>
        <v>0</v>
      </c>
      <c r="K45" s="15">
        <f>ROUND(計分版!X288,2)</f>
        <v>0</v>
      </c>
      <c r="L45" s="15">
        <f>ROUND(計分版!Y288,2)</f>
        <v>0</v>
      </c>
      <c r="M45" s="15">
        <f>ROUND(計分版!Z288,2)</f>
        <v>0</v>
      </c>
      <c r="N45" s="15">
        <f>ROUND(計分版!AA288,2)</f>
        <v>0</v>
      </c>
      <c r="O45" s="15">
        <f>ROUND(計分版!AB288,2)</f>
        <v>0</v>
      </c>
      <c r="P45" s="15">
        <f>ROUND(計分版!AC288,2)</f>
        <v>0</v>
      </c>
      <c r="Q45" s="15">
        <f>ROUND(計分版!AD288,2)</f>
        <v>0</v>
      </c>
      <c r="R45" s="15">
        <f>ROUND(計分版!AE288,2)</f>
        <v>0</v>
      </c>
      <c r="S45" s="108" t="str">
        <f>'Reference Score Calculation'!AV265</f>
        <v>無</v>
      </c>
      <c r="T45" s="4" t="str">
        <f>'Reference Score Calculation'!AQ265</f>
        <v>Best results in year 2022 and 2024 or, 2023 and 2024</v>
      </c>
    </row>
    <row r="46" spans="2:20" s="4" customFormat="1" ht="14.4">
      <c r="B46" s="4" t="str">
        <f>'Reference Score Calculation'!B266</f>
        <v>JS6808</v>
      </c>
      <c r="C46" s="4" t="str">
        <f>'Reference Score Calculation'!E266</f>
        <v>工商管理學學士(法學)及法學士</v>
      </c>
      <c r="D46" s="4" t="str">
        <f>'Reference Score Calculation'!F266</f>
        <v>Best 6</v>
      </c>
      <c r="E46" s="107">
        <f>'Reference Score Calculation'!H266</f>
        <v>48</v>
      </c>
      <c r="F46" s="107">
        <f>'Reference Score Calculation'!I266</f>
        <v>46</v>
      </c>
      <c r="G46" s="107">
        <f>'Reference Score Calculation'!J266</f>
        <v>45</v>
      </c>
      <c r="H46" s="182">
        <f>計分版!J289</f>
        <v>3.8500000000000006E-9</v>
      </c>
      <c r="I46" s="15">
        <f>ROUND(計分版!V289,2)</f>
        <v>0</v>
      </c>
      <c r="J46" s="15">
        <f>ROUND(計分版!W289,2)</f>
        <v>0</v>
      </c>
      <c r="K46" s="15">
        <f>ROUND(計分版!X289,2)</f>
        <v>0</v>
      </c>
      <c r="L46" s="15">
        <f>ROUND(計分版!Y289,2)</f>
        <v>0</v>
      </c>
      <c r="M46" s="15">
        <f>ROUND(計分版!Z289,2)</f>
        <v>0</v>
      </c>
      <c r="N46" s="15">
        <f>ROUND(計分版!AA289,2)</f>
        <v>0</v>
      </c>
      <c r="O46" s="15">
        <f>ROUND(計分版!AB289,2)</f>
        <v>0</v>
      </c>
      <c r="P46" s="15">
        <f>ROUND(計分版!AC289,2)</f>
        <v>0</v>
      </c>
      <c r="Q46" s="15">
        <f>ROUND(計分版!AD289,2)</f>
        <v>0</v>
      </c>
      <c r="R46" s="15">
        <f>ROUND(計分版!AE289,2)</f>
        <v>0</v>
      </c>
      <c r="S46" s="108" t="str">
        <f>'Reference Score Calculation'!AV266</f>
        <v>無</v>
      </c>
      <c r="T46" s="4" t="str">
        <f>'Reference Score Calculation'!AQ266</f>
        <v>Best results in year 2022 and 2024 or, 2023 and 2024</v>
      </c>
    </row>
    <row r="47" spans="2:20" s="4" customFormat="1" ht="14.4">
      <c r="B47" s="4" t="str">
        <f>'Reference Score Calculation'!B267</f>
        <v>JS6846</v>
      </c>
      <c r="C47" s="4" t="str">
        <f>'Reference Score Calculation'!E267</f>
        <v>理學士(營銷分析及科技)</v>
      </c>
      <c r="D47" s="4" t="str">
        <f>'Reference Score Calculation'!F267</f>
        <v>Best 5</v>
      </c>
      <c r="E47" s="107">
        <f>'Reference Score Calculation'!H267</f>
        <v>33</v>
      </c>
      <c r="F47" s="107">
        <f>'Reference Score Calculation'!I267</f>
        <v>32</v>
      </c>
      <c r="G47" s="107">
        <f>'Reference Score Calculation'!J267</f>
        <v>31</v>
      </c>
      <c r="H47" s="182">
        <f>計分版!J290</f>
        <v>3.2700000000000001E-9</v>
      </c>
      <c r="I47" s="15">
        <f>ROUND(計分版!V290,2)</f>
        <v>0</v>
      </c>
      <c r="J47" s="15">
        <f>ROUND(計分版!W290,2)</f>
        <v>0</v>
      </c>
      <c r="K47" s="15">
        <f>ROUND(計分版!X290,2)</f>
        <v>0</v>
      </c>
      <c r="L47" s="15">
        <f>ROUND(計分版!Y290,2)</f>
        <v>0</v>
      </c>
      <c r="M47" s="15">
        <f>ROUND(計分版!Z290,2)</f>
        <v>0</v>
      </c>
      <c r="N47" s="15">
        <f>ROUND(計分版!AA290,2)</f>
        <v>0</v>
      </c>
      <c r="O47" s="15">
        <f>ROUND(計分版!AB290,2)</f>
        <v>0</v>
      </c>
      <c r="P47" s="15">
        <f>ROUND(計分版!AC290,2)</f>
        <v>0</v>
      </c>
      <c r="Q47" s="15">
        <f>ROUND(計分版!AD290,2)</f>
        <v>0</v>
      </c>
      <c r="R47" s="15">
        <f>ROUND(計分版!AE290,2)</f>
        <v>0</v>
      </c>
      <c r="S47" s="108" t="str">
        <f>'Reference Score Calculation'!AV267</f>
        <v>無</v>
      </c>
      <c r="T47" s="4" t="str">
        <f>'Reference Score Calculation'!AQ267</f>
        <v>Best results in year 2022 and 2024 or, 2023 and 2024</v>
      </c>
    </row>
    <row r="48" spans="2:20" s="4" customFormat="1" ht="14.4">
      <c r="B48" s="4" t="str">
        <f>'Reference Score Calculation'!B268</f>
        <v>JS6884</v>
      </c>
      <c r="C48" s="4" t="str">
        <f>'Reference Score Calculation'!E268</f>
        <v>理學士(計量金融)</v>
      </c>
      <c r="D48" s="4" t="str">
        <f>'Reference Score Calculation'!F268</f>
        <v>Best 6</v>
      </c>
      <c r="E48" s="107">
        <f>'Reference Score Calculation'!H268</f>
        <v>51</v>
      </c>
      <c r="F48" s="107">
        <f>'Reference Score Calculation'!I268</f>
        <v>49</v>
      </c>
      <c r="G48" s="107">
        <f>'Reference Score Calculation'!J268</f>
        <v>48</v>
      </c>
      <c r="H48" s="182">
        <f>計分版!J291</f>
        <v>3.8200000000000005E-9</v>
      </c>
      <c r="I48" s="15">
        <f>ROUND(計分版!V291,2)</f>
        <v>0</v>
      </c>
      <c r="J48" s="15">
        <f>ROUND(計分版!W291,2)</f>
        <v>0</v>
      </c>
      <c r="K48" s="15">
        <f>ROUND(計分版!X291,2)</f>
        <v>0</v>
      </c>
      <c r="L48" s="15">
        <f>ROUND(計分版!Y291,2)</f>
        <v>0</v>
      </c>
      <c r="M48" s="15">
        <f>ROUND(計分版!Z291,2)</f>
        <v>0</v>
      </c>
      <c r="N48" s="15">
        <f>ROUND(計分版!AA291,2)</f>
        <v>0</v>
      </c>
      <c r="O48" s="15">
        <f>ROUND(計分版!AB291,2)</f>
        <v>0</v>
      </c>
      <c r="P48" s="15">
        <f>ROUND(計分版!AC291,2)</f>
        <v>0</v>
      </c>
      <c r="Q48" s="15">
        <f>ROUND(計分版!AD291,2)</f>
        <v>0</v>
      </c>
      <c r="R48" s="15">
        <f>ROUND(計分版!AE291,2)</f>
        <v>0</v>
      </c>
      <c r="S48" s="108" t="str">
        <f>'Reference Score Calculation'!AV268</f>
        <v>無</v>
      </c>
      <c r="T48" s="4" t="str">
        <f>'Reference Score Calculation'!AQ268</f>
        <v>Best results in year 2022 and 2024 or, 2023 and 2024</v>
      </c>
    </row>
    <row r="49" spans="2:20" s="4" customFormat="1" ht="14.4">
      <c r="B49" s="4" t="str">
        <f>'Reference Score Calculation'!B269</f>
        <v>JS6896</v>
      </c>
      <c r="C49" s="4" t="str">
        <f>'Reference Score Calculation'!E269</f>
        <v>工商管理學學士(國際商業及環球管理)</v>
      </c>
      <c r="D49" s="4" t="str">
        <f>'Reference Score Calculation'!F269</f>
        <v>Best 6</v>
      </c>
      <c r="E49" s="107">
        <f>'Reference Score Calculation'!H269</f>
        <v>52</v>
      </c>
      <c r="F49" s="107">
        <f>'Reference Score Calculation'!I269</f>
        <v>51</v>
      </c>
      <c r="G49" s="107">
        <f>'Reference Score Calculation'!J269</f>
        <v>49</v>
      </c>
      <c r="H49" s="182">
        <f>計分版!J292</f>
        <v>3.8500000000000006E-9</v>
      </c>
      <c r="I49" s="15">
        <f>ROUND(計分版!V292,2)</f>
        <v>0</v>
      </c>
      <c r="J49" s="15">
        <f>ROUND(計分版!W292,2)</f>
        <v>0</v>
      </c>
      <c r="K49" s="15">
        <f>ROUND(計分版!X292,2)</f>
        <v>0</v>
      </c>
      <c r="L49" s="15">
        <f>ROUND(計分版!Y292,2)</f>
        <v>0</v>
      </c>
      <c r="M49" s="15">
        <f>ROUND(計分版!Z292,2)</f>
        <v>0</v>
      </c>
      <c r="N49" s="15">
        <f>ROUND(計分版!AA292,2)</f>
        <v>0</v>
      </c>
      <c r="O49" s="15">
        <f>ROUND(計分版!AB292,2)</f>
        <v>0</v>
      </c>
      <c r="P49" s="15">
        <f>ROUND(計分版!AC292,2)</f>
        <v>0</v>
      </c>
      <c r="Q49" s="15">
        <f>ROUND(計分版!AD292,2)</f>
        <v>0</v>
      </c>
      <c r="R49" s="15">
        <f>ROUND(計分版!AE292,2)</f>
        <v>0</v>
      </c>
      <c r="S49" s="108" t="str">
        <f>'Reference Score Calculation'!AV269</f>
        <v>無</v>
      </c>
      <c r="T49" s="4" t="str">
        <f>'Reference Score Calculation'!AQ269</f>
        <v>Best results in year 2022 and 2024 or, 2023 and 2024</v>
      </c>
    </row>
    <row r="50" spans="2:20" s="4" customFormat="1" ht="14.4">
      <c r="B50" s="4" t="str">
        <f>'Reference Score Calculation'!B270</f>
        <v>JS6107</v>
      </c>
      <c r="C50" s="4" t="str">
        <f>'Reference Score Calculation'!E270</f>
        <v>牙醫學士</v>
      </c>
      <c r="D50" s="4" t="str">
        <f>'Reference Score Calculation'!F270</f>
        <v>Best 6</v>
      </c>
      <c r="E50" s="107">
        <f>'Reference Score Calculation'!H270</f>
        <v>49</v>
      </c>
      <c r="F50" s="107">
        <f>'Reference Score Calculation'!I270</f>
        <v>46</v>
      </c>
      <c r="G50" s="107">
        <f>'Reference Score Calculation'!J270</f>
        <v>45</v>
      </c>
      <c r="H50" s="182">
        <f>計分版!J293</f>
        <v>3.9799999999999999E-9</v>
      </c>
      <c r="I50" s="15">
        <f>ROUND(計分版!V293,2)</f>
        <v>0</v>
      </c>
      <c r="J50" s="15">
        <f>ROUND(計分版!W293,2)</f>
        <v>0</v>
      </c>
      <c r="K50" s="15">
        <f>ROUND(計分版!X293,2)</f>
        <v>0</v>
      </c>
      <c r="L50" s="15">
        <f>ROUND(計分版!Y293,2)</f>
        <v>0</v>
      </c>
      <c r="M50" s="15">
        <f>ROUND(計分版!Z293,2)</f>
        <v>0</v>
      </c>
      <c r="N50" s="15">
        <f>ROUND(計分版!AA293,2)</f>
        <v>0</v>
      </c>
      <c r="O50" s="15">
        <f>ROUND(計分版!AB293,2)</f>
        <v>0</v>
      </c>
      <c r="P50" s="15">
        <f>ROUND(計分版!AC293,2)</f>
        <v>0</v>
      </c>
      <c r="Q50" s="15">
        <f>ROUND(計分版!AD293,2)</f>
        <v>0</v>
      </c>
      <c r="R50" s="15">
        <f>ROUND(計分版!AE293,2)</f>
        <v>0</v>
      </c>
      <c r="S50" s="108" t="str">
        <f>'Reference Score Calculation'!AV270</f>
        <v>10%(重考科目)</v>
      </c>
      <c r="T50" s="4" t="str">
        <f>'Reference Score Calculation'!AQ270</f>
        <v>Best results in year 2023 and 2024 Only</v>
      </c>
    </row>
    <row r="51" spans="2:20" s="4" customFormat="1" ht="14.4">
      <c r="B51" s="4" t="str">
        <f>'Reference Score Calculation'!B271</f>
        <v>JS6066</v>
      </c>
      <c r="C51" s="4" t="str">
        <f>'Reference Score Calculation'!E271</f>
        <v>文學士及教育學士(語文教育) - 英文教育</v>
      </c>
      <c r="D51" s="4" t="str">
        <f>'Reference Score Calculation'!F271</f>
        <v>Best 5</v>
      </c>
      <c r="E51" s="107">
        <f>'Reference Score Calculation'!H271</f>
        <v>39</v>
      </c>
      <c r="F51" s="107">
        <f>'Reference Score Calculation'!I271</f>
        <v>36</v>
      </c>
      <c r="G51" s="107">
        <f>'Reference Score Calculation'!J271</f>
        <v>32</v>
      </c>
      <c r="H51" s="182">
        <f>計分版!J294</f>
        <v>3.2999999999999998E-9</v>
      </c>
      <c r="I51" s="15">
        <f>ROUND(計分版!V294,2)</f>
        <v>0</v>
      </c>
      <c r="J51" s="15">
        <f>ROUND(計分版!W294,2)</f>
        <v>0</v>
      </c>
      <c r="K51" s="15">
        <f>ROUND(計分版!X294,2)</f>
        <v>0</v>
      </c>
      <c r="L51" s="15">
        <f>ROUND(計分版!Y294,2)</f>
        <v>0</v>
      </c>
      <c r="M51" s="15">
        <f>ROUND(計分版!Z294,2)</f>
        <v>0</v>
      </c>
      <c r="N51" s="15">
        <f>ROUND(計分版!AA294,2)</f>
        <v>0</v>
      </c>
      <c r="O51" s="15">
        <f>ROUND(計分版!AB294,2)</f>
        <v>0</v>
      </c>
      <c r="P51" s="15">
        <f>ROUND(計分版!AC294,2)</f>
        <v>0</v>
      </c>
      <c r="Q51" s="15">
        <f>ROUND(計分版!AD294,2)</f>
        <v>0</v>
      </c>
      <c r="R51" s="15">
        <f>ROUND(計分版!AE294,2)</f>
        <v>0</v>
      </c>
      <c r="S51" s="108" t="str">
        <f>'Reference Score Calculation'!AV271</f>
        <v>無</v>
      </c>
      <c r="T51" s="4" t="str">
        <f>'Reference Score Calculation'!AQ271</f>
        <v>Best results in 2 or more sittings of HKDSE</v>
      </c>
    </row>
    <row r="52" spans="2:20" s="4" customFormat="1" ht="14.4">
      <c r="B52" s="4" t="str">
        <f>'Reference Score Calculation'!B272</f>
        <v>JS6080</v>
      </c>
      <c r="C52" s="4" t="str">
        <f>'Reference Score Calculation'!E272</f>
        <v>文學士及教育學士(語文教育) - 中文教育</v>
      </c>
      <c r="D52" s="4" t="str">
        <f>'Reference Score Calculation'!F272</f>
        <v>Best 5</v>
      </c>
      <c r="E52" s="107">
        <f>'Reference Score Calculation'!H272</f>
        <v>36</v>
      </c>
      <c r="F52" s="107">
        <f>'Reference Score Calculation'!I272</f>
        <v>35</v>
      </c>
      <c r="G52" s="107">
        <f>'Reference Score Calculation'!J272</f>
        <v>34</v>
      </c>
      <c r="H52" s="182">
        <f>計分版!J295</f>
        <v>3.1500000000000001E-9</v>
      </c>
      <c r="I52" s="15">
        <f>ROUND(計分版!V295,2)</f>
        <v>0</v>
      </c>
      <c r="J52" s="15">
        <f>ROUND(計分版!W295,2)</f>
        <v>0</v>
      </c>
      <c r="K52" s="15">
        <f>ROUND(計分版!X295,2)</f>
        <v>0</v>
      </c>
      <c r="L52" s="15">
        <f>ROUND(計分版!Y295,2)</f>
        <v>0</v>
      </c>
      <c r="M52" s="15">
        <f>ROUND(計分版!Z295,2)</f>
        <v>0</v>
      </c>
      <c r="N52" s="15">
        <f>ROUND(計分版!AA295,2)</f>
        <v>0</v>
      </c>
      <c r="O52" s="15">
        <f>ROUND(計分版!AB295,2)</f>
        <v>0</v>
      </c>
      <c r="P52" s="15">
        <f>ROUND(計分版!AC295,2)</f>
        <v>0</v>
      </c>
      <c r="Q52" s="15">
        <f>ROUND(計分版!AD295,2)</f>
        <v>0</v>
      </c>
      <c r="R52" s="15">
        <f>ROUND(計分版!AE295,2)</f>
        <v>0</v>
      </c>
      <c r="S52" s="108" t="str">
        <f>'Reference Score Calculation'!AV272</f>
        <v>無</v>
      </c>
      <c r="T52" s="4" t="str">
        <f>'Reference Score Calculation'!AQ272</f>
        <v>Best results in 2 or more sittings of HKDSE</v>
      </c>
    </row>
    <row r="53" spans="2:20" s="4" customFormat="1" ht="14.4">
      <c r="B53" s="4" t="str">
        <f>'Reference Score Calculation'!B273</f>
        <v>JS6092</v>
      </c>
      <c r="C53" s="4" t="str">
        <f>'Reference Score Calculation'!E273</f>
        <v>教育學士(幼兒教育及特殊教育)</v>
      </c>
      <c r="D53" s="4" t="str">
        <f>'Reference Score Calculation'!F273</f>
        <v>Best 5</v>
      </c>
      <c r="E53" s="107">
        <f>'Reference Score Calculation'!H273</f>
        <v>28</v>
      </c>
      <c r="F53" s="107">
        <f>'Reference Score Calculation'!I273</f>
        <v>27</v>
      </c>
      <c r="G53" s="107">
        <f>'Reference Score Calculation'!J273</f>
        <v>26</v>
      </c>
      <c r="H53" s="182">
        <f>計分版!J296</f>
        <v>3.2999999999999998E-9</v>
      </c>
      <c r="I53" s="15">
        <f>ROUND(計分版!V296,2)</f>
        <v>0</v>
      </c>
      <c r="J53" s="15">
        <f>ROUND(計分版!W296,2)</f>
        <v>0</v>
      </c>
      <c r="K53" s="15">
        <f>ROUND(計分版!X296,2)</f>
        <v>0</v>
      </c>
      <c r="L53" s="15">
        <f>ROUND(計分版!Y296,2)</f>
        <v>0</v>
      </c>
      <c r="M53" s="15">
        <f>ROUND(計分版!Z296,2)</f>
        <v>0</v>
      </c>
      <c r="N53" s="15">
        <f>ROUND(計分版!AA296,2)</f>
        <v>0</v>
      </c>
      <c r="O53" s="15">
        <f>ROUND(計分版!AB296,2)</f>
        <v>0</v>
      </c>
      <c r="P53" s="15">
        <f>ROUND(計分版!AC296,2)</f>
        <v>0</v>
      </c>
      <c r="Q53" s="15">
        <f>ROUND(計分版!AD296,2)</f>
        <v>0</v>
      </c>
      <c r="R53" s="15">
        <f>ROUND(計分版!AE296,2)</f>
        <v>0</v>
      </c>
      <c r="S53" s="108" t="str">
        <f>'Reference Score Calculation'!AV273</f>
        <v>無</v>
      </c>
      <c r="T53" s="4" t="str">
        <f>'Reference Score Calculation'!AQ273</f>
        <v>Best results in 2 or more sittings of HKDSE</v>
      </c>
    </row>
    <row r="54" spans="2:20" s="4" customFormat="1" ht="14.4">
      <c r="B54" s="4" t="str">
        <f>'Reference Score Calculation'!B274</f>
        <v>JS6119</v>
      </c>
      <c r="C54" s="4" t="str">
        <f>'Reference Score Calculation'!E274</f>
        <v>教育學士及理學士</v>
      </c>
      <c r="D54" s="4" t="str">
        <f>'Reference Score Calculation'!F274</f>
        <v>Best 5</v>
      </c>
      <c r="E54" s="107">
        <f>'Reference Score Calculation'!H274</f>
        <v>44</v>
      </c>
      <c r="F54" s="107">
        <f>'Reference Score Calculation'!I274</f>
        <v>42</v>
      </c>
      <c r="G54" s="107">
        <f>'Reference Score Calculation'!J274</f>
        <v>40</v>
      </c>
      <c r="H54" s="182">
        <f>計分版!J297</f>
        <v>2.9499999999999999E-9</v>
      </c>
      <c r="I54" s="15">
        <f>ROUND(計分版!V297,2)</f>
        <v>0</v>
      </c>
      <c r="J54" s="15">
        <f>ROUND(計分版!W297,2)</f>
        <v>0</v>
      </c>
      <c r="K54" s="15">
        <f>ROUND(計分版!X297,2)</f>
        <v>0</v>
      </c>
      <c r="L54" s="15">
        <f>ROUND(計分版!Y297,2)</f>
        <v>0</v>
      </c>
      <c r="M54" s="15">
        <f>ROUND(計分版!Z297,2)</f>
        <v>0</v>
      </c>
      <c r="N54" s="15">
        <f>ROUND(計分版!AA297,2)</f>
        <v>0</v>
      </c>
      <c r="O54" s="15">
        <f>ROUND(計分版!AB297,2)</f>
        <v>0</v>
      </c>
      <c r="P54" s="15">
        <f>ROUND(計分版!AC297,2)</f>
        <v>0</v>
      </c>
      <c r="Q54" s="15">
        <f>ROUND(計分版!AD297,2)</f>
        <v>0</v>
      </c>
      <c r="R54" s="15">
        <f>ROUND(計分版!AE297,2)</f>
        <v>0</v>
      </c>
      <c r="S54" s="108" t="str">
        <f>'Reference Score Calculation'!AV274</f>
        <v>無</v>
      </c>
      <c r="T54" s="4" t="str">
        <f>'Reference Score Calculation'!AQ274</f>
        <v>Best results in year 2023 and 2024 Only</v>
      </c>
    </row>
    <row r="55" spans="2:20" s="4" customFormat="1" ht="14.4">
      <c r="B55" s="4" t="str">
        <f>'Reference Score Calculation'!B275</f>
        <v>JS6157</v>
      </c>
      <c r="C55" s="4" t="str">
        <f>'Reference Score Calculation'!E275</f>
        <v>理學士(言語及語言病理學)</v>
      </c>
      <c r="D55" s="4" t="str">
        <f>'Reference Score Calculation'!F275</f>
        <v>Best 5</v>
      </c>
      <c r="E55" s="107">
        <f>'Reference Score Calculation'!H275</f>
        <v>34</v>
      </c>
      <c r="F55" s="107">
        <f>'Reference Score Calculation'!I275</f>
        <v>32</v>
      </c>
      <c r="G55" s="107">
        <f>'Reference Score Calculation'!J275</f>
        <v>32</v>
      </c>
      <c r="H55" s="182">
        <f>計分版!J298</f>
        <v>3.4999999999999999E-9</v>
      </c>
      <c r="I55" s="15">
        <f>ROUND(計分版!V298,2)</f>
        <v>0</v>
      </c>
      <c r="J55" s="15">
        <f>ROUND(計分版!W298,2)</f>
        <v>0</v>
      </c>
      <c r="K55" s="15">
        <f>ROUND(計分版!X298,2)</f>
        <v>0</v>
      </c>
      <c r="L55" s="15">
        <f>ROUND(計分版!Y298,2)</f>
        <v>0</v>
      </c>
      <c r="M55" s="15">
        <f>ROUND(計分版!Z298,2)</f>
        <v>0</v>
      </c>
      <c r="N55" s="15">
        <f>ROUND(計分版!AA298,2)</f>
        <v>0</v>
      </c>
      <c r="O55" s="15">
        <f>ROUND(計分版!AB298,2)</f>
        <v>0</v>
      </c>
      <c r="P55" s="15">
        <f>ROUND(計分版!AC298,2)</f>
        <v>0</v>
      </c>
      <c r="Q55" s="15">
        <f>ROUND(計分版!AD298,2)</f>
        <v>0</v>
      </c>
      <c r="R55" s="15">
        <f>ROUND(計分版!AE298,2)</f>
        <v>0</v>
      </c>
      <c r="S55" s="108" t="str">
        <f>'Reference Score Calculation'!AV275</f>
        <v>無</v>
      </c>
      <c r="T55" s="4" t="str">
        <f>'Reference Score Calculation'!AQ275</f>
        <v>Best results in 2 or more sittings of HKDSE</v>
      </c>
    </row>
    <row r="56" spans="2:20" s="4" customFormat="1" ht="14.4">
      <c r="B56" s="4" t="str">
        <f>'Reference Score Calculation'!B276</f>
        <v>JS6303</v>
      </c>
      <c r="C56" s="4" t="str">
        <f>'Reference Score Calculation'!E276</f>
        <v>工學學士精英課程</v>
      </c>
      <c r="D56" s="4" t="str">
        <f>'Reference Score Calculation'!F276</f>
        <v>25年新科目</v>
      </c>
      <c r="E56" s="107" t="str">
        <f>'Reference Score Calculation'!H276</f>
        <v>/</v>
      </c>
      <c r="F56" s="107" t="str">
        <f>'Reference Score Calculation'!I276</f>
        <v>/</v>
      </c>
      <c r="G56" s="107" t="str">
        <f>'Reference Score Calculation'!J276</f>
        <v>/</v>
      </c>
      <c r="H56" s="182">
        <f>計分版!J299</f>
        <v>2.9000000000000003E-9</v>
      </c>
      <c r="I56" s="15">
        <f>ROUND(計分版!V299,2)</f>
        <v>0</v>
      </c>
      <c r="J56" s="15">
        <f>ROUND(計分版!W299,2)</f>
        <v>0</v>
      </c>
      <c r="K56" s="15">
        <f>ROUND(計分版!X299,2)</f>
        <v>0</v>
      </c>
      <c r="L56" s="15">
        <f>ROUND(計分版!Y299,2)</f>
        <v>0</v>
      </c>
      <c r="M56" s="15">
        <f>ROUND(計分版!Z299,2)</f>
        <v>0</v>
      </c>
      <c r="N56" s="15">
        <f>ROUND(計分版!AA299,2)</f>
        <v>0</v>
      </c>
      <c r="O56" s="15">
        <f>ROUND(計分版!AB299,2)</f>
        <v>0</v>
      </c>
      <c r="P56" s="15">
        <f>ROUND(計分版!AC299,2)</f>
        <v>0</v>
      </c>
      <c r="Q56" s="15">
        <f>ROUND(計分版!AD299,2)</f>
        <v>0</v>
      </c>
      <c r="R56" s="15">
        <f>ROUND(計分版!AE299,2)</f>
        <v>0</v>
      </c>
      <c r="S56" s="108" t="str">
        <f>'Reference Score Calculation'!AV276</f>
        <v>無</v>
      </c>
      <c r="T56" s="4">
        <f>'Reference Score Calculation'!AQ276</f>
        <v>0</v>
      </c>
    </row>
    <row r="57" spans="2:20" s="4" customFormat="1" ht="14.4">
      <c r="B57" s="4" t="str">
        <f>'Reference Score Calculation'!B277</f>
        <v>JS6315</v>
      </c>
      <c r="C57" s="4" t="str">
        <f>'Reference Score Calculation'!E277</f>
        <v>工學學士(數據與系統工程)</v>
      </c>
      <c r="D57" s="4" t="str">
        <f>'Reference Score Calculation'!F277</f>
        <v>25年新科目</v>
      </c>
      <c r="E57" s="107" t="str">
        <f>'Reference Score Calculation'!H277</f>
        <v>/</v>
      </c>
      <c r="F57" s="107" t="str">
        <f>'Reference Score Calculation'!I277</f>
        <v>/</v>
      </c>
      <c r="G57" s="107" t="str">
        <f>'Reference Score Calculation'!J277</f>
        <v>/</v>
      </c>
      <c r="H57" s="182">
        <f>計分版!J300</f>
        <v>2.9000000000000003E-9</v>
      </c>
      <c r="I57" s="15">
        <f>ROUND(計分版!V300,2)</f>
        <v>0</v>
      </c>
      <c r="J57" s="15">
        <f>ROUND(計分版!W300,2)</f>
        <v>0</v>
      </c>
      <c r="K57" s="15">
        <f>ROUND(計分版!X300,2)</f>
        <v>0</v>
      </c>
      <c r="L57" s="15">
        <f>ROUND(計分版!Y300,2)</f>
        <v>0</v>
      </c>
      <c r="M57" s="15">
        <f>ROUND(計分版!Z300,2)</f>
        <v>0</v>
      </c>
      <c r="N57" s="15">
        <f>ROUND(計分版!AA300,2)</f>
        <v>0</v>
      </c>
      <c r="O57" s="15">
        <f>ROUND(計分版!AB300,2)</f>
        <v>0</v>
      </c>
      <c r="P57" s="15">
        <f>ROUND(計分版!AC300,2)</f>
        <v>0</v>
      </c>
      <c r="Q57" s="15">
        <f>ROUND(計分版!AD300,2)</f>
        <v>0</v>
      </c>
      <c r="R57" s="15">
        <f>ROUND(計分版!AE300,2)</f>
        <v>0</v>
      </c>
      <c r="S57" s="108" t="str">
        <f>'Reference Score Calculation'!AV277</f>
        <v>無</v>
      </c>
      <c r="T57" s="4">
        <f>'Reference Score Calculation'!AQ277</f>
        <v>0</v>
      </c>
    </row>
    <row r="58" spans="2:20" s="4" customFormat="1" ht="14.4">
      <c r="B58" s="4" t="str">
        <f>'Reference Score Calculation'!B278</f>
        <v>JS6339</v>
      </c>
      <c r="C58" s="4" t="str">
        <f>'Reference Score Calculation'!E278</f>
        <v>工學學士(機械工程)</v>
      </c>
      <c r="D58" s="4" t="str">
        <f>'Reference Score Calculation'!F278</f>
        <v>25年新科目</v>
      </c>
      <c r="E58" s="107" t="str">
        <f>'Reference Score Calculation'!H278</f>
        <v>/</v>
      </c>
      <c r="F58" s="107" t="str">
        <f>'Reference Score Calculation'!I278</f>
        <v>/</v>
      </c>
      <c r="G58" s="107" t="str">
        <f>'Reference Score Calculation'!J278</f>
        <v>/</v>
      </c>
      <c r="H58" s="182">
        <f>計分版!J301</f>
        <v>2.9000000000000003E-9</v>
      </c>
      <c r="I58" s="15">
        <f>ROUND(計分版!V301,2)</f>
        <v>0</v>
      </c>
      <c r="J58" s="15">
        <f>ROUND(計分版!W301,2)</f>
        <v>0</v>
      </c>
      <c r="K58" s="15">
        <f>ROUND(計分版!X301,2)</f>
        <v>0</v>
      </c>
      <c r="L58" s="15">
        <f>ROUND(計分版!Y301,2)</f>
        <v>0</v>
      </c>
      <c r="M58" s="15">
        <f>ROUND(計分版!Z301,2)</f>
        <v>0</v>
      </c>
      <c r="N58" s="15">
        <f>ROUND(計分版!AA301,2)</f>
        <v>0</v>
      </c>
      <c r="O58" s="15">
        <f>ROUND(計分版!AB301,2)</f>
        <v>0</v>
      </c>
      <c r="P58" s="15">
        <f>ROUND(計分版!AC301,2)</f>
        <v>0</v>
      </c>
      <c r="Q58" s="15">
        <f>ROUND(計分版!AD301,2)</f>
        <v>0</v>
      </c>
      <c r="R58" s="15">
        <f>ROUND(計分版!AE301,2)</f>
        <v>0</v>
      </c>
      <c r="S58" s="108" t="str">
        <f>'Reference Score Calculation'!AV278</f>
        <v>無</v>
      </c>
      <c r="T58" s="4">
        <f>'Reference Score Calculation'!AQ278</f>
        <v>0</v>
      </c>
    </row>
    <row r="59" spans="2:20" s="4" customFormat="1" ht="14.4">
      <c r="B59" s="4" t="str">
        <f>'Reference Score Calculation'!B279</f>
        <v>JS6353</v>
      </c>
      <c r="C59" s="4" t="str">
        <f>'Reference Score Calculation'!E279</f>
        <v>工學學士(土木工程)</v>
      </c>
      <c r="D59" s="4" t="str">
        <f>'Reference Score Calculation'!F279</f>
        <v>25年新科目</v>
      </c>
      <c r="E59" s="107" t="str">
        <f>'Reference Score Calculation'!H279</f>
        <v>/</v>
      </c>
      <c r="F59" s="107" t="str">
        <f>'Reference Score Calculation'!I279</f>
        <v>/</v>
      </c>
      <c r="G59" s="107" t="str">
        <f>'Reference Score Calculation'!J279</f>
        <v>/</v>
      </c>
      <c r="H59" s="182">
        <f>計分版!J302</f>
        <v>2.9000000000000003E-9</v>
      </c>
      <c r="I59" s="15">
        <f>ROUND(計分版!V302,2)</f>
        <v>0</v>
      </c>
      <c r="J59" s="15">
        <f>ROUND(計分版!W302,2)</f>
        <v>0</v>
      </c>
      <c r="K59" s="15">
        <f>ROUND(計分版!X302,2)</f>
        <v>0</v>
      </c>
      <c r="L59" s="15">
        <f>ROUND(計分版!Y302,2)</f>
        <v>0</v>
      </c>
      <c r="M59" s="15">
        <f>ROUND(計分版!Z302,2)</f>
        <v>0</v>
      </c>
      <c r="N59" s="15">
        <f>ROUND(計分版!AA302,2)</f>
        <v>0</v>
      </c>
      <c r="O59" s="15">
        <f>ROUND(計分版!AB302,2)</f>
        <v>0</v>
      </c>
      <c r="P59" s="15">
        <f>ROUND(計分版!AC302,2)</f>
        <v>0</v>
      </c>
      <c r="Q59" s="15">
        <f>ROUND(計分版!AD302,2)</f>
        <v>0</v>
      </c>
      <c r="R59" s="15">
        <f>ROUND(計分版!AE302,2)</f>
        <v>0</v>
      </c>
      <c r="S59" s="108" t="str">
        <f>'Reference Score Calculation'!AV279</f>
        <v>無</v>
      </c>
      <c r="T59" s="4">
        <f>'Reference Score Calculation'!AQ279</f>
        <v>0</v>
      </c>
    </row>
    <row r="60" spans="2:20" s="4" customFormat="1" ht="14.4">
      <c r="B60" s="4" t="str">
        <f>'Reference Score Calculation'!B280</f>
        <v>JS6377</v>
      </c>
      <c r="C60" s="4" t="str">
        <f>'Reference Score Calculation'!E280</f>
        <v>工學學士與人工智能理學碩士聯合課程</v>
      </c>
      <c r="D60" s="4" t="str">
        <f>'Reference Score Calculation'!F280</f>
        <v>25年新科目</v>
      </c>
      <c r="E60" s="107" t="str">
        <f>'Reference Score Calculation'!H280</f>
        <v>/</v>
      </c>
      <c r="F60" s="107" t="str">
        <f>'Reference Score Calculation'!I280</f>
        <v>/</v>
      </c>
      <c r="G60" s="107" t="str">
        <f>'Reference Score Calculation'!J280</f>
        <v>/</v>
      </c>
      <c r="H60" s="182">
        <f>計分版!J303</f>
        <v>2.9000000000000003E-9</v>
      </c>
      <c r="I60" s="15">
        <f>ROUND(計分版!V303,2)</f>
        <v>0</v>
      </c>
      <c r="J60" s="15">
        <f>ROUND(計分版!W303,2)</f>
        <v>0</v>
      </c>
      <c r="K60" s="15">
        <f>ROUND(計分版!X303,2)</f>
        <v>0</v>
      </c>
      <c r="L60" s="15">
        <f>ROUND(計分版!Y303,2)</f>
        <v>0</v>
      </c>
      <c r="M60" s="15">
        <f>ROUND(計分版!Z303,2)</f>
        <v>0</v>
      </c>
      <c r="N60" s="15">
        <f>ROUND(計分版!AA303,2)</f>
        <v>0</v>
      </c>
      <c r="O60" s="15">
        <f>ROUND(計分版!AB303,2)</f>
        <v>0</v>
      </c>
      <c r="P60" s="15">
        <f>ROUND(計分版!AC303,2)</f>
        <v>0</v>
      </c>
      <c r="Q60" s="15">
        <f>ROUND(計分版!AD303,2)</f>
        <v>0</v>
      </c>
      <c r="R60" s="15">
        <f>ROUND(計分版!AE303,2)</f>
        <v>0</v>
      </c>
      <c r="S60" s="108" t="str">
        <f>'Reference Score Calculation'!AV280</f>
        <v>無</v>
      </c>
      <c r="T60" s="4">
        <f>'Reference Score Calculation'!AQ280</f>
        <v>0</v>
      </c>
    </row>
    <row r="61" spans="2:20" s="4" customFormat="1" ht="14.4">
      <c r="B61" s="4" t="str">
        <f>'Reference Score Calculation'!B281</f>
        <v>JS6925</v>
      </c>
      <c r="C61" s="4" t="str">
        <f>'Reference Score Calculation'!E281</f>
        <v>工學學士(生物醫學工程)</v>
      </c>
      <c r="D61" s="4" t="str">
        <f>'Reference Score Calculation'!F281</f>
        <v>Best 5</v>
      </c>
      <c r="E61" s="107">
        <f>'Reference Score Calculation'!H281</f>
        <v>32</v>
      </c>
      <c r="F61" s="107">
        <f>'Reference Score Calculation'!I281</f>
        <v>29</v>
      </c>
      <c r="G61" s="107">
        <f>'Reference Score Calculation'!J281</f>
        <v>28</v>
      </c>
      <c r="H61" s="182">
        <f>計分版!J304</f>
        <v>2.9000000000000003E-9</v>
      </c>
      <c r="I61" s="15">
        <f>ROUND(計分版!V304,2)</f>
        <v>0</v>
      </c>
      <c r="J61" s="15">
        <f>ROUND(計分版!W304,2)</f>
        <v>0</v>
      </c>
      <c r="K61" s="15">
        <f>ROUND(計分版!X304,2)</f>
        <v>0</v>
      </c>
      <c r="L61" s="15">
        <f>ROUND(計分版!Y304,2)</f>
        <v>0</v>
      </c>
      <c r="M61" s="15">
        <f>ROUND(計分版!Z304,2)</f>
        <v>0</v>
      </c>
      <c r="N61" s="15">
        <f>ROUND(計分版!AA304,2)</f>
        <v>0</v>
      </c>
      <c r="O61" s="15">
        <f>ROUND(計分版!AB304,2)</f>
        <v>0</v>
      </c>
      <c r="P61" s="15">
        <f>ROUND(計分版!AC304,2)</f>
        <v>0</v>
      </c>
      <c r="Q61" s="15">
        <f>ROUND(計分版!AD304,2)</f>
        <v>0</v>
      </c>
      <c r="R61" s="15">
        <f>ROUND(計分版!AE304,2)</f>
        <v>0</v>
      </c>
      <c r="S61" s="108" t="str">
        <f>'Reference Score Calculation'!AV281</f>
        <v>無</v>
      </c>
      <c r="T61" s="4" t="str">
        <f>'Reference Score Calculation'!AQ281</f>
        <v>Best results in the latest 3 sittings of HKDSE</v>
      </c>
    </row>
    <row r="62" spans="2:20" s="4" customFormat="1" ht="14.4">
      <c r="B62" s="4" t="str">
        <f>'Reference Score Calculation'!B282</f>
        <v>JS6937</v>
      </c>
      <c r="C62" s="4" t="str">
        <f>'Reference Score Calculation'!E282</f>
        <v>環球工程與商業課程</v>
      </c>
      <c r="D62" s="4" t="str">
        <f>'Reference Score Calculation'!F282</f>
        <v>Best 5</v>
      </c>
      <c r="E62" s="107">
        <f>'Reference Score Calculation'!H282</f>
        <v>34</v>
      </c>
      <c r="F62" s="107">
        <f>'Reference Score Calculation'!I282</f>
        <v>32</v>
      </c>
      <c r="G62" s="107">
        <f>'Reference Score Calculation'!J282</f>
        <v>31</v>
      </c>
      <c r="H62" s="182">
        <f>計分版!J305</f>
        <v>2.9000000000000003E-9</v>
      </c>
      <c r="I62" s="15">
        <f>ROUND(計分版!V305,2)</f>
        <v>0</v>
      </c>
      <c r="J62" s="15">
        <f>ROUND(計分版!W305,2)</f>
        <v>0</v>
      </c>
      <c r="K62" s="15">
        <f>ROUND(計分版!X305,2)</f>
        <v>0</v>
      </c>
      <c r="L62" s="15">
        <f>ROUND(計分版!Y305,2)</f>
        <v>0</v>
      </c>
      <c r="M62" s="15">
        <f>ROUND(計分版!Z305,2)</f>
        <v>0</v>
      </c>
      <c r="N62" s="15">
        <f>ROUND(計分版!AA305,2)</f>
        <v>0</v>
      </c>
      <c r="O62" s="15">
        <f>ROUND(計分版!AB305,2)</f>
        <v>0</v>
      </c>
      <c r="P62" s="15">
        <f>ROUND(計分版!AC305,2)</f>
        <v>0</v>
      </c>
      <c r="Q62" s="15">
        <f>ROUND(計分版!AD305,2)</f>
        <v>0</v>
      </c>
      <c r="R62" s="15">
        <f>ROUND(計分版!AE305,2)</f>
        <v>0</v>
      </c>
      <c r="S62" s="108" t="str">
        <f>'Reference Score Calculation'!AV282</f>
        <v>無</v>
      </c>
      <c r="T62" s="4" t="str">
        <f>'Reference Score Calculation'!AQ282</f>
        <v>Best results in year 2023 and 2024 Only</v>
      </c>
    </row>
    <row r="63" spans="2:20" s="4" customFormat="1" ht="14.4">
      <c r="B63" s="4" t="str">
        <f>'Reference Score Calculation'!B283</f>
        <v>JS6987</v>
      </c>
      <c r="C63" s="4" t="str">
        <f>'Reference Score Calculation'!E283</f>
        <v>工學學士(計算機工程/電機工程/電子工程)</v>
      </c>
      <c r="D63" s="4" t="str">
        <f>'Reference Score Calculation'!F283</f>
        <v>25年新科目</v>
      </c>
      <c r="E63" s="107" t="str">
        <f>'Reference Score Calculation'!H283</f>
        <v>/</v>
      </c>
      <c r="F63" s="107" t="str">
        <f>'Reference Score Calculation'!I283</f>
        <v>/</v>
      </c>
      <c r="G63" s="107" t="str">
        <f>'Reference Score Calculation'!J283</f>
        <v>/</v>
      </c>
      <c r="H63" s="182">
        <f>計分版!J306</f>
        <v>2.9000000000000003E-9</v>
      </c>
      <c r="I63" s="15">
        <f>ROUND(計分版!V306,2)</f>
        <v>0</v>
      </c>
      <c r="J63" s="15">
        <f>ROUND(計分版!W306,2)</f>
        <v>0</v>
      </c>
      <c r="K63" s="15">
        <f>ROUND(計分版!X306,2)</f>
        <v>0</v>
      </c>
      <c r="L63" s="15">
        <f>ROUND(計分版!Y306,2)</f>
        <v>0</v>
      </c>
      <c r="M63" s="15">
        <f>ROUND(計分版!Z306,2)</f>
        <v>0</v>
      </c>
      <c r="N63" s="15">
        <f>ROUND(計分版!AA306,2)</f>
        <v>0</v>
      </c>
      <c r="O63" s="15">
        <f>ROUND(計分版!AB306,2)</f>
        <v>0</v>
      </c>
      <c r="P63" s="15">
        <f>ROUND(計分版!AC306,2)</f>
        <v>0</v>
      </c>
      <c r="Q63" s="15">
        <f>ROUND(計分版!AD306,2)</f>
        <v>0</v>
      </c>
      <c r="R63" s="15">
        <f>ROUND(計分版!AE306,2)</f>
        <v>0</v>
      </c>
      <c r="S63" s="108" t="str">
        <f>'Reference Score Calculation'!AV283</f>
        <v>無</v>
      </c>
      <c r="T63" s="4">
        <f>'Reference Score Calculation'!AQ283</f>
        <v>0</v>
      </c>
    </row>
    <row r="64" spans="2:20" s="4" customFormat="1" ht="14.4">
      <c r="B64" s="4" t="str">
        <f>'Reference Score Calculation'!B284</f>
        <v>JS6078</v>
      </c>
      <c r="C64" s="4" t="str">
        <f>'Reference Score Calculation'!E284</f>
        <v>文學士及法學士</v>
      </c>
      <c r="D64" s="4" t="str">
        <f>'Reference Score Calculation'!F284</f>
        <v>Best 6</v>
      </c>
      <c r="E64" s="107">
        <f>'Reference Score Calculation'!H284</f>
        <v>41</v>
      </c>
      <c r="F64" s="107">
        <f>'Reference Score Calculation'!I284</f>
        <v>38</v>
      </c>
      <c r="G64" s="107">
        <f>'Reference Score Calculation'!J284</f>
        <v>38</v>
      </c>
      <c r="H64" s="182">
        <f>計分版!J307</f>
        <v>3.7E-9</v>
      </c>
      <c r="I64" s="15">
        <f>ROUND(計分版!V307,2)</f>
        <v>0</v>
      </c>
      <c r="J64" s="15">
        <f>ROUND(計分版!W307,2)</f>
        <v>0</v>
      </c>
      <c r="K64" s="15">
        <f>ROUND(計分版!X307,2)</f>
        <v>0</v>
      </c>
      <c r="L64" s="15">
        <f>ROUND(計分版!Y307,2)</f>
        <v>0</v>
      </c>
      <c r="M64" s="15">
        <f>ROUND(計分版!Z307,2)</f>
        <v>0</v>
      </c>
      <c r="N64" s="15">
        <f>ROUND(計分版!AA307,2)</f>
        <v>0</v>
      </c>
      <c r="O64" s="15">
        <f>ROUND(計分版!AB307,2)</f>
        <v>0</v>
      </c>
      <c r="P64" s="15">
        <f>ROUND(計分版!AC307,2)</f>
        <v>0</v>
      </c>
      <c r="Q64" s="15">
        <f>ROUND(計分版!AD307,2)</f>
        <v>0</v>
      </c>
      <c r="R64" s="15">
        <f>ROUND(計分版!AE307,2)</f>
        <v>0</v>
      </c>
      <c r="S64" s="108" t="str">
        <f>'Reference Score Calculation'!AV284</f>
        <v>無</v>
      </c>
      <c r="T64" s="4" t="str">
        <f>'Reference Score Calculation'!AQ284</f>
        <v>Best results in year 2023 and 2024 Only</v>
      </c>
    </row>
    <row r="65" spans="2:20" s="4" customFormat="1" ht="14.4">
      <c r="B65" s="4" t="str">
        <f>'Reference Score Calculation'!B285</f>
        <v>JS6406</v>
      </c>
      <c r="C65" s="4" t="str">
        <f>'Reference Score Calculation'!E285</f>
        <v>法學士</v>
      </c>
      <c r="D65" s="4" t="str">
        <f>'Reference Score Calculation'!F285</f>
        <v>Best 6</v>
      </c>
      <c r="E65" s="107">
        <f>'Reference Score Calculation'!H285</f>
        <v>36</v>
      </c>
      <c r="F65" s="107">
        <f>'Reference Score Calculation'!I285</f>
        <v>35</v>
      </c>
      <c r="G65" s="107">
        <f>'Reference Score Calculation'!J285</f>
        <v>33</v>
      </c>
      <c r="H65" s="182">
        <f>計分版!J308</f>
        <v>3.7E-9</v>
      </c>
      <c r="I65" s="15">
        <f>ROUND(計分版!V308,2)</f>
        <v>0</v>
      </c>
      <c r="J65" s="15">
        <f>ROUND(計分版!W308,2)</f>
        <v>0</v>
      </c>
      <c r="K65" s="15">
        <f>ROUND(計分版!X308,2)</f>
        <v>0</v>
      </c>
      <c r="L65" s="15">
        <f>ROUND(計分版!Y308,2)</f>
        <v>0</v>
      </c>
      <c r="M65" s="15">
        <f>ROUND(計分版!Z308,2)</f>
        <v>0</v>
      </c>
      <c r="N65" s="15">
        <f>ROUND(計分版!AA308,2)</f>
        <v>0</v>
      </c>
      <c r="O65" s="15">
        <f>ROUND(計分版!AB308,2)</f>
        <v>0</v>
      </c>
      <c r="P65" s="15">
        <f>ROUND(計分版!AC308,2)</f>
        <v>0</v>
      </c>
      <c r="Q65" s="15">
        <f>ROUND(計分版!AD308,2)</f>
        <v>0</v>
      </c>
      <c r="R65" s="15">
        <f>ROUND(計分版!AE308,2)</f>
        <v>0</v>
      </c>
      <c r="S65" s="108" t="str">
        <f>'Reference Score Calculation'!AV285</f>
        <v>無</v>
      </c>
      <c r="T65" s="4" t="str">
        <f>'Reference Score Calculation'!AQ285</f>
        <v>Best results in year 2023 and 2024 Only</v>
      </c>
    </row>
    <row r="66" spans="2:20" s="4" customFormat="1" ht="14.4">
      <c r="B66" s="4" t="str">
        <f>'Reference Score Calculation'!B286</f>
        <v>JS6418</v>
      </c>
      <c r="C66" s="4" t="str">
        <f>'Reference Score Calculation'!E286</f>
        <v>護理學學士菁英領袖培育專修組別</v>
      </c>
      <c r="D66" s="4" t="str">
        <f>'Reference Score Calculation'!F286</f>
        <v>Best 5</v>
      </c>
      <c r="E66" s="107">
        <f>'Reference Score Calculation'!H286</f>
        <v>36</v>
      </c>
      <c r="F66" s="107">
        <f>'Reference Score Calculation'!I286</f>
        <v>35</v>
      </c>
      <c r="G66" s="107">
        <f>'Reference Score Calculation'!J286</f>
        <v>34</v>
      </c>
      <c r="H66" s="182">
        <f>計分版!J309</f>
        <v>3.65E-9</v>
      </c>
      <c r="I66" s="15">
        <f>ROUND(計分版!V309,2)</f>
        <v>0</v>
      </c>
      <c r="J66" s="15">
        <f>ROUND(計分版!W309,2)</f>
        <v>0</v>
      </c>
      <c r="K66" s="15">
        <f>ROUND(計分版!X309,2)</f>
        <v>0</v>
      </c>
      <c r="L66" s="15">
        <f>ROUND(計分版!Y309,2)</f>
        <v>0</v>
      </c>
      <c r="M66" s="15">
        <f>ROUND(計分版!Z309,2)</f>
        <v>0</v>
      </c>
      <c r="N66" s="15">
        <f>ROUND(計分版!AA309,2)</f>
        <v>0</v>
      </c>
      <c r="O66" s="15">
        <f>ROUND(計分版!AB309,2)</f>
        <v>0</v>
      </c>
      <c r="P66" s="15">
        <f>ROUND(計分版!AC309,2)</f>
        <v>0</v>
      </c>
      <c r="Q66" s="15">
        <f>ROUND(計分版!AD309,2)</f>
        <v>0</v>
      </c>
      <c r="R66" s="15">
        <f>ROUND(計分版!AE309,2)</f>
        <v>0</v>
      </c>
      <c r="S66" s="108" t="str">
        <f>'Reference Score Calculation'!AV286</f>
        <v>無</v>
      </c>
      <c r="T66" s="4" t="str">
        <f>'Reference Score Calculation'!AQ286</f>
        <v>Best results in year 2022, 2023 and 2024</v>
      </c>
    </row>
    <row r="67" spans="2:20" s="4" customFormat="1" ht="14.4">
      <c r="B67" s="4" t="str">
        <f>'Reference Score Calculation'!B287</f>
        <v>JS6456</v>
      </c>
      <c r="C67" s="4" t="str">
        <f>'Reference Score Calculation'!E287</f>
        <v>內外全科醫學士</v>
      </c>
      <c r="D67" s="4" t="str">
        <f>'Reference Score Calculation'!F287</f>
        <v>Best 6</v>
      </c>
      <c r="E67" s="107">
        <f>'Reference Score Calculation'!H287</f>
        <v>45</v>
      </c>
      <c r="F67" s="107">
        <f>'Reference Score Calculation'!I287</f>
        <v>44</v>
      </c>
      <c r="G67" s="107">
        <f>'Reference Score Calculation'!J287</f>
        <v>42</v>
      </c>
      <c r="H67" s="182">
        <f>計分版!J310</f>
        <v>3.8000000000000001E-9</v>
      </c>
      <c r="I67" s="15">
        <f>ROUND(計分版!V310,2)</f>
        <v>0</v>
      </c>
      <c r="J67" s="15">
        <f>ROUND(計分版!W310,2)</f>
        <v>0</v>
      </c>
      <c r="K67" s="15">
        <f>ROUND(計分版!X310,2)</f>
        <v>0</v>
      </c>
      <c r="L67" s="15">
        <f>ROUND(計分版!Y310,2)</f>
        <v>0</v>
      </c>
      <c r="M67" s="15">
        <f>ROUND(計分版!Z310,2)</f>
        <v>0</v>
      </c>
      <c r="N67" s="15">
        <f>ROUND(計分版!AA310,2)</f>
        <v>0</v>
      </c>
      <c r="O67" s="15">
        <f>ROUND(計分版!AB310,2)</f>
        <v>0</v>
      </c>
      <c r="P67" s="15">
        <f>ROUND(計分版!AC310,2)</f>
        <v>0</v>
      </c>
      <c r="Q67" s="15">
        <f>ROUND(計分版!AD310,2)</f>
        <v>0</v>
      </c>
      <c r="R67" s="15">
        <f>ROUND(計分版!AE310,2)</f>
        <v>0</v>
      </c>
      <c r="S67" s="108" t="str">
        <f>'Reference Score Calculation'!AV287</f>
        <v>10%(重考科目)</v>
      </c>
      <c r="T67" s="4" t="str">
        <f>'Reference Score Calculation'!AQ287</f>
        <v>Latest results in year 2022, 2023 and 2024</v>
      </c>
    </row>
    <row r="68" spans="2:20" s="4" customFormat="1" ht="14.4">
      <c r="B68" s="4" t="str">
        <f>'Reference Score Calculation'!B288</f>
        <v>JS6468</v>
      </c>
      <c r="C68" s="4" t="str">
        <f>'Reference Score Calculation'!E288</f>
        <v>護理學學士</v>
      </c>
      <c r="D68" s="4" t="str">
        <f>'Reference Score Calculation'!F288</f>
        <v>Best 5</v>
      </c>
      <c r="E68" s="107">
        <f>'Reference Score Calculation'!H288</f>
        <v>27</v>
      </c>
      <c r="F68" s="107">
        <f>'Reference Score Calculation'!I288</f>
        <v>26</v>
      </c>
      <c r="G68" s="107">
        <f>'Reference Score Calculation'!J288</f>
        <v>25</v>
      </c>
      <c r="H68" s="182">
        <f>計分版!J311</f>
        <v>3.65E-9</v>
      </c>
      <c r="I68" s="15">
        <f>ROUND(計分版!V311,2)</f>
        <v>0</v>
      </c>
      <c r="J68" s="15">
        <f>ROUND(計分版!W311,2)</f>
        <v>0</v>
      </c>
      <c r="K68" s="15">
        <f>ROUND(計分版!X311,2)</f>
        <v>0</v>
      </c>
      <c r="L68" s="15">
        <f>ROUND(計分版!Y311,2)</f>
        <v>0</v>
      </c>
      <c r="M68" s="15">
        <f>ROUND(計分版!Z311,2)</f>
        <v>0</v>
      </c>
      <c r="N68" s="15">
        <f>ROUND(計分版!AA311,2)</f>
        <v>0</v>
      </c>
      <c r="O68" s="15">
        <f>ROUND(計分版!AB311,2)</f>
        <v>0</v>
      </c>
      <c r="P68" s="15">
        <f>ROUND(計分版!AC311,2)</f>
        <v>0</v>
      </c>
      <c r="Q68" s="15">
        <f>ROUND(計分版!AD311,2)</f>
        <v>0</v>
      </c>
      <c r="R68" s="15">
        <f>ROUND(計分版!AE311,2)</f>
        <v>0</v>
      </c>
      <c r="S68" s="108" t="str">
        <f>'Reference Score Calculation'!AV288</f>
        <v>無</v>
      </c>
      <c r="T68" s="4" t="str">
        <f>'Reference Score Calculation'!AQ288</f>
        <v>Best results in year 2022, 2023 and 2024</v>
      </c>
    </row>
    <row r="69" spans="2:20" s="4" customFormat="1" ht="14.4">
      <c r="B69" s="4" t="str">
        <f>'Reference Score Calculation'!B289</f>
        <v>JS6482</v>
      </c>
      <c r="C69" s="4" t="str">
        <f>'Reference Score Calculation'!E289</f>
        <v>中醫全科學士</v>
      </c>
      <c r="D69" s="4" t="str">
        <f>'Reference Score Calculation'!F289</f>
        <v>Best 5</v>
      </c>
      <c r="E69" s="107">
        <f>'Reference Score Calculation'!H289</f>
        <v>33</v>
      </c>
      <c r="F69" s="107">
        <f>'Reference Score Calculation'!I289</f>
        <v>32</v>
      </c>
      <c r="G69" s="107">
        <f>'Reference Score Calculation'!J289</f>
        <v>31</v>
      </c>
      <c r="H69" s="182">
        <f>計分版!J312</f>
        <v>3.65E-9</v>
      </c>
      <c r="I69" s="15">
        <f>ROUND(計分版!V312,2)</f>
        <v>0</v>
      </c>
      <c r="J69" s="15">
        <f>ROUND(計分版!W312,2)</f>
        <v>0</v>
      </c>
      <c r="K69" s="15">
        <f>ROUND(計分版!X312,2)</f>
        <v>0</v>
      </c>
      <c r="L69" s="15">
        <f>ROUND(計分版!Y312,2)</f>
        <v>0</v>
      </c>
      <c r="M69" s="15">
        <f>ROUND(計分版!Z312,2)</f>
        <v>0</v>
      </c>
      <c r="N69" s="15">
        <f>ROUND(計分版!AA312,2)</f>
        <v>0</v>
      </c>
      <c r="O69" s="15">
        <f>ROUND(計分版!AB312,2)</f>
        <v>0</v>
      </c>
      <c r="P69" s="15">
        <f>ROUND(計分版!AC312,2)</f>
        <v>0</v>
      </c>
      <c r="Q69" s="15">
        <f>ROUND(計分版!AD312,2)</f>
        <v>0</v>
      </c>
      <c r="R69" s="15">
        <f>ROUND(計分版!AE312,2)</f>
        <v>0</v>
      </c>
      <c r="S69" s="108" t="str">
        <f>'Reference Score Calculation'!AV289</f>
        <v>無</v>
      </c>
      <c r="T69" s="4" t="str">
        <f>'Reference Score Calculation'!AQ289</f>
        <v>Best results in year 2022, 2023 and 2024</v>
      </c>
    </row>
    <row r="70" spans="2:20" s="4" customFormat="1" ht="14.4">
      <c r="B70" s="4" t="str">
        <f>'Reference Score Calculation'!B290</f>
        <v>JS6494</v>
      </c>
      <c r="C70" s="4" t="str">
        <f>'Reference Score Calculation'!E290</f>
        <v>藥劑學學士</v>
      </c>
      <c r="D70" s="4" t="str">
        <f>'Reference Score Calculation'!F290</f>
        <v>Best 6</v>
      </c>
      <c r="E70" s="107">
        <f>'Reference Score Calculation'!H290</f>
        <v>39</v>
      </c>
      <c r="F70" s="107">
        <f>'Reference Score Calculation'!I290</f>
        <v>39</v>
      </c>
      <c r="G70" s="107">
        <f>'Reference Score Calculation'!J290</f>
        <v>37</v>
      </c>
      <c r="H70" s="182">
        <f>計分版!J313</f>
        <v>3.8000000000000001E-9</v>
      </c>
      <c r="I70" s="15">
        <f>ROUND(計分版!V313,2)</f>
        <v>0</v>
      </c>
      <c r="J70" s="15">
        <f>ROUND(計分版!W313,2)</f>
        <v>0</v>
      </c>
      <c r="K70" s="15">
        <f>ROUND(計分版!X313,2)</f>
        <v>0</v>
      </c>
      <c r="L70" s="15">
        <f>ROUND(計分版!Y313,2)</f>
        <v>0</v>
      </c>
      <c r="M70" s="15">
        <f>ROUND(計分版!Z313,2)</f>
        <v>0</v>
      </c>
      <c r="N70" s="15">
        <f>ROUND(計分版!AA313,2)</f>
        <v>0</v>
      </c>
      <c r="O70" s="15">
        <f>ROUND(計分版!AB313,2)</f>
        <v>0</v>
      </c>
      <c r="P70" s="15">
        <f>ROUND(計分版!AC313,2)</f>
        <v>0</v>
      </c>
      <c r="Q70" s="15">
        <f>ROUND(計分版!AD313,2)</f>
        <v>0</v>
      </c>
      <c r="R70" s="15">
        <f>ROUND(計分版!AE313,2)</f>
        <v>0</v>
      </c>
      <c r="S70" s="108" t="str">
        <f>'Reference Score Calculation'!AV290</f>
        <v>10%(重考科目)</v>
      </c>
      <c r="T70" s="4" t="str">
        <f>'Reference Score Calculation'!AQ290</f>
        <v>Latest results in year 2022, 2023 and 2024</v>
      </c>
    </row>
    <row r="71" spans="2:20" s="4" customFormat="1" ht="14.4">
      <c r="B71" s="4" t="str">
        <f>'Reference Score Calculation'!B291</f>
        <v>JS6949</v>
      </c>
      <c r="C71" s="4" t="str">
        <f>'Reference Score Calculation'!E291</f>
        <v>生物醫學學士</v>
      </c>
      <c r="D71" s="4" t="str">
        <f>'Reference Score Calculation'!F291</f>
        <v>Best 6</v>
      </c>
      <c r="E71" s="107">
        <f>'Reference Score Calculation'!H291</f>
        <v>41</v>
      </c>
      <c r="F71" s="107">
        <f>'Reference Score Calculation'!I291</f>
        <v>39</v>
      </c>
      <c r="G71" s="107">
        <f>'Reference Score Calculation'!J291</f>
        <v>39</v>
      </c>
      <c r="H71" s="182">
        <f>計分版!J314</f>
        <v>3.8000000000000001E-9</v>
      </c>
      <c r="I71" s="15">
        <f>ROUND(計分版!V314,2)</f>
        <v>0</v>
      </c>
      <c r="J71" s="15">
        <f>ROUND(計分版!W314,2)</f>
        <v>0</v>
      </c>
      <c r="K71" s="15">
        <f>ROUND(計分版!X314,2)</f>
        <v>0</v>
      </c>
      <c r="L71" s="15">
        <f>ROUND(計分版!Y314,2)</f>
        <v>0</v>
      </c>
      <c r="M71" s="15">
        <f>ROUND(計分版!Z314,2)</f>
        <v>0</v>
      </c>
      <c r="N71" s="15">
        <f>ROUND(計分版!AA314,2)</f>
        <v>0</v>
      </c>
      <c r="O71" s="15">
        <f>ROUND(計分版!AB314,2)</f>
        <v>0</v>
      </c>
      <c r="P71" s="15">
        <f>ROUND(計分版!AC314,2)</f>
        <v>0</v>
      </c>
      <c r="Q71" s="15">
        <f>ROUND(計分版!AD314,2)</f>
        <v>0</v>
      </c>
      <c r="R71" s="15">
        <f>ROUND(計分版!AE314,2)</f>
        <v>0</v>
      </c>
      <c r="S71" s="108" t="str">
        <f>'Reference Score Calculation'!AV291</f>
        <v>10%(重考科目)</v>
      </c>
      <c r="T71" s="4" t="str">
        <f>'Reference Score Calculation'!AQ291</f>
        <v>Latest results in year 2022, 2023 and 2024</v>
      </c>
    </row>
    <row r="72" spans="2:20" s="4" customFormat="1" ht="14.4">
      <c r="B72" s="4" t="str">
        <f>'Reference Score Calculation'!B292</f>
        <v>JS6688</v>
      </c>
      <c r="C72" s="4" t="str">
        <f>'Reference Score Calculation'!E292</f>
        <v>科研專才啟導課程(雙學位課程)</v>
      </c>
      <c r="D72" s="4" t="str">
        <f>'Reference Score Calculation'!F292</f>
        <v>Best 5</v>
      </c>
      <c r="E72" s="107">
        <f>'Reference Score Calculation'!H292</f>
        <v>38</v>
      </c>
      <c r="F72" s="107">
        <f>'Reference Score Calculation'!I292</f>
        <v>35</v>
      </c>
      <c r="G72" s="107">
        <f>'Reference Score Calculation'!J292</f>
        <v>33</v>
      </c>
      <c r="H72" s="182">
        <f>計分版!J315</f>
        <v>2.7499999999999998E-9</v>
      </c>
      <c r="I72" s="15">
        <f>ROUND(計分版!V315,2)</f>
        <v>0</v>
      </c>
      <c r="J72" s="15">
        <f>ROUND(計分版!W315,2)</f>
        <v>0</v>
      </c>
      <c r="K72" s="15">
        <f>ROUND(計分版!X315,2)</f>
        <v>0</v>
      </c>
      <c r="L72" s="15">
        <f>ROUND(計分版!Y315,2)</f>
        <v>0</v>
      </c>
      <c r="M72" s="15">
        <f>ROUND(計分版!Z315,2)</f>
        <v>0</v>
      </c>
      <c r="N72" s="15">
        <f>ROUND(計分版!AA315,2)</f>
        <v>0</v>
      </c>
      <c r="O72" s="15">
        <f>ROUND(計分版!AB315,2)</f>
        <v>0</v>
      </c>
      <c r="P72" s="15">
        <f>ROUND(計分版!AC315,2)</f>
        <v>0</v>
      </c>
      <c r="Q72" s="15">
        <f>ROUND(計分版!AD315,2)</f>
        <v>0</v>
      </c>
      <c r="R72" s="15">
        <f>ROUND(計分版!AE315,2)</f>
        <v>0</v>
      </c>
      <c r="S72" s="108" t="str">
        <f>'Reference Score Calculation'!AV292</f>
        <v>無</v>
      </c>
      <c r="T72" s="4" t="str">
        <f>'Reference Score Calculation'!AQ292</f>
        <v>Best results in year 2023 and 2024 Only</v>
      </c>
    </row>
    <row r="73" spans="2:20" s="4" customFormat="1" ht="14.4">
      <c r="B73" s="4" t="str">
        <f>'Reference Score Calculation'!B293</f>
        <v>JS6729</v>
      </c>
      <c r="C73" s="4" t="str">
        <f>'Reference Score Calculation'!E293</f>
        <v>理學士(精算學)</v>
      </c>
      <c r="D73" s="4" t="str">
        <f>'Reference Score Calculation'!F293</f>
        <v>Best 5</v>
      </c>
      <c r="E73" s="107">
        <f>'Reference Score Calculation'!H293</f>
        <v>34</v>
      </c>
      <c r="F73" s="107">
        <f>'Reference Score Calculation'!I293</f>
        <v>33</v>
      </c>
      <c r="G73" s="107">
        <f>'Reference Score Calculation'!J293</f>
        <v>31</v>
      </c>
      <c r="H73" s="182">
        <f>計分版!J316</f>
        <v>2.9000000000000003E-9</v>
      </c>
      <c r="I73" s="15">
        <f>ROUND(計分版!V316,2)</f>
        <v>0</v>
      </c>
      <c r="J73" s="15">
        <f>ROUND(計分版!W316,2)</f>
        <v>0</v>
      </c>
      <c r="K73" s="15">
        <f>ROUND(計分版!X316,2)</f>
        <v>0</v>
      </c>
      <c r="L73" s="15">
        <f>ROUND(計分版!Y316,2)</f>
        <v>0</v>
      </c>
      <c r="M73" s="15">
        <f>ROUND(計分版!Z316,2)</f>
        <v>0</v>
      </c>
      <c r="N73" s="15">
        <f>ROUND(計分版!AA316,2)</f>
        <v>0</v>
      </c>
      <c r="O73" s="15">
        <f>ROUND(計分版!AB316,2)</f>
        <v>0</v>
      </c>
      <c r="P73" s="15">
        <f>ROUND(計分版!AC316,2)</f>
        <v>0</v>
      </c>
      <c r="Q73" s="15">
        <f>ROUND(計分版!AD316,2)</f>
        <v>0</v>
      </c>
      <c r="R73" s="15">
        <f>ROUND(計分版!AE316,2)</f>
        <v>0</v>
      </c>
      <c r="S73" s="108" t="str">
        <f>'Reference Score Calculation'!AV293</f>
        <v>無</v>
      </c>
      <c r="T73" s="4" t="str">
        <f>'Reference Score Calculation'!AQ293</f>
        <v>Best results in year 2023 and 2024 Only</v>
      </c>
    </row>
    <row r="74" spans="2:20" s="4" customFormat="1" ht="14.4">
      <c r="B74" s="4" t="str">
        <f>'Reference Score Calculation'!B294</f>
        <v>JS6858</v>
      </c>
      <c r="C74" s="4" t="str">
        <f>'Reference Score Calculation'!E294</f>
        <v>理學士及法學士(雙學位課程)</v>
      </c>
      <c r="D74" s="4" t="str">
        <f>'Reference Score Calculation'!F294</f>
        <v>Best 6</v>
      </c>
      <c r="E74" s="107">
        <f>'Reference Score Calculation'!H294</f>
        <v>57</v>
      </c>
      <c r="F74" s="107">
        <f>'Reference Score Calculation'!I294</f>
        <v>54</v>
      </c>
      <c r="G74" s="107">
        <f>'Reference Score Calculation'!J294</f>
        <v>53</v>
      </c>
      <c r="H74" s="182">
        <f>計分版!J317</f>
        <v>5.0000000000000001E-9</v>
      </c>
      <c r="I74" s="15">
        <f>ROUND(計分版!V317,2)</f>
        <v>0</v>
      </c>
      <c r="J74" s="15">
        <f>ROUND(計分版!W317,2)</f>
        <v>0</v>
      </c>
      <c r="K74" s="15">
        <f>ROUND(計分版!X317,2)</f>
        <v>0</v>
      </c>
      <c r="L74" s="15">
        <f>ROUND(計分版!Y317,2)</f>
        <v>0</v>
      </c>
      <c r="M74" s="15">
        <f>ROUND(計分版!Z317,2)</f>
        <v>0</v>
      </c>
      <c r="N74" s="15">
        <f>ROUND(計分版!AA317,2)</f>
        <v>0</v>
      </c>
      <c r="O74" s="15">
        <f>ROUND(計分版!AB317,2)</f>
        <v>0</v>
      </c>
      <c r="P74" s="15">
        <f>ROUND(計分版!AC317,2)</f>
        <v>0</v>
      </c>
      <c r="Q74" s="15">
        <f>ROUND(計分版!AD317,2)</f>
        <v>0</v>
      </c>
      <c r="R74" s="15">
        <f>ROUND(計分版!AE317,2)</f>
        <v>0</v>
      </c>
      <c r="S74" s="108" t="str">
        <f>'Reference Score Calculation'!AV294</f>
        <v>無</v>
      </c>
      <c r="T74" s="4" t="str">
        <f>'Reference Score Calculation'!AQ294</f>
        <v>Best results in year 2023 and 2024 Only</v>
      </c>
    </row>
    <row r="75" spans="2:20" s="4" customFormat="1" ht="14.4">
      <c r="B75" s="4" t="str">
        <f>'Reference Score Calculation'!B295</f>
        <v>JS6901</v>
      </c>
      <c r="C75" s="4" t="str">
        <f>'Reference Score Calculation'!E295</f>
        <v>理學士</v>
      </c>
      <c r="D75" s="4" t="str">
        <f>'Reference Score Calculation'!F295</f>
        <v>Best 5</v>
      </c>
      <c r="E75" s="107">
        <f>'Reference Score Calculation'!H295</f>
        <v>37</v>
      </c>
      <c r="F75" s="107">
        <f>'Reference Score Calculation'!I295</f>
        <v>34</v>
      </c>
      <c r="G75" s="107">
        <f>'Reference Score Calculation'!J295</f>
        <v>33</v>
      </c>
      <c r="H75" s="182">
        <f>計分版!J318</f>
        <v>2.9499999999999999E-9</v>
      </c>
      <c r="I75" s="15">
        <f>ROUND(計分版!V318,2)</f>
        <v>0</v>
      </c>
      <c r="J75" s="15">
        <f>ROUND(計分版!W318,2)</f>
        <v>0</v>
      </c>
      <c r="K75" s="15">
        <f>ROUND(計分版!X318,2)</f>
        <v>0</v>
      </c>
      <c r="L75" s="15">
        <f>ROUND(計分版!Y318,2)</f>
        <v>0</v>
      </c>
      <c r="M75" s="15">
        <f>ROUND(計分版!Z318,2)</f>
        <v>0</v>
      </c>
      <c r="N75" s="15">
        <f>ROUND(計分版!AA318,2)</f>
        <v>0</v>
      </c>
      <c r="O75" s="15">
        <f>ROUND(計分版!AB318,2)</f>
        <v>0</v>
      </c>
      <c r="P75" s="15">
        <f>ROUND(計分版!AC318,2)</f>
        <v>0</v>
      </c>
      <c r="Q75" s="15">
        <f>ROUND(計分版!AD318,2)</f>
        <v>0</v>
      </c>
      <c r="R75" s="15">
        <f>ROUND(計分版!AE318,2)</f>
        <v>0</v>
      </c>
      <c r="S75" s="108" t="str">
        <f>'Reference Score Calculation'!AV295</f>
        <v>無</v>
      </c>
      <c r="T75" s="4" t="str">
        <f>'Reference Score Calculation'!AQ295</f>
        <v>Best results in year 2023 and 2024 Only</v>
      </c>
    </row>
    <row r="76" spans="2:20" s="4" customFormat="1" ht="14.4">
      <c r="B76" s="4" t="str">
        <f>'Reference Score Calculation'!B296</f>
        <v>JS6705</v>
      </c>
      <c r="C76" s="4" t="str">
        <f>'Reference Score Calculation'!E296</f>
        <v>心理學學士</v>
      </c>
      <c r="D76" s="4" t="str">
        <f>'Reference Score Calculation'!F296</f>
        <v>Best 5</v>
      </c>
      <c r="E76" s="107">
        <f>'Reference Score Calculation'!H296</f>
        <v>32</v>
      </c>
      <c r="F76" s="107">
        <f>'Reference Score Calculation'!I296</f>
        <v>29</v>
      </c>
      <c r="G76" s="107">
        <f>'Reference Score Calculation'!J296</f>
        <v>28</v>
      </c>
      <c r="H76" s="182">
        <f>計分版!J319</f>
        <v>3.4999999999999999E-9</v>
      </c>
      <c r="I76" s="15">
        <f>ROUND(計分版!V319,2)</f>
        <v>0</v>
      </c>
      <c r="J76" s="15">
        <f>ROUND(計分版!W319,2)</f>
        <v>0</v>
      </c>
      <c r="K76" s="15">
        <f>ROUND(計分版!X319,2)</f>
        <v>0</v>
      </c>
      <c r="L76" s="15">
        <f>ROUND(計分版!Y319,2)</f>
        <v>0</v>
      </c>
      <c r="M76" s="15">
        <f>ROUND(計分版!Z319,2)</f>
        <v>0</v>
      </c>
      <c r="N76" s="15">
        <f>ROUND(計分版!AA319,2)</f>
        <v>0</v>
      </c>
      <c r="O76" s="15">
        <f>ROUND(計分版!AB319,2)</f>
        <v>0</v>
      </c>
      <c r="P76" s="15">
        <f>ROUND(計分版!AC319,2)</f>
        <v>0</v>
      </c>
      <c r="Q76" s="15">
        <f>ROUND(計分版!AD319,2)</f>
        <v>0</v>
      </c>
      <c r="R76" s="15">
        <f>ROUND(計分版!AE319,2)</f>
        <v>0</v>
      </c>
      <c r="S76" s="108" t="str">
        <f>'Reference Score Calculation'!AV296</f>
        <v>無</v>
      </c>
      <c r="T76" s="4" t="str">
        <f>'Reference Score Calculation'!AQ296</f>
        <v>Best results in year 2023 and 2024 Only</v>
      </c>
    </row>
    <row r="77" spans="2:20" s="4" customFormat="1" ht="14.4">
      <c r="B77" s="4" t="str">
        <f>'Reference Score Calculation'!B297</f>
        <v>JS6717</v>
      </c>
      <c r="C77" s="4" t="str">
        <f>'Reference Score Calculation'!E297</f>
        <v>社會科學學士</v>
      </c>
      <c r="D77" s="4" t="str">
        <f>'Reference Score Calculation'!F297</f>
        <v>Best 5</v>
      </c>
      <c r="E77" s="107">
        <f>'Reference Score Calculation'!H297</f>
        <v>27</v>
      </c>
      <c r="F77" s="107">
        <f>'Reference Score Calculation'!I297</f>
        <v>26</v>
      </c>
      <c r="G77" s="107">
        <f>'Reference Score Calculation'!J297</f>
        <v>25</v>
      </c>
      <c r="H77" s="182">
        <f>計分版!J320</f>
        <v>3.4999999999999999E-9</v>
      </c>
      <c r="I77" s="15">
        <f>ROUND(計分版!V320,2)</f>
        <v>0</v>
      </c>
      <c r="J77" s="15">
        <f>ROUND(計分版!W320,2)</f>
        <v>0</v>
      </c>
      <c r="K77" s="15">
        <f>ROUND(計分版!X320,2)</f>
        <v>0</v>
      </c>
      <c r="L77" s="15">
        <f>ROUND(計分版!Y320,2)</f>
        <v>0</v>
      </c>
      <c r="M77" s="15">
        <f>ROUND(計分版!Z320,2)</f>
        <v>0</v>
      </c>
      <c r="N77" s="15">
        <f>ROUND(計分版!AA320,2)</f>
        <v>0</v>
      </c>
      <c r="O77" s="15">
        <f>ROUND(計分版!AB320,2)</f>
        <v>0</v>
      </c>
      <c r="P77" s="15">
        <f>ROUND(計分版!AC320,2)</f>
        <v>0</v>
      </c>
      <c r="Q77" s="15">
        <f>ROUND(計分版!AD320,2)</f>
        <v>0</v>
      </c>
      <c r="R77" s="15">
        <f>ROUND(計分版!AE320,2)</f>
        <v>0</v>
      </c>
      <c r="S77" s="108" t="str">
        <f>'Reference Score Calculation'!AV297</f>
        <v>無</v>
      </c>
      <c r="T77" s="4" t="str">
        <f>'Reference Score Calculation'!AQ297</f>
        <v>Best results in year 2023 and 2024 Only</v>
      </c>
    </row>
    <row r="78" spans="2:20" s="4" customFormat="1" ht="14.4">
      <c r="B78" s="4" t="str">
        <f>'Reference Score Calculation'!B298</f>
        <v>JS6731</v>
      </c>
      <c r="C78" s="4" t="str">
        <f>'Reference Score Calculation'!E298</f>
        <v>社會工作學學士</v>
      </c>
      <c r="D78" s="4" t="str">
        <f>'Reference Score Calculation'!F298</f>
        <v>Best 5</v>
      </c>
      <c r="E78" s="107">
        <f>'Reference Score Calculation'!H298</f>
        <v>29</v>
      </c>
      <c r="F78" s="107">
        <f>'Reference Score Calculation'!I298</f>
        <v>27</v>
      </c>
      <c r="G78" s="107">
        <f>'Reference Score Calculation'!J298</f>
        <v>26</v>
      </c>
      <c r="H78" s="182">
        <f>計分版!J321</f>
        <v>3.4999999999999999E-9</v>
      </c>
      <c r="I78" s="15">
        <f>ROUND(計分版!V321,2)</f>
        <v>0</v>
      </c>
      <c r="J78" s="15">
        <f>ROUND(計分版!W321,2)</f>
        <v>0</v>
      </c>
      <c r="K78" s="15">
        <f>ROUND(計分版!X321,2)</f>
        <v>0</v>
      </c>
      <c r="L78" s="15">
        <f>ROUND(計分版!Y321,2)</f>
        <v>0</v>
      </c>
      <c r="M78" s="15">
        <f>ROUND(計分版!Z321,2)</f>
        <v>0</v>
      </c>
      <c r="N78" s="15">
        <f>ROUND(計分版!AA321,2)</f>
        <v>0</v>
      </c>
      <c r="O78" s="15">
        <f>ROUND(計分版!AB321,2)</f>
        <v>0</v>
      </c>
      <c r="P78" s="15">
        <f>ROUND(計分版!AC321,2)</f>
        <v>0</v>
      </c>
      <c r="Q78" s="15">
        <f>ROUND(計分版!AD321,2)</f>
        <v>0</v>
      </c>
      <c r="R78" s="15">
        <f>ROUND(計分版!AE321,2)</f>
        <v>0</v>
      </c>
      <c r="S78" s="108" t="str">
        <f>'Reference Score Calculation'!AV298</f>
        <v>無</v>
      </c>
      <c r="T78" s="4" t="str">
        <f>'Reference Score Calculation'!AQ298</f>
        <v>Best results in year 2023 and 2024 Only</v>
      </c>
    </row>
    <row r="79" spans="2:20" s="4" customFormat="1" ht="14.4">
      <c r="B79" s="4" t="str">
        <f>'Reference Score Calculation'!B299</f>
        <v>JS6810</v>
      </c>
      <c r="C79" s="4" t="str">
        <f>'Reference Score Calculation'!E299</f>
        <v>社會科學學士(政治學與法學)及法學士(雙學位課程)</v>
      </c>
      <c r="D79" s="4" t="str">
        <f>'Reference Score Calculation'!F299</f>
        <v>Best 6</v>
      </c>
      <c r="E79" s="107">
        <f>'Reference Score Calculation'!H299</f>
        <v>39</v>
      </c>
      <c r="F79" s="107">
        <f>'Reference Score Calculation'!I299</f>
        <v>38</v>
      </c>
      <c r="G79" s="107">
        <f>'Reference Score Calculation'!J299</f>
        <v>36</v>
      </c>
      <c r="H79" s="182">
        <f>計分版!J322</f>
        <v>3.8000000000000001E-9</v>
      </c>
      <c r="I79" s="15">
        <f>ROUND(計分版!V322,2)</f>
        <v>0</v>
      </c>
      <c r="J79" s="15">
        <f>ROUND(計分版!W322,2)</f>
        <v>0</v>
      </c>
      <c r="K79" s="15">
        <f>ROUND(計分版!X322,2)</f>
        <v>0</v>
      </c>
      <c r="L79" s="15">
        <f>ROUND(計分版!Y322,2)</f>
        <v>0</v>
      </c>
      <c r="M79" s="15">
        <f>ROUND(計分版!Z322,2)</f>
        <v>0</v>
      </c>
      <c r="N79" s="15">
        <f>ROUND(計分版!AA322,2)</f>
        <v>0</v>
      </c>
      <c r="O79" s="15">
        <f>ROUND(計分版!AB322,2)</f>
        <v>0</v>
      </c>
      <c r="P79" s="15">
        <f>ROUND(計分版!AC322,2)</f>
        <v>0</v>
      </c>
      <c r="Q79" s="15">
        <f>ROUND(計分版!AD322,2)</f>
        <v>0</v>
      </c>
      <c r="R79" s="15">
        <f>ROUND(計分版!AE322,2)</f>
        <v>0</v>
      </c>
      <c r="S79" s="108" t="str">
        <f>'Reference Score Calculation'!AV299</f>
        <v>無</v>
      </c>
      <c r="T79" s="4" t="str">
        <f>'Reference Score Calculation'!AQ299</f>
        <v>Best results in year 2023 and 2024 Only</v>
      </c>
    </row>
    <row r="80" spans="2:20" s="4" customFormat="1" ht="14.4">
      <c r="B80" s="4" t="str">
        <f>'Reference Score Calculation'!B300</f>
        <v>JS6822</v>
      </c>
      <c r="C80" s="4" t="str">
        <f>'Reference Score Calculation'!E300</f>
        <v>新聞學學士</v>
      </c>
      <c r="D80" s="4" t="str">
        <f>'Reference Score Calculation'!F300</f>
        <v>Best 5</v>
      </c>
      <c r="E80" s="107">
        <f>'Reference Score Calculation'!H300</f>
        <v>29</v>
      </c>
      <c r="F80" s="107">
        <f>'Reference Score Calculation'!I300</f>
        <v>26</v>
      </c>
      <c r="G80" s="107">
        <f>'Reference Score Calculation'!J300</f>
        <v>26</v>
      </c>
      <c r="H80" s="182">
        <f>計分版!J323</f>
        <v>3.4999999999999999E-9</v>
      </c>
      <c r="I80" s="15">
        <f>ROUND(計分版!V323,2)</f>
        <v>0</v>
      </c>
      <c r="J80" s="15">
        <f>ROUND(計分版!W323,2)</f>
        <v>0</v>
      </c>
      <c r="K80" s="15">
        <f>ROUND(計分版!X323,2)</f>
        <v>0</v>
      </c>
      <c r="L80" s="15">
        <f>ROUND(計分版!Y323,2)</f>
        <v>0</v>
      </c>
      <c r="M80" s="15">
        <f>ROUND(計分版!Z323,2)</f>
        <v>0</v>
      </c>
      <c r="N80" s="15">
        <f>ROUND(計分版!AA323,2)</f>
        <v>0</v>
      </c>
      <c r="O80" s="15">
        <f>ROUND(計分版!AB323,2)</f>
        <v>0</v>
      </c>
      <c r="P80" s="15">
        <f>ROUND(計分版!AC323,2)</f>
        <v>0</v>
      </c>
      <c r="Q80" s="15">
        <f>ROUND(計分版!AD323,2)</f>
        <v>0</v>
      </c>
      <c r="R80" s="15">
        <f>ROUND(計分版!AE323,2)</f>
        <v>0</v>
      </c>
      <c r="S80" s="108" t="str">
        <f>'Reference Score Calculation'!AV300</f>
        <v>無</v>
      </c>
      <c r="T80" s="4" t="str">
        <f>'Reference Score Calculation'!AQ300</f>
        <v>Best results in year 2023 and 2024 Only</v>
      </c>
    </row>
    <row r="81" spans="2:20" s="4" customFormat="1" ht="14.4">
      <c r="B81" s="4" t="str">
        <f>'Reference Score Calculation'!B301</f>
        <v>JS6779</v>
      </c>
      <c r="C81" s="4" t="str">
        <f>'Reference Score Calculation'!E301</f>
        <v>統計決策科學</v>
      </c>
      <c r="D81" s="4" t="str">
        <f>'Reference Score Calculation'!F301</f>
        <v>25年新科目</v>
      </c>
      <c r="E81" s="107" t="str">
        <f>'Reference Score Calculation'!H301</f>
        <v>/</v>
      </c>
      <c r="F81" s="107" t="str">
        <f>'Reference Score Calculation'!I301</f>
        <v>/</v>
      </c>
      <c r="G81" s="107" t="str">
        <f>'Reference Score Calculation'!J301</f>
        <v>/</v>
      </c>
      <c r="H81" s="182">
        <f>計分版!J324</f>
        <v>3.4500000000000003E-9</v>
      </c>
      <c r="I81" s="15">
        <f>ROUND(計分版!V324,2)</f>
        <v>0</v>
      </c>
      <c r="J81" s="15">
        <f>ROUND(計分版!W324,2)</f>
        <v>0</v>
      </c>
      <c r="K81" s="15">
        <f>ROUND(計分版!X324,2)</f>
        <v>0</v>
      </c>
      <c r="L81" s="15">
        <f>ROUND(計分版!Y324,2)</f>
        <v>0</v>
      </c>
      <c r="M81" s="15">
        <f>ROUND(計分版!Z324,2)</f>
        <v>0</v>
      </c>
      <c r="N81" s="15">
        <f>ROUND(計分版!AA324,2)</f>
        <v>0</v>
      </c>
      <c r="O81" s="15">
        <f>ROUND(計分版!AB324,2)</f>
        <v>0</v>
      </c>
      <c r="P81" s="15">
        <f>ROUND(計分版!AC324,2)</f>
        <v>0</v>
      </c>
      <c r="Q81" s="15">
        <f>ROUND(計分版!AD324,2)</f>
        <v>0</v>
      </c>
      <c r="R81" s="15">
        <f>ROUND(計分版!AE324,2)</f>
        <v>0</v>
      </c>
      <c r="S81" s="108" t="str">
        <f>'Reference Score Calculation'!AV301</f>
        <v>無</v>
      </c>
      <c r="T81" s="4">
        <f>'Reference Score Calculation'!AQ301</f>
        <v>0</v>
      </c>
    </row>
    <row r="82" spans="2:20" s="4" customFormat="1" ht="14.4">
      <c r="B82" s="4" t="str">
        <f>'Reference Score Calculation'!B302</f>
        <v>JS6999</v>
      </c>
      <c r="C82" s="4" t="str">
        <f>'Reference Score Calculation'!E302</f>
        <v>計算與數據科學</v>
      </c>
      <c r="D82" s="4" t="str">
        <f>'Reference Score Calculation'!F302</f>
        <v>25年新科目</v>
      </c>
      <c r="E82" s="107" t="str">
        <f>'Reference Score Calculation'!H302</f>
        <v>/</v>
      </c>
      <c r="F82" s="107" t="str">
        <f>'Reference Score Calculation'!I302</f>
        <v>/</v>
      </c>
      <c r="G82" s="107" t="str">
        <f>'Reference Score Calculation'!J302</f>
        <v>/</v>
      </c>
      <c r="H82" s="182">
        <f>計分版!J325</f>
        <v>3.2500000000000002E-9</v>
      </c>
      <c r="I82" s="15">
        <f>ROUND(計分版!V325,2)</f>
        <v>0</v>
      </c>
      <c r="J82" s="15">
        <f>ROUND(計分版!W325,2)</f>
        <v>0</v>
      </c>
      <c r="K82" s="15">
        <f>ROUND(計分版!X325,2)</f>
        <v>0</v>
      </c>
      <c r="L82" s="15">
        <f>ROUND(計分版!Y325,2)</f>
        <v>0</v>
      </c>
      <c r="M82" s="15">
        <f>ROUND(計分版!Z325,2)</f>
        <v>0</v>
      </c>
      <c r="N82" s="15">
        <f>ROUND(計分版!AA325,2)</f>
        <v>0</v>
      </c>
      <c r="O82" s="15">
        <f>ROUND(計分版!AB325,2)</f>
        <v>0</v>
      </c>
      <c r="P82" s="15">
        <f>ROUND(計分版!AC325,2)</f>
        <v>0</v>
      </c>
      <c r="Q82" s="15">
        <f>ROUND(計分版!AD325,2)</f>
        <v>0</v>
      </c>
      <c r="R82" s="15">
        <f>ROUND(計分版!AE325,2)</f>
        <v>0</v>
      </c>
      <c r="S82" s="108" t="str">
        <f>'Reference Score Calculation'!AV302</f>
        <v>無</v>
      </c>
      <c r="T82" s="4">
        <f>'Reference Score Calculation'!AQ302</f>
        <v>0</v>
      </c>
    </row>
    <row r="83" spans="2:20" s="4" customFormat="1" ht="14.4">
      <c r="B83" s="4" t="str">
        <f>'Reference Score Calculation'!B303</f>
        <v>JS6224</v>
      </c>
      <c r="C83" s="4" t="str">
        <f>'Reference Score Calculation'!E303</f>
        <v>文理學士(應用人工智能)</v>
      </c>
      <c r="D83" s="4" t="str">
        <f>'Reference Score Calculation'!F303</f>
        <v>Best 5</v>
      </c>
      <c r="E83" s="107">
        <f>'Reference Score Calculation'!H303</f>
        <v>57</v>
      </c>
      <c r="F83" s="107">
        <f>'Reference Score Calculation'!I303</f>
        <v>55</v>
      </c>
      <c r="G83" s="107">
        <f>'Reference Score Calculation'!J303</f>
        <v>52</v>
      </c>
      <c r="H83" s="182">
        <f>計分版!J326</f>
        <v>3.7E-9</v>
      </c>
      <c r="I83" s="15">
        <f>ROUND(計分版!V326,2)</f>
        <v>0</v>
      </c>
      <c r="J83" s="15">
        <f>ROUND(計分版!W326,2)</f>
        <v>0</v>
      </c>
      <c r="K83" s="15">
        <f>ROUND(計分版!X326,2)</f>
        <v>0</v>
      </c>
      <c r="L83" s="15">
        <f>ROUND(計分版!Y326,2)</f>
        <v>0</v>
      </c>
      <c r="M83" s="15">
        <f>ROUND(計分版!Z326,2)</f>
        <v>0</v>
      </c>
      <c r="N83" s="15">
        <f>ROUND(計分版!AA326,2)</f>
        <v>0</v>
      </c>
      <c r="O83" s="15">
        <f>ROUND(計分版!AB326,2)</f>
        <v>0</v>
      </c>
      <c r="P83" s="15">
        <f>ROUND(計分版!AC326,2)</f>
        <v>0</v>
      </c>
      <c r="Q83" s="15">
        <f>ROUND(計分版!AD326,2)</f>
        <v>0</v>
      </c>
      <c r="R83" s="15">
        <f>ROUND(計分版!AE326,2)</f>
        <v>0</v>
      </c>
      <c r="S83" s="108" t="str">
        <f>'Reference Score Calculation'!AV303</f>
        <v>無</v>
      </c>
      <c r="T83" s="4" t="str">
        <f>'Reference Score Calculation'!AQ303</f>
        <v>Best results in year 2023 and 2024 Only</v>
      </c>
    </row>
    <row r="84" spans="2:20" s="4" customFormat="1" ht="14.4">
      <c r="B84" s="4" t="str">
        <f>'Reference Score Calculation'!B304</f>
        <v>JS6236</v>
      </c>
      <c r="C84" s="4" t="str">
        <f>'Reference Score Calculation'!E304</f>
        <v>文理學士(設計＋)</v>
      </c>
      <c r="D84" s="4" t="str">
        <f>'Reference Score Calculation'!F304</f>
        <v>Best 5</v>
      </c>
      <c r="E84" s="107" t="str">
        <f>'Reference Score Calculation'!H304</f>
        <v>/</v>
      </c>
      <c r="F84" s="107" t="str">
        <f>'Reference Score Calculation'!I304</f>
        <v>/</v>
      </c>
      <c r="G84" s="107" t="str">
        <f>'Reference Score Calculation'!J304</f>
        <v>/</v>
      </c>
      <c r="H84" s="182">
        <f>計分版!J327</f>
        <v>3.4999999999999999E-9</v>
      </c>
      <c r="I84" s="15">
        <f>ROUND(計分版!V327,2)</f>
        <v>0</v>
      </c>
      <c r="J84" s="15">
        <f>ROUND(計分版!W327,2)</f>
        <v>0</v>
      </c>
      <c r="K84" s="15">
        <f>ROUND(計分版!X327,2)</f>
        <v>0</v>
      </c>
      <c r="L84" s="15">
        <f>ROUND(計分版!Y327,2)</f>
        <v>0</v>
      </c>
      <c r="M84" s="15">
        <f>ROUND(計分版!Z327,2)</f>
        <v>0</v>
      </c>
      <c r="N84" s="15">
        <f>ROUND(計分版!AA327,2)</f>
        <v>0</v>
      </c>
      <c r="O84" s="15">
        <f>ROUND(計分版!AB327,2)</f>
        <v>0</v>
      </c>
      <c r="P84" s="15">
        <f>ROUND(計分版!AC327,2)</f>
        <v>0</v>
      </c>
      <c r="Q84" s="15">
        <f>ROUND(計分版!AD327,2)</f>
        <v>0</v>
      </c>
      <c r="R84" s="15">
        <f>ROUND(計分版!AE327,2)</f>
        <v>0</v>
      </c>
      <c r="S84" s="108" t="str">
        <f>'Reference Score Calculation'!AV304</f>
        <v>無</v>
      </c>
      <c r="T84" s="4" t="str">
        <f>'Reference Score Calculation'!AQ304</f>
        <v>Best results in 2 or more sittings of HKDSE</v>
      </c>
    </row>
    <row r="85" spans="2:20" s="4" customFormat="1" ht="14.4">
      <c r="B85" s="4" t="str">
        <f>'Reference Score Calculation'!B305</f>
        <v>JS6248</v>
      </c>
      <c r="C85" s="4" t="str">
        <f>'Reference Score Calculation'!E305</f>
        <v>文理學士(金融科技)</v>
      </c>
      <c r="D85" s="4" t="str">
        <f>'Reference Score Calculation'!F305</f>
        <v>Best 5</v>
      </c>
      <c r="E85" s="107">
        <f>'Reference Score Calculation'!H305</f>
        <v>32</v>
      </c>
      <c r="F85" s="107">
        <f>'Reference Score Calculation'!I305</f>
        <v>31</v>
      </c>
      <c r="G85" s="107">
        <f>'Reference Score Calculation'!J305</f>
        <v>29</v>
      </c>
      <c r="H85" s="182">
        <f>計分版!J328</f>
        <v>2.9000000000000003E-9</v>
      </c>
      <c r="I85" s="15">
        <f>ROUND(計分版!V328,2)</f>
        <v>0</v>
      </c>
      <c r="J85" s="15">
        <f>ROUND(計分版!W328,2)</f>
        <v>0</v>
      </c>
      <c r="K85" s="15">
        <f>ROUND(計分版!X328,2)</f>
        <v>0</v>
      </c>
      <c r="L85" s="15">
        <f>ROUND(計分版!Y328,2)</f>
        <v>0</v>
      </c>
      <c r="M85" s="15">
        <f>ROUND(計分版!Z328,2)</f>
        <v>0</v>
      </c>
      <c r="N85" s="15">
        <f>ROUND(計分版!AA328,2)</f>
        <v>0</v>
      </c>
      <c r="O85" s="15">
        <f>ROUND(計分版!AB328,2)</f>
        <v>0</v>
      </c>
      <c r="P85" s="15">
        <f>ROUND(計分版!AC328,2)</f>
        <v>0</v>
      </c>
      <c r="Q85" s="15">
        <f>ROUND(計分版!AD328,2)</f>
        <v>0</v>
      </c>
      <c r="R85" s="15">
        <f>ROUND(計分版!AE328,2)</f>
        <v>0</v>
      </c>
      <c r="S85" s="108" t="str">
        <f>'Reference Score Calculation'!AV305</f>
        <v>無</v>
      </c>
      <c r="T85" s="4" t="str">
        <f>'Reference Score Calculation'!AQ305</f>
        <v>Best results in year 2023 and 2024 Only</v>
      </c>
    </row>
    <row r="86" spans="2:20" s="4" customFormat="1" ht="14.4">
      <c r="B86" s="4" t="str">
        <f>'Reference Score Calculation'!B306</f>
        <v>JS6250</v>
      </c>
      <c r="C86" s="4" t="str">
        <f>'Reference Score Calculation'!E306</f>
        <v>文理學士(環球衞生及發展)</v>
      </c>
      <c r="D86" s="4" t="str">
        <f>'Reference Score Calculation'!F306</f>
        <v>Best 5</v>
      </c>
      <c r="E86" s="107">
        <f>'Reference Score Calculation'!H306</f>
        <v>34</v>
      </c>
      <c r="F86" s="107">
        <f>'Reference Score Calculation'!I306</f>
        <v>28</v>
      </c>
      <c r="G86" s="107">
        <f>'Reference Score Calculation'!J306</f>
        <v>26</v>
      </c>
      <c r="H86" s="182">
        <f>計分版!J329</f>
        <v>3.4999999999999999E-9</v>
      </c>
      <c r="I86" s="15">
        <f>ROUND(計分版!V329,2)</f>
        <v>0</v>
      </c>
      <c r="J86" s="15">
        <f>ROUND(計分版!W329,2)</f>
        <v>0</v>
      </c>
      <c r="K86" s="15">
        <f>ROUND(計分版!X329,2)</f>
        <v>0</v>
      </c>
      <c r="L86" s="15">
        <f>ROUND(計分版!Y329,2)</f>
        <v>0</v>
      </c>
      <c r="M86" s="15">
        <f>ROUND(計分版!Z329,2)</f>
        <v>0</v>
      </c>
      <c r="N86" s="15">
        <f>ROUND(計分版!AA329,2)</f>
        <v>0</v>
      </c>
      <c r="O86" s="15">
        <f>ROUND(計分版!AB329,2)</f>
        <v>0</v>
      </c>
      <c r="P86" s="15">
        <f>ROUND(計分版!AC329,2)</f>
        <v>0</v>
      </c>
      <c r="Q86" s="15">
        <f>ROUND(計分版!AD329,2)</f>
        <v>0</v>
      </c>
      <c r="R86" s="15">
        <f>ROUND(計分版!AE329,2)</f>
        <v>0</v>
      </c>
      <c r="S86" s="108" t="str">
        <f>'Reference Score Calculation'!AV306</f>
        <v>無</v>
      </c>
      <c r="T86" s="4" t="str">
        <f>'Reference Score Calculation'!AQ306</f>
        <v>Best results in the latest 2 sittings of HKDSE, one of which should include the year of admission (i.e. 2024)</v>
      </c>
    </row>
    <row r="87" spans="2:20" s="4" customFormat="1" ht="14.4">
      <c r="B87" s="4" t="str">
        <f>'Reference Score Calculation'!B307</f>
        <v>JS6602</v>
      </c>
      <c r="C87" s="4" t="str">
        <f>'Reference Score Calculation'!E307</f>
        <v>理學士(創新與科技)</v>
      </c>
      <c r="D87" s="4" t="str">
        <f>'Reference Score Calculation'!F307</f>
        <v>25年新科目</v>
      </c>
      <c r="E87" s="107" t="str">
        <f>'Reference Score Calculation'!H307</f>
        <v>/</v>
      </c>
      <c r="F87" s="107" t="str">
        <f>'Reference Score Calculation'!I307</f>
        <v>/</v>
      </c>
      <c r="G87" s="107" t="str">
        <f>'Reference Score Calculation'!J307</f>
        <v>/</v>
      </c>
      <c r="H87" s="182">
        <f>計分版!J330</f>
        <v>5.6000000000000005E-9</v>
      </c>
      <c r="I87" s="15">
        <f>ROUND(計分版!V330,2)</f>
        <v>0</v>
      </c>
      <c r="J87" s="15">
        <f>ROUND(計分版!W330,2)</f>
        <v>0</v>
      </c>
      <c r="K87" s="15">
        <f>ROUND(計分版!X330,2)</f>
        <v>0</v>
      </c>
      <c r="L87" s="15">
        <f>ROUND(計分版!Y330,2)</f>
        <v>0</v>
      </c>
      <c r="M87" s="15">
        <f>ROUND(計分版!Z330,2)</f>
        <v>0</v>
      </c>
      <c r="N87" s="15">
        <f>ROUND(計分版!AA330,2)</f>
        <v>0</v>
      </c>
      <c r="O87" s="15">
        <f>ROUND(計分版!AB330,2)</f>
        <v>0</v>
      </c>
      <c r="P87" s="15">
        <f>ROUND(計分版!AC330,2)</f>
        <v>0</v>
      </c>
      <c r="Q87" s="15">
        <f>ROUND(計分版!AD330,2)</f>
        <v>0</v>
      </c>
      <c r="R87" s="15">
        <f>ROUND(計分版!AE330,2)</f>
        <v>0</v>
      </c>
      <c r="S87" s="108">
        <f>'Reference Score Calculation'!AV307</f>
        <v>0</v>
      </c>
      <c r="T87" s="4">
        <f>'Reference Score Calculation'!AQ307</f>
        <v>0</v>
      </c>
    </row>
    <row r="88" spans="2:20" s="4" customFormat="1">
      <c r="F88" s="15"/>
      <c r="G88" s="15"/>
      <c r="H88" s="15"/>
      <c r="I88" s="15"/>
      <c r="J88" s="15"/>
      <c r="K88" s="15"/>
      <c r="L88" s="15"/>
      <c r="M88" s="15"/>
      <c r="N88" s="15"/>
      <c r="O88" s="15"/>
      <c r="S88" s="15"/>
    </row>
    <row r="89" spans="2:20" s="4" customFormat="1">
      <c r="F89" s="15"/>
      <c r="G89" s="15"/>
      <c r="H89" s="15"/>
      <c r="I89" s="15"/>
      <c r="J89" s="15"/>
      <c r="K89" s="15"/>
      <c r="L89" s="15"/>
      <c r="M89" s="15"/>
      <c r="N89" s="15"/>
      <c r="O89" s="15"/>
      <c r="S89" s="15"/>
    </row>
    <row r="90" spans="2:20" s="4" customFormat="1">
      <c r="B90" s="4" t="s">
        <v>1888</v>
      </c>
      <c r="F90" s="15"/>
      <c r="G90" s="15"/>
      <c r="H90" s="15"/>
      <c r="I90" s="15"/>
      <c r="J90" s="15"/>
      <c r="K90" s="15"/>
      <c r="L90" s="15"/>
      <c r="M90" s="15"/>
      <c r="N90" s="15"/>
      <c r="O90" s="15"/>
      <c r="S90" s="15"/>
    </row>
    <row r="91" spans="2:20" s="4" customFormat="1" ht="15.6">
      <c r="B91" s="247" t="s">
        <v>2456</v>
      </c>
      <c r="F91" s="15"/>
      <c r="G91" s="15"/>
      <c r="H91" s="15"/>
      <c r="I91" s="15"/>
      <c r="J91" s="15"/>
      <c r="K91" s="15"/>
      <c r="L91" s="15"/>
      <c r="M91" s="15"/>
      <c r="N91" s="15"/>
      <c r="O91" s="15"/>
      <c r="S91" s="15"/>
    </row>
    <row r="92" spans="2:20" s="4" customFormat="1" ht="15.6">
      <c r="B92" s="247" t="s">
        <v>184</v>
      </c>
      <c r="F92" s="15"/>
      <c r="G92" s="15"/>
      <c r="H92" s="15"/>
      <c r="I92" s="15"/>
      <c r="J92" s="15"/>
      <c r="K92" s="15"/>
      <c r="L92" s="15"/>
      <c r="M92" s="15"/>
      <c r="N92" s="15"/>
      <c r="O92" s="15"/>
      <c r="S92" s="15"/>
    </row>
    <row r="93" spans="2:20" s="4" customFormat="1">
      <c r="F93" s="15"/>
      <c r="G93" s="15"/>
      <c r="H93" s="15"/>
      <c r="I93" s="15"/>
      <c r="J93" s="15"/>
      <c r="K93" s="15"/>
      <c r="L93" s="15"/>
      <c r="M93" s="15"/>
      <c r="N93" s="15"/>
      <c r="O93" s="15"/>
      <c r="S93" s="15"/>
    </row>
    <row r="94" spans="2:20" s="4" customFormat="1">
      <c r="F94" s="15"/>
      <c r="G94" s="15"/>
      <c r="H94" s="15"/>
      <c r="I94" s="15"/>
      <c r="J94" s="15"/>
      <c r="K94" s="15"/>
      <c r="L94" s="15"/>
      <c r="M94" s="15"/>
      <c r="N94" s="15"/>
      <c r="O94" s="15"/>
      <c r="S94" s="15"/>
    </row>
    <row r="95" spans="2:20" s="4" customFormat="1">
      <c r="F95" s="15"/>
      <c r="G95" s="15"/>
      <c r="H95" s="15"/>
      <c r="I95" s="15"/>
      <c r="J95" s="15"/>
      <c r="K95" s="15"/>
      <c r="L95" s="15"/>
      <c r="M95" s="15"/>
      <c r="N95" s="15"/>
      <c r="O95" s="15"/>
      <c r="S95" s="15"/>
    </row>
    <row r="96" spans="2:20" s="4" customFormat="1">
      <c r="F96" s="15"/>
      <c r="G96" s="15"/>
      <c r="H96" s="15"/>
      <c r="I96" s="15"/>
      <c r="J96" s="15"/>
      <c r="K96" s="15"/>
      <c r="L96" s="15"/>
      <c r="M96" s="15"/>
      <c r="N96" s="15"/>
      <c r="O96" s="15"/>
      <c r="S96" s="15"/>
    </row>
    <row r="97" spans="6:19" s="4" customFormat="1">
      <c r="F97" s="15"/>
      <c r="G97" s="15"/>
      <c r="H97" s="15"/>
      <c r="I97" s="15"/>
      <c r="J97" s="15"/>
      <c r="K97" s="15"/>
      <c r="L97" s="15"/>
      <c r="M97" s="15"/>
      <c r="N97" s="15"/>
      <c r="O97" s="15"/>
      <c r="S97" s="15"/>
    </row>
    <row r="98" spans="6:19" s="4" customFormat="1">
      <c r="F98" s="15"/>
      <c r="G98" s="15"/>
      <c r="H98" s="15"/>
      <c r="I98" s="15"/>
      <c r="J98" s="15"/>
      <c r="K98" s="15"/>
      <c r="L98" s="15"/>
      <c r="M98" s="15"/>
      <c r="N98" s="15"/>
      <c r="O98" s="15"/>
      <c r="S98" s="15"/>
    </row>
    <row r="99" spans="6:19" s="4" customFormat="1">
      <c r="F99" s="15"/>
      <c r="G99" s="15"/>
      <c r="H99" s="15"/>
      <c r="I99" s="15"/>
      <c r="J99" s="15"/>
      <c r="K99" s="15"/>
      <c r="L99" s="15"/>
      <c r="M99" s="15"/>
      <c r="N99" s="15"/>
      <c r="O99" s="15"/>
      <c r="S99" s="15"/>
    </row>
    <row r="100" spans="6:19" s="4" customFormat="1">
      <c r="F100" s="15"/>
      <c r="G100" s="15"/>
      <c r="H100" s="15"/>
      <c r="I100" s="15"/>
      <c r="J100" s="15"/>
      <c r="K100" s="15"/>
      <c r="L100" s="15"/>
      <c r="M100" s="15"/>
      <c r="N100" s="15"/>
      <c r="O100" s="15"/>
      <c r="S100" s="15"/>
    </row>
    <row r="101" spans="6:19" s="4" customFormat="1">
      <c r="F101" s="15"/>
      <c r="G101" s="15"/>
      <c r="H101" s="15"/>
      <c r="I101" s="15"/>
      <c r="J101" s="15"/>
      <c r="K101" s="15"/>
      <c r="L101" s="15"/>
      <c r="M101" s="15"/>
      <c r="N101" s="15"/>
      <c r="O101" s="15"/>
      <c r="S101" s="15"/>
    </row>
    <row r="102" spans="6:19" s="4" customFormat="1">
      <c r="F102" s="15"/>
      <c r="G102" s="15"/>
      <c r="H102" s="15"/>
      <c r="I102" s="15"/>
      <c r="J102" s="15"/>
      <c r="K102" s="15"/>
      <c r="L102" s="15"/>
      <c r="M102" s="15"/>
      <c r="N102" s="15"/>
      <c r="O102" s="15"/>
      <c r="S102" s="15"/>
    </row>
    <row r="103" spans="6:19" s="4" customFormat="1">
      <c r="F103" s="15"/>
      <c r="G103" s="15"/>
      <c r="H103" s="15"/>
      <c r="I103" s="15"/>
      <c r="J103" s="15"/>
      <c r="K103" s="15"/>
      <c r="L103" s="15"/>
      <c r="M103" s="15"/>
      <c r="N103" s="15"/>
      <c r="O103" s="15"/>
      <c r="S103" s="15"/>
    </row>
    <row r="104" spans="6:19" s="4" customFormat="1">
      <c r="F104" s="15"/>
      <c r="G104" s="15"/>
      <c r="H104" s="15"/>
      <c r="I104" s="15"/>
      <c r="J104" s="15"/>
      <c r="K104" s="15"/>
      <c r="L104" s="15"/>
      <c r="M104" s="15"/>
      <c r="N104" s="15"/>
      <c r="O104" s="15"/>
      <c r="S104" s="15"/>
    </row>
    <row r="105" spans="6:19" s="4" customFormat="1">
      <c r="F105" s="15"/>
      <c r="G105" s="15"/>
      <c r="H105" s="15"/>
      <c r="I105" s="15"/>
      <c r="J105" s="15"/>
      <c r="K105" s="15"/>
      <c r="L105" s="15"/>
      <c r="M105" s="15"/>
      <c r="N105" s="15"/>
      <c r="O105" s="15"/>
      <c r="S105" s="15"/>
    </row>
    <row r="106" spans="6:19"/>
    <row r="107" spans="6:19"/>
    <row r="108" spans="6:19"/>
    <row r="109" spans="6:19"/>
    <row r="110" spans="6:19"/>
    <row r="111" spans="6:19"/>
    <row r="112" spans="6:19"/>
    <row r="113"/>
    <row r="114"/>
    <row r="115"/>
  </sheetData>
  <sheetProtection sheet="1" objects="1" scenarios="1"/>
  <mergeCells count="18">
    <mergeCell ref="I23:J23"/>
    <mergeCell ref="I29:J29"/>
    <mergeCell ref="I28:J28"/>
    <mergeCell ref="I27:J27"/>
    <mergeCell ref="I26:J26"/>
    <mergeCell ref="I25:J25"/>
    <mergeCell ref="I24:J24"/>
    <mergeCell ref="I12:J12"/>
    <mergeCell ref="I22:J22"/>
    <mergeCell ref="I21:J21"/>
    <mergeCell ref="I20:J20"/>
    <mergeCell ref="I19:J19"/>
    <mergeCell ref="I18:J18"/>
    <mergeCell ref="I17:J17"/>
    <mergeCell ref="I16:J16"/>
    <mergeCell ref="I15:J15"/>
    <mergeCell ref="I14:J14"/>
    <mergeCell ref="I13:J13"/>
  </mergeCells>
  <phoneticPr fontId="3" type="noConversion"/>
  <conditionalFormatting sqref="B13:I29 K13:K29">
    <cfRule type="expression" dxfId="6" priority="17">
      <formula>MOD(ROW(),2)=0</formula>
    </cfRule>
  </conditionalFormatting>
  <conditionalFormatting sqref="B33:AB87">
    <cfRule type="expression" dxfId="5" priority="8">
      <formula>MOD(ROW(),2)=0</formula>
    </cfRule>
  </conditionalFormatting>
  <hyperlinks>
    <hyperlink ref="B91" r:id="rId1" xr:uid="{00000000-0004-0000-1300-000000000000}"/>
    <hyperlink ref="B92" r:id="rId2" xr:uid="{00000000-0004-0000-1300-000001000000}"/>
  </hyperlinks>
  <pageMargins left="0.7" right="0.7" top="0.75" bottom="0.75" header="0.3" footer="0.3"/>
  <drawing r:id="rId3"/>
  <legacyDrawing r:id="rId4"/>
  <mc:AlternateContent xmlns:mc="http://schemas.openxmlformats.org/markup-compatibility/2006">
    <mc:Choice Requires="x14">
      <controls>
        <mc:AlternateContent xmlns:mc="http://schemas.openxmlformats.org/markup-compatibility/2006">
          <mc:Choice Requires="x14">
            <control shapeId="108548" r:id="rId5" name=" 4">
              <controlPr defaultSize="0" autoFill="0" autoLine="0" autoPict="0">
                <anchor moveWithCells="1">
                  <from>
                    <xdr:col>4</xdr:col>
                    <xdr:colOff>22860</xdr:colOff>
                    <xdr:row>2</xdr:row>
                    <xdr:rowOff>137160</xdr:rowOff>
                  </from>
                  <to>
                    <xdr:col>4</xdr:col>
                    <xdr:colOff>213360</xdr:colOff>
                    <xdr:row>4</xdr:row>
                    <xdr:rowOff>38100</xdr:rowOff>
                  </to>
                </anchor>
              </controlPr>
            </control>
          </mc:Choice>
        </mc:AlternateContent>
        <mc:AlternateContent xmlns:mc="http://schemas.openxmlformats.org/markup-compatibility/2006">
          <mc:Choice Requires="x14">
            <control shapeId="108549" r:id="rId6" name=" 5">
              <controlPr defaultSize="0" autoFill="0" autoLine="0" autoPict="0">
                <anchor moveWithCells="1">
                  <from>
                    <xdr:col>4</xdr:col>
                    <xdr:colOff>22860</xdr:colOff>
                    <xdr:row>3</xdr:row>
                    <xdr:rowOff>137160</xdr:rowOff>
                  </from>
                  <to>
                    <xdr:col>4</xdr:col>
                    <xdr:colOff>213360</xdr:colOff>
                    <xdr:row>5</xdr:row>
                    <xdr:rowOff>38100</xdr:rowOff>
                  </to>
                </anchor>
              </controlPr>
            </control>
          </mc:Choice>
        </mc:AlternateContent>
        <mc:AlternateContent xmlns:mc="http://schemas.openxmlformats.org/markup-compatibility/2006">
          <mc:Choice Requires="x14">
            <control shapeId="108550" r:id="rId7" name=" 6">
              <controlPr defaultSize="0" autoFill="0" autoLine="0" autoPict="0">
                <anchor moveWithCells="1">
                  <from>
                    <xdr:col>4</xdr:col>
                    <xdr:colOff>22860</xdr:colOff>
                    <xdr:row>4</xdr:row>
                    <xdr:rowOff>137160</xdr:rowOff>
                  </from>
                  <to>
                    <xdr:col>4</xdr:col>
                    <xdr:colOff>213360</xdr:colOff>
                    <xdr:row>6</xdr:row>
                    <xdr:rowOff>38100</xdr:rowOff>
                  </to>
                </anchor>
              </controlPr>
            </control>
          </mc:Choice>
        </mc:AlternateContent>
        <mc:AlternateContent xmlns:mc="http://schemas.openxmlformats.org/markup-compatibility/2006">
          <mc:Choice Requires="x14">
            <control shapeId="108551" r:id="rId8" name=" 7">
              <controlPr defaultSize="0" autoFill="0" autoLine="0" autoPict="0">
                <anchor moveWithCells="1">
                  <from>
                    <xdr:col>4</xdr:col>
                    <xdr:colOff>22860</xdr:colOff>
                    <xdr:row>5</xdr:row>
                    <xdr:rowOff>114300</xdr:rowOff>
                  </from>
                  <to>
                    <xdr:col>4</xdr:col>
                    <xdr:colOff>213360</xdr:colOff>
                    <xdr:row>7</xdr:row>
                    <xdr:rowOff>22860</xdr:rowOff>
                  </to>
                </anchor>
              </controlPr>
            </control>
          </mc:Choice>
        </mc:AlternateContent>
        <mc:AlternateContent xmlns:mc="http://schemas.openxmlformats.org/markup-compatibility/2006">
          <mc:Choice Requires="x14">
            <control shapeId="108552" r:id="rId9" name=" 8">
              <controlPr defaultSize="0" autoFill="0" autoLine="0" autoPict="0">
                <anchor moveWithCells="1">
                  <from>
                    <xdr:col>4</xdr:col>
                    <xdr:colOff>22860</xdr:colOff>
                    <xdr:row>6</xdr:row>
                    <xdr:rowOff>114300</xdr:rowOff>
                  </from>
                  <to>
                    <xdr:col>4</xdr:col>
                    <xdr:colOff>228600</xdr:colOff>
                    <xdr:row>8</xdr:row>
                    <xdr:rowOff>38100</xdr:rowOff>
                  </to>
                </anchor>
              </controlPr>
            </control>
          </mc:Choice>
        </mc:AlternateContent>
        <mc:AlternateContent xmlns:mc="http://schemas.openxmlformats.org/markup-compatibility/2006">
          <mc:Choice Requires="x14">
            <control shapeId="108555" r:id="rId10" name=" 11">
              <controlPr defaultSize="0" autoFill="0" autoLine="0" autoPict="0">
                <anchor moveWithCells="1">
                  <from>
                    <xdr:col>8</xdr:col>
                    <xdr:colOff>22860</xdr:colOff>
                    <xdr:row>2</xdr:row>
                    <xdr:rowOff>137160</xdr:rowOff>
                  </from>
                  <to>
                    <xdr:col>8</xdr:col>
                    <xdr:colOff>213360</xdr:colOff>
                    <xdr:row>4</xdr:row>
                    <xdr:rowOff>38100</xdr:rowOff>
                  </to>
                </anchor>
              </controlPr>
            </control>
          </mc:Choice>
        </mc:AlternateContent>
        <mc:AlternateContent xmlns:mc="http://schemas.openxmlformats.org/markup-compatibility/2006">
          <mc:Choice Requires="x14">
            <control shapeId="108556" r:id="rId11" name=" 12">
              <controlPr defaultSize="0" autoFill="0" autoLine="0" autoPict="0">
                <anchor moveWithCells="1">
                  <from>
                    <xdr:col>8</xdr:col>
                    <xdr:colOff>22860</xdr:colOff>
                    <xdr:row>3</xdr:row>
                    <xdr:rowOff>137160</xdr:rowOff>
                  </from>
                  <to>
                    <xdr:col>8</xdr:col>
                    <xdr:colOff>213360</xdr:colOff>
                    <xdr:row>5</xdr:row>
                    <xdr:rowOff>38100</xdr:rowOff>
                  </to>
                </anchor>
              </controlPr>
            </control>
          </mc:Choice>
        </mc:AlternateContent>
        <mc:AlternateContent xmlns:mc="http://schemas.openxmlformats.org/markup-compatibility/2006">
          <mc:Choice Requires="x14">
            <control shapeId="108557" r:id="rId12" name=" 13">
              <controlPr defaultSize="0" autoFill="0" autoLine="0" autoPict="0">
                <anchor moveWithCells="1">
                  <from>
                    <xdr:col>8</xdr:col>
                    <xdr:colOff>22860</xdr:colOff>
                    <xdr:row>4</xdr:row>
                    <xdr:rowOff>114300</xdr:rowOff>
                  </from>
                  <to>
                    <xdr:col>8</xdr:col>
                    <xdr:colOff>213360</xdr:colOff>
                    <xdr:row>6</xdr:row>
                    <xdr:rowOff>22860</xdr:rowOff>
                  </to>
                </anchor>
              </controlPr>
            </control>
          </mc:Choice>
        </mc:AlternateContent>
        <mc:AlternateContent xmlns:mc="http://schemas.openxmlformats.org/markup-compatibility/2006">
          <mc:Choice Requires="x14">
            <control shapeId="108558" r:id="rId13" name=" 14">
              <controlPr defaultSize="0" autoFill="0" autoLine="0" autoPict="0">
                <anchor moveWithCells="1">
                  <from>
                    <xdr:col>8</xdr:col>
                    <xdr:colOff>22860</xdr:colOff>
                    <xdr:row>5</xdr:row>
                    <xdr:rowOff>114300</xdr:rowOff>
                  </from>
                  <to>
                    <xdr:col>8</xdr:col>
                    <xdr:colOff>213360</xdr:colOff>
                    <xdr:row>7</xdr:row>
                    <xdr:rowOff>38100</xdr:rowOff>
                  </to>
                </anchor>
              </controlPr>
            </control>
          </mc:Choice>
        </mc:AlternateContent>
        <mc:AlternateContent xmlns:mc="http://schemas.openxmlformats.org/markup-compatibility/2006">
          <mc:Choice Requires="x14">
            <control shapeId="108559" r:id="rId14" name=" 15">
              <controlPr defaultSize="0" autoFill="0" autoLine="0" autoPict="0">
                <anchor moveWithCells="1">
                  <from>
                    <xdr:col>8</xdr:col>
                    <xdr:colOff>22860</xdr:colOff>
                    <xdr:row>6</xdr:row>
                    <xdr:rowOff>137160</xdr:rowOff>
                  </from>
                  <to>
                    <xdr:col>8</xdr:col>
                    <xdr:colOff>213360</xdr:colOff>
                    <xdr:row>8</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D2FC4F59-E92F-47FA-AEEE-74CEB7852181}">
            <xm:f>計分版!$W$15</xm:f>
            <x14:dxf>
              <font>
                <b/>
                <i val="0"/>
                <color rgb="FFC00000"/>
              </font>
            </x14:dxf>
          </x14:cfRule>
          <xm:sqref>H13:H29</xm:sqref>
        </x14:conditionalFormatting>
        <x14:conditionalFormatting xmlns:xm="http://schemas.microsoft.com/office/excel/2006/main">
          <x14:cfRule type="expression" priority="16" id="{176BC8F5-0FDC-456C-8359-3AED95E70969}">
            <xm:f>計分版!K$15=TRUE</xm:f>
            <x14:dxf>
              <font>
                <b/>
                <i val="0"/>
                <color rgb="FFFF0000"/>
              </font>
            </x14:dxf>
          </x14:cfRule>
          <xm:sqref>I66:R67 I48:R48 I62:R62 I64:R64</xm:sqref>
        </x14:conditionalFormatting>
        <x14:conditionalFormatting xmlns:xm="http://schemas.microsoft.com/office/excel/2006/main">
          <x14:cfRule type="expression" priority="9" id="{9838714A-23EB-4BCF-BF9B-729E5BBD38C9}">
            <xm:f>計分版!$R$15=TRUE</xm:f>
            <x14:dxf>
              <font>
                <b/>
                <i val="0"/>
                <color rgb="FF9C0006"/>
              </font>
            </x14:dxf>
          </x14:cfRule>
          <xm:sqref>P49 P63 P67:P68</xm:sqref>
        </x14:conditionalFormatting>
        <x14:conditionalFormatting xmlns:xm="http://schemas.microsoft.com/office/excel/2006/main">
          <x14:cfRule type="expression" priority="4" id="{5E44F352-A897-40FC-AB2B-7FEDBA5E981E}">
            <xm:f>計分版!$S$15=TRUE</xm:f>
            <x14:dxf>
              <font>
                <b/>
                <i val="0"/>
                <color rgb="FF9C0006"/>
              </font>
            </x14:dxf>
          </x14:cfRule>
          <xm:sqref>Q49 Q63 Q67:Q68</xm:sqref>
        </x14:conditionalFormatting>
        <x14:conditionalFormatting xmlns:xm="http://schemas.microsoft.com/office/excel/2006/main">
          <x14:cfRule type="expression" priority="7" id="{59F0D9EF-5295-4010-86A9-F5FD8C72D559}">
            <xm:f>計分版!$T$15=TRUE</xm:f>
            <x14:dxf>
              <font>
                <b/>
                <i val="0"/>
                <color rgb="FF9C0006"/>
              </font>
            </x14:dxf>
          </x14:cfRule>
          <xm:sqref>R49 R63 R67:R68</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A08E8-3C98-5148-865D-3B8C4E4AE72D}">
  <sheetPr filterMode="1"/>
  <dimension ref="A1:V232"/>
  <sheetViews>
    <sheetView workbookViewId="0"/>
  </sheetViews>
  <sheetFormatPr defaultColWidth="11.5" defaultRowHeight="15.6"/>
  <cols>
    <col min="1" max="1" width="11.69921875" style="377" customWidth="1"/>
    <col min="2" max="2" width="6.69921875" style="199" customWidth="1"/>
    <col min="3" max="11" width="3.69921875" style="199" customWidth="1"/>
    <col min="12" max="13" width="4.19921875" style="199" customWidth="1"/>
    <col min="14" max="14" width="5.296875" style="199" customWidth="1"/>
    <col min="15" max="21" width="3.69921875" style="199" customWidth="1"/>
    <col min="22" max="22" width="4" style="199" customWidth="1"/>
    <col min="23" max="16384" width="11.5" style="199"/>
  </cols>
  <sheetData>
    <row r="1" spans="1:22" s="201" customFormat="1">
      <c r="A1" s="200" t="s">
        <v>2051</v>
      </c>
      <c r="B1" s="201" t="s">
        <v>2052</v>
      </c>
      <c r="C1" s="201" t="s">
        <v>2053</v>
      </c>
      <c r="D1" s="201" t="s">
        <v>2054</v>
      </c>
      <c r="E1" s="201" t="s">
        <v>2055</v>
      </c>
      <c r="F1" s="201" t="s">
        <v>2056</v>
      </c>
      <c r="G1" s="201" t="s">
        <v>2057</v>
      </c>
      <c r="H1" s="201" t="s">
        <v>2058</v>
      </c>
      <c r="I1" s="201" t="s">
        <v>2059</v>
      </c>
      <c r="J1" s="201" t="s">
        <v>377</v>
      </c>
      <c r="K1" s="201" t="s">
        <v>378</v>
      </c>
      <c r="L1" s="201" t="s">
        <v>135</v>
      </c>
    </row>
    <row r="2" spans="1:22" s="197" customFormat="1">
      <c r="A2" s="420" t="s">
        <v>1152</v>
      </c>
      <c r="B2" s="420" t="s">
        <v>103</v>
      </c>
      <c r="C2" s="420">
        <v>4</v>
      </c>
      <c r="D2" s="420">
        <v>5</v>
      </c>
      <c r="E2" s="420">
        <v>4</v>
      </c>
      <c r="F2" s="198"/>
      <c r="G2" s="420">
        <v>3</v>
      </c>
      <c r="H2" s="420">
        <v>5</v>
      </c>
      <c r="I2" s="420">
        <v>5</v>
      </c>
      <c r="J2" s="420">
        <v>4</v>
      </c>
      <c r="K2" s="198"/>
      <c r="L2" s="420">
        <v>24.5</v>
      </c>
      <c r="M2" s="198"/>
      <c r="O2" s="197">
        <f t="shared" ref="O2:O65" si="0">IF(C2=0,"/",IF(C2=5,5.5,IF(C2="5*",7,IF(C2="5**",8.5,C2))))</f>
        <v>4</v>
      </c>
      <c r="P2" s="197">
        <f t="shared" ref="P2:P65" si="1">IF(D2=0,"/",IF(D2=5,5.5,IF(D2="5*",7,IF(D2="5**",8.5,D2))))</f>
        <v>5.5</v>
      </c>
      <c r="Q2" s="197">
        <f t="shared" ref="Q2:Q65" si="2">IF(E2=0,"/",IF(E2=5,5.5,IF(E2="5*",7,IF(E2="5**",8.5,E2))))</f>
        <v>4</v>
      </c>
      <c r="R2" s="197" t="str">
        <f t="shared" ref="R2:R65" si="3">IF(F2=0,"/",IF(F2=5,5.5,IF(F2="5*",7,IF(F2="5**",8.5,F2))))</f>
        <v>/</v>
      </c>
      <c r="S2" s="197">
        <f t="shared" ref="S2:S65" si="4">IF(G2=0,"/",IF(G2=5,5.5,IF(G2="5*",7,IF(G2="5**",8.5,G2))))</f>
        <v>3</v>
      </c>
      <c r="T2" s="197">
        <f t="shared" ref="T2:T65" si="5">IF(H2=0,"/",IF(H2=5,5.5,IF(H2="5*",7,IF(H2="5**",8.5,H2))))</f>
        <v>5.5</v>
      </c>
      <c r="U2" s="197">
        <f t="shared" ref="U2:U65" si="6">IF(I2=0,"/",IF(I2=5,5.5,IF(I2="5*",7,IF(I2="5**",8.5,I2))))</f>
        <v>5.5</v>
      </c>
      <c r="V2" s="197">
        <f t="shared" ref="V2:V65" si="7">IF(J2=0,"/",IF(J2=5,5.5,IF(J2="5*",7,IF(J2="5**",8.5,J2))))</f>
        <v>4</v>
      </c>
    </row>
    <row r="3" spans="1:22" s="197" customFormat="1" hidden="1">
      <c r="A3" s="420" t="s">
        <v>1152</v>
      </c>
      <c r="B3" s="420" t="s">
        <v>2061</v>
      </c>
      <c r="C3" s="420">
        <v>4</v>
      </c>
      <c r="D3" s="420">
        <v>5</v>
      </c>
      <c r="E3" s="420">
        <v>4</v>
      </c>
      <c r="F3" s="198"/>
      <c r="G3" s="420">
        <v>4</v>
      </c>
      <c r="H3" s="420">
        <v>5</v>
      </c>
      <c r="I3" s="420">
        <v>4</v>
      </c>
      <c r="J3" s="420">
        <v>4</v>
      </c>
      <c r="K3" s="198"/>
      <c r="L3" s="420">
        <v>23</v>
      </c>
      <c r="M3" s="198"/>
      <c r="O3" s="197">
        <f t="shared" si="0"/>
        <v>4</v>
      </c>
      <c r="P3" s="197">
        <f t="shared" si="1"/>
        <v>5.5</v>
      </c>
      <c r="Q3" s="197">
        <f t="shared" si="2"/>
        <v>4</v>
      </c>
      <c r="R3" s="197" t="str">
        <f t="shared" si="3"/>
        <v>/</v>
      </c>
      <c r="S3" s="197">
        <f t="shared" si="4"/>
        <v>4</v>
      </c>
      <c r="T3" s="197">
        <f t="shared" si="5"/>
        <v>5.5</v>
      </c>
      <c r="U3" s="197">
        <f t="shared" si="6"/>
        <v>4</v>
      </c>
      <c r="V3" s="197">
        <f t="shared" si="7"/>
        <v>4</v>
      </c>
    </row>
    <row r="4" spans="1:22" s="197" customFormat="1" hidden="1">
      <c r="A4" s="420" t="s">
        <v>1152</v>
      </c>
      <c r="B4" s="420" t="s">
        <v>100</v>
      </c>
      <c r="C4" s="420">
        <v>4</v>
      </c>
      <c r="D4" s="420">
        <v>4</v>
      </c>
      <c r="E4" s="420">
        <v>3</v>
      </c>
      <c r="F4" s="198"/>
      <c r="G4" s="420"/>
      <c r="H4" s="420" t="s">
        <v>2060</v>
      </c>
      <c r="I4" s="420">
        <v>4</v>
      </c>
      <c r="J4" s="420">
        <v>4</v>
      </c>
      <c r="K4" s="198"/>
      <c r="L4" s="420">
        <v>23</v>
      </c>
      <c r="M4" s="198"/>
      <c r="O4" s="197">
        <f t="shared" si="0"/>
        <v>4</v>
      </c>
      <c r="P4" s="197">
        <f t="shared" si="1"/>
        <v>4</v>
      </c>
      <c r="Q4" s="197">
        <f t="shared" si="2"/>
        <v>3</v>
      </c>
      <c r="R4" s="197" t="str">
        <f t="shared" si="3"/>
        <v>/</v>
      </c>
      <c r="S4" s="197" t="str">
        <f t="shared" si="4"/>
        <v>/</v>
      </c>
      <c r="T4" s="197">
        <f t="shared" si="5"/>
        <v>7</v>
      </c>
      <c r="U4" s="197">
        <f t="shared" si="6"/>
        <v>4</v>
      </c>
      <c r="V4" s="197">
        <f t="shared" si="7"/>
        <v>4</v>
      </c>
    </row>
    <row r="5" spans="1:22" s="197" customFormat="1">
      <c r="A5" s="420" t="s">
        <v>1155</v>
      </c>
      <c r="B5" s="420" t="s">
        <v>103</v>
      </c>
      <c r="C5" s="420" t="s">
        <v>2062</v>
      </c>
      <c r="D5" s="420">
        <v>4</v>
      </c>
      <c r="E5" s="420">
        <v>4</v>
      </c>
      <c r="F5" s="198"/>
      <c r="G5" s="420"/>
      <c r="H5" s="420" t="s">
        <v>2060</v>
      </c>
      <c r="I5" s="420">
        <v>5</v>
      </c>
      <c r="J5" s="420">
        <v>4</v>
      </c>
      <c r="K5" s="198"/>
      <c r="L5" s="420">
        <v>30.7</v>
      </c>
      <c r="M5" s="198"/>
      <c r="O5" s="197">
        <f t="shared" si="0"/>
        <v>8.5</v>
      </c>
      <c r="P5" s="197">
        <f t="shared" si="1"/>
        <v>4</v>
      </c>
      <c r="Q5" s="197">
        <f t="shared" si="2"/>
        <v>4</v>
      </c>
      <c r="R5" s="197" t="str">
        <f t="shared" si="3"/>
        <v>/</v>
      </c>
      <c r="S5" s="197" t="str">
        <f t="shared" si="4"/>
        <v>/</v>
      </c>
      <c r="T5" s="197">
        <f t="shared" si="5"/>
        <v>7</v>
      </c>
      <c r="U5" s="197">
        <f t="shared" si="6"/>
        <v>5.5</v>
      </c>
      <c r="V5" s="197">
        <f t="shared" si="7"/>
        <v>4</v>
      </c>
    </row>
    <row r="6" spans="1:22" s="197" customFormat="1" hidden="1">
      <c r="A6" s="420" t="s">
        <v>1155</v>
      </c>
      <c r="B6" s="420" t="s">
        <v>2061</v>
      </c>
      <c r="C6" s="420" t="s">
        <v>2062</v>
      </c>
      <c r="D6" s="420">
        <v>3</v>
      </c>
      <c r="E6" s="420">
        <v>5</v>
      </c>
      <c r="F6" s="198"/>
      <c r="G6" s="420"/>
      <c r="H6" s="420">
        <v>5</v>
      </c>
      <c r="I6" s="420">
        <v>4</v>
      </c>
      <c r="J6" s="420">
        <v>4</v>
      </c>
      <c r="K6" s="198"/>
      <c r="L6" s="420">
        <v>29.2</v>
      </c>
      <c r="M6" s="198"/>
      <c r="O6" s="197">
        <f t="shared" si="0"/>
        <v>8.5</v>
      </c>
      <c r="P6" s="197">
        <f t="shared" si="1"/>
        <v>3</v>
      </c>
      <c r="Q6" s="197">
        <f t="shared" si="2"/>
        <v>5.5</v>
      </c>
      <c r="R6" s="197" t="str">
        <f t="shared" si="3"/>
        <v>/</v>
      </c>
      <c r="S6" s="197" t="str">
        <f t="shared" si="4"/>
        <v>/</v>
      </c>
      <c r="T6" s="197">
        <f t="shared" si="5"/>
        <v>5.5</v>
      </c>
      <c r="U6" s="197">
        <f t="shared" si="6"/>
        <v>4</v>
      </c>
      <c r="V6" s="197">
        <f t="shared" si="7"/>
        <v>4</v>
      </c>
    </row>
    <row r="7" spans="1:22" s="197" customFormat="1" hidden="1">
      <c r="A7" s="420" t="s">
        <v>1155</v>
      </c>
      <c r="B7" s="420" t="s">
        <v>100</v>
      </c>
      <c r="C7" s="420" t="s">
        <v>2062</v>
      </c>
      <c r="D7" s="420">
        <v>3</v>
      </c>
      <c r="E7" s="420">
        <v>4</v>
      </c>
      <c r="F7" s="198"/>
      <c r="G7" s="420"/>
      <c r="H7" s="420" t="s">
        <v>2060</v>
      </c>
      <c r="I7" s="420">
        <v>4</v>
      </c>
      <c r="J7" s="420">
        <v>3</v>
      </c>
      <c r="K7" s="198"/>
      <c r="L7" s="420">
        <v>28.2</v>
      </c>
      <c r="M7" s="198"/>
      <c r="O7" s="197">
        <f t="shared" si="0"/>
        <v>8.5</v>
      </c>
      <c r="P7" s="197">
        <f t="shared" si="1"/>
        <v>3</v>
      </c>
      <c r="Q7" s="197">
        <f t="shared" si="2"/>
        <v>4</v>
      </c>
      <c r="R7" s="197" t="str">
        <f t="shared" si="3"/>
        <v>/</v>
      </c>
      <c r="S7" s="197" t="str">
        <f t="shared" si="4"/>
        <v>/</v>
      </c>
      <c r="T7" s="197">
        <f t="shared" si="5"/>
        <v>7</v>
      </c>
      <c r="U7" s="197">
        <f t="shared" si="6"/>
        <v>4</v>
      </c>
      <c r="V7" s="197">
        <f t="shared" si="7"/>
        <v>3</v>
      </c>
    </row>
    <row r="8" spans="1:22" s="197" customFormat="1">
      <c r="A8" s="420" t="s">
        <v>1165</v>
      </c>
      <c r="B8" s="420" t="s">
        <v>103</v>
      </c>
      <c r="C8" s="420">
        <v>3</v>
      </c>
      <c r="D8" s="420" t="s">
        <v>2060</v>
      </c>
      <c r="E8" s="420">
        <v>5</v>
      </c>
      <c r="F8" s="198"/>
      <c r="G8" s="420">
        <v>4</v>
      </c>
      <c r="H8" s="420">
        <v>4</v>
      </c>
      <c r="I8" s="420">
        <v>4</v>
      </c>
      <c r="J8" s="420">
        <v>3</v>
      </c>
      <c r="K8" s="198"/>
      <c r="L8" s="420">
        <v>28</v>
      </c>
      <c r="M8" s="198"/>
      <c r="O8" s="197">
        <f t="shared" si="0"/>
        <v>3</v>
      </c>
      <c r="P8" s="197">
        <f t="shared" si="1"/>
        <v>7</v>
      </c>
      <c r="Q8" s="197">
        <f t="shared" si="2"/>
        <v>5.5</v>
      </c>
      <c r="R8" s="197" t="str">
        <f t="shared" si="3"/>
        <v>/</v>
      </c>
      <c r="S8" s="197">
        <f t="shared" si="4"/>
        <v>4</v>
      </c>
      <c r="T8" s="197">
        <f t="shared" si="5"/>
        <v>4</v>
      </c>
      <c r="U8" s="197">
        <f t="shared" si="6"/>
        <v>4</v>
      </c>
      <c r="V8" s="197">
        <f t="shared" si="7"/>
        <v>3</v>
      </c>
    </row>
    <row r="9" spans="1:22" s="197" customFormat="1" hidden="1">
      <c r="A9" s="420" t="s">
        <v>1165</v>
      </c>
      <c r="B9" s="420" t="s">
        <v>2061</v>
      </c>
      <c r="C9" s="420">
        <v>4</v>
      </c>
      <c r="D9" s="420" t="s">
        <v>2060</v>
      </c>
      <c r="E9" s="420">
        <v>3</v>
      </c>
      <c r="F9" s="198"/>
      <c r="G9" s="420"/>
      <c r="H9" s="420">
        <v>5</v>
      </c>
      <c r="I9" s="420">
        <v>4</v>
      </c>
      <c r="J9" s="420"/>
      <c r="K9" s="198"/>
      <c r="L9" s="420">
        <v>27</v>
      </c>
      <c r="M9" s="198"/>
      <c r="O9" s="197">
        <f t="shared" si="0"/>
        <v>4</v>
      </c>
      <c r="P9" s="197">
        <f t="shared" si="1"/>
        <v>7</v>
      </c>
      <c r="Q9" s="197">
        <f t="shared" si="2"/>
        <v>3</v>
      </c>
      <c r="R9" s="197" t="str">
        <f t="shared" si="3"/>
        <v>/</v>
      </c>
      <c r="S9" s="197" t="str">
        <f t="shared" si="4"/>
        <v>/</v>
      </c>
      <c r="T9" s="197">
        <f t="shared" si="5"/>
        <v>5.5</v>
      </c>
      <c r="U9" s="197">
        <f t="shared" si="6"/>
        <v>4</v>
      </c>
      <c r="V9" s="197" t="str">
        <f t="shared" si="7"/>
        <v>/</v>
      </c>
    </row>
    <row r="10" spans="1:22" hidden="1">
      <c r="A10" s="420" t="s">
        <v>1165</v>
      </c>
      <c r="B10" s="420" t="s">
        <v>100</v>
      </c>
      <c r="C10" s="420">
        <v>5</v>
      </c>
      <c r="D10" s="420" t="s">
        <v>2060</v>
      </c>
      <c r="E10" s="420">
        <v>3</v>
      </c>
      <c r="F10" s="376"/>
      <c r="G10" s="420"/>
      <c r="H10" s="420">
        <v>4</v>
      </c>
      <c r="I10" s="420">
        <v>3</v>
      </c>
      <c r="J10" s="420"/>
      <c r="K10" s="376"/>
      <c r="L10" s="420">
        <v>26</v>
      </c>
      <c r="M10" s="376"/>
      <c r="O10" s="197">
        <f t="shared" si="0"/>
        <v>5.5</v>
      </c>
      <c r="P10" s="197">
        <f t="shared" si="1"/>
        <v>7</v>
      </c>
      <c r="Q10" s="197">
        <f t="shared" si="2"/>
        <v>3</v>
      </c>
      <c r="R10" s="197" t="str">
        <f t="shared" si="3"/>
        <v>/</v>
      </c>
      <c r="S10" s="197" t="str">
        <f t="shared" si="4"/>
        <v>/</v>
      </c>
      <c r="T10" s="197">
        <f t="shared" si="5"/>
        <v>4</v>
      </c>
      <c r="U10" s="197">
        <f t="shared" si="6"/>
        <v>3</v>
      </c>
      <c r="V10" s="197" t="str">
        <f t="shared" si="7"/>
        <v>/</v>
      </c>
    </row>
    <row r="11" spans="1:22">
      <c r="A11" s="420" t="s">
        <v>1168</v>
      </c>
      <c r="B11" s="420" t="s">
        <v>103</v>
      </c>
      <c r="C11" s="420" t="s">
        <v>2060</v>
      </c>
      <c r="D11" s="420">
        <v>3</v>
      </c>
      <c r="E11" s="420">
        <v>4</v>
      </c>
      <c r="G11" s="420"/>
      <c r="H11" s="420" t="s">
        <v>2062</v>
      </c>
      <c r="I11" s="420">
        <v>4</v>
      </c>
      <c r="J11" s="420"/>
      <c r="L11" s="420">
        <v>26.5</v>
      </c>
      <c r="O11" s="197">
        <f t="shared" si="0"/>
        <v>7</v>
      </c>
      <c r="P11" s="197">
        <f t="shared" si="1"/>
        <v>3</v>
      </c>
      <c r="Q11" s="197">
        <f t="shared" si="2"/>
        <v>4</v>
      </c>
      <c r="R11" s="197" t="str">
        <f t="shared" si="3"/>
        <v>/</v>
      </c>
      <c r="S11" s="197" t="str">
        <f t="shared" si="4"/>
        <v>/</v>
      </c>
      <c r="T11" s="197">
        <f t="shared" si="5"/>
        <v>8.5</v>
      </c>
      <c r="U11" s="197">
        <f t="shared" si="6"/>
        <v>4</v>
      </c>
      <c r="V11" s="197" t="str">
        <f t="shared" si="7"/>
        <v>/</v>
      </c>
    </row>
    <row r="12" spans="1:22" hidden="1">
      <c r="A12" s="420" t="s">
        <v>1168</v>
      </c>
      <c r="B12" s="420" t="s">
        <v>2061</v>
      </c>
      <c r="C12" s="420">
        <v>4</v>
      </c>
      <c r="D12" s="420" t="s">
        <v>2060</v>
      </c>
      <c r="E12" s="420">
        <v>4</v>
      </c>
      <c r="G12" s="420"/>
      <c r="H12" s="420" t="s">
        <v>2060</v>
      </c>
      <c r="I12" s="420">
        <v>3</v>
      </c>
      <c r="J12" s="420"/>
      <c r="L12" s="420">
        <v>25</v>
      </c>
      <c r="O12" s="197">
        <f t="shared" si="0"/>
        <v>4</v>
      </c>
      <c r="P12" s="197">
        <f t="shared" si="1"/>
        <v>7</v>
      </c>
      <c r="Q12" s="197">
        <f t="shared" si="2"/>
        <v>4</v>
      </c>
      <c r="R12" s="197" t="str">
        <f t="shared" si="3"/>
        <v>/</v>
      </c>
      <c r="S12" s="197" t="str">
        <f t="shared" si="4"/>
        <v>/</v>
      </c>
      <c r="T12" s="197">
        <f t="shared" si="5"/>
        <v>7</v>
      </c>
      <c r="U12" s="197">
        <f t="shared" si="6"/>
        <v>3</v>
      </c>
      <c r="V12" s="197" t="str">
        <f t="shared" si="7"/>
        <v>/</v>
      </c>
    </row>
    <row r="13" spans="1:22" hidden="1">
      <c r="A13" s="420" t="s">
        <v>1168</v>
      </c>
      <c r="B13" s="420" t="s">
        <v>100</v>
      </c>
      <c r="C13" s="420" t="s">
        <v>2062</v>
      </c>
      <c r="D13" s="420">
        <v>3</v>
      </c>
      <c r="E13" s="420">
        <v>4</v>
      </c>
      <c r="G13" s="420">
        <v>3</v>
      </c>
      <c r="H13" s="420">
        <v>5</v>
      </c>
      <c r="I13" s="420">
        <v>3</v>
      </c>
      <c r="J13" s="420"/>
      <c r="L13" s="420">
        <v>24</v>
      </c>
      <c r="O13" s="197">
        <f t="shared" si="0"/>
        <v>8.5</v>
      </c>
      <c r="P13" s="197">
        <f t="shared" si="1"/>
        <v>3</v>
      </c>
      <c r="Q13" s="197">
        <f t="shared" si="2"/>
        <v>4</v>
      </c>
      <c r="R13" s="197" t="str">
        <f t="shared" si="3"/>
        <v>/</v>
      </c>
      <c r="S13" s="197">
        <f t="shared" si="4"/>
        <v>3</v>
      </c>
      <c r="T13" s="197">
        <f t="shared" si="5"/>
        <v>5.5</v>
      </c>
      <c r="U13" s="197">
        <f t="shared" si="6"/>
        <v>3</v>
      </c>
      <c r="V13" s="197" t="str">
        <f t="shared" si="7"/>
        <v>/</v>
      </c>
    </row>
    <row r="14" spans="1:22">
      <c r="A14" s="420" t="s">
        <v>1172</v>
      </c>
      <c r="B14" s="420" t="s">
        <v>103</v>
      </c>
      <c r="C14" s="420" t="s">
        <v>2062</v>
      </c>
      <c r="D14" s="420">
        <v>4</v>
      </c>
      <c r="E14" s="420">
        <v>4</v>
      </c>
      <c r="G14" s="420"/>
      <c r="H14" s="420" t="s">
        <v>2062</v>
      </c>
      <c r="I14" s="420">
        <v>4</v>
      </c>
      <c r="J14" s="420"/>
      <c r="L14" s="420">
        <v>29</v>
      </c>
      <c r="O14" s="197">
        <f t="shared" si="0"/>
        <v>8.5</v>
      </c>
      <c r="P14" s="197">
        <f t="shared" si="1"/>
        <v>4</v>
      </c>
      <c r="Q14" s="197">
        <f t="shared" si="2"/>
        <v>4</v>
      </c>
      <c r="R14" s="197" t="str">
        <f t="shared" si="3"/>
        <v>/</v>
      </c>
      <c r="S14" s="197" t="str">
        <f t="shared" si="4"/>
        <v>/</v>
      </c>
      <c r="T14" s="197">
        <f t="shared" si="5"/>
        <v>8.5</v>
      </c>
      <c r="U14" s="197">
        <f t="shared" si="6"/>
        <v>4</v>
      </c>
      <c r="V14" s="197" t="str">
        <f t="shared" si="7"/>
        <v>/</v>
      </c>
    </row>
    <row r="15" spans="1:22" hidden="1">
      <c r="A15" s="420" t="s">
        <v>1172</v>
      </c>
      <c r="B15" s="420" t="s">
        <v>2061</v>
      </c>
      <c r="C15" s="420" t="s">
        <v>2060</v>
      </c>
      <c r="D15" s="420">
        <v>4</v>
      </c>
      <c r="E15" s="420">
        <v>4</v>
      </c>
      <c r="G15" s="420"/>
      <c r="H15" s="420" t="s">
        <v>2060</v>
      </c>
      <c r="I15" s="420">
        <v>4</v>
      </c>
      <c r="J15" s="420">
        <v>3</v>
      </c>
      <c r="L15" s="420">
        <v>26</v>
      </c>
      <c r="O15" s="197">
        <f t="shared" si="0"/>
        <v>7</v>
      </c>
      <c r="P15" s="197">
        <f t="shared" si="1"/>
        <v>4</v>
      </c>
      <c r="Q15" s="197">
        <f t="shared" si="2"/>
        <v>4</v>
      </c>
      <c r="R15" s="197" t="str">
        <f t="shared" si="3"/>
        <v>/</v>
      </c>
      <c r="S15" s="197" t="str">
        <f t="shared" si="4"/>
        <v>/</v>
      </c>
      <c r="T15" s="197">
        <f t="shared" si="5"/>
        <v>7</v>
      </c>
      <c r="U15" s="197">
        <f t="shared" si="6"/>
        <v>4</v>
      </c>
      <c r="V15" s="197">
        <f t="shared" si="7"/>
        <v>3</v>
      </c>
    </row>
    <row r="16" spans="1:22" hidden="1">
      <c r="A16" s="420" t="s">
        <v>1172</v>
      </c>
      <c r="B16" s="420" t="s">
        <v>100</v>
      </c>
      <c r="C16" s="420">
        <v>4</v>
      </c>
      <c r="D16" s="420">
        <v>4</v>
      </c>
      <c r="E16" s="420">
        <v>3</v>
      </c>
      <c r="G16" s="420"/>
      <c r="H16" s="420" t="s">
        <v>2060</v>
      </c>
      <c r="I16" s="420" t="s">
        <v>2060</v>
      </c>
      <c r="J16" s="420"/>
      <c r="L16" s="420">
        <v>25</v>
      </c>
      <c r="O16" s="197">
        <f t="shared" si="0"/>
        <v>4</v>
      </c>
      <c r="P16" s="197">
        <f t="shared" si="1"/>
        <v>4</v>
      </c>
      <c r="Q16" s="197">
        <f t="shared" si="2"/>
        <v>3</v>
      </c>
      <c r="R16" s="197" t="str">
        <f t="shared" si="3"/>
        <v>/</v>
      </c>
      <c r="S16" s="197" t="str">
        <f t="shared" si="4"/>
        <v>/</v>
      </c>
      <c r="T16" s="197">
        <f t="shared" si="5"/>
        <v>7</v>
      </c>
      <c r="U16" s="197">
        <f t="shared" si="6"/>
        <v>7</v>
      </c>
      <c r="V16" s="197" t="str">
        <f t="shared" si="7"/>
        <v>/</v>
      </c>
    </row>
    <row r="17" spans="1:22">
      <c r="A17" s="420" t="s">
        <v>1174</v>
      </c>
      <c r="B17" s="420" t="s">
        <v>103</v>
      </c>
      <c r="C17" s="420">
        <v>4</v>
      </c>
      <c r="D17" s="420" t="s">
        <v>2060</v>
      </c>
      <c r="E17" s="420">
        <v>5</v>
      </c>
      <c r="G17" s="420"/>
      <c r="H17" s="420" t="s">
        <v>2063</v>
      </c>
      <c r="I17" s="420">
        <v>4</v>
      </c>
      <c r="J17" s="420">
        <v>3</v>
      </c>
      <c r="L17" s="420">
        <v>27.5</v>
      </c>
      <c r="O17" s="197">
        <f t="shared" si="0"/>
        <v>4</v>
      </c>
      <c r="P17" s="197">
        <f t="shared" si="1"/>
        <v>7</v>
      </c>
      <c r="Q17" s="197">
        <f t="shared" si="2"/>
        <v>5.5</v>
      </c>
      <c r="R17" s="197" t="str">
        <f t="shared" si="3"/>
        <v>/</v>
      </c>
      <c r="S17" s="197" t="str">
        <f t="shared" si="4"/>
        <v>/</v>
      </c>
      <c r="T17" s="197" t="str">
        <f t="shared" si="5"/>
        <v>A</v>
      </c>
      <c r="U17" s="197">
        <f t="shared" si="6"/>
        <v>4</v>
      </c>
      <c r="V17" s="197">
        <f t="shared" si="7"/>
        <v>3</v>
      </c>
    </row>
    <row r="18" spans="1:22" hidden="1">
      <c r="A18" s="420" t="s">
        <v>1174</v>
      </c>
      <c r="B18" s="420" t="s">
        <v>2061</v>
      </c>
      <c r="C18" s="420">
        <v>5</v>
      </c>
      <c r="D18" s="420">
        <v>4</v>
      </c>
      <c r="E18" s="420">
        <v>3</v>
      </c>
      <c r="G18" s="420"/>
      <c r="H18" s="420" t="s">
        <v>2060</v>
      </c>
      <c r="I18" s="420">
        <v>5</v>
      </c>
      <c r="J18" s="420"/>
      <c r="L18" s="420">
        <v>25</v>
      </c>
      <c r="O18" s="197">
        <f t="shared" si="0"/>
        <v>5.5</v>
      </c>
      <c r="P18" s="197">
        <f t="shared" si="1"/>
        <v>4</v>
      </c>
      <c r="Q18" s="197">
        <f t="shared" si="2"/>
        <v>3</v>
      </c>
      <c r="R18" s="197" t="str">
        <f t="shared" si="3"/>
        <v>/</v>
      </c>
      <c r="S18" s="197" t="str">
        <f t="shared" si="4"/>
        <v>/</v>
      </c>
      <c r="T18" s="197">
        <f t="shared" si="5"/>
        <v>7</v>
      </c>
      <c r="U18" s="197">
        <f t="shared" si="6"/>
        <v>5.5</v>
      </c>
      <c r="V18" s="197" t="str">
        <f t="shared" si="7"/>
        <v>/</v>
      </c>
    </row>
    <row r="19" spans="1:22" hidden="1">
      <c r="A19" s="420" t="s">
        <v>1174</v>
      </c>
      <c r="B19" s="420" t="s">
        <v>100</v>
      </c>
      <c r="C19" s="420">
        <v>4</v>
      </c>
      <c r="D19" s="420">
        <v>4</v>
      </c>
      <c r="E19" s="420">
        <v>4</v>
      </c>
      <c r="G19" s="420"/>
      <c r="H19" s="420" t="s">
        <v>2060</v>
      </c>
      <c r="I19" s="420">
        <v>4</v>
      </c>
      <c r="J19" s="420">
        <v>3</v>
      </c>
      <c r="L19" s="420">
        <v>23</v>
      </c>
      <c r="O19" s="197">
        <f t="shared" si="0"/>
        <v>4</v>
      </c>
      <c r="P19" s="197">
        <f t="shared" si="1"/>
        <v>4</v>
      </c>
      <c r="Q19" s="197">
        <f t="shared" si="2"/>
        <v>4</v>
      </c>
      <c r="R19" s="197" t="str">
        <f t="shared" si="3"/>
        <v>/</v>
      </c>
      <c r="S19" s="197" t="str">
        <f t="shared" si="4"/>
        <v>/</v>
      </c>
      <c r="T19" s="197">
        <f t="shared" si="5"/>
        <v>7</v>
      </c>
      <c r="U19" s="197">
        <f t="shared" si="6"/>
        <v>4</v>
      </c>
      <c r="V19" s="197">
        <f t="shared" si="7"/>
        <v>3</v>
      </c>
    </row>
    <row r="20" spans="1:22">
      <c r="A20" s="420" t="s">
        <v>1177</v>
      </c>
      <c r="B20" s="420" t="s">
        <v>103</v>
      </c>
      <c r="C20" s="420" t="s">
        <v>2060</v>
      </c>
      <c r="D20" s="420">
        <v>4</v>
      </c>
      <c r="E20" s="420">
        <v>4</v>
      </c>
      <c r="G20" s="420"/>
      <c r="H20" s="420">
        <v>5</v>
      </c>
      <c r="I20" s="420">
        <v>4</v>
      </c>
      <c r="J20" s="420">
        <v>4</v>
      </c>
      <c r="L20" s="420">
        <v>24.5</v>
      </c>
      <c r="O20" s="197">
        <f t="shared" si="0"/>
        <v>7</v>
      </c>
      <c r="P20" s="197">
        <f t="shared" si="1"/>
        <v>4</v>
      </c>
      <c r="Q20" s="197">
        <f t="shared" si="2"/>
        <v>4</v>
      </c>
      <c r="R20" s="197" t="str">
        <f t="shared" si="3"/>
        <v>/</v>
      </c>
      <c r="S20" s="197" t="str">
        <f t="shared" si="4"/>
        <v>/</v>
      </c>
      <c r="T20" s="197">
        <f t="shared" si="5"/>
        <v>5.5</v>
      </c>
      <c r="U20" s="197">
        <f t="shared" si="6"/>
        <v>4</v>
      </c>
      <c r="V20" s="197">
        <f t="shared" si="7"/>
        <v>4</v>
      </c>
    </row>
    <row r="21" spans="1:22" hidden="1">
      <c r="A21" s="420" t="s">
        <v>1177</v>
      </c>
      <c r="B21" s="420" t="s">
        <v>2061</v>
      </c>
      <c r="C21" s="420">
        <v>4</v>
      </c>
      <c r="D21" s="420" t="s">
        <v>2062</v>
      </c>
      <c r="E21" s="420">
        <v>3</v>
      </c>
      <c r="G21" s="420"/>
      <c r="H21" s="420">
        <v>4</v>
      </c>
      <c r="I21" s="420">
        <v>4</v>
      </c>
      <c r="J21" s="420"/>
      <c r="L21" s="420">
        <v>23.5</v>
      </c>
      <c r="O21" s="197">
        <f t="shared" si="0"/>
        <v>4</v>
      </c>
      <c r="P21" s="197">
        <f t="shared" si="1"/>
        <v>8.5</v>
      </c>
      <c r="Q21" s="197">
        <f t="shared" si="2"/>
        <v>3</v>
      </c>
      <c r="R21" s="197" t="str">
        <f t="shared" si="3"/>
        <v>/</v>
      </c>
      <c r="S21" s="197" t="str">
        <f t="shared" si="4"/>
        <v>/</v>
      </c>
      <c r="T21" s="197">
        <f t="shared" si="5"/>
        <v>4</v>
      </c>
      <c r="U21" s="197">
        <f t="shared" si="6"/>
        <v>4</v>
      </c>
      <c r="V21" s="197" t="str">
        <f t="shared" si="7"/>
        <v>/</v>
      </c>
    </row>
    <row r="22" spans="1:22" hidden="1">
      <c r="A22" s="420" t="s">
        <v>1177</v>
      </c>
      <c r="B22" s="420" t="s">
        <v>100</v>
      </c>
      <c r="C22" s="420">
        <v>4</v>
      </c>
      <c r="D22" s="420">
        <v>5</v>
      </c>
      <c r="E22" s="420">
        <v>5</v>
      </c>
      <c r="G22" s="420"/>
      <c r="H22" s="420">
        <v>4</v>
      </c>
      <c r="I22" s="420">
        <v>4</v>
      </c>
      <c r="J22" s="420"/>
      <c r="L22" s="420">
        <v>23</v>
      </c>
      <c r="O22" s="197">
        <f t="shared" si="0"/>
        <v>4</v>
      </c>
      <c r="P22" s="197">
        <f t="shared" si="1"/>
        <v>5.5</v>
      </c>
      <c r="Q22" s="197">
        <f t="shared" si="2"/>
        <v>5.5</v>
      </c>
      <c r="R22" s="197" t="str">
        <f t="shared" si="3"/>
        <v>/</v>
      </c>
      <c r="S22" s="197" t="str">
        <f t="shared" si="4"/>
        <v>/</v>
      </c>
      <c r="T22" s="197">
        <f t="shared" si="5"/>
        <v>4</v>
      </c>
      <c r="U22" s="197">
        <f t="shared" si="6"/>
        <v>4</v>
      </c>
      <c r="V22" s="197" t="str">
        <f t="shared" si="7"/>
        <v>/</v>
      </c>
    </row>
    <row r="23" spans="1:22">
      <c r="A23" s="420" t="s">
        <v>1180</v>
      </c>
      <c r="B23" s="420" t="s">
        <v>103</v>
      </c>
      <c r="C23" s="420">
        <v>4</v>
      </c>
      <c r="D23" s="420">
        <v>4</v>
      </c>
      <c r="E23" s="420">
        <v>5</v>
      </c>
      <c r="G23" s="420"/>
      <c r="H23" s="420">
        <v>5</v>
      </c>
      <c r="I23" s="420">
        <v>5</v>
      </c>
      <c r="J23" s="420">
        <v>4</v>
      </c>
      <c r="L23" s="420">
        <v>24.5</v>
      </c>
      <c r="O23" s="197">
        <f t="shared" si="0"/>
        <v>4</v>
      </c>
      <c r="P23" s="197">
        <f t="shared" si="1"/>
        <v>4</v>
      </c>
      <c r="Q23" s="197">
        <f t="shared" si="2"/>
        <v>5.5</v>
      </c>
      <c r="R23" s="197" t="str">
        <f t="shared" si="3"/>
        <v>/</v>
      </c>
      <c r="S23" s="197" t="str">
        <f t="shared" si="4"/>
        <v>/</v>
      </c>
      <c r="T23" s="197">
        <f t="shared" si="5"/>
        <v>5.5</v>
      </c>
      <c r="U23" s="197">
        <f t="shared" si="6"/>
        <v>5.5</v>
      </c>
      <c r="V23" s="197">
        <f t="shared" si="7"/>
        <v>4</v>
      </c>
    </row>
    <row r="24" spans="1:22" hidden="1">
      <c r="A24" s="420" t="s">
        <v>1180</v>
      </c>
      <c r="B24" s="420" t="s">
        <v>2061</v>
      </c>
      <c r="C24" s="420">
        <v>4</v>
      </c>
      <c r="D24" s="420">
        <v>5</v>
      </c>
      <c r="E24" s="420">
        <v>4</v>
      </c>
      <c r="G24" s="420"/>
      <c r="H24" s="420">
        <v>4</v>
      </c>
      <c r="I24" s="420">
        <v>4</v>
      </c>
      <c r="J24" s="420"/>
      <c r="L24" s="420">
        <v>21.5</v>
      </c>
      <c r="O24" s="197">
        <f t="shared" si="0"/>
        <v>4</v>
      </c>
      <c r="P24" s="197">
        <f t="shared" si="1"/>
        <v>5.5</v>
      </c>
      <c r="Q24" s="197">
        <f t="shared" si="2"/>
        <v>4</v>
      </c>
      <c r="R24" s="197" t="str">
        <f t="shared" si="3"/>
        <v>/</v>
      </c>
      <c r="S24" s="197" t="str">
        <f t="shared" si="4"/>
        <v>/</v>
      </c>
      <c r="T24" s="197">
        <f t="shared" si="5"/>
        <v>4</v>
      </c>
      <c r="U24" s="197">
        <f t="shared" si="6"/>
        <v>4</v>
      </c>
      <c r="V24" s="197" t="str">
        <f t="shared" si="7"/>
        <v>/</v>
      </c>
    </row>
    <row r="25" spans="1:22" hidden="1">
      <c r="A25" s="420" t="s">
        <v>1180</v>
      </c>
      <c r="B25" s="420" t="s">
        <v>100</v>
      </c>
      <c r="C25" s="420">
        <v>5</v>
      </c>
      <c r="D25" s="420">
        <v>4</v>
      </c>
      <c r="E25" s="420">
        <v>3</v>
      </c>
      <c r="G25" s="420"/>
      <c r="H25" s="420">
        <v>4</v>
      </c>
      <c r="I25" s="420">
        <v>4</v>
      </c>
      <c r="J25" s="420"/>
      <c r="L25" s="420">
        <v>20.5</v>
      </c>
      <c r="O25" s="197">
        <f t="shared" si="0"/>
        <v>5.5</v>
      </c>
      <c r="P25" s="197">
        <f t="shared" si="1"/>
        <v>4</v>
      </c>
      <c r="Q25" s="197">
        <f t="shared" si="2"/>
        <v>3</v>
      </c>
      <c r="R25" s="197" t="str">
        <f t="shared" si="3"/>
        <v>/</v>
      </c>
      <c r="S25" s="197" t="str">
        <f t="shared" si="4"/>
        <v>/</v>
      </c>
      <c r="T25" s="197">
        <f t="shared" si="5"/>
        <v>4</v>
      </c>
      <c r="U25" s="197">
        <f t="shared" si="6"/>
        <v>4</v>
      </c>
      <c r="V25" s="197" t="str">
        <f t="shared" si="7"/>
        <v>/</v>
      </c>
    </row>
    <row r="26" spans="1:22">
      <c r="A26" s="420" t="s">
        <v>1183</v>
      </c>
      <c r="B26" s="420" t="s">
        <v>103</v>
      </c>
      <c r="C26" s="420">
        <v>4</v>
      </c>
      <c r="D26" s="420">
        <v>5</v>
      </c>
      <c r="E26" s="420">
        <v>5</v>
      </c>
      <c r="G26" s="420"/>
      <c r="H26" s="420">
        <v>5</v>
      </c>
      <c r="I26" s="420">
        <v>5</v>
      </c>
      <c r="J26" s="420">
        <v>4</v>
      </c>
      <c r="L26" s="420">
        <v>26</v>
      </c>
      <c r="O26" s="197">
        <f t="shared" si="0"/>
        <v>4</v>
      </c>
      <c r="P26" s="197">
        <f t="shared" si="1"/>
        <v>5.5</v>
      </c>
      <c r="Q26" s="197">
        <f t="shared" si="2"/>
        <v>5.5</v>
      </c>
      <c r="R26" s="197" t="str">
        <f t="shared" si="3"/>
        <v>/</v>
      </c>
      <c r="S26" s="197" t="str">
        <f t="shared" si="4"/>
        <v>/</v>
      </c>
      <c r="T26" s="197">
        <f t="shared" si="5"/>
        <v>5.5</v>
      </c>
      <c r="U26" s="197">
        <f t="shared" si="6"/>
        <v>5.5</v>
      </c>
      <c r="V26" s="197">
        <f t="shared" si="7"/>
        <v>4</v>
      </c>
    </row>
    <row r="27" spans="1:22" hidden="1">
      <c r="A27" s="420" t="s">
        <v>1183</v>
      </c>
      <c r="B27" s="420" t="s">
        <v>2061</v>
      </c>
      <c r="C27" s="420">
        <v>3</v>
      </c>
      <c r="D27" s="420" t="s">
        <v>2060</v>
      </c>
      <c r="E27" s="420">
        <v>4</v>
      </c>
      <c r="G27" s="420">
        <v>4</v>
      </c>
      <c r="H27" s="420">
        <v>5</v>
      </c>
      <c r="I27" s="420">
        <v>4</v>
      </c>
      <c r="J27" s="420">
        <v>3</v>
      </c>
      <c r="L27" s="420">
        <v>23.5</v>
      </c>
      <c r="O27" s="197">
        <f t="shared" si="0"/>
        <v>3</v>
      </c>
      <c r="P27" s="197">
        <f t="shared" si="1"/>
        <v>7</v>
      </c>
      <c r="Q27" s="197">
        <f t="shared" si="2"/>
        <v>4</v>
      </c>
      <c r="R27" s="197" t="str">
        <f t="shared" si="3"/>
        <v>/</v>
      </c>
      <c r="S27" s="197">
        <f t="shared" si="4"/>
        <v>4</v>
      </c>
      <c r="T27" s="197">
        <f t="shared" si="5"/>
        <v>5.5</v>
      </c>
      <c r="U27" s="197">
        <f t="shared" si="6"/>
        <v>4</v>
      </c>
      <c r="V27" s="197">
        <f t="shared" si="7"/>
        <v>3</v>
      </c>
    </row>
    <row r="28" spans="1:22" hidden="1">
      <c r="A28" s="420" t="s">
        <v>1183</v>
      </c>
      <c r="B28" s="420" t="s">
        <v>100</v>
      </c>
      <c r="C28" s="420" t="s">
        <v>2060</v>
      </c>
      <c r="D28" s="420">
        <v>3</v>
      </c>
      <c r="E28" s="420">
        <v>3</v>
      </c>
      <c r="G28" s="420"/>
      <c r="H28" s="420">
        <v>4</v>
      </c>
      <c r="I28" s="420">
        <v>4</v>
      </c>
      <c r="J28" s="420">
        <v>4</v>
      </c>
      <c r="L28" s="420">
        <v>22</v>
      </c>
      <c r="O28" s="197">
        <f t="shared" si="0"/>
        <v>7</v>
      </c>
      <c r="P28" s="197">
        <f t="shared" si="1"/>
        <v>3</v>
      </c>
      <c r="Q28" s="197">
        <f t="shared" si="2"/>
        <v>3</v>
      </c>
      <c r="R28" s="197" t="str">
        <f t="shared" si="3"/>
        <v>/</v>
      </c>
      <c r="S28" s="197" t="str">
        <f t="shared" si="4"/>
        <v>/</v>
      </c>
      <c r="T28" s="197">
        <f t="shared" si="5"/>
        <v>4</v>
      </c>
      <c r="U28" s="197">
        <f t="shared" si="6"/>
        <v>4</v>
      </c>
      <c r="V28" s="197">
        <f t="shared" si="7"/>
        <v>4</v>
      </c>
    </row>
    <row r="29" spans="1:22">
      <c r="A29" s="420" t="s">
        <v>2647</v>
      </c>
      <c r="B29" s="420" t="s">
        <v>103</v>
      </c>
      <c r="C29" s="420" t="s">
        <v>2062</v>
      </c>
      <c r="D29" s="420">
        <v>3</v>
      </c>
      <c r="E29" s="420">
        <v>4</v>
      </c>
      <c r="G29" s="420"/>
      <c r="H29" s="420">
        <v>5</v>
      </c>
      <c r="I29" s="420">
        <v>3</v>
      </c>
      <c r="J29" s="420"/>
      <c r="L29" s="420">
        <v>24</v>
      </c>
      <c r="O29" s="197">
        <f t="shared" si="0"/>
        <v>8.5</v>
      </c>
      <c r="P29" s="197">
        <f t="shared" si="1"/>
        <v>3</v>
      </c>
      <c r="Q29" s="197">
        <f t="shared" si="2"/>
        <v>4</v>
      </c>
      <c r="R29" s="197" t="str">
        <f t="shared" si="3"/>
        <v>/</v>
      </c>
      <c r="S29" s="197" t="str">
        <f t="shared" si="4"/>
        <v>/</v>
      </c>
      <c r="T29" s="197">
        <f t="shared" si="5"/>
        <v>5.5</v>
      </c>
      <c r="U29" s="197">
        <f t="shared" si="6"/>
        <v>3</v>
      </c>
      <c r="V29" s="197" t="str">
        <f t="shared" si="7"/>
        <v>/</v>
      </c>
    </row>
    <row r="30" spans="1:22" hidden="1">
      <c r="A30" s="420" t="s">
        <v>2647</v>
      </c>
      <c r="B30" s="420" t="s">
        <v>2061</v>
      </c>
      <c r="C30" s="420">
        <v>4</v>
      </c>
      <c r="D30" s="420">
        <v>3</v>
      </c>
      <c r="E30" s="420">
        <v>3</v>
      </c>
      <c r="G30" s="420"/>
      <c r="H30" s="420" t="s">
        <v>2062</v>
      </c>
      <c r="I30" s="420">
        <v>4</v>
      </c>
      <c r="J30" s="420">
        <v>4</v>
      </c>
      <c r="L30" s="420">
        <v>23.5</v>
      </c>
      <c r="O30" s="197">
        <f t="shared" si="0"/>
        <v>4</v>
      </c>
      <c r="P30" s="197">
        <f t="shared" si="1"/>
        <v>3</v>
      </c>
      <c r="Q30" s="197">
        <f t="shared" si="2"/>
        <v>3</v>
      </c>
      <c r="R30" s="197" t="str">
        <f t="shared" si="3"/>
        <v>/</v>
      </c>
      <c r="S30" s="197" t="str">
        <f t="shared" si="4"/>
        <v>/</v>
      </c>
      <c r="T30" s="197">
        <f t="shared" si="5"/>
        <v>8.5</v>
      </c>
      <c r="U30" s="197">
        <f t="shared" si="6"/>
        <v>4</v>
      </c>
      <c r="V30" s="197">
        <f t="shared" si="7"/>
        <v>4</v>
      </c>
    </row>
    <row r="31" spans="1:22" hidden="1">
      <c r="A31" s="420" t="s">
        <v>2647</v>
      </c>
      <c r="B31" s="420" t="s">
        <v>100</v>
      </c>
      <c r="C31" s="420" t="s">
        <v>2060</v>
      </c>
      <c r="D31" s="420">
        <v>4</v>
      </c>
      <c r="E31" s="420">
        <v>4</v>
      </c>
      <c r="G31" s="420"/>
      <c r="H31" s="420">
        <v>4</v>
      </c>
      <c r="I31" s="420">
        <v>3</v>
      </c>
      <c r="J31" s="420">
        <v>3</v>
      </c>
      <c r="L31" s="420">
        <v>22</v>
      </c>
      <c r="O31" s="197">
        <f t="shared" si="0"/>
        <v>7</v>
      </c>
      <c r="P31" s="197">
        <f t="shared" si="1"/>
        <v>4</v>
      </c>
      <c r="Q31" s="197">
        <f t="shared" si="2"/>
        <v>4</v>
      </c>
      <c r="R31" s="197" t="str">
        <f t="shared" si="3"/>
        <v>/</v>
      </c>
      <c r="S31" s="197" t="str">
        <f t="shared" si="4"/>
        <v>/</v>
      </c>
      <c r="T31" s="197">
        <f t="shared" si="5"/>
        <v>4</v>
      </c>
      <c r="U31" s="197">
        <f t="shared" si="6"/>
        <v>3</v>
      </c>
      <c r="V31" s="197">
        <f t="shared" si="7"/>
        <v>3</v>
      </c>
    </row>
    <row r="32" spans="1:22">
      <c r="A32" s="420" t="s">
        <v>1186</v>
      </c>
      <c r="B32" s="420" t="s">
        <v>103</v>
      </c>
      <c r="C32" s="420">
        <v>4</v>
      </c>
      <c r="D32" s="420">
        <v>5</v>
      </c>
      <c r="E32" s="420">
        <v>4</v>
      </c>
      <c r="G32" s="420"/>
      <c r="H32" s="420">
        <v>4</v>
      </c>
      <c r="I32" s="420">
        <v>4</v>
      </c>
      <c r="J32" s="420">
        <v>3</v>
      </c>
      <c r="L32" s="420">
        <v>21.5</v>
      </c>
      <c r="O32" s="197">
        <f t="shared" si="0"/>
        <v>4</v>
      </c>
      <c r="P32" s="197">
        <f t="shared" si="1"/>
        <v>5.5</v>
      </c>
      <c r="Q32" s="197">
        <f t="shared" si="2"/>
        <v>4</v>
      </c>
      <c r="R32" s="197" t="str">
        <f t="shared" si="3"/>
        <v>/</v>
      </c>
      <c r="S32" s="197" t="str">
        <f t="shared" si="4"/>
        <v>/</v>
      </c>
      <c r="T32" s="197">
        <f t="shared" si="5"/>
        <v>4</v>
      </c>
      <c r="U32" s="197">
        <f t="shared" si="6"/>
        <v>4</v>
      </c>
      <c r="V32" s="197">
        <f t="shared" si="7"/>
        <v>3</v>
      </c>
    </row>
    <row r="33" spans="1:22" hidden="1">
      <c r="A33" s="420" t="s">
        <v>1186</v>
      </c>
      <c r="B33" s="420" t="s">
        <v>2061</v>
      </c>
      <c r="C33" s="420">
        <v>4</v>
      </c>
      <c r="D33" s="420">
        <v>3</v>
      </c>
      <c r="E33" s="420">
        <v>3</v>
      </c>
      <c r="G33" s="420"/>
      <c r="H33" s="420" t="s">
        <v>2060</v>
      </c>
      <c r="I33" s="420">
        <v>4</v>
      </c>
      <c r="J33" s="420"/>
      <c r="L33" s="420">
        <v>21</v>
      </c>
      <c r="O33" s="197">
        <f t="shared" si="0"/>
        <v>4</v>
      </c>
      <c r="P33" s="197">
        <f t="shared" si="1"/>
        <v>3</v>
      </c>
      <c r="Q33" s="197">
        <f t="shared" si="2"/>
        <v>3</v>
      </c>
      <c r="R33" s="197" t="str">
        <f t="shared" si="3"/>
        <v>/</v>
      </c>
      <c r="S33" s="197" t="str">
        <f t="shared" si="4"/>
        <v>/</v>
      </c>
      <c r="T33" s="197">
        <f t="shared" si="5"/>
        <v>7</v>
      </c>
      <c r="U33" s="197">
        <f t="shared" si="6"/>
        <v>4</v>
      </c>
      <c r="V33" s="197" t="str">
        <f t="shared" si="7"/>
        <v>/</v>
      </c>
    </row>
    <row r="34" spans="1:22" hidden="1">
      <c r="A34" s="420" t="s">
        <v>1186</v>
      </c>
      <c r="B34" s="420" t="s">
        <v>100</v>
      </c>
      <c r="C34" s="420">
        <v>4</v>
      </c>
      <c r="D34" s="420">
        <v>3</v>
      </c>
      <c r="E34" s="420">
        <v>4</v>
      </c>
      <c r="G34" s="420"/>
      <c r="H34" s="420">
        <v>5</v>
      </c>
      <c r="I34" s="420">
        <v>4</v>
      </c>
      <c r="J34" s="420"/>
      <c r="L34" s="420">
        <v>20.5</v>
      </c>
      <c r="O34" s="197">
        <f t="shared" si="0"/>
        <v>4</v>
      </c>
      <c r="P34" s="197">
        <f t="shared" si="1"/>
        <v>3</v>
      </c>
      <c r="Q34" s="197">
        <f t="shared" si="2"/>
        <v>4</v>
      </c>
      <c r="R34" s="197" t="str">
        <f t="shared" si="3"/>
        <v>/</v>
      </c>
      <c r="S34" s="197" t="str">
        <f t="shared" si="4"/>
        <v>/</v>
      </c>
      <c r="T34" s="197">
        <f t="shared" si="5"/>
        <v>5.5</v>
      </c>
      <c r="U34" s="197">
        <f t="shared" si="6"/>
        <v>4</v>
      </c>
      <c r="V34" s="197" t="str">
        <f t="shared" si="7"/>
        <v>/</v>
      </c>
    </row>
    <row r="35" spans="1:22">
      <c r="A35" s="420" t="s">
        <v>1189</v>
      </c>
      <c r="B35" s="420" t="s">
        <v>103</v>
      </c>
      <c r="C35" s="420" t="s">
        <v>324</v>
      </c>
      <c r="D35" s="420" t="s">
        <v>324</v>
      </c>
      <c r="E35" s="420" t="s">
        <v>324</v>
      </c>
      <c r="G35" s="420" t="s">
        <v>324</v>
      </c>
      <c r="H35" s="420" t="s">
        <v>324</v>
      </c>
      <c r="I35" s="420" t="s">
        <v>324</v>
      </c>
      <c r="J35" s="420" t="s">
        <v>324</v>
      </c>
      <c r="L35" s="420" t="s">
        <v>324</v>
      </c>
      <c r="O35" s="197" t="str">
        <f t="shared" si="0"/>
        <v>/</v>
      </c>
      <c r="P35" s="197" t="str">
        <f t="shared" si="1"/>
        <v>/</v>
      </c>
      <c r="Q35" s="197" t="str">
        <f t="shared" si="2"/>
        <v>/</v>
      </c>
      <c r="R35" s="197" t="str">
        <f t="shared" si="3"/>
        <v>/</v>
      </c>
      <c r="S35" s="197" t="str">
        <f t="shared" si="4"/>
        <v>/</v>
      </c>
      <c r="T35" s="197" t="str">
        <f t="shared" si="5"/>
        <v>/</v>
      </c>
      <c r="U35" s="197" t="str">
        <f t="shared" si="6"/>
        <v>/</v>
      </c>
      <c r="V35" s="197" t="str">
        <f t="shared" si="7"/>
        <v>/</v>
      </c>
    </row>
    <row r="36" spans="1:22" hidden="1">
      <c r="A36" s="420" t="s">
        <v>1189</v>
      </c>
      <c r="B36" s="420" t="s">
        <v>2061</v>
      </c>
      <c r="C36" s="420" t="s">
        <v>324</v>
      </c>
      <c r="D36" s="420" t="s">
        <v>324</v>
      </c>
      <c r="E36" s="420" t="s">
        <v>324</v>
      </c>
      <c r="G36" s="420" t="s">
        <v>324</v>
      </c>
      <c r="H36" s="420" t="s">
        <v>324</v>
      </c>
      <c r="I36" s="420" t="s">
        <v>324</v>
      </c>
      <c r="J36" s="420" t="s">
        <v>324</v>
      </c>
      <c r="L36" s="420" t="s">
        <v>324</v>
      </c>
      <c r="O36" s="197" t="str">
        <f t="shared" si="0"/>
        <v>/</v>
      </c>
      <c r="P36" s="197" t="str">
        <f t="shared" si="1"/>
        <v>/</v>
      </c>
      <c r="Q36" s="197" t="str">
        <f t="shared" si="2"/>
        <v>/</v>
      </c>
      <c r="R36" s="197" t="str">
        <f t="shared" si="3"/>
        <v>/</v>
      </c>
      <c r="S36" s="197" t="str">
        <f t="shared" si="4"/>
        <v>/</v>
      </c>
      <c r="T36" s="197" t="str">
        <f t="shared" si="5"/>
        <v>/</v>
      </c>
      <c r="U36" s="197" t="str">
        <f t="shared" si="6"/>
        <v>/</v>
      </c>
      <c r="V36" s="197" t="str">
        <f t="shared" si="7"/>
        <v>/</v>
      </c>
    </row>
    <row r="37" spans="1:22" hidden="1">
      <c r="A37" s="420" t="s">
        <v>1189</v>
      </c>
      <c r="B37" s="420" t="s">
        <v>100</v>
      </c>
      <c r="C37" s="420" t="s">
        <v>324</v>
      </c>
      <c r="D37" s="420" t="s">
        <v>324</v>
      </c>
      <c r="E37" s="420" t="s">
        <v>324</v>
      </c>
      <c r="G37" s="420" t="s">
        <v>324</v>
      </c>
      <c r="H37" s="420" t="s">
        <v>324</v>
      </c>
      <c r="I37" s="420" t="s">
        <v>324</v>
      </c>
      <c r="J37" s="420" t="s">
        <v>324</v>
      </c>
      <c r="L37" s="420" t="s">
        <v>324</v>
      </c>
      <c r="O37" s="197" t="str">
        <f t="shared" si="0"/>
        <v>/</v>
      </c>
      <c r="P37" s="197" t="str">
        <f t="shared" si="1"/>
        <v>/</v>
      </c>
      <c r="Q37" s="197" t="str">
        <f t="shared" si="2"/>
        <v>/</v>
      </c>
      <c r="R37" s="197" t="str">
        <f t="shared" si="3"/>
        <v>/</v>
      </c>
      <c r="S37" s="197" t="str">
        <f t="shared" si="4"/>
        <v>/</v>
      </c>
      <c r="T37" s="197" t="str">
        <f t="shared" si="5"/>
        <v>/</v>
      </c>
      <c r="U37" s="197" t="str">
        <f t="shared" si="6"/>
        <v>/</v>
      </c>
      <c r="V37" s="197" t="str">
        <f t="shared" si="7"/>
        <v>/</v>
      </c>
    </row>
    <row r="38" spans="1:22">
      <c r="A38" s="420" t="s">
        <v>1193</v>
      </c>
      <c r="B38" s="420" t="s">
        <v>103</v>
      </c>
      <c r="C38" s="420">
        <v>5</v>
      </c>
      <c r="D38" s="420">
        <v>5</v>
      </c>
      <c r="E38" s="420">
        <v>3</v>
      </c>
      <c r="G38" s="420"/>
      <c r="H38" s="420">
        <v>5</v>
      </c>
      <c r="I38" s="420">
        <v>4</v>
      </c>
      <c r="J38" s="420">
        <v>4</v>
      </c>
      <c r="L38" s="420">
        <v>24.5</v>
      </c>
      <c r="O38" s="197">
        <f t="shared" si="0"/>
        <v>5.5</v>
      </c>
      <c r="P38" s="197">
        <f t="shared" si="1"/>
        <v>5.5</v>
      </c>
      <c r="Q38" s="197">
        <f t="shared" si="2"/>
        <v>3</v>
      </c>
      <c r="R38" s="197" t="str">
        <f t="shared" si="3"/>
        <v>/</v>
      </c>
      <c r="S38" s="197" t="str">
        <f t="shared" si="4"/>
        <v>/</v>
      </c>
      <c r="T38" s="197">
        <f t="shared" si="5"/>
        <v>5.5</v>
      </c>
      <c r="U38" s="197">
        <f t="shared" si="6"/>
        <v>4</v>
      </c>
      <c r="V38" s="197">
        <f t="shared" si="7"/>
        <v>4</v>
      </c>
    </row>
    <row r="39" spans="1:22" hidden="1">
      <c r="A39" s="420" t="s">
        <v>1193</v>
      </c>
      <c r="B39" s="420" t="s">
        <v>2061</v>
      </c>
      <c r="C39" s="420">
        <v>5</v>
      </c>
      <c r="D39" s="420">
        <v>5</v>
      </c>
      <c r="E39" s="420">
        <v>4</v>
      </c>
      <c r="G39" s="420"/>
      <c r="H39" s="420">
        <v>4</v>
      </c>
      <c r="I39" s="420">
        <v>4</v>
      </c>
      <c r="J39" s="420">
        <v>4</v>
      </c>
      <c r="L39" s="420">
        <v>23</v>
      </c>
      <c r="O39" s="197">
        <f t="shared" si="0"/>
        <v>5.5</v>
      </c>
      <c r="P39" s="197">
        <f t="shared" si="1"/>
        <v>5.5</v>
      </c>
      <c r="Q39" s="197">
        <f t="shared" si="2"/>
        <v>4</v>
      </c>
      <c r="R39" s="197" t="str">
        <f t="shared" si="3"/>
        <v>/</v>
      </c>
      <c r="S39" s="197" t="str">
        <f t="shared" si="4"/>
        <v>/</v>
      </c>
      <c r="T39" s="197">
        <f t="shared" si="5"/>
        <v>4</v>
      </c>
      <c r="U39" s="197">
        <f t="shared" si="6"/>
        <v>4</v>
      </c>
      <c r="V39" s="197">
        <f t="shared" si="7"/>
        <v>4</v>
      </c>
    </row>
    <row r="40" spans="1:22" hidden="1">
      <c r="A40" s="420" t="s">
        <v>1193</v>
      </c>
      <c r="B40" s="420" t="s">
        <v>100</v>
      </c>
      <c r="C40" s="420">
        <v>4</v>
      </c>
      <c r="D40" s="420">
        <v>5</v>
      </c>
      <c r="E40" s="420">
        <v>5</v>
      </c>
      <c r="G40" s="420"/>
      <c r="H40" s="420">
        <v>4</v>
      </c>
      <c r="I40" s="420">
        <v>4</v>
      </c>
      <c r="J40" s="420"/>
      <c r="L40" s="420">
        <v>23</v>
      </c>
      <c r="O40" s="197">
        <f t="shared" si="0"/>
        <v>4</v>
      </c>
      <c r="P40" s="197">
        <f t="shared" si="1"/>
        <v>5.5</v>
      </c>
      <c r="Q40" s="197">
        <f t="shared" si="2"/>
        <v>5.5</v>
      </c>
      <c r="R40" s="197" t="str">
        <f t="shared" si="3"/>
        <v>/</v>
      </c>
      <c r="S40" s="197" t="str">
        <f t="shared" si="4"/>
        <v>/</v>
      </c>
      <c r="T40" s="197">
        <f t="shared" si="5"/>
        <v>4</v>
      </c>
      <c r="U40" s="197">
        <f t="shared" si="6"/>
        <v>4</v>
      </c>
      <c r="V40" s="197" t="str">
        <f t="shared" si="7"/>
        <v>/</v>
      </c>
    </row>
    <row r="41" spans="1:22">
      <c r="A41" s="420" t="s">
        <v>1197</v>
      </c>
      <c r="B41" s="420" t="s">
        <v>103</v>
      </c>
      <c r="C41" s="420">
        <v>4</v>
      </c>
      <c r="D41" s="420">
        <v>3</v>
      </c>
      <c r="E41" s="420">
        <v>5</v>
      </c>
      <c r="G41" s="420">
        <v>5</v>
      </c>
      <c r="H41" s="420">
        <v>5</v>
      </c>
      <c r="I41" s="420">
        <v>4</v>
      </c>
      <c r="J41" s="420"/>
      <c r="L41" s="420">
        <v>24.5</v>
      </c>
      <c r="O41" s="197">
        <f t="shared" si="0"/>
        <v>4</v>
      </c>
      <c r="P41" s="197">
        <f t="shared" si="1"/>
        <v>3</v>
      </c>
      <c r="Q41" s="197">
        <f t="shared" si="2"/>
        <v>5.5</v>
      </c>
      <c r="R41" s="197" t="str">
        <f t="shared" si="3"/>
        <v>/</v>
      </c>
      <c r="S41" s="197">
        <f t="shared" si="4"/>
        <v>5.5</v>
      </c>
      <c r="T41" s="197">
        <f t="shared" si="5"/>
        <v>5.5</v>
      </c>
      <c r="U41" s="197">
        <f t="shared" si="6"/>
        <v>4</v>
      </c>
      <c r="V41" s="197" t="str">
        <f t="shared" si="7"/>
        <v>/</v>
      </c>
    </row>
    <row r="42" spans="1:22" hidden="1">
      <c r="A42" s="420" t="s">
        <v>1197</v>
      </c>
      <c r="B42" s="420" t="s">
        <v>2061</v>
      </c>
      <c r="C42" s="420">
        <v>4</v>
      </c>
      <c r="D42" s="420">
        <v>4</v>
      </c>
      <c r="E42" s="420">
        <v>5</v>
      </c>
      <c r="G42" s="420">
        <v>5</v>
      </c>
      <c r="H42" s="420">
        <v>4</v>
      </c>
      <c r="I42" s="420">
        <v>3</v>
      </c>
      <c r="J42" s="420"/>
      <c r="L42" s="420">
        <v>24</v>
      </c>
      <c r="O42" s="197">
        <f t="shared" si="0"/>
        <v>4</v>
      </c>
      <c r="P42" s="197">
        <f t="shared" si="1"/>
        <v>4</v>
      </c>
      <c r="Q42" s="197">
        <f t="shared" si="2"/>
        <v>5.5</v>
      </c>
      <c r="R42" s="197" t="str">
        <f t="shared" si="3"/>
        <v>/</v>
      </c>
      <c r="S42" s="197">
        <f t="shared" si="4"/>
        <v>5.5</v>
      </c>
      <c r="T42" s="197">
        <f t="shared" si="5"/>
        <v>4</v>
      </c>
      <c r="U42" s="197">
        <f t="shared" si="6"/>
        <v>3</v>
      </c>
      <c r="V42" s="197" t="str">
        <f t="shared" si="7"/>
        <v>/</v>
      </c>
    </row>
    <row r="43" spans="1:22" hidden="1">
      <c r="A43" s="420" t="s">
        <v>1197</v>
      </c>
      <c r="B43" s="420" t="s">
        <v>100</v>
      </c>
      <c r="C43" s="420">
        <v>5</v>
      </c>
      <c r="D43" s="420">
        <v>5</v>
      </c>
      <c r="E43" s="420">
        <v>4</v>
      </c>
      <c r="G43" s="420"/>
      <c r="H43" s="420">
        <v>4</v>
      </c>
      <c r="I43" s="420">
        <v>3</v>
      </c>
      <c r="J43" s="420">
        <v>3</v>
      </c>
      <c r="L43" s="420">
        <v>23.375</v>
      </c>
      <c r="O43" s="197">
        <f t="shared" si="0"/>
        <v>5.5</v>
      </c>
      <c r="P43" s="197">
        <f t="shared" si="1"/>
        <v>5.5</v>
      </c>
      <c r="Q43" s="197">
        <f t="shared" si="2"/>
        <v>4</v>
      </c>
      <c r="R43" s="197" t="str">
        <f t="shared" si="3"/>
        <v>/</v>
      </c>
      <c r="S43" s="197" t="str">
        <f t="shared" si="4"/>
        <v>/</v>
      </c>
      <c r="T43" s="197">
        <f t="shared" si="5"/>
        <v>4</v>
      </c>
      <c r="U43" s="197">
        <f t="shared" si="6"/>
        <v>3</v>
      </c>
      <c r="V43" s="197">
        <f t="shared" si="7"/>
        <v>3</v>
      </c>
    </row>
    <row r="44" spans="1:22">
      <c r="A44" s="420" t="s">
        <v>1201</v>
      </c>
      <c r="B44" s="420" t="s">
        <v>103</v>
      </c>
      <c r="C44" s="420">
        <v>5</v>
      </c>
      <c r="D44" s="420">
        <v>3</v>
      </c>
      <c r="E44" s="420">
        <v>4</v>
      </c>
      <c r="G44" s="420"/>
      <c r="H44" s="420" t="s">
        <v>2062</v>
      </c>
      <c r="I44" s="420">
        <v>5</v>
      </c>
      <c r="J44" s="420"/>
      <c r="L44" s="420">
        <v>26.5</v>
      </c>
      <c r="O44" s="197">
        <f t="shared" si="0"/>
        <v>5.5</v>
      </c>
      <c r="P44" s="197">
        <f t="shared" si="1"/>
        <v>3</v>
      </c>
      <c r="Q44" s="197">
        <f t="shared" si="2"/>
        <v>4</v>
      </c>
      <c r="R44" s="197" t="str">
        <f t="shared" si="3"/>
        <v>/</v>
      </c>
      <c r="S44" s="197" t="str">
        <f t="shared" si="4"/>
        <v>/</v>
      </c>
      <c r="T44" s="197">
        <f t="shared" si="5"/>
        <v>8.5</v>
      </c>
      <c r="U44" s="197">
        <f t="shared" si="6"/>
        <v>5.5</v>
      </c>
      <c r="V44" s="197" t="str">
        <f t="shared" si="7"/>
        <v>/</v>
      </c>
    </row>
    <row r="45" spans="1:22" hidden="1">
      <c r="A45" s="420" t="s">
        <v>1201</v>
      </c>
      <c r="B45" s="420" t="s">
        <v>2061</v>
      </c>
      <c r="C45" s="420">
        <v>4</v>
      </c>
      <c r="D45" s="420">
        <v>4</v>
      </c>
      <c r="E45" s="420">
        <v>5</v>
      </c>
      <c r="G45" s="420"/>
      <c r="H45" s="420" t="s">
        <v>2060</v>
      </c>
      <c r="I45" s="420">
        <v>5</v>
      </c>
      <c r="J45" s="420">
        <v>2</v>
      </c>
      <c r="L45" s="420">
        <v>26</v>
      </c>
      <c r="O45" s="197">
        <f t="shared" si="0"/>
        <v>4</v>
      </c>
      <c r="P45" s="197">
        <f t="shared" si="1"/>
        <v>4</v>
      </c>
      <c r="Q45" s="197">
        <f t="shared" si="2"/>
        <v>5.5</v>
      </c>
      <c r="R45" s="197" t="str">
        <f t="shared" si="3"/>
        <v>/</v>
      </c>
      <c r="S45" s="197" t="str">
        <f t="shared" si="4"/>
        <v>/</v>
      </c>
      <c r="T45" s="197">
        <f t="shared" si="5"/>
        <v>7</v>
      </c>
      <c r="U45" s="197">
        <f t="shared" si="6"/>
        <v>5.5</v>
      </c>
      <c r="V45" s="197">
        <f t="shared" si="7"/>
        <v>2</v>
      </c>
    </row>
    <row r="46" spans="1:22" hidden="1">
      <c r="A46" s="420" t="s">
        <v>1201</v>
      </c>
      <c r="B46" s="420" t="s">
        <v>100</v>
      </c>
      <c r="C46" s="420">
        <v>4</v>
      </c>
      <c r="D46" s="420">
        <v>4</v>
      </c>
      <c r="E46" s="420" t="s">
        <v>2060</v>
      </c>
      <c r="G46" s="420">
        <v>5</v>
      </c>
      <c r="H46" s="420">
        <v>4</v>
      </c>
      <c r="I46" s="420">
        <v>4</v>
      </c>
      <c r="J46" s="420"/>
      <c r="L46" s="420">
        <v>24.5</v>
      </c>
      <c r="O46" s="197">
        <f t="shared" si="0"/>
        <v>4</v>
      </c>
      <c r="P46" s="197">
        <f t="shared" si="1"/>
        <v>4</v>
      </c>
      <c r="Q46" s="197">
        <f t="shared" si="2"/>
        <v>7</v>
      </c>
      <c r="R46" s="197" t="str">
        <f t="shared" si="3"/>
        <v>/</v>
      </c>
      <c r="S46" s="197">
        <f t="shared" si="4"/>
        <v>5.5</v>
      </c>
      <c r="T46" s="197">
        <f t="shared" si="5"/>
        <v>4</v>
      </c>
      <c r="U46" s="197">
        <f t="shared" si="6"/>
        <v>4</v>
      </c>
      <c r="V46" s="197" t="str">
        <f t="shared" si="7"/>
        <v>/</v>
      </c>
    </row>
    <row r="47" spans="1:22">
      <c r="A47" s="420" t="s">
        <v>1204</v>
      </c>
      <c r="B47" s="420" t="s">
        <v>103</v>
      </c>
      <c r="C47" s="420" t="s">
        <v>2062</v>
      </c>
      <c r="D47" s="420" t="s">
        <v>2060</v>
      </c>
      <c r="E47" s="420" t="s">
        <v>2060</v>
      </c>
      <c r="G47" s="420">
        <v>5</v>
      </c>
      <c r="H47" s="420" t="s">
        <v>2062</v>
      </c>
      <c r="I47" s="420" t="s">
        <v>2062</v>
      </c>
      <c r="J47" s="420"/>
      <c r="L47" s="420">
        <v>39.5</v>
      </c>
      <c r="O47" s="197">
        <f t="shared" si="0"/>
        <v>8.5</v>
      </c>
      <c r="P47" s="197">
        <f t="shared" si="1"/>
        <v>7</v>
      </c>
      <c r="Q47" s="197">
        <f t="shared" si="2"/>
        <v>7</v>
      </c>
      <c r="R47" s="197" t="str">
        <f t="shared" si="3"/>
        <v>/</v>
      </c>
      <c r="S47" s="197">
        <f t="shared" si="4"/>
        <v>5.5</v>
      </c>
      <c r="T47" s="197">
        <f t="shared" si="5"/>
        <v>8.5</v>
      </c>
      <c r="U47" s="197">
        <f t="shared" si="6"/>
        <v>8.5</v>
      </c>
      <c r="V47" s="197" t="str">
        <f t="shared" si="7"/>
        <v>/</v>
      </c>
    </row>
    <row r="48" spans="1:22" hidden="1">
      <c r="A48" s="420" t="s">
        <v>1204</v>
      </c>
      <c r="B48" s="420" t="s">
        <v>2061</v>
      </c>
      <c r="C48" s="420">
        <v>4</v>
      </c>
      <c r="D48" s="420" t="s">
        <v>2060</v>
      </c>
      <c r="E48" s="420" t="s">
        <v>2060</v>
      </c>
      <c r="G48" s="420" t="s">
        <v>2060</v>
      </c>
      <c r="H48" s="420" t="s">
        <v>2060</v>
      </c>
      <c r="I48" s="420" t="s">
        <v>2060</v>
      </c>
      <c r="J48" s="420" t="s">
        <v>2060</v>
      </c>
      <c r="L48" s="420">
        <v>35</v>
      </c>
      <c r="O48" s="197">
        <f t="shared" si="0"/>
        <v>4</v>
      </c>
      <c r="P48" s="197">
        <f t="shared" si="1"/>
        <v>7</v>
      </c>
      <c r="Q48" s="197">
        <f t="shared" si="2"/>
        <v>7</v>
      </c>
      <c r="R48" s="197" t="str">
        <f t="shared" si="3"/>
        <v>/</v>
      </c>
      <c r="S48" s="197">
        <f t="shared" si="4"/>
        <v>7</v>
      </c>
      <c r="T48" s="197">
        <f t="shared" si="5"/>
        <v>7</v>
      </c>
      <c r="U48" s="197">
        <f t="shared" si="6"/>
        <v>7</v>
      </c>
      <c r="V48" s="197">
        <f t="shared" si="7"/>
        <v>7</v>
      </c>
    </row>
    <row r="49" spans="1:22" hidden="1">
      <c r="A49" s="420" t="s">
        <v>1204</v>
      </c>
      <c r="B49" s="420" t="s">
        <v>100</v>
      </c>
      <c r="C49" s="420" t="s">
        <v>2060</v>
      </c>
      <c r="D49" s="420" t="s">
        <v>2062</v>
      </c>
      <c r="E49" s="420">
        <v>5</v>
      </c>
      <c r="G49" s="420"/>
      <c r="H49" s="420" t="s">
        <v>2060</v>
      </c>
      <c r="I49" s="420" t="s">
        <v>2060</v>
      </c>
      <c r="J49" s="420">
        <v>5</v>
      </c>
      <c r="L49" s="420">
        <v>35</v>
      </c>
      <c r="O49" s="197">
        <f t="shared" si="0"/>
        <v>7</v>
      </c>
      <c r="P49" s="197">
        <f t="shared" si="1"/>
        <v>8.5</v>
      </c>
      <c r="Q49" s="197">
        <f t="shared" si="2"/>
        <v>5.5</v>
      </c>
      <c r="R49" s="197" t="str">
        <f t="shared" si="3"/>
        <v>/</v>
      </c>
      <c r="S49" s="197" t="str">
        <f t="shared" si="4"/>
        <v>/</v>
      </c>
      <c r="T49" s="197">
        <f t="shared" si="5"/>
        <v>7</v>
      </c>
      <c r="U49" s="197">
        <f t="shared" si="6"/>
        <v>7</v>
      </c>
      <c r="V49" s="197">
        <f t="shared" si="7"/>
        <v>5.5</v>
      </c>
    </row>
    <row r="50" spans="1:22">
      <c r="A50" s="420" t="s">
        <v>1207</v>
      </c>
      <c r="B50" s="420" t="s">
        <v>103</v>
      </c>
      <c r="C50" s="420">
        <v>3</v>
      </c>
      <c r="D50" s="420">
        <v>5</v>
      </c>
      <c r="E50" s="420">
        <v>4</v>
      </c>
      <c r="G50" s="420"/>
      <c r="H50" s="420" t="s">
        <v>2060</v>
      </c>
      <c r="I50" s="420">
        <v>4</v>
      </c>
      <c r="J50" s="420">
        <v>3</v>
      </c>
      <c r="L50" s="420">
        <v>23.5</v>
      </c>
      <c r="O50" s="197">
        <f t="shared" si="0"/>
        <v>3</v>
      </c>
      <c r="P50" s="197">
        <f t="shared" si="1"/>
        <v>5.5</v>
      </c>
      <c r="Q50" s="197">
        <f t="shared" si="2"/>
        <v>4</v>
      </c>
      <c r="R50" s="197" t="str">
        <f t="shared" si="3"/>
        <v>/</v>
      </c>
      <c r="S50" s="197" t="str">
        <f t="shared" si="4"/>
        <v>/</v>
      </c>
      <c r="T50" s="197">
        <f t="shared" si="5"/>
        <v>7</v>
      </c>
      <c r="U50" s="197">
        <f t="shared" si="6"/>
        <v>4</v>
      </c>
      <c r="V50" s="197">
        <f t="shared" si="7"/>
        <v>3</v>
      </c>
    </row>
    <row r="51" spans="1:22" hidden="1">
      <c r="A51" s="420" t="s">
        <v>1207</v>
      </c>
      <c r="B51" s="420" t="s">
        <v>2061</v>
      </c>
      <c r="C51" s="420" t="s">
        <v>2060</v>
      </c>
      <c r="D51" s="420">
        <v>4</v>
      </c>
      <c r="E51" s="420">
        <v>4</v>
      </c>
      <c r="G51" s="420"/>
      <c r="H51" s="420">
        <v>4</v>
      </c>
      <c r="I51" s="420">
        <v>4</v>
      </c>
      <c r="J51" s="420">
        <v>3</v>
      </c>
      <c r="L51" s="420">
        <v>23</v>
      </c>
      <c r="O51" s="197">
        <f t="shared" si="0"/>
        <v>7</v>
      </c>
      <c r="P51" s="197">
        <f t="shared" si="1"/>
        <v>4</v>
      </c>
      <c r="Q51" s="197">
        <f t="shared" si="2"/>
        <v>4</v>
      </c>
      <c r="R51" s="197" t="str">
        <f t="shared" si="3"/>
        <v>/</v>
      </c>
      <c r="S51" s="197" t="str">
        <f t="shared" si="4"/>
        <v>/</v>
      </c>
      <c r="T51" s="197">
        <f t="shared" si="5"/>
        <v>4</v>
      </c>
      <c r="U51" s="197">
        <f t="shared" si="6"/>
        <v>4</v>
      </c>
      <c r="V51" s="197">
        <f t="shared" si="7"/>
        <v>3</v>
      </c>
    </row>
    <row r="52" spans="1:22" hidden="1">
      <c r="A52" s="420" t="s">
        <v>1207</v>
      </c>
      <c r="B52" s="420" t="s">
        <v>100</v>
      </c>
      <c r="C52" s="420">
        <v>3</v>
      </c>
      <c r="D52" s="420">
        <v>3</v>
      </c>
      <c r="E52" s="420">
        <v>5</v>
      </c>
      <c r="G52" s="420"/>
      <c r="H52" s="420">
        <v>5</v>
      </c>
      <c r="I52" s="420">
        <v>5</v>
      </c>
      <c r="J52" s="420"/>
      <c r="L52" s="420">
        <v>22.5</v>
      </c>
      <c r="O52" s="197">
        <f t="shared" si="0"/>
        <v>3</v>
      </c>
      <c r="P52" s="197">
        <f t="shared" si="1"/>
        <v>3</v>
      </c>
      <c r="Q52" s="197">
        <f t="shared" si="2"/>
        <v>5.5</v>
      </c>
      <c r="R52" s="197" t="str">
        <f t="shared" si="3"/>
        <v>/</v>
      </c>
      <c r="S52" s="197" t="str">
        <f t="shared" si="4"/>
        <v>/</v>
      </c>
      <c r="T52" s="197">
        <f t="shared" si="5"/>
        <v>5.5</v>
      </c>
      <c r="U52" s="197">
        <f t="shared" si="6"/>
        <v>5.5</v>
      </c>
      <c r="V52" s="197" t="str">
        <f t="shared" si="7"/>
        <v>/</v>
      </c>
    </row>
    <row r="53" spans="1:22">
      <c r="A53" s="420" t="s">
        <v>1210</v>
      </c>
      <c r="B53" s="420" t="s">
        <v>103</v>
      </c>
      <c r="C53" s="420">
        <v>4</v>
      </c>
      <c r="D53" s="420">
        <v>3</v>
      </c>
      <c r="E53" s="420" t="s">
        <v>2062</v>
      </c>
      <c r="G53" s="420" t="s">
        <v>2060</v>
      </c>
      <c r="H53" s="420" t="s">
        <v>2060</v>
      </c>
      <c r="I53" s="420" t="s">
        <v>2060</v>
      </c>
      <c r="J53" s="420"/>
      <c r="L53" s="420">
        <v>32.5</v>
      </c>
      <c r="O53" s="197">
        <f t="shared" si="0"/>
        <v>4</v>
      </c>
      <c r="P53" s="197">
        <f t="shared" si="1"/>
        <v>3</v>
      </c>
      <c r="Q53" s="197">
        <f t="shared" si="2"/>
        <v>8.5</v>
      </c>
      <c r="R53" s="197" t="str">
        <f t="shared" si="3"/>
        <v>/</v>
      </c>
      <c r="S53" s="197">
        <f t="shared" si="4"/>
        <v>7</v>
      </c>
      <c r="T53" s="197">
        <f t="shared" si="5"/>
        <v>7</v>
      </c>
      <c r="U53" s="197">
        <f t="shared" si="6"/>
        <v>7</v>
      </c>
      <c r="V53" s="197" t="str">
        <f t="shared" si="7"/>
        <v>/</v>
      </c>
    </row>
    <row r="54" spans="1:22" hidden="1">
      <c r="A54" s="420" t="s">
        <v>1210</v>
      </c>
      <c r="B54" s="420" t="s">
        <v>2061</v>
      </c>
      <c r="C54" s="420">
        <v>4</v>
      </c>
      <c r="D54" s="420">
        <v>4</v>
      </c>
      <c r="E54" s="420" t="s">
        <v>2060</v>
      </c>
      <c r="G54" s="420" t="s">
        <v>2062</v>
      </c>
      <c r="H54" s="420" t="s">
        <v>2060</v>
      </c>
      <c r="I54" s="420">
        <v>5</v>
      </c>
      <c r="J54" s="420"/>
      <c r="L54" s="420">
        <v>32</v>
      </c>
      <c r="O54" s="197">
        <f t="shared" si="0"/>
        <v>4</v>
      </c>
      <c r="P54" s="197">
        <f t="shared" si="1"/>
        <v>4</v>
      </c>
      <c r="Q54" s="197">
        <f t="shared" si="2"/>
        <v>7</v>
      </c>
      <c r="R54" s="197" t="str">
        <f t="shared" si="3"/>
        <v>/</v>
      </c>
      <c r="S54" s="197">
        <f t="shared" si="4"/>
        <v>8.5</v>
      </c>
      <c r="T54" s="197">
        <f t="shared" si="5"/>
        <v>7</v>
      </c>
      <c r="U54" s="197">
        <f t="shared" si="6"/>
        <v>5.5</v>
      </c>
      <c r="V54" s="197" t="str">
        <f t="shared" si="7"/>
        <v>/</v>
      </c>
    </row>
    <row r="55" spans="1:22" hidden="1">
      <c r="A55" s="420" t="s">
        <v>1210</v>
      </c>
      <c r="B55" s="420" t="s">
        <v>100</v>
      </c>
      <c r="C55" s="420" t="s">
        <v>2062</v>
      </c>
      <c r="D55" s="420">
        <v>4</v>
      </c>
      <c r="E55" s="420" t="s">
        <v>2060</v>
      </c>
      <c r="G55" s="420">
        <v>5</v>
      </c>
      <c r="H55" s="420">
        <v>5</v>
      </c>
      <c r="I55" s="420">
        <v>4</v>
      </c>
      <c r="J55" s="420">
        <v>4</v>
      </c>
      <c r="L55" s="420">
        <v>30.5</v>
      </c>
      <c r="O55" s="197">
        <f t="shared" si="0"/>
        <v>8.5</v>
      </c>
      <c r="P55" s="197">
        <f t="shared" si="1"/>
        <v>4</v>
      </c>
      <c r="Q55" s="197">
        <f t="shared" si="2"/>
        <v>7</v>
      </c>
      <c r="R55" s="197" t="str">
        <f t="shared" si="3"/>
        <v>/</v>
      </c>
      <c r="S55" s="197">
        <f t="shared" si="4"/>
        <v>5.5</v>
      </c>
      <c r="T55" s="197">
        <f t="shared" si="5"/>
        <v>5.5</v>
      </c>
      <c r="U55" s="197">
        <f t="shared" si="6"/>
        <v>4</v>
      </c>
      <c r="V55" s="197">
        <f t="shared" si="7"/>
        <v>4</v>
      </c>
    </row>
    <row r="56" spans="1:22">
      <c r="A56" s="420" t="s">
        <v>1215</v>
      </c>
      <c r="B56" s="420" t="s">
        <v>103</v>
      </c>
      <c r="C56" s="420" t="s">
        <v>2060</v>
      </c>
      <c r="D56" s="420">
        <v>3</v>
      </c>
      <c r="E56" s="420">
        <v>4</v>
      </c>
      <c r="G56" s="420"/>
      <c r="H56" s="420" t="s">
        <v>2060</v>
      </c>
      <c r="I56" s="420">
        <v>5</v>
      </c>
      <c r="J56" s="420"/>
      <c r="L56" s="420">
        <v>26.5</v>
      </c>
      <c r="O56" s="197">
        <f t="shared" si="0"/>
        <v>7</v>
      </c>
      <c r="P56" s="197">
        <f t="shared" si="1"/>
        <v>3</v>
      </c>
      <c r="Q56" s="197">
        <f t="shared" si="2"/>
        <v>4</v>
      </c>
      <c r="R56" s="197" t="str">
        <f t="shared" si="3"/>
        <v>/</v>
      </c>
      <c r="S56" s="197" t="str">
        <f t="shared" si="4"/>
        <v>/</v>
      </c>
      <c r="T56" s="197">
        <f t="shared" si="5"/>
        <v>7</v>
      </c>
      <c r="U56" s="197">
        <f t="shared" si="6"/>
        <v>5.5</v>
      </c>
      <c r="V56" s="197" t="str">
        <f t="shared" si="7"/>
        <v>/</v>
      </c>
    </row>
    <row r="57" spans="1:22" hidden="1">
      <c r="A57" s="420" t="s">
        <v>1215</v>
      </c>
      <c r="B57" s="420" t="s">
        <v>2061</v>
      </c>
      <c r="C57" s="420">
        <v>5</v>
      </c>
      <c r="D57" s="420">
        <v>4</v>
      </c>
      <c r="E57" s="420">
        <v>4</v>
      </c>
      <c r="G57" s="420"/>
      <c r="H57" s="420" t="s">
        <v>2060</v>
      </c>
      <c r="I57" s="420">
        <v>5</v>
      </c>
      <c r="J57" s="420"/>
      <c r="L57" s="420">
        <v>26</v>
      </c>
      <c r="O57" s="197">
        <f t="shared" si="0"/>
        <v>5.5</v>
      </c>
      <c r="P57" s="197">
        <f t="shared" si="1"/>
        <v>4</v>
      </c>
      <c r="Q57" s="197">
        <f t="shared" si="2"/>
        <v>4</v>
      </c>
      <c r="R57" s="197" t="str">
        <f t="shared" si="3"/>
        <v>/</v>
      </c>
      <c r="S57" s="197" t="str">
        <f t="shared" si="4"/>
        <v>/</v>
      </c>
      <c r="T57" s="197">
        <f t="shared" si="5"/>
        <v>7</v>
      </c>
      <c r="U57" s="197">
        <f t="shared" si="6"/>
        <v>5.5</v>
      </c>
      <c r="V57" s="197" t="str">
        <f t="shared" si="7"/>
        <v>/</v>
      </c>
    </row>
    <row r="58" spans="1:22" hidden="1">
      <c r="A58" s="420" t="s">
        <v>1215</v>
      </c>
      <c r="B58" s="420" t="s">
        <v>100</v>
      </c>
      <c r="C58" s="420">
        <v>5</v>
      </c>
      <c r="D58" s="420">
        <v>4</v>
      </c>
      <c r="E58" s="420">
        <v>5</v>
      </c>
      <c r="G58" s="420"/>
      <c r="H58" s="420">
        <v>5</v>
      </c>
      <c r="I58" s="420">
        <v>4</v>
      </c>
      <c r="J58" s="420">
        <v>4</v>
      </c>
      <c r="L58" s="420">
        <v>24.5</v>
      </c>
      <c r="O58" s="197">
        <f t="shared" si="0"/>
        <v>5.5</v>
      </c>
      <c r="P58" s="197">
        <f t="shared" si="1"/>
        <v>4</v>
      </c>
      <c r="Q58" s="197">
        <f t="shared" si="2"/>
        <v>5.5</v>
      </c>
      <c r="R58" s="197" t="str">
        <f t="shared" si="3"/>
        <v>/</v>
      </c>
      <c r="S58" s="197" t="str">
        <f t="shared" si="4"/>
        <v>/</v>
      </c>
      <c r="T58" s="197">
        <f t="shared" si="5"/>
        <v>5.5</v>
      </c>
      <c r="U58" s="197">
        <f t="shared" si="6"/>
        <v>4</v>
      </c>
      <c r="V58" s="197">
        <f t="shared" si="7"/>
        <v>4</v>
      </c>
    </row>
    <row r="59" spans="1:22">
      <c r="A59" s="420" t="s">
        <v>1218</v>
      </c>
      <c r="B59" s="420" t="s">
        <v>103</v>
      </c>
      <c r="C59" s="420">
        <v>5</v>
      </c>
      <c r="D59" s="420" t="s">
        <v>2060</v>
      </c>
      <c r="E59" s="420" t="s">
        <v>2062</v>
      </c>
      <c r="G59" s="420">
        <v>5</v>
      </c>
      <c r="H59" s="420" t="s">
        <v>2060</v>
      </c>
      <c r="I59" s="420">
        <v>5</v>
      </c>
      <c r="J59" s="420">
        <v>5</v>
      </c>
      <c r="L59" s="420">
        <v>52.5</v>
      </c>
      <c r="O59" s="197">
        <f t="shared" si="0"/>
        <v>5.5</v>
      </c>
      <c r="P59" s="197">
        <f t="shared" si="1"/>
        <v>7</v>
      </c>
      <c r="Q59" s="197">
        <f t="shared" si="2"/>
        <v>8.5</v>
      </c>
      <c r="R59" s="197" t="str">
        <f t="shared" si="3"/>
        <v>/</v>
      </c>
      <c r="S59" s="197">
        <f t="shared" si="4"/>
        <v>5.5</v>
      </c>
      <c r="T59" s="197">
        <f t="shared" si="5"/>
        <v>7</v>
      </c>
      <c r="U59" s="197">
        <f t="shared" si="6"/>
        <v>5.5</v>
      </c>
      <c r="V59" s="197">
        <f t="shared" si="7"/>
        <v>5.5</v>
      </c>
    </row>
    <row r="60" spans="1:22" hidden="1">
      <c r="A60" s="420" t="s">
        <v>1218</v>
      </c>
      <c r="B60" s="420" t="s">
        <v>2061</v>
      </c>
      <c r="C60" s="420">
        <v>5</v>
      </c>
      <c r="D60" s="420" t="s">
        <v>2060</v>
      </c>
      <c r="E60" s="420">
        <v>5</v>
      </c>
      <c r="G60" s="420"/>
      <c r="H60" s="420" t="s">
        <v>2062</v>
      </c>
      <c r="I60" s="420" t="s">
        <v>2060</v>
      </c>
      <c r="J60" s="420" t="s">
        <v>2060</v>
      </c>
      <c r="L60" s="420">
        <v>51.75</v>
      </c>
      <c r="O60" s="197">
        <f t="shared" si="0"/>
        <v>5.5</v>
      </c>
      <c r="P60" s="197">
        <f t="shared" si="1"/>
        <v>7</v>
      </c>
      <c r="Q60" s="197">
        <f t="shared" si="2"/>
        <v>5.5</v>
      </c>
      <c r="R60" s="197" t="str">
        <f t="shared" si="3"/>
        <v>/</v>
      </c>
      <c r="S60" s="197" t="str">
        <f t="shared" si="4"/>
        <v>/</v>
      </c>
      <c r="T60" s="197">
        <f t="shared" si="5"/>
        <v>8.5</v>
      </c>
      <c r="U60" s="197">
        <f t="shared" si="6"/>
        <v>7</v>
      </c>
      <c r="V60" s="197">
        <f t="shared" si="7"/>
        <v>7</v>
      </c>
    </row>
    <row r="61" spans="1:22" hidden="1">
      <c r="A61" s="420" t="s">
        <v>1218</v>
      </c>
      <c r="B61" s="420" t="s">
        <v>100</v>
      </c>
      <c r="C61" s="420">
        <v>5</v>
      </c>
      <c r="D61" s="420" t="s">
        <v>2060</v>
      </c>
      <c r="E61" s="420" t="s">
        <v>2060</v>
      </c>
      <c r="G61" s="420" t="s">
        <v>2060</v>
      </c>
      <c r="H61" s="420" t="s">
        <v>2060</v>
      </c>
      <c r="I61" s="420">
        <v>5</v>
      </c>
      <c r="J61" s="420">
        <v>4</v>
      </c>
      <c r="L61" s="420">
        <v>51</v>
      </c>
      <c r="O61" s="197">
        <f t="shared" si="0"/>
        <v>5.5</v>
      </c>
      <c r="P61" s="197">
        <f t="shared" si="1"/>
        <v>7</v>
      </c>
      <c r="Q61" s="197">
        <f t="shared" si="2"/>
        <v>7</v>
      </c>
      <c r="R61" s="197" t="str">
        <f t="shared" si="3"/>
        <v>/</v>
      </c>
      <c r="S61" s="197">
        <f t="shared" si="4"/>
        <v>7</v>
      </c>
      <c r="T61" s="197">
        <f t="shared" si="5"/>
        <v>7</v>
      </c>
      <c r="U61" s="197">
        <f t="shared" si="6"/>
        <v>5.5</v>
      </c>
      <c r="V61" s="197">
        <f t="shared" si="7"/>
        <v>4</v>
      </c>
    </row>
    <row r="62" spans="1:22">
      <c r="A62" s="420" t="s">
        <v>1221</v>
      </c>
      <c r="B62" s="420" t="s">
        <v>103</v>
      </c>
      <c r="C62" s="420" t="s">
        <v>2060</v>
      </c>
      <c r="D62" s="420" t="s">
        <v>2060</v>
      </c>
      <c r="E62" s="420">
        <v>5</v>
      </c>
      <c r="G62" s="420">
        <v>4</v>
      </c>
      <c r="H62" s="420" t="s">
        <v>2060</v>
      </c>
      <c r="I62" s="420" t="s">
        <v>2060</v>
      </c>
      <c r="J62" s="420">
        <v>4</v>
      </c>
      <c r="L62" s="420">
        <v>33.5</v>
      </c>
      <c r="O62" s="197">
        <f t="shared" si="0"/>
        <v>7</v>
      </c>
      <c r="P62" s="197">
        <f t="shared" si="1"/>
        <v>7</v>
      </c>
      <c r="Q62" s="197">
        <f t="shared" si="2"/>
        <v>5.5</v>
      </c>
      <c r="R62" s="197" t="str">
        <f t="shared" si="3"/>
        <v>/</v>
      </c>
      <c r="S62" s="197">
        <f t="shared" si="4"/>
        <v>4</v>
      </c>
      <c r="T62" s="197">
        <f t="shared" si="5"/>
        <v>7</v>
      </c>
      <c r="U62" s="197">
        <f t="shared" si="6"/>
        <v>7</v>
      </c>
      <c r="V62" s="197">
        <f t="shared" si="7"/>
        <v>4</v>
      </c>
    </row>
    <row r="63" spans="1:22" hidden="1">
      <c r="A63" s="420" t="s">
        <v>1221</v>
      </c>
      <c r="B63" s="420" t="s">
        <v>2061</v>
      </c>
      <c r="C63" s="420" t="s">
        <v>2060</v>
      </c>
      <c r="D63" s="420">
        <v>5</v>
      </c>
      <c r="E63" s="420" t="s">
        <v>2060</v>
      </c>
      <c r="G63" s="420"/>
      <c r="H63" s="420" t="s">
        <v>2060</v>
      </c>
      <c r="I63" s="420" t="s">
        <v>2060</v>
      </c>
      <c r="J63" s="420">
        <v>4</v>
      </c>
      <c r="L63" s="420">
        <v>33.5</v>
      </c>
      <c r="O63" s="197">
        <f t="shared" si="0"/>
        <v>7</v>
      </c>
      <c r="P63" s="197">
        <f t="shared" si="1"/>
        <v>5.5</v>
      </c>
      <c r="Q63" s="197">
        <f t="shared" si="2"/>
        <v>7</v>
      </c>
      <c r="R63" s="197" t="str">
        <f t="shared" si="3"/>
        <v>/</v>
      </c>
      <c r="S63" s="197" t="str">
        <f t="shared" si="4"/>
        <v>/</v>
      </c>
      <c r="T63" s="197">
        <f t="shared" si="5"/>
        <v>7</v>
      </c>
      <c r="U63" s="197">
        <f t="shared" si="6"/>
        <v>7</v>
      </c>
      <c r="V63" s="197">
        <f t="shared" si="7"/>
        <v>4</v>
      </c>
    </row>
    <row r="64" spans="1:22" hidden="1">
      <c r="A64" s="420" t="s">
        <v>1221</v>
      </c>
      <c r="B64" s="420" t="s">
        <v>100</v>
      </c>
      <c r="C64" s="420">
        <v>5</v>
      </c>
      <c r="D64" s="420">
        <v>5</v>
      </c>
      <c r="E64" s="420">
        <v>5</v>
      </c>
      <c r="G64" s="420"/>
      <c r="H64" s="420" t="s">
        <v>2062</v>
      </c>
      <c r="I64" s="420" t="s">
        <v>2060</v>
      </c>
      <c r="J64" s="420">
        <v>5</v>
      </c>
      <c r="L64" s="420">
        <v>32</v>
      </c>
      <c r="O64" s="197">
        <f t="shared" si="0"/>
        <v>5.5</v>
      </c>
      <c r="P64" s="197">
        <f t="shared" si="1"/>
        <v>5.5</v>
      </c>
      <c r="Q64" s="197">
        <f t="shared" si="2"/>
        <v>5.5</v>
      </c>
      <c r="R64" s="197" t="str">
        <f t="shared" si="3"/>
        <v>/</v>
      </c>
      <c r="S64" s="197" t="str">
        <f t="shared" si="4"/>
        <v>/</v>
      </c>
      <c r="T64" s="197">
        <f t="shared" si="5"/>
        <v>8.5</v>
      </c>
      <c r="U64" s="197">
        <f t="shared" si="6"/>
        <v>7</v>
      </c>
      <c r="V64" s="197">
        <f t="shared" si="7"/>
        <v>5.5</v>
      </c>
    </row>
    <row r="65" spans="1:22">
      <c r="A65" s="420" t="s">
        <v>1225</v>
      </c>
      <c r="B65" s="420" t="s">
        <v>103</v>
      </c>
      <c r="C65" s="420">
        <v>5</v>
      </c>
      <c r="D65" s="420" t="s">
        <v>2060</v>
      </c>
      <c r="E65" s="420">
        <v>4</v>
      </c>
      <c r="G65" s="420"/>
      <c r="H65" s="420" t="s">
        <v>2062</v>
      </c>
      <c r="I65" s="420">
        <v>5</v>
      </c>
      <c r="J65" s="420">
        <v>5</v>
      </c>
      <c r="L65" s="420">
        <v>40.25</v>
      </c>
      <c r="O65" s="197">
        <f t="shared" si="0"/>
        <v>5.5</v>
      </c>
      <c r="P65" s="197">
        <f t="shared" si="1"/>
        <v>7</v>
      </c>
      <c r="Q65" s="197">
        <f t="shared" si="2"/>
        <v>4</v>
      </c>
      <c r="R65" s="197" t="str">
        <f t="shared" si="3"/>
        <v>/</v>
      </c>
      <c r="S65" s="197" t="str">
        <f t="shared" si="4"/>
        <v>/</v>
      </c>
      <c r="T65" s="197">
        <f t="shared" si="5"/>
        <v>8.5</v>
      </c>
      <c r="U65" s="197">
        <f t="shared" si="6"/>
        <v>5.5</v>
      </c>
      <c r="V65" s="197">
        <f t="shared" si="7"/>
        <v>5.5</v>
      </c>
    </row>
    <row r="66" spans="1:22" hidden="1">
      <c r="A66" s="420" t="s">
        <v>1225</v>
      </c>
      <c r="B66" s="420" t="s">
        <v>2061</v>
      </c>
      <c r="C66" s="420" t="s">
        <v>2060</v>
      </c>
      <c r="D66" s="420">
        <v>5</v>
      </c>
      <c r="E66" s="420">
        <v>4</v>
      </c>
      <c r="G66" s="420"/>
      <c r="H66" s="420" t="s">
        <v>2062</v>
      </c>
      <c r="I66" s="420">
        <v>5</v>
      </c>
      <c r="J66" s="420">
        <v>4</v>
      </c>
      <c r="L66" s="420">
        <v>39.5</v>
      </c>
      <c r="O66" s="197">
        <f t="shared" ref="O66:O129" si="8">IF(C66=0,"/",IF(C66=5,5.5,IF(C66="5*",7,IF(C66="5**",8.5,C66))))</f>
        <v>7</v>
      </c>
      <c r="P66" s="197">
        <f t="shared" ref="P66:P129" si="9">IF(D66=0,"/",IF(D66=5,5.5,IF(D66="5*",7,IF(D66="5**",8.5,D66))))</f>
        <v>5.5</v>
      </c>
      <c r="Q66" s="197">
        <f t="shared" ref="Q66:Q129" si="10">IF(E66=0,"/",IF(E66=5,5.5,IF(E66="5*",7,IF(E66="5**",8.5,E66))))</f>
        <v>4</v>
      </c>
      <c r="R66" s="197" t="str">
        <f t="shared" ref="R66:R129" si="11">IF(F66=0,"/",IF(F66=5,5.5,IF(F66="5*",7,IF(F66="5**",8.5,F66))))</f>
        <v>/</v>
      </c>
      <c r="S66" s="197" t="str">
        <f t="shared" ref="S66:S129" si="12">IF(G66=0,"/",IF(G66=5,5.5,IF(G66="5*",7,IF(G66="5**",8.5,G66))))</f>
        <v>/</v>
      </c>
      <c r="T66" s="197">
        <f t="shared" ref="T66:T129" si="13">IF(H66=0,"/",IF(H66=5,5.5,IF(H66="5*",7,IF(H66="5**",8.5,H66))))</f>
        <v>8.5</v>
      </c>
      <c r="U66" s="197">
        <f t="shared" ref="U66:U129" si="14">IF(I66=0,"/",IF(I66=5,5.5,IF(I66="5*",7,IF(I66="5**",8.5,I66))))</f>
        <v>5.5</v>
      </c>
      <c r="V66" s="197">
        <f t="shared" ref="V66:V129" si="15">IF(J66=0,"/",IF(J66=5,5.5,IF(J66="5*",7,IF(J66="5**",8.5,J66))))</f>
        <v>4</v>
      </c>
    </row>
    <row r="67" spans="1:22" hidden="1">
      <c r="A67" s="420" t="s">
        <v>1225</v>
      </c>
      <c r="B67" s="420" t="s">
        <v>100</v>
      </c>
      <c r="C67" s="420" t="s">
        <v>2060</v>
      </c>
      <c r="D67" s="420" t="s">
        <v>2060</v>
      </c>
      <c r="E67" s="420">
        <v>4</v>
      </c>
      <c r="G67" s="420">
        <v>3</v>
      </c>
      <c r="H67" s="420">
        <v>5</v>
      </c>
      <c r="I67" s="420">
        <v>4</v>
      </c>
      <c r="J67" s="420"/>
      <c r="L67" s="420">
        <v>38</v>
      </c>
      <c r="O67" s="197">
        <f t="shared" si="8"/>
        <v>7</v>
      </c>
      <c r="P67" s="197">
        <f t="shared" si="9"/>
        <v>7</v>
      </c>
      <c r="Q67" s="197">
        <f t="shared" si="10"/>
        <v>4</v>
      </c>
      <c r="R67" s="197" t="str">
        <f t="shared" si="11"/>
        <v>/</v>
      </c>
      <c r="S67" s="197">
        <f t="shared" si="12"/>
        <v>3</v>
      </c>
      <c r="T67" s="197">
        <f t="shared" si="13"/>
        <v>5.5</v>
      </c>
      <c r="U67" s="197">
        <f t="shared" si="14"/>
        <v>4</v>
      </c>
      <c r="V67" s="197" t="str">
        <f t="shared" si="15"/>
        <v>/</v>
      </c>
    </row>
    <row r="68" spans="1:22">
      <c r="A68" s="420" t="s">
        <v>1229</v>
      </c>
      <c r="B68" s="420" t="s">
        <v>103</v>
      </c>
      <c r="C68" s="420">
        <v>5</v>
      </c>
      <c r="D68" s="420" t="s">
        <v>2060</v>
      </c>
      <c r="E68" s="420" t="s">
        <v>2062</v>
      </c>
      <c r="G68" s="420" t="s">
        <v>2060</v>
      </c>
      <c r="H68" s="420" t="s">
        <v>2062</v>
      </c>
      <c r="I68" s="420" t="s">
        <v>2062</v>
      </c>
      <c r="J68" s="420" t="s">
        <v>2060</v>
      </c>
      <c r="L68" s="420">
        <v>59.25</v>
      </c>
      <c r="O68" s="197">
        <f t="shared" si="8"/>
        <v>5.5</v>
      </c>
      <c r="P68" s="197">
        <f t="shared" si="9"/>
        <v>7</v>
      </c>
      <c r="Q68" s="197">
        <f t="shared" si="10"/>
        <v>8.5</v>
      </c>
      <c r="R68" s="197" t="str">
        <f t="shared" si="11"/>
        <v>/</v>
      </c>
      <c r="S68" s="197">
        <f t="shared" si="12"/>
        <v>7</v>
      </c>
      <c r="T68" s="197">
        <f t="shared" si="13"/>
        <v>8.5</v>
      </c>
      <c r="U68" s="197">
        <f t="shared" si="14"/>
        <v>8.5</v>
      </c>
      <c r="V68" s="197">
        <f t="shared" si="15"/>
        <v>7</v>
      </c>
    </row>
    <row r="69" spans="1:22" hidden="1">
      <c r="A69" s="420" t="s">
        <v>1229</v>
      </c>
      <c r="B69" s="420" t="s">
        <v>2061</v>
      </c>
      <c r="C69" s="420">
        <v>3</v>
      </c>
      <c r="D69" s="420">
        <v>5</v>
      </c>
      <c r="E69" s="420" t="s">
        <v>2062</v>
      </c>
      <c r="G69" s="420" t="s">
        <v>2060</v>
      </c>
      <c r="H69" s="420" t="s">
        <v>2062</v>
      </c>
      <c r="I69" s="420" t="s">
        <v>2062</v>
      </c>
      <c r="J69" s="420">
        <v>5</v>
      </c>
      <c r="L69" s="420">
        <v>56.25</v>
      </c>
      <c r="O69" s="197">
        <f t="shared" si="8"/>
        <v>3</v>
      </c>
      <c r="P69" s="197">
        <f t="shared" si="9"/>
        <v>5.5</v>
      </c>
      <c r="Q69" s="197">
        <f t="shared" si="10"/>
        <v>8.5</v>
      </c>
      <c r="R69" s="197" t="str">
        <f t="shared" si="11"/>
        <v>/</v>
      </c>
      <c r="S69" s="197">
        <f t="shared" si="12"/>
        <v>7</v>
      </c>
      <c r="T69" s="197">
        <f t="shared" si="13"/>
        <v>8.5</v>
      </c>
      <c r="U69" s="197">
        <f t="shared" si="14"/>
        <v>8.5</v>
      </c>
      <c r="V69" s="197">
        <f t="shared" si="15"/>
        <v>5.5</v>
      </c>
    </row>
    <row r="70" spans="1:22" hidden="1">
      <c r="A70" s="420" t="s">
        <v>1229</v>
      </c>
      <c r="B70" s="420" t="s">
        <v>100</v>
      </c>
      <c r="C70" s="420" t="s">
        <v>2060</v>
      </c>
      <c r="D70" s="420" t="s">
        <v>2060</v>
      </c>
      <c r="E70" s="420" t="s">
        <v>2062</v>
      </c>
      <c r="G70" s="420" t="s">
        <v>2060</v>
      </c>
      <c r="H70" s="420" t="s">
        <v>2060</v>
      </c>
      <c r="I70" s="420">
        <v>5</v>
      </c>
      <c r="J70" s="420">
        <v>4</v>
      </c>
      <c r="L70" s="420">
        <v>55.5</v>
      </c>
      <c r="O70" s="197">
        <f t="shared" si="8"/>
        <v>7</v>
      </c>
      <c r="P70" s="197">
        <f t="shared" si="9"/>
        <v>7</v>
      </c>
      <c r="Q70" s="197">
        <f t="shared" si="10"/>
        <v>8.5</v>
      </c>
      <c r="R70" s="197" t="str">
        <f t="shared" si="11"/>
        <v>/</v>
      </c>
      <c r="S70" s="197">
        <f t="shared" si="12"/>
        <v>7</v>
      </c>
      <c r="T70" s="197">
        <f t="shared" si="13"/>
        <v>7</v>
      </c>
      <c r="U70" s="197">
        <f t="shared" si="14"/>
        <v>5.5</v>
      </c>
      <c r="V70" s="197">
        <f t="shared" si="15"/>
        <v>4</v>
      </c>
    </row>
    <row r="71" spans="1:22">
      <c r="A71" s="420" t="s">
        <v>2650</v>
      </c>
      <c r="B71" s="420" t="s">
        <v>103</v>
      </c>
      <c r="C71" s="420"/>
      <c r="D71" s="420"/>
      <c r="E71" s="420"/>
      <c r="G71" s="420"/>
      <c r="H71" s="420"/>
      <c r="I71" s="420"/>
      <c r="J71" s="420"/>
      <c r="L71" s="420"/>
      <c r="O71" s="197" t="str">
        <f t="shared" si="8"/>
        <v>/</v>
      </c>
      <c r="P71" s="197" t="str">
        <f t="shared" si="9"/>
        <v>/</v>
      </c>
      <c r="Q71" s="197" t="str">
        <f t="shared" si="10"/>
        <v>/</v>
      </c>
      <c r="R71" s="197" t="str">
        <f t="shared" si="11"/>
        <v>/</v>
      </c>
      <c r="S71" s="197" t="str">
        <f t="shared" si="12"/>
        <v>/</v>
      </c>
      <c r="T71" s="197" t="str">
        <f t="shared" si="13"/>
        <v>/</v>
      </c>
      <c r="U71" s="197" t="str">
        <f t="shared" si="14"/>
        <v>/</v>
      </c>
      <c r="V71" s="197" t="str">
        <f t="shared" si="15"/>
        <v>/</v>
      </c>
    </row>
    <row r="72" spans="1:22" hidden="1">
      <c r="A72" s="420" t="s">
        <v>2650</v>
      </c>
      <c r="B72" s="420" t="s">
        <v>2061</v>
      </c>
      <c r="C72" s="420"/>
      <c r="D72" s="420"/>
      <c r="E72" s="420"/>
      <c r="G72" s="420"/>
      <c r="H72" s="420"/>
      <c r="I72" s="420"/>
      <c r="J72" s="420"/>
      <c r="L72" s="420"/>
      <c r="O72" s="197" t="str">
        <f t="shared" si="8"/>
        <v>/</v>
      </c>
      <c r="P72" s="197" t="str">
        <f t="shared" si="9"/>
        <v>/</v>
      </c>
      <c r="Q72" s="197" t="str">
        <f t="shared" si="10"/>
        <v>/</v>
      </c>
      <c r="R72" s="197" t="str">
        <f t="shared" si="11"/>
        <v>/</v>
      </c>
      <c r="S72" s="197" t="str">
        <f t="shared" si="12"/>
        <v>/</v>
      </c>
      <c r="T72" s="197" t="str">
        <f t="shared" si="13"/>
        <v>/</v>
      </c>
      <c r="U72" s="197" t="str">
        <f t="shared" si="14"/>
        <v>/</v>
      </c>
      <c r="V72" s="197" t="str">
        <f t="shared" si="15"/>
        <v>/</v>
      </c>
    </row>
    <row r="73" spans="1:22" hidden="1">
      <c r="A73" s="420" t="s">
        <v>2650</v>
      </c>
      <c r="B73" s="420" t="s">
        <v>100</v>
      </c>
      <c r="C73" s="420"/>
      <c r="D73" s="420"/>
      <c r="E73" s="420"/>
      <c r="G73" s="420"/>
      <c r="H73" s="420"/>
      <c r="I73" s="420"/>
      <c r="J73" s="420"/>
      <c r="L73" s="420"/>
      <c r="O73" s="197" t="str">
        <f t="shared" si="8"/>
        <v>/</v>
      </c>
      <c r="P73" s="197" t="str">
        <f t="shared" si="9"/>
        <v>/</v>
      </c>
      <c r="Q73" s="197" t="str">
        <f t="shared" si="10"/>
        <v>/</v>
      </c>
      <c r="R73" s="197" t="str">
        <f t="shared" si="11"/>
        <v>/</v>
      </c>
      <c r="S73" s="197" t="str">
        <f t="shared" si="12"/>
        <v>/</v>
      </c>
      <c r="T73" s="197" t="str">
        <f t="shared" si="13"/>
        <v>/</v>
      </c>
      <c r="U73" s="197" t="str">
        <f t="shared" si="14"/>
        <v>/</v>
      </c>
      <c r="V73" s="197" t="str">
        <f t="shared" si="15"/>
        <v>/</v>
      </c>
    </row>
    <row r="74" spans="1:22">
      <c r="A74" s="420" t="s">
        <v>1233</v>
      </c>
      <c r="B74" s="420" t="s">
        <v>103</v>
      </c>
      <c r="C74" s="420">
        <v>4</v>
      </c>
      <c r="D74" s="420">
        <v>4</v>
      </c>
      <c r="E74" s="420" t="s">
        <v>2062</v>
      </c>
      <c r="G74" s="420"/>
      <c r="H74" s="420" t="s">
        <v>2060</v>
      </c>
      <c r="I74" s="420">
        <v>5</v>
      </c>
      <c r="J74" s="420">
        <v>5</v>
      </c>
      <c r="L74" s="420">
        <v>30.5</v>
      </c>
      <c r="O74" s="197">
        <f t="shared" si="8"/>
        <v>4</v>
      </c>
      <c r="P74" s="197">
        <f t="shared" si="9"/>
        <v>4</v>
      </c>
      <c r="Q74" s="197">
        <f t="shared" si="10"/>
        <v>8.5</v>
      </c>
      <c r="R74" s="197" t="str">
        <f t="shared" si="11"/>
        <v>/</v>
      </c>
      <c r="S74" s="197" t="str">
        <f t="shared" si="12"/>
        <v>/</v>
      </c>
      <c r="T74" s="197">
        <f t="shared" si="13"/>
        <v>7</v>
      </c>
      <c r="U74" s="197">
        <f t="shared" si="14"/>
        <v>5.5</v>
      </c>
      <c r="V74" s="197">
        <f t="shared" si="15"/>
        <v>5.5</v>
      </c>
    </row>
    <row r="75" spans="1:22" hidden="1">
      <c r="A75" s="420" t="s">
        <v>1233</v>
      </c>
      <c r="B75" s="420" t="s">
        <v>2061</v>
      </c>
      <c r="C75" s="420">
        <v>3</v>
      </c>
      <c r="D75" s="420">
        <v>4</v>
      </c>
      <c r="E75" s="420" t="s">
        <v>2062</v>
      </c>
      <c r="G75" s="420" t="s">
        <v>2060</v>
      </c>
      <c r="H75" s="420">
        <v>5</v>
      </c>
      <c r="I75" s="420">
        <v>4</v>
      </c>
      <c r="J75" s="420"/>
      <c r="L75" s="420">
        <v>29</v>
      </c>
      <c r="O75" s="197">
        <f t="shared" si="8"/>
        <v>3</v>
      </c>
      <c r="P75" s="197">
        <f t="shared" si="9"/>
        <v>4</v>
      </c>
      <c r="Q75" s="197">
        <f t="shared" si="10"/>
        <v>8.5</v>
      </c>
      <c r="R75" s="197" t="str">
        <f t="shared" si="11"/>
        <v>/</v>
      </c>
      <c r="S75" s="197">
        <f t="shared" si="12"/>
        <v>7</v>
      </c>
      <c r="T75" s="197">
        <f t="shared" si="13"/>
        <v>5.5</v>
      </c>
      <c r="U75" s="197">
        <f t="shared" si="14"/>
        <v>4</v>
      </c>
      <c r="V75" s="197" t="str">
        <f t="shared" si="15"/>
        <v>/</v>
      </c>
    </row>
    <row r="76" spans="1:22" hidden="1">
      <c r="A76" s="420" t="s">
        <v>1233</v>
      </c>
      <c r="B76" s="420" t="s">
        <v>100</v>
      </c>
      <c r="C76" s="420">
        <v>3</v>
      </c>
      <c r="D76" s="420">
        <v>4</v>
      </c>
      <c r="E76" s="420">
        <v>5</v>
      </c>
      <c r="G76" s="420"/>
      <c r="H76" s="420" t="s">
        <v>2060</v>
      </c>
      <c r="I76" s="420">
        <v>5</v>
      </c>
      <c r="J76" s="420">
        <v>5</v>
      </c>
      <c r="L76" s="420">
        <v>27.5</v>
      </c>
      <c r="O76" s="197">
        <f t="shared" si="8"/>
        <v>3</v>
      </c>
      <c r="P76" s="197">
        <f t="shared" si="9"/>
        <v>4</v>
      </c>
      <c r="Q76" s="197">
        <f t="shared" si="10"/>
        <v>5.5</v>
      </c>
      <c r="R76" s="197" t="str">
        <f t="shared" si="11"/>
        <v>/</v>
      </c>
      <c r="S76" s="197" t="str">
        <f t="shared" si="12"/>
        <v>/</v>
      </c>
      <c r="T76" s="197">
        <f t="shared" si="13"/>
        <v>7</v>
      </c>
      <c r="U76" s="197">
        <f t="shared" si="14"/>
        <v>5.5</v>
      </c>
      <c r="V76" s="197">
        <f t="shared" si="15"/>
        <v>5.5</v>
      </c>
    </row>
    <row r="77" spans="1:22">
      <c r="A77" s="420" t="s">
        <v>1237</v>
      </c>
      <c r="B77" s="420" t="s">
        <v>103</v>
      </c>
      <c r="C77" s="420" t="s">
        <v>2062</v>
      </c>
      <c r="D77" s="420" t="s">
        <v>2060</v>
      </c>
      <c r="E77" s="420">
        <v>5</v>
      </c>
      <c r="G77" s="420"/>
      <c r="H77" s="420" t="s">
        <v>2060</v>
      </c>
      <c r="I77" s="420">
        <v>5</v>
      </c>
      <c r="J77" s="420"/>
      <c r="L77" s="420">
        <v>42</v>
      </c>
      <c r="O77" s="197">
        <f t="shared" si="8"/>
        <v>8.5</v>
      </c>
      <c r="P77" s="197">
        <f t="shared" si="9"/>
        <v>7</v>
      </c>
      <c r="Q77" s="197">
        <f t="shared" si="10"/>
        <v>5.5</v>
      </c>
      <c r="R77" s="197" t="str">
        <f t="shared" si="11"/>
        <v>/</v>
      </c>
      <c r="S77" s="197" t="str">
        <f t="shared" si="12"/>
        <v>/</v>
      </c>
      <c r="T77" s="197">
        <f t="shared" si="13"/>
        <v>7</v>
      </c>
      <c r="U77" s="197">
        <f t="shared" si="14"/>
        <v>5.5</v>
      </c>
      <c r="V77" s="197" t="str">
        <f t="shared" si="15"/>
        <v>/</v>
      </c>
    </row>
    <row r="78" spans="1:22" hidden="1">
      <c r="A78" s="420" t="s">
        <v>1237</v>
      </c>
      <c r="B78" s="420" t="s">
        <v>2061</v>
      </c>
      <c r="C78" s="420" t="s">
        <v>2062</v>
      </c>
      <c r="D78" s="420">
        <v>4</v>
      </c>
      <c r="E78" s="420">
        <v>5</v>
      </c>
      <c r="G78" s="420"/>
      <c r="H78" s="420" t="s">
        <v>2060</v>
      </c>
      <c r="I78" s="420">
        <v>5</v>
      </c>
      <c r="J78" s="420">
        <v>5</v>
      </c>
      <c r="L78" s="420">
        <v>40.5</v>
      </c>
      <c r="O78" s="197">
        <f t="shared" si="8"/>
        <v>8.5</v>
      </c>
      <c r="P78" s="197">
        <f t="shared" si="9"/>
        <v>4</v>
      </c>
      <c r="Q78" s="197">
        <f t="shared" si="10"/>
        <v>5.5</v>
      </c>
      <c r="R78" s="197" t="str">
        <f t="shared" si="11"/>
        <v>/</v>
      </c>
      <c r="S78" s="197" t="str">
        <f t="shared" si="12"/>
        <v>/</v>
      </c>
      <c r="T78" s="197">
        <f t="shared" si="13"/>
        <v>7</v>
      </c>
      <c r="U78" s="197">
        <f t="shared" si="14"/>
        <v>5.5</v>
      </c>
      <c r="V78" s="197">
        <f t="shared" si="15"/>
        <v>5.5</v>
      </c>
    </row>
    <row r="79" spans="1:22" hidden="1">
      <c r="A79" s="420" t="s">
        <v>1237</v>
      </c>
      <c r="B79" s="420" t="s">
        <v>100</v>
      </c>
      <c r="C79" s="420" t="s">
        <v>2062</v>
      </c>
      <c r="D79" s="420">
        <v>4</v>
      </c>
      <c r="E79" s="420">
        <v>5</v>
      </c>
      <c r="G79" s="420"/>
      <c r="H79" s="420" t="s">
        <v>2062</v>
      </c>
      <c r="I79" s="420">
        <v>5</v>
      </c>
      <c r="J79" s="420"/>
      <c r="L79" s="420">
        <v>40.5</v>
      </c>
      <c r="O79" s="197">
        <f t="shared" si="8"/>
        <v>8.5</v>
      </c>
      <c r="P79" s="197">
        <f t="shared" si="9"/>
        <v>4</v>
      </c>
      <c r="Q79" s="197">
        <f t="shared" si="10"/>
        <v>5.5</v>
      </c>
      <c r="R79" s="197" t="str">
        <f t="shared" si="11"/>
        <v>/</v>
      </c>
      <c r="S79" s="197" t="str">
        <f t="shared" si="12"/>
        <v>/</v>
      </c>
      <c r="T79" s="197">
        <f t="shared" si="13"/>
        <v>8.5</v>
      </c>
      <c r="U79" s="197">
        <f t="shared" si="14"/>
        <v>5.5</v>
      </c>
      <c r="V79" s="197" t="str">
        <f t="shared" si="15"/>
        <v>/</v>
      </c>
    </row>
    <row r="80" spans="1:22">
      <c r="A80" s="420" t="s">
        <v>1241</v>
      </c>
      <c r="B80" s="420" t="s">
        <v>103</v>
      </c>
      <c r="C80" s="420">
        <v>4</v>
      </c>
      <c r="D80" s="420" t="s">
        <v>2062</v>
      </c>
      <c r="E80" s="420" t="s">
        <v>2060</v>
      </c>
      <c r="G80" s="420">
        <v>4</v>
      </c>
      <c r="H80" s="420">
        <v>5</v>
      </c>
      <c r="I80" s="420">
        <v>4</v>
      </c>
      <c r="J80" s="420"/>
      <c r="L80" s="420">
        <v>37.5</v>
      </c>
      <c r="O80" s="197">
        <f t="shared" si="8"/>
        <v>4</v>
      </c>
      <c r="P80" s="197">
        <f t="shared" si="9"/>
        <v>8.5</v>
      </c>
      <c r="Q80" s="197">
        <f t="shared" si="10"/>
        <v>7</v>
      </c>
      <c r="R80" s="197" t="str">
        <f t="shared" si="11"/>
        <v>/</v>
      </c>
      <c r="S80" s="197">
        <f t="shared" si="12"/>
        <v>4</v>
      </c>
      <c r="T80" s="197">
        <f t="shared" si="13"/>
        <v>5.5</v>
      </c>
      <c r="U80" s="197">
        <f t="shared" si="14"/>
        <v>4</v>
      </c>
      <c r="V80" s="197" t="str">
        <f t="shared" si="15"/>
        <v>/</v>
      </c>
    </row>
    <row r="81" spans="1:22" hidden="1">
      <c r="A81" s="420" t="s">
        <v>1241</v>
      </c>
      <c r="B81" s="420" t="s">
        <v>2061</v>
      </c>
      <c r="C81" s="420">
        <v>5</v>
      </c>
      <c r="D81" s="420" t="s">
        <v>2060</v>
      </c>
      <c r="E81" s="420">
        <v>4</v>
      </c>
      <c r="G81" s="420"/>
      <c r="H81" s="420">
        <v>5</v>
      </c>
      <c r="I81" s="420">
        <v>5</v>
      </c>
      <c r="J81" s="420">
        <v>4</v>
      </c>
      <c r="L81" s="420">
        <v>34.5</v>
      </c>
      <c r="O81" s="197">
        <f t="shared" si="8"/>
        <v>5.5</v>
      </c>
      <c r="P81" s="197">
        <f t="shared" si="9"/>
        <v>7</v>
      </c>
      <c r="Q81" s="197">
        <f t="shared" si="10"/>
        <v>4</v>
      </c>
      <c r="R81" s="197" t="str">
        <f t="shared" si="11"/>
        <v>/</v>
      </c>
      <c r="S81" s="197" t="str">
        <f t="shared" si="12"/>
        <v>/</v>
      </c>
      <c r="T81" s="197">
        <f t="shared" si="13"/>
        <v>5.5</v>
      </c>
      <c r="U81" s="197">
        <f t="shared" si="14"/>
        <v>5.5</v>
      </c>
      <c r="V81" s="197">
        <f t="shared" si="15"/>
        <v>4</v>
      </c>
    </row>
    <row r="82" spans="1:22" hidden="1">
      <c r="A82" s="420" t="s">
        <v>1241</v>
      </c>
      <c r="B82" s="420" t="s">
        <v>100</v>
      </c>
      <c r="C82" s="420">
        <v>3</v>
      </c>
      <c r="D82" s="420" t="s">
        <v>2060</v>
      </c>
      <c r="E82" s="420">
        <v>4</v>
      </c>
      <c r="G82" s="420">
        <v>3</v>
      </c>
      <c r="H82" s="420">
        <v>5</v>
      </c>
      <c r="I82" s="420">
        <v>5</v>
      </c>
      <c r="J82" s="420">
        <v>4</v>
      </c>
      <c r="L82" s="420">
        <v>33</v>
      </c>
      <c r="O82" s="197">
        <f t="shared" si="8"/>
        <v>3</v>
      </c>
      <c r="P82" s="197">
        <f t="shared" si="9"/>
        <v>7</v>
      </c>
      <c r="Q82" s="197">
        <f t="shared" si="10"/>
        <v>4</v>
      </c>
      <c r="R82" s="197" t="str">
        <f t="shared" si="11"/>
        <v>/</v>
      </c>
      <c r="S82" s="197">
        <f t="shared" si="12"/>
        <v>3</v>
      </c>
      <c r="T82" s="197">
        <f t="shared" si="13"/>
        <v>5.5</v>
      </c>
      <c r="U82" s="197">
        <f t="shared" si="14"/>
        <v>5.5</v>
      </c>
      <c r="V82" s="197">
        <f t="shared" si="15"/>
        <v>4</v>
      </c>
    </row>
    <row r="83" spans="1:22">
      <c r="A83" s="420" t="s">
        <v>330</v>
      </c>
      <c r="B83" s="420" t="s">
        <v>103</v>
      </c>
      <c r="C83" s="420">
        <v>3</v>
      </c>
      <c r="D83" s="420">
        <v>4</v>
      </c>
      <c r="E83" s="420" t="s">
        <v>2062</v>
      </c>
      <c r="G83" s="420" t="s">
        <v>2060</v>
      </c>
      <c r="H83" s="420" t="s">
        <v>2060</v>
      </c>
      <c r="I83" s="420">
        <v>5</v>
      </c>
      <c r="J83" s="420">
        <v>5</v>
      </c>
      <c r="L83" s="420">
        <v>53</v>
      </c>
      <c r="O83" s="197">
        <f t="shared" si="8"/>
        <v>3</v>
      </c>
      <c r="P83" s="197">
        <f t="shared" si="9"/>
        <v>4</v>
      </c>
      <c r="Q83" s="197">
        <f t="shared" si="10"/>
        <v>8.5</v>
      </c>
      <c r="R83" s="197" t="str">
        <f t="shared" si="11"/>
        <v>/</v>
      </c>
      <c r="S83" s="197">
        <f t="shared" si="12"/>
        <v>7</v>
      </c>
      <c r="T83" s="197">
        <f t="shared" si="13"/>
        <v>7</v>
      </c>
      <c r="U83" s="197">
        <f t="shared" si="14"/>
        <v>5.5</v>
      </c>
      <c r="V83" s="197">
        <f t="shared" si="15"/>
        <v>5.5</v>
      </c>
    </row>
    <row r="84" spans="1:22" hidden="1">
      <c r="A84" s="420" t="s">
        <v>330</v>
      </c>
      <c r="B84" s="420" t="s">
        <v>2061</v>
      </c>
      <c r="C84" s="420">
        <v>4</v>
      </c>
      <c r="D84" s="420">
        <v>4</v>
      </c>
      <c r="E84" s="420" t="s">
        <v>2060</v>
      </c>
      <c r="G84" s="420" t="s">
        <v>2062</v>
      </c>
      <c r="H84" s="420">
        <v>5</v>
      </c>
      <c r="I84" s="420">
        <v>5</v>
      </c>
      <c r="J84" s="420"/>
      <c r="L84" s="420">
        <v>50.75</v>
      </c>
      <c r="O84" s="197">
        <f t="shared" si="8"/>
        <v>4</v>
      </c>
      <c r="P84" s="197">
        <f t="shared" si="9"/>
        <v>4</v>
      </c>
      <c r="Q84" s="197">
        <f t="shared" si="10"/>
        <v>7</v>
      </c>
      <c r="R84" s="197" t="str">
        <f t="shared" si="11"/>
        <v>/</v>
      </c>
      <c r="S84" s="197">
        <f t="shared" si="12"/>
        <v>8.5</v>
      </c>
      <c r="T84" s="197">
        <f t="shared" si="13"/>
        <v>5.5</v>
      </c>
      <c r="U84" s="197">
        <f t="shared" si="14"/>
        <v>5.5</v>
      </c>
      <c r="V84" s="197" t="str">
        <f t="shared" si="15"/>
        <v>/</v>
      </c>
    </row>
    <row r="85" spans="1:22" hidden="1">
      <c r="A85" s="420" t="s">
        <v>330</v>
      </c>
      <c r="B85" s="420" t="s">
        <v>100</v>
      </c>
      <c r="C85" s="420">
        <v>4</v>
      </c>
      <c r="D85" s="420">
        <v>3</v>
      </c>
      <c r="E85" s="420" t="s">
        <v>2060</v>
      </c>
      <c r="G85" s="420">
        <v>5</v>
      </c>
      <c r="H85" s="420" t="s">
        <v>2062</v>
      </c>
      <c r="I85" s="420" t="s">
        <v>2060</v>
      </c>
      <c r="J85" s="420"/>
      <c r="L85" s="420">
        <v>50.75</v>
      </c>
      <c r="O85" s="197">
        <f t="shared" si="8"/>
        <v>4</v>
      </c>
      <c r="P85" s="197">
        <f t="shared" si="9"/>
        <v>3</v>
      </c>
      <c r="Q85" s="197">
        <f t="shared" si="10"/>
        <v>7</v>
      </c>
      <c r="R85" s="197" t="str">
        <f t="shared" si="11"/>
        <v>/</v>
      </c>
      <c r="S85" s="197">
        <f t="shared" si="12"/>
        <v>5.5</v>
      </c>
      <c r="T85" s="197">
        <f t="shared" si="13"/>
        <v>8.5</v>
      </c>
      <c r="U85" s="197">
        <f t="shared" si="14"/>
        <v>7</v>
      </c>
      <c r="V85" s="197" t="str">
        <f t="shared" si="15"/>
        <v>/</v>
      </c>
    </row>
    <row r="86" spans="1:22">
      <c r="A86" s="420" t="s">
        <v>1250</v>
      </c>
      <c r="B86" s="420" t="s">
        <v>103</v>
      </c>
      <c r="C86" s="420">
        <v>4</v>
      </c>
      <c r="D86" s="420">
        <v>4</v>
      </c>
      <c r="E86" s="420" t="s">
        <v>2060</v>
      </c>
      <c r="G86" s="420">
        <v>3</v>
      </c>
      <c r="H86" s="420">
        <v>5</v>
      </c>
      <c r="I86" s="420">
        <v>4</v>
      </c>
      <c r="J86" s="420"/>
      <c r="L86" s="420">
        <v>24.5</v>
      </c>
      <c r="O86" s="197">
        <f t="shared" si="8"/>
        <v>4</v>
      </c>
      <c r="P86" s="197">
        <f t="shared" si="9"/>
        <v>4</v>
      </c>
      <c r="Q86" s="197">
        <f t="shared" si="10"/>
        <v>7</v>
      </c>
      <c r="R86" s="197" t="str">
        <f t="shared" si="11"/>
        <v>/</v>
      </c>
      <c r="S86" s="197">
        <f t="shared" si="12"/>
        <v>3</v>
      </c>
      <c r="T86" s="197">
        <f t="shared" si="13"/>
        <v>5.5</v>
      </c>
      <c r="U86" s="197">
        <f t="shared" si="14"/>
        <v>4</v>
      </c>
      <c r="V86" s="197" t="str">
        <f t="shared" si="15"/>
        <v>/</v>
      </c>
    </row>
    <row r="87" spans="1:22" hidden="1">
      <c r="A87" s="420" t="s">
        <v>1250</v>
      </c>
      <c r="B87" s="420" t="s">
        <v>2061</v>
      </c>
      <c r="C87" s="420">
        <v>3</v>
      </c>
      <c r="D87" s="420">
        <v>4</v>
      </c>
      <c r="E87" s="420">
        <v>5</v>
      </c>
      <c r="G87" s="420"/>
      <c r="H87" s="420">
        <v>5</v>
      </c>
      <c r="I87" s="420">
        <v>4</v>
      </c>
      <c r="J87" s="420">
        <v>4</v>
      </c>
      <c r="L87" s="420">
        <v>23</v>
      </c>
      <c r="O87" s="197">
        <f t="shared" si="8"/>
        <v>3</v>
      </c>
      <c r="P87" s="197">
        <f t="shared" si="9"/>
        <v>4</v>
      </c>
      <c r="Q87" s="197">
        <f t="shared" si="10"/>
        <v>5.5</v>
      </c>
      <c r="R87" s="197" t="str">
        <f t="shared" si="11"/>
        <v>/</v>
      </c>
      <c r="S87" s="197" t="str">
        <f t="shared" si="12"/>
        <v>/</v>
      </c>
      <c r="T87" s="197">
        <f t="shared" si="13"/>
        <v>5.5</v>
      </c>
      <c r="U87" s="197">
        <f t="shared" si="14"/>
        <v>4</v>
      </c>
      <c r="V87" s="197">
        <f t="shared" si="15"/>
        <v>4</v>
      </c>
    </row>
    <row r="88" spans="1:22" hidden="1">
      <c r="A88" s="420" t="s">
        <v>1250</v>
      </c>
      <c r="B88" s="420" t="s">
        <v>100</v>
      </c>
      <c r="C88" s="420">
        <v>4</v>
      </c>
      <c r="D88" s="420">
        <v>4</v>
      </c>
      <c r="E88" s="420">
        <v>5</v>
      </c>
      <c r="G88" s="420"/>
      <c r="H88" s="420">
        <v>4</v>
      </c>
      <c r="I88" s="420">
        <v>4</v>
      </c>
      <c r="J88" s="420">
        <v>3</v>
      </c>
      <c r="L88" s="420">
        <v>21.5</v>
      </c>
      <c r="O88" s="197">
        <f t="shared" si="8"/>
        <v>4</v>
      </c>
      <c r="P88" s="197">
        <f t="shared" si="9"/>
        <v>4</v>
      </c>
      <c r="Q88" s="197">
        <f t="shared" si="10"/>
        <v>5.5</v>
      </c>
      <c r="R88" s="197" t="str">
        <f t="shared" si="11"/>
        <v>/</v>
      </c>
      <c r="S88" s="197" t="str">
        <f t="shared" si="12"/>
        <v>/</v>
      </c>
      <c r="T88" s="197">
        <f t="shared" si="13"/>
        <v>4</v>
      </c>
      <c r="U88" s="197">
        <f t="shared" si="14"/>
        <v>4</v>
      </c>
      <c r="V88" s="197">
        <f t="shared" si="15"/>
        <v>3</v>
      </c>
    </row>
    <row r="89" spans="1:22">
      <c r="A89" s="420" t="s">
        <v>426</v>
      </c>
      <c r="B89" s="420" t="s">
        <v>103</v>
      </c>
      <c r="C89" s="420">
        <v>4</v>
      </c>
      <c r="D89" s="420">
        <v>4</v>
      </c>
      <c r="E89" s="420">
        <v>5</v>
      </c>
      <c r="G89" s="420"/>
      <c r="H89" s="420" t="s">
        <v>2060</v>
      </c>
      <c r="I89" s="420">
        <v>4</v>
      </c>
      <c r="J89" s="420">
        <v>4</v>
      </c>
      <c r="L89" s="420">
        <v>34.75</v>
      </c>
      <c r="O89" s="197">
        <f t="shared" si="8"/>
        <v>4</v>
      </c>
      <c r="P89" s="197">
        <f t="shared" si="9"/>
        <v>4</v>
      </c>
      <c r="Q89" s="197">
        <f t="shared" si="10"/>
        <v>5.5</v>
      </c>
      <c r="R89" s="197" t="str">
        <f t="shared" si="11"/>
        <v>/</v>
      </c>
      <c r="S89" s="197" t="str">
        <f t="shared" si="12"/>
        <v>/</v>
      </c>
      <c r="T89" s="197">
        <f t="shared" si="13"/>
        <v>7</v>
      </c>
      <c r="U89" s="197">
        <f t="shared" si="14"/>
        <v>4</v>
      </c>
      <c r="V89" s="197">
        <f t="shared" si="15"/>
        <v>4</v>
      </c>
    </row>
    <row r="90" spans="1:22" hidden="1">
      <c r="A90" s="420" t="s">
        <v>426</v>
      </c>
      <c r="B90" s="420" t="s">
        <v>2061</v>
      </c>
      <c r="C90" s="420">
        <v>4</v>
      </c>
      <c r="D90" s="420">
        <v>3</v>
      </c>
      <c r="E90" s="420">
        <v>4</v>
      </c>
      <c r="G90" s="420"/>
      <c r="H90" s="420" t="s">
        <v>2060</v>
      </c>
      <c r="I90" s="420">
        <v>4</v>
      </c>
      <c r="J90" s="420">
        <v>3</v>
      </c>
      <c r="L90" s="420">
        <v>29.5</v>
      </c>
      <c r="O90" s="197">
        <f t="shared" si="8"/>
        <v>4</v>
      </c>
      <c r="P90" s="197">
        <f t="shared" si="9"/>
        <v>3</v>
      </c>
      <c r="Q90" s="197">
        <f t="shared" si="10"/>
        <v>4</v>
      </c>
      <c r="R90" s="197" t="str">
        <f t="shared" si="11"/>
        <v>/</v>
      </c>
      <c r="S90" s="197" t="str">
        <f t="shared" si="12"/>
        <v>/</v>
      </c>
      <c r="T90" s="197">
        <f t="shared" si="13"/>
        <v>7</v>
      </c>
      <c r="U90" s="197">
        <f t="shared" si="14"/>
        <v>4</v>
      </c>
      <c r="V90" s="197">
        <f t="shared" si="15"/>
        <v>3</v>
      </c>
    </row>
    <row r="91" spans="1:22" hidden="1">
      <c r="A91" s="420" t="s">
        <v>426</v>
      </c>
      <c r="B91" s="420" t="s">
        <v>100</v>
      </c>
      <c r="C91" s="420" t="s">
        <v>2060</v>
      </c>
      <c r="D91" s="420">
        <v>3</v>
      </c>
      <c r="E91" s="420">
        <v>3</v>
      </c>
      <c r="G91" s="420"/>
      <c r="H91" s="420">
        <v>4</v>
      </c>
      <c r="I91" s="420">
        <v>4</v>
      </c>
      <c r="J91" s="420">
        <v>4</v>
      </c>
      <c r="L91" s="420">
        <v>27.5</v>
      </c>
      <c r="O91" s="197">
        <f t="shared" si="8"/>
        <v>7</v>
      </c>
      <c r="P91" s="197">
        <f t="shared" si="9"/>
        <v>3</v>
      </c>
      <c r="Q91" s="197">
        <f t="shared" si="10"/>
        <v>3</v>
      </c>
      <c r="R91" s="197" t="str">
        <f t="shared" si="11"/>
        <v>/</v>
      </c>
      <c r="S91" s="197" t="str">
        <f t="shared" si="12"/>
        <v>/</v>
      </c>
      <c r="T91" s="197">
        <f t="shared" si="13"/>
        <v>4</v>
      </c>
      <c r="U91" s="197">
        <f t="shared" si="14"/>
        <v>4</v>
      </c>
      <c r="V91" s="197">
        <f t="shared" si="15"/>
        <v>4</v>
      </c>
    </row>
    <row r="92" spans="1:22">
      <c r="A92" s="420" t="s">
        <v>1258</v>
      </c>
      <c r="B92" s="420" t="s">
        <v>103</v>
      </c>
      <c r="C92" s="420">
        <v>4</v>
      </c>
      <c r="D92" s="420">
        <v>3</v>
      </c>
      <c r="E92" s="420">
        <v>5</v>
      </c>
      <c r="G92" s="420"/>
      <c r="H92" s="420">
        <v>5</v>
      </c>
      <c r="I92" s="420">
        <v>4</v>
      </c>
      <c r="J92" s="420">
        <v>4</v>
      </c>
      <c r="L92" s="420">
        <v>30.125</v>
      </c>
      <c r="O92" s="197">
        <f t="shared" si="8"/>
        <v>4</v>
      </c>
      <c r="P92" s="197">
        <f t="shared" si="9"/>
        <v>3</v>
      </c>
      <c r="Q92" s="197">
        <f t="shared" si="10"/>
        <v>5.5</v>
      </c>
      <c r="R92" s="197" t="str">
        <f t="shared" si="11"/>
        <v>/</v>
      </c>
      <c r="S92" s="197" t="str">
        <f t="shared" si="12"/>
        <v>/</v>
      </c>
      <c r="T92" s="197">
        <f t="shared" si="13"/>
        <v>5.5</v>
      </c>
      <c r="U92" s="197">
        <f t="shared" si="14"/>
        <v>4</v>
      </c>
      <c r="V92" s="197">
        <f t="shared" si="15"/>
        <v>4</v>
      </c>
    </row>
    <row r="93" spans="1:22" hidden="1">
      <c r="A93" s="420" t="s">
        <v>1258</v>
      </c>
      <c r="B93" s="420" t="s">
        <v>2061</v>
      </c>
      <c r="C93" s="420">
        <v>4</v>
      </c>
      <c r="D93" s="420">
        <v>4</v>
      </c>
      <c r="E93" s="420">
        <v>4</v>
      </c>
      <c r="G93" s="420"/>
      <c r="H93" s="420">
        <v>5</v>
      </c>
      <c r="I93" s="420">
        <v>5</v>
      </c>
      <c r="J93" s="420">
        <v>3</v>
      </c>
      <c r="L93" s="420">
        <v>29.125</v>
      </c>
      <c r="O93" s="197">
        <f t="shared" si="8"/>
        <v>4</v>
      </c>
      <c r="P93" s="197">
        <f t="shared" si="9"/>
        <v>4</v>
      </c>
      <c r="Q93" s="197">
        <f t="shared" si="10"/>
        <v>4</v>
      </c>
      <c r="R93" s="197" t="str">
        <f t="shared" si="11"/>
        <v>/</v>
      </c>
      <c r="S93" s="197" t="str">
        <f t="shared" si="12"/>
        <v>/</v>
      </c>
      <c r="T93" s="197">
        <f t="shared" si="13"/>
        <v>5.5</v>
      </c>
      <c r="U93" s="197">
        <f t="shared" si="14"/>
        <v>5.5</v>
      </c>
      <c r="V93" s="197">
        <f t="shared" si="15"/>
        <v>3</v>
      </c>
    </row>
    <row r="94" spans="1:22" hidden="1">
      <c r="A94" s="420" t="s">
        <v>1258</v>
      </c>
      <c r="B94" s="420" t="s">
        <v>100</v>
      </c>
      <c r="C94" s="420">
        <v>3</v>
      </c>
      <c r="D94" s="420">
        <v>4</v>
      </c>
      <c r="E94" s="420">
        <v>5</v>
      </c>
      <c r="G94" s="420"/>
      <c r="H94" s="420" t="s">
        <v>2063</v>
      </c>
      <c r="I94" s="420">
        <v>4</v>
      </c>
      <c r="J94" s="420">
        <v>3</v>
      </c>
      <c r="L94" s="420">
        <v>27.25</v>
      </c>
      <c r="O94" s="197">
        <f t="shared" si="8"/>
        <v>3</v>
      </c>
      <c r="P94" s="197">
        <f t="shared" si="9"/>
        <v>4</v>
      </c>
      <c r="Q94" s="197">
        <f t="shared" si="10"/>
        <v>5.5</v>
      </c>
      <c r="R94" s="197" t="str">
        <f t="shared" si="11"/>
        <v>/</v>
      </c>
      <c r="S94" s="197" t="str">
        <f t="shared" si="12"/>
        <v>/</v>
      </c>
      <c r="T94" s="197" t="str">
        <f t="shared" si="13"/>
        <v>A</v>
      </c>
      <c r="U94" s="197">
        <f t="shared" si="14"/>
        <v>4</v>
      </c>
      <c r="V94" s="197">
        <f t="shared" si="15"/>
        <v>3</v>
      </c>
    </row>
    <row r="95" spans="1:22">
      <c r="A95" s="420" t="s">
        <v>428</v>
      </c>
      <c r="B95" s="420" t="s">
        <v>103</v>
      </c>
      <c r="C95" s="420">
        <v>5</v>
      </c>
      <c r="D95" s="420">
        <v>4</v>
      </c>
      <c r="E95" s="420" t="s">
        <v>2062</v>
      </c>
      <c r="G95" s="420">
        <v>5</v>
      </c>
      <c r="H95" s="420">
        <v>5</v>
      </c>
      <c r="I95" s="420">
        <v>5</v>
      </c>
      <c r="J95" s="420">
        <v>4</v>
      </c>
      <c r="L95" s="420">
        <v>44.875</v>
      </c>
      <c r="O95" s="197">
        <f t="shared" si="8"/>
        <v>5.5</v>
      </c>
      <c r="P95" s="197">
        <f t="shared" si="9"/>
        <v>4</v>
      </c>
      <c r="Q95" s="197">
        <f t="shared" si="10"/>
        <v>8.5</v>
      </c>
      <c r="R95" s="197" t="str">
        <f t="shared" si="11"/>
        <v>/</v>
      </c>
      <c r="S95" s="197">
        <f t="shared" si="12"/>
        <v>5.5</v>
      </c>
      <c r="T95" s="197">
        <f t="shared" si="13"/>
        <v>5.5</v>
      </c>
      <c r="U95" s="197">
        <f t="shared" si="14"/>
        <v>5.5</v>
      </c>
      <c r="V95" s="197">
        <f t="shared" si="15"/>
        <v>4</v>
      </c>
    </row>
    <row r="96" spans="1:22" hidden="1">
      <c r="A96" s="420" t="s">
        <v>428</v>
      </c>
      <c r="B96" s="420" t="s">
        <v>2061</v>
      </c>
      <c r="C96" s="420">
        <v>4</v>
      </c>
      <c r="D96" s="420" t="s">
        <v>2060</v>
      </c>
      <c r="E96" s="420">
        <v>5</v>
      </c>
      <c r="G96" s="420"/>
      <c r="H96" s="420" t="s">
        <v>2060</v>
      </c>
      <c r="I96" s="420" t="s">
        <v>2060</v>
      </c>
      <c r="J96" s="420">
        <v>4</v>
      </c>
      <c r="L96" s="420">
        <v>42.25</v>
      </c>
      <c r="O96" s="197">
        <f t="shared" si="8"/>
        <v>4</v>
      </c>
      <c r="P96" s="197">
        <f t="shared" si="9"/>
        <v>7</v>
      </c>
      <c r="Q96" s="197">
        <f t="shared" si="10"/>
        <v>5.5</v>
      </c>
      <c r="R96" s="197" t="str">
        <f t="shared" si="11"/>
        <v>/</v>
      </c>
      <c r="S96" s="197" t="str">
        <f t="shared" si="12"/>
        <v>/</v>
      </c>
      <c r="T96" s="197">
        <f t="shared" si="13"/>
        <v>7</v>
      </c>
      <c r="U96" s="197">
        <f t="shared" si="14"/>
        <v>7</v>
      </c>
      <c r="V96" s="197">
        <f t="shared" si="15"/>
        <v>4</v>
      </c>
    </row>
    <row r="97" spans="1:22" hidden="1">
      <c r="A97" s="420" t="s">
        <v>428</v>
      </c>
      <c r="B97" s="420" t="s">
        <v>100</v>
      </c>
      <c r="C97" s="420" t="s">
        <v>2060</v>
      </c>
      <c r="D97" s="420">
        <v>4</v>
      </c>
      <c r="E97" s="420" t="s">
        <v>2060</v>
      </c>
      <c r="G97" s="420"/>
      <c r="H97" s="420" t="s">
        <v>2060</v>
      </c>
      <c r="I97" s="420">
        <v>5</v>
      </c>
      <c r="J97" s="420"/>
      <c r="L97" s="420">
        <v>40.25</v>
      </c>
      <c r="O97" s="197">
        <f t="shared" si="8"/>
        <v>7</v>
      </c>
      <c r="P97" s="197">
        <f t="shared" si="9"/>
        <v>4</v>
      </c>
      <c r="Q97" s="197">
        <f t="shared" si="10"/>
        <v>7</v>
      </c>
      <c r="R97" s="197" t="str">
        <f t="shared" si="11"/>
        <v>/</v>
      </c>
      <c r="S97" s="197" t="str">
        <f t="shared" si="12"/>
        <v>/</v>
      </c>
      <c r="T97" s="197">
        <f t="shared" si="13"/>
        <v>7</v>
      </c>
      <c r="U97" s="197">
        <f t="shared" si="14"/>
        <v>5.5</v>
      </c>
      <c r="V97" s="197" t="str">
        <f t="shared" si="15"/>
        <v>/</v>
      </c>
    </row>
    <row r="98" spans="1:22">
      <c r="A98" s="420" t="s">
        <v>1264</v>
      </c>
      <c r="B98" s="420" t="s">
        <v>103</v>
      </c>
      <c r="C98" s="420">
        <v>4</v>
      </c>
      <c r="D98" s="420">
        <v>4</v>
      </c>
      <c r="E98" s="420" t="s">
        <v>2060</v>
      </c>
      <c r="G98" s="420">
        <v>5</v>
      </c>
      <c r="H98" s="420" t="s">
        <v>2062</v>
      </c>
      <c r="I98" s="420" t="s">
        <v>2060</v>
      </c>
      <c r="J98" s="420">
        <v>4</v>
      </c>
      <c r="L98" s="420">
        <v>54.25</v>
      </c>
      <c r="O98" s="197">
        <f t="shared" si="8"/>
        <v>4</v>
      </c>
      <c r="P98" s="197">
        <f t="shared" si="9"/>
        <v>4</v>
      </c>
      <c r="Q98" s="197">
        <f t="shared" si="10"/>
        <v>7</v>
      </c>
      <c r="R98" s="197" t="str">
        <f t="shared" si="11"/>
        <v>/</v>
      </c>
      <c r="S98" s="197">
        <f t="shared" si="12"/>
        <v>5.5</v>
      </c>
      <c r="T98" s="197">
        <f t="shared" si="13"/>
        <v>8.5</v>
      </c>
      <c r="U98" s="197">
        <f t="shared" si="14"/>
        <v>7</v>
      </c>
      <c r="V98" s="197">
        <f t="shared" si="15"/>
        <v>4</v>
      </c>
    </row>
    <row r="99" spans="1:22" hidden="1">
      <c r="A99" s="420" t="s">
        <v>1264</v>
      </c>
      <c r="B99" s="420" t="s">
        <v>2061</v>
      </c>
      <c r="C99" s="420">
        <v>5</v>
      </c>
      <c r="D99" s="420">
        <v>4</v>
      </c>
      <c r="E99" s="420" t="s">
        <v>2060</v>
      </c>
      <c r="G99" s="420" t="s">
        <v>2060</v>
      </c>
      <c r="H99" s="420" t="s">
        <v>2060</v>
      </c>
      <c r="I99" s="420">
        <v>5</v>
      </c>
      <c r="J99" s="420"/>
      <c r="L99" s="420">
        <v>52.25</v>
      </c>
      <c r="O99" s="197">
        <f t="shared" si="8"/>
        <v>5.5</v>
      </c>
      <c r="P99" s="197">
        <f t="shared" si="9"/>
        <v>4</v>
      </c>
      <c r="Q99" s="197">
        <f t="shared" si="10"/>
        <v>7</v>
      </c>
      <c r="R99" s="197" t="str">
        <f t="shared" si="11"/>
        <v>/</v>
      </c>
      <c r="S99" s="197">
        <f t="shared" si="12"/>
        <v>7</v>
      </c>
      <c r="T99" s="197">
        <f t="shared" si="13"/>
        <v>7</v>
      </c>
      <c r="U99" s="197">
        <f t="shared" si="14"/>
        <v>5.5</v>
      </c>
      <c r="V99" s="197" t="str">
        <f t="shared" si="15"/>
        <v>/</v>
      </c>
    </row>
    <row r="100" spans="1:22" hidden="1">
      <c r="A100" s="420" t="s">
        <v>1264</v>
      </c>
      <c r="B100" s="420" t="s">
        <v>100</v>
      </c>
      <c r="C100" s="420">
        <v>3</v>
      </c>
      <c r="D100" s="420">
        <v>4</v>
      </c>
      <c r="E100" s="420">
        <v>5</v>
      </c>
      <c r="G100" s="420" t="s">
        <v>2060</v>
      </c>
      <c r="H100" s="420" t="s">
        <v>2060</v>
      </c>
      <c r="I100" s="420" t="s">
        <v>2060</v>
      </c>
      <c r="J100" s="420">
        <v>4</v>
      </c>
      <c r="L100" s="420">
        <v>52</v>
      </c>
      <c r="O100" s="197">
        <f t="shared" si="8"/>
        <v>3</v>
      </c>
      <c r="P100" s="197">
        <f t="shared" si="9"/>
        <v>4</v>
      </c>
      <c r="Q100" s="197">
        <f t="shared" si="10"/>
        <v>5.5</v>
      </c>
      <c r="R100" s="197" t="str">
        <f t="shared" si="11"/>
        <v>/</v>
      </c>
      <c r="S100" s="197">
        <f t="shared" si="12"/>
        <v>7</v>
      </c>
      <c r="T100" s="197">
        <f t="shared" si="13"/>
        <v>7</v>
      </c>
      <c r="U100" s="197">
        <f t="shared" si="14"/>
        <v>7</v>
      </c>
      <c r="V100" s="197">
        <f t="shared" si="15"/>
        <v>4</v>
      </c>
    </row>
    <row r="101" spans="1:22">
      <c r="A101" s="420" t="s">
        <v>1268</v>
      </c>
      <c r="B101" s="420" t="s">
        <v>103</v>
      </c>
      <c r="C101" s="420">
        <v>4</v>
      </c>
      <c r="D101" s="420">
        <v>4</v>
      </c>
      <c r="E101" s="420" t="s">
        <v>2060</v>
      </c>
      <c r="G101" s="420">
        <v>5</v>
      </c>
      <c r="H101" s="420" t="s">
        <v>2060</v>
      </c>
      <c r="I101" s="420">
        <v>5</v>
      </c>
      <c r="J101" s="420">
        <v>4</v>
      </c>
      <c r="L101" s="420">
        <v>46.625</v>
      </c>
      <c r="O101" s="197">
        <f t="shared" si="8"/>
        <v>4</v>
      </c>
      <c r="P101" s="197">
        <f t="shared" si="9"/>
        <v>4</v>
      </c>
      <c r="Q101" s="197">
        <f t="shared" si="10"/>
        <v>7</v>
      </c>
      <c r="R101" s="197" t="str">
        <f t="shared" si="11"/>
        <v>/</v>
      </c>
      <c r="S101" s="197">
        <f t="shared" si="12"/>
        <v>5.5</v>
      </c>
      <c r="T101" s="197">
        <f t="shared" si="13"/>
        <v>7</v>
      </c>
      <c r="U101" s="197">
        <f t="shared" si="14"/>
        <v>5.5</v>
      </c>
      <c r="V101" s="197">
        <f t="shared" si="15"/>
        <v>4</v>
      </c>
    </row>
    <row r="102" spans="1:22" hidden="1">
      <c r="A102" s="420" t="s">
        <v>1268</v>
      </c>
      <c r="B102" s="420" t="s">
        <v>2061</v>
      </c>
      <c r="C102" s="420">
        <v>4</v>
      </c>
      <c r="D102" s="420">
        <v>4</v>
      </c>
      <c r="E102" s="420">
        <v>5</v>
      </c>
      <c r="G102" s="420" t="s">
        <v>2060</v>
      </c>
      <c r="H102" s="420" t="s">
        <v>2060</v>
      </c>
      <c r="I102" s="420">
        <v>5</v>
      </c>
      <c r="J102" s="420"/>
      <c r="L102" s="420">
        <v>45.625</v>
      </c>
      <c r="O102" s="197">
        <f t="shared" si="8"/>
        <v>4</v>
      </c>
      <c r="P102" s="197">
        <f t="shared" si="9"/>
        <v>4</v>
      </c>
      <c r="Q102" s="197">
        <f t="shared" si="10"/>
        <v>5.5</v>
      </c>
      <c r="R102" s="197" t="str">
        <f t="shared" si="11"/>
        <v>/</v>
      </c>
      <c r="S102" s="197">
        <f t="shared" si="12"/>
        <v>7</v>
      </c>
      <c r="T102" s="197">
        <f t="shared" si="13"/>
        <v>7</v>
      </c>
      <c r="U102" s="197">
        <f t="shared" si="14"/>
        <v>5.5</v>
      </c>
      <c r="V102" s="197" t="str">
        <f t="shared" si="15"/>
        <v>/</v>
      </c>
    </row>
    <row r="103" spans="1:22" hidden="1">
      <c r="A103" s="420" t="s">
        <v>1268</v>
      </c>
      <c r="B103" s="420" t="s">
        <v>100</v>
      </c>
      <c r="C103" s="420" t="s">
        <v>2060</v>
      </c>
      <c r="D103" s="420">
        <v>4</v>
      </c>
      <c r="E103" s="420">
        <v>5</v>
      </c>
      <c r="G103" s="420">
        <v>5</v>
      </c>
      <c r="H103" s="420">
        <v>5</v>
      </c>
      <c r="I103" s="420">
        <v>5</v>
      </c>
      <c r="J103" s="420">
        <v>4</v>
      </c>
      <c r="L103" s="420">
        <v>44.5</v>
      </c>
      <c r="O103" s="197">
        <f t="shared" si="8"/>
        <v>7</v>
      </c>
      <c r="P103" s="197">
        <f t="shared" si="9"/>
        <v>4</v>
      </c>
      <c r="Q103" s="197">
        <f t="shared" si="10"/>
        <v>5.5</v>
      </c>
      <c r="R103" s="197" t="str">
        <f t="shared" si="11"/>
        <v>/</v>
      </c>
      <c r="S103" s="197">
        <f t="shared" si="12"/>
        <v>5.5</v>
      </c>
      <c r="T103" s="197">
        <f t="shared" si="13"/>
        <v>5.5</v>
      </c>
      <c r="U103" s="197">
        <f t="shared" si="14"/>
        <v>5.5</v>
      </c>
      <c r="V103" s="197">
        <f t="shared" si="15"/>
        <v>4</v>
      </c>
    </row>
    <row r="104" spans="1:22">
      <c r="A104" s="420" t="s">
        <v>1272</v>
      </c>
      <c r="B104" s="420" t="s">
        <v>103</v>
      </c>
      <c r="C104" s="420">
        <v>4</v>
      </c>
      <c r="D104" s="420">
        <v>3</v>
      </c>
      <c r="E104" s="420">
        <v>5</v>
      </c>
      <c r="G104" s="420">
        <v>5</v>
      </c>
      <c r="H104" s="420">
        <v>4</v>
      </c>
      <c r="I104" s="420">
        <v>4</v>
      </c>
      <c r="J104" s="420"/>
      <c r="L104" s="420">
        <v>30.5</v>
      </c>
      <c r="O104" s="197">
        <f t="shared" si="8"/>
        <v>4</v>
      </c>
      <c r="P104" s="197">
        <f t="shared" si="9"/>
        <v>3</v>
      </c>
      <c r="Q104" s="197">
        <f t="shared" si="10"/>
        <v>5.5</v>
      </c>
      <c r="R104" s="197" t="str">
        <f t="shared" si="11"/>
        <v>/</v>
      </c>
      <c r="S104" s="197">
        <f t="shared" si="12"/>
        <v>5.5</v>
      </c>
      <c r="T104" s="197">
        <f t="shared" si="13"/>
        <v>4</v>
      </c>
      <c r="U104" s="197">
        <f t="shared" si="14"/>
        <v>4</v>
      </c>
      <c r="V104" s="197" t="str">
        <f t="shared" si="15"/>
        <v>/</v>
      </c>
    </row>
    <row r="105" spans="1:22" hidden="1">
      <c r="A105" s="420" t="s">
        <v>1272</v>
      </c>
      <c r="B105" s="420" t="s">
        <v>2061</v>
      </c>
      <c r="C105" s="420">
        <v>4</v>
      </c>
      <c r="D105" s="420">
        <v>4</v>
      </c>
      <c r="E105" s="420">
        <v>4</v>
      </c>
      <c r="G105" s="420">
        <v>4</v>
      </c>
      <c r="H105" s="420">
        <v>5</v>
      </c>
      <c r="I105" s="420">
        <v>4</v>
      </c>
      <c r="J105" s="420">
        <v>3</v>
      </c>
      <c r="L105" s="420">
        <v>28.25</v>
      </c>
      <c r="O105" s="197">
        <f t="shared" si="8"/>
        <v>4</v>
      </c>
      <c r="P105" s="197">
        <f t="shared" si="9"/>
        <v>4</v>
      </c>
      <c r="Q105" s="197">
        <f t="shared" si="10"/>
        <v>4</v>
      </c>
      <c r="R105" s="197" t="str">
        <f t="shared" si="11"/>
        <v>/</v>
      </c>
      <c r="S105" s="197">
        <f t="shared" si="12"/>
        <v>4</v>
      </c>
      <c r="T105" s="197">
        <f t="shared" si="13"/>
        <v>5.5</v>
      </c>
      <c r="U105" s="197">
        <f t="shared" si="14"/>
        <v>4</v>
      </c>
      <c r="V105" s="197">
        <f t="shared" si="15"/>
        <v>3</v>
      </c>
    </row>
    <row r="106" spans="1:22" hidden="1">
      <c r="A106" s="420" t="s">
        <v>1272</v>
      </c>
      <c r="B106" s="420" t="s">
        <v>100</v>
      </c>
      <c r="C106" s="420">
        <v>4</v>
      </c>
      <c r="D106" s="420">
        <v>3</v>
      </c>
      <c r="E106" s="420">
        <v>4</v>
      </c>
      <c r="G106" s="420">
        <v>4</v>
      </c>
      <c r="H106" s="420">
        <v>5</v>
      </c>
      <c r="I106" s="420">
        <v>4</v>
      </c>
      <c r="J106" s="420"/>
      <c r="L106" s="420">
        <v>27.5</v>
      </c>
      <c r="O106" s="197">
        <f t="shared" si="8"/>
        <v>4</v>
      </c>
      <c r="P106" s="197">
        <f t="shared" si="9"/>
        <v>3</v>
      </c>
      <c r="Q106" s="197">
        <f t="shared" si="10"/>
        <v>4</v>
      </c>
      <c r="R106" s="197" t="str">
        <f t="shared" si="11"/>
        <v>/</v>
      </c>
      <c r="S106" s="197">
        <f t="shared" si="12"/>
        <v>4</v>
      </c>
      <c r="T106" s="197">
        <f t="shared" si="13"/>
        <v>5.5</v>
      </c>
      <c r="U106" s="197">
        <f t="shared" si="14"/>
        <v>4</v>
      </c>
      <c r="V106" s="197" t="str">
        <f t="shared" si="15"/>
        <v>/</v>
      </c>
    </row>
    <row r="107" spans="1:22">
      <c r="A107" s="420" t="s">
        <v>429</v>
      </c>
      <c r="B107" s="420" t="s">
        <v>103</v>
      </c>
      <c r="C107" s="420">
        <v>4</v>
      </c>
      <c r="D107" s="420">
        <v>3</v>
      </c>
      <c r="E107" s="420">
        <v>5</v>
      </c>
      <c r="G107" s="420">
        <v>5</v>
      </c>
      <c r="H107" s="420">
        <v>5</v>
      </c>
      <c r="I107" s="420">
        <v>4</v>
      </c>
      <c r="J107" s="420"/>
      <c r="L107" s="420">
        <v>38.875</v>
      </c>
      <c r="O107" s="197">
        <f t="shared" si="8"/>
        <v>4</v>
      </c>
      <c r="P107" s="197">
        <f t="shared" si="9"/>
        <v>3</v>
      </c>
      <c r="Q107" s="197">
        <f t="shared" si="10"/>
        <v>5.5</v>
      </c>
      <c r="R107" s="197" t="str">
        <f t="shared" si="11"/>
        <v>/</v>
      </c>
      <c r="S107" s="197">
        <f t="shared" si="12"/>
        <v>5.5</v>
      </c>
      <c r="T107" s="197">
        <f t="shared" si="13"/>
        <v>5.5</v>
      </c>
      <c r="U107" s="197">
        <f t="shared" si="14"/>
        <v>4</v>
      </c>
      <c r="V107" s="197" t="str">
        <f t="shared" si="15"/>
        <v>/</v>
      </c>
    </row>
    <row r="108" spans="1:22" hidden="1">
      <c r="A108" s="420" t="s">
        <v>429</v>
      </c>
      <c r="B108" s="420" t="s">
        <v>2061</v>
      </c>
      <c r="C108" s="420">
        <v>3</v>
      </c>
      <c r="D108" s="420">
        <v>3</v>
      </c>
      <c r="E108" s="420">
        <v>5</v>
      </c>
      <c r="G108" s="420"/>
      <c r="H108" s="420">
        <v>5</v>
      </c>
      <c r="I108" s="420">
        <v>5</v>
      </c>
      <c r="J108" s="420">
        <v>4</v>
      </c>
      <c r="L108" s="420">
        <v>36.5</v>
      </c>
      <c r="O108" s="197">
        <f t="shared" si="8"/>
        <v>3</v>
      </c>
      <c r="P108" s="197">
        <f t="shared" si="9"/>
        <v>3</v>
      </c>
      <c r="Q108" s="197">
        <f t="shared" si="10"/>
        <v>5.5</v>
      </c>
      <c r="R108" s="197" t="str">
        <f t="shared" si="11"/>
        <v>/</v>
      </c>
      <c r="S108" s="197" t="str">
        <f t="shared" si="12"/>
        <v>/</v>
      </c>
      <c r="T108" s="197">
        <f t="shared" si="13"/>
        <v>5.5</v>
      </c>
      <c r="U108" s="197">
        <f t="shared" si="14"/>
        <v>5.5</v>
      </c>
      <c r="V108" s="197">
        <f t="shared" si="15"/>
        <v>4</v>
      </c>
    </row>
    <row r="109" spans="1:22" hidden="1">
      <c r="A109" s="420" t="s">
        <v>429</v>
      </c>
      <c r="B109" s="420" t="s">
        <v>100</v>
      </c>
      <c r="C109" s="420">
        <v>4</v>
      </c>
      <c r="D109" s="420">
        <v>4</v>
      </c>
      <c r="E109" s="420">
        <v>4</v>
      </c>
      <c r="G109" s="420"/>
      <c r="H109" s="420">
        <v>5</v>
      </c>
      <c r="I109" s="420">
        <v>5</v>
      </c>
      <c r="J109" s="420">
        <v>4</v>
      </c>
      <c r="L109" s="420">
        <v>34.5</v>
      </c>
      <c r="O109" s="197">
        <f t="shared" si="8"/>
        <v>4</v>
      </c>
      <c r="P109" s="197">
        <f t="shared" si="9"/>
        <v>4</v>
      </c>
      <c r="Q109" s="197">
        <f t="shared" si="10"/>
        <v>4</v>
      </c>
      <c r="R109" s="197" t="str">
        <f t="shared" si="11"/>
        <v>/</v>
      </c>
      <c r="S109" s="197" t="str">
        <f t="shared" si="12"/>
        <v>/</v>
      </c>
      <c r="T109" s="197">
        <f t="shared" si="13"/>
        <v>5.5</v>
      </c>
      <c r="U109" s="197">
        <f t="shared" si="14"/>
        <v>5.5</v>
      </c>
      <c r="V109" s="197">
        <f t="shared" si="15"/>
        <v>4</v>
      </c>
    </row>
    <row r="110" spans="1:22">
      <c r="A110" s="420" t="s">
        <v>1279</v>
      </c>
      <c r="B110" s="420" t="s">
        <v>103</v>
      </c>
      <c r="C110" s="420">
        <v>5</v>
      </c>
      <c r="D110" s="420">
        <v>4</v>
      </c>
      <c r="E110" s="420">
        <v>5</v>
      </c>
      <c r="G110" s="420">
        <v>4</v>
      </c>
      <c r="H110" s="420">
        <v>4</v>
      </c>
      <c r="I110" s="420">
        <v>4</v>
      </c>
      <c r="J110" s="420"/>
      <c r="L110" s="420">
        <v>31.75</v>
      </c>
      <c r="O110" s="197">
        <f t="shared" si="8"/>
        <v>5.5</v>
      </c>
      <c r="P110" s="197">
        <f t="shared" si="9"/>
        <v>4</v>
      </c>
      <c r="Q110" s="197">
        <f t="shared" si="10"/>
        <v>5.5</v>
      </c>
      <c r="R110" s="197" t="str">
        <f t="shared" si="11"/>
        <v>/</v>
      </c>
      <c r="S110" s="197">
        <f t="shared" si="12"/>
        <v>4</v>
      </c>
      <c r="T110" s="197">
        <f t="shared" si="13"/>
        <v>4</v>
      </c>
      <c r="U110" s="197">
        <f t="shared" si="14"/>
        <v>4</v>
      </c>
      <c r="V110" s="197" t="str">
        <f t="shared" si="15"/>
        <v>/</v>
      </c>
    </row>
    <row r="111" spans="1:22" hidden="1">
      <c r="A111" s="420" t="s">
        <v>1279</v>
      </c>
      <c r="B111" s="420" t="s">
        <v>2061</v>
      </c>
      <c r="C111" s="420">
        <v>3</v>
      </c>
      <c r="D111" s="420">
        <v>3</v>
      </c>
      <c r="E111" s="420">
        <v>4</v>
      </c>
      <c r="G111" s="420"/>
      <c r="H111" s="420" t="s">
        <v>2060</v>
      </c>
      <c r="I111" s="420">
        <v>5</v>
      </c>
      <c r="J111" s="420">
        <v>4</v>
      </c>
      <c r="L111" s="420">
        <v>30.25</v>
      </c>
      <c r="O111" s="197">
        <f t="shared" si="8"/>
        <v>3</v>
      </c>
      <c r="P111" s="197">
        <f t="shared" si="9"/>
        <v>3</v>
      </c>
      <c r="Q111" s="197">
        <f t="shared" si="10"/>
        <v>4</v>
      </c>
      <c r="R111" s="197" t="str">
        <f t="shared" si="11"/>
        <v>/</v>
      </c>
      <c r="S111" s="197" t="str">
        <f t="shared" si="12"/>
        <v>/</v>
      </c>
      <c r="T111" s="197">
        <f t="shared" si="13"/>
        <v>7</v>
      </c>
      <c r="U111" s="197">
        <f t="shared" si="14"/>
        <v>5.5</v>
      </c>
      <c r="V111" s="197">
        <f t="shared" si="15"/>
        <v>4</v>
      </c>
    </row>
    <row r="112" spans="1:22" hidden="1">
      <c r="A112" s="420" t="s">
        <v>1279</v>
      </c>
      <c r="B112" s="420" t="s">
        <v>100</v>
      </c>
      <c r="C112" s="420">
        <v>3</v>
      </c>
      <c r="D112" s="420">
        <v>4</v>
      </c>
      <c r="E112" s="420">
        <v>4</v>
      </c>
      <c r="G112" s="420"/>
      <c r="H112" s="420" t="s">
        <v>2060</v>
      </c>
      <c r="I112" s="420">
        <v>4</v>
      </c>
      <c r="J112" s="420"/>
      <c r="L112" s="420">
        <v>29.5</v>
      </c>
      <c r="O112" s="197">
        <f t="shared" si="8"/>
        <v>3</v>
      </c>
      <c r="P112" s="197">
        <f t="shared" si="9"/>
        <v>4</v>
      </c>
      <c r="Q112" s="197">
        <f t="shared" si="10"/>
        <v>4</v>
      </c>
      <c r="R112" s="197" t="str">
        <f t="shared" si="11"/>
        <v>/</v>
      </c>
      <c r="S112" s="197" t="str">
        <f t="shared" si="12"/>
        <v>/</v>
      </c>
      <c r="T112" s="197">
        <f t="shared" si="13"/>
        <v>7</v>
      </c>
      <c r="U112" s="197">
        <f t="shared" si="14"/>
        <v>4</v>
      </c>
      <c r="V112" s="197" t="str">
        <f t="shared" si="15"/>
        <v>/</v>
      </c>
    </row>
    <row r="113" spans="1:22">
      <c r="A113" s="420" t="s">
        <v>430</v>
      </c>
      <c r="B113" s="420" t="s">
        <v>103</v>
      </c>
      <c r="C113" s="420">
        <v>4</v>
      </c>
      <c r="D113" s="420">
        <v>5</v>
      </c>
      <c r="E113" s="420">
        <v>5</v>
      </c>
      <c r="G113" s="420"/>
      <c r="H113" s="420" t="s">
        <v>2060</v>
      </c>
      <c r="I113" s="420">
        <v>5</v>
      </c>
      <c r="J113" s="420">
        <v>5</v>
      </c>
      <c r="L113" s="420">
        <v>43.5</v>
      </c>
      <c r="O113" s="197">
        <f t="shared" si="8"/>
        <v>4</v>
      </c>
      <c r="P113" s="197">
        <f t="shared" si="9"/>
        <v>5.5</v>
      </c>
      <c r="Q113" s="197">
        <f t="shared" si="10"/>
        <v>5.5</v>
      </c>
      <c r="R113" s="197" t="str">
        <f t="shared" si="11"/>
        <v>/</v>
      </c>
      <c r="S113" s="197" t="str">
        <f t="shared" si="12"/>
        <v>/</v>
      </c>
      <c r="T113" s="197">
        <f t="shared" si="13"/>
        <v>7</v>
      </c>
      <c r="U113" s="197">
        <f t="shared" si="14"/>
        <v>5.5</v>
      </c>
      <c r="V113" s="197">
        <f t="shared" si="15"/>
        <v>5.5</v>
      </c>
    </row>
    <row r="114" spans="1:22" hidden="1">
      <c r="A114" s="420" t="s">
        <v>430</v>
      </c>
      <c r="B114" s="420" t="s">
        <v>2061</v>
      </c>
      <c r="C114" s="420">
        <v>4</v>
      </c>
      <c r="D114" s="420" t="s">
        <v>2060</v>
      </c>
      <c r="E114" s="420">
        <v>5</v>
      </c>
      <c r="G114" s="420">
        <v>3</v>
      </c>
      <c r="H114" s="420">
        <v>5</v>
      </c>
      <c r="I114" s="420">
        <v>5</v>
      </c>
      <c r="J114" s="420">
        <v>4</v>
      </c>
      <c r="L114" s="420">
        <v>41.25</v>
      </c>
      <c r="O114" s="197">
        <f t="shared" si="8"/>
        <v>4</v>
      </c>
      <c r="P114" s="197">
        <f t="shared" si="9"/>
        <v>7</v>
      </c>
      <c r="Q114" s="197">
        <f t="shared" si="10"/>
        <v>5.5</v>
      </c>
      <c r="R114" s="197" t="str">
        <f t="shared" si="11"/>
        <v>/</v>
      </c>
      <c r="S114" s="197">
        <f t="shared" si="12"/>
        <v>3</v>
      </c>
      <c r="T114" s="197">
        <f t="shared" si="13"/>
        <v>5.5</v>
      </c>
      <c r="U114" s="197">
        <f t="shared" si="14"/>
        <v>5.5</v>
      </c>
      <c r="V114" s="197">
        <f t="shared" si="15"/>
        <v>4</v>
      </c>
    </row>
    <row r="115" spans="1:22" hidden="1">
      <c r="A115" s="420" t="s">
        <v>430</v>
      </c>
      <c r="B115" s="420" t="s">
        <v>100</v>
      </c>
      <c r="C115" s="420">
        <v>5</v>
      </c>
      <c r="D115" s="420">
        <v>4</v>
      </c>
      <c r="E115" s="420">
        <v>4</v>
      </c>
      <c r="G115" s="420"/>
      <c r="H115" s="420" t="s">
        <v>2060</v>
      </c>
      <c r="I115" s="420">
        <v>5</v>
      </c>
      <c r="J115" s="420">
        <v>5</v>
      </c>
      <c r="L115" s="420">
        <v>39</v>
      </c>
      <c r="O115" s="197">
        <f t="shared" si="8"/>
        <v>5.5</v>
      </c>
      <c r="P115" s="197">
        <f t="shared" si="9"/>
        <v>4</v>
      </c>
      <c r="Q115" s="197">
        <f t="shared" si="10"/>
        <v>4</v>
      </c>
      <c r="R115" s="197" t="str">
        <f t="shared" si="11"/>
        <v>/</v>
      </c>
      <c r="S115" s="197" t="str">
        <f t="shared" si="12"/>
        <v>/</v>
      </c>
      <c r="T115" s="197">
        <f t="shared" si="13"/>
        <v>7</v>
      </c>
      <c r="U115" s="197">
        <f t="shared" si="14"/>
        <v>5.5</v>
      </c>
      <c r="V115" s="197">
        <f t="shared" si="15"/>
        <v>5.5</v>
      </c>
    </row>
    <row r="116" spans="1:22">
      <c r="A116" s="420" t="s">
        <v>1285</v>
      </c>
      <c r="B116" s="420" t="s">
        <v>103</v>
      </c>
      <c r="C116" s="420">
        <v>5</v>
      </c>
      <c r="D116" s="420">
        <v>4</v>
      </c>
      <c r="E116" s="420">
        <v>4</v>
      </c>
      <c r="G116" s="420"/>
      <c r="H116" s="420">
        <v>4</v>
      </c>
      <c r="I116" s="420">
        <v>4</v>
      </c>
      <c r="J116" s="420">
        <v>4</v>
      </c>
      <c r="L116" s="420">
        <v>29.5</v>
      </c>
      <c r="O116" s="197">
        <f t="shared" si="8"/>
        <v>5.5</v>
      </c>
      <c r="P116" s="197">
        <f t="shared" si="9"/>
        <v>4</v>
      </c>
      <c r="Q116" s="197">
        <f t="shared" si="10"/>
        <v>4</v>
      </c>
      <c r="R116" s="197" t="str">
        <f t="shared" si="11"/>
        <v>/</v>
      </c>
      <c r="S116" s="197" t="str">
        <f t="shared" si="12"/>
        <v>/</v>
      </c>
      <c r="T116" s="197">
        <f t="shared" si="13"/>
        <v>4</v>
      </c>
      <c r="U116" s="197">
        <f t="shared" si="14"/>
        <v>4</v>
      </c>
      <c r="V116" s="197">
        <f t="shared" si="15"/>
        <v>4</v>
      </c>
    </row>
    <row r="117" spans="1:22" hidden="1">
      <c r="A117" s="420" t="s">
        <v>1285</v>
      </c>
      <c r="B117" s="420" t="s">
        <v>2061</v>
      </c>
      <c r="C117" s="420">
        <v>5</v>
      </c>
      <c r="D117" s="420">
        <v>3</v>
      </c>
      <c r="E117" s="420">
        <v>5</v>
      </c>
      <c r="G117" s="420">
        <v>4</v>
      </c>
      <c r="H117" s="420">
        <v>3</v>
      </c>
      <c r="I117" s="420">
        <v>3</v>
      </c>
      <c r="J117" s="420"/>
      <c r="L117" s="420">
        <v>28.75</v>
      </c>
      <c r="O117" s="197">
        <f t="shared" si="8"/>
        <v>5.5</v>
      </c>
      <c r="P117" s="197">
        <f t="shared" si="9"/>
        <v>3</v>
      </c>
      <c r="Q117" s="197">
        <f t="shared" si="10"/>
        <v>5.5</v>
      </c>
      <c r="R117" s="197" t="str">
        <f t="shared" si="11"/>
        <v>/</v>
      </c>
      <c r="S117" s="197">
        <f t="shared" si="12"/>
        <v>4</v>
      </c>
      <c r="T117" s="197">
        <f t="shared" si="13"/>
        <v>3</v>
      </c>
      <c r="U117" s="197">
        <f t="shared" si="14"/>
        <v>3</v>
      </c>
      <c r="V117" s="197" t="str">
        <f t="shared" si="15"/>
        <v>/</v>
      </c>
    </row>
    <row r="118" spans="1:22" hidden="1">
      <c r="A118" s="420" t="s">
        <v>1285</v>
      </c>
      <c r="B118" s="420" t="s">
        <v>100</v>
      </c>
      <c r="C118" s="420" t="s">
        <v>2060</v>
      </c>
      <c r="D118" s="420">
        <v>4</v>
      </c>
      <c r="E118" s="420">
        <v>4</v>
      </c>
      <c r="G118" s="420"/>
      <c r="H118" s="420">
        <v>4</v>
      </c>
      <c r="I118" s="420">
        <v>3</v>
      </c>
      <c r="J118" s="420">
        <v>3</v>
      </c>
      <c r="L118" s="420">
        <v>28</v>
      </c>
      <c r="O118" s="197">
        <f t="shared" si="8"/>
        <v>7</v>
      </c>
      <c r="P118" s="197">
        <f t="shared" si="9"/>
        <v>4</v>
      </c>
      <c r="Q118" s="197">
        <f t="shared" si="10"/>
        <v>4</v>
      </c>
      <c r="R118" s="197" t="str">
        <f t="shared" si="11"/>
        <v>/</v>
      </c>
      <c r="S118" s="197" t="str">
        <f t="shared" si="12"/>
        <v>/</v>
      </c>
      <c r="T118" s="197">
        <f t="shared" si="13"/>
        <v>4</v>
      </c>
      <c r="U118" s="197">
        <f t="shared" si="14"/>
        <v>3</v>
      </c>
      <c r="V118" s="197">
        <f t="shared" si="15"/>
        <v>3</v>
      </c>
    </row>
    <row r="119" spans="1:22">
      <c r="A119" s="420" t="s">
        <v>1289</v>
      </c>
      <c r="B119" s="420" t="s">
        <v>103</v>
      </c>
      <c r="C119" s="420">
        <v>5</v>
      </c>
      <c r="D119" s="420">
        <v>4</v>
      </c>
      <c r="E119" s="420" t="s">
        <v>2062</v>
      </c>
      <c r="G119" s="420" t="s">
        <v>2060</v>
      </c>
      <c r="H119" s="420" t="s">
        <v>2062</v>
      </c>
      <c r="I119" s="420" t="s">
        <v>2060</v>
      </c>
      <c r="J119" s="420"/>
      <c r="L119" s="420">
        <v>57.25</v>
      </c>
      <c r="O119" s="197">
        <f t="shared" si="8"/>
        <v>5.5</v>
      </c>
      <c r="P119" s="197">
        <f t="shared" si="9"/>
        <v>4</v>
      </c>
      <c r="Q119" s="197">
        <f t="shared" si="10"/>
        <v>8.5</v>
      </c>
      <c r="R119" s="197" t="str">
        <f t="shared" si="11"/>
        <v>/</v>
      </c>
      <c r="S119" s="197">
        <f t="shared" si="12"/>
        <v>7</v>
      </c>
      <c r="T119" s="197">
        <f t="shared" si="13"/>
        <v>8.5</v>
      </c>
      <c r="U119" s="197">
        <f t="shared" si="14"/>
        <v>7</v>
      </c>
      <c r="V119" s="197" t="str">
        <f t="shared" si="15"/>
        <v>/</v>
      </c>
    </row>
    <row r="120" spans="1:22" hidden="1">
      <c r="A120" s="420" t="s">
        <v>1289</v>
      </c>
      <c r="B120" s="420" t="s">
        <v>2061</v>
      </c>
      <c r="C120" s="420" t="s">
        <v>2062</v>
      </c>
      <c r="D120" s="420">
        <v>4</v>
      </c>
      <c r="E120" s="420" t="s">
        <v>2060</v>
      </c>
      <c r="G120" s="420">
        <v>5</v>
      </c>
      <c r="H120" s="420" t="s">
        <v>2060</v>
      </c>
      <c r="I120" s="420" t="s">
        <v>2060</v>
      </c>
      <c r="J120" s="420"/>
      <c r="L120" s="420">
        <v>53.5</v>
      </c>
      <c r="O120" s="197">
        <f t="shared" si="8"/>
        <v>8.5</v>
      </c>
      <c r="P120" s="197">
        <f t="shared" si="9"/>
        <v>4</v>
      </c>
      <c r="Q120" s="197">
        <f t="shared" si="10"/>
        <v>7</v>
      </c>
      <c r="R120" s="197" t="str">
        <f t="shared" si="11"/>
        <v>/</v>
      </c>
      <c r="S120" s="197">
        <f t="shared" si="12"/>
        <v>5.5</v>
      </c>
      <c r="T120" s="197">
        <f t="shared" si="13"/>
        <v>7</v>
      </c>
      <c r="U120" s="197">
        <f t="shared" si="14"/>
        <v>7</v>
      </c>
      <c r="V120" s="197" t="str">
        <f t="shared" si="15"/>
        <v>/</v>
      </c>
    </row>
    <row r="121" spans="1:22" hidden="1">
      <c r="A121" s="420" t="s">
        <v>1289</v>
      </c>
      <c r="B121" s="420" t="s">
        <v>100</v>
      </c>
      <c r="C121" s="420">
        <v>5</v>
      </c>
      <c r="D121" s="420">
        <v>4</v>
      </c>
      <c r="E121" s="420" t="s">
        <v>2060</v>
      </c>
      <c r="G121" s="420">
        <v>5</v>
      </c>
      <c r="H121" s="420" t="s">
        <v>2060</v>
      </c>
      <c r="I121" s="420" t="s">
        <v>2060</v>
      </c>
      <c r="J121" s="420">
        <v>5</v>
      </c>
      <c r="L121" s="420">
        <v>51.125</v>
      </c>
      <c r="O121" s="197">
        <f t="shared" si="8"/>
        <v>5.5</v>
      </c>
      <c r="P121" s="197">
        <f t="shared" si="9"/>
        <v>4</v>
      </c>
      <c r="Q121" s="197">
        <f t="shared" si="10"/>
        <v>7</v>
      </c>
      <c r="R121" s="197" t="str">
        <f t="shared" si="11"/>
        <v>/</v>
      </c>
      <c r="S121" s="197">
        <f t="shared" si="12"/>
        <v>5.5</v>
      </c>
      <c r="T121" s="197">
        <f t="shared" si="13"/>
        <v>7</v>
      </c>
      <c r="U121" s="197">
        <f t="shared" si="14"/>
        <v>7</v>
      </c>
      <c r="V121" s="197">
        <f t="shared" si="15"/>
        <v>5.5</v>
      </c>
    </row>
    <row r="122" spans="1:22">
      <c r="A122" s="420" t="s">
        <v>2653</v>
      </c>
      <c r="B122" s="420" t="s">
        <v>103</v>
      </c>
      <c r="C122" s="420" t="s">
        <v>324</v>
      </c>
      <c r="D122" s="420" t="s">
        <v>324</v>
      </c>
      <c r="E122" s="420" t="s">
        <v>324</v>
      </c>
      <c r="G122" s="420" t="s">
        <v>324</v>
      </c>
      <c r="H122" s="420" t="s">
        <v>324</v>
      </c>
      <c r="I122" s="420" t="s">
        <v>324</v>
      </c>
      <c r="J122" s="420" t="s">
        <v>324</v>
      </c>
      <c r="L122" s="420" t="s">
        <v>324</v>
      </c>
      <c r="O122" s="197" t="str">
        <f t="shared" si="8"/>
        <v>/</v>
      </c>
      <c r="P122" s="197" t="str">
        <f t="shared" si="9"/>
        <v>/</v>
      </c>
      <c r="Q122" s="197" t="str">
        <f t="shared" si="10"/>
        <v>/</v>
      </c>
      <c r="R122" s="197" t="str">
        <f t="shared" si="11"/>
        <v>/</v>
      </c>
      <c r="S122" s="197" t="str">
        <f t="shared" si="12"/>
        <v>/</v>
      </c>
      <c r="T122" s="197" t="str">
        <f t="shared" si="13"/>
        <v>/</v>
      </c>
      <c r="U122" s="197" t="str">
        <f t="shared" si="14"/>
        <v>/</v>
      </c>
      <c r="V122" s="197" t="str">
        <f t="shared" si="15"/>
        <v>/</v>
      </c>
    </row>
    <row r="123" spans="1:22" hidden="1">
      <c r="A123" s="420" t="s">
        <v>2653</v>
      </c>
      <c r="B123" s="420" t="s">
        <v>2061</v>
      </c>
      <c r="C123" s="420" t="s">
        <v>324</v>
      </c>
      <c r="D123" s="420" t="s">
        <v>324</v>
      </c>
      <c r="E123" s="420" t="s">
        <v>324</v>
      </c>
      <c r="G123" s="420" t="s">
        <v>324</v>
      </c>
      <c r="H123" s="420" t="s">
        <v>324</v>
      </c>
      <c r="I123" s="420" t="s">
        <v>324</v>
      </c>
      <c r="J123" s="420" t="s">
        <v>324</v>
      </c>
      <c r="L123" s="420" t="s">
        <v>324</v>
      </c>
      <c r="O123" s="197" t="str">
        <f t="shared" si="8"/>
        <v>/</v>
      </c>
      <c r="P123" s="197" t="str">
        <f t="shared" si="9"/>
        <v>/</v>
      </c>
      <c r="Q123" s="197" t="str">
        <f t="shared" si="10"/>
        <v>/</v>
      </c>
      <c r="R123" s="197" t="str">
        <f t="shared" si="11"/>
        <v>/</v>
      </c>
      <c r="S123" s="197" t="str">
        <f t="shared" si="12"/>
        <v>/</v>
      </c>
      <c r="T123" s="197" t="str">
        <f t="shared" si="13"/>
        <v>/</v>
      </c>
      <c r="U123" s="197" t="str">
        <f t="shared" si="14"/>
        <v>/</v>
      </c>
      <c r="V123" s="197" t="str">
        <f t="shared" si="15"/>
        <v>/</v>
      </c>
    </row>
    <row r="124" spans="1:22" hidden="1">
      <c r="A124" s="420" t="s">
        <v>2653</v>
      </c>
      <c r="B124" s="420" t="s">
        <v>100</v>
      </c>
      <c r="C124" s="420" t="s">
        <v>324</v>
      </c>
      <c r="D124" s="420" t="s">
        <v>324</v>
      </c>
      <c r="E124" s="420" t="s">
        <v>324</v>
      </c>
      <c r="G124" s="420" t="s">
        <v>324</v>
      </c>
      <c r="H124" s="420" t="s">
        <v>324</v>
      </c>
      <c r="I124" s="420" t="s">
        <v>324</v>
      </c>
      <c r="J124" s="420" t="s">
        <v>324</v>
      </c>
      <c r="L124" s="420" t="s">
        <v>324</v>
      </c>
      <c r="O124" s="197" t="str">
        <f t="shared" si="8"/>
        <v>/</v>
      </c>
      <c r="P124" s="197" t="str">
        <f t="shared" si="9"/>
        <v>/</v>
      </c>
      <c r="Q124" s="197" t="str">
        <f t="shared" si="10"/>
        <v>/</v>
      </c>
      <c r="R124" s="197" t="str">
        <f t="shared" si="11"/>
        <v>/</v>
      </c>
      <c r="S124" s="197" t="str">
        <f t="shared" si="12"/>
        <v>/</v>
      </c>
      <c r="T124" s="197" t="str">
        <f t="shared" si="13"/>
        <v>/</v>
      </c>
      <c r="U124" s="197" t="str">
        <f t="shared" si="14"/>
        <v>/</v>
      </c>
      <c r="V124" s="197" t="str">
        <f t="shared" si="15"/>
        <v>/</v>
      </c>
    </row>
    <row r="125" spans="1:22">
      <c r="A125" s="420" t="s">
        <v>1292</v>
      </c>
      <c r="B125" s="420" t="s">
        <v>103</v>
      </c>
      <c r="C125" s="420">
        <v>5</v>
      </c>
      <c r="D125" s="420">
        <v>5</v>
      </c>
      <c r="E125" s="420" t="s">
        <v>2062</v>
      </c>
      <c r="G125" s="420" t="s">
        <v>2062</v>
      </c>
      <c r="H125" s="420" t="s">
        <v>2062</v>
      </c>
      <c r="I125" s="420" t="s">
        <v>2062</v>
      </c>
      <c r="J125" s="420" t="s">
        <v>2060</v>
      </c>
      <c r="L125" s="420">
        <v>38</v>
      </c>
      <c r="O125" s="197">
        <f t="shared" si="8"/>
        <v>5.5</v>
      </c>
      <c r="P125" s="197">
        <f t="shared" si="9"/>
        <v>5.5</v>
      </c>
      <c r="Q125" s="197">
        <f t="shared" si="10"/>
        <v>8.5</v>
      </c>
      <c r="R125" s="197" t="str">
        <f t="shared" si="11"/>
        <v>/</v>
      </c>
      <c r="S125" s="197">
        <f t="shared" si="12"/>
        <v>8.5</v>
      </c>
      <c r="T125" s="197">
        <f t="shared" si="13"/>
        <v>8.5</v>
      </c>
      <c r="U125" s="197">
        <f t="shared" si="14"/>
        <v>8.5</v>
      </c>
      <c r="V125" s="197">
        <f t="shared" si="15"/>
        <v>7</v>
      </c>
    </row>
    <row r="126" spans="1:22" hidden="1">
      <c r="A126" s="420" t="s">
        <v>1292</v>
      </c>
      <c r="B126" s="420" t="s">
        <v>2061</v>
      </c>
      <c r="C126" s="420" t="s">
        <v>2062</v>
      </c>
      <c r="D126" s="420" t="s">
        <v>2060</v>
      </c>
      <c r="E126" s="420">
        <v>5</v>
      </c>
      <c r="G126" s="420"/>
      <c r="H126" s="420" t="s">
        <v>2062</v>
      </c>
      <c r="I126" s="420" t="s">
        <v>2060</v>
      </c>
      <c r="J126" s="420" t="s">
        <v>2060</v>
      </c>
      <c r="L126" s="420">
        <v>37</v>
      </c>
      <c r="O126" s="197">
        <f t="shared" si="8"/>
        <v>8.5</v>
      </c>
      <c r="P126" s="197">
        <f t="shared" si="9"/>
        <v>7</v>
      </c>
      <c r="Q126" s="197">
        <f t="shared" si="10"/>
        <v>5.5</v>
      </c>
      <c r="R126" s="197" t="str">
        <f t="shared" si="11"/>
        <v>/</v>
      </c>
      <c r="S126" s="197" t="str">
        <f t="shared" si="12"/>
        <v>/</v>
      </c>
      <c r="T126" s="197">
        <f t="shared" si="13"/>
        <v>8.5</v>
      </c>
      <c r="U126" s="197">
        <f t="shared" si="14"/>
        <v>7</v>
      </c>
      <c r="V126" s="197">
        <f t="shared" si="15"/>
        <v>7</v>
      </c>
    </row>
    <row r="127" spans="1:22" hidden="1">
      <c r="A127" s="420" t="s">
        <v>1292</v>
      </c>
      <c r="B127" s="420" t="s">
        <v>100</v>
      </c>
      <c r="C127" s="420">
        <v>5</v>
      </c>
      <c r="D127" s="420" t="s">
        <v>2060</v>
      </c>
      <c r="E127" s="420" t="s">
        <v>2060</v>
      </c>
      <c r="G127" s="420">
        <v>5</v>
      </c>
      <c r="H127" s="420" t="s">
        <v>2062</v>
      </c>
      <c r="I127" s="420" t="s">
        <v>2060</v>
      </c>
      <c r="J127" s="420" t="s">
        <v>2060</v>
      </c>
      <c r="L127" s="420">
        <v>36</v>
      </c>
      <c r="O127" s="197">
        <f t="shared" si="8"/>
        <v>5.5</v>
      </c>
      <c r="P127" s="197">
        <f t="shared" si="9"/>
        <v>7</v>
      </c>
      <c r="Q127" s="197">
        <f t="shared" si="10"/>
        <v>7</v>
      </c>
      <c r="R127" s="197" t="str">
        <f t="shared" si="11"/>
        <v>/</v>
      </c>
      <c r="S127" s="197">
        <f t="shared" si="12"/>
        <v>5.5</v>
      </c>
      <c r="T127" s="197">
        <f t="shared" si="13"/>
        <v>8.5</v>
      </c>
      <c r="U127" s="197">
        <f t="shared" si="14"/>
        <v>7</v>
      </c>
      <c r="V127" s="197">
        <f t="shared" si="15"/>
        <v>7</v>
      </c>
    </row>
    <row r="128" spans="1:22">
      <c r="A128" s="420" t="s">
        <v>439</v>
      </c>
      <c r="B128" s="420" t="s">
        <v>103</v>
      </c>
      <c r="C128" s="420" t="s">
        <v>2060</v>
      </c>
      <c r="D128" s="420" t="s">
        <v>2062</v>
      </c>
      <c r="E128" s="420" t="s">
        <v>2062</v>
      </c>
      <c r="G128" s="420" t="s">
        <v>2062</v>
      </c>
      <c r="H128" s="420" t="s">
        <v>2062</v>
      </c>
      <c r="I128" s="420" t="s">
        <v>2062</v>
      </c>
      <c r="J128" s="420" t="s">
        <v>2062</v>
      </c>
      <c r="L128" s="420">
        <v>41.5</v>
      </c>
      <c r="O128" s="197">
        <f t="shared" si="8"/>
        <v>7</v>
      </c>
      <c r="P128" s="197">
        <f t="shared" si="9"/>
        <v>8.5</v>
      </c>
      <c r="Q128" s="197">
        <f t="shared" si="10"/>
        <v>8.5</v>
      </c>
      <c r="R128" s="197" t="str">
        <f t="shared" si="11"/>
        <v>/</v>
      </c>
      <c r="S128" s="197">
        <f t="shared" si="12"/>
        <v>8.5</v>
      </c>
      <c r="T128" s="197">
        <f t="shared" si="13"/>
        <v>8.5</v>
      </c>
      <c r="U128" s="197">
        <f t="shared" si="14"/>
        <v>8.5</v>
      </c>
      <c r="V128" s="197">
        <f t="shared" si="15"/>
        <v>8.5</v>
      </c>
    </row>
    <row r="129" spans="1:22" hidden="1">
      <c r="A129" s="420" t="s">
        <v>439</v>
      </c>
      <c r="B129" s="420" t="s">
        <v>2061</v>
      </c>
      <c r="C129" s="420" t="s">
        <v>2060</v>
      </c>
      <c r="D129" s="420" t="s">
        <v>2062</v>
      </c>
      <c r="E129" s="420" t="s">
        <v>2060</v>
      </c>
      <c r="G129" s="420" t="s">
        <v>2062</v>
      </c>
      <c r="H129" s="420" t="s">
        <v>2062</v>
      </c>
      <c r="I129" s="420" t="s">
        <v>2062</v>
      </c>
      <c r="J129" s="420" t="s">
        <v>2062</v>
      </c>
      <c r="L129" s="420">
        <v>40.5</v>
      </c>
      <c r="O129" s="197">
        <f t="shared" si="8"/>
        <v>7</v>
      </c>
      <c r="P129" s="197">
        <f t="shared" si="9"/>
        <v>8.5</v>
      </c>
      <c r="Q129" s="197">
        <f t="shared" si="10"/>
        <v>7</v>
      </c>
      <c r="R129" s="197" t="str">
        <f t="shared" si="11"/>
        <v>/</v>
      </c>
      <c r="S129" s="197">
        <f t="shared" si="12"/>
        <v>8.5</v>
      </c>
      <c r="T129" s="197">
        <f t="shared" si="13"/>
        <v>8.5</v>
      </c>
      <c r="U129" s="197">
        <f t="shared" si="14"/>
        <v>8.5</v>
      </c>
      <c r="V129" s="197">
        <f t="shared" si="15"/>
        <v>8.5</v>
      </c>
    </row>
    <row r="130" spans="1:22" hidden="1">
      <c r="A130" s="420" t="s">
        <v>439</v>
      </c>
      <c r="B130" s="420" t="s">
        <v>100</v>
      </c>
      <c r="C130" s="420" t="s">
        <v>2060</v>
      </c>
      <c r="D130" s="420" t="s">
        <v>2062</v>
      </c>
      <c r="E130" s="420" t="s">
        <v>2060</v>
      </c>
      <c r="G130" s="420"/>
      <c r="H130" s="420" t="s">
        <v>2062</v>
      </c>
      <c r="I130" s="420" t="s">
        <v>2062</v>
      </c>
      <c r="J130" s="420" t="s">
        <v>2062</v>
      </c>
      <c r="L130" s="420">
        <v>40</v>
      </c>
      <c r="O130" s="197">
        <f t="shared" ref="O130:O193" si="16">IF(C130=0,"/",IF(C130=5,5.5,IF(C130="5*",7,IF(C130="5**",8.5,C130))))</f>
        <v>7</v>
      </c>
      <c r="P130" s="197">
        <f t="shared" ref="P130:P193" si="17">IF(D130=0,"/",IF(D130=5,5.5,IF(D130="5*",7,IF(D130="5**",8.5,D130))))</f>
        <v>8.5</v>
      </c>
      <c r="Q130" s="197">
        <f t="shared" ref="Q130:Q193" si="18">IF(E130=0,"/",IF(E130=5,5.5,IF(E130="5*",7,IF(E130="5**",8.5,E130))))</f>
        <v>7</v>
      </c>
      <c r="R130" s="197" t="str">
        <f t="shared" ref="R130:R193" si="19">IF(F130=0,"/",IF(F130=5,5.5,IF(F130="5*",7,IF(F130="5**",8.5,F130))))</f>
        <v>/</v>
      </c>
      <c r="S130" s="197" t="str">
        <f t="shared" ref="S130:S193" si="20">IF(G130=0,"/",IF(G130=5,5.5,IF(G130="5*",7,IF(G130="5**",8.5,G130))))</f>
        <v>/</v>
      </c>
      <c r="T130" s="197">
        <f t="shared" ref="T130:T193" si="21">IF(H130=0,"/",IF(H130=5,5.5,IF(H130="5*",7,IF(H130="5**",8.5,H130))))</f>
        <v>8.5</v>
      </c>
      <c r="U130" s="197">
        <f t="shared" ref="U130:U193" si="22">IF(I130=0,"/",IF(I130=5,5.5,IF(I130="5*",7,IF(I130="5**",8.5,I130))))</f>
        <v>8.5</v>
      </c>
      <c r="V130" s="197">
        <f t="shared" ref="V130:V193" si="23">IF(J130=0,"/",IF(J130=5,5.5,IF(J130="5*",7,IF(J130="5**",8.5,J130))))</f>
        <v>8.5</v>
      </c>
    </row>
    <row r="131" spans="1:22">
      <c r="A131" s="420" t="s">
        <v>1300</v>
      </c>
      <c r="B131" s="420" t="s">
        <v>103</v>
      </c>
      <c r="C131" s="420" t="s">
        <v>2060</v>
      </c>
      <c r="D131" s="420">
        <v>4</v>
      </c>
      <c r="E131" s="420">
        <v>5</v>
      </c>
      <c r="G131" s="420"/>
      <c r="H131" s="420" t="s">
        <v>2060</v>
      </c>
      <c r="I131" s="420">
        <v>5</v>
      </c>
      <c r="J131" s="420">
        <v>4</v>
      </c>
      <c r="L131" s="420">
        <v>30.1</v>
      </c>
      <c r="O131" s="197">
        <f t="shared" si="16"/>
        <v>7</v>
      </c>
      <c r="P131" s="197">
        <f t="shared" si="17"/>
        <v>4</v>
      </c>
      <c r="Q131" s="197">
        <f t="shared" si="18"/>
        <v>5.5</v>
      </c>
      <c r="R131" s="197" t="str">
        <f t="shared" si="19"/>
        <v>/</v>
      </c>
      <c r="S131" s="197" t="str">
        <f t="shared" si="20"/>
        <v>/</v>
      </c>
      <c r="T131" s="197">
        <f t="shared" si="21"/>
        <v>7</v>
      </c>
      <c r="U131" s="197">
        <f t="shared" si="22"/>
        <v>5.5</v>
      </c>
      <c r="V131" s="197">
        <f t="shared" si="23"/>
        <v>4</v>
      </c>
    </row>
    <row r="132" spans="1:22" hidden="1">
      <c r="A132" s="420" t="s">
        <v>1300</v>
      </c>
      <c r="B132" s="420" t="s">
        <v>2061</v>
      </c>
      <c r="C132" s="420" t="s">
        <v>2060</v>
      </c>
      <c r="D132" s="420">
        <v>5</v>
      </c>
      <c r="E132" s="420">
        <v>4</v>
      </c>
      <c r="G132" s="420"/>
      <c r="H132" s="420">
        <v>5</v>
      </c>
      <c r="I132" s="420">
        <v>5</v>
      </c>
      <c r="J132" s="420">
        <v>3</v>
      </c>
      <c r="L132" s="420">
        <v>28.6</v>
      </c>
      <c r="O132" s="197">
        <f t="shared" si="16"/>
        <v>7</v>
      </c>
      <c r="P132" s="197">
        <f t="shared" si="17"/>
        <v>5.5</v>
      </c>
      <c r="Q132" s="197">
        <f t="shared" si="18"/>
        <v>4</v>
      </c>
      <c r="R132" s="197" t="str">
        <f t="shared" si="19"/>
        <v>/</v>
      </c>
      <c r="S132" s="197" t="str">
        <f t="shared" si="20"/>
        <v>/</v>
      </c>
      <c r="T132" s="197">
        <f t="shared" si="21"/>
        <v>5.5</v>
      </c>
      <c r="U132" s="197">
        <f t="shared" si="22"/>
        <v>5.5</v>
      </c>
      <c r="V132" s="197">
        <f t="shared" si="23"/>
        <v>3</v>
      </c>
    </row>
    <row r="133" spans="1:22" hidden="1">
      <c r="A133" s="420" t="s">
        <v>1300</v>
      </c>
      <c r="B133" s="420" t="s">
        <v>100</v>
      </c>
      <c r="C133" s="420" t="s">
        <v>2060</v>
      </c>
      <c r="D133" s="420">
        <v>4</v>
      </c>
      <c r="E133" s="420">
        <v>5</v>
      </c>
      <c r="G133" s="420"/>
      <c r="H133" s="420">
        <v>5</v>
      </c>
      <c r="I133" s="420">
        <v>4</v>
      </c>
      <c r="J133" s="420">
        <v>4</v>
      </c>
      <c r="L133" s="420">
        <v>27.1</v>
      </c>
      <c r="O133" s="197">
        <f t="shared" si="16"/>
        <v>7</v>
      </c>
      <c r="P133" s="197">
        <f t="shared" si="17"/>
        <v>4</v>
      </c>
      <c r="Q133" s="197">
        <f t="shared" si="18"/>
        <v>5.5</v>
      </c>
      <c r="R133" s="197" t="str">
        <f t="shared" si="19"/>
        <v>/</v>
      </c>
      <c r="S133" s="197" t="str">
        <f t="shared" si="20"/>
        <v>/</v>
      </c>
      <c r="T133" s="197">
        <f t="shared" si="21"/>
        <v>5.5</v>
      </c>
      <c r="U133" s="197">
        <f t="shared" si="22"/>
        <v>4</v>
      </c>
      <c r="V133" s="197">
        <f t="shared" si="23"/>
        <v>4</v>
      </c>
    </row>
    <row r="134" spans="1:22">
      <c r="A134" s="420" t="s">
        <v>1303</v>
      </c>
      <c r="B134" s="420" t="s">
        <v>103</v>
      </c>
      <c r="C134" s="420" t="s">
        <v>2062</v>
      </c>
      <c r="D134" s="420">
        <v>5</v>
      </c>
      <c r="E134" s="420">
        <v>5</v>
      </c>
      <c r="G134" s="420"/>
      <c r="H134" s="420" t="s">
        <v>2060</v>
      </c>
      <c r="I134" s="420">
        <v>5</v>
      </c>
      <c r="J134" s="420">
        <v>4</v>
      </c>
      <c r="L134" s="420">
        <v>32</v>
      </c>
      <c r="O134" s="197">
        <f t="shared" si="16"/>
        <v>8.5</v>
      </c>
      <c r="P134" s="197">
        <f t="shared" si="17"/>
        <v>5.5</v>
      </c>
      <c r="Q134" s="197">
        <f t="shared" si="18"/>
        <v>5.5</v>
      </c>
      <c r="R134" s="197" t="str">
        <f t="shared" si="19"/>
        <v>/</v>
      </c>
      <c r="S134" s="197" t="str">
        <f t="shared" si="20"/>
        <v>/</v>
      </c>
      <c r="T134" s="197">
        <f t="shared" si="21"/>
        <v>7</v>
      </c>
      <c r="U134" s="197">
        <f t="shared" si="22"/>
        <v>5.5</v>
      </c>
      <c r="V134" s="197">
        <f t="shared" si="23"/>
        <v>4</v>
      </c>
    </row>
    <row r="135" spans="1:22" hidden="1">
      <c r="A135" s="420" t="s">
        <v>1303</v>
      </c>
      <c r="B135" s="420" t="s">
        <v>2061</v>
      </c>
      <c r="C135" s="420">
        <v>5</v>
      </c>
      <c r="D135" s="420">
        <v>4</v>
      </c>
      <c r="E135" s="420">
        <v>5</v>
      </c>
      <c r="G135" s="420"/>
      <c r="H135" s="420" t="s">
        <v>2062</v>
      </c>
      <c r="I135" s="420">
        <v>5</v>
      </c>
      <c r="J135" s="420">
        <v>5</v>
      </c>
      <c r="L135" s="420">
        <v>30.5</v>
      </c>
      <c r="O135" s="197">
        <f t="shared" si="16"/>
        <v>5.5</v>
      </c>
      <c r="P135" s="197">
        <f t="shared" si="17"/>
        <v>4</v>
      </c>
      <c r="Q135" s="197">
        <f t="shared" si="18"/>
        <v>5.5</v>
      </c>
      <c r="R135" s="197" t="str">
        <f t="shared" si="19"/>
        <v>/</v>
      </c>
      <c r="S135" s="197" t="str">
        <f t="shared" si="20"/>
        <v>/</v>
      </c>
      <c r="T135" s="197">
        <f t="shared" si="21"/>
        <v>8.5</v>
      </c>
      <c r="U135" s="197">
        <f t="shared" si="22"/>
        <v>5.5</v>
      </c>
      <c r="V135" s="197">
        <f t="shared" si="23"/>
        <v>5.5</v>
      </c>
    </row>
    <row r="136" spans="1:22" hidden="1">
      <c r="A136" s="420" t="s">
        <v>1303</v>
      </c>
      <c r="B136" s="420" t="s">
        <v>100</v>
      </c>
      <c r="C136" s="420">
        <v>4</v>
      </c>
      <c r="D136" s="420">
        <v>5</v>
      </c>
      <c r="E136" s="420" t="s">
        <v>2060</v>
      </c>
      <c r="G136" s="420"/>
      <c r="H136" s="420" t="s">
        <v>2060</v>
      </c>
      <c r="I136" s="420" t="s">
        <v>2060</v>
      </c>
      <c r="J136" s="420">
        <v>3</v>
      </c>
      <c r="L136" s="420">
        <v>30.5</v>
      </c>
      <c r="O136" s="197">
        <f t="shared" si="16"/>
        <v>4</v>
      </c>
      <c r="P136" s="197">
        <f t="shared" si="17"/>
        <v>5.5</v>
      </c>
      <c r="Q136" s="197">
        <f t="shared" si="18"/>
        <v>7</v>
      </c>
      <c r="R136" s="197" t="str">
        <f t="shared" si="19"/>
        <v>/</v>
      </c>
      <c r="S136" s="197" t="str">
        <f t="shared" si="20"/>
        <v>/</v>
      </c>
      <c r="T136" s="197">
        <f t="shared" si="21"/>
        <v>7</v>
      </c>
      <c r="U136" s="197">
        <f t="shared" si="22"/>
        <v>7</v>
      </c>
      <c r="V136" s="197">
        <f t="shared" si="23"/>
        <v>3</v>
      </c>
    </row>
    <row r="137" spans="1:22">
      <c r="A137" s="420" t="s">
        <v>1306</v>
      </c>
      <c r="B137" s="420" t="s">
        <v>103</v>
      </c>
      <c r="C137" s="420">
        <v>3</v>
      </c>
      <c r="D137" s="420">
        <v>5</v>
      </c>
      <c r="E137" s="420">
        <v>4</v>
      </c>
      <c r="G137" s="420"/>
      <c r="H137" s="420" t="s">
        <v>2060</v>
      </c>
      <c r="I137" s="420">
        <v>5</v>
      </c>
      <c r="J137" s="420">
        <v>4</v>
      </c>
      <c r="L137" s="420">
        <v>26</v>
      </c>
      <c r="O137" s="197">
        <f t="shared" si="16"/>
        <v>3</v>
      </c>
      <c r="P137" s="197">
        <f t="shared" si="17"/>
        <v>5.5</v>
      </c>
      <c r="Q137" s="197">
        <f t="shared" si="18"/>
        <v>4</v>
      </c>
      <c r="R137" s="197" t="str">
        <f t="shared" si="19"/>
        <v>/</v>
      </c>
      <c r="S137" s="197" t="str">
        <f t="shared" si="20"/>
        <v>/</v>
      </c>
      <c r="T137" s="197">
        <f t="shared" si="21"/>
        <v>7</v>
      </c>
      <c r="U137" s="197">
        <f t="shared" si="22"/>
        <v>5.5</v>
      </c>
      <c r="V137" s="197">
        <f t="shared" si="23"/>
        <v>4</v>
      </c>
    </row>
    <row r="138" spans="1:22" hidden="1">
      <c r="A138" s="420" t="s">
        <v>1306</v>
      </c>
      <c r="B138" s="420" t="s">
        <v>2061</v>
      </c>
      <c r="C138" s="420" t="s">
        <v>2062</v>
      </c>
      <c r="D138" s="420">
        <v>3</v>
      </c>
      <c r="E138" s="420">
        <v>3</v>
      </c>
      <c r="G138" s="420"/>
      <c r="H138" s="420">
        <v>5</v>
      </c>
      <c r="I138" s="420">
        <v>4</v>
      </c>
      <c r="J138" s="420">
        <v>3</v>
      </c>
      <c r="L138" s="420">
        <v>24</v>
      </c>
      <c r="O138" s="197">
        <f t="shared" si="16"/>
        <v>8.5</v>
      </c>
      <c r="P138" s="197">
        <f t="shared" si="17"/>
        <v>3</v>
      </c>
      <c r="Q138" s="197">
        <f t="shared" si="18"/>
        <v>3</v>
      </c>
      <c r="R138" s="197" t="str">
        <f t="shared" si="19"/>
        <v>/</v>
      </c>
      <c r="S138" s="197" t="str">
        <f t="shared" si="20"/>
        <v>/</v>
      </c>
      <c r="T138" s="197">
        <f t="shared" si="21"/>
        <v>5.5</v>
      </c>
      <c r="U138" s="197">
        <f t="shared" si="22"/>
        <v>4</v>
      </c>
      <c r="V138" s="197">
        <f t="shared" si="23"/>
        <v>3</v>
      </c>
    </row>
    <row r="139" spans="1:22" hidden="1">
      <c r="A139" s="420" t="s">
        <v>1306</v>
      </c>
      <c r="B139" s="420" t="s">
        <v>100</v>
      </c>
      <c r="C139" s="420">
        <v>5</v>
      </c>
      <c r="D139" s="420">
        <v>4</v>
      </c>
      <c r="E139" s="420">
        <v>5</v>
      </c>
      <c r="G139" s="420"/>
      <c r="H139" s="420">
        <v>4</v>
      </c>
      <c r="I139" s="420">
        <v>4</v>
      </c>
      <c r="J139" s="420">
        <v>4</v>
      </c>
      <c r="L139" s="420">
        <v>23</v>
      </c>
      <c r="O139" s="197">
        <f t="shared" si="16"/>
        <v>5.5</v>
      </c>
      <c r="P139" s="197">
        <f t="shared" si="17"/>
        <v>4</v>
      </c>
      <c r="Q139" s="197">
        <f t="shared" si="18"/>
        <v>5.5</v>
      </c>
      <c r="R139" s="197" t="str">
        <f t="shared" si="19"/>
        <v>/</v>
      </c>
      <c r="S139" s="197" t="str">
        <f t="shared" si="20"/>
        <v>/</v>
      </c>
      <c r="T139" s="197">
        <f t="shared" si="21"/>
        <v>4</v>
      </c>
      <c r="U139" s="197">
        <f t="shared" si="22"/>
        <v>4</v>
      </c>
      <c r="V139" s="197">
        <f t="shared" si="23"/>
        <v>4</v>
      </c>
    </row>
    <row r="140" spans="1:22">
      <c r="A140" s="420" t="s">
        <v>1309</v>
      </c>
      <c r="B140" s="420" t="s">
        <v>103</v>
      </c>
      <c r="C140" s="420" t="s">
        <v>2060</v>
      </c>
      <c r="D140" s="420">
        <v>4</v>
      </c>
      <c r="E140" s="420">
        <v>4</v>
      </c>
      <c r="G140" s="420"/>
      <c r="H140" s="420" t="s">
        <v>2062</v>
      </c>
      <c r="I140" s="420" t="s">
        <v>2060</v>
      </c>
      <c r="J140" s="420">
        <v>5</v>
      </c>
      <c r="L140" s="420">
        <v>32</v>
      </c>
      <c r="O140" s="197">
        <f t="shared" si="16"/>
        <v>7</v>
      </c>
      <c r="P140" s="197">
        <f t="shared" si="17"/>
        <v>4</v>
      </c>
      <c r="Q140" s="197">
        <f t="shared" si="18"/>
        <v>4</v>
      </c>
      <c r="R140" s="197" t="str">
        <f t="shared" si="19"/>
        <v>/</v>
      </c>
      <c r="S140" s="197" t="str">
        <f t="shared" si="20"/>
        <v>/</v>
      </c>
      <c r="T140" s="197">
        <f t="shared" si="21"/>
        <v>8.5</v>
      </c>
      <c r="U140" s="197">
        <f t="shared" si="22"/>
        <v>7</v>
      </c>
      <c r="V140" s="197">
        <f t="shared" si="23"/>
        <v>5.5</v>
      </c>
    </row>
    <row r="141" spans="1:22" hidden="1">
      <c r="A141" s="420" t="s">
        <v>1309</v>
      </c>
      <c r="B141" s="420" t="s">
        <v>2061</v>
      </c>
      <c r="C141" s="420" t="s">
        <v>2060</v>
      </c>
      <c r="D141" s="420">
        <v>4</v>
      </c>
      <c r="E141" s="420">
        <v>4</v>
      </c>
      <c r="G141" s="420"/>
      <c r="H141" s="420" t="s">
        <v>2060</v>
      </c>
      <c r="I141" s="420">
        <v>5</v>
      </c>
      <c r="J141" s="420">
        <v>5</v>
      </c>
      <c r="L141" s="420">
        <v>29</v>
      </c>
      <c r="O141" s="197">
        <f t="shared" si="16"/>
        <v>7</v>
      </c>
      <c r="P141" s="197">
        <f t="shared" si="17"/>
        <v>4</v>
      </c>
      <c r="Q141" s="197">
        <f t="shared" si="18"/>
        <v>4</v>
      </c>
      <c r="R141" s="197" t="str">
        <f t="shared" si="19"/>
        <v>/</v>
      </c>
      <c r="S141" s="197" t="str">
        <f t="shared" si="20"/>
        <v>/</v>
      </c>
      <c r="T141" s="197">
        <f t="shared" si="21"/>
        <v>7</v>
      </c>
      <c r="U141" s="197">
        <f t="shared" si="22"/>
        <v>5.5</v>
      </c>
      <c r="V141" s="197">
        <f t="shared" si="23"/>
        <v>5.5</v>
      </c>
    </row>
    <row r="142" spans="1:22" hidden="1">
      <c r="A142" s="420" t="s">
        <v>1309</v>
      </c>
      <c r="B142" s="420" t="s">
        <v>100</v>
      </c>
      <c r="C142" s="420">
        <v>5</v>
      </c>
      <c r="D142" s="420">
        <v>5</v>
      </c>
      <c r="E142" s="420">
        <v>5</v>
      </c>
      <c r="G142" s="420">
        <v>3</v>
      </c>
      <c r="H142" s="420" t="s">
        <v>2060</v>
      </c>
      <c r="I142" s="420">
        <v>5</v>
      </c>
      <c r="J142" s="420"/>
      <c r="L142" s="420">
        <v>29</v>
      </c>
      <c r="O142" s="197">
        <f t="shared" si="16"/>
        <v>5.5</v>
      </c>
      <c r="P142" s="197">
        <f t="shared" si="17"/>
        <v>5.5</v>
      </c>
      <c r="Q142" s="197">
        <f t="shared" si="18"/>
        <v>5.5</v>
      </c>
      <c r="R142" s="197" t="str">
        <f t="shared" si="19"/>
        <v>/</v>
      </c>
      <c r="S142" s="197">
        <f t="shared" si="20"/>
        <v>3</v>
      </c>
      <c r="T142" s="197">
        <f t="shared" si="21"/>
        <v>7</v>
      </c>
      <c r="U142" s="197">
        <f t="shared" si="22"/>
        <v>5.5</v>
      </c>
      <c r="V142" s="197" t="str">
        <f t="shared" si="23"/>
        <v>/</v>
      </c>
    </row>
    <row r="143" spans="1:22">
      <c r="A143" s="420" t="s">
        <v>1312</v>
      </c>
      <c r="B143" s="420" t="s">
        <v>103</v>
      </c>
      <c r="C143" s="420">
        <v>4</v>
      </c>
      <c r="D143" s="420" t="s">
        <v>2062</v>
      </c>
      <c r="E143" s="420">
        <v>5</v>
      </c>
      <c r="G143" s="420"/>
      <c r="H143" s="420" t="s">
        <v>2060</v>
      </c>
      <c r="I143" s="420" t="s">
        <v>2060</v>
      </c>
      <c r="J143" s="420"/>
      <c r="L143" s="420">
        <v>39.75</v>
      </c>
      <c r="O143" s="197">
        <f t="shared" si="16"/>
        <v>4</v>
      </c>
      <c r="P143" s="197">
        <f t="shared" si="17"/>
        <v>8.5</v>
      </c>
      <c r="Q143" s="197">
        <f t="shared" si="18"/>
        <v>5.5</v>
      </c>
      <c r="R143" s="197" t="str">
        <f t="shared" si="19"/>
        <v>/</v>
      </c>
      <c r="S143" s="197" t="str">
        <f t="shared" si="20"/>
        <v>/</v>
      </c>
      <c r="T143" s="197">
        <f t="shared" si="21"/>
        <v>7</v>
      </c>
      <c r="U143" s="197">
        <f t="shared" si="22"/>
        <v>7</v>
      </c>
      <c r="V143" s="197" t="str">
        <f t="shared" si="23"/>
        <v>/</v>
      </c>
    </row>
    <row r="144" spans="1:22" hidden="1">
      <c r="A144" s="420" t="s">
        <v>1312</v>
      </c>
      <c r="B144" s="420" t="s">
        <v>2061</v>
      </c>
      <c r="C144" s="420">
        <v>4</v>
      </c>
      <c r="D144" s="420" t="s">
        <v>2060</v>
      </c>
      <c r="E144" s="420" t="s">
        <v>2060</v>
      </c>
      <c r="G144" s="420"/>
      <c r="H144" s="420" t="s">
        <v>2060</v>
      </c>
      <c r="I144" s="420">
        <v>5</v>
      </c>
      <c r="J144" s="420">
        <v>4</v>
      </c>
      <c r="L144" s="420">
        <v>38</v>
      </c>
      <c r="O144" s="197">
        <f t="shared" si="16"/>
        <v>4</v>
      </c>
      <c r="P144" s="197">
        <f t="shared" si="17"/>
        <v>7</v>
      </c>
      <c r="Q144" s="197">
        <f t="shared" si="18"/>
        <v>7</v>
      </c>
      <c r="R144" s="197" t="str">
        <f t="shared" si="19"/>
        <v>/</v>
      </c>
      <c r="S144" s="197" t="str">
        <f t="shared" si="20"/>
        <v>/</v>
      </c>
      <c r="T144" s="197">
        <f t="shared" si="21"/>
        <v>7</v>
      </c>
      <c r="U144" s="197">
        <f t="shared" si="22"/>
        <v>5.5</v>
      </c>
      <c r="V144" s="197">
        <f t="shared" si="23"/>
        <v>4</v>
      </c>
    </row>
    <row r="145" spans="1:22" hidden="1">
      <c r="A145" s="420" t="s">
        <v>1312</v>
      </c>
      <c r="B145" s="420" t="s">
        <v>100</v>
      </c>
      <c r="C145" s="420" t="s">
        <v>2060</v>
      </c>
      <c r="D145" s="420" t="s">
        <v>2062</v>
      </c>
      <c r="E145" s="420">
        <v>4</v>
      </c>
      <c r="G145" s="420"/>
      <c r="H145" s="420">
        <v>5</v>
      </c>
      <c r="I145" s="420">
        <v>4</v>
      </c>
      <c r="J145" s="420">
        <v>4</v>
      </c>
      <c r="L145" s="420">
        <v>38</v>
      </c>
      <c r="O145" s="197">
        <f t="shared" si="16"/>
        <v>7</v>
      </c>
      <c r="P145" s="197">
        <f t="shared" si="17"/>
        <v>8.5</v>
      </c>
      <c r="Q145" s="197">
        <f t="shared" si="18"/>
        <v>4</v>
      </c>
      <c r="R145" s="197" t="str">
        <f t="shared" si="19"/>
        <v>/</v>
      </c>
      <c r="S145" s="197" t="str">
        <f t="shared" si="20"/>
        <v>/</v>
      </c>
      <c r="T145" s="197">
        <f t="shared" si="21"/>
        <v>5.5</v>
      </c>
      <c r="U145" s="197">
        <f t="shared" si="22"/>
        <v>4</v>
      </c>
      <c r="V145" s="197">
        <f t="shared" si="23"/>
        <v>4</v>
      </c>
    </row>
    <row r="146" spans="1:22">
      <c r="A146" s="420" t="s">
        <v>1315</v>
      </c>
      <c r="B146" s="420" t="s">
        <v>103</v>
      </c>
      <c r="C146" s="420">
        <v>4</v>
      </c>
      <c r="D146" s="420">
        <v>4</v>
      </c>
      <c r="E146" s="420">
        <v>5</v>
      </c>
      <c r="G146" s="420">
        <v>5</v>
      </c>
      <c r="H146" s="420">
        <v>5</v>
      </c>
      <c r="I146" s="420">
        <v>4</v>
      </c>
      <c r="J146" s="420"/>
      <c r="L146" s="420">
        <v>38.25</v>
      </c>
      <c r="O146" s="197">
        <f t="shared" si="16"/>
        <v>4</v>
      </c>
      <c r="P146" s="197">
        <f t="shared" si="17"/>
        <v>4</v>
      </c>
      <c r="Q146" s="197">
        <f t="shared" si="18"/>
        <v>5.5</v>
      </c>
      <c r="R146" s="197" t="str">
        <f t="shared" si="19"/>
        <v>/</v>
      </c>
      <c r="S146" s="197">
        <f t="shared" si="20"/>
        <v>5.5</v>
      </c>
      <c r="T146" s="197">
        <f t="shared" si="21"/>
        <v>5.5</v>
      </c>
      <c r="U146" s="197">
        <f t="shared" si="22"/>
        <v>4</v>
      </c>
      <c r="V146" s="197" t="str">
        <f t="shared" si="23"/>
        <v>/</v>
      </c>
    </row>
    <row r="147" spans="1:22" hidden="1">
      <c r="A147" s="420" t="s">
        <v>1315</v>
      </c>
      <c r="B147" s="420" t="s">
        <v>2061</v>
      </c>
      <c r="C147" s="420">
        <v>3</v>
      </c>
      <c r="D147" s="420">
        <v>4</v>
      </c>
      <c r="E147" s="420">
        <v>5</v>
      </c>
      <c r="G147" s="420"/>
      <c r="H147" s="420">
        <v>5</v>
      </c>
      <c r="I147" s="420">
        <v>5</v>
      </c>
      <c r="J147" s="420">
        <v>4</v>
      </c>
      <c r="L147" s="420">
        <v>35.5</v>
      </c>
      <c r="O147" s="197">
        <f t="shared" si="16"/>
        <v>3</v>
      </c>
      <c r="P147" s="197">
        <f t="shared" si="17"/>
        <v>4</v>
      </c>
      <c r="Q147" s="197">
        <f t="shared" si="18"/>
        <v>5.5</v>
      </c>
      <c r="R147" s="197" t="str">
        <f t="shared" si="19"/>
        <v>/</v>
      </c>
      <c r="S147" s="197" t="str">
        <f t="shared" si="20"/>
        <v>/</v>
      </c>
      <c r="T147" s="197">
        <f t="shared" si="21"/>
        <v>5.5</v>
      </c>
      <c r="U147" s="197">
        <f t="shared" si="22"/>
        <v>5.5</v>
      </c>
      <c r="V147" s="197">
        <f t="shared" si="23"/>
        <v>4</v>
      </c>
    </row>
    <row r="148" spans="1:22" hidden="1">
      <c r="A148" s="420" t="s">
        <v>1315</v>
      </c>
      <c r="B148" s="420" t="s">
        <v>100</v>
      </c>
      <c r="C148" s="420">
        <v>3</v>
      </c>
      <c r="D148" s="420">
        <v>3</v>
      </c>
      <c r="E148" s="420">
        <v>5</v>
      </c>
      <c r="G148" s="420">
        <v>5</v>
      </c>
      <c r="H148" s="420">
        <v>4</v>
      </c>
      <c r="I148" s="420">
        <v>4</v>
      </c>
      <c r="J148" s="420"/>
      <c r="L148" s="420">
        <v>34.25</v>
      </c>
      <c r="O148" s="197">
        <f t="shared" si="16"/>
        <v>3</v>
      </c>
      <c r="P148" s="197">
        <f t="shared" si="17"/>
        <v>3</v>
      </c>
      <c r="Q148" s="197">
        <f t="shared" si="18"/>
        <v>5.5</v>
      </c>
      <c r="R148" s="197" t="str">
        <f t="shared" si="19"/>
        <v>/</v>
      </c>
      <c r="S148" s="197">
        <f t="shared" si="20"/>
        <v>5.5</v>
      </c>
      <c r="T148" s="197">
        <f t="shared" si="21"/>
        <v>4</v>
      </c>
      <c r="U148" s="197">
        <f t="shared" si="22"/>
        <v>4</v>
      </c>
      <c r="V148" s="197" t="str">
        <f t="shared" si="23"/>
        <v>/</v>
      </c>
    </row>
    <row r="149" spans="1:22">
      <c r="A149" s="420" t="s">
        <v>1956</v>
      </c>
      <c r="B149" s="420" t="s">
        <v>103</v>
      </c>
      <c r="C149" s="420">
        <v>4</v>
      </c>
      <c r="D149" s="420">
        <v>4</v>
      </c>
      <c r="E149" s="420">
        <v>5</v>
      </c>
      <c r="G149" s="420"/>
      <c r="H149" s="420" t="s">
        <v>2060</v>
      </c>
      <c r="I149" s="420" t="s">
        <v>2060</v>
      </c>
      <c r="J149" s="420">
        <v>4</v>
      </c>
      <c r="L149" s="420">
        <v>51.5</v>
      </c>
      <c r="O149" s="197">
        <f t="shared" si="16"/>
        <v>4</v>
      </c>
      <c r="P149" s="197">
        <f t="shared" si="17"/>
        <v>4</v>
      </c>
      <c r="Q149" s="197">
        <f t="shared" si="18"/>
        <v>5.5</v>
      </c>
      <c r="R149" s="197" t="str">
        <f t="shared" si="19"/>
        <v>/</v>
      </c>
      <c r="S149" s="197" t="str">
        <f t="shared" si="20"/>
        <v>/</v>
      </c>
      <c r="T149" s="197">
        <f t="shared" si="21"/>
        <v>7</v>
      </c>
      <c r="U149" s="197">
        <f t="shared" si="22"/>
        <v>7</v>
      </c>
      <c r="V149" s="197">
        <f t="shared" si="23"/>
        <v>4</v>
      </c>
    </row>
    <row r="150" spans="1:22" hidden="1">
      <c r="A150" s="420" t="s">
        <v>1956</v>
      </c>
      <c r="B150" s="420" t="s">
        <v>2061</v>
      </c>
      <c r="C150" s="420">
        <v>3</v>
      </c>
      <c r="D150" s="420">
        <v>5</v>
      </c>
      <c r="E150" s="420">
        <v>5</v>
      </c>
      <c r="G150" s="420">
        <v>5</v>
      </c>
      <c r="H150" s="420">
        <v>5</v>
      </c>
      <c r="I150" s="420">
        <v>4</v>
      </c>
      <c r="J150" s="420"/>
      <c r="L150" s="420">
        <v>45.25</v>
      </c>
      <c r="O150" s="197">
        <f t="shared" si="16"/>
        <v>3</v>
      </c>
      <c r="P150" s="197">
        <f t="shared" si="17"/>
        <v>5.5</v>
      </c>
      <c r="Q150" s="197">
        <f t="shared" si="18"/>
        <v>5.5</v>
      </c>
      <c r="R150" s="197" t="str">
        <f t="shared" si="19"/>
        <v>/</v>
      </c>
      <c r="S150" s="197">
        <f t="shared" si="20"/>
        <v>5.5</v>
      </c>
      <c r="T150" s="197">
        <f t="shared" si="21"/>
        <v>5.5</v>
      </c>
      <c r="U150" s="197">
        <f t="shared" si="22"/>
        <v>4</v>
      </c>
      <c r="V150" s="197" t="str">
        <f t="shared" si="23"/>
        <v>/</v>
      </c>
    </row>
    <row r="151" spans="1:22" hidden="1">
      <c r="A151" s="420" t="s">
        <v>1956</v>
      </c>
      <c r="B151" s="420" t="s">
        <v>100</v>
      </c>
      <c r="C151" s="420">
        <v>3</v>
      </c>
      <c r="D151" s="420">
        <v>4</v>
      </c>
      <c r="E151" s="420">
        <v>4</v>
      </c>
      <c r="G151" s="420"/>
      <c r="H151" s="420">
        <v>5</v>
      </c>
      <c r="I151" s="420">
        <v>5</v>
      </c>
      <c r="J151" s="420">
        <v>4</v>
      </c>
      <c r="L151" s="420">
        <v>43.25</v>
      </c>
      <c r="O151" s="197">
        <f t="shared" si="16"/>
        <v>3</v>
      </c>
      <c r="P151" s="197">
        <f t="shared" si="17"/>
        <v>4</v>
      </c>
      <c r="Q151" s="197">
        <f t="shared" si="18"/>
        <v>4</v>
      </c>
      <c r="R151" s="197" t="str">
        <f t="shared" si="19"/>
        <v>/</v>
      </c>
      <c r="S151" s="197" t="str">
        <f t="shared" si="20"/>
        <v>/</v>
      </c>
      <c r="T151" s="197">
        <f t="shared" si="21"/>
        <v>5.5</v>
      </c>
      <c r="U151" s="197">
        <f t="shared" si="22"/>
        <v>5.5</v>
      </c>
      <c r="V151" s="197">
        <f t="shared" si="23"/>
        <v>4</v>
      </c>
    </row>
    <row r="152" spans="1:22">
      <c r="A152" s="420" t="s">
        <v>1322</v>
      </c>
      <c r="B152" s="420" t="s">
        <v>103</v>
      </c>
      <c r="C152" s="420">
        <v>5</v>
      </c>
      <c r="D152" s="420">
        <v>5</v>
      </c>
      <c r="E152" s="420" t="s">
        <v>2062</v>
      </c>
      <c r="G152" s="420" t="s">
        <v>2062</v>
      </c>
      <c r="H152" s="420" t="s">
        <v>2060</v>
      </c>
      <c r="I152" s="420" t="s">
        <v>2060</v>
      </c>
      <c r="J152" s="420"/>
      <c r="L152" s="420">
        <v>57.75</v>
      </c>
      <c r="O152" s="197">
        <f t="shared" si="16"/>
        <v>5.5</v>
      </c>
      <c r="P152" s="197">
        <f t="shared" si="17"/>
        <v>5.5</v>
      </c>
      <c r="Q152" s="197">
        <f t="shared" si="18"/>
        <v>8.5</v>
      </c>
      <c r="R152" s="197" t="str">
        <f t="shared" si="19"/>
        <v>/</v>
      </c>
      <c r="S152" s="197">
        <f t="shared" si="20"/>
        <v>8.5</v>
      </c>
      <c r="T152" s="197">
        <f t="shared" si="21"/>
        <v>7</v>
      </c>
      <c r="U152" s="197">
        <f t="shared" si="22"/>
        <v>7</v>
      </c>
      <c r="V152" s="197" t="str">
        <f t="shared" si="23"/>
        <v>/</v>
      </c>
    </row>
    <row r="153" spans="1:22" hidden="1">
      <c r="A153" s="420" t="s">
        <v>1322</v>
      </c>
      <c r="B153" s="420" t="s">
        <v>2061</v>
      </c>
      <c r="C153" s="420" t="s">
        <v>2060</v>
      </c>
      <c r="D153" s="420">
        <v>5</v>
      </c>
      <c r="E153" s="420" t="s">
        <v>2060</v>
      </c>
      <c r="G153" s="420" t="s">
        <v>2060</v>
      </c>
      <c r="H153" s="420" t="s">
        <v>2060</v>
      </c>
      <c r="I153" s="420" t="s">
        <v>2060</v>
      </c>
      <c r="J153" s="420"/>
      <c r="L153" s="420">
        <v>52.5</v>
      </c>
      <c r="O153" s="197">
        <f t="shared" si="16"/>
        <v>7</v>
      </c>
      <c r="P153" s="197">
        <f t="shared" si="17"/>
        <v>5.5</v>
      </c>
      <c r="Q153" s="197">
        <f t="shared" si="18"/>
        <v>7</v>
      </c>
      <c r="R153" s="197" t="str">
        <f t="shared" si="19"/>
        <v>/</v>
      </c>
      <c r="S153" s="197">
        <f t="shared" si="20"/>
        <v>7</v>
      </c>
      <c r="T153" s="197">
        <f t="shared" si="21"/>
        <v>7</v>
      </c>
      <c r="U153" s="197">
        <f t="shared" si="22"/>
        <v>7</v>
      </c>
      <c r="V153" s="197" t="str">
        <f t="shared" si="23"/>
        <v>/</v>
      </c>
    </row>
    <row r="154" spans="1:22" hidden="1">
      <c r="A154" s="420" t="s">
        <v>1322</v>
      </c>
      <c r="B154" s="420" t="s">
        <v>100</v>
      </c>
      <c r="C154" s="420">
        <v>4</v>
      </c>
      <c r="D154" s="420">
        <v>5</v>
      </c>
      <c r="E154" s="420" t="s">
        <v>2062</v>
      </c>
      <c r="G154" s="420" t="s">
        <v>2060</v>
      </c>
      <c r="H154" s="420">
        <v>5</v>
      </c>
      <c r="I154" s="420">
        <v>5</v>
      </c>
      <c r="J154" s="420"/>
      <c r="L154" s="420">
        <v>49.5</v>
      </c>
      <c r="O154" s="197">
        <f t="shared" si="16"/>
        <v>4</v>
      </c>
      <c r="P154" s="197">
        <f t="shared" si="17"/>
        <v>5.5</v>
      </c>
      <c r="Q154" s="197">
        <f t="shared" si="18"/>
        <v>8.5</v>
      </c>
      <c r="R154" s="197" t="str">
        <f t="shared" si="19"/>
        <v>/</v>
      </c>
      <c r="S154" s="197">
        <f t="shared" si="20"/>
        <v>7</v>
      </c>
      <c r="T154" s="197">
        <f t="shared" si="21"/>
        <v>5.5</v>
      </c>
      <c r="U154" s="197">
        <f t="shared" si="22"/>
        <v>5.5</v>
      </c>
      <c r="V154" s="197" t="str">
        <f t="shared" si="23"/>
        <v>/</v>
      </c>
    </row>
    <row r="155" spans="1:22">
      <c r="A155" s="420" t="s">
        <v>1327</v>
      </c>
      <c r="B155" s="420" t="s">
        <v>103</v>
      </c>
      <c r="C155" s="420">
        <v>4</v>
      </c>
      <c r="D155" s="420">
        <v>4</v>
      </c>
      <c r="E155" s="420" t="s">
        <v>2060</v>
      </c>
      <c r="G155" s="420" t="s">
        <v>2062</v>
      </c>
      <c r="H155" s="420" t="s">
        <v>2062</v>
      </c>
      <c r="I155" s="420" t="s">
        <v>2060</v>
      </c>
      <c r="J155" s="420"/>
      <c r="L155" s="420">
        <v>51.25</v>
      </c>
      <c r="O155" s="197">
        <f t="shared" si="16"/>
        <v>4</v>
      </c>
      <c r="P155" s="197">
        <f t="shared" si="17"/>
        <v>4</v>
      </c>
      <c r="Q155" s="197">
        <f t="shared" si="18"/>
        <v>7</v>
      </c>
      <c r="R155" s="197" t="str">
        <f t="shared" si="19"/>
        <v>/</v>
      </c>
      <c r="S155" s="197">
        <f t="shared" si="20"/>
        <v>8.5</v>
      </c>
      <c r="T155" s="197">
        <f t="shared" si="21"/>
        <v>8.5</v>
      </c>
      <c r="U155" s="197">
        <f t="shared" si="22"/>
        <v>7</v>
      </c>
      <c r="V155" s="197" t="str">
        <f t="shared" si="23"/>
        <v>/</v>
      </c>
    </row>
    <row r="156" spans="1:22" hidden="1">
      <c r="A156" s="420" t="s">
        <v>1327</v>
      </c>
      <c r="B156" s="420" t="s">
        <v>2061</v>
      </c>
      <c r="C156" s="420">
        <v>3</v>
      </c>
      <c r="D156" s="420">
        <v>4</v>
      </c>
      <c r="E156" s="420" t="s">
        <v>2062</v>
      </c>
      <c r="G156" s="420" t="s">
        <v>2062</v>
      </c>
      <c r="H156" s="420" t="s">
        <v>2060</v>
      </c>
      <c r="I156" s="420">
        <v>4</v>
      </c>
      <c r="J156" s="420"/>
      <c r="L156" s="420">
        <v>47.5</v>
      </c>
      <c r="O156" s="197">
        <f t="shared" si="16"/>
        <v>3</v>
      </c>
      <c r="P156" s="197">
        <f t="shared" si="17"/>
        <v>4</v>
      </c>
      <c r="Q156" s="197">
        <f t="shared" si="18"/>
        <v>8.5</v>
      </c>
      <c r="R156" s="197" t="str">
        <f t="shared" si="19"/>
        <v>/</v>
      </c>
      <c r="S156" s="197">
        <f t="shared" si="20"/>
        <v>8.5</v>
      </c>
      <c r="T156" s="197">
        <f t="shared" si="21"/>
        <v>7</v>
      </c>
      <c r="U156" s="197">
        <f t="shared" si="22"/>
        <v>4</v>
      </c>
      <c r="V156" s="197" t="str">
        <f t="shared" si="23"/>
        <v>/</v>
      </c>
    </row>
    <row r="157" spans="1:22" hidden="1">
      <c r="A157" s="420" t="s">
        <v>1327</v>
      </c>
      <c r="B157" s="420" t="s">
        <v>100</v>
      </c>
      <c r="C157" s="420">
        <v>4</v>
      </c>
      <c r="D157" s="420">
        <v>4</v>
      </c>
      <c r="E157" s="420" t="s">
        <v>2060</v>
      </c>
      <c r="G157" s="420">
        <v>5</v>
      </c>
      <c r="H157" s="420" t="s">
        <v>2060</v>
      </c>
      <c r="I157" s="420" t="s">
        <v>2060</v>
      </c>
      <c r="J157" s="420">
        <v>5</v>
      </c>
      <c r="L157" s="420">
        <v>45.25</v>
      </c>
      <c r="O157" s="197">
        <f t="shared" si="16"/>
        <v>4</v>
      </c>
      <c r="P157" s="197">
        <f t="shared" si="17"/>
        <v>4</v>
      </c>
      <c r="Q157" s="197">
        <f t="shared" si="18"/>
        <v>7</v>
      </c>
      <c r="R157" s="197" t="str">
        <f t="shared" si="19"/>
        <v>/</v>
      </c>
      <c r="S157" s="197">
        <f t="shared" si="20"/>
        <v>5.5</v>
      </c>
      <c r="T157" s="197">
        <f t="shared" si="21"/>
        <v>7</v>
      </c>
      <c r="U157" s="197">
        <f t="shared" si="22"/>
        <v>7</v>
      </c>
      <c r="V157" s="197">
        <f t="shared" si="23"/>
        <v>5.5</v>
      </c>
    </row>
    <row r="158" spans="1:22">
      <c r="A158" s="420" t="s">
        <v>1333</v>
      </c>
      <c r="B158" s="420" t="s">
        <v>103</v>
      </c>
      <c r="C158" s="420">
        <v>5</v>
      </c>
      <c r="D158" s="420" t="s">
        <v>2060</v>
      </c>
      <c r="E158" s="420" t="s">
        <v>2060</v>
      </c>
      <c r="G158" s="420">
        <v>5</v>
      </c>
      <c r="H158" s="420" t="s">
        <v>2060</v>
      </c>
      <c r="I158" s="420">
        <v>5</v>
      </c>
      <c r="J158" s="420">
        <v>4</v>
      </c>
      <c r="L158" s="420">
        <v>44.5</v>
      </c>
      <c r="O158" s="197">
        <f t="shared" si="16"/>
        <v>5.5</v>
      </c>
      <c r="P158" s="197">
        <f t="shared" si="17"/>
        <v>7</v>
      </c>
      <c r="Q158" s="197">
        <f t="shared" si="18"/>
        <v>7</v>
      </c>
      <c r="R158" s="197" t="str">
        <f t="shared" si="19"/>
        <v>/</v>
      </c>
      <c r="S158" s="197">
        <f t="shared" si="20"/>
        <v>5.5</v>
      </c>
      <c r="T158" s="197">
        <f t="shared" si="21"/>
        <v>7</v>
      </c>
      <c r="U158" s="197">
        <f t="shared" si="22"/>
        <v>5.5</v>
      </c>
      <c r="V158" s="197">
        <f t="shared" si="23"/>
        <v>4</v>
      </c>
    </row>
    <row r="159" spans="1:22" hidden="1">
      <c r="A159" s="420" t="s">
        <v>1333</v>
      </c>
      <c r="B159" s="420" t="s">
        <v>2061</v>
      </c>
      <c r="C159" s="420">
        <v>4</v>
      </c>
      <c r="D159" s="420">
        <v>4</v>
      </c>
      <c r="E159" s="420" t="s">
        <v>2060</v>
      </c>
      <c r="G159" s="420" t="s">
        <v>2062</v>
      </c>
      <c r="H159" s="420">
        <v>4</v>
      </c>
      <c r="I159" s="420">
        <v>4</v>
      </c>
      <c r="J159" s="420"/>
      <c r="L159" s="420">
        <v>43</v>
      </c>
      <c r="O159" s="197">
        <f t="shared" si="16"/>
        <v>4</v>
      </c>
      <c r="P159" s="197">
        <f t="shared" si="17"/>
        <v>4</v>
      </c>
      <c r="Q159" s="197">
        <f t="shared" si="18"/>
        <v>7</v>
      </c>
      <c r="R159" s="197" t="str">
        <f t="shared" si="19"/>
        <v>/</v>
      </c>
      <c r="S159" s="197">
        <f t="shared" si="20"/>
        <v>8.5</v>
      </c>
      <c r="T159" s="197">
        <f t="shared" si="21"/>
        <v>4</v>
      </c>
      <c r="U159" s="197">
        <f t="shared" si="22"/>
        <v>4</v>
      </c>
      <c r="V159" s="197" t="str">
        <f t="shared" si="23"/>
        <v>/</v>
      </c>
    </row>
    <row r="160" spans="1:22" hidden="1">
      <c r="A160" s="420" t="s">
        <v>1333</v>
      </c>
      <c r="B160" s="420" t="s">
        <v>100</v>
      </c>
      <c r="C160" s="420">
        <v>5</v>
      </c>
      <c r="D160" s="420">
        <v>5</v>
      </c>
      <c r="E160" s="420" t="s">
        <v>2060</v>
      </c>
      <c r="G160" s="420">
        <v>5</v>
      </c>
      <c r="H160" s="420">
        <v>5</v>
      </c>
      <c r="I160" s="420">
        <v>5</v>
      </c>
      <c r="J160" s="420"/>
      <c r="L160" s="420">
        <v>41.5</v>
      </c>
      <c r="O160" s="197">
        <f t="shared" si="16"/>
        <v>5.5</v>
      </c>
      <c r="P160" s="197">
        <f t="shared" si="17"/>
        <v>5.5</v>
      </c>
      <c r="Q160" s="197">
        <f t="shared" si="18"/>
        <v>7</v>
      </c>
      <c r="R160" s="197" t="str">
        <f t="shared" si="19"/>
        <v>/</v>
      </c>
      <c r="S160" s="197">
        <f t="shared" si="20"/>
        <v>5.5</v>
      </c>
      <c r="T160" s="197">
        <f t="shared" si="21"/>
        <v>5.5</v>
      </c>
      <c r="U160" s="197">
        <f t="shared" si="22"/>
        <v>5.5</v>
      </c>
      <c r="V160" s="197" t="str">
        <f t="shared" si="23"/>
        <v>/</v>
      </c>
    </row>
    <row r="161" spans="1:22">
      <c r="A161" s="420" t="s">
        <v>1337</v>
      </c>
      <c r="B161" s="420" t="s">
        <v>103</v>
      </c>
      <c r="C161" s="420">
        <v>4</v>
      </c>
      <c r="D161" s="420">
        <v>4</v>
      </c>
      <c r="E161" s="420" t="s">
        <v>2062</v>
      </c>
      <c r="G161" s="420">
        <v>5</v>
      </c>
      <c r="H161" s="420" t="s">
        <v>2060</v>
      </c>
      <c r="I161" s="420">
        <v>5</v>
      </c>
      <c r="J161" s="420"/>
      <c r="L161" s="420">
        <v>30.5</v>
      </c>
      <c r="O161" s="197">
        <f t="shared" si="16"/>
        <v>4</v>
      </c>
      <c r="P161" s="197">
        <f t="shared" si="17"/>
        <v>4</v>
      </c>
      <c r="Q161" s="197">
        <f t="shared" si="18"/>
        <v>8.5</v>
      </c>
      <c r="R161" s="197" t="str">
        <f t="shared" si="19"/>
        <v>/</v>
      </c>
      <c r="S161" s="197">
        <f t="shared" si="20"/>
        <v>5.5</v>
      </c>
      <c r="T161" s="197">
        <f t="shared" si="21"/>
        <v>7</v>
      </c>
      <c r="U161" s="197">
        <f t="shared" si="22"/>
        <v>5.5</v>
      </c>
      <c r="V161" s="197" t="str">
        <f t="shared" si="23"/>
        <v>/</v>
      </c>
    </row>
    <row r="162" spans="1:22" hidden="1">
      <c r="A162" s="420" t="s">
        <v>1337</v>
      </c>
      <c r="B162" s="420" t="s">
        <v>2061</v>
      </c>
      <c r="C162" s="420">
        <v>4</v>
      </c>
      <c r="D162" s="420">
        <v>4</v>
      </c>
      <c r="E162" s="420" t="s">
        <v>2060</v>
      </c>
      <c r="G162" s="420">
        <v>5</v>
      </c>
      <c r="H162" s="420" t="s">
        <v>2060</v>
      </c>
      <c r="I162" s="420">
        <v>5</v>
      </c>
      <c r="J162" s="420"/>
      <c r="L162" s="420">
        <v>29</v>
      </c>
      <c r="O162" s="197">
        <f t="shared" si="16"/>
        <v>4</v>
      </c>
      <c r="P162" s="197">
        <f t="shared" si="17"/>
        <v>4</v>
      </c>
      <c r="Q162" s="197">
        <f t="shared" si="18"/>
        <v>7</v>
      </c>
      <c r="R162" s="197" t="str">
        <f t="shared" si="19"/>
        <v>/</v>
      </c>
      <c r="S162" s="197">
        <f t="shared" si="20"/>
        <v>5.5</v>
      </c>
      <c r="T162" s="197">
        <f t="shared" si="21"/>
        <v>7</v>
      </c>
      <c r="U162" s="197">
        <f t="shared" si="22"/>
        <v>5.5</v>
      </c>
      <c r="V162" s="197" t="str">
        <f t="shared" si="23"/>
        <v>/</v>
      </c>
    </row>
    <row r="163" spans="1:22" hidden="1">
      <c r="A163" s="420" t="s">
        <v>1337</v>
      </c>
      <c r="B163" s="420" t="s">
        <v>100</v>
      </c>
      <c r="C163" s="420">
        <v>4</v>
      </c>
      <c r="D163" s="420">
        <v>4</v>
      </c>
      <c r="E163" s="420" t="s">
        <v>2060</v>
      </c>
      <c r="G163" s="420"/>
      <c r="H163" s="420" t="s">
        <v>2060</v>
      </c>
      <c r="I163" s="420">
        <v>5</v>
      </c>
      <c r="J163" s="420">
        <v>4</v>
      </c>
      <c r="L163" s="420">
        <v>27.5</v>
      </c>
      <c r="O163" s="197">
        <f t="shared" si="16"/>
        <v>4</v>
      </c>
      <c r="P163" s="197">
        <f t="shared" si="17"/>
        <v>4</v>
      </c>
      <c r="Q163" s="197">
        <f t="shared" si="18"/>
        <v>7</v>
      </c>
      <c r="R163" s="197" t="str">
        <f t="shared" si="19"/>
        <v>/</v>
      </c>
      <c r="S163" s="197" t="str">
        <f t="shared" si="20"/>
        <v>/</v>
      </c>
      <c r="T163" s="197">
        <f t="shared" si="21"/>
        <v>7</v>
      </c>
      <c r="U163" s="197">
        <f t="shared" si="22"/>
        <v>5.5</v>
      </c>
      <c r="V163" s="197">
        <f t="shared" si="23"/>
        <v>4</v>
      </c>
    </row>
    <row r="164" spans="1:22">
      <c r="A164" s="420" t="s">
        <v>1341</v>
      </c>
      <c r="B164" s="420" t="s">
        <v>103</v>
      </c>
      <c r="C164" s="420">
        <v>5</v>
      </c>
      <c r="D164" s="420">
        <v>4</v>
      </c>
      <c r="E164" s="420" t="s">
        <v>2060</v>
      </c>
      <c r="G164" s="420" t="s">
        <v>2060</v>
      </c>
      <c r="H164" s="420" t="s">
        <v>2060</v>
      </c>
      <c r="I164" s="420" t="s">
        <v>2060</v>
      </c>
      <c r="J164" s="420">
        <v>4</v>
      </c>
      <c r="L164" s="420">
        <v>55</v>
      </c>
      <c r="O164" s="197">
        <f t="shared" si="16"/>
        <v>5.5</v>
      </c>
      <c r="P164" s="197">
        <f t="shared" si="17"/>
        <v>4</v>
      </c>
      <c r="Q164" s="197">
        <f t="shared" si="18"/>
        <v>7</v>
      </c>
      <c r="R164" s="197" t="str">
        <f t="shared" si="19"/>
        <v>/</v>
      </c>
      <c r="S164" s="197">
        <f t="shared" si="20"/>
        <v>7</v>
      </c>
      <c r="T164" s="197">
        <f t="shared" si="21"/>
        <v>7</v>
      </c>
      <c r="U164" s="197">
        <f t="shared" si="22"/>
        <v>7</v>
      </c>
      <c r="V164" s="197">
        <f t="shared" si="23"/>
        <v>4</v>
      </c>
    </row>
    <row r="165" spans="1:22" hidden="1">
      <c r="A165" s="420" t="s">
        <v>1341</v>
      </c>
      <c r="B165" s="420" t="s">
        <v>2061</v>
      </c>
      <c r="C165" s="420">
        <v>3</v>
      </c>
      <c r="D165" s="420">
        <v>4</v>
      </c>
      <c r="E165" s="420" t="s">
        <v>2060</v>
      </c>
      <c r="G165" s="420" t="s">
        <v>2060</v>
      </c>
      <c r="H165" s="420">
        <v>5</v>
      </c>
      <c r="I165" s="420">
        <v>5</v>
      </c>
      <c r="J165" s="420">
        <v>4</v>
      </c>
      <c r="L165" s="420">
        <v>50.5</v>
      </c>
      <c r="O165" s="197">
        <f t="shared" si="16"/>
        <v>3</v>
      </c>
      <c r="P165" s="197">
        <f t="shared" si="17"/>
        <v>4</v>
      </c>
      <c r="Q165" s="197">
        <f t="shared" si="18"/>
        <v>7</v>
      </c>
      <c r="R165" s="197" t="str">
        <f t="shared" si="19"/>
        <v>/</v>
      </c>
      <c r="S165" s="197">
        <f t="shared" si="20"/>
        <v>7</v>
      </c>
      <c r="T165" s="197">
        <f t="shared" si="21"/>
        <v>5.5</v>
      </c>
      <c r="U165" s="197">
        <f t="shared" si="22"/>
        <v>5.5</v>
      </c>
      <c r="V165" s="197">
        <f t="shared" si="23"/>
        <v>4</v>
      </c>
    </row>
    <row r="166" spans="1:22" hidden="1">
      <c r="A166" s="420" t="s">
        <v>1341</v>
      </c>
      <c r="B166" s="420" t="s">
        <v>100</v>
      </c>
      <c r="C166" s="420">
        <v>4</v>
      </c>
      <c r="D166" s="420">
        <v>4</v>
      </c>
      <c r="E166" s="420" t="s">
        <v>2060</v>
      </c>
      <c r="G166" s="420">
        <v>5</v>
      </c>
      <c r="H166" s="420">
        <v>5</v>
      </c>
      <c r="I166" s="420">
        <v>5</v>
      </c>
      <c r="J166" s="420">
        <v>4</v>
      </c>
      <c r="L166" s="420">
        <v>47.5</v>
      </c>
      <c r="O166" s="197">
        <f t="shared" si="16"/>
        <v>4</v>
      </c>
      <c r="P166" s="197">
        <f t="shared" si="17"/>
        <v>4</v>
      </c>
      <c r="Q166" s="197">
        <f t="shared" si="18"/>
        <v>7</v>
      </c>
      <c r="R166" s="197" t="str">
        <f t="shared" si="19"/>
        <v>/</v>
      </c>
      <c r="S166" s="197">
        <f t="shared" si="20"/>
        <v>5.5</v>
      </c>
      <c r="T166" s="197">
        <f t="shared" si="21"/>
        <v>5.5</v>
      </c>
      <c r="U166" s="197">
        <f t="shared" si="22"/>
        <v>5.5</v>
      </c>
      <c r="V166" s="197">
        <f t="shared" si="23"/>
        <v>4</v>
      </c>
    </row>
    <row r="167" spans="1:22">
      <c r="A167" s="420" t="s">
        <v>2115</v>
      </c>
      <c r="B167" s="420" t="s">
        <v>103</v>
      </c>
      <c r="C167" s="420">
        <v>4</v>
      </c>
      <c r="D167" s="420" t="s">
        <v>2060</v>
      </c>
      <c r="E167" s="420" t="s">
        <v>2060</v>
      </c>
      <c r="G167" s="420">
        <v>5</v>
      </c>
      <c r="H167" s="420" t="s">
        <v>2060</v>
      </c>
      <c r="I167" s="420">
        <v>4</v>
      </c>
      <c r="J167" s="420"/>
      <c r="L167" s="420">
        <v>46.5</v>
      </c>
      <c r="O167" s="197">
        <f t="shared" si="16"/>
        <v>4</v>
      </c>
      <c r="P167" s="197">
        <f t="shared" si="17"/>
        <v>7</v>
      </c>
      <c r="Q167" s="197">
        <f t="shared" si="18"/>
        <v>7</v>
      </c>
      <c r="R167" s="197" t="str">
        <f t="shared" si="19"/>
        <v>/</v>
      </c>
      <c r="S167" s="197">
        <f t="shared" si="20"/>
        <v>5.5</v>
      </c>
      <c r="T167" s="197">
        <f t="shared" si="21"/>
        <v>7</v>
      </c>
      <c r="U167" s="197">
        <f t="shared" si="22"/>
        <v>4</v>
      </c>
      <c r="V167" s="197" t="str">
        <f t="shared" si="23"/>
        <v>/</v>
      </c>
    </row>
    <row r="168" spans="1:22" hidden="1">
      <c r="A168" s="420" t="s">
        <v>2115</v>
      </c>
      <c r="B168" s="420" t="s">
        <v>2061</v>
      </c>
      <c r="C168" s="420">
        <v>5</v>
      </c>
      <c r="D168" s="420">
        <v>4</v>
      </c>
      <c r="E168" s="420">
        <v>5</v>
      </c>
      <c r="G168" s="420"/>
      <c r="H168" s="420" t="s">
        <v>2060</v>
      </c>
      <c r="I168" s="420" t="s">
        <v>2060</v>
      </c>
      <c r="J168" s="420">
        <v>4</v>
      </c>
      <c r="L168" s="420">
        <v>38.75</v>
      </c>
      <c r="O168" s="197">
        <f t="shared" si="16"/>
        <v>5.5</v>
      </c>
      <c r="P168" s="197">
        <f t="shared" si="17"/>
        <v>4</v>
      </c>
      <c r="Q168" s="197">
        <f t="shared" si="18"/>
        <v>5.5</v>
      </c>
      <c r="R168" s="197" t="str">
        <f t="shared" si="19"/>
        <v>/</v>
      </c>
      <c r="S168" s="197" t="str">
        <f t="shared" si="20"/>
        <v>/</v>
      </c>
      <c r="T168" s="197">
        <f t="shared" si="21"/>
        <v>7</v>
      </c>
      <c r="U168" s="197">
        <f t="shared" si="22"/>
        <v>7</v>
      </c>
      <c r="V168" s="197">
        <f t="shared" si="23"/>
        <v>4</v>
      </c>
    </row>
    <row r="169" spans="1:22" hidden="1">
      <c r="A169" s="420" t="s">
        <v>2115</v>
      </c>
      <c r="B169" s="420" t="s">
        <v>100</v>
      </c>
      <c r="C169" s="420">
        <v>3</v>
      </c>
      <c r="D169" s="420">
        <v>3</v>
      </c>
      <c r="E169" s="420" t="s">
        <v>2060</v>
      </c>
      <c r="G169" s="420">
        <v>4</v>
      </c>
      <c r="H169" s="420" t="s">
        <v>2062</v>
      </c>
      <c r="I169" s="420">
        <v>5</v>
      </c>
      <c r="J169" s="420">
        <v>4</v>
      </c>
      <c r="L169" s="420">
        <v>36.5</v>
      </c>
      <c r="O169" s="197">
        <f t="shared" si="16"/>
        <v>3</v>
      </c>
      <c r="P169" s="197">
        <f t="shared" si="17"/>
        <v>3</v>
      </c>
      <c r="Q169" s="197">
        <f t="shared" si="18"/>
        <v>7</v>
      </c>
      <c r="R169" s="197" t="str">
        <f t="shared" si="19"/>
        <v>/</v>
      </c>
      <c r="S169" s="197">
        <f t="shared" si="20"/>
        <v>4</v>
      </c>
      <c r="T169" s="197">
        <f t="shared" si="21"/>
        <v>8.5</v>
      </c>
      <c r="U169" s="197">
        <f t="shared" si="22"/>
        <v>5.5</v>
      </c>
      <c r="V169" s="197">
        <f t="shared" si="23"/>
        <v>4</v>
      </c>
    </row>
    <row r="170" spans="1:22">
      <c r="A170" s="420" t="s">
        <v>2064</v>
      </c>
      <c r="B170" s="420" t="s">
        <v>103</v>
      </c>
      <c r="C170" s="420">
        <v>5</v>
      </c>
      <c r="D170" s="420">
        <v>3</v>
      </c>
      <c r="E170" s="420" t="s">
        <v>2060</v>
      </c>
      <c r="G170" s="420">
        <v>5</v>
      </c>
      <c r="H170" s="420">
        <v>5</v>
      </c>
      <c r="I170" s="420">
        <v>4</v>
      </c>
      <c r="J170" s="420"/>
      <c r="L170" s="420">
        <v>36.5</v>
      </c>
      <c r="O170" s="197">
        <f t="shared" si="16"/>
        <v>5.5</v>
      </c>
      <c r="P170" s="197">
        <f t="shared" si="17"/>
        <v>3</v>
      </c>
      <c r="Q170" s="197">
        <f t="shared" si="18"/>
        <v>7</v>
      </c>
      <c r="R170" s="197" t="str">
        <f t="shared" si="19"/>
        <v>/</v>
      </c>
      <c r="S170" s="197">
        <f t="shared" si="20"/>
        <v>5.5</v>
      </c>
      <c r="T170" s="197">
        <f t="shared" si="21"/>
        <v>5.5</v>
      </c>
      <c r="U170" s="197">
        <f t="shared" si="22"/>
        <v>4</v>
      </c>
      <c r="V170" s="197" t="str">
        <f t="shared" si="23"/>
        <v>/</v>
      </c>
    </row>
    <row r="171" spans="1:22" hidden="1">
      <c r="A171" s="420" t="s">
        <v>2064</v>
      </c>
      <c r="B171" s="420" t="s">
        <v>2061</v>
      </c>
      <c r="C171" s="420">
        <v>3</v>
      </c>
      <c r="D171" s="420">
        <v>3</v>
      </c>
      <c r="E171" s="420" t="s">
        <v>2060</v>
      </c>
      <c r="G171" s="420" t="s">
        <v>2060</v>
      </c>
      <c r="H171" s="420">
        <v>4</v>
      </c>
      <c r="I171" s="420">
        <v>4</v>
      </c>
      <c r="J171" s="420"/>
      <c r="L171" s="420">
        <v>34</v>
      </c>
      <c r="O171" s="197">
        <f t="shared" si="16"/>
        <v>3</v>
      </c>
      <c r="P171" s="197">
        <f t="shared" si="17"/>
        <v>3</v>
      </c>
      <c r="Q171" s="197">
        <f t="shared" si="18"/>
        <v>7</v>
      </c>
      <c r="R171" s="197" t="str">
        <f t="shared" si="19"/>
        <v>/</v>
      </c>
      <c r="S171" s="197">
        <f t="shared" si="20"/>
        <v>7</v>
      </c>
      <c r="T171" s="197">
        <f t="shared" si="21"/>
        <v>4</v>
      </c>
      <c r="U171" s="197">
        <f t="shared" si="22"/>
        <v>4</v>
      </c>
      <c r="V171" s="197" t="str">
        <f t="shared" si="23"/>
        <v>/</v>
      </c>
    </row>
    <row r="172" spans="1:22" hidden="1">
      <c r="A172" s="420" t="s">
        <v>2064</v>
      </c>
      <c r="B172" s="420" t="s">
        <v>100</v>
      </c>
      <c r="C172" s="420">
        <v>4</v>
      </c>
      <c r="D172" s="420">
        <v>4</v>
      </c>
      <c r="E172" s="420">
        <v>5</v>
      </c>
      <c r="G172" s="420">
        <v>5</v>
      </c>
      <c r="H172" s="420">
        <v>5</v>
      </c>
      <c r="I172" s="420">
        <v>3</v>
      </c>
      <c r="J172" s="420"/>
      <c r="L172" s="420">
        <v>32.75</v>
      </c>
      <c r="O172" s="197">
        <f t="shared" si="16"/>
        <v>4</v>
      </c>
      <c r="P172" s="197">
        <f t="shared" si="17"/>
        <v>4</v>
      </c>
      <c r="Q172" s="197">
        <f t="shared" si="18"/>
        <v>5.5</v>
      </c>
      <c r="R172" s="197" t="str">
        <f t="shared" si="19"/>
        <v>/</v>
      </c>
      <c r="S172" s="197">
        <f t="shared" si="20"/>
        <v>5.5</v>
      </c>
      <c r="T172" s="197">
        <f t="shared" si="21"/>
        <v>5.5</v>
      </c>
      <c r="U172" s="197">
        <f t="shared" si="22"/>
        <v>3</v>
      </c>
      <c r="V172" s="197" t="str">
        <f t="shared" si="23"/>
        <v>/</v>
      </c>
    </row>
    <row r="173" spans="1:22">
      <c r="A173" s="420" t="s">
        <v>1347</v>
      </c>
      <c r="B173" s="420" t="s">
        <v>103</v>
      </c>
      <c r="C173" s="420">
        <v>5</v>
      </c>
      <c r="D173" s="420">
        <v>4</v>
      </c>
      <c r="E173" s="420">
        <v>3</v>
      </c>
      <c r="G173" s="420"/>
      <c r="H173" s="420" t="s">
        <v>2060</v>
      </c>
      <c r="I173" s="420" t="s">
        <v>2063</v>
      </c>
      <c r="J173" s="420">
        <v>4</v>
      </c>
      <c r="L173" s="420">
        <v>28.7</v>
      </c>
      <c r="O173" s="197">
        <f t="shared" si="16"/>
        <v>5.5</v>
      </c>
      <c r="P173" s="197">
        <f t="shared" si="17"/>
        <v>4</v>
      </c>
      <c r="Q173" s="197">
        <f t="shared" si="18"/>
        <v>3</v>
      </c>
      <c r="R173" s="197" t="str">
        <f t="shared" si="19"/>
        <v>/</v>
      </c>
      <c r="S173" s="197" t="str">
        <f t="shared" si="20"/>
        <v>/</v>
      </c>
      <c r="T173" s="197">
        <f t="shared" si="21"/>
        <v>7</v>
      </c>
      <c r="U173" s="197" t="str">
        <f t="shared" si="22"/>
        <v>A</v>
      </c>
      <c r="V173" s="197">
        <f t="shared" si="23"/>
        <v>4</v>
      </c>
    </row>
    <row r="174" spans="1:22" hidden="1">
      <c r="A174" s="420" t="s">
        <v>1347</v>
      </c>
      <c r="B174" s="420" t="s">
        <v>2061</v>
      </c>
      <c r="C174" s="420">
        <v>4</v>
      </c>
      <c r="D174" s="420">
        <v>5</v>
      </c>
      <c r="E174" s="420">
        <v>3</v>
      </c>
      <c r="G174" s="420"/>
      <c r="H174" s="420" t="s">
        <v>2062</v>
      </c>
      <c r="I174" s="420">
        <v>4</v>
      </c>
      <c r="J174" s="420">
        <v>4</v>
      </c>
      <c r="L174" s="420">
        <v>27.65</v>
      </c>
      <c r="O174" s="197">
        <f t="shared" si="16"/>
        <v>4</v>
      </c>
      <c r="P174" s="197">
        <f t="shared" si="17"/>
        <v>5.5</v>
      </c>
      <c r="Q174" s="197">
        <f t="shared" si="18"/>
        <v>3</v>
      </c>
      <c r="R174" s="197" t="str">
        <f t="shared" si="19"/>
        <v>/</v>
      </c>
      <c r="S174" s="197" t="str">
        <f t="shared" si="20"/>
        <v>/</v>
      </c>
      <c r="T174" s="197">
        <f t="shared" si="21"/>
        <v>8.5</v>
      </c>
      <c r="U174" s="197">
        <f t="shared" si="22"/>
        <v>4</v>
      </c>
      <c r="V174" s="197">
        <f t="shared" si="23"/>
        <v>4</v>
      </c>
    </row>
    <row r="175" spans="1:22" hidden="1">
      <c r="A175" s="420" t="s">
        <v>1347</v>
      </c>
      <c r="B175" s="420" t="s">
        <v>100</v>
      </c>
      <c r="C175" s="420">
        <v>3</v>
      </c>
      <c r="D175" s="420" t="s">
        <v>2060</v>
      </c>
      <c r="E175" s="420">
        <v>5</v>
      </c>
      <c r="G175" s="420"/>
      <c r="H175" s="420">
        <v>4</v>
      </c>
      <c r="I175" s="420">
        <v>4</v>
      </c>
      <c r="J175" s="420">
        <v>4</v>
      </c>
      <c r="L175" s="420">
        <v>26.6</v>
      </c>
      <c r="O175" s="197">
        <f t="shared" si="16"/>
        <v>3</v>
      </c>
      <c r="P175" s="197">
        <f t="shared" si="17"/>
        <v>7</v>
      </c>
      <c r="Q175" s="197">
        <f t="shared" si="18"/>
        <v>5.5</v>
      </c>
      <c r="R175" s="197" t="str">
        <f t="shared" si="19"/>
        <v>/</v>
      </c>
      <c r="S175" s="197" t="str">
        <f t="shared" si="20"/>
        <v>/</v>
      </c>
      <c r="T175" s="197">
        <f t="shared" si="21"/>
        <v>4</v>
      </c>
      <c r="U175" s="197">
        <f t="shared" si="22"/>
        <v>4</v>
      </c>
      <c r="V175" s="197">
        <f t="shared" si="23"/>
        <v>4</v>
      </c>
    </row>
    <row r="176" spans="1:22">
      <c r="A176" s="420" t="s">
        <v>1351</v>
      </c>
      <c r="B176" s="420" t="s">
        <v>103</v>
      </c>
      <c r="C176" s="420">
        <v>4</v>
      </c>
      <c r="D176" s="420">
        <v>4</v>
      </c>
      <c r="E176" s="420">
        <v>5</v>
      </c>
      <c r="G176" s="420"/>
      <c r="H176" s="420" t="s">
        <v>2060</v>
      </c>
      <c r="I176" s="420" t="s">
        <v>2060</v>
      </c>
      <c r="J176" s="420">
        <v>5</v>
      </c>
      <c r="L176" s="420">
        <v>31</v>
      </c>
      <c r="O176" s="197">
        <f t="shared" si="16"/>
        <v>4</v>
      </c>
      <c r="P176" s="197">
        <f t="shared" si="17"/>
        <v>4</v>
      </c>
      <c r="Q176" s="197">
        <f t="shared" si="18"/>
        <v>5.5</v>
      </c>
      <c r="R176" s="197" t="str">
        <f t="shared" si="19"/>
        <v>/</v>
      </c>
      <c r="S176" s="197" t="str">
        <f t="shared" si="20"/>
        <v>/</v>
      </c>
      <c r="T176" s="197">
        <f t="shared" si="21"/>
        <v>7</v>
      </c>
      <c r="U176" s="197">
        <f t="shared" si="22"/>
        <v>7</v>
      </c>
      <c r="V176" s="197">
        <f t="shared" si="23"/>
        <v>5.5</v>
      </c>
    </row>
    <row r="177" spans="1:22" hidden="1">
      <c r="A177" s="420" t="s">
        <v>1351</v>
      </c>
      <c r="B177" s="420" t="s">
        <v>2061</v>
      </c>
      <c r="C177" s="420" t="s">
        <v>2060</v>
      </c>
      <c r="D177" s="420">
        <v>4</v>
      </c>
      <c r="E177" s="420">
        <v>4</v>
      </c>
      <c r="G177" s="420"/>
      <c r="H177" s="420" t="s">
        <v>2060</v>
      </c>
      <c r="I177" s="420">
        <v>4</v>
      </c>
      <c r="J177" s="420">
        <v>4</v>
      </c>
      <c r="L177" s="420">
        <v>28</v>
      </c>
      <c r="O177" s="197">
        <f t="shared" si="16"/>
        <v>7</v>
      </c>
      <c r="P177" s="197">
        <f t="shared" si="17"/>
        <v>4</v>
      </c>
      <c r="Q177" s="197">
        <f t="shared" si="18"/>
        <v>4</v>
      </c>
      <c r="R177" s="197" t="str">
        <f t="shared" si="19"/>
        <v>/</v>
      </c>
      <c r="S177" s="197" t="str">
        <f t="shared" si="20"/>
        <v>/</v>
      </c>
      <c r="T177" s="197">
        <f t="shared" si="21"/>
        <v>7</v>
      </c>
      <c r="U177" s="197">
        <f t="shared" si="22"/>
        <v>4</v>
      </c>
      <c r="V177" s="197">
        <f t="shared" si="23"/>
        <v>4</v>
      </c>
    </row>
    <row r="178" spans="1:22" hidden="1">
      <c r="A178" s="420" t="s">
        <v>1351</v>
      </c>
      <c r="B178" s="420" t="s">
        <v>100</v>
      </c>
      <c r="C178" s="420">
        <v>4</v>
      </c>
      <c r="D178" s="420">
        <v>5</v>
      </c>
      <c r="E178" s="420">
        <v>4</v>
      </c>
      <c r="G178" s="420"/>
      <c r="H178" s="420" t="s">
        <v>2060</v>
      </c>
      <c r="I178" s="420">
        <v>4</v>
      </c>
      <c r="J178" s="420">
        <v>3</v>
      </c>
      <c r="L178" s="420">
        <v>27.25</v>
      </c>
      <c r="O178" s="197">
        <f t="shared" si="16"/>
        <v>4</v>
      </c>
      <c r="P178" s="197">
        <f t="shared" si="17"/>
        <v>5.5</v>
      </c>
      <c r="Q178" s="197">
        <f t="shared" si="18"/>
        <v>4</v>
      </c>
      <c r="R178" s="197" t="str">
        <f t="shared" si="19"/>
        <v>/</v>
      </c>
      <c r="S178" s="197" t="str">
        <f t="shared" si="20"/>
        <v>/</v>
      </c>
      <c r="T178" s="197">
        <f t="shared" si="21"/>
        <v>7</v>
      </c>
      <c r="U178" s="197">
        <f t="shared" si="22"/>
        <v>4</v>
      </c>
      <c r="V178" s="197">
        <f t="shared" si="23"/>
        <v>3</v>
      </c>
    </row>
    <row r="179" spans="1:22">
      <c r="A179" s="420" t="s">
        <v>1356</v>
      </c>
      <c r="B179" s="420" t="s">
        <v>103</v>
      </c>
      <c r="C179" s="420">
        <v>4</v>
      </c>
      <c r="D179" s="420">
        <v>3</v>
      </c>
      <c r="E179" s="420">
        <v>5</v>
      </c>
      <c r="G179" s="420"/>
      <c r="H179" s="420" t="s">
        <v>2060</v>
      </c>
      <c r="I179" s="420">
        <v>5</v>
      </c>
      <c r="J179" s="420">
        <v>4</v>
      </c>
      <c r="L179" s="420">
        <v>32.25</v>
      </c>
      <c r="O179" s="197">
        <f t="shared" si="16"/>
        <v>4</v>
      </c>
      <c r="P179" s="197">
        <f t="shared" si="17"/>
        <v>3</v>
      </c>
      <c r="Q179" s="197">
        <f t="shared" si="18"/>
        <v>5.5</v>
      </c>
      <c r="R179" s="197" t="str">
        <f t="shared" si="19"/>
        <v>/</v>
      </c>
      <c r="S179" s="197" t="str">
        <f t="shared" si="20"/>
        <v>/</v>
      </c>
      <c r="T179" s="197">
        <f t="shared" si="21"/>
        <v>7</v>
      </c>
      <c r="U179" s="197">
        <f t="shared" si="22"/>
        <v>5.5</v>
      </c>
      <c r="V179" s="197">
        <f t="shared" si="23"/>
        <v>4</v>
      </c>
    </row>
    <row r="180" spans="1:22" hidden="1">
      <c r="A180" s="420" t="s">
        <v>1356</v>
      </c>
      <c r="B180" s="420" t="s">
        <v>2061</v>
      </c>
      <c r="C180" s="420">
        <v>5</v>
      </c>
      <c r="D180" s="420">
        <v>3</v>
      </c>
      <c r="E180" s="420" t="s">
        <v>2060</v>
      </c>
      <c r="G180" s="420"/>
      <c r="H180" s="420">
        <v>5</v>
      </c>
      <c r="I180" s="420">
        <v>5</v>
      </c>
      <c r="J180" s="420"/>
      <c r="L180" s="420">
        <v>30</v>
      </c>
      <c r="O180" s="197">
        <f t="shared" si="16"/>
        <v>5.5</v>
      </c>
      <c r="P180" s="197">
        <f t="shared" si="17"/>
        <v>3</v>
      </c>
      <c r="Q180" s="197">
        <f t="shared" si="18"/>
        <v>7</v>
      </c>
      <c r="R180" s="197" t="str">
        <f t="shared" si="19"/>
        <v>/</v>
      </c>
      <c r="S180" s="197" t="str">
        <f t="shared" si="20"/>
        <v>/</v>
      </c>
      <c r="T180" s="197">
        <f t="shared" si="21"/>
        <v>5.5</v>
      </c>
      <c r="U180" s="197">
        <f t="shared" si="22"/>
        <v>5.5</v>
      </c>
      <c r="V180" s="197" t="str">
        <f t="shared" si="23"/>
        <v>/</v>
      </c>
    </row>
    <row r="181" spans="1:22" hidden="1">
      <c r="A181" s="420" t="s">
        <v>1356</v>
      </c>
      <c r="B181" s="420" t="s">
        <v>100</v>
      </c>
      <c r="C181" s="420">
        <v>3</v>
      </c>
      <c r="D181" s="420">
        <v>3</v>
      </c>
      <c r="E181" s="420">
        <v>4</v>
      </c>
      <c r="G181" s="420"/>
      <c r="H181" s="420" t="s">
        <v>2060</v>
      </c>
      <c r="I181" s="420">
        <v>5</v>
      </c>
      <c r="J181" s="420">
        <v>4</v>
      </c>
      <c r="L181" s="420">
        <v>29</v>
      </c>
      <c r="O181" s="197">
        <f t="shared" si="16"/>
        <v>3</v>
      </c>
      <c r="P181" s="197">
        <f t="shared" si="17"/>
        <v>3</v>
      </c>
      <c r="Q181" s="197">
        <f t="shared" si="18"/>
        <v>4</v>
      </c>
      <c r="R181" s="197" t="str">
        <f t="shared" si="19"/>
        <v>/</v>
      </c>
      <c r="S181" s="197" t="str">
        <f t="shared" si="20"/>
        <v>/</v>
      </c>
      <c r="T181" s="197">
        <f t="shared" si="21"/>
        <v>7</v>
      </c>
      <c r="U181" s="197">
        <f t="shared" si="22"/>
        <v>5.5</v>
      </c>
      <c r="V181" s="197">
        <f t="shared" si="23"/>
        <v>4</v>
      </c>
    </row>
    <row r="182" spans="1:22">
      <c r="A182" s="420" t="s">
        <v>1359</v>
      </c>
      <c r="B182" s="420" t="s">
        <v>103</v>
      </c>
      <c r="C182" s="420"/>
      <c r="D182" s="420">
        <v>5</v>
      </c>
      <c r="E182" s="420">
        <v>4</v>
      </c>
      <c r="G182" s="420">
        <v>5</v>
      </c>
      <c r="H182" s="420">
        <v>4</v>
      </c>
      <c r="I182" s="420">
        <v>4</v>
      </c>
      <c r="J182" s="420"/>
      <c r="L182" s="420">
        <v>32.25</v>
      </c>
      <c r="O182" s="197" t="str">
        <f t="shared" si="16"/>
        <v>/</v>
      </c>
      <c r="P182" s="197">
        <f t="shared" si="17"/>
        <v>5.5</v>
      </c>
      <c r="Q182" s="197">
        <f t="shared" si="18"/>
        <v>4</v>
      </c>
      <c r="R182" s="197" t="str">
        <f t="shared" si="19"/>
        <v>/</v>
      </c>
      <c r="S182" s="197">
        <f t="shared" si="20"/>
        <v>5.5</v>
      </c>
      <c r="T182" s="197">
        <f t="shared" si="21"/>
        <v>4</v>
      </c>
      <c r="U182" s="197">
        <f t="shared" si="22"/>
        <v>4</v>
      </c>
      <c r="V182" s="197" t="str">
        <f t="shared" si="23"/>
        <v>/</v>
      </c>
    </row>
    <row r="183" spans="1:22" hidden="1">
      <c r="A183" s="420" t="s">
        <v>1359</v>
      </c>
      <c r="B183" s="420" t="s">
        <v>2061</v>
      </c>
      <c r="C183" s="420" t="s">
        <v>2060</v>
      </c>
      <c r="D183" s="420">
        <v>3</v>
      </c>
      <c r="E183" s="420">
        <v>5</v>
      </c>
      <c r="G183" s="420"/>
      <c r="H183" s="420">
        <v>5</v>
      </c>
      <c r="I183" s="420">
        <v>5</v>
      </c>
      <c r="J183" s="420">
        <v>4</v>
      </c>
      <c r="L183" s="420">
        <v>30.75</v>
      </c>
      <c r="O183" s="197">
        <f t="shared" si="16"/>
        <v>7</v>
      </c>
      <c r="P183" s="197">
        <f t="shared" si="17"/>
        <v>3</v>
      </c>
      <c r="Q183" s="197">
        <f t="shared" si="18"/>
        <v>5.5</v>
      </c>
      <c r="R183" s="197" t="str">
        <f t="shared" si="19"/>
        <v>/</v>
      </c>
      <c r="S183" s="197" t="str">
        <f t="shared" si="20"/>
        <v>/</v>
      </c>
      <c r="T183" s="197">
        <f t="shared" si="21"/>
        <v>5.5</v>
      </c>
      <c r="U183" s="197">
        <f t="shared" si="22"/>
        <v>5.5</v>
      </c>
      <c r="V183" s="197">
        <f t="shared" si="23"/>
        <v>4</v>
      </c>
    </row>
    <row r="184" spans="1:22" hidden="1">
      <c r="A184" s="420" t="s">
        <v>1359</v>
      </c>
      <c r="B184" s="420" t="s">
        <v>100</v>
      </c>
      <c r="C184" s="420" t="s">
        <v>2060</v>
      </c>
      <c r="D184" s="420">
        <v>4</v>
      </c>
      <c r="E184" s="420" t="s">
        <v>2060</v>
      </c>
      <c r="G184" s="420"/>
      <c r="H184" s="420">
        <v>4</v>
      </c>
      <c r="I184" s="420">
        <v>4</v>
      </c>
      <c r="J184" s="420"/>
      <c r="L184" s="420">
        <v>30</v>
      </c>
      <c r="O184" s="197">
        <f t="shared" si="16"/>
        <v>7</v>
      </c>
      <c r="P184" s="197">
        <f t="shared" si="17"/>
        <v>4</v>
      </c>
      <c r="Q184" s="197">
        <f t="shared" si="18"/>
        <v>7</v>
      </c>
      <c r="R184" s="197" t="str">
        <f t="shared" si="19"/>
        <v>/</v>
      </c>
      <c r="S184" s="197" t="str">
        <f t="shared" si="20"/>
        <v>/</v>
      </c>
      <c r="T184" s="197">
        <f t="shared" si="21"/>
        <v>4</v>
      </c>
      <c r="U184" s="197">
        <f t="shared" si="22"/>
        <v>4</v>
      </c>
      <c r="V184" s="197" t="str">
        <f t="shared" si="23"/>
        <v>/</v>
      </c>
    </row>
    <row r="185" spans="1:22">
      <c r="A185" s="420" t="s">
        <v>1363</v>
      </c>
      <c r="B185" s="420" t="s">
        <v>103</v>
      </c>
      <c r="C185" s="420">
        <v>3</v>
      </c>
      <c r="D185" s="420">
        <v>4</v>
      </c>
      <c r="E185" s="420">
        <v>5</v>
      </c>
      <c r="G185" s="420">
        <v>5</v>
      </c>
      <c r="H185" s="420" t="s">
        <v>2060</v>
      </c>
      <c r="I185" s="420">
        <v>4</v>
      </c>
      <c r="J185" s="420"/>
      <c r="L185" s="420">
        <v>26</v>
      </c>
      <c r="O185" s="197">
        <f t="shared" si="16"/>
        <v>3</v>
      </c>
      <c r="P185" s="197">
        <f t="shared" si="17"/>
        <v>4</v>
      </c>
      <c r="Q185" s="197">
        <f t="shared" si="18"/>
        <v>5.5</v>
      </c>
      <c r="R185" s="197" t="str">
        <f t="shared" si="19"/>
        <v>/</v>
      </c>
      <c r="S185" s="197">
        <f t="shared" si="20"/>
        <v>5.5</v>
      </c>
      <c r="T185" s="197">
        <f t="shared" si="21"/>
        <v>7</v>
      </c>
      <c r="U185" s="197">
        <f t="shared" si="22"/>
        <v>4</v>
      </c>
      <c r="V185" s="197" t="str">
        <f t="shared" si="23"/>
        <v>/</v>
      </c>
    </row>
    <row r="186" spans="1:22" hidden="1">
      <c r="A186" s="420" t="s">
        <v>1363</v>
      </c>
      <c r="B186" s="420" t="s">
        <v>2061</v>
      </c>
      <c r="C186" s="420">
        <v>5</v>
      </c>
      <c r="D186" s="420">
        <v>5</v>
      </c>
      <c r="E186" s="420">
        <v>5</v>
      </c>
      <c r="G186" s="420">
        <v>4</v>
      </c>
      <c r="H186" s="420">
        <v>4</v>
      </c>
      <c r="I186" s="420">
        <v>4</v>
      </c>
      <c r="J186" s="420">
        <v>4</v>
      </c>
      <c r="L186" s="420">
        <v>24.5</v>
      </c>
      <c r="O186" s="197">
        <f t="shared" si="16"/>
        <v>5.5</v>
      </c>
      <c r="P186" s="197">
        <f t="shared" si="17"/>
        <v>5.5</v>
      </c>
      <c r="Q186" s="197">
        <f t="shared" si="18"/>
        <v>5.5</v>
      </c>
      <c r="R186" s="197" t="str">
        <f t="shared" si="19"/>
        <v>/</v>
      </c>
      <c r="S186" s="197">
        <f t="shared" si="20"/>
        <v>4</v>
      </c>
      <c r="T186" s="197">
        <f t="shared" si="21"/>
        <v>4</v>
      </c>
      <c r="U186" s="197">
        <f t="shared" si="22"/>
        <v>4</v>
      </c>
      <c r="V186" s="197">
        <f t="shared" si="23"/>
        <v>4</v>
      </c>
    </row>
    <row r="187" spans="1:22" hidden="1">
      <c r="A187" s="420" t="s">
        <v>1363</v>
      </c>
      <c r="B187" s="420" t="s">
        <v>100</v>
      </c>
      <c r="C187" s="420">
        <v>3</v>
      </c>
      <c r="D187" s="420">
        <v>4</v>
      </c>
      <c r="E187" s="420">
        <v>3</v>
      </c>
      <c r="G187" s="420"/>
      <c r="H187" s="420" t="s">
        <v>2062</v>
      </c>
      <c r="I187" s="420">
        <v>5</v>
      </c>
      <c r="J187" s="420"/>
      <c r="L187" s="420">
        <v>24</v>
      </c>
      <c r="O187" s="197">
        <f t="shared" si="16"/>
        <v>3</v>
      </c>
      <c r="P187" s="197">
        <f t="shared" si="17"/>
        <v>4</v>
      </c>
      <c r="Q187" s="197">
        <f t="shared" si="18"/>
        <v>3</v>
      </c>
      <c r="R187" s="197" t="str">
        <f t="shared" si="19"/>
        <v>/</v>
      </c>
      <c r="S187" s="197" t="str">
        <f t="shared" si="20"/>
        <v>/</v>
      </c>
      <c r="T187" s="197">
        <f t="shared" si="21"/>
        <v>8.5</v>
      </c>
      <c r="U187" s="197">
        <f t="shared" si="22"/>
        <v>5.5</v>
      </c>
      <c r="V187" s="197" t="str">
        <f t="shared" si="23"/>
        <v>/</v>
      </c>
    </row>
    <row r="188" spans="1:22">
      <c r="A188" s="420" t="s">
        <v>1366</v>
      </c>
      <c r="B188" s="420" t="s">
        <v>103</v>
      </c>
      <c r="C188" s="420">
        <v>5</v>
      </c>
      <c r="D188" s="420">
        <v>5</v>
      </c>
      <c r="E188" s="420">
        <v>4</v>
      </c>
      <c r="G188" s="420"/>
      <c r="H188" s="420">
        <v>4</v>
      </c>
      <c r="I188" s="420">
        <v>4</v>
      </c>
      <c r="J188" s="420">
        <v>4</v>
      </c>
      <c r="L188" s="420">
        <v>27.125</v>
      </c>
      <c r="O188" s="197">
        <f t="shared" si="16"/>
        <v>5.5</v>
      </c>
      <c r="P188" s="197">
        <f t="shared" si="17"/>
        <v>5.5</v>
      </c>
      <c r="Q188" s="197">
        <f t="shared" si="18"/>
        <v>4</v>
      </c>
      <c r="R188" s="197" t="str">
        <f t="shared" si="19"/>
        <v>/</v>
      </c>
      <c r="S188" s="197" t="str">
        <f t="shared" si="20"/>
        <v>/</v>
      </c>
      <c r="T188" s="197">
        <f t="shared" si="21"/>
        <v>4</v>
      </c>
      <c r="U188" s="197">
        <f t="shared" si="22"/>
        <v>4</v>
      </c>
      <c r="V188" s="197">
        <f t="shared" si="23"/>
        <v>4</v>
      </c>
    </row>
    <row r="189" spans="1:22" hidden="1">
      <c r="A189" s="420" t="s">
        <v>1366</v>
      </c>
      <c r="B189" s="420" t="s">
        <v>2061</v>
      </c>
      <c r="C189" s="420">
        <v>5</v>
      </c>
      <c r="D189" s="420">
        <v>3</v>
      </c>
      <c r="E189" s="420">
        <v>5</v>
      </c>
      <c r="G189" s="420"/>
      <c r="H189" s="420">
        <v>5</v>
      </c>
      <c r="I189" s="420">
        <v>4</v>
      </c>
      <c r="J189" s="420"/>
      <c r="L189" s="420">
        <v>26.375</v>
      </c>
      <c r="O189" s="197">
        <f t="shared" si="16"/>
        <v>5.5</v>
      </c>
      <c r="P189" s="197">
        <f t="shared" si="17"/>
        <v>3</v>
      </c>
      <c r="Q189" s="197">
        <f t="shared" si="18"/>
        <v>5.5</v>
      </c>
      <c r="R189" s="197" t="str">
        <f t="shared" si="19"/>
        <v>/</v>
      </c>
      <c r="S189" s="197" t="str">
        <f t="shared" si="20"/>
        <v>/</v>
      </c>
      <c r="T189" s="197">
        <f t="shared" si="21"/>
        <v>5.5</v>
      </c>
      <c r="U189" s="197">
        <f t="shared" si="22"/>
        <v>4</v>
      </c>
      <c r="V189" s="197" t="str">
        <f t="shared" si="23"/>
        <v>/</v>
      </c>
    </row>
    <row r="190" spans="1:22" hidden="1">
      <c r="A190" s="420" t="s">
        <v>1366</v>
      </c>
      <c r="B190" s="420" t="s">
        <v>100</v>
      </c>
      <c r="C190" s="420">
        <v>3</v>
      </c>
      <c r="D190" s="420">
        <v>5</v>
      </c>
      <c r="E190" s="420">
        <v>4</v>
      </c>
      <c r="G190" s="420"/>
      <c r="H190" s="420">
        <v>5</v>
      </c>
      <c r="I190" s="420">
        <v>4</v>
      </c>
      <c r="J190" s="420">
        <v>3</v>
      </c>
      <c r="L190" s="420">
        <v>25.5</v>
      </c>
      <c r="O190" s="197">
        <f t="shared" si="16"/>
        <v>3</v>
      </c>
      <c r="P190" s="197">
        <f t="shared" si="17"/>
        <v>5.5</v>
      </c>
      <c r="Q190" s="197">
        <f t="shared" si="18"/>
        <v>4</v>
      </c>
      <c r="R190" s="197" t="str">
        <f t="shared" si="19"/>
        <v>/</v>
      </c>
      <c r="S190" s="197" t="str">
        <f t="shared" si="20"/>
        <v>/</v>
      </c>
      <c r="T190" s="197">
        <f t="shared" si="21"/>
        <v>5.5</v>
      </c>
      <c r="U190" s="197">
        <f t="shared" si="22"/>
        <v>4</v>
      </c>
      <c r="V190" s="197">
        <f t="shared" si="23"/>
        <v>3</v>
      </c>
    </row>
    <row r="191" spans="1:22">
      <c r="A191" s="420" t="s">
        <v>1369</v>
      </c>
      <c r="B191" s="420" t="s">
        <v>103</v>
      </c>
      <c r="C191" s="420">
        <v>5</v>
      </c>
      <c r="D191" s="420">
        <v>4</v>
      </c>
      <c r="E191" s="420">
        <v>4</v>
      </c>
      <c r="G191" s="420"/>
      <c r="H191" s="420" t="s">
        <v>2062</v>
      </c>
      <c r="I191" s="420" t="s">
        <v>2063</v>
      </c>
      <c r="J191" s="420">
        <v>4</v>
      </c>
      <c r="L191" s="420">
        <v>31.85</v>
      </c>
      <c r="O191" s="197">
        <f t="shared" si="16"/>
        <v>5.5</v>
      </c>
      <c r="P191" s="197">
        <f t="shared" si="17"/>
        <v>4</v>
      </c>
      <c r="Q191" s="197">
        <f t="shared" si="18"/>
        <v>4</v>
      </c>
      <c r="R191" s="197" t="str">
        <f t="shared" si="19"/>
        <v>/</v>
      </c>
      <c r="S191" s="197" t="str">
        <f t="shared" si="20"/>
        <v>/</v>
      </c>
      <c r="T191" s="197">
        <f t="shared" si="21"/>
        <v>8.5</v>
      </c>
      <c r="U191" s="197" t="str">
        <f t="shared" si="22"/>
        <v>A</v>
      </c>
      <c r="V191" s="197">
        <f t="shared" si="23"/>
        <v>4</v>
      </c>
    </row>
    <row r="192" spans="1:22" hidden="1">
      <c r="A192" s="420" t="s">
        <v>1369</v>
      </c>
      <c r="B192" s="420" t="s">
        <v>2061</v>
      </c>
      <c r="C192" s="420" t="s">
        <v>2060</v>
      </c>
      <c r="D192" s="420">
        <v>5</v>
      </c>
      <c r="E192" s="420">
        <v>4</v>
      </c>
      <c r="G192" s="420">
        <v>3</v>
      </c>
      <c r="H192" s="420">
        <v>5</v>
      </c>
      <c r="I192" s="420">
        <v>4</v>
      </c>
      <c r="J192" s="420"/>
      <c r="L192" s="420">
        <v>29.75</v>
      </c>
      <c r="O192" s="197">
        <f t="shared" si="16"/>
        <v>7</v>
      </c>
      <c r="P192" s="197">
        <f t="shared" si="17"/>
        <v>5.5</v>
      </c>
      <c r="Q192" s="197">
        <f t="shared" si="18"/>
        <v>4</v>
      </c>
      <c r="R192" s="197" t="str">
        <f t="shared" si="19"/>
        <v>/</v>
      </c>
      <c r="S192" s="197">
        <f t="shared" si="20"/>
        <v>3</v>
      </c>
      <c r="T192" s="197">
        <f t="shared" si="21"/>
        <v>5.5</v>
      </c>
      <c r="U192" s="197">
        <f t="shared" si="22"/>
        <v>4</v>
      </c>
      <c r="V192" s="197" t="str">
        <f t="shared" si="23"/>
        <v>/</v>
      </c>
    </row>
    <row r="193" spans="1:22" hidden="1">
      <c r="A193" s="420" t="s">
        <v>1369</v>
      </c>
      <c r="B193" s="420" t="s">
        <v>100</v>
      </c>
      <c r="C193" s="420" t="s">
        <v>2062</v>
      </c>
      <c r="D193" s="420">
        <v>3</v>
      </c>
      <c r="E193" s="420">
        <v>5</v>
      </c>
      <c r="G193" s="420"/>
      <c r="H193" s="420">
        <v>4</v>
      </c>
      <c r="I193" s="420">
        <v>4</v>
      </c>
      <c r="J193" s="420"/>
      <c r="L193" s="420">
        <v>28.45</v>
      </c>
      <c r="O193" s="197">
        <f t="shared" si="16"/>
        <v>8.5</v>
      </c>
      <c r="P193" s="197">
        <f t="shared" si="17"/>
        <v>3</v>
      </c>
      <c r="Q193" s="197">
        <f t="shared" si="18"/>
        <v>5.5</v>
      </c>
      <c r="R193" s="197" t="str">
        <f t="shared" si="19"/>
        <v>/</v>
      </c>
      <c r="S193" s="197" t="str">
        <f t="shared" si="20"/>
        <v>/</v>
      </c>
      <c r="T193" s="197">
        <f t="shared" si="21"/>
        <v>4</v>
      </c>
      <c r="U193" s="197">
        <f t="shared" si="22"/>
        <v>4</v>
      </c>
      <c r="V193" s="197" t="str">
        <f t="shared" si="23"/>
        <v>/</v>
      </c>
    </row>
    <row r="194" spans="1:22">
      <c r="A194" s="420" t="s">
        <v>1373</v>
      </c>
      <c r="B194" s="420" t="s">
        <v>103</v>
      </c>
      <c r="C194" s="420" t="s">
        <v>324</v>
      </c>
      <c r="D194" s="420" t="s">
        <v>324</v>
      </c>
      <c r="E194" s="420" t="s">
        <v>324</v>
      </c>
      <c r="G194" s="420" t="s">
        <v>324</v>
      </c>
      <c r="H194" s="420" t="s">
        <v>324</v>
      </c>
      <c r="I194" s="420" t="s">
        <v>324</v>
      </c>
      <c r="J194" s="420" t="s">
        <v>324</v>
      </c>
      <c r="L194" s="420" t="s">
        <v>324</v>
      </c>
      <c r="O194" s="197" t="str">
        <f t="shared" ref="O194:O214" si="24">IF(C194=0,"/",IF(C194=5,5.5,IF(C194="5*",7,IF(C194="5**",8.5,C194))))</f>
        <v>/</v>
      </c>
      <c r="P194" s="197" t="str">
        <f t="shared" ref="P194:P214" si="25">IF(D194=0,"/",IF(D194=5,5.5,IF(D194="5*",7,IF(D194="5**",8.5,D194))))</f>
        <v>/</v>
      </c>
      <c r="Q194" s="197" t="str">
        <f t="shared" ref="Q194:Q214" si="26">IF(E194=0,"/",IF(E194=5,5.5,IF(E194="5*",7,IF(E194="5**",8.5,E194))))</f>
        <v>/</v>
      </c>
      <c r="R194" s="197" t="str">
        <f t="shared" ref="R194:R214" si="27">IF(F194=0,"/",IF(F194=5,5.5,IF(F194="5*",7,IF(F194="5**",8.5,F194))))</f>
        <v>/</v>
      </c>
      <c r="S194" s="197" t="str">
        <f t="shared" ref="S194:S214" si="28">IF(G194=0,"/",IF(G194=5,5.5,IF(G194="5*",7,IF(G194="5**",8.5,G194))))</f>
        <v>/</v>
      </c>
      <c r="T194" s="197" t="str">
        <f t="shared" ref="T194:T214" si="29">IF(H194=0,"/",IF(H194=5,5.5,IF(H194="5*",7,IF(H194="5**",8.5,H194))))</f>
        <v>/</v>
      </c>
      <c r="U194" s="197" t="str">
        <f t="shared" ref="U194:U214" si="30">IF(I194=0,"/",IF(I194=5,5.5,IF(I194="5*",7,IF(I194="5**",8.5,I194))))</f>
        <v>/</v>
      </c>
      <c r="V194" s="197" t="str">
        <f t="shared" ref="V194:V214" si="31">IF(J194=0,"/",IF(J194=5,5.5,IF(J194="5*",7,IF(J194="5**",8.5,J194))))</f>
        <v>/</v>
      </c>
    </row>
    <row r="195" spans="1:22" hidden="1">
      <c r="A195" s="420" t="s">
        <v>1373</v>
      </c>
      <c r="B195" s="420" t="s">
        <v>2061</v>
      </c>
      <c r="C195" s="420" t="s">
        <v>324</v>
      </c>
      <c r="D195" s="420" t="s">
        <v>324</v>
      </c>
      <c r="E195" s="420" t="s">
        <v>324</v>
      </c>
      <c r="G195" s="420" t="s">
        <v>324</v>
      </c>
      <c r="H195" s="420" t="s">
        <v>324</v>
      </c>
      <c r="I195" s="420" t="s">
        <v>324</v>
      </c>
      <c r="J195" s="420" t="s">
        <v>324</v>
      </c>
      <c r="L195" s="420" t="s">
        <v>324</v>
      </c>
      <c r="O195" s="197" t="str">
        <f t="shared" si="24"/>
        <v>/</v>
      </c>
      <c r="P195" s="197" t="str">
        <f t="shared" si="25"/>
        <v>/</v>
      </c>
      <c r="Q195" s="197" t="str">
        <f t="shared" si="26"/>
        <v>/</v>
      </c>
      <c r="R195" s="197" t="str">
        <f t="shared" si="27"/>
        <v>/</v>
      </c>
      <c r="S195" s="197" t="str">
        <f t="shared" si="28"/>
        <v>/</v>
      </c>
      <c r="T195" s="197" t="str">
        <f t="shared" si="29"/>
        <v>/</v>
      </c>
      <c r="U195" s="197" t="str">
        <f t="shared" si="30"/>
        <v>/</v>
      </c>
      <c r="V195" s="197" t="str">
        <f t="shared" si="31"/>
        <v>/</v>
      </c>
    </row>
    <row r="196" spans="1:22" hidden="1">
      <c r="A196" s="420" t="s">
        <v>1373</v>
      </c>
      <c r="B196" s="420" t="s">
        <v>100</v>
      </c>
      <c r="C196" s="420" t="s">
        <v>324</v>
      </c>
      <c r="D196" s="420" t="s">
        <v>324</v>
      </c>
      <c r="E196" s="420" t="s">
        <v>324</v>
      </c>
      <c r="G196" s="420" t="s">
        <v>324</v>
      </c>
      <c r="H196" s="420" t="s">
        <v>324</v>
      </c>
      <c r="I196" s="420" t="s">
        <v>324</v>
      </c>
      <c r="J196" s="420" t="s">
        <v>324</v>
      </c>
      <c r="L196" s="420" t="s">
        <v>324</v>
      </c>
      <c r="O196" s="197" t="str">
        <f t="shared" si="24"/>
        <v>/</v>
      </c>
      <c r="P196" s="197" t="str">
        <f t="shared" si="25"/>
        <v>/</v>
      </c>
      <c r="Q196" s="197" t="str">
        <f t="shared" si="26"/>
        <v>/</v>
      </c>
      <c r="R196" s="197" t="str">
        <f t="shared" si="27"/>
        <v>/</v>
      </c>
      <c r="S196" s="197" t="str">
        <f t="shared" si="28"/>
        <v>/</v>
      </c>
      <c r="T196" s="197" t="str">
        <f t="shared" si="29"/>
        <v>/</v>
      </c>
      <c r="U196" s="197" t="str">
        <f t="shared" si="30"/>
        <v>/</v>
      </c>
      <c r="V196" s="197" t="str">
        <f t="shared" si="31"/>
        <v>/</v>
      </c>
    </row>
    <row r="197" spans="1:22">
      <c r="A197" s="420" t="s">
        <v>41</v>
      </c>
      <c r="B197" s="420" t="s">
        <v>103</v>
      </c>
      <c r="C197" s="420">
        <v>4</v>
      </c>
      <c r="D197" s="420">
        <v>5</v>
      </c>
      <c r="E197" s="420" t="s">
        <v>2060</v>
      </c>
      <c r="G197" s="420">
        <v>5</v>
      </c>
      <c r="H197" s="420">
        <v>5</v>
      </c>
      <c r="I197" s="420">
        <v>4</v>
      </c>
      <c r="J197" s="420">
        <v>4</v>
      </c>
      <c r="L197" s="420">
        <v>33.75</v>
      </c>
      <c r="O197" s="197">
        <f t="shared" si="24"/>
        <v>4</v>
      </c>
      <c r="P197" s="197">
        <f t="shared" si="25"/>
        <v>5.5</v>
      </c>
      <c r="Q197" s="197">
        <f t="shared" si="26"/>
        <v>7</v>
      </c>
      <c r="R197" s="197" t="str">
        <f t="shared" si="27"/>
        <v>/</v>
      </c>
      <c r="S197" s="197">
        <f t="shared" si="28"/>
        <v>5.5</v>
      </c>
      <c r="T197" s="197">
        <f t="shared" si="29"/>
        <v>5.5</v>
      </c>
      <c r="U197" s="197">
        <f t="shared" si="30"/>
        <v>4</v>
      </c>
      <c r="V197" s="197">
        <f t="shared" si="31"/>
        <v>4</v>
      </c>
    </row>
    <row r="198" spans="1:22" hidden="1">
      <c r="A198" s="420" t="s">
        <v>41</v>
      </c>
      <c r="B198" s="420" t="s">
        <v>2061</v>
      </c>
      <c r="C198" s="420">
        <v>3</v>
      </c>
      <c r="D198" s="420">
        <v>4</v>
      </c>
      <c r="E198" s="420">
        <v>5</v>
      </c>
      <c r="G198" s="420"/>
      <c r="H198" s="420" t="s">
        <v>2060</v>
      </c>
      <c r="I198" s="420">
        <v>5</v>
      </c>
      <c r="J198" s="420">
        <v>5</v>
      </c>
      <c r="L198" s="420">
        <v>32.25</v>
      </c>
      <c r="O198" s="197">
        <f t="shared" si="24"/>
        <v>3</v>
      </c>
      <c r="P198" s="197">
        <f t="shared" si="25"/>
        <v>4</v>
      </c>
      <c r="Q198" s="197">
        <f t="shared" si="26"/>
        <v>5.5</v>
      </c>
      <c r="R198" s="197" t="str">
        <f t="shared" si="27"/>
        <v>/</v>
      </c>
      <c r="S198" s="197" t="str">
        <f t="shared" si="28"/>
        <v>/</v>
      </c>
      <c r="T198" s="197">
        <f t="shared" si="29"/>
        <v>7</v>
      </c>
      <c r="U198" s="197">
        <f t="shared" si="30"/>
        <v>5.5</v>
      </c>
      <c r="V198" s="197">
        <f t="shared" si="31"/>
        <v>5.5</v>
      </c>
    </row>
    <row r="199" spans="1:22" hidden="1">
      <c r="A199" s="420" t="s">
        <v>41</v>
      </c>
      <c r="B199" s="420" t="s">
        <v>100</v>
      </c>
      <c r="C199" s="420">
        <v>5</v>
      </c>
      <c r="D199" s="420" t="s">
        <v>2062</v>
      </c>
      <c r="E199" s="420">
        <v>3</v>
      </c>
      <c r="G199" s="420"/>
      <c r="H199" s="420">
        <v>4</v>
      </c>
      <c r="I199" s="420">
        <v>4</v>
      </c>
      <c r="J199" s="420">
        <v>4</v>
      </c>
      <c r="L199" s="420">
        <v>30.75</v>
      </c>
      <c r="O199" s="197">
        <f t="shared" si="24"/>
        <v>5.5</v>
      </c>
      <c r="P199" s="197">
        <f t="shared" si="25"/>
        <v>8.5</v>
      </c>
      <c r="Q199" s="197">
        <f t="shared" si="26"/>
        <v>3</v>
      </c>
      <c r="R199" s="197" t="str">
        <f t="shared" si="27"/>
        <v>/</v>
      </c>
      <c r="S199" s="197" t="str">
        <f t="shared" si="28"/>
        <v>/</v>
      </c>
      <c r="T199" s="197">
        <f t="shared" si="29"/>
        <v>4</v>
      </c>
      <c r="U199" s="197">
        <f t="shared" si="30"/>
        <v>4</v>
      </c>
      <c r="V199" s="197">
        <f t="shared" si="31"/>
        <v>4</v>
      </c>
    </row>
    <row r="200" spans="1:22">
      <c r="A200" s="420" t="s">
        <v>1380</v>
      </c>
      <c r="B200" s="420" t="s">
        <v>103</v>
      </c>
      <c r="C200" s="420">
        <v>3</v>
      </c>
      <c r="D200" s="420">
        <v>4</v>
      </c>
      <c r="E200" s="420">
        <v>4</v>
      </c>
      <c r="G200" s="420"/>
      <c r="H200" s="420" t="s">
        <v>2060</v>
      </c>
      <c r="I200" s="420" t="s">
        <v>2063</v>
      </c>
      <c r="J200" s="420">
        <v>5</v>
      </c>
      <c r="L200" s="420">
        <v>29</v>
      </c>
      <c r="O200" s="197">
        <f t="shared" si="24"/>
        <v>3</v>
      </c>
      <c r="P200" s="197">
        <f t="shared" si="25"/>
        <v>4</v>
      </c>
      <c r="Q200" s="197">
        <f t="shared" si="26"/>
        <v>4</v>
      </c>
      <c r="R200" s="197" t="str">
        <f t="shared" si="27"/>
        <v>/</v>
      </c>
      <c r="S200" s="197" t="str">
        <f t="shared" si="28"/>
        <v>/</v>
      </c>
      <c r="T200" s="197">
        <f t="shared" si="29"/>
        <v>7</v>
      </c>
      <c r="U200" s="197" t="str">
        <f t="shared" si="30"/>
        <v>A</v>
      </c>
      <c r="V200" s="197">
        <f t="shared" si="31"/>
        <v>5.5</v>
      </c>
    </row>
    <row r="201" spans="1:22" hidden="1">
      <c r="A201" s="420" t="s">
        <v>1380</v>
      </c>
      <c r="B201" s="420" t="s">
        <v>2061</v>
      </c>
      <c r="C201" s="420" t="s">
        <v>2062</v>
      </c>
      <c r="D201" s="420">
        <v>3</v>
      </c>
      <c r="E201" s="420">
        <v>5</v>
      </c>
      <c r="G201" s="420">
        <v>4</v>
      </c>
      <c r="H201" s="420">
        <v>5</v>
      </c>
      <c r="I201" s="420">
        <v>4</v>
      </c>
      <c r="J201" s="420"/>
      <c r="L201" s="420">
        <v>27.5</v>
      </c>
      <c r="O201" s="197">
        <f t="shared" si="24"/>
        <v>8.5</v>
      </c>
      <c r="P201" s="197">
        <f t="shared" si="25"/>
        <v>3</v>
      </c>
      <c r="Q201" s="197">
        <f t="shared" si="26"/>
        <v>5.5</v>
      </c>
      <c r="R201" s="197" t="str">
        <f t="shared" si="27"/>
        <v>/</v>
      </c>
      <c r="S201" s="197">
        <f t="shared" si="28"/>
        <v>4</v>
      </c>
      <c r="T201" s="197">
        <f t="shared" si="29"/>
        <v>5.5</v>
      </c>
      <c r="U201" s="197">
        <f t="shared" si="30"/>
        <v>4</v>
      </c>
      <c r="V201" s="197" t="str">
        <f t="shared" si="31"/>
        <v>/</v>
      </c>
    </row>
    <row r="202" spans="1:22" hidden="1">
      <c r="A202" s="420" t="s">
        <v>1380</v>
      </c>
      <c r="B202" s="420" t="s">
        <v>100</v>
      </c>
      <c r="C202" s="420">
        <v>5</v>
      </c>
      <c r="D202" s="420">
        <v>4</v>
      </c>
      <c r="E202" s="420">
        <v>4</v>
      </c>
      <c r="G202" s="420"/>
      <c r="H202" s="420" t="s">
        <v>2060</v>
      </c>
      <c r="I202" s="420">
        <v>5</v>
      </c>
      <c r="J202" s="420">
        <v>4</v>
      </c>
      <c r="L202" s="420">
        <v>26</v>
      </c>
      <c r="O202" s="197">
        <f t="shared" si="24"/>
        <v>5.5</v>
      </c>
      <c r="P202" s="197">
        <f t="shared" si="25"/>
        <v>4</v>
      </c>
      <c r="Q202" s="197">
        <f t="shared" si="26"/>
        <v>4</v>
      </c>
      <c r="R202" s="197" t="str">
        <f t="shared" si="27"/>
        <v>/</v>
      </c>
      <c r="S202" s="197" t="str">
        <f t="shared" si="28"/>
        <v>/</v>
      </c>
      <c r="T202" s="197">
        <f t="shared" si="29"/>
        <v>7</v>
      </c>
      <c r="U202" s="197">
        <f t="shared" si="30"/>
        <v>5.5</v>
      </c>
      <c r="V202" s="197">
        <f t="shared" si="31"/>
        <v>4</v>
      </c>
    </row>
    <row r="203" spans="1:22">
      <c r="A203" s="420" t="s">
        <v>1383</v>
      </c>
      <c r="B203" s="420" t="s">
        <v>103</v>
      </c>
      <c r="C203" s="420">
        <v>4</v>
      </c>
      <c r="D203" s="420">
        <v>4</v>
      </c>
      <c r="E203" s="420">
        <v>4</v>
      </c>
      <c r="G203" s="420"/>
      <c r="H203" s="420" t="s">
        <v>2060</v>
      </c>
      <c r="I203" s="420">
        <v>5</v>
      </c>
      <c r="J203" s="420">
        <v>4</v>
      </c>
      <c r="L203" s="420">
        <v>26.5</v>
      </c>
      <c r="O203" s="197">
        <f t="shared" si="24"/>
        <v>4</v>
      </c>
      <c r="P203" s="197">
        <f t="shared" si="25"/>
        <v>4</v>
      </c>
      <c r="Q203" s="197">
        <f t="shared" si="26"/>
        <v>4</v>
      </c>
      <c r="R203" s="197" t="str">
        <f t="shared" si="27"/>
        <v>/</v>
      </c>
      <c r="S203" s="197" t="str">
        <f t="shared" si="28"/>
        <v>/</v>
      </c>
      <c r="T203" s="197">
        <f t="shared" si="29"/>
        <v>7</v>
      </c>
      <c r="U203" s="197">
        <f t="shared" si="30"/>
        <v>5.5</v>
      </c>
      <c r="V203" s="197">
        <f t="shared" si="31"/>
        <v>4</v>
      </c>
    </row>
    <row r="204" spans="1:22" hidden="1">
      <c r="A204" s="420" t="s">
        <v>1383</v>
      </c>
      <c r="B204" s="420" t="s">
        <v>2061</v>
      </c>
      <c r="C204" s="420">
        <v>4</v>
      </c>
      <c r="D204" s="420" t="s">
        <v>2060</v>
      </c>
      <c r="E204" s="420">
        <v>3</v>
      </c>
      <c r="G204" s="420"/>
      <c r="H204" s="420">
        <v>4</v>
      </c>
      <c r="I204" s="420">
        <v>4</v>
      </c>
      <c r="J204" s="420">
        <v>3</v>
      </c>
      <c r="L204" s="420">
        <v>25.5</v>
      </c>
      <c r="O204" s="197">
        <f t="shared" si="24"/>
        <v>4</v>
      </c>
      <c r="P204" s="197">
        <f t="shared" si="25"/>
        <v>7</v>
      </c>
      <c r="Q204" s="197">
        <f t="shared" si="26"/>
        <v>3</v>
      </c>
      <c r="R204" s="197" t="str">
        <f t="shared" si="27"/>
        <v>/</v>
      </c>
      <c r="S204" s="197" t="str">
        <f t="shared" si="28"/>
        <v>/</v>
      </c>
      <c r="T204" s="197">
        <f t="shared" si="29"/>
        <v>4</v>
      </c>
      <c r="U204" s="197">
        <f t="shared" si="30"/>
        <v>4</v>
      </c>
      <c r="V204" s="197">
        <f t="shared" si="31"/>
        <v>3</v>
      </c>
    </row>
    <row r="205" spans="1:22" hidden="1">
      <c r="A205" s="420" t="s">
        <v>1383</v>
      </c>
      <c r="B205" s="420" t="s">
        <v>100</v>
      </c>
      <c r="C205" s="420">
        <v>4</v>
      </c>
      <c r="D205" s="420">
        <v>4</v>
      </c>
      <c r="E205" s="420">
        <v>3</v>
      </c>
      <c r="G205" s="420"/>
      <c r="H205" s="420" t="s">
        <v>2060</v>
      </c>
      <c r="I205" s="420">
        <v>4</v>
      </c>
      <c r="J205" s="420">
        <v>4</v>
      </c>
      <c r="L205" s="420">
        <v>25</v>
      </c>
      <c r="O205" s="197">
        <f t="shared" si="24"/>
        <v>4</v>
      </c>
      <c r="P205" s="197">
        <f t="shared" si="25"/>
        <v>4</v>
      </c>
      <c r="Q205" s="197">
        <f t="shared" si="26"/>
        <v>3</v>
      </c>
      <c r="R205" s="197" t="str">
        <f t="shared" si="27"/>
        <v>/</v>
      </c>
      <c r="S205" s="197" t="str">
        <f t="shared" si="28"/>
        <v>/</v>
      </c>
      <c r="T205" s="197">
        <f t="shared" si="29"/>
        <v>7</v>
      </c>
      <c r="U205" s="197">
        <f t="shared" si="30"/>
        <v>4</v>
      </c>
      <c r="V205" s="197">
        <f t="shared" si="31"/>
        <v>4</v>
      </c>
    </row>
    <row r="206" spans="1:22">
      <c r="A206" s="420" t="s">
        <v>1386</v>
      </c>
      <c r="B206" s="420" t="s">
        <v>103</v>
      </c>
      <c r="C206" s="420">
        <v>5</v>
      </c>
      <c r="D206" s="420">
        <v>5</v>
      </c>
      <c r="E206" s="420">
        <v>3</v>
      </c>
      <c r="G206" s="420"/>
      <c r="H206" s="420" t="s">
        <v>2062</v>
      </c>
      <c r="I206" s="420">
        <v>4</v>
      </c>
      <c r="J206" s="420">
        <v>4</v>
      </c>
      <c r="L206" s="420">
        <v>30.25</v>
      </c>
      <c r="O206" s="197">
        <f t="shared" si="24"/>
        <v>5.5</v>
      </c>
      <c r="P206" s="197">
        <f t="shared" si="25"/>
        <v>5.5</v>
      </c>
      <c r="Q206" s="197">
        <f t="shared" si="26"/>
        <v>3</v>
      </c>
      <c r="R206" s="197" t="str">
        <f t="shared" si="27"/>
        <v>/</v>
      </c>
      <c r="S206" s="197" t="str">
        <f t="shared" si="28"/>
        <v>/</v>
      </c>
      <c r="T206" s="197">
        <f t="shared" si="29"/>
        <v>8.5</v>
      </c>
      <c r="U206" s="197">
        <f t="shared" si="30"/>
        <v>4</v>
      </c>
      <c r="V206" s="197">
        <f t="shared" si="31"/>
        <v>4</v>
      </c>
    </row>
    <row r="207" spans="1:22" hidden="1">
      <c r="A207" s="420" t="s">
        <v>1386</v>
      </c>
      <c r="B207" s="420" t="s">
        <v>2061</v>
      </c>
      <c r="C207" s="420">
        <v>3</v>
      </c>
      <c r="D207" s="420" t="s">
        <v>2060</v>
      </c>
      <c r="E207" s="420">
        <v>4</v>
      </c>
      <c r="G207" s="420"/>
      <c r="H207" s="420">
        <v>4</v>
      </c>
      <c r="I207" s="420">
        <v>4</v>
      </c>
      <c r="J207" s="420">
        <v>3</v>
      </c>
      <c r="L207" s="420">
        <v>25.5</v>
      </c>
      <c r="O207" s="197">
        <f t="shared" si="24"/>
        <v>3</v>
      </c>
      <c r="P207" s="197">
        <f t="shared" si="25"/>
        <v>7</v>
      </c>
      <c r="Q207" s="197">
        <f t="shared" si="26"/>
        <v>4</v>
      </c>
      <c r="R207" s="197" t="str">
        <f t="shared" si="27"/>
        <v>/</v>
      </c>
      <c r="S207" s="197" t="str">
        <f t="shared" si="28"/>
        <v>/</v>
      </c>
      <c r="T207" s="197">
        <f t="shared" si="29"/>
        <v>4</v>
      </c>
      <c r="U207" s="197">
        <f t="shared" si="30"/>
        <v>4</v>
      </c>
      <c r="V207" s="197">
        <f t="shared" si="31"/>
        <v>3</v>
      </c>
    </row>
    <row r="208" spans="1:22" hidden="1">
      <c r="A208" s="420" t="s">
        <v>1386</v>
      </c>
      <c r="B208" s="420" t="s">
        <v>100</v>
      </c>
      <c r="C208" s="420">
        <v>4</v>
      </c>
      <c r="D208" s="420">
        <v>5</v>
      </c>
      <c r="E208" s="420">
        <v>4</v>
      </c>
      <c r="G208" s="420"/>
      <c r="H208" s="420">
        <v>4</v>
      </c>
      <c r="I208" s="420">
        <v>4</v>
      </c>
      <c r="J208" s="420">
        <v>4</v>
      </c>
      <c r="L208" s="420">
        <v>24.25</v>
      </c>
      <c r="O208" s="197">
        <f t="shared" si="24"/>
        <v>4</v>
      </c>
      <c r="P208" s="197">
        <f t="shared" si="25"/>
        <v>5.5</v>
      </c>
      <c r="Q208" s="197">
        <f t="shared" si="26"/>
        <v>4</v>
      </c>
      <c r="R208" s="197" t="str">
        <f t="shared" si="27"/>
        <v>/</v>
      </c>
      <c r="S208" s="197" t="str">
        <f t="shared" si="28"/>
        <v>/</v>
      </c>
      <c r="T208" s="197">
        <f t="shared" si="29"/>
        <v>4</v>
      </c>
      <c r="U208" s="197">
        <f t="shared" si="30"/>
        <v>4</v>
      </c>
      <c r="V208" s="197">
        <f t="shared" si="31"/>
        <v>4</v>
      </c>
    </row>
    <row r="209" spans="1:22">
      <c r="A209" s="420" t="s">
        <v>1389</v>
      </c>
      <c r="B209" s="420" t="s">
        <v>103</v>
      </c>
      <c r="C209" s="420">
        <v>3</v>
      </c>
      <c r="D209" s="420">
        <v>4</v>
      </c>
      <c r="E209" s="420">
        <v>5</v>
      </c>
      <c r="G209" s="420">
        <v>5</v>
      </c>
      <c r="H209" s="420">
        <v>4</v>
      </c>
      <c r="I209" s="420">
        <v>4</v>
      </c>
      <c r="J209" s="420">
        <v>3</v>
      </c>
      <c r="L209" s="420">
        <v>23</v>
      </c>
      <c r="O209" s="197">
        <f t="shared" si="24"/>
        <v>3</v>
      </c>
      <c r="P209" s="197">
        <f t="shared" si="25"/>
        <v>4</v>
      </c>
      <c r="Q209" s="197">
        <f t="shared" si="26"/>
        <v>5.5</v>
      </c>
      <c r="R209" s="197" t="str">
        <f t="shared" si="27"/>
        <v>/</v>
      </c>
      <c r="S209" s="197">
        <f t="shared" si="28"/>
        <v>5.5</v>
      </c>
      <c r="T209" s="197">
        <f t="shared" si="29"/>
        <v>4</v>
      </c>
      <c r="U209" s="197">
        <f t="shared" si="30"/>
        <v>4</v>
      </c>
      <c r="V209" s="197">
        <f t="shared" si="31"/>
        <v>3</v>
      </c>
    </row>
    <row r="210" spans="1:22" hidden="1">
      <c r="A210" s="420" t="s">
        <v>1389</v>
      </c>
      <c r="B210" s="420" t="s">
        <v>2061</v>
      </c>
      <c r="C210" s="420">
        <v>4</v>
      </c>
      <c r="D210" s="420">
        <v>3</v>
      </c>
      <c r="E210" s="420">
        <v>4</v>
      </c>
      <c r="G210" s="420">
        <v>3</v>
      </c>
      <c r="H210" s="420">
        <v>5</v>
      </c>
      <c r="I210" s="420">
        <v>5</v>
      </c>
      <c r="J210" s="420">
        <v>4</v>
      </c>
      <c r="L210" s="420">
        <v>23</v>
      </c>
      <c r="O210" s="197">
        <f t="shared" si="24"/>
        <v>4</v>
      </c>
      <c r="P210" s="197">
        <f t="shared" si="25"/>
        <v>3</v>
      </c>
      <c r="Q210" s="197">
        <f t="shared" si="26"/>
        <v>4</v>
      </c>
      <c r="R210" s="197" t="str">
        <f t="shared" si="27"/>
        <v>/</v>
      </c>
      <c r="S210" s="197">
        <f t="shared" si="28"/>
        <v>3</v>
      </c>
      <c r="T210" s="197">
        <f t="shared" si="29"/>
        <v>5.5</v>
      </c>
      <c r="U210" s="197">
        <f t="shared" si="30"/>
        <v>5.5</v>
      </c>
      <c r="V210" s="197">
        <f t="shared" si="31"/>
        <v>4</v>
      </c>
    </row>
    <row r="211" spans="1:22" hidden="1">
      <c r="A211" s="420" t="s">
        <v>1389</v>
      </c>
      <c r="B211" s="420" t="s">
        <v>100</v>
      </c>
      <c r="C211" s="420">
        <v>4</v>
      </c>
      <c r="D211" s="420">
        <v>3</v>
      </c>
      <c r="E211" s="420">
        <v>5</v>
      </c>
      <c r="G211" s="420">
        <v>4</v>
      </c>
      <c r="H211" s="420">
        <v>5</v>
      </c>
      <c r="I211" s="420">
        <v>4</v>
      </c>
      <c r="J211" s="420"/>
      <c r="L211" s="420">
        <v>23</v>
      </c>
      <c r="O211" s="197">
        <f t="shared" si="24"/>
        <v>4</v>
      </c>
      <c r="P211" s="197">
        <f t="shared" si="25"/>
        <v>3</v>
      </c>
      <c r="Q211" s="197">
        <f t="shared" si="26"/>
        <v>5.5</v>
      </c>
      <c r="R211" s="197" t="str">
        <f t="shared" si="27"/>
        <v>/</v>
      </c>
      <c r="S211" s="197">
        <f t="shared" si="28"/>
        <v>4</v>
      </c>
      <c r="T211" s="197">
        <f t="shared" si="29"/>
        <v>5.5</v>
      </c>
      <c r="U211" s="197">
        <f t="shared" si="30"/>
        <v>4</v>
      </c>
      <c r="V211" s="197" t="str">
        <f t="shared" si="31"/>
        <v>/</v>
      </c>
    </row>
    <row r="212" spans="1:22">
      <c r="A212" s="420" t="s">
        <v>1392</v>
      </c>
      <c r="B212" s="420" t="s">
        <v>103</v>
      </c>
      <c r="C212" s="420" t="s">
        <v>2060</v>
      </c>
      <c r="D212" s="420" t="s">
        <v>2060</v>
      </c>
      <c r="E212" s="420">
        <v>4</v>
      </c>
      <c r="G212" s="420"/>
      <c r="H212" s="420">
        <v>5</v>
      </c>
      <c r="I212" s="420">
        <v>4</v>
      </c>
      <c r="J212" s="420">
        <v>4</v>
      </c>
      <c r="L212" s="420">
        <v>34.5</v>
      </c>
      <c r="O212" s="197">
        <f t="shared" si="24"/>
        <v>7</v>
      </c>
      <c r="P212" s="197">
        <f t="shared" si="25"/>
        <v>7</v>
      </c>
      <c r="Q212" s="197">
        <f t="shared" si="26"/>
        <v>4</v>
      </c>
      <c r="R212" s="197" t="str">
        <f t="shared" si="27"/>
        <v>/</v>
      </c>
      <c r="S212" s="197" t="str">
        <f t="shared" si="28"/>
        <v>/</v>
      </c>
      <c r="T212" s="197">
        <f t="shared" si="29"/>
        <v>5.5</v>
      </c>
      <c r="U212" s="197">
        <f t="shared" si="30"/>
        <v>4</v>
      </c>
      <c r="V212" s="197">
        <f t="shared" si="31"/>
        <v>4</v>
      </c>
    </row>
    <row r="213" spans="1:22" hidden="1">
      <c r="A213" s="420" t="s">
        <v>1392</v>
      </c>
      <c r="B213" s="420" t="s">
        <v>2061</v>
      </c>
      <c r="C213" s="420">
        <v>5</v>
      </c>
      <c r="D213" s="420" t="s">
        <v>2060</v>
      </c>
      <c r="E213" s="420">
        <v>4</v>
      </c>
      <c r="G213" s="420"/>
      <c r="H213" s="420">
        <v>5</v>
      </c>
      <c r="I213" s="420">
        <v>4</v>
      </c>
      <c r="J213" s="420">
        <v>4</v>
      </c>
      <c r="L213" s="420">
        <v>33</v>
      </c>
      <c r="O213" s="197">
        <f t="shared" si="24"/>
        <v>5.5</v>
      </c>
      <c r="P213" s="197">
        <f t="shared" si="25"/>
        <v>7</v>
      </c>
      <c r="Q213" s="197">
        <f t="shared" si="26"/>
        <v>4</v>
      </c>
      <c r="R213" s="197" t="str">
        <f t="shared" si="27"/>
        <v>/</v>
      </c>
      <c r="S213" s="197" t="str">
        <f t="shared" si="28"/>
        <v>/</v>
      </c>
      <c r="T213" s="197">
        <f t="shared" si="29"/>
        <v>5.5</v>
      </c>
      <c r="U213" s="197">
        <f t="shared" si="30"/>
        <v>4</v>
      </c>
      <c r="V213" s="197">
        <f t="shared" si="31"/>
        <v>4</v>
      </c>
    </row>
    <row r="214" spans="1:22" hidden="1">
      <c r="A214" s="420" t="s">
        <v>1392</v>
      </c>
      <c r="B214" s="420" t="s">
        <v>100</v>
      </c>
      <c r="C214" s="420">
        <v>4</v>
      </c>
      <c r="D214" s="420" t="s">
        <v>2060</v>
      </c>
      <c r="E214" s="420">
        <v>5</v>
      </c>
      <c r="G214" s="420"/>
      <c r="H214" s="420">
        <v>5</v>
      </c>
      <c r="I214" s="420">
        <v>4</v>
      </c>
      <c r="J214" s="420">
        <v>4</v>
      </c>
      <c r="L214" s="420">
        <v>33</v>
      </c>
      <c r="O214" s="197">
        <f t="shared" si="24"/>
        <v>4</v>
      </c>
      <c r="P214" s="197">
        <f t="shared" si="25"/>
        <v>7</v>
      </c>
      <c r="Q214" s="197">
        <f t="shared" si="26"/>
        <v>5.5</v>
      </c>
      <c r="R214" s="197" t="str">
        <f t="shared" si="27"/>
        <v>/</v>
      </c>
      <c r="S214" s="197" t="str">
        <f t="shared" si="28"/>
        <v>/</v>
      </c>
      <c r="T214" s="197">
        <f t="shared" si="29"/>
        <v>5.5</v>
      </c>
      <c r="U214" s="197">
        <f t="shared" si="30"/>
        <v>4</v>
      </c>
      <c r="V214" s="197">
        <f t="shared" si="31"/>
        <v>4</v>
      </c>
    </row>
    <row r="215" spans="1:22" hidden="1">
      <c r="O215" s="197"/>
      <c r="P215" s="197"/>
      <c r="Q215" s="197"/>
      <c r="R215" s="197"/>
      <c r="S215" s="197"/>
      <c r="T215" s="197"/>
      <c r="U215" s="197"/>
      <c r="V215" s="197"/>
    </row>
    <row r="216" spans="1:22" hidden="1">
      <c r="O216" s="197"/>
      <c r="P216" s="197"/>
      <c r="Q216" s="197"/>
      <c r="R216" s="197"/>
      <c r="S216" s="197"/>
      <c r="T216" s="197"/>
      <c r="U216" s="197"/>
      <c r="V216" s="197"/>
    </row>
    <row r="217" spans="1:22" hidden="1">
      <c r="O217" s="197"/>
      <c r="P217" s="197"/>
      <c r="Q217" s="197"/>
      <c r="R217" s="197"/>
      <c r="S217" s="197"/>
      <c r="T217" s="197"/>
      <c r="U217" s="197"/>
      <c r="V217" s="197"/>
    </row>
    <row r="218" spans="1:22" hidden="1">
      <c r="O218" s="197"/>
      <c r="P218" s="197"/>
      <c r="Q218" s="197"/>
      <c r="R218" s="197"/>
      <c r="S218" s="197"/>
      <c r="T218" s="197"/>
      <c r="U218" s="197"/>
      <c r="V218" s="197"/>
    </row>
    <row r="219" spans="1:22" hidden="1">
      <c r="O219" s="197"/>
      <c r="P219" s="197"/>
      <c r="Q219" s="197"/>
      <c r="R219" s="197"/>
      <c r="S219" s="197"/>
      <c r="T219" s="197"/>
      <c r="U219" s="197"/>
      <c r="V219" s="197"/>
    </row>
    <row r="220" spans="1:22" hidden="1">
      <c r="O220" s="197"/>
      <c r="P220" s="197"/>
      <c r="Q220" s="197"/>
      <c r="R220" s="197"/>
      <c r="S220" s="197"/>
      <c r="T220" s="197"/>
      <c r="U220" s="197"/>
      <c r="V220" s="197"/>
    </row>
    <row r="221" spans="1:22" hidden="1">
      <c r="O221" s="197"/>
      <c r="P221" s="197"/>
      <c r="Q221" s="197"/>
      <c r="R221" s="197"/>
      <c r="S221" s="197"/>
      <c r="T221" s="197"/>
      <c r="U221" s="197"/>
      <c r="V221" s="197"/>
    </row>
    <row r="222" spans="1:22" hidden="1">
      <c r="O222" s="197"/>
      <c r="P222" s="197"/>
      <c r="Q222" s="197"/>
      <c r="R222" s="197"/>
      <c r="S222" s="197"/>
      <c r="T222" s="197"/>
      <c r="U222" s="197"/>
      <c r="V222" s="197"/>
    </row>
    <row r="223" spans="1:22" hidden="1">
      <c r="O223" s="197"/>
      <c r="P223" s="197"/>
      <c r="Q223" s="197"/>
      <c r="R223" s="197"/>
      <c r="S223" s="197"/>
      <c r="T223" s="197"/>
      <c r="U223" s="197"/>
      <c r="V223" s="197"/>
    </row>
    <row r="224" spans="1:22" hidden="1">
      <c r="O224" s="197"/>
      <c r="P224" s="197"/>
      <c r="Q224" s="197"/>
      <c r="R224" s="197"/>
      <c r="S224" s="197"/>
      <c r="T224" s="197"/>
      <c r="U224" s="197"/>
      <c r="V224" s="197"/>
    </row>
    <row r="225" spans="15:22" hidden="1">
      <c r="O225" s="197"/>
      <c r="P225" s="197"/>
      <c r="Q225" s="197"/>
      <c r="R225" s="197"/>
      <c r="S225" s="197"/>
      <c r="T225" s="197"/>
      <c r="U225" s="197"/>
      <c r="V225" s="197"/>
    </row>
    <row r="226" spans="15:22" hidden="1">
      <c r="O226" s="197"/>
      <c r="P226" s="197"/>
      <c r="Q226" s="197"/>
      <c r="R226" s="197"/>
      <c r="S226" s="197"/>
      <c r="T226" s="197"/>
      <c r="U226" s="197"/>
      <c r="V226" s="197"/>
    </row>
    <row r="227" spans="15:22" hidden="1">
      <c r="O227" s="197"/>
      <c r="P227" s="197"/>
      <c r="Q227" s="197"/>
      <c r="R227" s="197"/>
      <c r="S227" s="197"/>
      <c r="T227" s="197"/>
      <c r="U227" s="197"/>
      <c r="V227" s="197"/>
    </row>
    <row r="228" spans="15:22" hidden="1">
      <c r="O228" s="197"/>
      <c r="P228" s="197"/>
      <c r="Q228" s="197"/>
      <c r="R228" s="197"/>
      <c r="S228" s="197"/>
      <c r="T228" s="197"/>
      <c r="U228" s="197"/>
      <c r="V228" s="197"/>
    </row>
    <row r="229" spans="15:22" hidden="1">
      <c r="O229" s="197"/>
      <c r="P229" s="197"/>
      <c r="Q229" s="197"/>
      <c r="R229" s="197"/>
      <c r="S229" s="197"/>
      <c r="T229" s="197"/>
      <c r="U229" s="197"/>
      <c r="V229" s="197"/>
    </row>
    <row r="230" spans="15:22" hidden="1">
      <c r="O230" s="197"/>
      <c r="P230" s="197"/>
      <c r="Q230" s="197"/>
      <c r="R230" s="197"/>
      <c r="S230" s="197"/>
      <c r="T230" s="197"/>
      <c r="U230" s="197"/>
      <c r="V230" s="197"/>
    </row>
    <row r="231" spans="15:22" hidden="1">
      <c r="O231" s="197"/>
      <c r="P231" s="197"/>
      <c r="Q231" s="197"/>
      <c r="R231" s="197"/>
      <c r="S231" s="197"/>
      <c r="T231" s="197"/>
      <c r="U231" s="197"/>
      <c r="V231" s="197"/>
    </row>
    <row r="232" spans="15:22" hidden="1">
      <c r="O232" s="197"/>
      <c r="P232" s="197"/>
      <c r="Q232" s="197"/>
      <c r="R232" s="197"/>
      <c r="S232" s="197"/>
      <c r="T232" s="197"/>
      <c r="U232" s="197"/>
      <c r="V232" s="197"/>
    </row>
  </sheetData>
  <autoFilter ref="A1:L232" xr:uid="{77BA08E8-3C98-5148-865D-3B8C4E4AE72D}">
    <filterColumn colId="1">
      <filters>
        <filter val="UQ"/>
      </filters>
    </filterColumn>
    <sortState xmlns:xlrd2="http://schemas.microsoft.com/office/spreadsheetml/2017/richdata2" ref="A2:L196">
      <sortCondition ref="A1:A196"/>
    </sortState>
  </autoFilter>
  <phoneticPr fontId="6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15"/>
  <dimension ref="A1:L52"/>
  <sheetViews>
    <sheetView topLeftCell="B1" workbookViewId="0">
      <selection activeCell="G3" sqref="G3"/>
    </sheetView>
  </sheetViews>
  <sheetFormatPr defaultColWidth="9" defaultRowHeight="12"/>
  <cols>
    <col min="1" max="1" width="12" style="85" customWidth="1"/>
    <col min="2" max="4" width="18.19921875" style="85" customWidth="1"/>
    <col min="5" max="5" width="15.19921875" style="85" customWidth="1"/>
    <col min="6" max="6" width="14" style="85" customWidth="1"/>
    <col min="7" max="7" width="12.69921875" style="85" customWidth="1"/>
    <col min="8" max="9" width="9" style="85"/>
    <col min="10" max="10" width="15.69921875" style="85" customWidth="1"/>
    <col min="11" max="11" width="12.19921875" style="85" customWidth="1"/>
    <col min="12" max="16384" width="9" style="85"/>
  </cols>
  <sheetData>
    <row r="1" spans="1:12">
      <c r="A1" s="1" t="s">
        <v>2065</v>
      </c>
      <c r="B1" s="86" t="s">
        <v>2066</v>
      </c>
      <c r="C1" s="1" t="s">
        <v>2067</v>
      </c>
      <c r="D1" s="1" t="s">
        <v>2068</v>
      </c>
      <c r="E1" s="1" t="s">
        <v>2069</v>
      </c>
      <c r="F1" s="1" t="s">
        <v>2070</v>
      </c>
      <c r="G1" s="1" t="s">
        <v>2071</v>
      </c>
      <c r="H1" s="447" t="s">
        <v>2072</v>
      </c>
      <c r="I1" s="1" t="s">
        <v>2099</v>
      </c>
      <c r="J1" s="86" t="s">
        <v>2253</v>
      </c>
      <c r="K1" s="1" t="s">
        <v>2073</v>
      </c>
      <c r="L1" s="86" t="s">
        <v>2074</v>
      </c>
    </row>
    <row r="2" spans="1:12">
      <c r="A2" s="1" t="s">
        <v>2075</v>
      </c>
      <c r="C2" s="1" t="s">
        <v>2076</v>
      </c>
      <c r="D2" s="1" t="s">
        <v>2077</v>
      </c>
      <c r="E2" s="1" t="s">
        <v>2078</v>
      </c>
      <c r="F2" s="1" t="s">
        <v>47</v>
      </c>
      <c r="G2" s="1" t="s">
        <v>2079</v>
      </c>
      <c r="H2" s="447" t="s">
        <v>2075</v>
      </c>
      <c r="I2" s="1" t="s">
        <v>2075</v>
      </c>
      <c r="J2" s="86" t="s">
        <v>2098</v>
      </c>
      <c r="K2" s="1" t="s">
        <v>109</v>
      </c>
      <c r="L2" s="86" t="s">
        <v>2083</v>
      </c>
    </row>
    <row r="3" spans="1:12">
      <c r="A3" s="1" t="s">
        <v>2080</v>
      </c>
      <c r="B3" s="86" t="s">
        <v>295</v>
      </c>
      <c r="C3" s="1" t="str">
        <f>IF(OR($B$30=B3,$B$31=B3,$B$32=B3),"",B3)</f>
        <v>物理</v>
      </c>
      <c r="D3" s="1" t="str">
        <f>IF(OR($B$29=B3,$B$31=B3,$B$32=B3),"",B3)</f>
        <v>物理</v>
      </c>
      <c r="E3" s="1" t="str">
        <f>IF(OR($B$29=B3,$B$30=B3,$B$32=B3),"",B3)</f>
        <v>物理</v>
      </c>
      <c r="F3" s="1" t="str">
        <f>IF(OR($B$29=B8,$B$30=B8,$B$31=B8),"",B8)</f>
        <v>音樂</v>
      </c>
      <c r="G3" s="1" t="s">
        <v>2081</v>
      </c>
      <c r="H3" s="447" t="s">
        <v>3277</v>
      </c>
      <c r="I3" s="1" t="s">
        <v>2100</v>
      </c>
      <c r="J3" s="86" t="s">
        <v>25</v>
      </c>
      <c r="K3" s="1" t="s">
        <v>2082</v>
      </c>
      <c r="L3" s="86" t="s">
        <v>2087</v>
      </c>
    </row>
    <row r="4" spans="1:12">
      <c r="A4" s="1" t="s">
        <v>2084</v>
      </c>
      <c r="B4" s="86" t="s">
        <v>296</v>
      </c>
      <c r="C4" s="1" t="str">
        <f t="shared" ref="C4:C25" si="0">IF(OR($B$30=B4,$B$31=B4,$B$32=B4),"",B4)</f>
        <v>化學</v>
      </c>
      <c r="D4" s="1" t="str">
        <f t="shared" ref="D4:D25" si="1">IF(OR($B$29=B4,$B$31=B4,$B$32=B4),"",B4)</f>
        <v>化學</v>
      </c>
      <c r="E4" s="1" t="str">
        <f t="shared" ref="E4:E25" si="2">IF(OR($B$29=B4,$B$30=B4,$B$32=B4),"",B4)</f>
        <v>化學</v>
      </c>
      <c r="F4" s="1" t="str">
        <f>IF(OR($B$29=B9,$B$30=B9,$B$31=B9),"",B9)</f>
        <v>體育</v>
      </c>
      <c r="G4" s="1" t="s">
        <v>2085</v>
      </c>
      <c r="H4" s="447" t="s">
        <v>3274</v>
      </c>
      <c r="I4" s="1" t="s">
        <v>2101</v>
      </c>
      <c r="J4" s="1" t="s">
        <v>2034</v>
      </c>
      <c r="K4" s="86" t="s">
        <v>2974</v>
      </c>
    </row>
    <row r="5" spans="1:12">
      <c r="A5" s="1">
        <v>5</v>
      </c>
      <c r="B5" s="86" t="s">
        <v>297</v>
      </c>
      <c r="C5" s="1" t="str">
        <f t="shared" si="0"/>
        <v>生物</v>
      </c>
      <c r="D5" s="1" t="str">
        <f t="shared" si="1"/>
        <v>生物</v>
      </c>
      <c r="E5" s="1" t="str">
        <f t="shared" si="2"/>
        <v>生物</v>
      </c>
      <c r="F5" s="1" t="str">
        <f>IF(OR($B$29=B12,$B$30=B12,$B$31=B12),"",B12)</f>
        <v>視覺藝術</v>
      </c>
      <c r="G5" s="1" t="s">
        <v>2088</v>
      </c>
      <c r="H5" s="447" t="s">
        <v>3275</v>
      </c>
      <c r="I5" s="1"/>
      <c r="J5" s="1" t="s">
        <v>2027</v>
      </c>
    </row>
    <row r="6" spans="1:12">
      <c r="A6" s="1">
        <v>4</v>
      </c>
      <c r="B6" s="86" t="s">
        <v>298</v>
      </c>
      <c r="C6" s="1" t="str">
        <f t="shared" si="0"/>
        <v>經濟</v>
      </c>
      <c r="D6" s="1" t="str">
        <f t="shared" si="1"/>
        <v>經濟</v>
      </c>
      <c r="E6" s="1" t="str">
        <f t="shared" si="2"/>
        <v>經濟</v>
      </c>
      <c r="F6" s="1" t="str">
        <f>IF(OR($B$29=B20,$B$30=B20,$B$31=B20),"",B20)</f>
        <v>倫理與宗教</v>
      </c>
      <c r="G6" s="1" t="s">
        <v>3280</v>
      </c>
      <c r="H6" s="447" t="s">
        <v>3279</v>
      </c>
      <c r="I6" s="1"/>
      <c r="J6" s="1" t="s">
        <v>2086</v>
      </c>
    </row>
    <row r="7" spans="1:12">
      <c r="A7" s="1">
        <v>3</v>
      </c>
      <c r="B7" s="86" t="s">
        <v>299</v>
      </c>
      <c r="C7" s="1" t="str">
        <f t="shared" si="0"/>
        <v>地理</v>
      </c>
      <c r="D7" s="1" t="str">
        <f t="shared" si="1"/>
        <v>地理</v>
      </c>
      <c r="E7" s="1" t="str">
        <f t="shared" si="2"/>
        <v>地理</v>
      </c>
      <c r="F7" s="1"/>
      <c r="G7" s="1" t="s">
        <v>2089</v>
      </c>
      <c r="H7" s="447" t="s">
        <v>3278</v>
      </c>
      <c r="I7" s="1"/>
      <c r="J7" s="1" t="s">
        <v>2016</v>
      </c>
    </row>
    <row r="8" spans="1:12">
      <c r="A8" s="1">
        <v>2</v>
      </c>
      <c r="B8" s="86" t="s">
        <v>300</v>
      </c>
      <c r="C8" s="1" t="str">
        <f t="shared" si="0"/>
        <v>音樂</v>
      </c>
      <c r="D8" s="1" t="str">
        <f t="shared" si="1"/>
        <v>音樂</v>
      </c>
      <c r="E8" s="1" t="str">
        <f t="shared" si="2"/>
        <v>音樂</v>
      </c>
      <c r="F8" s="1"/>
      <c r="G8" s="1" t="s">
        <v>2090</v>
      </c>
      <c r="H8" s="1" t="s">
        <v>3276</v>
      </c>
      <c r="I8" s="1"/>
      <c r="J8" s="1"/>
    </row>
    <row r="9" spans="1:12">
      <c r="A9" s="1">
        <v>1</v>
      </c>
      <c r="B9" s="86" t="s">
        <v>301</v>
      </c>
      <c r="C9" s="1" t="str">
        <f t="shared" si="0"/>
        <v>體育</v>
      </c>
      <c r="D9" s="1" t="str">
        <f t="shared" si="1"/>
        <v>體育</v>
      </c>
      <c r="E9" s="1" t="str">
        <f t="shared" si="2"/>
        <v>體育</v>
      </c>
      <c r="F9" s="1"/>
      <c r="G9" s="1"/>
      <c r="H9" s="1" t="s">
        <v>420</v>
      </c>
      <c r="I9" s="1"/>
      <c r="J9" s="1"/>
    </row>
    <row r="10" spans="1:12">
      <c r="A10" s="1" t="s">
        <v>2091</v>
      </c>
      <c r="B10" s="86" t="s">
        <v>302</v>
      </c>
      <c r="C10" s="1" t="str">
        <f>IF(OR($B$30=B10,$B$31=B10,$B$32=B10),"",B10)</f>
        <v>歷史</v>
      </c>
      <c r="D10" s="1" t="str">
        <f t="shared" si="1"/>
        <v>歷史</v>
      </c>
      <c r="E10" s="1" t="str">
        <f t="shared" si="2"/>
        <v>歷史</v>
      </c>
      <c r="F10" s="1"/>
      <c r="G10" s="1"/>
      <c r="H10" s="1"/>
      <c r="I10" s="1"/>
      <c r="J10" s="1"/>
    </row>
    <row r="11" spans="1:12">
      <c r="A11" s="1"/>
      <c r="B11" s="86" t="s">
        <v>303</v>
      </c>
      <c r="C11" s="1" t="str">
        <f t="shared" si="0"/>
        <v>中國歷史</v>
      </c>
      <c r="D11" s="1" t="str">
        <f t="shared" si="1"/>
        <v>中國歷史</v>
      </c>
      <c r="E11" s="1" t="str">
        <f t="shared" si="2"/>
        <v>中國歷史</v>
      </c>
      <c r="F11" s="1"/>
      <c r="G11" s="1"/>
      <c r="H11" s="1"/>
      <c r="I11" s="1"/>
      <c r="J11" s="1"/>
    </row>
    <row r="12" spans="1:12">
      <c r="A12" s="1"/>
      <c r="B12" s="86" t="s">
        <v>304</v>
      </c>
      <c r="C12" s="1" t="str">
        <f t="shared" si="0"/>
        <v>視覺藝術</v>
      </c>
      <c r="D12" s="1" t="str">
        <f t="shared" si="1"/>
        <v>視覺藝術</v>
      </c>
      <c r="E12" s="1" t="str">
        <f t="shared" si="2"/>
        <v>視覺藝術</v>
      </c>
      <c r="F12" s="1"/>
      <c r="G12" s="1"/>
      <c r="H12" s="1"/>
      <c r="I12" s="1"/>
      <c r="J12" s="1"/>
    </row>
    <row r="13" spans="1:12">
      <c r="A13" s="1"/>
      <c r="B13" s="86" t="s">
        <v>305</v>
      </c>
      <c r="C13" s="1" t="str">
        <f t="shared" si="0"/>
        <v>綜合科學</v>
      </c>
      <c r="D13" s="1" t="str">
        <f t="shared" si="1"/>
        <v>綜合科學</v>
      </c>
      <c r="E13" s="1" t="str">
        <f t="shared" si="2"/>
        <v>綜合科學</v>
      </c>
      <c r="F13" s="1"/>
      <c r="G13" s="1"/>
      <c r="H13" s="1"/>
      <c r="I13" s="1"/>
      <c r="J13" s="1"/>
    </row>
    <row r="14" spans="1:12">
      <c r="A14" s="1"/>
      <c r="B14" s="86" t="s">
        <v>306</v>
      </c>
      <c r="C14" s="1" t="str">
        <f t="shared" si="0"/>
        <v>組合科學(物理、化學)</v>
      </c>
      <c r="D14" s="1" t="str">
        <f t="shared" si="1"/>
        <v>組合科學(物理、化學)</v>
      </c>
      <c r="E14" s="1" t="str">
        <f t="shared" si="2"/>
        <v>組合科學(物理、化學)</v>
      </c>
      <c r="F14" s="1"/>
      <c r="G14" s="1"/>
      <c r="H14" s="1"/>
      <c r="I14" s="1"/>
      <c r="J14" s="1"/>
    </row>
    <row r="15" spans="1:12">
      <c r="A15" s="1"/>
      <c r="B15" s="86" t="s">
        <v>307</v>
      </c>
      <c r="C15" s="1" t="str">
        <f t="shared" si="0"/>
        <v>組合科學(生物、化學)</v>
      </c>
      <c r="D15" s="1" t="str">
        <f>IF(OR($B$29=B15,$B$31=B15,$B$32=B15),"",B15)</f>
        <v>組合科學(生物、化學)</v>
      </c>
      <c r="E15" s="1" t="str">
        <f t="shared" si="2"/>
        <v>組合科學(生物、化學)</v>
      </c>
      <c r="F15" s="1"/>
      <c r="G15" s="1"/>
      <c r="H15" s="1"/>
      <c r="I15" s="1"/>
      <c r="J15" s="1"/>
    </row>
    <row r="16" spans="1:12">
      <c r="A16" s="1"/>
      <c r="B16" s="86" t="s">
        <v>308</v>
      </c>
      <c r="C16" s="1" t="str">
        <f t="shared" si="0"/>
        <v>組合科學(物理、生物)</v>
      </c>
      <c r="D16" s="1" t="str">
        <f t="shared" si="1"/>
        <v>組合科學(物理、生物)</v>
      </c>
      <c r="E16" s="1" t="str">
        <f t="shared" si="2"/>
        <v>組合科學(物理、生物)</v>
      </c>
      <c r="F16" s="1"/>
      <c r="G16" s="1"/>
      <c r="H16" s="1"/>
      <c r="I16" s="1"/>
      <c r="J16" s="1"/>
    </row>
    <row r="17" spans="1:10">
      <c r="A17" s="1"/>
      <c r="B17" s="86" t="s">
        <v>309</v>
      </c>
      <c r="C17" s="1" t="str">
        <f t="shared" si="0"/>
        <v>中國文學</v>
      </c>
      <c r="D17" s="1" t="str">
        <f t="shared" si="1"/>
        <v>中國文學</v>
      </c>
      <c r="E17" s="1" t="str">
        <f t="shared" si="2"/>
        <v>中國文學</v>
      </c>
      <c r="F17" s="1"/>
      <c r="G17" s="1"/>
      <c r="H17" s="1"/>
      <c r="I17" s="1"/>
      <c r="J17" s="1"/>
    </row>
    <row r="18" spans="1:10">
      <c r="A18" s="1"/>
      <c r="B18" s="86" t="s">
        <v>310</v>
      </c>
      <c r="C18" s="1" t="str">
        <f t="shared" si="0"/>
        <v>英語文學</v>
      </c>
      <c r="D18" s="1" t="str">
        <f t="shared" si="1"/>
        <v>英語文學</v>
      </c>
      <c r="E18" s="1" t="str">
        <f t="shared" si="2"/>
        <v>英語文學</v>
      </c>
      <c r="F18" s="1"/>
      <c r="G18" s="1"/>
      <c r="H18" s="1"/>
      <c r="I18" s="1"/>
      <c r="J18" s="1"/>
    </row>
    <row r="19" spans="1:10">
      <c r="A19" s="1"/>
      <c r="B19" s="86" t="s">
        <v>311</v>
      </c>
      <c r="C19" s="1" t="str">
        <f>IF(OR($B$30=B19,$B$31=B19,$B$32=B19),"",B19)</f>
        <v>旅遊與款待</v>
      </c>
      <c r="D19" s="1" t="str">
        <f t="shared" si="1"/>
        <v>旅遊與款待</v>
      </c>
      <c r="E19" s="1" t="str">
        <f t="shared" si="2"/>
        <v>旅遊與款待</v>
      </c>
      <c r="F19" s="1"/>
      <c r="G19" s="1"/>
      <c r="H19" s="1"/>
      <c r="I19" s="1"/>
      <c r="J19" s="1"/>
    </row>
    <row r="20" spans="1:10">
      <c r="A20" s="1"/>
      <c r="B20" s="86" t="s">
        <v>312</v>
      </c>
      <c r="C20" s="1" t="str">
        <f t="shared" si="0"/>
        <v>倫理與宗教</v>
      </c>
      <c r="D20" s="1" t="str">
        <f t="shared" si="1"/>
        <v>倫理與宗教</v>
      </c>
      <c r="E20" s="1" t="str">
        <f t="shared" si="2"/>
        <v>倫理與宗教</v>
      </c>
      <c r="F20" s="1"/>
      <c r="G20" s="1"/>
      <c r="H20" s="1"/>
      <c r="I20" s="1"/>
      <c r="J20" s="1"/>
    </row>
    <row r="21" spans="1:10">
      <c r="A21" s="1"/>
      <c r="B21" s="86" t="s">
        <v>313</v>
      </c>
      <c r="C21" s="1" t="str">
        <f t="shared" si="0"/>
        <v>科技與生活</v>
      </c>
      <c r="D21" s="1" t="str">
        <f t="shared" si="1"/>
        <v>科技與生活</v>
      </c>
      <c r="E21" s="1" t="str">
        <f t="shared" si="2"/>
        <v>科技與生活</v>
      </c>
      <c r="F21" s="1"/>
      <c r="G21" s="1"/>
      <c r="H21" s="1"/>
      <c r="I21" s="1"/>
      <c r="J21" s="1"/>
    </row>
    <row r="22" spans="1:10">
      <c r="A22" s="1"/>
      <c r="B22" s="86" t="s">
        <v>314</v>
      </c>
      <c r="C22" s="1" t="str">
        <f t="shared" si="0"/>
        <v>資訊及通訊科技</v>
      </c>
      <c r="D22" s="1" t="str">
        <f t="shared" si="1"/>
        <v>資訊及通訊科技</v>
      </c>
      <c r="E22" s="1" t="str">
        <f t="shared" si="2"/>
        <v>資訊及通訊科技</v>
      </c>
      <c r="F22" s="1"/>
      <c r="G22" s="1"/>
      <c r="H22" s="1"/>
      <c r="I22" s="1"/>
      <c r="J22" s="1"/>
    </row>
    <row r="23" spans="1:10">
      <c r="A23" s="1"/>
      <c r="B23" s="86" t="s">
        <v>315</v>
      </c>
      <c r="C23" s="1" t="str">
        <f t="shared" si="0"/>
        <v>設計與應用科技</v>
      </c>
      <c r="D23" s="1" t="str">
        <f t="shared" si="1"/>
        <v>設計與應用科技</v>
      </c>
      <c r="E23" s="1" t="str">
        <f t="shared" si="2"/>
        <v>設計與應用科技</v>
      </c>
      <c r="F23" s="1"/>
      <c r="G23" s="1"/>
      <c r="H23" s="1"/>
      <c r="I23" s="1"/>
    </row>
    <row r="24" spans="1:10">
      <c r="B24" s="86" t="s">
        <v>316</v>
      </c>
      <c r="C24" s="1" t="str">
        <f t="shared" si="0"/>
        <v>健康管理與社會關懷</v>
      </c>
      <c r="D24" s="1" t="str">
        <f t="shared" si="1"/>
        <v>健康管理與社會關懷</v>
      </c>
      <c r="E24" s="1" t="str">
        <f t="shared" si="2"/>
        <v>健康管理與社會關懷</v>
      </c>
    </row>
    <row r="25" spans="1:10">
      <c r="B25" s="86" t="s">
        <v>3087</v>
      </c>
      <c r="C25" s="1" t="str">
        <f t="shared" si="0"/>
        <v>企業、會計與財務概論</v>
      </c>
      <c r="D25" s="1" t="str">
        <f t="shared" si="1"/>
        <v>企業、會計與財務概論</v>
      </c>
      <c r="E25" s="1" t="str">
        <f t="shared" si="2"/>
        <v>企業、會計與財務概論</v>
      </c>
    </row>
    <row r="26" spans="1:10">
      <c r="B26" s="1"/>
      <c r="C26" s="1"/>
      <c r="D26" s="1"/>
    </row>
    <row r="28" spans="1:10">
      <c r="B28" s="85" t="s">
        <v>2092</v>
      </c>
      <c r="C28" s="1"/>
    </row>
    <row r="29" spans="1:10">
      <c r="A29" s="85">
        <v>1</v>
      </c>
      <c r="B29" s="85" t="str">
        <f>主頁!B15</f>
        <v>請選擇第一選修科</v>
      </c>
      <c r="C29" s="1"/>
    </row>
    <row r="30" spans="1:10">
      <c r="A30" s="85">
        <v>2</v>
      </c>
      <c r="B30" s="85" t="str">
        <f>主頁!B16</f>
        <v>請選擇第二選修科</v>
      </c>
      <c r="C30" s="1"/>
      <c r="D30" s="1"/>
    </row>
    <row r="31" spans="1:10">
      <c r="A31" s="85">
        <v>3</v>
      </c>
      <c r="B31" s="85" t="str">
        <f>主頁!B17</f>
        <v>請選擇第三選修科</v>
      </c>
      <c r="C31" s="1"/>
      <c r="D31" s="1"/>
    </row>
    <row r="32" spans="1:10">
      <c r="A32" s="85">
        <v>4</v>
      </c>
      <c r="B32" s="85" t="str">
        <f>主頁!B18</f>
        <v>請選擇第四選修科</v>
      </c>
      <c r="C32" s="1"/>
      <c r="D32" s="1"/>
    </row>
    <row r="33" spans="3:9">
      <c r="C33" s="1"/>
      <c r="D33" s="1"/>
    </row>
    <row r="34" spans="3:9">
      <c r="C34" s="1"/>
      <c r="D34" s="1"/>
    </row>
    <row r="35" spans="3:9">
      <c r="C35" s="1"/>
      <c r="D35" s="1"/>
    </row>
    <row r="36" spans="3:9">
      <c r="C36" s="1"/>
      <c r="D36" s="1"/>
    </row>
    <row r="37" spans="3:9">
      <c r="C37" s="1"/>
      <c r="D37" s="1"/>
    </row>
    <row r="38" spans="3:9">
      <c r="C38" s="1"/>
      <c r="D38" s="1"/>
    </row>
    <row r="39" spans="3:9">
      <c r="C39" s="1"/>
      <c r="D39" s="1"/>
    </row>
    <row r="40" spans="3:9">
      <c r="C40" s="1"/>
      <c r="D40" s="1"/>
    </row>
    <row r="41" spans="3:9">
      <c r="C41" s="1"/>
      <c r="D41" s="1"/>
    </row>
    <row r="42" spans="3:9">
      <c r="C42" s="1"/>
      <c r="D42" s="1"/>
    </row>
    <row r="43" spans="3:9">
      <c r="C43" s="1"/>
      <c r="D43" s="1"/>
    </row>
    <row r="44" spans="3:9">
      <c r="C44" s="1"/>
      <c r="D44" s="1"/>
    </row>
    <row r="45" spans="3:9">
      <c r="C45" s="1"/>
      <c r="D45" s="1"/>
      <c r="H45" s="1"/>
      <c r="I45" s="1"/>
    </row>
    <row r="46" spans="3:9">
      <c r="C46" s="1"/>
      <c r="D46" s="1"/>
    </row>
    <row r="47" spans="3:9">
      <c r="C47" s="1"/>
      <c r="D47" s="1"/>
    </row>
    <row r="48" spans="3:9">
      <c r="C48" s="1"/>
      <c r="D48" s="1"/>
    </row>
    <row r="49" spans="3:4">
      <c r="C49" s="1"/>
      <c r="D49" s="1"/>
    </row>
    <row r="50" spans="3:4">
      <c r="C50" s="1"/>
      <c r="D50" s="1"/>
    </row>
    <row r="51" spans="3:4">
      <c r="C51" s="1"/>
      <c r="D51" s="1"/>
    </row>
    <row r="52" spans="3:4">
      <c r="C52" s="1"/>
      <c r="D52" s="1"/>
    </row>
  </sheetData>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0A00161B6D124EBFED7AE90E865BF4" ma:contentTypeVersion="14" ma:contentTypeDescription="Create a new document." ma:contentTypeScope="" ma:versionID="d80e6f3ead7b0a9b932b421fa31db9ce">
  <xsd:schema xmlns:xsd="http://www.w3.org/2001/XMLSchema" xmlns:xs="http://www.w3.org/2001/XMLSchema" xmlns:p="http://schemas.microsoft.com/office/2006/metadata/properties" xmlns:ns3="d0ea7274-d0ef-4ec7-8b2a-e2b30de4fb4b" xmlns:ns4="1142418a-007b-4663-b779-34027ba3bae5" targetNamespace="http://schemas.microsoft.com/office/2006/metadata/properties" ma:root="true" ma:fieldsID="b28ae9cd6fa1f23395a9c4cc22b46ce6" ns3:_="" ns4:_="">
    <xsd:import namespace="d0ea7274-d0ef-4ec7-8b2a-e2b30de4fb4b"/>
    <xsd:import namespace="1142418a-007b-4663-b779-34027ba3bae5"/>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ea7274-d0ef-4ec7-8b2a-e2b30de4fb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142418a-007b-4663-b779-34027ba3bae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933648-3F35-4F5C-AA06-88BFBCC5DBFE}">
  <ds:schemaRefs>
    <ds:schemaRef ds:uri="http://schemas.microsoft.com/office/infopath/2007/PartnerControls"/>
    <ds:schemaRef ds:uri="http://purl.org/dc/dcmitype/"/>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1142418a-007b-4663-b779-34027ba3bae5"/>
    <ds:schemaRef ds:uri="d0ea7274-d0ef-4ec7-8b2a-e2b30de4fb4b"/>
    <ds:schemaRef ds:uri="http://purl.org/dc/terms/"/>
  </ds:schemaRefs>
</ds:datastoreItem>
</file>

<file path=customXml/itemProps2.xml><?xml version="1.0" encoding="utf-8"?>
<ds:datastoreItem xmlns:ds="http://schemas.openxmlformats.org/officeDocument/2006/customXml" ds:itemID="{C14EC20A-D89C-4F0B-8816-AB5D261A2796}">
  <ds:schemaRefs>
    <ds:schemaRef ds:uri="http://schemas.microsoft.com/sharepoint/v3/contenttype/forms"/>
  </ds:schemaRefs>
</ds:datastoreItem>
</file>

<file path=customXml/itemProps3.xml><?xml version="1.0" encoding="utf-8"?>
<ds:datastoreItem xmlns:ds="http://schemas.openxmlformats.org/officeDocument/2006/customXml" ds:itemID="{DC12D737-D077-42D7-800C-F82033AF31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ea7274-d0ef-4ec7-8b2a-e2b30de4fb4b"/>
    <ds:schemaRef ds:uri="1142418a-007b-4663-b779-34027ba3ba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13</vt:i4>
      </vt:variant>
    </vt:vector>
  </HeadingPairs>
  <TitlesOfParts>
    <vt:vector size="35" baseType="lpstr">
      <vt:lpstr>開始</vt:lpstr>
      <vt:lpstr>主頁</vt:lpstr>
      <vt:lpstr>A123</vt:lpstr>
      <vt:lpstr>All in One</vt:lpstr>
      <vt:lpstr>CityU</vt:lpstr>
      <vt:lpstr>HKBU</vt:lpstr>
      <vt:lpstr>PolyU</vt:lpstr>
      <vt:lpstr>CUHK</vt:lpstr>
      <vt:lpstr>HKUST</vt:lpstr>
      <vt:lpstr>HKU</vt:lpstr>
      <vt:lpstr>LingU</vt:lpstr>
      <vt:lpstr>EdUHK</vt:lpstr>
      <vt:lpstr>HKMU</vt:lpstr>
      <vt:lpstr>SSSDP</vt:lpstr>
      <vt:lpstr>計分版</vt:lpstr>
      <vt:lpstr>Reference Score Calculation</vt:lpstr>
      <vt:lpstr>入學要求</vt:lpstr>
      <vt:lpstr>Programme List (2024 &amp; 2025)</vt:lpstr>
      <vt:lpstr>Offer Statistics</vt:lpstr>
      <vt:lpstr>Retake 扣分</vt:lpstr>
      <vt:lpstr>CUHK Ref Soc Conversion</vt:lpstr>
      <vt:lpstr>選單</vt:lpstr>
      <vt:lpstr>all_in_one</vt:lpstr>
      <vt:lpstr>cal_main</vt:lpstr>
      <vt:lpstr>公社科</vt:lpstr>
      <vt:lpstr>丙類科目等級</vt:lpstr>
      <vt:lpstr>丙類選修科</vt:lpstr>
      <vt:lpstr>是否</vt:lpstr>
      <vt:lpstr>差</vt:lpstr>
      <vt:lpstr>差距ULM</vt:lpstr>
      <vt:lpstr>差距UML</vt:lpstr>
      <vt:lpstr>第二選修科</vt:lpstr>
      <vt:lpstr>第三選修科</vt:lpstr>
      <vt:lpstr>第四選修科</vt:lpstr>
      <vt:lpstr>等級</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Chan</dc:creator>
  <cp:keywords/>
  <dc:description/>
  <cp:lastModifiedBy>Michael Chan</cp:lastModifiedBy>
  <cp:revision/>
  <dcterms:created xsi:type="dcterms:W3CDTF">2020-07-04T18:52:02Z</dcterms:created>
  <dcterms:modified xsi:type="dcterms:W3CDTF">2025-07-16T05:16:31Z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0x010100030A00161B6D124EBFED7AE90E865BF4</vt:lpwstr>
  </property>
</Properties>
</file>